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i_net_open" vbProcedure="false">In!$E$135</definedName>
    <definedName function="false" hidden="false" name="ai_net_open_hi" vbProcedure="false">In!$F$135</definedName>
    <definedName function="false" hidden="false" name="ai_net_open_lo" vbProcedure="false">In!$D$135</definedName>
    <definedName function="false" hidden="false" name="ai_runrate" vbProcedure="false">In!$E$191</definedName>
    <definedName function="false" hidden="false" name="al_fro" vbProcedure="false">In!$E$77</definedName>
    <definedName function="false" hidden="false" name="al_fro_hi" vbProcedure="false">In!$F$77</definedName>
    <definedName function="false" hidden="false" name="al_fro_lo" vbProcedure="false">In!$D$77</definedName>
    <definedName function="false" hidden="false" name="al_ind" vbProcedure="false">In!$E$76</definedName>
    <definedName function="false" hidden="false" name="al_ind_hi" vbProcedure="false">In!$F$76</definedName>
    <definedName function="false" hidden="false" name="al_ind_lo" vbProcedure="false">In!$D$76</definedName>
    <definedName function="false" hidden="false" name="al_lic" vbProcedure="false">In!$E$75</definedName>
    <definedName function="false" hidden="false" name="al_lic_hi" vbProcedure="false">In!$F$75</definedName>
    <definedName function="false" hidden="false" name="al_lic_lo" vbProcedure="false">In!$D$75</definedName>
    <definedName function="false" hidden="false" name="al_m365" vbProcedure="false">In!$E$74</definedName>
    <definedName function="false" hidden="false" name="al_m365_hi" vbProcedure="false">In!$F$74</definedName>
    <definedName function="false" hidden="false" name="al_m365_lo" vbProcedure="false">In!$D$74</definedName>
    <definedName function="false" hidden="false" name="al_srch" vbProcedure="false">In!$E$78</definedName>
    <definedName function="false" hidden="false" name="al_srch_hi" vbProcedure="false">In!$F$78</definedName>
    <definedName function="false" hidden="false" name="al_srch_lo" vbProcedure="false">In!$D$78</definedName>
    <definedName function="false" hidden="false" name="a_g3_27" vbProcedure="false">In!$E$117</definedName>
    <definedName function="false" hidden="false" name="a_g3_28" vbProcedure="false">In!$E$118</definedName>
    <definedName function="false" hidden="false" name="a_g3_29" vbProcedure="false">In!$E$119</definedName>
    <definedName function="false" hidden="false" name="base_fy" vbProcedure="false">In!$E$49</definedName>
    <definedName function="false" hidden="false" name="bb_g" vbProcedure="false">In!$E$28</definedName>
    <definedName function="false" hidden="false" name="bb_g_hi" vbProcedure="false">In!$F$28</definedName>
    <definedName function="false" hidden="false" name="bb_g_lo" vbProcedure="false">In!$D$28</definedName>
    <definedName function="false" hidden="false" name="bb_target" vbProcedure="false">In!$E$27</definedName>
    <definedName function="false" hidden="false" name="beta" vbProcedure="false">In!$E$39</definedName>
    <definedName function="false" hidden="false" name="beta_gf" vbProcedure="false">In!$E$37</definedName>
    <definedName function="false" hidden="false" name="beta_hi" vbProcedure="false">In!$F$39</definedName>
    <definedName function="false" hidden="false" name="beta_lo" vbProcedure="false">In!$D$39</definedName>
    <definedName function="false" hidden="false" name="beta_sa" vbProcedure="false">In!$E$36</definedName>
    <definedName function="false" hidden="false" name="blume_w" vbProcedure="false">In!$E$38</definedName>
    <definedName function="false" hidden="false" name="capex_floor27" vbProcedure="false">In!$E$136</definedName>
    <definedName function="false" hidden="false" name="cap_epoch" vbProcedure="false">In!$E$111</definedName>
    <definedName function="false" hidden="false" name="cash_open" vbProcedure="false">In!$E$10</definedName>
    <definedName function="false" hidden="false" name="chip_f" vbProcedure="false">In!$E$133</definedName>
    <definedName function="false" hidden="false" name="chip_f_hi" vbProcedure="false">In!$F$133</definedName>
    <definedName function="false" hidden="false" name="chip_f_lo" vbProcedure="false">In!$D$133</definedName>
    <definedName function="false" hidden="false" name="cons_cx27" vbProcedure="false">In!$E$178</definedName>
    <definedName function="false" hidden="false" name="cons_cx28" vbProcedure="false">In!$E$180</definedName>
    <definedName function="false" hidden="false" name="cons_cx29" vbProcedure="false">In!$E$182</definedName>
    <definedName function="false" hidden="false" name="cons_ebit27" vbProcedure="false">In!$E$177</definedName>
    <definedName function="false" hidden="false" name="cons_ebit28" vbProcedure="false">In!$E$179</definedName>
    <definedName function="false" hidden="false" name="cons_ebit29" vbProcedure="false">In!$E$181</definedName>
    <definedName function="false" hidden="false" name="cons_eps27" vbProcedure="false">In!$E$174</definedName>
    <definedName function="false" hidden="false" name="cons_eps27_hi" vbProcedure="false">In!$F$174</definedName>
    <definedName function="false" hidden="false" name="cons_eps27_lo" vbProcedure="false">In!$D$174</definedName>
    <definedName function="false" hidden="false" name="cons_eps28" vbProcedure="false">In!$E$183</definedName>
    <definedName function="false" hidden="false" name="cons_eps29" vbProcedure="false">In!$E$184</definedName>
    <definedName function="false" hidden="false" name="cons_rev27" vbProcedure="false">In!$E$173</definedName>
    <definedName function="false" hidden="false" name="cons_rev27_hi" vbProcedure="false">In!$F$173</definedName>
    <definedName function="false" hidden="false" name="cons_rev27_lo" vbProcedure="false">In!$D$173</definedName>
    <definedName function="false" hidden="false" name="cons_rev28" vbProcedure="false">In!$E$175</definedName>
    <definedName function="false" hidden="false" name="cons_rev29" vbProcedure="false">In!$E$176</definedName>
    <definedName function="false" hidden="false" name="cons_tp" vbProcedure="false">In!$E$172</definedName>
    <definedName function="false" hidden="false" name="cons_tp_hi" vbProcedure="false">In!$F$172</definedName>
    <definedName function="false" hidden="false" name="cons_tp_lo" vbProcedure="false">In!$D$172</definedName>
    <definedName function="false" hidden="false" name="cop_add_A" vbProcedure="false">In!$E$142</definedName>
    <definedName function="false" hidden="false" name="cop_add_B" vbProcedure="false">In!$E$143</definedName>
    <definedName function="false" hidden="false" name="cop_add_C" vbProcedure="false">In!$E$144</definedName>
    <definedName function="false" hidden="false" name="cop_px" vbProcedure="false">In!$E$141</definedName>
    <definedName function="false" hidden="false" name="cop_px_hi" vbProcedure="false">In!$F$141</definedName>
    <definedName function="false" hidden="false" name="cop_px_lo" vbProcedure="false">In!$D$141</definedName>
    <definedName function="false" hidden="false" name="cop_s24" vbProcedure="false">In!$E$138</definedName>
    <definedName function="false" hidden="false" name="cop_s25" vbProcedure="false">In!$E$139</definedName>
    <definedName function="false" hidden="false" name="cop_s26" vbProcedure="false">In!$E$140</definedName>
    <definedName function="false" hidden="false" name="cop_tail" vbProcedure="false">In!$E$145</definedName>
    <definedName function="false" hidden="false" name="cxit_open" vbProcedure="false">In!$E$120</definedName>
    <definedName function="false" hidden="false" name="cx_azo" vbProcedure="false">In!$E$165</definedName>
    <definedName function="false" hidden="false" name="cx_dev" vbProcedure="false">In!$E$170</definedName>
    <definedName function="false" hidden="false" name="cx_ind" vbProcedure="false">In!$E$168</definedName>
    <definedName function="false" hidden="false" name="cx_lic" vbProcedure="false">In!$E$167</definedName>
    <definedName function="false" hidden="false" name="cx_m365" vbProcedure="false">In!$E$166</definedName>
    <definedName function="false" hidden="false" name="cx_srch" vbProcedure="false">In!$E$169</definedName>
    <definedName function="false" hidden="false" name="days_yr" vbProcedure="false">In!$E$53</definedName>
    <definedName function="false" hidden="false" name="debt_face" vbProcedure="false">In!$E$11</definedName>
    <definedName function="false" hidden="false" name="debt_mat_27" vbProcedure="false">In!$E$12</definedName>
    <definedName function="false" hidden="false" name="debt_mat_28" vbProcedure="false">In!$E$13</definedName>
    <definedName function="false" hidden="false" name="debt_mat_29" vbProcedure="false">In!$E$14</definedName>
    <definedName function="false" hidden="false" name="debt_mat_30" vbProcedure="false">In!$E$15</definedName>
    <definedName function="false" hidden="false" name="debt_mat_31" vbProcedure="false">In!$E$16</definedName>
    <definedName function="false" hidden="false" name="debt_mat_32" vbProcedure="false">In!$E$17</definedName>
    <definedName function="false" hidden="false" name="dil_gap" vbProcedure="false">In!$E$8</definedName>
    <definedName function="false" hidden="false" name="dm_seg" vbProcedure="false">In!$E$158</definedName>
    <definedName function="false" hidden="false" name="dm_seg_hi" vbProcedure="false">In!$F$158</definedName>
    <definedName function="false" hidden="false" name="dm_seg_lo" vbProcedure="false">In!$D$158</definedName>
    <definedName function="false" hidden="false" name="dps_27" vbProcedure="false">In!$E$32</definedName>
    <definedName function="false" hidden="false" name="dps_g" vbProcedure="false">In!$E$33</definedName>
    <definedName function="false" hidden="false" name="dps_g_hi" vbProcedure="false">In!$F$33</definedName>
    <definedName function="false" hidden="false" name="dps_g_lo" vbProcedure="false">In!$D$33</definedName>
    <definedName function="false" hidden="false" name="dps_q0" vbProcedure="false">In!$E$30</definedName>
    <definedName function="false" hidden="false" name="dps_q1" vbProcedure="false">In!$E$31</definedName>
    <definedName function="false" hidden="false" name="erp" vbProcedure="false">In!$E$40</definedName>
    <definedName function="false" hidden="false" name="erp_hi" vbProcedure="false">In!$F$40</definedName>
    <definedName function="false" hidden="false" name="erp_lo" vbProcedure="false">In!$D$40</definedName>
    <definedName function="false" hidden="false" name="ext_sh" vbProcedure="false">In!$E$112</definedName>
    <definedName function="false" hidden="false" name="ext_sh_hi" vbProcedure="false">In!$F$112</definedName>
    <definedName function="false" hidden="false" name="ext_sh_lo" vbProcedure="false">In!$D$112</definedName>
    <definedName function="false" hidden="false" name="fac_rent" vbProcedure="false">In!$E$97</definedName>
    <definedName function="false" hidden="false" name="fac_wacc" vbProcedure="false">In!$E$96</definedName>
    <definedName function="false" hidden="false" name="fl_liab" vbProcedure="false">In!$E$18</definedName>
    <definedName function="false" hidden="false" name="fl_pay_27" vbProcedure="false">In!$E$20</definedName>
    <definedName function="false" hidden="false" name="fl_pay_28" vbProcedure="false">In!$E$21</definedName>
    <definedName function="false" hidden="false" name="fl_pay_29" vbProcedure="false">In!$E$22</definedName>
    <definedName function="false" hidden="false" name="fl_pay_30" vbProcedure="false">In!$E$23</definedName>
    <definedName function="false" hidden="false" name="fl_pay_31" vbProcedure="false">In!$E$24</definedName>
    <definedName function="false" hidden="false" name="fl_pay_32" vbProcedure="false">In!$E$25</definedName>
    <definedName function="false" hidden="false" name="fl_rate" vbProcedure="false">In!$E$19</definedName>
    <definedName function="false" hidden="false" name="fy28_end" vbProcedure="false">In!$E$57</definedName>
    <definedName function="false" hidden="false" name="glt_azo" vbProcedure="false">In!$E$149</definedName>
    <definedName function="false" hidden="false" name="glt_azo_hi" vbProcedure="false">In!$F$149</definedName>
    <definedName function="false" hidden="false" name="glt_azo_lo" vbProcedure="false">In!$D$149</definedName>
    <definedName function="false" hidden="false" name="glt_fro" vbProcedure="false">In!$E$153</definedName>
    <definedName function="false" hidden="false" name="glt_fro_hi" vbProcedure="false">In!$F$153</definedName>
    <definedName function="false" hidden="false" name="glt_fro_lo" vbProcedure="false">In!$D$153</definedName>
    <definedName function="false" hidden="false" name="glt_ind" vbProcedure="false">In!$E$152</definedName>
    <definedName function="false" hidden="false" name="glt_ind_hi" vbProcedure="false">In!$F$152</definedName>
    <definedName function="false" hidden="false" name="glt_ind_lo" vbProcedure="false">In!$D$152</definedName>
    <definedName function="false" hidden="false" name="glt_lic" vbProcedure="false">In!$E$151</definedName>
    <definedName function="false" hidden="false" name="glt_lic_hi" vbProcedure="false">In!$F$151</definedName>
    <definedName function="false" hidden="false" name="glt_lic_lo" vbProcedure="false">In!$D$151</definedName>
    <definedName function="false" hidden="false" name="glt_m365b" vbProcedure="false">In!$E$150</definedName>
    <definedName function="false" hidden="false" name="glt_m365b_hi" vbProcedure="false">In!$F$150</definedName>
    <definedName function="false" hidden="false" name="glt_m365b_lo" vbProcedure="false">In!$D$150</definedName>
    <definedName function="false" hidden="false" name="glt_srch" vbProcedure="false">In!$E$154</definedName>
    <definedName function="false" hidden="false" name="glt_srch_hi" vbProcedure="false">In!$F$154</definedName>
    <definedName function="false" hidden="false" name="glt_srch_lo" vbProcedure="false">In!$D$154</definedName>
    <definedName function="false" hidden="false" name="glt_win" vbProcedure="false">In!$E$156</definedName>
    <definedName function="false" hidden="false" name="glt_win_hi" vbProcedure="false">In!$F$156</definedName>
    <definedName function="false" hidden="false" name="glt_win_lo" vbProcedure="false">In!$D$156</definedName>
    <definedName function="false" hidden="false" name="glt_xbox" vbProcedure="false">In!$E$155</definedName>
    <definedName function="false" hidden="false" name="glt_xbox_hi" vbProcedure="false">In!$F$155</definedName>
    <definedName function="false" hidden="false" name="glt_xbox_lo" vbProcedure="false">In!$D$155</definedName>
    <definedName function="false" hidden="false" name="g_fy27_opm" vbProcedure="false">In!$E$190</definedName>
    <definedName function="false" hidden="false" name="g_q1_ai" vbProcedure="false">In!$E$186</definedName>
    <definedName function="false" hidden="false" name="g_q1_ai_hi" vbProcedure="false">In!$F$186</definedName>
    <definedName function="false" hidden="false" name="g_q1_ai_lo" vbProcedure="false">In!$D$186</definedName>
    <definedName function="false" hidden="false" name="g_q1_az" vbProcedure="false">In!$E$188</definedName>
    <definedName function="false" hidden="false" name="g_q1_az_hi" vbProcedure="false">In!$F$188</definedName>
    <definedName function="false" hidden="false" name="g_q1_az_lo" vbProcedure="false">In!$D$188</definedName>
    <definedName function="false" hidden="false" name="g_q1_cx" vbProcedure="false">In!$E$189</definedName>
    <definedName function="false" hidden="false" name="g_q1_dc" vbProcedure="false">In!$E$187</definedName>
    <definedName function="false" hidden="false" name="g_q1_dc_hi" vbProcedure="false">In!$F$187</definedName>
    <definedName function="false" hidden="false" name="g_q1_dc_lo" vbProcedure="false">In!$D$187</definedName>
    <definedName function="false" hidden="false" name="g_q1_rev" vbProcedure="false">In!$E$185</definedName>
    <definedName function="false" hidden="false" name="g_q1_rev_hi" vbProcedure="false">In!$F$185</definedName>
    <definedName function="false" hidden="false" name="g_q1_rev_lo" vbProcedure="false">In!$D$185</definedName>
    <definedName function="false" hidden="false" name="g_tv" vbProcedure="false">In!$E$47</definedName>
    <definedName function="false" hidden="false" name="g_tv_hi" vbProcedure="false">In!$F$47</definedName>
    <definedName function="false" hidden="false" name="g_tv_lo" vbProcedure="false">In!$D$47</definedName>
    <definedName function="false" hidden="false" name="internal_ai_reading" vbProcedure="false">In!$E$146</definedName>
    <definedName function="false" hidden="false" name="internal_ai_reading_lo" vbProcedure="false">In!$D$146</definedName>
    <definedName function="false" hidden="false" name="kd" vbProcedure="false">In!$E$43</definedName>
    <definedName function="false" hidden="false" name="kd_aaa" vbProcedure="false">In!$E$41</definedName>
    <definedName function="false" hidden="false" name="kd_spread" vbProcedure="false">In!$E$42</definedName>
    <definedName function="false" hidden="false" name="kd_spread_hi" vbProcedure="false">In!$F$42</definedName>
    <definedName function="false" hidden="false" name="kd_spread_lo" vbProcedure="false">In!$D$42</definedName>
    <definedName function="false" hidden="false" name="ke" vbProcedure="false">In!$E$45</definedName>
    <definedName function="false" hidden="false" name="k_A" vbProcedure="false">In!$E$130</definedName>
    <definedName function="false" hidden="false" name="k_B" vbProcedure="false">In!$E$131</definedName>
    <definedName function="false" hidden="false" name="k_C" vbProcedure="false">In!$E$132</definedName>
    <definedName function="false" hidden="false" name="k_long" vbProcedure="false">In!$E$123</definedName>
    <definedName function="false" hidden="false" name="k_long_lo" vbProcedure="false">In!$E$125</definedName>
    <definedName function="false" hidden="false" name="k_ramp" vbProcedure="false">In!$E$109</definedName>
    <definedName function="false" hidden="false" name="k_spot" vbProcedure="false">In!$E$126</definedName>
    <definedName function="false" hidden="false" name="life_fac" vbProcedure="false">In!$E$95</definedName>
    <definedName function="false" hidden="false" name="life_it" vbProcedure="false">In!$E$94</definedName>
    <definedName function="false" hidden="false" name="life_it_hi" vbProcedure="false">In!$F$94</definedName>
    <definedName function="false" hidden="false" name="life_it_lo" vbProcedure="false">In!$D$94</definedName>
    <definedName function="false" hidden="false" name="life_nonai" vbProcedure="false">In!$E$164</definedName>
    <definedName function="false" hidden="false" name="life_nonai_hi" vbProcedure="false">In!$F$164</definedName>
    <definedName function="false" hidden="false" name="life_nonai_lo" vbProcedure="false">In!$D$164</definedName>
    <definedName function="false" hidden="false" name="liq_disc" vbProcedure="false">In!$E$65</definedName>
    <definedName function="false" hidden="false" name="liq_disc_hi" vbProcedure="false">In!$F$65</definedName>
    <definedName function="false" hidden="false" name="liq_disc_lo" vbProcedure="false">In!$D$65</definedName>
    <definedName function="false" hidden="false" name="ls_A" vbProcedure="false">In!$E$127</definedName>
    <definedName function="false" hidden="false" name="ls_B" vbProcedure="false">In!$E$128</definedName>
    <definedName function="false" hidden="false" name="ls_C" vbProcedure="false">In!$E$129</definedName>
    <definedName function="false" hidden="false" name="mid_yr" vbProcedure="false">In!$E$50</definedName>
    <definedName function="false" hidden="false" name="min_cash" vbProcedure="false">In!$E$26</definedName>
    <definedName function="false" hidden="false" name="min_cash_hi" vbProcedure="false">In!$F$26</definedName>
    <definedName function="false" hidden="false" name="min_cash_lo" vbProcedure="false">In!$D$26</definedName>
    <definedName function="false" hidden="false" name="mix_g2" vbProcedure="false">In!$E$115</definedName>
    <definedName function="false" hidden="false" name="mix_g3" vbProcedure="false">In!$E$116</definedName>
    <definedName function="false" hidden="false" name="mix_h" vbProcedure="false">In!$E$114</definedName>
    <definedName function="false" hidden="false" name="mw_ext_24" vbProcedure="false">In!$E$99</definedName>
    <definedName function="false" hidden="false" name="mw_ext_25" vbProcedure="false">In!$E$100</definedName>
    <definedName function="false" hidden="false" name="mw_ext_26" vbProcedure="false">In!$E$101</definedName>
    <definedName function="false" hidden="false" name="mw_ext_26_hi" vbProcedure="false">In!$F$101</definedName>
    <definedName function="false" hidden="false" name="mw_ext_26_lo" vbProcedure="false">In!$D$101</definedName>
    <definedName function="false" hidden="false" name="m_ads" vbProcedure="false">In!$E$70</definedName>
    <definedName function="false" hidden="false" name="m_ai" vbProcedure="false">In!$E$67</definedName>
    <definedName function="false" hidden="false" name="m_ai_hi" vbProcedure="false">In!$F$67</definedName>
    <definedName function="false" hidden="false" name="m_ai_lo" vbProcedure="false">In!$D$67</definedName>
    <definedName function="false" hidden="false" name="m_cloud" vbProcedure="false">In!$E$68</definedName>
    <definedName function="false" hidden="false" name="m_game" vbProcedure="false">In!$E$71</definedName>
    <definedName function="false" hidden="false" name="m_own" vbProcedure="false">In!$E$73</definedName>
    <definedName function="false" hidden="false" name="m_pc" vbProcedure="false">In!$E$72</definedName>
    <definedName function="false" hidden="false" name="m_sw" vbProcedure="false">In!$E$69</definedName>
    <definedName function="false" hidden="false" name="n_conv" vbProcedure="false">In!$E$148</definedName>
    <definedName function="false" hidden="false" name="oai_stake" vbProcedure="false">In!$E$63</definedName>
    <definedName function="false" hidden="false" name="oai_stake_hi" vbProcedure="false">In!$F$63</definedName>
    <definedName function="false" hidden="false" name="oai_v" vbProcedure="false">In!$E$66</definedName>
    <definedName function="false" hidden="false" name="oai_val" vbProcedure="false">In!$E$64</definedName>
    <definedName function="false" hidden="false" name="oie_f" vbProcedure="false">In!$E$159</definedName>
    <definedName function="false" hidden="false" name="oie_f_hi" vbProcedure="false">In!$F$159</definedName>
    <definedName function="false" hidden="false" name="oie_f_lo" vbProcedure="false">In!$D$159</definedName>
    <definedName function="false" hidden="false" name="old_dcf" vbProcedure="false">In!$E$194</definedName>
    <definedName function="false" hidden="false" name="old_ev" vbProcedure="false">In!$E$195</definedName>
    <definedName function="false" hidden="false" name="old_tp" vbProcedure="false">In!$E$193</definedName>
    <definedName function="false" hidden="false" name="old_tp_hi" vbProcedure="false">In!$F$193</definedName>
    <definedName function="false" hidden="false" name="old_tp_lo" vbProcedure="false">In!$D$193</definedName>
    <definedName function="false" hidden="false" name="old_w" vbProcedure="false">In!$E$196</definedName>
    <definedName function="false" hidden="false" name="pace" vbProcedure="false">In!$E$106</definedName>
    <definedName function="false" hidden="false" name="pace_epoch" vbProcedure="false">In!$E$110</definedName>
    <definedName function="false" hidden="false" name="pace_y0" vbProcedure="false">In!$E$107</definedName>
    <definedName function="false" hidden="false" name="pace_y1" vbProcedure="false">In!$E$108</definedName>
    <definedName function="false" hidden="false" name="px" vbProcedure="false">In!$E$5</definedName>
    <definedName function="false" hidden="false" name="p_long" vbProcedure="false">In!$E$121</definedName>
    <definedName function="false" hidden="false" name="p_long_lo" vbProcedure="false">In!$E$124</definedName>
    <definedName function="false" hidden="false" name="p_spot" vbProcedure="false">In!$E$122</definedName>
    <definedName function="false" hidden="false" name="p_spot_hi" vbProcedure="false">In!$F$122</definedName>
    <definedName function="false" hidden="false" name="q_per_yr" vbProcedure="false">In!$E$56</definedName>
    <definedName function="false" hidden="false" name="rent_ext_24" vbProcedure="false">In!$E$102</definedName>
    <definedName function="false" hidden="false" name="rent_ext_25" vbProcedure="false">In!$E$103</definedName>
    <definedName function="false" hidden="false" name="rent_ext_26" vbProcedure="false">In!$E$104</definedName>
    <definedName function="false" hidden="false" name="rent_ext_f" vbProcedure="false">In!$E$105</definedName>
    <definedName function="false" hidden="false" name="rent_mw" vbProcedure="false">In!$E$134</definedName>
    <definedName function="false" hidden="false" name="rf" vbProcedure="false">In!$E$35</definedName>
    <definedName function="false" hidden="false" name="roll_d1" vbProcedure="false">In!$E$51</definedName>
    <definedName function="false" hidden="false" name="roll_d2" vbProcedure="false">In!$E$52</definedName>
    <definedName function="false" hidden="false" name="roll_div_q" vbProcedure="false">In!$E$55</definedName>
    <definedName function="false" hidden="false" name="ronic_prem" vbProcedure="false">In!$E$48</definedName>
    <definedName function="false" hidden="false" name="ronic_prem_hi" vbProcedure="false">In!$F$48</definedName>
    <definedName function="false" hidden="false" name="ronic_prem_lo" vbProcedure="false">In!$D$48</definedName>
    <definedName function="false" hidden="false" name="sbc_r" vbProcedure="false">In!$E$161</definedName>
    <definedName function="false" hidden="false" name="self_build" vbProcedure="false">In!$E$113</definedName>
    <definedName function="false" hidden="false" name="self_build_hi" vbProcedure="false">In!$F$113</definedName>
    <definedName function="false" hidden="false" name="self_build_lo" vbProcedure="false">In!$D$113</definedName>
    <definedName function="false" hidden="false" name="sh_basic26" vbProcedure="false">In!$E$7</definedName>
    <definedName function="false" hidden="false" name="sh_dil26" vbProcedure="false">In!$E$6</definedName>
    <definedName function="false" hidden="false" name="sh_iss" vbProcedure="false">In!$E$29</definedName>
    <definedName function="false" hidden="false" name="sh_iss_hi" vbProcedure="false">In!$F$29</definedName>
    <definedName function="false" hidden="false" name="sh_iss_lo" vbProcedure="false">In!$D$29</definedName>
    <definedName function="false" hidden="false" name="sh_out26" vbProcedure="false">In!$E$9</definedName>
    <definedName function="false" hidden="false" name="tax_f" vbProcedure="false">In!$E$160</definedName>
    <definedName function="false" hidden="false" name="tax_f_hi" vbProcedure="false">In!$F$160</definedName>
    <definedName function="false" hidden="false" name="tax_f_lo" vbProcedure="false">In!$D$160</definedName>
    <definedName function="false" hidden="false" name="tax_w" vbProcedure="false">In!$E$44</definedName>
    <definedName function="false" hidden="false" name="tk_cxfac" vbProcedure="false">In!$E$92</definedName>
    <definedName function="false" hidden="false" name="tk_cxit_gb200" vbProcedure="false">In!$E$85</definedName>
    <definedName function="false" hidden="false" name="tk_cxit_gb300" vbProcedure="false">In!$E$86</definedName>
    <definedName function="false" hidden="false" name="tk_cxit_h100" vbProcedure="false">In!$E$84</definedName>
    <definedName function="false" hidden="false" name="tk_cxit_vr200" vbProcedure="false">In!$E$87</definedName>
    <definedName function="false" hidden="false" name="tk_gpuhr_h100" vbProcedure="false">In!$E$93</definedName>
    <definedName function="false" hidden="false" name="tk_hold_gb200" vbProcedure="false">In!$E$81</definedName>
    <definedName function="false" hidden="false" name="tk_hold_gb300" vbProcedure="false">In!$E$82</definedName>
    <definedName function="false" hidden="false" name="tk_hold_h100" vbProcedure="false">In!$E$80</definedName>
    <definedName function="false" hidden="false" name="tk_hold_vr200" vbProcedure="false">In!$E$83</definedName>
    <definedName function="false" hidden="false" name="tk_opex_gb200" vbProcedure="false">In!$E$89</definedName>
    <definedName function="false" hidden="false" name="tk_opex_gb300" vbProcedure="false">In!$E$90</definedName>
    <definedName function="false" hidden="false" name="tk_opex_h100" vbProcedure="false">In!$E$88</definedName>
    <definedName function="false" hidden="false" name="tk_opex_vr200" vbProcedure="false">In!$E$91</definedName>
    <definedName function="false" hidden="false" name="t_roll" vbProcedure="false">In!$E$54</definedName>
    <definedName function="false" hidden="false" name="wacc" vbProcedure="false">In!$E$46</definedName>
    <definedName function="false" hidden="false" name="wc27" vbProcedure="false">In!$E$162</definedName>
    <definedName function="false" hidden="false" name="wc_f" vbProcedure="false">In!$E$163</definedName>
    <definedName function="false" hidden="false" name="w_A" vbProcedure="false">In!$E$60</definedName>
    <definedName function="false" hidden="false" name="w_B" vbProcedure="false">In!$E$61</definedName>
    <definedName function="false" hidden="false" name="w_C" vbProcedure="false">In!$E$62</definedName>
    <definedName function="false" hidden="false" name="w_dcf" vbProcedure="false">In!$E$59</definedName>
    <definedName function="false" hidden="false" name="w_dcf_hi" vbProcedure="false">In!$F$59</definedName>
    <definedName function="false" hidden="false" name="w_dcf_lo" vbProcedure="false">In!$D$59</definedName>
    <definedName function="false" hidden="false" name="w_ntm28" vbProcedure="false">In!$E$58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<sst xmlns="http://schemas.openxmlformats.org/spreadsheetml/2006/main" count="36340" uniqueCount="1637">
  <si>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 — </t>
    </r>
    <r>
      <rPr>
        <sz val="11"/>
        <color theme="1"/>
        <rFont val="Noto Sans CJK SC"/>
        <family val="2"/>
      </rPr>
      <t xml:space="preserve">命題＋官方營收分部 → 損益表（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；資料截至 </t>
    </r>
    <r>
      <rPr>
        <sz val="11"/>
        <color theme="1"/>
        <rFont val="Calibri"/>
        <family val="2"/>
        <charset val="1"/>
      </rPr>
      <t xml:space="preserve">FY26Q4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未納入）</t>
    </r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</si>
  <si>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 → Q → Thesis → Seg → PL → CF → Val → Recon → Sens → Sources</t>
    </r>
    <r>
      <rPr>
        <sz val="11"/>
        <color theme="1"/>
        <rFont val="Noto Sans CJK SC"/>
        <family val="2"/>
      </rPr>
      <t xml:space="preserve">。金額十億美元；財年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</si>
  <si>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能否同時在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（算力）與 </t>
    </r>
    <r>
      <rPr>
        <sz val="11"/>
        <color theme="1"/>
        <rFont val="Calibri"/>
        <family val="2"/>
        <charset val="1"/>
      </rPr>
      <t xml:space="preserve">Microsoft 365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應用）變現，撐住翻倍的資本支出。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</si>
  <si>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增量營業利益能否覆蓋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資本支出的資金成本（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），且自由現金流不需停止回購。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</si>
  <si>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</si>
  <si>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</si>
  <si>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</si>
  <si>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</si>
  <si>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</si>
  <si>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r>
      <rPr>
        <b val="true"/>
        <sz val="11"/>
        <rFont val="Noto Sans CJK SC"/>
        <family val="2"/>
      </rPr>
      <t xml:space="preserve">基準值（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</si>
  <si>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</si>
  <si>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mw_ext_26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rent_ext_f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</si>
  <si>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、自有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（含自用）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</si>
  <si>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越多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營收↑、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資本支出與折舊↑</t>
    </r>
  </si>
  <si>
    <r>
      <rPr>
        <sz val="11"/>
        <color theme="1"/>
        <rFont val="Calibri"/>
        <family val="2"/>
        <charset val="1"/>
      </rPr>
      <t xml:space="preserve">tk_hold_*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p_long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ls_*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</si>
  <si>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</si>
  <si>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越高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EBITDA↑</t>
    </r>
    <r>
      <rPr>
        <sz val="11"/>
        <color theme="1"/>
        <rFont val="Noto Sans CJK SC"/>
        <family val="2"/>
      </rPr>
      <t xml:space="preserve">（三情境主要差異）</t>
    </r>
  </si>
  <si>
    <r>
      <rPr>
        <sz val="11"/>
        <color theme="1"/>
        <rFont val="Calibri"/>
        <family val="2"/>
        <charset val="1"/>
      </rPr>
      <t xml:space="preserve">tk_cxit_*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tk_cxfac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self_build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capex_floor27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life_it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</si>
  <si>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</si>
  <si>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資本支出 → 折舊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營業利益↓；→ 自由現金流↓</t>
    </r>
  </si>
  <si>
    <t xml:space="preserve">Seg</t>
  </si>
  <si>
    <r>
      <rPr>
        <sz val="11"/>
        <color theme="1"/>
        <rFont val="Calibri"/>
        <family val="2"/>
        <charset val="1"/>
      </rPr>
      <t xml:space="preserve">cop_s26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cop_add_*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cop_px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</si>
  <si>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子列）</t>
    </r>
  </si>
  <si>
    <r>
      <rPr>
        <sz val="11"/>
        <color theme="1"/>
        <rFont val="Noto Sans CJK SC"/>
        <family val="2"/>
      </rPr>
      <t xml:space="preserve">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→ </t>
    </r>
    <r>
      <rPr>
        <sz val="11"/>
        <color theme="1"/>
        <rFont val="Calibri"/>
        <family val="2"/>
        <charset val="1"/>
      </rPr>
      <t xml:space="preserve">M365 cloud↑</t>
    </r>
  </si>
  <si>
    <r>
      <rPr>
        <sz val="11"/>
        <color theme="1"/>
        <rFont val="Calibri"/>
        <family val="2"/>
        <charset val="1"/>
      </rPr>
      <t xml:space="preserve">glt_*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n_conv</t>
    </r>
  </si>
  <si>
    <t xml:space="preserve">非命題產品線營收</t>
  </si>
  <si>
    <t xml:space="preserve">近一年年增收斂到長期值</t>
  </si>
  <si>
    <t xml:space="preserve">PL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</si>
  <si>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校準）、</t>
    </r>
    <r>
      <rPr>
        <sz val="11"/>
        <color theme="1"/>
        <rFont val="Calibri"/>
        <family val="2"/>
        <charset val="1"/>
      </rPr>
      <t xml:space="preserve">dm_seg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</si>
  <si>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核心利益率、分部營業利益</t>
    </r>
  </si>
  <si>
    <r>
      <rPr>
        <sz val="11"/>
        <color theme="1"/>
        <rFont val="Noto Sans CJK SC"/>
        <family val="2"/>
      </rPr>
      <t xml:space="preserve">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− AI </t>
    </r>
    <r>
      <rPr>
        <sz val="11"/>
        <color theme="1"/>
        <rFont val="Noto Sans CJK SC"/>
        <family val="2"/>
      </rPr>
      <t xml:space="preserve">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</si>
  <si>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tax_f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oie_f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</si>
  <si>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</si>
  <si>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持有成本（扣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）進評價口徑營業利益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</si>
  <si>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</si>
  <si>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fl_pay_*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bb_target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dps_*</t>
    </r>
  </si>
  <si>
    <t xml:space="preserve">自由現金流、回購、舉債、股數</t>
  </si>
  <si>
    <t xml:space="preserve">自由現金流扣股利 → 回購（不足先減）→ 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</si>
  <si>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</si>
  <si>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w_*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</si>
  <si>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）、加權目標價</t>
    </r>
  </si>
  <si>
    <r>
      <rPr>
        <sz val="11"/>
        <color theme="1"/>
        <rFont val="Calibri"/>
        <family val="2"/>
        <charset val="1"/>
      </rPr>
      <t xml:space="preserve">WACC↑ → DCF↓</t>
    </r>
    <r>
      <rPr>
        <sz val="11"/>
        <color theme="1"/>
        <rFont val="Noto Sans CJK SC"/>
        <family val="2"/>
      </rPr>
      <t xml:space="preserve">；倍數↑ → </t>
    </r>
    <r>
      <rPr>
        <sz val="11"/>
        <color theme="1"/>
        <rFont val="Calibri"/>
        <family val="2"/>
        <charset val="1"/>
      </rPr>
      <t xml:space="preserve">SOTP↑</t>
    </r>
  </si>
  <si>
    <t xml:space="preserve">結果摘要（三情境）</t>
  </si>
  <si>
    <t xml:space="preserve">項目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</si>
  <si>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</si>
  <si>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</si>
  <si>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</si>
  <si>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</si>
  <si>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</si>
  <si>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</si>
  <si>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</si>
  <si>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（財報口徑）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</si>
  <si>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</si>
  <si>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</si>
  <si>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（財報現金）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</si>
  <si>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</si>
  <si>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</si>
  <si>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</si>
  <si>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的差異：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架構（對外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收入＋其餘業務成長率線、融資瀑布）；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改為官方兩分部、八條產品線，命題只驅動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兩條子列，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資本支出經折舊進分部營業利益；評價改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。拆解見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節。</t>
    </r>
  </si>
  <si>
    <r>
      <rPr>
        <sz val="11"/>
        <color theme="1"/>
        <rFont val="Noto Sans CJK SC"/>
        <family val="2"/>
      </rPr>
      <t xml:space="preserve">已知限制：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、對外比例、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營收與座席歷史、產品線利潤公司皆未揭露（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，給區間）；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）未納入，將以 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滾入；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v21.4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</si>
  <si>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建置：</t>
    </r>
    <r>
      <rPr>
        <sz val="11"/>
        <color theme="1"/>
        <rFont val="Calibri"/>
        <family val="2"/>
        <charset val="1"/>
      </rPr>
      <t xml:space="preserve">python3 microsoft/build_microsoft.py raw.xlsx → soffice --headless --calc --convert-to xlsx → microsoft/dist/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python3 tools/company_html/build_company_html.py microsoft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</si>
  <si>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，獨立核對後）：收支關卡範圍公式誤加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（改為首年起五年並加核對列）；自用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扣股票薪酬、減融資租賃負債、扣期間股利；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腿改用模組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、負債含融資租賃；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新增速度收斂；汰換時更新在役世代。前後對照見報告「修正一」節。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</si>
  <si>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輸入（藍字＝輸入、黑字＝由其他輸入推得）。基準欄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；金額十億美元（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</si>
  <si>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PR #105</t>
    </r>
    <r>
      <rPr>
        <sz val="11"/>
        <color theme="1"/>
        <rFont val="Noto Sans CJK SC"/>
        <family val="2"/>
      </rPr>
      <t xml:space="preserve">）已核准的參數與證據，原出處見來源欄；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一手數字取自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起的事實總帳）</t>
    </r>
  </si>
  <si>
    <t xml:space="preserve">鍵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</si>
  <si>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</si>
  <si>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</si>
  <si>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</si>
  <si>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</si>
  <si>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</si>
  <si>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</si>
  <si>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</si>
  <si>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股價、股數與資本結構（評價日 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年底；目標價時點＝今日 </t>
    </r>
    <r>
      <rPr>
        <b val="true"/>
        <sz val="11"/>
        <rFont val="Cambria"/>
        <family val="0"/>
        <charset val="1"/>
      </rPr>
      <t xml:space="preserve">2026-10-27 </t>
    </r>
    <r>
      <rPr>
        <b val="true"/>
        <sz val="11"/>
        <rFont val="Noto Sans CJK SC"/>
        <family val="2"/>
      </rPr>
      <t xml:space="preserve">後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</si>
  <si>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</si>
  <si>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</si>
  <si>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</si>
  <si>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</si>
  <si>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https://stockanalysis.com/stocks/msft/statistics/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532.60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+8.09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+1.54%</t>
    </r>
    <r>
      <rPr>
        <sz val="11"/>
        <color theme="1"/>
        <rFont val="Noto Sans CJK SC"/>
        <family val="2"/>
      </rPr>
      <t xml:space="preserve">；擷取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</si>
  <si>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524.51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漲 </t>
    </r>
    <r>
      <rPr>
        <sz val="11"/>
        <color theme="1"/>
        <rFont val="Calibri"/>
        <family val="2"/>
        <charset val="1"/>
      </rPr>
      <t xml:space="preserve">8.09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532.60</t>
    </r>
    <r>
      <rPr>
        <sz val="11"/>
        <color theme="1"/>
        <rFont val="Noto Sans CJK SC"/>
        <family val="2"/>
      </rPr>
      <t xml:space="preserve">，兩來源一致</t>
    </r>
  </si>
  <si>
    <t xml:space="preserve">sh_dil26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</si>
  <si>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稀釋加權股數</t>
    </r>
  </si>
  <si>
    <t xml:space="preserve">十億股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</si>
  <si>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</si>
  <si>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每股（評價日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）的分母</t>
    </r>
  </si>
  <si>
    <t xml:space="preserve">sh_basic26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</si>
  <si>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</si>
  <si>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is.sharesBasicW.fy2026</t>
    </r>
  </si>
  <si>
    <t xml:space="preserve">—</t>
  </si>
  <si>
    <t xml:space="preserve">dil_gap</t>
  </si>
  <si>
    <t xml:space="preserve">稀釋與基本股數差</t>
  </si>
  <si>
    <t xml:space="preserve">Derived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</si>
  <si>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− 基本</t>
    </r>
  </si>
  <si>
    <t xml:space="preserve">預測期稀釋股數＝期間平均流通股數＋此差額</t>
  </si>
  <si>
    <t xml:space="preserve">sh_out26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</si>
  <si>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</si>
  <si>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sh.out.fy2026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）</t>
    </r>
  </si>
  <si>
    <t xml:space="preserve">cash_open</t>
  </si>
  <si>
    <r>
      <rPr>
        <sz val="11"/>
        <color theme="1"/>
        <rFont val="Noto Sans CJK SC"/>
        <family val="2"/>
      </rPr>
      <t xml:space="preserve">現金與短期投資（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</si>
  <si>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</si>
  <si>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bs.cashSti.fy2026</t>
    </r>
  </si>
  <si>
    <t xml:space="preserve">debt_face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</si>
  <si>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</si>
  <si>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debt.face.fy2026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</si>
  <si>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帳面值 </t>
    </r>
    <r>
      <rPr>
        <sz val="11"/>
        <color theme="1"/>
        <rFont val="Calibri"/>
        <family val="2"/>
        <charset val="1"/>
      </rPr>
      <t xml:space="preserve">40.294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與淨現金用面額</t>
    </r>
  </si>
  <si>
    <t xml:space="preserve">debt_mat_27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</si>
  <si>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</si>
  <si>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debt.maturity.fy2027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</si>
  <si>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</si>
  <si>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</si>
  <si>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debt.maturity.fy2028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</si>
  <si>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</si>
  <si>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</si>
  <si>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debt.maturity.fy2029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</si>
  <si>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</si>
  <si>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</si>
  <si>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debt.maturity.fy2030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</si>
  <si>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</si>
  <si>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</si>
  <si>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debt.maturity.fy2031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</si>
  <si>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</si>
  <si>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</t>
    </r>
  </si>
  <si>
    <t xml:space="preserve">Assumed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</si>
  <si>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｜到期表只列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以後合計 </t>
    </r>
    <r>
      <rPr>
        <sz val="11"/>
        <color theme="1"/>
        <rFont val="Calibri"/>
        <family val="2"/>
        <charset val="1"/>
      </rPr>
      <t xml:space="preserve">34.385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</si>
  <si>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t xml:space="preserve">fl_liab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</si>
  <si>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，在帳）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</si>
  <si>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lease.finLiab.fy2026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</si>
  <si>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在帳融資租賃的資產已在過去的資本支出（公司口徑）內，其本金在預測期照付（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</si>
  <si>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t xml:space="preserve">fl_rate</t>
  </si>
  <si>
    <t xml:space="preserve">融資租賃加權利率</t>
  </si>
  <si>
    <t xml:space="preserve">%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</si>
  <si>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lease.wtdRate.fin</t>
    </r>
  </si>
  <si>
    <t xml:space="preserve">fl_pay_27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</si>
  <si>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</si>
  <si>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lease.maturity.fin.fy2027</t>
    </r>
  </si>
  <si>
    <t xml:space="preserve">fl_pay_28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</si>
  <si>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</si>
  <si>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lease.maturity.fin.fy2028</t>
    </r>
  </si>
  <si>
    <t xml:space="preserve">fl_pay_29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</si>
  <si>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</si>
  <si>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lease.maturity.fin.fy2029</t>
    </r>
  </si>
  <si>
    <t xml:space="preserve">fl_pay_30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</si>
  <si>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</si>
  <si>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lease.maturity.fin.fy2030</t>
    </r>
  </si>
  <si>
    <t xml:space="preserve">fl_pay_31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</si>
  <si>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</si>
  <si>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lease.maturity.fin.fy2031</t>
    </r>
  </si>
  <si>
    <t xml:space="preserve">fl_pay_32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</si>
  <si>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</si>
  <si>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（之後合計 </t>
    </r>
    <r>
      <rPr>
        <sz val="11"/>
        <color theme="1"/>
        <rFont val="Calibri"/>
        <family val="2"/>
        <charset val="1"/>
      </rPr>
      <t xml:space="preserve">55.490 </t>
    </r>
    <r>
      <rPr>
        <sz val="11"/>
        <color theme="1"/>
        <rFont val="Noto Sans CJK SC"/>
        <family val="2"/>
      </rPr>
      <t xml:space="preserve">分多年）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</si>
  <si>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</si>
  <si>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</si>
  <si>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defaults.minCash 50</t>
    </r>
    <r>
      <rPr>
        <sz val="11"/>
        <color theme="1"/>
        <rFont val="Noto Sans CJK SC"/>
        <family val="2"/>
      </rPr>
      <t xml:space="preserve">）</t>
    </r>
  </si>
  <si>
    <t xml:space="preserve">低於此水準先停回購、再舉債</t>
  </si>
  <si>
    <t xml:space="preserve">bb_target</t>
  </si>
  <si>
    <t xml:space="preserve">回購目標（每年）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</si>
  <si>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cf.buyback.fy2026</t>
    </r>
    <r>
      <rPr>
        <sz val="11"/>
        <color theme="1"/>
        <rFont val="Noto Sans CJK SC"/>
        <family val="2"/>
      </rPr>
      <t xml:space="preserve">（含員工扣稅買回 </t>
    </r>
    <r>
      <rPr>
        <sz val="11"/>
        <color theme="1"/>
        <rFont val="Calibri"/>
        <family val="2"/>
        <charset val="1"/>
      </rPr>
      <t xml:space="preserve">5.6</t>
    </r>
    <r>
      <rPr>
        <sz val="11"/>
        <color theme="1"/>
        <rFont val="Noto Sans CJK SC"/>
        <family val="2"/>
      </rPr>
      <t xml:space="preserve">）</t>
    </r>
  </si>
  <si>
    <t xml:space="preserve">現金不足時先減回購</t>
  </si>
  <si>
    <t xml:space="preserve">bb_g</t>
  </si>
  <si>
    <t xml:space="preserve">回購價格年增（以現價起算）</t>
  </si>
  <si>
    <t xml:space="preserve">無：約等於股東權益成本扣股利率</t>
  </si>
  <si>
    <t xml:space="preserve">只影響股數</t>
  </si>
  <si>
    <t xml:space="preserve">sh_iss</t>
  </si>
  <si>
    <t xml:space="preserve">員工股票發行（每年）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</si>
  <si>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回購約 </t>
    </r>
    <r>
      <rPr>
        <sz val="11"/>
        <color theme="1"/>
        <rFont val="Calibri"/>
        <family val="2"/>
        <charset val="1"/>
      </rPr>
      <t xml:space="preserve">0.048 </t>
    </r>
    <r>
      <rPr>
        <sz val="11"/>
        <color theme="1"/>
        <rFont val="Noto Sans CJK SC"/>
        <family val="2"/>
      </rPr>
      <t xml:space="preserve">十億股（計畫 </t>
    </r>
    <r>
      <rPr>
        <sz val="11"/>
        <color theme="1"/>
        <rFont val="Calibri"/>
        <family val="2"/>
        <charset val="1"/>
      </rPr>
      <t xml:space="preserve">0.036</t>
    </r>
    <r>
      <rPr>
        <sz val="11"/>
        <color theme="1"/>
        <rFont val="Noto Sans CJK SC"/>
        <family val="2"/>
      </rPr>
      <t xml:space="preserve">＋扣稅買回 </t>
    </r>
    <r>
      <rPr>
        <sz val="11"/>
        <color theme="1"/>
        <rFont val="Calibri"/>
        <family val="2"/>
        <charset val="1"/>
      </rPr>
      <t xml:space="preserve">5.6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470 </t>
    </r>
    <r>
      <rPr>
        <sz val="11"/>
        <color theme="1"/>
        <rFont val="Noto Sans CJK SC"/>
        <family val="2"/>
      </rPr>
      <t xml:space="preserve">美元），基本加權股數 </t>
    </r>
    <r>
      <rPr>
        <sz val="11"/>
        <color theme="1"/>
        <rFont val="Calibri"/>
        <family val="2"/>
        <charset val="1"/>
      </rPr>
      <t xml:space="preserve">7.433 → 7.429 </t>
    </r>
    <r>
      <rPr>
        <sz val="11"/>
        <color theme="1"/>
        <rFont val="Noto Sans CJK SC"/>
        <family val="2"/>
      </rPr>
      <t xml:space="preserve">幾乎不變 → 發行約 </t>
    </r>
    <r>
      <rPr>
        <sz val="11"/>
        <color theme="1"/>
        <rFont val="Calibri"/>
        <family val="2"/>
        <charset val="1"/>
      </rPr>
      <t xml:space="preserve">0.045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</si>
  <si>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</si>
  <si>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dps_q0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</si>
  <si>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第一季付，舊額）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</si>
  <si>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sh.dps.fy2026</t>
    </r>
    <r>
      <rPr>
        <sz val="11"/>
        <color theme="1"/>
        <rFont val="Noto Sans CJK SC"/>
        <family val="2"/>
      </rPr>
      <t xml:space="preserve">（每季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）</t>
    </r>
  </si>
  <si>
    <t xml:space="preserve">dps_q1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</si>
  <si>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2026-09-15 </t>
    </r>
    <r>
      <rPr>
        <sz val="11"/>
        <color theme="1"/>
        <rFont val="Noto Sans CJK SC"/>
        <family val="2"/>
      </rPr>
      <t xml:space="preserve">宣告，新額）</t>
    </r>
  </si>
  <si>
    <t xml:space="preserve">Interested-party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</si>
  <si>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sh.dpsQ.fy27q1</t>
    </r>
  </si>
  <si>
    <t xml:space="preserve">dps_27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</si>
  <si>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每股股利（付現）</t>
    </r>
  </si>
  <si>
    <t xml:space="preserve">第一季付舊額、其後三季付新額</t>
  </si>
  <si>
    <t xml:space="preserve">dps_g</t>
  </si>
  <si>
    <r>
      <rPr>
        <sz val="11"/>
        <color theme="1"/>
        <rFont val="Noto Sans CJK SC"/>
        <family val="2"/>
      </rPr>
      <t xml:space="preserve">每股股利年增（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</si>
  <si>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defaults.dividend.growth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宣告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</si>
  <si>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折現率與評價參數（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CAPM </t>
    </r>
    <r>
      <rPr>
        <b val="true"/>
        <sz val="11"/>
        <rFont val="Noto Sans CJK SC"/>
        <family val="2"/>
      </rPr>
      <t xml:space="preserve">輸入；權重為 </t>
    </r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判斷</t>
    </r>
    <r>
      <rPr>
        <b val="true"/>
        <sz val="11"/>
        <rFont val="Cambria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預設，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</si>
  <si>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</si>
  <si>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</si>
  <si>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U.S. Treasury 10 </t>
    </r>
    <r>
      <rPr>
        <sz val="11"/>
        <color theme="1"/>
        <rFont val="Noto Sans CJK SC"/>
        <family val="2"/>
      </rPr>
      <t xml:space="preserve">年期殖利率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（修正一：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端統一 </t>
    </r>
    <r>
      <rPr>
        <sz val="11"/>
        <color theme="1"/>
        <rFont val="Calibri"/>
        <family val="2"/>
        <charset val="1"/>
      </rPr>
      <t xml:space="preserve">MAG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個股模型的同一輸入，與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</si>
  <si>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val.ust10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</si>
  <si>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</si>
  <si>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年月資料；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同值，推測同源，算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個）</t>
    </r>
  </si>
  <si>
    <t xml:space="preserve">x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</si>
  <si>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</si>
  <si>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：獨立來源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</si>
  <si>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</si>
  <si>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</si>
  <si>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</si>
  <si>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blume_w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</si>
  <si>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權重（其餘向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</si>
  <si>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</si>
  <si>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</si>
  <si>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（兩個獨立來源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調整後的中位數）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</si>
  <si>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1.10 → 1.067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1.1741 → 1.117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1.092</t>
    </r>
    <r>
      <rPr>
        <sz val="11"/>
        <color theme="1"/>
        <rFont val="Noto Sans CJK SC"/>
        <family val="2"/>
      </rPr>
      <t xml:space="preserve">（修正一；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初版用原始平均 </t>
    </r>
    <r>
      <rPr>
        <sz val="11"/>
        <color theme="1"/>
        <rFont val="Calibri"/>
        <family val="2"/>
        <charset val="1"/>
      </rPr>
      <t xml:space="preserve">1.137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</si>
  <si>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＝獨立核對建議區間下緣；高＝原始 </t>
    </r>
    <r>
      <rPr>
        <sz val="11"/>
        <color theme="1"/>
        <rFont val="Calibri"/>
        <family val="2"/>
        <charset val="1"/>
      </rPr>
      <t xml:space="preserve">GuruFocus</t>
    </r>
  </si>
  <si>
    <t xml:space="preserve">erp</t>
  </si>
  <si>
    <t xml:space="preserve">股權風險溢酬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</si>
  <si>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5.10</t>
    </r>
    <r>
      <rPr>
        <sz val="11"/>
        <color theme="1"/>
        <rFont val="Noto Sans CJK SC"/>
        <family val="2"/>
      </rPr>
      <t xml:space="preserve">（判斷，列敏感度）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</si>
  <si>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</si>
  <si>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t xml:space="preserve">kd_aaa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</si>
  <si>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Moody's Aaa </t>
    </r>
    <r>
      <rPr>
        <sz val="11"/>
        <color theme="1"/>
        <rFont val="Noto Sans CJK SC"/>
        <family val="2"/>
      </rPr>
      <t xml:space="preserve">公司債殖利率（長天期）</t>
    </r>
  </si>
  <si>
    <t xml:space="preserve">Analogy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</si>
  <si>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val.kd.aaa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FRED DAAA 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</si>
  <si>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指數為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年以上長債，修正一改用約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</t>
    </r>
  </si>
  <si>
    <t xml:space="preserve">kd_spread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</si>
  <si>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公司債對美債利差</t>
    </r>
  </si>
  <si>
    <t xml:space="preserve">pt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</si>
  <si>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個別債券殖利率找不到；</t>
    </r>
    <r>
      <rPr>
        <sz val="11"/>
        <color theme="1"/>
        <rFont val="Calibri"/>
        <family val="2"/>
        <charset val="1"/>
      </rPr>
      <t xml:space="preserve">AAA 10 </t>
    </r>
    <r>
      <rPr>
        <sz val="11"/>
        <color theme="1"/>
        <rFont val="Noto Sans CJK SC"/>
        <family val="2"/>
      </rPr>
      <t xml:space="preserve">年期利差歷史約 </t>
    </r>
    <r>
      <rPr>
        <sz val="11"/>
        <color theme="1"/>
        <rFont val="Calibri"/>
        <family val="2"/>
        <charset val="1"/>
      </rPr>
      <t xml:space="preserve">0.3–0.9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</si>
  <si>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</si>
  <si>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</si>
  <si>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年期公司債）</t>
    </r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</si>
  <si>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年美債）＋利差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</si>
  <si>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</si>
  <si>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</si>
  <si>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</si>
  <si>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ke</t>
  </si>
  <si>
    <r>
      <rPr>
        <sz val="11"/>
        <color theme="1"/>
        <rFont val="Noto Sans CJK SC"/>
        <family val="2"/>
      </rPr>
      <t xml:space="preserve">股東權益成本（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</si>
  <si>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β × ERP</t>
    </r>
  </si>
  <si>
    <t xml:space="preserve">wacc</t>
  </si>
  <si>
    <t xml:space="preserve">WACC</t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</si>
  <si>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ke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kd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流通股數、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＝債務面額＋在帳融資租賃負債（修正一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</si>
  <si>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10.90%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10.90%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</si>
  <si>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</si>
  <si>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</si>
  <si>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g 3%</t>
    </r>
  </si>
  <si>
    <t xml:space="preserve">Sens ±1pt</t>
  </si>
  <si>
    <t xml:space="preserve">ronic_prem</t>
  </si>
  <si>
    <r>
      <rPr>
        <sz val="11"/>
        <color theme="1"/>
        <rFont val="Noto Sans CJK SC"/>
        <family val="2"/>
      </rPr>
      <t xml:space="preserve">永續期新投資報酬 − </t>
    </r>
    <r>
      <rPr>
        <sz val="11"/>
        <color theme="1"/>
        <rFont val="Calibri"/>
        <family val="2"/>
        <charset val="1"/>
      </rPr>
      <t xml:space="preserve">WACC</t>
    </r>
  </si>
  <si>
    <t xml:space="preserve">無：永續期新投資只賺資金成本（成長不創造價值）</t>
  </si>
  <si>
    <r>
      <rPr>
        <sz val="11"/>
        <color theme="1"/>
        <rFont val="Noto Sans CJK SC"/>
        <family val="2"/>
      </rPr>
      <t xml:space="preserve">永續期自由現金流＝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新投資報酬）；替代口徑（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</si>
  <si>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base_fy</t>
  </si>
  <si>
    <t xml:space="preserve">評價日所屬會計年度（最新已申報年度）</t>
  </si>
  <si>
    <t xml:space="preserve">年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</si>
  <si>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</si>
  <si>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公式中的年數以「年度列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」計算（修正一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：不寫死）</t>
    </r>
  </si>
  <si>
    <t xml:space="preserve">mid_yr</t>
  </si>
  <si>
    <t xml:space="preserve">期中折現：年中偏移</t>
  </si>
  <si>
    <t xml:space="preserve">現金流平均發生在年中</t>
  </si>
  <si>
    <t xml:space="preserve">roll_d1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</si>
  <si>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</si>
  <si>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日期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</si>
  <si>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</t>
    </r>
  </si>
  <si>
    <t xml:space="preserve">roll_d2</t>
  </si>
  <si>
    <r>
      <rPr>
        <sz val="11"/>
        <color theme="1"/>
        <rFont val="Noto Sans CJK SC"/>
        <family val="2"/>
      </rPr>
      <t xml:space="preserve">目標價時點（今日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</si>
  <si>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工作單：目標價約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</si>
  <si>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days_yr</t>
  </si>
  <si>
    <t xml:space="preserve">每年天數</t>
  </si>
  <si>
    <t xml:space="preserve">天</t>
  </si>
  <si>
    <t xml:space="preserve">t_roll</t>
  </si>
  <si>
    <t xml:space="preserve">評價日 → 目標價時點（年）</t>
  </si>
  <si>
    <t xml:space="preserve">2026-06-30 → 2027-10-27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</si>
  <si>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推到目標價時點（已決定事項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沿用），並扣除期間股利（修正一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</si>
  <si>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roll_div_q</t>
  </si>
  <si>
    <r>
      <rPr>
        <sz val="11"/>
        <color theme="1"/>
        <rFont val="Noto Sans CJK SC"/>
        <family val="2"/>
      </rPr>
      <t xml:space="preserve">評價日到目標價時點之間、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已付的股利季數</t>
    </r>
  </si>
  <si>
    <t xml:space="preserve">季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</si>
  <si>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第一季股利約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支付，早於 </t>
    </r>
    <r>
      <rPr>
        <sz val="11"/>
        <color theme="1"/>
        <rFont val="Calibri"/>
        <family val="2"/>
        <charset val="1"/>
      </rPr>
      <t xml:space="preserve">2027-10-27</t>
    </r>
  </si>
  <si>
    <t xml:space="preserve">q_per_yr</t>
  </si>
  <si>
    <t xml:space="preserve">每年季數</t>
  </si>
  <si>
    <t xml:space="preserve">fy28_end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</si>
  <si>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</si>
  <si>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</t>
    </r>
  </si>
  <si>
    <t xml:space="preserve">w_ntm28</t>
  </si>
  <si>
    <r>
      <rPr>
        <sz val="11"/>
        <color theme="1"/>
        <rFont val="Noto Sans CJK SC"/>
        <family val="2"/>
      </rPr>
      <t xml:space="preserve">目標價時點的未來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個月中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的比重</t>
    </r>
  </si>
  <si>
    <r>
      <rPr>
        <sz val="11"/>
        <color theme="1"/>
        <rFont val="Calibri"/>
        <family val="2"/>
        <charset val="1"/>
      </rPr>
      <t xml:space="preserve">2027-10-27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0.32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</si>
  <si>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NTM EBITDA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</si>
  <si>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</si>
  <si>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</si>
  <si>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各半一致；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</si>
  <si>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</si>
  <si>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w_A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</si>
  <si>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</si>
  <si>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</si>
  <si>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t xml:space="preserve">w_B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</si>
  <si>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</si>
  <si>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w_C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</si>
  <si>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</si>
  <si>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oai_stake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</si>
  <si>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持股比例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</si>
  <si>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oai.stake.fy2026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FY2026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approximate 25%</t>
    </r>
    <r>
      <rPr>
        <sz val="11"/>
        <color theme="1"/>
        <rFont val="Noto Sans CJK SC"/>
        <family val="2"/>
      </rPr>
      <t xml:space="preserve">，經查核，最新）</t>
    </r>
  </si>
  <si>
    <r>
      <rPr>
        <sz val="11"/>
        <color theme="1"/>
        <rFont val="Calibri"/>
        <family val="2"/>
        <charset val="1"/>
      </rPr>
      <t xml:space="preserve">oai.stake.recap</t>
    </r>
    <r>
      <rPr>
        <sz val="11"/>
        <color theme="1"/>
        <rFont val="Noto Sans CJK SC"/>
        <family val="2"/>
      </rPr>
      <t xml:space="preserve">：重組時（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FY26Q1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稱其後因其他籌資稀釋降到約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。修正一維持最新查核值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27% </t>
    </r>
    <r>
      <rPr>
        <sz val="11"/>
        <color theme="1"/>
        <rFont val="Noto Sans CJK SC"/>
        <family val="2"/>
      </rPr>
      <t xml:space="preserve">列判斷替代</t>
    </r>
  </si>
  <si>
    <t xml:space="preserve">oai_val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</si>
  <si>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最近一輪投後估值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</si>
  <si>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oai.valuation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結案，募資 </t>
    </r>
    <r>
      <rPr>
        <sz val="11"/>
        <color theme="1"/>
        <rFont val="Calibri"/>
        <family val="2"/>
        <charset val="1"/>
      </rPr>
      <t xml:space="preserve">122</t>
    </r>
    <r>
      <rPr>
        <sz val="11"/>
        <color theme="1"/>
        <rFont val="Noto Sans CJK SC"/>
        <family val="2"/>
      </rPr>
      <t xml:space="preserve">）</t>
    </r>
  </si>
  <si>
    <t xml:space="preserve">新創自報估值</t>
  </si>
  <si>
    <t xml:space="preserve">liq_disc</t>
  </si>
  <si>
    <t xml:space="preserve">未上市持股流動性折價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</si>
  <si>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20%</t>
    </r>
  </si>
  <si>
    <t xml:space="preserve">oai_v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</si>
  <si>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持股價值（扣折價）</t>
    </r>
  </si>
  <si>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折價）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</si>
  <si>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持股比例未揭露 → 不估值（資料缺口）</t>
    </r>
  </si>
  <si>
    <t xml:space="preserve">m_ai</t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</si>
  <si>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</si>
  <si>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valuation.evEbitda 6×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</si>
  <si>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基礎設施租賃同業（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不具意義、</t>
    </r>
    <r>
      <rPr>
        <sz val="11"/>
        <color theme="1"/>
        <rFont val="Calibri"/>
        <family val="2"/>
        <charset val="1"/>
      </rPr>
      <t xml:space="preserve">ORCL NTM 9.5×</t>
    </r>
    <r>
      <rPr>
        <sz val="11"/>
        <color theme="1"/>
        <rFont val="Noto Sans CJK SC"/>
        <family val="2"/>
      </rPr>
      <t xml:space="preserve">）口徑不一，沿用 </t>
    </r>
    <r>
      <rPr>
        <sz val="11"/>
        <color theme="1"/>
        <rFont val="Calibri"/>
        <family val="2"/>
        <charset val="1"/>
      </rPr>
      <t xml:space="preserve">v0.2.2</t>
    </r>
  </si>
  <si>
    <t xml:space="preserve">m_cloud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</si>
  <si>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雲端倍數（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</si>
  <si>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microsoft/data/peers_cloud_20261008.json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</si>
  <si>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</t>
    </r>
  </si>
  <si>
    <t xml:space="preserve">m_sw</t>
  </si>
  <si>
    <r>
      <rPr>
        <sz val="11"/>
        <color theme="1"/>
        <rFont val="Noto Sans CJK SC"/>
        <family val="2"/>
      </rPr>
      <t xml:space="preserve">企業軟體倍數（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、授權、產業、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</si>
  <si>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val.peer.sw.*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 9.54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 15.02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 10.80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ADBE 6.60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 20.65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</t>
    </r>
  </si>
  <si>
    <t xml:space="preserve">2026-10-07</t>
  </si>
  <si>
    <t xml:space="preserve">m_ads</t>
  </si>
  <si>
    <r>
      <rPr>
        <sz val="11"/>
        <color theme="1"/>
        <rFont val="Noto Sans CJK SC"/>
        <family val="2"/>
      </rPr>
      <t xml:space="preserve">數位廣告倍數（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</si>
  <si>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microsoft/data/peers_ads_20261009.json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）</t>
    </r>
  </si>
  <si>
    <t xml:space="preserve">m_game</t>
  </si>
  <si>
    <r>
      <rPr>
        <sz val="11"/>
        <color theme="1"/>
        <rFont val="Noto Sans CJK SC"/>
        <family val="2"/>
      </rPr>
      <t xml:space="preserve">遊戲倍數（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</si>
  <si>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val.peer.game.*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TTWO 50.9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NTDOY 12.63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NTES 8.23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找不到）</t>
    </r>
  </si>
  <si>
    <t xml:space="preserve">2026-10-08</t>
  </si>
  <si>
    <t xml:space="preserve">m_pc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</si>
  <si>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／裝置倍數（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</si>
  <si>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val.peer.pc.*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HPQ 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 22.1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 14.47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</si>
  <si>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m_own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</si>
  <si>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</si>
  <si>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val.msft.ownNtm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</si>
  <si>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只用於判斷預設替代（非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各線改用自身倍數）</t>
    </r>
  </si>
  <si>
    <t xml:space="preserve">al_m365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</si>
  <si>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</si>
  <si>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alloc.oiMargin</t>
    </r>
    <r>
      <rPr>
        <sz val="11"/>
        <color theme="1"/>
        <rFont val="Noto Sans CJK SC"/>
        <family val="2"/>
      </rPr>
      <t xml:space="preserve">（公司不揭露產品線利潤）；沿用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</si>
  <si>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 </t>
    </r>
    <r>
      <rPr>
        <sz val="11"/>
        <color theme="1"/>
        <rFont val="Calibri"/>
        <family val="2"/>
        <charset val="1"/>
      </rPr>
      <t xml:space="preserve">PBP </t>
    </r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FY2026 59.9% </t>
    </r>
    <r>
      <rPr>
        <sz val="11"/>
        <color theme="1"/>
        <rFont val="Noto Sans CJK SC"/>
        <family val="2"/>
      </rPr>
      <t xml:space="preserve">類比；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</si>
  <si>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al_lic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</si>
  <si>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</si>
  <si>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地端授權毛利高、銷售費用低；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</si>
  <si>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al_ind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</si>
  <si>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</si>
  <si>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Dynamics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</si>
  <si>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al_fro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</si>
  <si>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</si>
  <si>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含支援服務；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</si>
  <si>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al_srch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</si>
  <si>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</si>
  <si>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</si>
  <si>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r>
      <rPr>
        <b val="true"/>
        <sz val="11"/>
        <rFont val="Cambria"/>
        <family val="0"/>
        <charset val="1"/>
      </rPr>
      <t xml:space="preserve">C. Tokenomics v21.4 </t>
    </r>
    <r>
      <rPr>
        <b val="true"/>
        <sz val="11"/>
        <rFont val="Noto Sans CJK SC"/>
        <family val="2"/>
      </rPr>
      <t xml:space="preserve">快照（</t>
    </r>
    <r>
      <rPr>
        <b val="true"/>
        <sz val="11"/>
        <rFont val="Cambria"/>
        <family val="0"/>
        <charset val="1"/>
      </rPr>
      <t xml:space="preserve">microsoft/data/tokenomics_snapshot_v21.4.json</t>
    </r>
    <r>
      <rPr>
        <b val="true"/>
        <sz val="11"/>
        <rFont val="Noto Sans CJK SC"/>
        <family val="2"/>
      </rPr>
      <t xml:space="preserve">；基準成本欄；每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關鍵電力；沿用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，本版不升級）</t>
    </r>
  </si>
  <si>
    <t xml:space="preserve">tk_hold_h100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</si>
  <si>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</si>
  <si>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</si>
  <si>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Tokenomics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</t>
    </r>
  </si>
  <si>
    <t xml:space="preserve">基準成本欄</t>
  </si>
  <si>
    <t xml:space="preserve">tk_hold_gb200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</si>
  <si>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</si>
  <si>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tk_hold_gb300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</si>
  <si>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</si>
  <si>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tk_hold_vr200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</si>
  <si>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</si>
  <si>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tk_cxit_h100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</si>
  <si>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</si>
  <si>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</si>
  <si>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tk_cxit_gb200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</si>
  <si>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</si>
  <si>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tk_cxit_gb300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</si>
  <si>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</si>
  <si>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tk_cxit_vr200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</si>
  <si>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</si>
  <si>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tk_opex_h100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</si>
  <si>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</si>
  <si>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電力、維護、人員、稅保</t>
  </si>
  <si>
    <t xml:space="preserve">tk_opex_gb200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</si>
  <si>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</si>
  <si>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tk_opex_gb300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</si>
  <si>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</si>
  <si>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tk_opex_vr200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</si>
  <si>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</si>
  <si>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tk_cxfac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</si>
  <si>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</si>
  <si>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各世代相同</t>
  </si>
  <si>
    <t xml:space="preserve">tk_gpuhr_h100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</si>
  <si>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小時打平價）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</si>
  <si>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</si>
  <si>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現貨的分母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</si>
  <si>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</si>
  <si>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折舊年限（</t>
    </r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</si>
  <si>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伺服器與網路設備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pl.usefulLife.servers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</si>
  <si>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±1 </t>
    </r>
    <r>
      <rPr>
        <sz val="11"/>
        <color theme="1"/>
        <rFont val="Noto Sans CJK SC"/>
        <family val="2"/>
      </rPr>
      <t xml:space="preserve">年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</si>
  <si>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</si>
  <si>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</si>
  <si>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IF_CapexFacility ÷ IF_DeprFac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</si>
  <si>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起建物 </t>
    </r>
    <r>
      <rPr>
        <sz val="11"/>
        <color theme="1"/>
        <rFont val="Calibri"/>
        <family val="2"/>
        <charset val="1"/>
      </rPr>
      <t xml:space="preserve">15 → 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guid.usefulLife</t>
    </r>
    <r>
      <rPr>
        <sz val="11"/>
        <color theme="1"/>
        <rFont val="Noto Sans CJK SC"/>
        <family val="2"/>
      </rPr>
      <t xml:space="preserve">）</t>
    </r>
  </si>
  <si>
    <t xml:space="preserve">fac_wacc</t>
  </si>
  <si>
    <r>
      <rPr>
        <sz val="11"/>
        <color theme="1"/>
        <rFont val="Noto Sans CJK SC"/>
        <family val="2"/>
      </rPr>
      <t xml:space="preserve">機房租金年金折現率（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經濟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</si>
  <si>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tokenomics.holdEconWacc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Inputs!E28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</si>
  <si>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同一折現率</t>
    </r>
  </si>
  <si>
    <t xml:space="preserve">fac_rent</t>
  </si>
  <si>
    <r>
      <rPr>
        <sz val="11"/>
        <color theme="1"/>
        <rFont val="Noto Sans CJK SC"/>
        <family val="2"/>
      </rPr>
      <t xml:space="preserve">租用機房每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年租金（資本回收年金）</t>
    </r>
  </si>
  <si>
    <r>
      <rPr>
        <sz val="11"/>
        <color theme="1"/>
        <rFont val="Calibri"/>
        <family val="2"/>
        <charset val="1"/>
      </rPr>
      <t xml:space="preserve">IF_CapexFacility × </t>
    </r>
    <r>
      <rPr>
        <sz val="11"/>
        <color theme="1"/>
        <rFont val="Noto Sans CJK SC"/>
        <family val="2"/>
      </rPr>
      <t xml:space="preserve">年金因子（</t>
    </r>
    <r>
      <rPr>
        <sz val="11"/>
        <color theme="1"/>
        <rFont val="Calibri"/>
        <family val="2"/>
        <charset val="1"/>
      </rPr>
      <t xml:space="preserve">fac_wacc</t>
    </r>
    <r>
      <rPr>
        <sz val="11"/>
        <color theme="1"/>
        <rFont val="Noto Sans CJK SC"/>
        <family val="2"/>
      </rPr>
      <t xml:space="preserve">、機房年限）</t>
    </r>
  </si>
  <si>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：租用機房的租金計入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</si>
  <si>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；不以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營收、</t>
    </r>
    <r>
      <rPr>
        <b val="true"/>
        <sz val="11"/>
        <rFont val="Cambria"/>
        <family val="0"/>
        <charset val="1"/>
      </rPr>
      <t xml:space="preserve">RPO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run-rate </t>
    </r>
    <r>
      <rPr>
        <b val="true"/>
        <sz val="11"/>
        <rFont val="Noto Sans CJK SC"/>
        <family val="2"/>
      </rPr>
      <t xml:space="preserve">反推）</t>
    </r>
  </si>
  <si>
    <t xml:space="preserve">mw_ext_24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</si>
  <si>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年底，含租用）</t>
    </r>
  </si>
  <si>
    <t xml:space="preserve">MW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</si>
  <si>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v0.2.2 defaults.mwYearEnd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</si>
  <si>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（不存在）</t>
    </r>
  </si>
  <si>
    <t xml:space="preserve">mw_ext_25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</si>
  <si>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年底，含租用）</t>
    </r>
  </si>
  <si>
    <t xml:space="preserve">mw_ext_26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</si>
  <si>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年底，含租用）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</si>
  <si>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）｜三法交叉：自有在役 </t>
    </r>
    <r>
      <rPr>
        <sz val="11"/>
        <color theme="1"/>
        <rFont val="Calibri"/>
        <family val="2"/>
        <charset val="1"/>
      </rPr>
      <t xml:space="preserve">AI 4,500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1,100 ×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split.extMW</t>
    </r>
    <r>
      <rPr>
        <sz val="11"/>
        <color theme="1"/>
        <rFont val="Noto Sans CJK SC"/>
        <family val="2"/>
      </rPr>
      <t xml:space="preserve">）</t>
    </r>
  </si>
  <si>
    <t xml:space="preserve">rent_ext_24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</si>
  <si>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</si>
  <si>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CoreWeave 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62%–67%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nc.crwv.*</t>
    </r>
    <r>
      <rPr>
        <sz val="11"/>
        <color theme="1"/>
        <rFont val="Noto Sans CJK SC"/>
        <family val="2"/>
      </rPr>
      <t xml:space="preserve">）推估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</si>
  <si>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</si>
  <si>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t xml:space="preserve">rent_ext_25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</si>
  <si>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</si>
  <si>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t xml:space="preserve">rent_ext_26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</si>
  <si>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</si>
  <si>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capexModel.rentedExt</t>
    </r>
    <r>
      <rPr>
        <sz val="11"/>
        <color theme="1"/>
        <rFont val="Noto Sans CJK SC"/>
        <family val="2"/>
      </rPr>
      <t xml:space="preserve">：期初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1,100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</si>
  <si>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rent_ext_f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</si>
  <si>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</si>
  <si>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rentedExt.path</t>
    </r>
    <r>
      <rPr>
        <sz val="11"/>
        <color theme="1"/>
        <rFont val="Noto Sans CJK SC"/>
        <family val="2"/>
      </rPr>
      <t xml:space="preserve">：加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205.5</t>
    </r>
    <r>
      <rPr>
        <sz val="11"/>
        <color theme="1"/>
        <rFont val="Noto Sans CJK SC"/>
        <family val="2"/>
      </rPr>
      <t xml:space="preserve">；到期以相同條件續約）</t>
    </r>
  </si>
  <si>
    <t xml:space="preserve">pace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</si>
  <si>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每年新增（三情境相同）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</si>
  <si>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</si>
  <si>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204.2 </t>
    </r>
    <r>
      <rPr>
        <sz val="11"/>
        <color theme="1"/>
        <rFont val="Noto Sans CJK SC"/>
        <family val="2"/>
      </rPr>
      <t xml:space="preserve">解出，</t>
    </r>
    <r>
      <rPr>
        <sz val="11"/>
        <color theme="1"/>
        <rFont val="Calibri"/>
        <family val="2"/>
        <charset val="1"/>
      </rPr>
      <t xml:space="preserve">scripts/calib_pace.js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</si>
  <si>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工作單：情境差異集中在命題的變現驅動；替代（保守＝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</si>
  <si>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pace_y0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</si>
  <si>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新增速度開始收斂的年度（此年後逐年線性收斂）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</si>
  <si>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之後逐年收斂，終值不得落在建置高峰</t>
    </r>
  </si>
  <si>
    <t xml:space="preserve">pace_y1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</si>
  <si>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新增速度收斂完成的年度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</si>
  <si>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一致的增量（＝</t>
    </r>
    <r>
      <rPr>
        <sz val="11"/>
        <color theme="1"/>
        <rFont val="Calibri"/>
        <family val="2"/>
        <charset val="1"/>
      </rPr>
      <t xml:space="preserve">g_tv × FY2029 </t>
    </r>
    <r>
      <rPr>
        <sz val="11"/>
        <color theme="1"/>
        <rFont val="Noto Sans CJK SC"/>
        <family val="2"/>
      </rPr>
      <t xml:space="preserve">年底在役對外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</si>
  <si>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汰換另計</t>
  </si>
  <si>
    <t xml:space="preserve">k_ramp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</si>
  <si>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由基準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移到情境值的年數</t>
    </r>
  </si>
  <si>
    <t xml:space="preserve">無：合約重新定價需時</t>
  </si>
  <si>
    <t xml:space="preserve">pace_epoch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</si>
  <si>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可辨識站點速度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</si>
  <si>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scenarios.mwPath.pace.low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Fairwater Wisconsin 369 → 2,263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</si>
  <si>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cap_epoch</t>
    </r>
  </si>
  <si>
    <t xml:space="preserve">cap_epoch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</si>
  <si>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可辨識站點上限</t>
    </r>
  </si>
  <si>
    <t xml:space="preserve">ext_sh</t>
  </si>
  <si>
    <r>
      <rPr>
        <sz val="11"/>
        <color theme="1"/>
        <rFont val="Noto Sans CJK SC"/>
        <family val="2"/>
      </rPr>
      <t xml:space="preserve">對外比例（對外 </t>
    </r>
    <r>
      <rPr>
        <sz val="11"/>
        <color theme="1"/>
        <rFont val="Calibri"/>
        <family val="2"/>
        <charset val="1"/>
      </rPr>
      <t xml:space="preserve">AI MW ÷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</si>
  <si>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：公司無揭露，最大不確定）</t>
    </r>
  </si>
  <si>
    <r>
      <rPr>
        <sz val="11"/>
        <color theme="1"/>
        <rFont val="Calibri"/>
        <family val="2"/>
        <charset val="1"/>
      </rPr>
      <t xml:space="preserve">Sens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</si>
  <si>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t xml:space="preserve">self_build</t>
  </si>
  <si>
    <t xml:space="preserve">機房自建比例（自建＋融資租賃）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</si>
  <si>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capexModel.selfBuild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</si>
  <si>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其餘為營業租賃：不計資本支出，計租金（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</si>
  <si>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t xml:space="preserve">mix_h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</si>
  <si>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</si>
  <si>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mw.genMix.open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Hopper 15–30%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35–55%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20–40%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</si>
  <si>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以前各年同此占比</t>
    </r>
  </si>
  <si>
    <t xml:space="preserve">mix_g2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</si>
  <si>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</si>
  <si>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mix_g3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</si>
  <si>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</si>
  <si>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t xml:space="preserve">a_g3_27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</si>
  <si>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）占比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</si>
  <si>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chips.mixAdds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10%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</si>
  <si>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只登錄不切換）</t>
    </r>
  </si>
  <si>
    <t xml:space="preserve">a_g3_28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</si>
  <si>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）占比 </t>
    </r>
    <r>
      <rPr>
        <sz val="11"/>
        <color theme="1"/>
        <rFont val="Calibri"/>
        <family val="2"/>
        <charset val="1"/>
      </rPr>
      <t xml:space="preserve">FY2028</t>
    </r>
  </si>
  <si>
    <t xml:space="preserve">a_g3_29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</si>
  <si>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）占比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起同）</t>
    </r>
  </si>
  <si>
    <t xml:space="preserve">cxit_open</t>
  </si>
  <si>
    <r>
      <rPr>
        <sz val="11"/>
        <color theme="1"/>
        <rFont val="Noto Sans CJK SC"/>
        <family val="2"/>
      </rPr>
      <t xml:space="preserve">期初世代加權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</si>
  <si>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期初占比 </t>
    </r>
    <r>
      <rPr>
        <sz val="11"/>
        <color theme="1"/>
        <rFont val="Calibri"/>
        <family val="2"/>
        <charset val="1"/>
      </rPr>
      <t xml:space="preserve">× IF_CapexIT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</si>
  <si>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資本支出估計與折舊用</t>
    </r>
  </si>
  <si>
    <t xml:space="preserve">p_long</t>
  </si>
  <si>
    <r>
      <rPr>
        <sz val="11"/>
        <color theme="1"/>
        <rFont val="Noto Sans CJK SC"/>
        <family val="2"/>
      </rPr>
      <t xml:space="preserve">長約證據價格：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</si>
  <si>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lc.iren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TCV 9,700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</si>
  <si>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付給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的買價，代理長約賣價</t>
    </r>
  </si>
  <si>
    <t xml:space="preserve">p_spot</t>
  </si>
  <si>
    <r>
      <rPr>
        <sz val="11"/>
        <color theme="1"/>
        <rFont val="Noto Sans CJK SC"/>
        <family val="2"/>
      </rPr>
      <t xml:space="preserve">現貨證據價格：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</si>
  <si>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spot.h100.index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</si>
  <si>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Azure H100 </t>
    </r>
    <r>
      <rPr>
        <sz val="11"/>
        <color theme="1"/>
        <rFont val="Noto Sans CJK SC"/>
        <family val="2"/>
      </rPr>
      <t xml:space="preserve">隨需牌價 </t>
    </r>
    <r>
      <rPr>
        <sz val="11"/>
        <color theme="1"/>
        <rFont val="Calibri"/>
        <family val="2"/>
        <charset val="1"/>
      </rPr>
      <t xml:space="preserve">12.29</t>
    </r>
    <r>
      <rPr>
        <sz val="11"/>
        <color theme="1"/>
        <rFont val="Noto Sans CJK SC"/>
        <family val="2"/>
      </rPr>
      <t xml:space="preserve">（只作上限）</t>
    </r>
  </si>
  <si>
    <t xml:space="preserve">k_long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</si>
  <si>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</si>
  <si>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kspec </t>
    </r>
    <r>
      <rPr>
        <sz val="11"/>
        <color theme="1"/>
        <rFont val="Noto Sans CJK SC"/>
        <family val="2"/>
      </rPr>
      <t xml:space="preserve">規格）</t>
    </r>
  </si>
  <si>
    <t xml:space="preserve">v0.2.2 0.891</t>
  </si>
  <si>
    <t xml:space="preserve">p_long_lo</t>
  </si>
  <si>
    <r>
      <rPr>
        <sz val="11"/>
        <color theme="1"/>
        <rFont val="Noto Sans CJK SC"/>
        <family val="2"/>
      </rPr>
      <t xml:space="preserve">長約低端價格（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判斷倍數 </t>
    </r>
    <r>
      <rPr>
        <sz val="11"/>
        <color theme="1"/>
        <rFont val="Calibri"/>
        <family val="2"/>
        <charset val="1"/>
      </rPr>
      <t xml:space="preserve">0.45 × 12.762 </t>
    </r>
    <r>
      <rPr>
        <sz val="11"/>
        <color theme="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</si>
  <si>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long.low</t>
    </r>
    <r>
      <rPr>
        <sz val="11"/>
        <color theme="1"/>
        <rFont val="Noto Sans CJK SC"/>
        <family val="2"/>
      </rPr>
      <t xml:space="preserve">：非觀察價格）</t>
    </r>
  </si>
  <si>
    <t xml:space="preserve">只用於判斷預設替代</t>
  </si>
  <si>
    <t xml:space="preserve">k_long_lo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</si>
  <si>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長約低端</t>
    </r>
  </si>
  <si>
    <r>
      <rPr>
        <sz val="11"/>
        <color theme="1"/>
        <rFont val="Noto Sans CJK SC"/>
        <family val="2"/>
      </rPr>
      <t xml:space="preserve">長約低端價格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</si>
  <si>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t xml:space="preserve">v0.2.2 0.470</t>
  </si>
  <si>
    <t xml:space="preserve">k_spot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</si>
  <si>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</si>
  <si>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</si>
  <si>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v0.2.2 1.828</t>
  </si>
  <si>
    <t xml:space="preserve">ls_A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</si>
  <si>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</si>
  <si>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＋現貨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高端口徑）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</si>
  <si>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的價格軸差異是本版主要情境軸</t>
    </r>
  </si>
  <si>
    <t xml:space="preserve">ls_B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</si>
  <si>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</si>
  <si>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longShare 70%</t>
    </r>
  </si>
  <si>
    <t xml:space="preserve">ls_C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</si>
  <si>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</si>
  <si>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全長約（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低端口徑）</t>
    </r>
  </si>
  <si>
    <t xml:space="preserve">k_A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</si>
  <si>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</si>
  <si>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長約占比）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</si>
  <si>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 1.172</t>
    </r>
  </si>
  <si>
    <t xml:space="preserve">k_B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</si>
  <si>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</si>
  <si>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k_C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</si>
  <si>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</si>
  <si>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chip_f</t>
  </si>
  <si>
    <r>
      <rPr>
        <sz val="11"/>
        <color theme="1"/>
        <rFont val="Noto Sans CJK SC"/>
        <family val="2"/>
      </rPr>
      <t xml:space="preserve">自研晶片係數（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計）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</si>
  <si>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持有成本比 </t>
    </r>
    <r>
      <rPr>
        <sz val="11"/>
        <color theme="1"/>
        <rFont val="Calibri"/>
        <family val="2"/>
        <charset val="1"/>
      </rPr>
      <t xml:space="preserve">0.4–0.6 </t>
    </r>
    <r>
      <rPr>
        <sz val="11"/>
        <color theme="1"/>
        <rFont val="Noto Sans CJK SC"/>
        <family val="2"/>
      </rPr>
      <t xml:space="preserve">只登錄）</t>
    </r>
  </si>
  <si>
    <t xml:space="preserve">rent_mw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</si>
  <si>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年租金（全額）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</si>
  <si>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）（已揭露合約全額年租金 </t>
    </r>
    <r>
      <rPr>
        <sz val="11"/>
        <color theme="1"/>
        <rFont val="Calibri"/>
        <family val="2"/>
        <charset val="1"/>
      </rPr>
      <t xml:space="preserve">13.96 ÷ 1,571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</si>
  <si>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不另計營運成本</t>
    </r>
  </si>
  <si>
    <t xml:space="preserve">ai_net_open</t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</si>
  <si>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毛額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</si>
  <si>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capexModel.aiNetShare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</si>
  <si>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的期初投入資本</t>
    </r>
  </si>
  <si>
    <t xml:space="preserve">capex_floor27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</si>
  <si>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資本支出下限（公司口徑，含融資租賃）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</si>
  <si>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capex.fy27.derived</t>
    </r>
    <r>
      <rPr>
        <sz val="11"/>
        <color theme="1"/>
        <rFont val="Noto Sans CJK SC"/>
        <family val="2"/>
      </rPr>
      <t xml:space="preserve">：曆年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175 −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31.9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41.0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102.1</t>
    </r>
    <r>
      <rPr>
        <sz val="11"/>
        <color theme="1"/>
        <rFont val="Noto Sans CJK SC"/>
        <family val="2"/>
      </rPr>
      <t xml:space="preserve">，下半年＝上半年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</si>
  <si>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&gt;50 </t>
    </r>
    <r>
      <rPr>
        <sz val="11"/>
        <color theme="1"/>
        <rFont val="Noto Sans CJK SC"/>
        <family val="2"/>
      </rPr>
      <t xml:space="preserve">吻合；共識 </t>
    </r>
    <r>
      <rPr>
        <sz val="11"/>
        <color theme="1"/>
        <rFont val="Calibri"/>
        <family val="2"/>
        <charset val="1"/>
      </rPr>
      <t xml:space="preserve">192.8</t>
    </r>
    <r>
      <rPr>
        <sz val="11"/>
        <color theme="1"/>
        <rFont val="Noto Sans CJK SC"/>
        <family val="2"/>
      </rPr>
      <t xml:space="preserve">（推定現金口徑）</t>
    </r>
  </si>
  <si>
    <r>
      <rPr>
        <b val="true"/>
        <sz val="11"/>
        <rFont val="Cambria"/>
        <family val="0"/>
        <charset val="1"/>
      </rPr>
      <t xml:space="preserve">E. Microsoft 365 cloud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（命題子列：付費座席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每座席月費）</t>
    </r>
  </si>
  <si>
    <t xml:space="preserve">cop_s24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</si>
  <si>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</si>
  <si>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t xml:space="preserve">百萬席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</si>
  <si>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Copilot 2023-11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年底座席未揭露</t>
    </r>
  </si>
  <si>
    <t xml:space="preserve">cop_s25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</si>
  <si>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</si>
  <si>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年底座席未揭露（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</si>
  <si>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cop_s26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</si>
  <si>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</si>
  <si>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call.copilotSeats.fy26q4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百萬席；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</si>
  <si>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cop_px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</si>
  <si>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每座席月費（實收）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</si>
  <si>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／月</t>
    </r>
  </si>
  <si>
    <r>
      <rPr>
        <sz val="11"/>
        <color theme="1"/>
        <rFont val="Noto Sans CJK SC"/>
        <family val="2"/>
      </rPr>
      <t xml:space="preserve">無：牌價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美元／月，大客戶折扣未揭露</t>
    </r>
  </si>
  <si>
    <r>
      <rPr>
        <sz val="11"/>
        <color theme="1"/>
        <rFont val="Calibri"/>
        <family val="2"/>
        <charset val="1"/>
      </rPr>
      <t xml:space="preserve">Sens 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</si>
  <si>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t xml:space="preserve">cop_add_A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</si>
  <si>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</si>
  <si>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淨增約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5 → 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起點）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</si>
  <si>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</si>
  <si>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t xml:space="preserve">cop_add_B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</si>
  <si>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</si>
  <si>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cop_add_C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</si>
  <si>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</si>
  <si>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cop_tail</t>
  </si>
  <si>
    <r>
      <rPr>
        <sz val="11"/>
        <color theme="1"/>
        <rFont val="Calibri"/>
        <family val="2"/>
        <charset val="1"/>
      </rPr>
      <t xml:space="preserve">Copilot FY2030 </t>
    </r>
    <r>
      <rPr>
        <sz val="11"/>
        <color theme="1"/>
        <rFont val="Noto Sans CJK SC"/>
        <family val="2"/>
      </rPr>
      <t xml:space="preserve">起淨增相對前期的比例</t>
    </r>
  </si>
  <si>
    <t xml:space="preserve">無：滲透率上升後放緩</t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</si>
  <si>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</si>
  <si>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</si>
  <si>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t xml:space="preserve">代碼</t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</si>
  <si>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端預設：讀法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為主值、讀法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為敏感度；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待決）</t>
    </r>
  </si>
  <si>
    <r>
      <rPr>
        <sz val="11"/>
        <color theme="1"/>
        <rFont val="Noto Sans CJK SC"/>
        <family val="2"/>
      </rPr>
      <t xml:space="preserve">影子效益＝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自用在役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：扣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已計的部分，避免重複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</si>
  <si>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產品線成長路徑：近一年年增（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8-K </t>
    </r>
    <r>
      <rPr>
        <b val="true"/>
        <sz val="11"/>
        <rFont val="Noto Sans CJK SC"/>
        <family val="2"/>
      </rPr>
      <t xml:space="preserve">重編口徑）線性收斂到長期值（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到達）</t>
    </r>
  </si>
  <si>
    <t xml:space="preserve">n_conv</t>
  </si>
  <si>
    <t xml:space="preserve">收斂年數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</si>
  <si>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v2 DCF </t>
    </r>
    <r>
      <rPr>
        <sz val="11"/>
        <color theme="1"/>
        <rFont val="Noto Sans CJK SC"/>
        <family val="2"/>
      </rPr>
      <t xml:space="preserve">明確期（到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）一致</t>
    </r>
  </si>
  <si>
    <t xml:space="preserve">glt_azo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</si>
  <si>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</si>
  <si>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azureNonAi gLT 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</si>
  <si>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三情境相同（非命題業務）；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用低／高</t>
    </r>
  </si>
  <si>
    <t xml:space="preserve">glt_m365b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</si>
  <si>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</si>
  <si>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M365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Copilot 10%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後取 </t>
    </r>
    <r>
      <rPr>
        <sz val="11"/>
        <color theme="1"/>
        <rFont val="Calibri"/>
        <family val="2"/>
        <charset val="1"/>
      </rPr>
      <t xml:space="preserve">7%</t>
    </r>
  </si>
  <si>
    <t xml:space="preserve">glt_lic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</si>
  <si>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Productivity and server licensing</t>
    </r>
  </si>
  <si>
    <t xml:space="preserve">glt_ind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</si>
  <si>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Industry solutions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</si>
  <si>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indFrontier 7%</t>
    </r>
    <r>
      <rPr>
        <sz val="11"/>
        <color theme="1"/>
        <rFont val="Noto Sans CJK SC"/>
        <family val="2"/>
      </rPr>
      <t xml:space="preserve">）</t>
    </r>
  </si>
  <si>
    <t xml:space="preserve">glt_fro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</si>
  <si>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Frontier and support services</t>
    </r>
  </si>
  <si>
    <t xml:space="preserve">glt_srch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</si>
  <si>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</si>
  <si>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glt_xbox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</si>
  <si>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</si>
  <si>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devGaming 2%</t>
    </r>
    <r>
      <rPr>
        <sz val="11"/>
        <color theme="1"/>
        <rFont val="Noto Sans CJK SC"/>
        <family val="2"/>
      </rPr>
      <t xml:space="preserve">）</t>
    </r>
  </si>
  <si>
    <t xml:space="preserve">glt_win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</si>
  <si>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</si>
  <si>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損益、現金與非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</t>
    </r>
  </si>
  <si>
    <t xml:space="preserve">dm_seg</t>
  </si>
  <si>
    <r>
      <rPr>
        <sz val="11"/>
        <color theme="1"/>
        <rFont val="Noto Sans CJK SC"/>
        <family val="2"/>
      </rPr>
      <t xml:space="preserve">分部核心利益率調整（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</si>
  <si>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</si>
  <si>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加在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</t>
    </r>
  </si>
  <si>
    <t xml:space="preserve">oie_f</t>
  </si>
  <si>
    <t xml:space="preserve">業外收支（不含持股評價損益；每年）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</si>
  <si>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guid.fy27q1.oie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（每季）</t>
    </r>
  </si>
  <si>
    <r>
      <rPr>
        <sz val="11"/>
        <color theme="1"/>
        <rFont val="Noto Sans CJK SC"/>
        <family val="2"/>
      </rPr>
      <t xml:space="preserve">持股評價損益（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權益法、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）預測期設 </t>
    </r>
    <r>
      <rPr>
        <sz val="11"/>
        <color theme="1"/>
        <rFont val="Calibri"/>
        <family val="2"/>
        <charset val="1"/>
      </rPr>
      <t xml:space="preserve">0</t>
    </r>
  </si>
  <si>
    <t xml:space="preserve">tax_f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</si>
  <si>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</si>
  <si>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</si>
  <si>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FY2026 19.4%</t>
  </si>
  <si>
    <t xml:space="preserve">sbc_r</t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</si>
  <si>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</si>
  <si>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</si>
  <si>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wc27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</si>
  <si>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營運資金變動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</si>
  <si>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cf.wc.total.fy2026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：首期＝上一年度實績）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</si>
  <si>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起見 </t>
    </r>
    <r>
      <rPr>
        <sz val="11"/>
        <color theme="1"/>
        <rFont val="Calibri"/>
        <family val="2"/>
        <charset val="1"/>
      </rPr>
      <t xml:space="preserve">wc_f</t>
    </r>
  </si>
  <si>
    <t xml:space="preserve">wc_f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</si>
  <si>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起營運資金變動（每年）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</si>
  <si>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wcPctOfRevGrowth 0</t>
    </r>
    <r>
      <rPr>
        <sz val="11"/>
        <color theme="1"/>
        <rFont val="Noto Sans CJK SC"/>
        <family val="2"/>
      </rPr>
      <t xml:space="preserve">）</t>
    </r>
  </si>
  <si>
    <t xml:space="preserve">life_nonai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</si>
  <si>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資產折舊年限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</si>
  <si>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</si>
  <si>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折舊＝前期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當期非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</si>
  <si>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cx_azo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</si>
  <si>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</si>
  <si>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legacyBiz.lines.cx</t>
    </r>
    <r>
      <rPr>
        <sz val="11"/>
        <color theme="1"/>
        <rFont val="Noto Sans CJK SC"/>
        <family val="2"/>
      </rPr>
      <t xml:space="preserve">）</t>
    </r>
  </si>
  <si>
    <t xml:space="preserve">公司不揭露分部資本支出</t>
  </si>
  <si>
    <t xml:space="preserve">cx_m365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</si>
  <si>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Microsoft 365 cloud</t>
    </r>
  </si>
  <si>
    <t xml:space="preserve">cx_lic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</si>
  <si>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營收：授權</t>
    </r>
  </si>
  <si>
    <t xml:space="preserve">cx_ind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</si>
  <si>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Industry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Frontier</t>
    </r>
  </si>
  <si>
    <t xml:space="preserve">cx_srch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</si>
  <si>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</si>
  <si>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cx_dev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</si>
  <si>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</si>
  <si>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市場共識與公司指引（只作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對照，不作校準）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</si>
  <si>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</si>
  <si>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</si>
  <si>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頁面；中位數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Strong Buy 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Buy 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</si>
  <si>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587.63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位）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</si>
  <si>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</si>
  <si>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</si>
  <si>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</si>
  <si>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MarketScreener 391.271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</si>
  <si>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</si>
  <si>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</si>
  <si>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</si>
  <si>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MarketScreener GAAP 19.72</t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</si>
  <si>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</si>
  <si>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</si>
  <si>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microsoft/data/consensus_msft_20261008.json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</si>
  <si>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cons_rev29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</si>
  <si>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</si>
  <si>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cons_ebit27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</si>
  <si>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</si>
  <si>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營業利益口徑</t>
    </r>
  </si>
  <si>
    <t xml:space="preserve">cons_cx27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</si>
  <si>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</si>
  <si>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microsoft/data/consensus_msft_20261008.json</t>
  </si>
  <si>
    <t xml:space="preserve">模型為公司口徑（含融資租賃）</t>
  </si>
  <si>
    <t xml:space="preserve">cons_ebit28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</si>
  <si>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</si>
  <si>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cons_cx28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</si>
  <si>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</si>
  <si>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cons_ebit29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</si>
  <si>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</si>
  <si>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cons_cx29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</si>
  <si>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</si>
  <si>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</si>
  <si>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</si>
  <si>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</si>
  <si>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</si>
  <si>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</si>
  <si>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</si>
  <si>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）</t>
    </r>
  </si>
  <si>
    <t xml:space="preserve">g_q1_ai</t>
  </si>
  <si>
    <r>
      <rPr>
        <sz val="11"/>
        <color theme="1"/>
        <rFont val="Calibri"/>
        <family val="2"/>
        <charset val="1"/>
      </rPr>
      <t xml:space="preserve">FY27Q1 Agents and Infra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</si>
  <si>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guid.fy27q1.rev.ai</t>
    </r>
  </si>
  <si>
    <t xml:space="preserve">g_q1_dc</t>
  </si>
  <si>
    <r>
      <rPr>
        <sz val="11"/>
        <color theme="1"/>
        <rFont val="Calibri"/>
        <family val="2"/>
        <charset val="1"/>
      </rPr>
      <t xml:space="preserve">FY27Q1 Devices and Consumer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</si>
  <si>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guid.fy27q1.rev.dc</t>
    </r>
  </si>
  <si>
    <t xml:space="preserve">g_q1_az</t>
  </si>
  <si>
    <r>
      <rPr>
        <sz val="11"/>
        <color theme="1"/>
        <rFont val="Calibri"/>
        <family val="2"/>
        <charset val="1"/>
      </rPr>
      <t xml:space="preserve">FY27Q1 Azure </t>
    </r>
    <r>
      <rPr>
        <sz val="11"/>
        <color theme="1"/>
        <rFont val="Noto Sans CJK SC"/>
        <family val="2"/>
      </rPr>
      <t xml:space="preserve">年增指引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</si>
  <si>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guid.fy27q1.azure</t>
    </r>
  </si>
  <si>
    <t xml:space="preserve">g_q1_cx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</si>
  <si>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資本支出指引（下限）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</si>
  <si>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）</t>
    </r>
  </si>
  <si>
    <t xml:space="preserve">g_fy27_opm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</si>
  <si>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營業利益率變動指引（上限）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</si>
  <si>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guid.fy27.opm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down less than a point</t>
    </r>
    <r>
      <rPr>
        <sz val="11"/>
        <color theme="1"/>
        <rFont val="Noto Sans CJK SC"/>
        <family val="2"/>
      </rPr>
      <t xml:space="preserve">）</t>
    </r>
  </si>
  <si>
    <t xml:space="preserve">ai_runrate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</si>
  <si>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業務年化營收（</t>
    </r>
    <r>
      <rPr>
        <sz val="11"/>
        <color theme="1"/>
        <rFont val="Calibri"/>
        <family val="2"/>
        <charset val="1"/>
      </rPr>
      <t xml:space="preserve">FY26Q3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</si>
  <si>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call.aiRunRate.fy26q3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產品）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</si>
  <si>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：只作驗證列</t>
    </r>
  </si>
  <si>
    <r>
      <rPr>
        <b val="true"/>
        <sz val="11"/>
        <rFont val="Cambria"/>
        <family val="0"/>
        <charset val="1"/>
      </rPr>
      <t xml:space="preserve">I. v0.2.2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microsoft/dist/_</t>
    </r>
    <r>
      <rPr>
        <b val="true"/>
        <sz val="11"/>
        <rFont val="Noto Sans CJK SC"/>
        <family val="2"/>
      </rPr>
      <t xml:space="preserve">待刪除</t>
    </r>
    <r>
      <rPr>
        <b val="true"/>
        <sz val="11"/>
        <rFont val="Cambria"/>
        <family val="0"/>
        <charset val="1"/>
      </rPr>
      <t xml:space="preserve">/20261025_Microsoft</t>
    </r>
    <r>
      <rPr>
        <b val="true"/>
        <sz val="11"/>
        <rFont val="Noto Sans CJK SC"/>
        <family val="2"/>
      </rPr>
      <t xml:space="preserve">收支模型</t>
    </r>
    <r>
      <rPr>
        <b val="true"/>
        <sz val="11"/>
        <rFont val="Cambria"/>
        <family val="0"/>
        <charset val="1"/>
      </rPr>
      <t xml:space="preserve">_v0_2_2.xlsx </t>
    </r>
    <r>
      <rPr>
        <b val="true"/>
        <sz val="11"/>
        <rFont val="Noto Sans CJK SC"/>
        <family val="2"/>
      </rPr>
      <t xml:space="preserve">評價</t>
    </r>
    <r>
      <rPr>
        <b val="true"/>
        <sz val="11"/>
        <rFont val="Cambria"/>
        <family val="0"/>
        <charset val="1"/>
      </rPr>
      <t xml:space="preserve">_DCF</t>
    </r>
    <r>
      <rPr>
        <b val="true"/>
        <sz val="11"/>
        <rFont val="Noto Sans CJK SC"/>
        <family val="2"/>
      </rPr>
      <t xml:space="preserve">與目標價）</t>
    </r>
  </si>
  <si>
    <t xml:space="preserve">old_tp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</si>
  <si>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</si>
  <si>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成品：低欄＝積極、高欄＝保守情境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</si>
  <si>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429.43</t>
    </r>
  </si>
  <si>
    <t xml:space="preserve">old_dcf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</si>
  <si>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每股（推到目標價時點）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</si>
  <si>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</t>
    </r>
  </si>
  <si>
    <t xml:space="preserve">old_ev</t>
  </si>
  <si>
    <r>
      <rPr>
        <sz val="11"/>
        <color theme="1"/>
        <rFont val="Calibri"/>
        <family val="2"/>
        <charset val="1"/>
      </rPr>
      <t xml:space="preserve">v0.2.2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每股（融資後）</t>
    </r>
  </si>
  <si>
    <t xml:space="preserve">old_w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</si>
  <si>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</si>
  <si>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</si>
  <si>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實績（十億美元）。分部與產品線為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起的報導口徑（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Segment History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Products and Service Offerings — As Restated</t>
    </r>
    <r>
      <rPr>
        <sz val="11"/>
        <color theme="1"/>
        <rFont val="Noto Sans CJK SC"/>
        <family val="2"/>
      </rPr>
      <t xml:space="preserve">」，未經查核）；合併損益、現金流量取自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／財報新聞稿（事實總帳）</t>
    </r>
  </si>
  <si>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欄＝四季合計（公式）；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欄＝公司揭露的年度值（輸入）；核對列實績必須為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。舊三分部（</t>
    </r>
    <r>
      <rPr>
        <sz val="11"/>
        <color theme="1"/>
        <rFont val="Calibri"/>
        <family val="2"/>
        <charset val="1"/>
      </rPr>
      <t xml:space="preserve">PBP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MPC</t>
    </r>
    <r>
      <rPr>
        <sz val="11"/>
        <color theme="1"/>
        <rFont val="Noto Sans CJK SC"/>
        <family val="2"/>
      </rPr>
      <t xml:space="preserve">）列在下方對照（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以前口徑）</t>
    </r>
  </si>
  <si>
    <r>
      <rPr>
        <b val="true"/>
        <sz val="11"/>
        <rFont val="Cambria"/>
        <family val="0"/>
        <charset val="1"/>
      </rPr>
      <t xml:space="preserve">FY25Q1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2024-09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</si>
  <si>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</si>
  <si>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</si>
  <si>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</si>
  <si>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</si>
  <si>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</si>
  <si>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</si>
  <si>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</si>
  <si>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（四季合計）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</si>
  <si>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（四季合計）</t>
    </r>
  </si>
  <si>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</si>
  <si>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</si>
  <si>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Noto Sans CJK SC"/>
        <family val="2"/>
      </rPr>
      <t xml:space="preserve">來源（事實總帳 </t>
    </r>
    <r>
      <rPr>
        <b val="true"/>
        <sz val="11"/>
        <rFont val="Cambria"/>
        <family val="0"/>
        <charset val="1"/>
      </rPr>
      <t xml:space="preserve">id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</si>
  <si>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官方分部與產品線營收（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起報導口徑）</t>
    </r>
  </si>
  <si>
    <t xml:space="preserve">Agents and Infra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</si>
  <si>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q.seg27.ai.rev.*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seg27.ai.rev.*</t>
    </r>
  </si>
  <si>
    <t xml:space="preserve">  Azure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</si>
  <si>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q.prod27.azure.*</t>
    </r>
  </si>
  <si>
    <t xml:space="preserve">  Microsoft 365 cloud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</si>
  <si>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q.prod27.m365cloud.*</t>
    </r>
  </si>
  <si>
    <t xml:space="preserve">  Productivity and server licensing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</si>
  <si>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q.prod27.licensing.*</t>
    </r>
  </si>
  <si>
    <t xml:space="preserve">  Industry solutions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</si>
  <si>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q.prod27.industry.*</t>
    </r>
  </si>
  <si>
    <t xml:space="preserve">  Frontier and support services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</si>
  <si>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q.prod27.frontier.*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</si>
  <si>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產品線合計 − 分部</t>
    </r>
  </si>
  <si>
    <t xml:space="preserve">核對</t>
  </si>
  <si>
    <t xml:space="preserve">Devices and Consumer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</si>
  <si>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q.seg27.dc.rev.*</t>
    </r>
  </si>
  <si>
    <t xml:space="preserve">  Search and advertising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</si>
  <si>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q.prod27.searchads.*</t>
    </r>
  </si>
  <si>
    <t xml:space="preserve">  XBOX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</si>
  <si>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q.prod27.xbox.*</t>
    </r>
  </si>
  <si>
    <t xml:space="preserve">  Windows OEM and devices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</si>
  <si>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q.prod27.windows.*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</si>
  <si>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產品線合計 − 分部</t>
    </r>
  </si>
  <si>
    <t xml:space="preserve">分部合計（營收）</t>
  </si>
  <si>
    <t xml:space="preserve">合併營收（公司損益表）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</si>
  <si>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is.rev.*</t>
    </r>
  </si>
  <si>
    <t xml:space="preserve">檢查：分部合計 − 合併營收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</si>
  <si>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分部營業利益（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無未分攤項：分部合計＝合併營業利益）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</si>
  <si>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</si>
  <si>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q.seg27.ai.oi.*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</si>
  <si>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</si>
  <si>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q.seg27.dc.oi.*</t>
    </r>
  </si>
  <si>
    <t xml:space="preserve">合併營業利益（公司損益表）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</si>
  <si>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q.oi.*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is.oi.*</t>
    </r>
  </si>
  <si>
    <r>
      <rPr>
        <sz val="11"/>
        <color theme="1"/>
        <rFont val="Noto Sans CJK SC"/>
        <family val="2"/>
      </rPr>
      <t xml:space="preserve">檢查：分部營業利益合計 − 合併營業利益（未分攤＝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</si>
  <si>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合併損益主要列（年度值；淨利另列各季）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</si>
  <si>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等持股損益）</t>
    </r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</si>
  <si>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q.ni.*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is.ni.*</t>
    </r>
  </si>
  <si>
    <r>
      <rPr>
        <sz val="11"/>
        <color theme="1"/>
        <rFont val="Noto Sans CJK SC"/>
        <family val="2"/>
      </rPr>
      <t xml:space="preserve">業外收支（</t>
    </r>
    <r>
      <rPr>
        <sz val="11"/>
        <color theme="1"/>
        <rFont val="Calibri"/>
        <family val="2"/>
        <charset val="1"/>
      </rPr>
      <t xml:space="preserve">other income (expense), net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</si>
  <si>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is.oie.*</t>
    </r>
  </si>
  <si>
    <t xml:space="preserve">稅前淨利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</si>
  <si>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is.pretax.*</t>
    </r>
  </si>
  <si>
    <t xml:space="preserve">所得稅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</si>
  <si>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is.tax.*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</si>
  <si>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等持股損益（公司非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調節）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</si>
  <si>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is.openaiGain.*</t>
    </r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</si>
  <si>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</si>
  <si>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is.sharesDilW.*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</si>
  <si>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</si>
  <si>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is.epsDil.*</t>
    </r>
  </si>
  <si>
    <r>
      <rPr>
        <sz val="11"/>
        <color theme="1"/>
        <rFont val="Noto Sans CJK SC"/>
        <family val="2"/>
      </rPr>
      <t xml:space="preserve">檢查：營業利益＋業外 − 稅前；稅前 − 稅 − 淨利（年度，應為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</si>
  <si>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現金流量（各季為新聞稿單季值；資本支出為現金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</si>
  <si>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t xml:space="preserve">營業現金流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</si>
  <si>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q.cf.ocf.*</t>
    </r>
  </si>
  <si>
    <r>
      <rPr>
        <sz val="11"/>
        <color theme="1"/>
        <rFont val="Noto Sans CJK SC"/>
        <family val="2"/>
      </rPr>
      <t xml:space="preserve">資本支出（現金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，正值）</t>
    </r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</si>
  <si>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q.cf.capex.*</t>
    </r>
  </si>
  <si>
    <t xml:space="preserve">自由現金流（營業現金流 − 現金資本支出）</t>
  </si>
  <si>
    <t xml:space="preserve">折舊、攤銷及其他（現金流量表）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</si>
  <si>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q.cf.da.*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由年初至今推得）</t>
    </r>
  </si>
  <si>
    <t xml:space="preserve">股票薪酬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</si>
  <si>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q.cf.sbc.*</t>
    </r>
  </si>
  <si>
    <t xml:space="preserve">回購（正值）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</si>
  <si>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q.cf.buyback.*</t>
    </r>
  </si>
  <si>
    <t xml:space="preserve">股利（正值）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</si>
  <si>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q.cf.div.*</t>
    </r>
  </si>
  <si>
    <t xml:space="preserve">資本支出（公司口徑：含融資租賃，法說值）</t>
  </si>
  <si>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capexFL.*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FY25Q4 </t>
    </r>
    <r>
      <rPr>
        <sz val="11"/>
        <color theme="1"/>
        <rFont val="Noto Sans CJK SC"/>
        <family val="2"/>
      </rPr>
      <t xml:space="preserve">起；公司口徑≠現金＋融資租賃）</t>
    </r>
  </si>
  <si>
    <t xml:space="preserve">融資租賃本金（正值）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</si>
  <si>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lease.finPrincipal.*</t>
    </r>
  </si>
  <si>
    <t xml:space="preserve">檢查：四季合計 − 公司年度值（以上各列絕對值合計）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</si>
  <si>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對照：舊三分部（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以前口徑；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／各季新聞稿）與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</si>
  <si>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Productivity and Business Processes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</si>
  <si>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q.seg.pbp.rev.*</t>
    </r>
  </si>
  <si>
    <r>
      <rPr>
        <sz val="11"/>
        <color theme="1"/>
        <rFont val="Calibri"/>
        <family val="2"/>
        <charset val="1"/>
      </rPr>
      <t xml:space="preserve">Intelligent Cloud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</si>
  <si>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q.seg.ic.rev.*</t>
    </r>
  </si>
  <si>
    <r>
      <rPr>
        <sz val="11"/>
        <color theme="1"/>
        <rFont val="Calibri"/>
        <family val="2"/>
        <charset val="1"/>
      </rPr>
      <t xml:space="preserve">More Personal Computing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</si>
  <si>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q.seg.mpc.rev.*</t>
    </r>
  </si>
  <si>
    <t xml:space="preserve">檢查：舊三分部合計 − 合併營收</t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</si>
  <si>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年增（重編口徑，公司揭露）</t>
    </r>
  </si>
  <si>
    <r>
      <rPr>
        <sz val="11"/>
        <color theme="1"/>
        <rFont val="Calibri"/>
        <family val="2"/>
        <charset val="1"/>
      </rPr>
      <t xml:space="preserve">8-K 2026-09-02 Investor Metrics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q.azure27.growth.*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</si>
  <si>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→ Azure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成本）→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</si>
  <si>
    <r>
      <rPr>
        <sz val="11"/>
        <color theme="1"/>
        <rFont val="Noto Sans CJK SC"/>
        <family val="2"/>
      </rPr>
      <t xml:space="preserve">三情境的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路徑相同（資本支出依公司指引），差在變現：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（長約／現貨組合）與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座席。命題模組只驅動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」子列與 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」子列，不取代官方分部</t>
    </r>
  </si>
  <si>
    <r>
      <rPr>
        <sz val="11"/>
        <color theme="1"/>
        <rFont val="Noto Sans CJK SC"/>
        <family val="2"/>
      </rPr>
      <t xml:space="preserve">核心問題的答案列：「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</si>
  <si>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</si>
  <si>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t xml:space="preserve">FY2024A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</si>
  <si>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</si>
  <si>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</si>
  <si>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</si>
  <si>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</si>
  <si>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</si>
  <si>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</si>
  <si>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</si>
  <si>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</si>
  <si>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會計年度（數值；公式以「年度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」計年數）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</si>
  <si>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</si>
  <si>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以前＝依資本支出指引的速度；之後逐年線性收斂，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g_tv × FY2029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：終值不落在建置高峰）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</si>
  <si>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（年底，含租用）</t>
    </r>
  </si>
  <si>
    <t xml:space="preserve">三情境速度相同（變現驅動不同）</t>
  </si>
  <si>
    <r>
      <rPr>
        <sz val="11"/>
        <color theme="1"/>
        <rFont val="Noto Sans CJK SC"/>
        <family val="2"/>
      </rPr>
      <t xml:space="preserve">  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</si>
  <si>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</si>
  <si>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自有對外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</si>
  <si>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（對外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</si>
  <si>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Noto Sans CJK SC"/>
        <family val="2"/>
      </rPr>
      <t xml:space="preserve">含自用（</t>
    </r>
    <r>
      <rPr>
        <sz val="11"/>
        <color theme="1"/>
        <rFont val="Calibri"/>
        <family val="2"/>
        <charset val="1"/>
      </rPr>
      <t xml:space="preserve">M365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GitHub Copilot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研發）</t>
    </r>
  </si>
  <si>
    <r>
      <rPr>
        <sz val="11"/>
        <color theme="1"/>
        <rFont val="Noto Sans CJK SC"/>
        <family val="2"/>
      </rPr>
      <t xml:space="preserve">  其中自用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</si>
  <si>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欄含以前全部）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</si>
  <si>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</t>
    </r>
  </si>
  <si>
    <r>
      <rPr>
        <sz val="11"/>
        <color theme="1"/>
        <rFont val="Noto Sans CJK SC"/>
        <family val="2"/>
      </rPr>
      <t xml:space="preserve">  其中汰換為新世代的對外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</si>
  <si>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t xml:space="preserve">修正一：汰換時在役世代占比同步更新（舊世代依期初占比移出、新世代依當年新增占比移入）</t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</si>
  <si>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</si>
  <si>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</si>
  <si>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</si>
  <si>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</si>
  <si>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IF_HoldEcon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</si>
  <si>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長約＋其餘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現貨）</t>
    </r>
  </si>
  <si>
    <r>
      <rPr>
        <sz val="11"/>
        <color theme="1"/>
        <rFont val="Noto Sans CJK SC"/>
        <family val="2"/>
      </rPr>
      <t xml:space="preserve">實績期三情境同用基準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（拆分是估計，不是情境）；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k_ramp </t>
    </r>
    <r>
      <rPr>
        <sz val="11"/>
        <color theme="1"/>
        <rFont val="Noto Sans CJK SC"/>
        <family val="2"/>
      </rPr>
      <t xml:space="preserve">年線性移到情境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</si>
  <si>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</si>
  <si>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計價，不乘利用率（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</si>
  <si>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營收（期間平均在役對外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</si>
  <si>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為模型估計（用於拆出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</si>
  <si>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IF_OpexGW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</si>
  <si>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（平均 </t>
    </r>
    <r>
      <rPr>
        <sz val="11"/>
        <color theme="1"/>
        <rFont val="Calibri"/>
        <family val="2"/>
        <charset val="1"/>
      </rPr>
      <t xml:space="preserve">×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</si>
  <si>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租金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</si>
  <si>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營運成本：租用機房租金（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自建比例）</t>
    </r>
  </si>
  <si>
    <t xml:space="preserve">C22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</si>
  <si>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中對外的比重（期間平均）</t>
    </r>
  </si>
  <si>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（營收 − 對外營運成本 − 租金）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</si>
  <si>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營運成本（服務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等自有產品）</t>
    </r>
  </si>
  <si>
    <r>
      <rPr>
        <sz val="11"/>
        <color theme="1"/>
        <rFont val="Noto Sans CJK SC"/>
        <family val="2"/>
      </rPr>
      <t xml:space="preserve">新增與汰換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資本支出（世代加權）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</si>
  <si>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以前用期初世代加權（估計）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</si>
  <si>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滿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年限者）</t>
    </r>
  </si>
  <si>
    <r>
      <rPr>
        <sz val="11"/>
        <color theme="1"/>
        <rFont val="Noto Sans CJK SC"/>
        <family val="2"/>
      </rPr>
      <t xml:space="preserve">只換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、機房不換；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以前全部（視同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投入）；舊機隊在年限到期後停止折舊，汰換後的新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另計折舊（不重複）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</si>
  <si>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</si>
  <si>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</si>
  <si>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補足到公司資本支出下限的差額（計入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</si>
  <si>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近期以公司指引為下限（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方法沿用）；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占約三分之二（法說短期資產）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</si>
  <si>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資本支出（含補足差額）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</si>
  <si>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</si>
  <si>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以前為依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估計的值（非公司揭露）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</si>
  <si>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折舊（半年慣例、年限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</si>
  <si>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機房折舊（年限 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</si>
  <si>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折舊合計（進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</si>
  <si>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對外分攤折舊）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</si>
  <si>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</si>
  <si>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金額）＝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</si>
  <si>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價值中性：自用算力至少回收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已在 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營收內計入的部分扣除，避免重複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</si>
  <si>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影子效益（依讀法開關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</si>
  <si>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增量營業利益（評價口徑）＝</t>
    </r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× </t>
    </r>
    <r>
      <rPr>
        <sz val="11"/>
        <color theme="1"/>
        <rFont val="Noto Sans CJK SC"/>
        <family val="2"/>
      </rPr>
      <t xml:space="preserve">核心利益率＋影子效益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</si>
  <si>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淨額（年底）</t>
    </r>
  </si>
  <si>
    <r>
      <rPr>
        <sz val="11"/>
        <color theme="1"/>
        <rFont val="Noto Sans CJK SC"/>
        <family val="2"/>
      </rPr>
      <t xml:space="preserve">期初＝自有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淨額比（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</si>
  <si>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  <r>
      <rPr>
        <sz val="11"/>
        <color theme="1"/>
        <rFont val="Noto Sans CJK SC"/>
        <family val="2"/>
      </rPr>
      <t xml:space="preserve">（評價口徑；稅後營業利益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淨額）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</si>
  <si>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</si>
  <si>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</si>
  <si>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對外分攤的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C11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</si>
  <si>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</si>
  <si>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經濟利潤＝稅後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WACC ×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</si>
  <si>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</si>
  <si>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</si>
  <si>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Devices and Consumer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重編）→ 八條產品線；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（命題）＋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其他；</t>
    </r>
    <r>
      <rPr>
        <sz val="11"/>
        <color theme="1"/>
        <rFont val="Calibri"/>
        <family val="2"/>
        <charset val="1"/>
      </rPr>
      <t xml:space="preserve">Microsoft 365 cloud </t>
    </r>
    <r>
      <rPr>
        <sz val="11"/>
        <color theme="1"/>
        <rFont val="Noto Sans CJK SC"/>
        <family val="2"/>
      </rPr>
      <t xml:space="preserve">＝ 基礎 ＋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（命題）</t>
    </r>
  </si>
  <si>
    <r>
      <rPr>
        <sz val="11"/>
        <color theme="1"/>
        <rFont val="Noto Sans CJK SC"/>
        <family val="2"/>
      </rPr>
      <t xml:space="preserve">非命題產品線：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年增線性收斂到長期值（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到達；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節）；三情境相同。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欄為實績（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的子列為模型拆分）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</si>
  <si>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</si>
  <si>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</si>
  <si>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估計）</t>
    </r>
  </si>
  <si>
    <t xml:space="preserve">    年增（近一年 → 長期值）</t>
  </si>
  <si>
    <t xml:space="preserve">Azure</t>
  </si>
  <si>
    <r>
      <rPr>
        <sz val="11"/>
        <color theme="1"/>
        <rFont val="Calibri"/>
        <family val="2"/>
        <charset val="1"/>
      </rPr>
      <t xml:space="preserve">  Copilot </t>
    </r>
    <r>
      <rPr>
        <sz val="11"/>
        <color theme="1"/>
        <rFont val="Noto Sans CJK SC"/>
        <family val="2"/>
      </rPr>
      <t xml:space="preserve">付費座席（年底）</t>
    </r>
  </si>
  <si>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每年淨增 </t>
    </r>
    <r>
      <rPr>
        <sz val="11"/>
        <color theme="1"/>
        <rFont val="Calibri"/>
        <family val="2"/>
        <charset val="1"/>
      </rPr>
      <t xml:space="preserve">cop_add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</si>
  <si>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（命題子列：平均座席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</si>
  <si>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t xml:space="preserve">實績期用基準月費（拆分是估計）；敏感度只改預測期</t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</si>
  <si>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＝實績 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估計）</t>
    </r>
  </si>
  <si>
    <t xml:space="preserve">Microsoft 365 cloud</t>
  </si>
  <si>
    <t xml:space="preserve">Productivity and server licensing</t>
  </si>
  <si>
    <t xml:space="preserve">Industry solutions</t>
  </si>
  <si>
    <t xml:space="preserve">Frontier and support services</t>
  </si>
  <si>
    <t xml:space="preserve">Search and advertising</t>
  </si>
  <si>
    <t xml:space="preserve">XBOX</t>
  </si>
  <si>
    <t xml:space="preserve">Windows OEM and devices</t>
  </si>
  <si>
    <t xml:space="preserve">合併營收（分部合計）</t>
  </si>
  <si>
    <t xml:space="preserve">檢查：產品線合計 − 分部；實績期另比對公司分部值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</si>
  <si>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</si>
  <si>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</si>
  <si>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分部營業利益（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由核心利益率扣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折舊；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依實績利益率）→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</si>
  <si>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核對列（三情境、全部年度合計，應為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讀這三列）</t>
    </r>
  </si>
  <si>
    <t xml:space="preserve">檢查：分部合計 − 合併營收（三情境，實績期另比對公司值）</t>
  </si>
  <si>
    <t xml:space="preserve">檢查：產品線合計 − 分部（三情境，實績期另比對公司值）</t>
  </si>
  <si>
    <r>
      <rPr>
        <sz val="11"/>
        <color theme="1"/>
        <rFont val="Noto Sans CJK SC"/>
        <family val="2"/>
      </rPr>
      <t xml:space="preserve">檢查：命題子列合計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；三情境）</t>
    </r>
  </si>
  <si>
    <t xml:space="preserve">檢查：分部營業利益合計 − 合併營業利益（三情境；實績期比對公司值）</t>
  </si>
  <si>
    <r>
      <rPr>
        <sz val="11"/>
        <color theme="1"/>
        <rFont val="Noto Sans CJK SC"/>
        <family val="2"/>
      </rPr>
      <t xml:space="preserve">以下三個區塊依序為情境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；分部與產品線列標籤與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對應）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</si>
  <si>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</si>
  <si>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</si>
  <si>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</si>
  <si>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（命題子列）</t>
    </r>
  </si>
  <si>
    <t xml:space="preserve">合併營收</t>
  </si>
  <si>
    <t xml:space="preserve">營收年增</t>
  </si>
  <si>
    <r>
      <rPr>
        <sz val="11"/>
        <color theme="1"/>
        <rFont val="Noto Sans CJK SC"/>
        <family val="2"/>
      </rPr>
      <t xml:space="preserve">檢查：分部合計 − 合併營收；子列合計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</si>
  <si>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核心利益率（扣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</si>
  <si>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分部營業利益＋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分部營收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</si>
  <si>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＝核心利益率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</si>
  <si>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</si>
  <si>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</si>
  <si>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t xml:space="preserve">合併營業利益（財報口徑；分部合計，無未分攤項）</t>
  </si>
  <si>
    <t xml:space="preserve">檢查：分部營業利益合計 − 公司合併營業利益（實績）</t>
  </si>
  <si>
    <t xml:space="preserve">營業利益率（財報口徑）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</si>
  <si>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；非財報營收；分攤到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</si>
  <si>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：營收與分部對帳不動；只進評價口徑的營業利益、淨利、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</si>
  <si>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營業利益（評價口徑＝財報＋自用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</si>
  <si>
    <r>
      <rPr>
        <sz val="11"/>
        <color theme="1"/>
        <rFont val="Noto Sans CJK SC"/>
        <family val="2"/>
      </rPr>
      <t xml:space="preserve">  備忘：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</si>
  <si>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備忘：非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折舊攤銷（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</si>
  <si>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業外收支（預測期不含持股評價損益＝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</si>
  <si>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重組利得等 </t>
    </r>
    <r>
      <rPr>
        <sz val="11"/>
        <color theme="1"/>
        <rFont val="Calibri"/>
        <family val="2"/>
        <charset val="1"/>
      </rPr>
      <t xml:space="preserve">+6.5</t>
    </r>
  </si>
  <si>
    <t xml:space="preserve">稅前淨利（財報口徑）</t>
  </si>
  <si>
    <t xml:space="preserve">所得稅（財報口徑）</t>
  </si>
  <si>
    <t xml:space="preserve">淨利（財報口徑）</t>
  </si>
  <si>
    <r>
      <rPr>
        <sz val="11"/>
        <color theme="1"/>
        <rFont val="Noto Sans CJK SC"/>
        <family val="2"/>
      </rPr>
      <t xml:space="preserve">稀釋股數（十億股；回購依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</si>
  <si>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</si>
  <si>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實績期與公司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&lt; 0.01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</si>
  <si>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淨利（評價口徑＝財報＋影子效益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</si>
  <si>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</si>
  <si>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時＝財報口徑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</si>
  <si>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年增（評價口徑）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</si>
  <si>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</si>
  <si>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</si>
  <si>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營業現金流（淨利＋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折舊＋股票薪酬＋營運資金）− 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比例）− 融資租賃本金 → 自由現金流（財報現金）；股利、回購、舉債（最低現金）</t>
    </r>
  </si>
  <si>
    <r>
      <rPr>
        <sz val="11"/>
        <color theme="1"/>
        <rFont val="Noto Sans CJK SC"/>
        <family val="2"/>
      </rPr>
      <t xml:space="preserve">收支關卡（地圖讀此表）：模型期間首年起五年（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）自由現金流扣股利後合計（財報現金，不含自用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影子效益）；並判斷是否需要舉債或停止回購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</si>
  <si>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</si>
  <si>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；為正＝五年自由現金流足以支付股利（地圖收支關卡讀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欄＝基準情境）。修正一：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初版的範圍公式被讀成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欄到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欄，誤加了 </t>
    </r>
    <r>
      <rPr>
        <sz val="11"/>
        <color theme="1"/>
        <rFont val="Calibri"/>
        <family val="2"/>
        <charset val="1"/>
      </rPr>
      <t xml:space="preserve">FY2032</t>
    </r>
  </si>
  <si>
    <r>
      <rPr>
        <sz val="11"/>
        <color theme="1"/>
        <rFont val="Noto Sans CJK SC"/>
        <family val="2"/>
      </rPr>
      <t xml:space="preserve">是否需要舉債或停止回購（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</si>
  <si>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</si>
  <si>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</si>
  <si>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（公司口徑，參考）</t>
    </r>
  </si>
  <si>
    <r>
      <rPr>
        <sz val="11"/>
        <color theme="1"/>
        <rFont val="Noto Sans CJK SC"/>
        <family val="2"/>
      </rPr>
      <t xml:space="preserve">回購合計 </t>
    </r>
    <r>
      <rPr>
        <sz val="11"/>
        <color theme="1"/>
        <rFont val="Calibri"/>
        <family val="2"/>
        <charset val="1"/>
      </rPr>
      <t xml:space="preserve">FY2027–FY2031</t>
    </r>
  </si>
  <si>
    <r>
      <rPr>
        <sz val="11"/>
        <color theme="1"/>
        <rFont val="Noto Sans CJK SC"/>
        <family val="2"/>
      </rPr>
      <t xml:space="preserve">新增舉債合計 </t>
    </r>
    <r>
      <rPr>
        <sz val="11"/>
        <color theme="1"/>
        <rFont val="Calibri"/>
        <family val="2"/>
        <charset val="1"/>
      </rPr>
      <t xml:space="preserve">FY2027–FY2031</t>
    </r>
  </si>
  <si>
    <t xml:space="preserve">檢查：收支關卡＝首年起五年自由現金流扣股利（逐欄加總）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</si>
  <si>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</si>
  <si>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</si>
  <si>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D&amp;A − AI </t>
    </r>
    <r>
      <rPr>
        <sz val="11"/>
        <color theme="1"/>
        <rFont val="Noto Sans CJK SC"/>
        <family val="2"/>
      </rPr>
      <t xml:space="preserve">折舊估計（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</si>
  <si>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折舊攤銷合計（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</si>
  <si>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股票薪酬（現金流量表加回；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視為現金成本）</t>
    </r>
  </si>
  <si>
    <t xml:space="preserve">營運資金變動</t>
  </si>
  <si>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：首期＝上一年度實績；之後 </t>
    </r>
    <r>
      <rPr>
        <sz val="11"/>
        <color theme="1"/>
        <rFont val="Calibri"/>
        <family val="2"/>
        <charset val="1"/>
      </rPr>
      <t xml:space="preserve">wc_f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</si>
  <si>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</si>
  <si>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資本支出（各線營收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</si>
  <si>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t xml:space="preserve">資本支出合計（公司口徑，含融資租賃）</t>
  </si>
  <si>
    <r>
      <rPr>
        <sz val="11"/>
        <color theme="1"/>
        <rFont val="Noto Sans CJK SC"/>
        <family val="2"/>
      </rPr>
      <t xml:space="preserve">新的融資租賃在取得時視同現金（偏保守，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為公司法說值</t>
    </r>
  </si>
  <si>
    <t xml:space="preserve">在帳融資租賃負債（年底）</t>
  </si>
  <si>
    <t xml:space="preserve">在帳融資租賃本金（付款 − 利息）</t>
  </si>
  <si>
    <t xml:space="preserve">自由現金流（財報現金：營業現金流 − 資本支出 − 融資租賃本金）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</si>
  <si>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為實績（現金資本支出口徑）；收支關卡用此列（不含影子效益）</t>
    </r>
  </si>
  <si>
    <t xml:space="preserve">每股股利</t>
  </si>
  <si>
    <t xml:space="preserve">股利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</si>
  <si>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期初流通股數（避免與回購循環）</t>
    </r>
  </si>
  <si>
    <t xml:space="preserve">自由現金流扣股利</t>
  </si>
  <si>
    <t xml:space="preserve">債務到期償還</t>
  </si>
  <si>
    <t xml:space="preserve">回購（現金不足時先減）</t>
  </si>
  <si>
    <t xml:space="preserve">新增舉債（維持最低現金）</t>
  </si>
  <si>
    <t xml:space="preserve">現金與短期投資（年底）</t>
  </si>
  <si>
    <t xml:space="preserve">債務（年底，面額）</t>
  </si>
  <si>
    <t xml:space="preserve">淨現金（不含租賃）</t>
  </si>
  <si>
    <t xml:space="preserve">回購均價</t>
  </si>
  <si>
    <t xml:space="preserve">流通股數（年底）</t>
  </si>
  <si>
    <t xml:space="preserve">稀釋加權股數</t>
  </si>
  <si>
    <r>
      <rPr>
        <sz val="11"/>
        <color theme="1"/>
        <rFont val="Noto Sans CJK SC"/>
        <family val="2"/>
      </rPr>
      <t xml:space="preserve">自由現金流扣股利（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合計，本情境）</t>
    </r>
  </si>
  <si>
    <t xml:space="preserve">文字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</si>
  <si>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</si>
  <si>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</si>
  <si>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頁黃底）。主值＝讀法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</si>
  <si>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Noto Sans CJK SC"/>
        <family val="2"/>
      </rPr>
      <t xml:space="preserve">口徑（修正一）：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的自由現金流扣股票薪酬（視為現金成本）、加自用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影子效益（稅後），在帳融資租賃負債自權益橋扣除，推到目標價時點後扣期間股利；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的產品線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為股票薪酬加回口徑（與同業倍數同口徑），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基礎設施模組以自身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（含資本支出與汰換）計價，同業倍數版列對照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</si>
  <si>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</si>
  <si>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（評價用自由現金流折現；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、負債含融資租賃；</t>
    </r>
    <r>
      <rPr>
        <b val="true"/>
        <sz val="11"/>
        <rFont val="Cambria"/>
        <family val="0"/>
        <charset val="1"/>
      </rPr>
      <t xml:space="preserve">g 3%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</si>
  <si>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</si>
  <si>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永續價值占比</t>
  </si>
  <si>
    <r>
      <rPr>
        <sz val="11"/>
        <color theme="1"/>
        <rFont val="Noto Sans CJK SC"/>
        <family val="2"/>
      </rPr>
      <t xml:space="preserve">永續價值現值 </t>
    </r>
    <r>
      <rPr>
        <sz val="11"/>
        <color theme="1"/>
        <rFont val="Calibri"/>
        <family val="2"/>
        <charset val="1"/>
      </rPr>
      <t xml:space="preserve">÷ EV</t>
    </r>
  </si>
  <si>
    <r>
      <rPr>
        <sz val="11"/>
        <color theme="1"/>
        <rFont val="Noto Sans CJK SC"/>
        <family val="2"/>
      </rPr>
      <t xml:space="preserve">加：淨現金（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</si>
  <si>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減：在帳融資租賃負債（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</si>
  <si>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：融資租賃列入淨負債</t>
    </r>
  </si>
  <si>
    <r>
      <rPr>
        <sz val="11"/>
        <color theme="1"/>
        <rFont val="Noto Sans CJK SC"/>
        <family val="2"/>
      </rPr>
      <t xml:space="preserve">加：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流動性折價））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</si>
  <si>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比例未揭露，不估值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</si>
  <si>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</si>
  <si>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</si>
  <si>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</si>
  <si>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＝評價日 → 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股利與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</si>
  <si>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</si>
  <si>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</si>
  <si>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／永續成長率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</si>
  <si>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</si>
  <si>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在分部層做：非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產品線＝目標價時點 </t>
    </r>
    <r>
      <rPr>
        <b val="true"/>
        <sz val="11"/>
        <rFont val="Cambria"/>
        <family val="0"/>
        <charset val="1"/>
      </rPr>
      <t xml:space="preserve">NTM 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 </t>
    </r>
    <r>
      <rPr>
        <b val="true"/>
        <sz val="11"/>
        <rFont val="Noto Sans CJK SC"/>
        <family val="2"/>
      </rPr>
      <t xml:space="preserve">中位數；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基礎設施＝模組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</si>
  <si>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倍數（</t>
    </r>
    <r>
      <rPr>
        <b val="true"/>
        <sz val="11"/>
        <rFont val="Cambria"/>
        <family val="0"/>
        <charset val="1"/>
      </rPr>
      <t xml:space="preserve">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</si>
  <si>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</si>
  <si>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</si>
  <si>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（企業軟體同業）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</si>
  <si>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</si>
  <si>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</si>
  <si>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</si>
  <si>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（數位廣告同業）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</si>
  <si>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（遊戲同業）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</si>
  <si>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／裝置同業）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</si>
  <si>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</si>
  <si>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加：淨現金（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− 在帳融資租賃負債</t>
    </r>
  </si>
  <si>
    <t xml:space="preserve">分部加總每股價值（目標價時點）</t>
  </si>
  <si>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年底流通股數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</si>
  <si>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</si>
  <si>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）情境加權；同業倍數見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節與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</si>
  <si>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以同業倍數計（</t>
    </r>
    <r>
      <rPr>
        <sz val="11"/>
        <color theme="1"/>
        <rFont val="Calibri"/>
        <family val="2"/>
        <charset val="1"/>
      </rPr>
      <t xml:space="preserve">NTM EBITDA × 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</si>
  <si>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腿不再用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倍數（忽略資本密集度）；差額見報告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</si>
  <si>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</si>
  <si>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</si>
  <si>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</si>
  <si>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</si>
  <si>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；主值＝讀法 </t>
    </r>
    <r>
      <rPr>
        <sz val="11"/>
        <color theme="1"/>
        <rFont val="Calibri"/>
        <family val="2"/>
        <charset val="1"/>
      </rPr>
      <t xml:space="preserve">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</si>
  <si>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</si>
  <si>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位平均；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＝最低、最高（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</si>
  <si>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</si>
  <si>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</si>
  <si>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</si>
  <si>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</si>
  <si>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</si>
  <si>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</si>
  <si>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</si>
  <si>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</si>
  <si>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</si>
  <si>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</si>
  <si>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上檔空間：情境目標價</t>
  </si>
  <si>
    <r>
      <rPr>
        <sz val="11"/>
        <color theme="1"/>
        <rFont val="Noto Sans CJK SC"/>
        <family val="2"/>
      </rPr>
      <t xml:space="preserve">投資建議（基準情境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，參考）</t>
    </r>
  </si>
  <si>
    <t xml:space="preserve">地圖與評等用加權目標價</t>
  </si>
  <si>
    <r>
      <rPr>
        <sz val="11"/>
        <color theme="1"/>
        <rFont val="Noto Sans CJK SC"/>
        <family val="2"/>
      </rPr>
      <t xml:space="preserve">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只計成本；敏感度）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</si>
  <si>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頁「讀法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」案例（三情境全部重算）</t>
    </r>
  </si>
  <si>
    <r>
      <rPr>
        <sz val="11"/>
        <color theme="1"/>
        <rFont val="Noto Sans CJK SC"/>
        <family val="2"/>
      </rPr>
      <t xml:space="preserve">上檔空間（讀法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</si>
  <si>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投資建議（讀法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</si>
  <si>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</si>
  <si>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工作單：悲觀情境價＝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</si>
  <si>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</si>
  <si>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</si>
  <si>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</si>
  <si>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；評價口徑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</si>
  <si>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（基準）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</si>
  <si>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</si>
  <si>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：評價用自由現金流（營業現金流 − 股票薪酬 − 公司口徑資本支出＋自用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影子效益稅後），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 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利差；負債含融資租賃），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新增速度收斂），永續期 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；評價日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2027-10-27 </t>
    </r>
    <r>
      <rPr>
        <sz val="11"/>
        <color theme="1"/>
        <rFont val="Noto Sans CJK SC"/>
        <family val="2"/>
      </rPr>
      <t xml:space="preserve">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13.82×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／授權／產業／</t>
    </r>
    <r>
      <rPr>
        <sz val="11"/>
        <color theme="1"/>
        <rFont val="Calibri"/>
        <family val="2"/>
        <charset val="1"/>
      </rPr>
      <t xml:space="preserve">Frontier 10.8×</t>
    </r>
    <r>
      <rPr>
        <sz val="11"/>
        <color theme="1"/>
        <rFont val="Noto Sans CJK SC"/>
        <family val="2"/>
      </rPr>
      <t xml:space="preserve">（企業軟體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）、搜尋與廣告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XBOX 12.63×</t>
    </r>
    <r>
      <rPr>
        <sz val="11"/>
        <color theme="1"/>
        <rFont val="Noto Sans CJK SC"/>
        <family val="2"/>
      </rPr>
      <t xml:space="preserve">（遊戲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Windows 14.47×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），乘目標價時點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（股票薪酬加回）；加淨現金與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</t>
    </r>
    <r>
      <rPr>
        <sz val="11"/>
        <color theme="1"/>
        <rFont val="Calibri"/>
        <family val="2"/>
        <charset val="1"/>
      </rPr>
      <t xml:space="preserve">25% × 852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1 − 20%</t>
    </r>
    <r>
      <rPr>
        <sz val="11"/>
        <color theme="1"/>
        <rFont val="Noto Sans CJK SC"/>
        <family val="2"/>
      </rPr>
      <t xml:space="preserve">））、減在帳融資租賃負債。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</si>
  <si>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各情境評價明細（引擎輸出；列 </t>
    </r>
    <r>
      <rPr>
        <b val="true"/>
        <sz val="11"/>
        <rFont val="Cambria"/>
        <family val="0"/>
        <charset val="1"/>
      </rPr>
      <t xml:space="preserve">70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</si>
  <si>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</si>
  <si>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折現年數（期中，自評價日）</t>
  </si>
  <si>
    <t xml:space="preserve">折現因子</t>
  </si>
  <si>
    <r>
      <rPr>
        <sz val="11"/>
        <color theme="1"/>
        <rFont val="Noto Sans CJK SC"/>
        <family val="2"/>
      </rPr>
      <t xml:space="preserve">評價用自由現金流＝營業現金流 − 股票薪酬 − 資本支出＋影子效益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</si>
  <si>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修正一：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Noto Sans CJK SC"/>
        <family val="2"/>
      </rPr>
      <t xml:space="preserve">股票薪酬視為現金成本；</t>
    </r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影子效益；在帳融資租賃本金不扣，改在權益橋減負債（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</si>
  <si>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評價用自由現金流現值</t>
  </si>
  <si>
    <r>
      <rPr>
        <sz val="11"/>
        <color theme="1"/>
        <rFont val="Noto Sans CJK SC"/>
        <family val="2"/>
      </rPr>
      <t xml:space="preserve">明確期現值合計（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</si>
  <si>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永續起點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評價口徑營業利益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</si>
  <si>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Noto Sans CJK SC"/>
        <family val="2"/>
      </rPr>
      <t xml:space="preserve">永續期自由現金流（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新投資報酬））</t>
    </r>
  </si>
  <si>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年底）</t>
    </r>
  </si>
  <si>
    <t xml:space="preserve">永續價值現值</t>
  </si>
  <si>
    <r>
      <rPr>
        <sz val="11"/>
        <color theme="1"/>
        <rFont val="Noto Sans CJK SC"/>
        <family val="2"/>
      </rPr>
      <t xml:space="preserve">股東權益價值＝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＋淨現金 − 在帳融資租賃負債（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</t>
    </r>
  </si>
  <si>
    <t xml:space="preserve">評價日到目標價時點已付的每股股利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</si>
  <si>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^t_roll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</si>
  <si>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</si>
  <si>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</si>
  <si>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：同業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多為股票薪酬加回口徑，分部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同口徑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</si>
  <si>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</si>
  <si>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</si>
  <si>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</si>
  <si>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</si>
  <si>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 EBITDA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營運成本＋影子效益）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</si>
  <si>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合計（評價口徑營業利益＋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折舊與股票薪酬分攤）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</si>
  <si>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其他（分部殘差；不含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</si>
  <si>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</si>
  <si>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（分部殘差按營收分）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</si>
  <si>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</si>
  <si>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AI </t>
    </r>
    <r>
      <rPr>
        <sz val="11"/>
        <color theme="1"/>
        <rFont val="Noto Sans CJK SC"/>
        <family val="2"/>
      </rPr>
      <t xml:space="preserve">折舊）−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資本支出（含汰換）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</si>
  <si>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模組自由現金流現值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</si>
  <si>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模組永續價值現值（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</si>
  <si>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，推到目標價時點）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</si>
  <si>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腿以自身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計入資本密集度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</si>
  <si>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NTM EBITDA × </t>
    </r>
    <r>
      <rPr>
        <sz val="11"/>
        <color theme="1"/>
        <rFont val="Noto Sans CJK SC"/>
        <family val="2"/>
      </rPr>
      <t xml:space="preserve">同業倍數（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</si>
  <si>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</si>
  <si>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</si>
  <si>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</si>
  <si>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</si>
  <si>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</si>
  <si>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</si>
  <si>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</si>
  <si>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</si>
  <si>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（目標價時點）</t>
    </r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</si>
  <si>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含租賃；</t>
    </r>
    <r>
      <rPr>
        <sz val="11"/>
        <color theme="1"/>
        <rFont val="Calibri"/>
        <family val="2"/>
        <charset val="1"/>
      </rPr>
      <t xml:space="preserve">Microsoft EBITDA </t>
    </r>
    <r>
      <rPr>
        <sz val="11"/>
        <color theme="1"/>
        <rFont val="Noto Sans CJK SC"/>
        <family val="2"/>
      </rPr>
      <t xml:space="preserve">已扣營業租金、未扣融資租賃折舊 → 減融資租賃負債</t>
    </r>
  </si>
  <si>
    <r>
      <rPr>
        <sz val="11"/>
        <color theme="1"/>
        <rFont val="Noto Sans CJK SC"/>
        <family val="2"/>
      </rPr>
      <t xml:space="preserve">情境目標價＝</t>
    </r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</si>
  <si>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</si>
  <si>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</si>
  <si>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）對照市場共識與公司指引；差距超過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者附原因。產品線層級的市場共識：未找到（免費資料源只提供合併層級）</t>
    </r>
  </si>
  <si>
    <r>
      <rPr>
        <b val="true"/>
        <sz val="11"/>
        <rFont val="Noto Sans CJK SC"/>
        <family val="2"/>
      </rPr>
      <t xml:space="preserve">模型（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</si>
  <si>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共識／指引</t>
  </si>
  <si>
    <t xml:space="preserve">差距</t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</si>
  <si>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</si>
  <si>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合併層級對共識（</t>
    </r>
    <r>
      <rPr>
        <b val="true"/>
        <sz val="11"/>
        <rFont val="Cambria"/>
        <family val="0"/>
        <charset val="1"/>
      </rPr>
      <t xml:space="preserve">MarketScreener 2026-10-08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營收與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另有 </t>
    </r>
    <r>
      <rPr>
        <b val="true"/>
        <sz val="11"/>
        <rFont val="Cambria"/>
        <family val="0"/>
        <charset val="1"/>
      </rPr>
      <t xml:space="preserve">S&amp;P 2026-10-26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</si>
  <si>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（對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</si>
  <si>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收入、其他線依近一年年增收斂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</si>
  <si>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</si>
  <si>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</si>
  <si>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</si>
  <si>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年折舊進損益，折舊上升快於共識（見報告第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</si>
  <si>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</si>
  <si>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</si>
  <si>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</si>
  <si>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（財報口徑；對 </t>
    </r>
    <r>
      <rPr>
        <sz val="11"/>
        <color theme="1"/>
        <rFont val="Calibri"/>
        <family val="2"/>
        <charset val="1"/>
      </rPr>
      <t xml:space="preserve">S&amp;P 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</si>
  <si>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（不含持股損益），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</si>
  <si>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GAAP</t>
    </r>
    <r>
      <rPr>
        <sz val="11"/>
        <color theme="1"/>
        <rFont val="Noto Sans CJK SC"/>
        <family val="2"/>
      </rPr>
      <t xml:space="preserve">）</t>
    </r>
  </si>
  <si>
    <t xml:space="preserve">EPS FY2029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</si>
  <si>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</si>
  <si>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拆法：模型含融資租賃（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融資租賃約 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取公司指引推估下限 </t>
    </r>
    <r>
      <rPr>
        <sz val="11"/>
        <color theme="1"/>
        <rFont val="Calibri"/>
        <family val="2"/>
        <charset val="1"/>
      </rPr>
      <t xml:space="preserve">204.2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</si>
  <si>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</si>
  <si>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成本＋汰換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</si>
  <si>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</si>
  <si>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分部與產品線對公司指引（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指引 </t>
    </r>
    <r>
      <rPr>
        <b val="true"/>
        <sz val="11"/>
        <rFont val="Cambria"/>
        <family val="0"/>
        <charset val="1"/>
      </rPr>
      <t xml:space="preserve">× 4 </t>
    </r>
    <r>
      <rPr>
        <b val="true"/>
        <sz val="11"/>
        <rFont val="Noto Sans CJK SC"/>
        <family val="2"/>
      </rPr>
      <t xml:space="preserve">只作量級參考；季節性未調整）</t>
    </r>
  </si>
  <si>
    <r>
      <rPr>
        <sz val="11"/>
        <color theme="1"/>
        <rFont val="Calibri"/>
        <family val="2"/>
        <charset val="1"/>
      </rPr>
      <t xml:space="preserve">Agents and Infra FY2027 ÷ 4 vs FY27Q1 </t>
    </r>
    <r>
      <rPr>
        <sz val="11"/>
        <color theme="1"/>
        <rFont val="Noto Sans CJK SC"/>
        <family val="2"/>
      </rPr>
      <t xml:space="preserve">指引中點</t>
    </r>
  </si>
  <si>
    <t xml:space="preserve">全年平均季對第一季：模型含年內成長，偏高屬拆法</t>
  </si>
  <si>
    <r>
      <rPr>
        <sz val="11"/>
        <color theme="1"/>
        <rFont val="Calibri"/>
        <family val="2"/>
        <charset val="1"/>
      </rPr>
      <t xml:space="preserve">Devices and Consumer FY2027 ÷ 4 vs FY27Q1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</si>
  <si>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季節性（第二季旺季）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</si>
  <si>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FY2027 ÷ 4 vs FY27Q1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</si>
  <si>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 vs FY27Q1 </t>
    </r>
    <r>
      <rPr>
        <sz val="11"/>
        <color theme="1"/>
        <rFont val="Noto Sans CJK SC"/>
        <family val="2"/>
      </rPr>
      <t xml:space="preserve">指引中點</t>
    </r>
  </si>
  <si>
    <t xml:space="preserve">公司只給第一季；全年未給</t>
  </si>
  <si>
    <r>
      <rPr>
        <sz val="11"/>
        <color theme="1"/>
        <rFont val="Noto Sans CJK SC"/>
        <family val="2"/>
      </rPr>
      <t xml:space="preserve">營業利益率變動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公司「下降不到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個百分點」</t>
    </r>
  </si>
  <si>
    <r>
      <rPr>
        <sz val="11"/>
        <color theme="1"/>
        <rFont val="Noto Sans CJK SC"/>
        <family val="2"/>
      </rPr>
      <t xml:space="preserve">觀點：模型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增加較多（</t>
    </r>
    <r>
      <rPr>
        <sz val="11"/>
        <color theme="1"/>
        <rFont val="Calibri"/>
        <family val="2"/>
        <charset val="1"/>
      </rPr>
      <t xml:space="preserve">AI IT 6 </t>
    </r>
    <r>
      <rPr>
        <sz val="11"/>
        <color theme="1"/>
        <rFont val="Noto Sans CJK SC"/>
        <family val="2"/>
      </rPr>
      <t xml:space="preserve">年、首年半年慣例）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</si>
  <si>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 ÷ 4 vs FY27Q1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&gt;50</t>
    </r>
    <r>
      <rPr>
        <sz val="11"/>
        <color theme="1"/>
        <rFont val="Noto Sans CJK SC"/>
        <family val="2"/>
      </rPr>
      <t xml:space="preserve">，公司口徑）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</si>
  <si>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命題驗證列（</t>
    </r>
    <r>
      <rPr>
        <b val="true"/>
        <sz val="11"/>
        <rFont val="Cambria"/>
        <family val="0"/>
        <charset val="1"/>
      </rPr>
      <t xml:space="preserve">C3</t>
    </r>
    <r>
      <rPr>
        <b val="true"/>
        <sz val="11"/>
        <rFont val="Noto Sans CJK SC"/>
        <family val="2"/>
      </rPr>
      <t xml:space="preserve">：只作驗證，不回頭校準）</t>
    </r>
  </si>
  <si>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業務年化（</t>
    </r>
    <r>
      <rPr>
        <sz val="11"/>
        <color theme="1"/>
        <rFont val="Calibri"/>
        <family val="2"/>
        <charset val="1"/>
      </rPr>
      <t xml:space="preserve">FY26Q3 &gt;37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</si>
  <si>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公司數字為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年化（期末水準），模型為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全年平均；要對上須期末對外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約多 </t>
    </r>
    <r>
      <rPr>
        <sz val="11"/>
        <color theme="1"/>
        <rFont val="Calibri"/>
        <family val="2"/>
        <charset val="1"/>
      </rPr>
      <t xml:space="preserve">20%–30%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</si>
  <si>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占比（模型）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</si>
  <si>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占比（不存在）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</si>
  <si>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（模型估計）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</si>
  <si>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營收（不存在）；座席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FY26Q4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</si>
  <si>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產品線層級市場共識</t>
    </r>
  </si>
  <si>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</si>
  <si>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新產品線口徑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才公布；免費資料源無產品線共識）</t>
    </r>
  </si>
  <si>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</si>
  <si>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</si>
  <si>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</si>
  <si>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</si>
  <si>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</si>
  <si>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</si>
  <si>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：市場共識</t>
    </r>
  </si>
  <si>
    <r>
      <rPr>
        <b val="true"/>
        <sz val="11"/>
        <rFont val="Cambria"/>
        <family val="0"/>
        <charset val="1"/>
      </rPr>
      <t xml:space="preserve">5. v0.3 vs v0.2.2</t>
    </r>
    <r>
      <rPr>
        <b val="true"/>
        <sz val="11"/>
        <rFont val="Noto Sans CJK SC"/>
        <family val="2"/>
      </rPr>
      <t xml:space="preserve">：目標價差異拆解（加總＝總變動）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</si>
  <si>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</si>
  <si>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① 評價權重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 → 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的兩條腿）</t>
    </r>
  </si>
  <si>
    <t xml:space="preserve">方法</t>
  </si>
  <si>
    <r>
      <rPr>
        <sz val="11"/>
        <color theme="1"/>
        <rFont val="Calibri"/>
        <family val="2"/>
        <charset val="1"/>
      </rPr>
      <t xml:space="preserve">② DCF </t>
    </r>
    <r>
      <rPr>
        <sz val="11"/>
        <color theme="1"/>
        <rFont val="Noto Sans CJK SC"/>
        <family val="2"/>
      </rPr>
      <t xml:space="preserve">腿：</t>
    </r>
    <r>
      <rPr>
        <sz val="11"/>
        <color theme="1"/>
        <rFont val="Calibri"/>
        <family val="2"/>
        <charset val="1"/>
      </rPr>
      <t xml:space="preserve">v0.2.2 DCF → v0.3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</si>
  <si>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營收結構（分部＋產品線）、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折舊進損益與稅、資本支出路徑、永續期口徑</t>
    </r>
  </si>
  <si>
    <r>
      <rPr>
        <sz val="11"/>
        <color theme="1"/>
        <rFont val="Noto Sans CJK SC"/>
        <family val="2"/>
      </rPr>
      <t xml:space="preserve">③ 倍數腿：</t>
    </r>
    <r>
      <rPr>
        <sz val="11"/>
        <color theme="1"/>
        <rFont val="Calibri"/>
        <family val="2"/>
        <charset val="1"/>
      </rPr>
      <t xml:space="preserve">v0.2.2 EV/EBITDA → v0.3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</si>
  <si>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各同業倍數（取代 </t>
    </r>
    <r>
      <rPr>
        <sz val="11"/>
        <color theme="1"/>
        <rFont val="Calibri"/>
        <family val="2"/>
        <charset val="1"/>
      </rPr>
      <t xml:space="preserve">AI 6×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加權倍數）</t>
    </r>
  </si>
  <si>
    <r>
      <rPr>
        <sz val="11"/>
        <color theme="1"/>
        <rFont val="Noto Sans CJK SC"/>
        <family val="2"/>
      </rPr>
      <t xml:space="preserve">④ 情境加權：基準情境 →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</si>
  <si>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以基準情境為點位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</si>
  <si>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加權目標價（修正一）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</si>
  <si>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＋ ①＋②＋③＋④ −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</si>
  <si>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一次動一個驅動，三情境全部重算後的加權目標價（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；主值讀法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）；下方列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起為各案例的完整引擎區塊（與主模型同一個函式）</t>
    </r>
  </si>
  <si>
    <t xml:space="preserve">案例</t>
  </si>
  <si>
    <t xml:space="preserve">驅動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</si>
  <si>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</si>
  <si>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</si>
  <si>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相對基準 </t>
    </r>
    <r>
      <rPr>
        <b val="true"/>
        <sz val="11"/>
        <rFont val="Cambria"/>
        <family val="0"/>
        <charset val="1"/>
      </rPr>
      <t xml:space="preserve">%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</si>
  <si>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</si>
  <si>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命題：自用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</t>
    </r>
  </si>
  <si>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不計影子效益（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</si>
  <si>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t xml:space="preserve">k −15%</t>
  </si>
  <si>
    <r>
      <rPr>
        <sz val="11"/>
        <color theme="1"/>
        <rFont val="Noto Sans CJK SC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</si>
  <si>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0.85</t>
    </r>
  </si>
  <si>
    <t xml:space="preserve">k +15%</t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</si>
  <si>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1.15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</si>
  <si>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50%</t>
    </r>
  </si>
  <si>
    <t xml:space="preserve">命題：對外比例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</si>
  <si>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＝對外 </t>
    </r>
    <r>
      <rPr>
        <sz val="11"/>
        <color theme="1"/>
        <rFont val="Calibri"/>
        <family val="2"/>
        <charset val="1"/>
      </rPr>
      <t xml:space="preserve">÷ 50%</t>
    </r>
    <r>
      <rPr>
        <sz val="11"/>
        <color theme="1"/>
        <rFont val="Noto Sans CJK SC"/>
        <family val="2"/>
      </rPr>
      <t xml:space="preserve">（同樣對外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要多建自用）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</si>
  <si>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</si>
  <si>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：最大不確定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</si>
  <si>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</si>
  <si>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</si>
  <si>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+650</t>
    </r>
    <r>
      <rPr>
        <sz val="11"/>
        <color theme="1"/>
        <rFont val="Noto Sans CJK SC"/>
        <family val="2"/>
      </rPr>
      <t xml:space="preserve">、上限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保守情境）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</si>
  <si>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</si>
  <si>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前每年 </t>
    </r>
    <r>
      <rPr>
        <sz val="11"/>
        <color theme="1"/>
        <rFont val="Calibri"/>
        <family val="2"/>
        <charset val="1"/>
      </rPr>
      <t xml:space="preserve">+3,033</t>
    </r>
    <r>
      <rPr>
        <sz val="11"/>
        <color theme="1"/>
        <rFont val="Noto Sans CJK SC"/>
        <family val="2"/>
      </rPr>
      <t xml:space="preserve">，之後同樣收斂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</si>
  <si>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</si>
  <si>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</t>
    </r>
  </si>
  <si>
    <t xml:space="preserve">折舊與汰換提前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</si>
  <si>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</si>
  <si>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−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</si>
  <si>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</t>
    </r>
  </si>
  <si>
    <t xml:space="preserve">各情境每年淨增座席減半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</si>
  <si>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</si>
  <si>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</si>
  <si>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</t>
    </r>
  </si>
  <si>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、基準實收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（預測期）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</si>
  <si>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</si>
  <si>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</si>
  <si>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其他成長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</si>
  <si>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</si>
  <si>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</si>
  <si>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</si>
  <si>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Search and advertising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</si>
  <si>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</si>
  <si>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</si>
  <si>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</si>
  <si>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</si>
  <si>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</si>
  <si>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</si>
  <si>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分部利益率 −</t>
    </r>
    <r>
      <rPr>
        <sz val="11"/>
        <color theme="1"/>
        <rFont val="Calibri"/>
        <family val="2"/>
        <charset val="1"/>
      </rPr>
      <t xml:space="preserve">2pt</t>
    </r>
  </si>
  <si>
    <t xml:space="preserve">業務：分部利益率</t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</si>
  <si>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利益率同減</t>
    </r>
  </si>
  <si>
    <r>
      <rPr>
        <sz val="11"/>
        <color theme="1"/>
        <rFont val="Noto Sans CJK SC"/>
        <family val="2"/>
      </rPr>
      <t xml:space="preserve">分部利益率 </t>
    </r>
    <r>
      <rPr>
        <sz val="11"/>
        <color theme="1"/>
        <rFont val="Calibri"/>
        <family val="2"/>
        <charset val="1"/>
      </rPr>
      <t xml:space="preserve">+2pt</t>
    </r>
  </si>
  <si>
    <t xml:space="preserve">WACC −1pt</t>
  </si>
  <si>
    <r>
      <rPr>
        <sz val="11"/>
        <color theme="1"/>
        <rFont val="Noto Sans CJK SC"/>
        <family val="2"/>
      </rPr>
      <t xml:space="preserve">評價：</t>
    </r>
    <r>
      <rPr>
        <sz val="11"/>
        <color theme="1"/>
        <rFont val="Calibri"/>
        <family val="2"/>
        <charset val="1"/>
      </rPr>
      <t xml:space="preserve">WACC</t>
    </r>
  </si>
  <si>
    <t xml:space="preserve">只改折現（營運不變）</t>
  </si>
  <si>
    <t xml:space="preserve">WACC +1pt</t>
  </si>
  <si>
    <t xml:space="preserve">g 2%</t>
  </si>
  <si>
    <t xml:space="preserve">評價：永續成長</t>
  </si>
  <si>
    <t xml:space="preserve">g 4%</t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</si>
  <si>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</si>
  <si>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評價：永續期新投資報酬</t>
  </si>
  <si>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為判斷，列敏感度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</si>
  <si>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−</t>
    </r>
    <r>
      <rPr>
        <sz val="11"/>
        <color theme="1"/>
        <rFont val="Calibri"/>
        <family val="2"/>
        <charset val="1"/>
      </rPr>
      <t xml:space="preserve">20%</t>
    </r>
  </si>
  <si>
    <t xml:space="preserve">評價：同業倍數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</si>
  <si>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產品線倍數同乘（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模組為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，不受影響）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</si>
  <si>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+20%</t>
    </r>
  </si>
  <si>
    <r>
      <rPr>
        <b val="true"/>
        <sz val="11"/>
        <rFont val="Noto Sans CJK SC"/>
        <family val="2"/>
      </rPr>
      <t xml:space="preserve">判斷預設的替代（報告第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節）：每列只改一項，其餘同基準</t>
    </r>
  </si>
  <si>
    <t xml:space="preserve">替代</t>
  </si>
  <si>
    <t xml:space="preserve">影響範圍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</si>
  <si>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情境改用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速度（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／年，上限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）</t>
    </r>
  </si>
  <si>
    <t xml:space="preserve">C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</si>
  <si>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改用長約低端（</t>
    </r>
    <r>
      <rPr>
        <sz val="11"/>
        <color theme="1"/>
        <rFont val="Calibri"/>
        <family val="2"/>
        <charset val="1"/>
      </rPr>
      <t xml:space="preserve">k_long_lo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價格軸低）</t>
    </r>
  </si>
  <si>
    <r>
      <rPr>
        <sz val="11"/>
        <color theme="1"/>
        <rFont val="Noto Sans CJK SC"/>
        <family val="2"/>
      </rPr>
      <t xml:space="preserve">永續期改用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</si>
  <si>
    <t xml:space="preserve">三情境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</si>
  <si>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自身倍數 </t>
    </r>
    <r>
      <rPr>
        <sz val="11"/>
        <color theme="1"/>
        <rFont val="Calibri"/>
        <family val="2"/>
        <charset val="1"/>
      </rPr>
      <t xml:space="preserve">15.67×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</si>
  <si>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（重組時比例）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</si>
  <si>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、無流動性折價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</si>
  <si>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</t>
    </r>
  </si>
  <si>
    <t xml:space="preserve">評價權重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</si>
  <si>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</si>
  <si>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情境權重改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</si>
  <si>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只用基準情境 </t>
    </r>
    <r>
      <rPr>
        <sz val="11"/>
        <color theme="1"/>
        <rFont val="Calibri"/>
        <family val="2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</si>
  <si>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讀法：龍捲風以加權目標價的變動排序；命題驅動（自用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讀法、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折舊年限、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）與業務驅動、評價參數並列。判斷預設的替代見上表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</si>
  <si>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</si>
  <si>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</si>
  <si>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</si>
  <si>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</si>
  <si>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</si>
  <si>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</si>
  <si>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</si>
  <si>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</si>
  <si>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</si>
  <si>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</si>
  <si>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</si>
  <si>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</si>
  <si>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</si>
  <si>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</si>
  <si>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</si>
  <si>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</si>
  <si>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</si>
  <si>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</si>
  <si>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</si>
  <si>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</si>
  <si>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</si>
  <si>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</si>
  <si>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</si>
  <si>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</si>
  <si>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</si>
  <si>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</si>
  <si>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</si>
  <si>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</si>
  <si>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</si>
  <si>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</si>
  <si>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</si>
  <si>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</si>
  <si>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</si>
  <si>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</si>
  <si>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</si>
  <si>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</si>
  <si>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</si>
  <si>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</si>
  <si>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</si>
  <si>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</si>
  <si>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</si>
  <si>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</si>
  <si>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</si>
  <si>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</si>
  <si>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</si>
  <si>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</si>
  <si>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</si>
  <si>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</si>
  <si>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</si>
  <si>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</si>
  <si>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</si>
  <si>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</si>
  <si>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</si>
  <si>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</si>
  <si>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</si>
  <si>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</si>
  <si>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</si>
  <si>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</si>
  <si>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</si>
  <si>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</si>
  <si>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</si>
  <si>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</si>
  <si>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</si>
  <si>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</si>
  <si>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</si>
  <si>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</si>
  <si>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</si>
  <si>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</si>
  <si>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</si>
  <si>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</si>
  <si>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</si>
  <si>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</si>
  <si>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</si>
  <si>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</si>
  <si>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</si>
  <si>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</si>
  <si>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</si>
  <si>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</si>
  <si>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</si>
  <si>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</si>
  <si>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</si>
  <si>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</si>
  <si>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</si>
  <si>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</si>
  <si>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</si>
  <si>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</si>
  <si>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</si>
  <si>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</si>
  <si>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</si>
  <si>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</si>
  <si>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</si>
  <si>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</si>
  <si>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</si>
  <si>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</si>
  <si>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</si>
  <si>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</si>
  <si>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</si>
  <si>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</si>
  <si>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</si>
  <si>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</si>
  <si>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</si>
  <si>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</si>
  <si>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</si>
  <si>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</si>
  <si>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</si>
  <si>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</si>
  <si>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</si>
  <si>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</si>
  <si>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</si>
  <si>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</si>
  <si>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</si>
  <si>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</si>
  <si>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</si>
  <si>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</si>
  <si>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</si>
  <si>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</si>
  <si>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</si>
  <si>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</si>
  <si>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</si>
  <si>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</si>
  <si>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</si>
  <si>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</si>
  <si>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</si>
  <si>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</si>
  <si>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</si>
  <si>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</si>
  <si>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</si>
  <si>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</si>
  <si>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</si>
  <si>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</si>
  <si>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</si>
  <si>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</si>
  <si>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</si>
  <si>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</si>
  <si>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</si>
  <si>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</si>
  <si>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</si>
  <si>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</si>
  <si>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</si>
  <si>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</si>
  <si>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</si>
  <si>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</si>
  <si>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</si>
  <si>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</si>
  <si>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</si>
  <si>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</si>
  <si>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</si>
  <si>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</si>
  <si>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</si>
  <si>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</si>
  <si>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</si>
  <si>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</si>
  <si>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</si>
  <si>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</si>
  <si>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</si>
  <si>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</si>
  <si>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</si>
  <si>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</si>
  <si>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</si>
  <si>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</si>
  <si>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</si>
  <si>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</si>
  <si>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</si>
  <si>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</si>
  <si>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</si>
  <si>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</si>
  <si>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</si>
  <si>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</si>
  <si>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</si>
  <si>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</si>
  <si>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</si>
  <si>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</si>
  <si>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</si>
  <si>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</si>
  <si>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</si>
  <si>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</si>
  <si>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</si>
  <si>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</si>
  <si>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</si>
  <si>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</si>
  <si>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</si>
  <si>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</si>
  <si>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</si>
  <si>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</si>
  <si>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</si>
  <si>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</si>
  <si>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</si>
  <si>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</si>
  <si>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</si>
  <si>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</si>
  <si>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</si>
  <si>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</si>
  <si>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</si>
  <si>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</si>
  <si>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</si>
  <si>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</si>
  <si>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</si>
  <si>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</si>
  <si>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</si>
  <si>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</si>
  <si>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</si>
  <si>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</si>
  <si>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</si>
  <si>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</si>
  <si>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</si>
  <si>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</si>
  <si>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</si>
  <si>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</si>
  <si>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</si>
  <si>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</si>
  <si>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</si>
  <si>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</si>
  <si>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</si>
  <si>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</si>
  <si>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</si>
  <si>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</si>
  <si>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</si>
  <si>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</si>
  <si>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</si>
  <si>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</si>
  <si>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</si>
  <si>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</si>
  <si>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</si>
  <si>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</si>
  <si>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</si>
  <si>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</si>
  <si>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</si>
  <si>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</si>
  <si>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</si>
  <si>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</si>
  <si>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</si>
  <si>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</si>
  <si>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</si>
  <si>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</si>
  <si>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</si>
  <si>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</si>
  <si>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</si>
  <si>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</si>
  <si>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</si>
  <si>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</si>
  <si>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</si>
  <si>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</si>
  <si>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</si>
  <si>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</si>
  <si>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</si>
  <si>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</si>
  <si>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</si>
  <si>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</si>
  <si>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</si>
  <si>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</si>
  <si>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</si>
  <si>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</si>
  <si>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</si>
  <si>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</si>
  <si>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</si>
  <si>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</si>
  <si>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</si>
  <si>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</si>
  <si>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</si>
  <si>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</si>
  <si>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</si>
  <si>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</si>
  <si>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</si>
  <si>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</si>
  <si>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</si>
  <si>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</si>
  <si>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</si>
  <si>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</si>
  <si>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</si>
  <si>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</si>
  <si>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</si>
  <si>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</si>
  <si>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</si>
  <si>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</si>
  <si>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</si>
  <si>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</si>
  <si>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</si>
  <si>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</si>
  <si>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</si>
  <si>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</si>
  <si>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</si>
  <si>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</si>
  <si>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</si>
  <si>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</si>
  <si>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</si>
  <si>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</si>
  <si>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</si>
  <si>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</si>
  <si>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</si>
  <si>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</si>
  <si>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</si>
  <si>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</si>
  <si>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</si>
  <si>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</si>
  <si>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</si>
  <si>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</si>
  <si>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</si>
  <si>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</si>
  <si>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</si>
  <si>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</si>
  <si>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</si>
  <si>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</si>
  <si>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</si>
  <si>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</si>
  <si>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</si>
  <si>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</si>
  <si>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</si>
  <si>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</si>
  <si>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</si>
  <si>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</si>
  <si>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</si>
  <si>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</si>
  <si>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</si>
  <si>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</si>
  <si>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</si>
  <si>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</si>
  <si>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</si>
  <si>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</si>
  <si>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</si>
  <si>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</si>
  <si>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</si>
  <si>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</si>
  <si>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</si>
  <si>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</si>
  <si>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</si>
  <si>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</si>
  <si>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</si>
  <si>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</si>
  <si>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</si>
  <si>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</si>
  <si>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</si>
  <si>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</si>
  <si>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</si>
  <si>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</si>
  <si>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</si>
  <si>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</si>
  <si>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</si>
  <si>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</si>
  <si>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</si>
  <si>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</si>
  <si>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</si>
  <si>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</si>
  <si>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</si>
  <si>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</si>
  <si>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</si>
  <si>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</si>
  <si>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</si>
  <si>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永續期自由現金流（替代：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</si>
  <si>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</si>
  <si>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</si>
  <si>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</si>
  <si>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</si>
  <si>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</si>
  <si>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</si>
  <si>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</si>
  <si>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</si>
  <si>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</si>
  <si>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</si>
  <si>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</si>
  <si>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編號</t>
  </si>
  <si>
    <t xml:space="preserve">文件</t>
  </si>
  <si>
    <t xml:space="preserve">網址</t>
  </si>
  <si>
    <r>
      <rPr>
        <sz val="11"/>
        <color theme="1"/>
        <rFont val="Calibri"/>
        <family val="2"/>
        <charset val="1"/>
      </rPr>
      <t xml:space="preserve">Microsoft Form 10-K FY2026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，經查核）</t>
    </r>
  </si>
  <si>
    <t xml:space="preserve">2026-07-29</t>
  </si>
  <si>
    <t xml:space="preserve">https://www.sec.gov/Archives/edgar/data/789019/000119312526323660/msft-20260630.htm</t>
  </si>
  <si>
    <r>
      <rPr>
        <sz val="11"/>
        <color theme="1"/>
        <rFont val="Calibri"/>
        <family val="2"/>
        <charset val="1"/>
      </rPr>
      <t xml:space="preserve">Microsoft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Segments and Investor Metrics</t>
    </r>
    <r>
      <rPr>
        <sz val="11"/>
        <color theme="1"/>
        <rFont val="Noto Sans CJK SC"/>
        <family val="2"/>
      </rPr>
      <t xml:space="preserve">（分部重編、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金額、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調整後指引）</t>
    </r>
  </si>
  <si>
    <t xml:space="preserve">2026-09-02</t>
  </si>
  <si>
    <t xml:space="preserve">https://www.sec.gov/Archives/edgar/data/789019/000119312526380280/d291965dex991.htm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</si>
  <si>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</si>
  <si>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Microsoft FY26 </t>
    </r>
    <r>
      <rPr>
        <sz val="11"/>
        <color theme="1"/>
        <rFont val="Noto Sans CJK SC"/>
        <family val="2"/>
      </rPr>
      <t xml:space="preserve">各季財報新聞稿與法說（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</si>
  <si>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2026-07-29</t>
    </r>
  </si>
  <si>
    <t xml:space="preserve">https://www.microsoft.com/en-us/investor/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</si>
  <si>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</si>
  <si>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起；每筆附來源、日期、標記）</t>
    </r>
  </si>
  <si>
    <t xml:space="preserve">microsoft/data/microsoft_facts_20261008.json</t>
  </si>
  <si>
    <t xml:space="preserve">依各筆</t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</si>
  <si>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20261024_Tokenomics_v21.4.xlsx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3ac70ac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</si>
  <si>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</si>
  <si>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t xml:space="preserve">microsoft/data/tokenomics_snapshot_v21.4.json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</si>
  <si>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牌價）</t>
    </r>
  </si>
  <si>
    <t xml:space="preserve">microsoft/data/kevidence_microsoft_20261008.json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</si>
  <si>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</si>
  <si>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</si>
  <si>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統計頁（收盤 </t>
    </r>
    <r>
      <rPr>
        <sz val="11"/>
        <color theme="1"/>
        <rFont val="Calibri"/>
        <family val="2"/>
        <charset val="1"/>
      </rPr>
      <t xml:space="preserve">532.60</t>
    </r>
    <r>
      <rPr>
        <sz val="11"/>
        <color theme="1"/>
        <rFont val="Noto Sans CJK SC"/>
        <family val="2"/>
      </rPr>
      <t xml:space="preserve">）</t>
    </r>
  </si>
  <si>
    <t xml:space="preserve">2026-10-26</t>
  </si>
  <si>
    <t xml:space="preserve">https://stockanalysis.com/stocks/msft/statistics/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</si>
  <si>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預測頁（共識目標價 </t>
    </r>
    <r>
      <rPr>
        <sz val="11"/>
        <color theme="1"/>
        <rFont val="Calibri"/>
        <family val="2"/>
        <charset val="1"/>
      </rPr>
      <t xml:space="preserve">603.43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391.6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19.76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</si>
  <si>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https://stockanalysis.com/stocks/msft/forecast/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</si>
  <si>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</si>
  <si>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microsoft/data/peers_cloud_20261008.json</t>
  </si>
  <si>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</si>
  <si>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t xml:space="preserve">microsoft/data/peers_ads_20261009.json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</si>
  <si>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</si>
  <si>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t xml:space="preserve">2026-10-09</t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</si>
  <si>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</si>
  <si>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成品（對照）</t>
    </r>
  </si>
  <si>
    <r>
      <rPr>
        <sz val="11"/>
        <color theme="1"/>
        <rFont val="Calibri"/>
        <family val="2"/>
        <charset val="1"/>
      </rPr>
      <t xml:space="preserve">microsoft/dist/_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_v0_2_2.xlsx</t>
    </r>
  </si>
  <si>
    <t xml:space="preserve">個股模型原則（命題＋營收分部）</t>
  </si>
  <si>
    <t xml:space="preserve">2026-10-27</t>
  </si>
  <si>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</si>
  <si>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MAG v0.3 </t>
    </r>
    <r>
      <rPr>
        <sz val="11"/>
        <color theme="1"/>
        <rFont val="Noto Sans CJK SC"/>
        <family val="2"/>
      </rPr>
      <t xml:space="preserve">工作單</t>
    </r>
  </si>
  <si>
    <r>
      <rPr>
        <sz val="11"/>
        <color theme="1"/>
        <rFont val="Calibri"/>
        <family val="2"/>
        <charset val="1"/>
      </rPr>
      <t xml:space="preserve">mag/docs/workorders/20261027_MAG_v0.3_</t>
    </r>
    <r>
      <rPr>
        <sz val="11"/>
        <color theme="1"/>
        <rFont val="Noto Sans CJK SC"/>
        <family val="2"/>
      </rPr>
      <t xml:space="preserve">個股模型重建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</si>
  <si>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Noto Sans CJK SC"/>
        <family val="2"/>
      </rPr>
      <t xml:space="preserve">未找到：產品線層級市場共識；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年底座席；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商用座席數（事實總帳未收）；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個別長債殖利率；遊戲與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倍數（改用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</si>
</sst>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0"/>
    <numFmt numFmtId="166" formatCode="#,##0.0"/>
    <numFmt numFmtId="167" formatCode="0.0%"/>
    <numFmt numFmtId="168" formatCode="0.00"/>
    <numFmt numFmtId="169" formatCode="0.000"/>
    <numFmt numFmtId="170" formatCode="yyyy\-mm\-dd"/>
    <numFmt numFmtId="171" formatCode="#,##0.000"/>
    <numFmt numFmtId="172" formatCode="0%"/>
    <numFmt numFmtId="173" formatCode="0"/>
    <numFmt numFmtId="174" formatCode="#,##0"/>
    <numFmt numFmtId="175" formatCode="@"/>
    <numFmt numFmtId="176" formatCode="0.00%"/>
    <numFmt numFmtId="177" formatCode="0.0"/>
    <numFmt numFmtId="178" formatCode="\+0.0%;\-0.0%"/>
    <numFmt numFmtId="179" formatCode="\+#,##0.00;\-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5" min="2" style="0" width="24"/>
  </cols>
  <sheetData>
    <row r="1" customFormat="false" ht="17.15" hidden="false" customHeight="false" outlineLevel="0" collapsed="false">
      <c r="A1" s="0" t="s">
        <v>0</v>
      </c>
    </row>
    <row r="2" customFormat="false" ht="17.15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64.15" hidden="false" customHeight="false" outlineLevel="0" collapsed="false">
      <c r="A5" s="2" t="str">
        <f aca="false">"① 命題答案（FY2029，基準情境 B）：讀法 2（主值；自用 AI 價值中性）AI 增量 ROIC "&amp;TEXT(Thesis!H96,"0.0%")&amp;"，讀法 1（自用 AI 只計成本）"&amp;TEXT(Thesis!H97,"0.0%")&amp;"，WACC "&amp;TEXT(wacc,"0.0%")&amp;"；對外 Azure AI 本身 "&amp;TEXT(Thesis!H99,"0.0%")&amp;"。讀法 1 下 AI 容量越大、目標價越低（自用算力只有成本）；讀法 2 下容量增加對目標價中性偏正（敏感度：MW 速度改 Epoch 可辨識站點 "&amp;TEXT(Sens!D9,"+0.0;-0.0")&amp;"、+20% "&amp;TEXT(Sens!D10,"+0.0;-0.0")&amp;"）。AI 折舊 FY2026 "&amp;TEXT(Thesis!E89,"0.0")&amp;" → FY2029 "&amp;TEXT(Thesis!H89,"0.0")&amp;" 十億美元，財報口徑營業利益率 FY2029 "&amp;TEXT(PL!H76,"0.0%")&amp;"（FY2026 "&amp;TEXT(PL!E76,"0.0%")&amp;"）。"</f>
        <v>① 命題答案（FY2029，基準情境 B）：讀法 2（主值；自用 AI 價值中性）AI 增量 ROIC 10.6%，讀法 1（自用 AI 只計成本）1.1%，WACC 10.3%；對外 Azure AI 本身 13.1%。讀法 1 下 AI 容量越大、目標價越低（自用算力只有成本）；讀法 2 下容量增加對目標價中性偏正（敏感度：MW 速度改 Epoch 可辨識站點 -48.0、+20% +4.5）。AI 折舊 FY2026 16.3 → FY2029 87.7 十億美元，財報口徑營業利益率 FY2029 39.3%（FY2026 46.8%）。</v>
      </c>
    </row>
    <row r="6" customFormat="false" ht="32.8" hidden="false" customHeight="false" outlineLevel="0" collapsed="false">
      <c r="A6" s="2" t="str">
        <f aca="false">"② 收支關卡：基準情境首年起五年（FY2027–FY2031）自由現金流扣股利合計 "&amp;TEXT(CF!C5,"#,##0.0")&amp;" 十億美元（樂觀 "&amp;TEXT(CF!B5,"#,##0.0")&amp;"、保守 "&amp;TEXT(CF!D5,"#,##0.0")&amp;"）；"&amp;CF!C6&amp;"。"</f>
        <v>② 收支關卡：基準情境首年起五年（FY2027–FY2031）自由現金流扣股利合計 274.0 十億美元（樂觀 378.6、保守 151.4）；需要舉債 9.8 十億美元；回購較每年 22.3 的目標少 43.9 十億美元（2 年減少）。</v>
      </c>
    </row>
    <row r="7" customFormat="false" ht="32.8" hidden="false" customHeight="false" outlineLevel="0" collapsed="false">
      <c r="A7" s="2" t="str">
        <f aca="false">"③ 評價：加權目標價 "&amp;TEXT(Val!$B$36,"#,##0")&amp;" 美元（讀法 2），較現價 "&amp;TEXT(px,"#,##0.00")&amp;" "&amp;TEXT(Val!$B$40,"+0.0%;-0.0%")&amp;"；DCF "&amp;TEXT(Val!$B$14,"#,##0")&amp;"、分部加總 "&amp;TEXT(Val!$B$31,"#,##0")&amp;"；讀法 1 目標價 "&amp;TEXT(Val!$B$47,"#,##0")&amp;"（"&amp;Val!$B$49&amp;"）；市場共識 "&amp;TEXT(cons_tp,"#,##0")&amp;"。WACC "&amp;TEXT(wacc,"0.0%")&amp;"（−1pt 時目標價 "&amp;TEXT(Sens!C25,"#,##0")&amp;"）；非 AI 各線改用 Microsoft 自身 NTM EV/EBITDA "&amp;TEXT(m_own,"0.0")&amp;"× 時目標價 "&amp;TEXT(Sens!C38,"#,##0")&amp;"。"</f>
        <v>③ 評價：加權目標價 389 美元（讀法 2），較現價 532.60 -27.0%；DCF 342、分部加總 436；讀法 1 目標價 304（放空）；市場共識 603。WACC 10.3%（−1pt 時目標價 413）；非 AI 各線改用 Microsoft 自身 NTM EV/EBITDA 15.7× 時目標價 455。</v>
      </c>
    </row>
    <row r="8" customFormat="false" ht="32.8" hidden="false" customHeight="false" outlineLevel="0" collapsed="false">
      <c r="A8" s="2" t="str">
        <f aca="false">"投資建議："&amp;Val!$B$43&amp;"（讀法 2 主值；上檔空間 "&amp;TEXT(Val!$B$40,"+0.0%;-0.0%")&amp;"；讀法 1："&amp;Val!$B$49&amp;"；五級固定規則：≥ +50% 強力買進、+25%～+50% 買進、−25%～+25% 中立、−50%～−25% 放空、≤ −50% 強力放空）"</f>
        <v>投資建議：放空（讀法 2 主值；上檔空間 -27.0%；讀法 1：放空；五級固定規則：≥ +50% 強力買進、+25%～+50% 買進、−25%～+25% 中立、−50%～−25% 放空、≤ −50% 強力放空）</v>
      </c>
    </row>
    <row r="9" customFormat="false" ht="17.15" hidden="false" customHeight="false" outlineLevel="0" collapsed="false">
      <c r="A9" s="2" t="str">
        <f aca="false">"收支關卡（地圖）：CF 頁「收支關卡：自由現金流扣股利（五年合計）」基準 "&amp;TEXT(CF!C5,"#,##0.0")&amp;" 十億美元（財報現金，不含影子效益）"</f>
        <v>收支關卡（地圖）：CF 頁「收支關卡：自由現金流扣股利（五年合計）」基準 274.0 十億美元（財報現金，不含影子效益）</v>
      </c>
    </row>
    <row r="11" customFormat="false" ht="15" hidden="false" customHeight="false" outlineLevel="0" collapsed="false">
      <c r="A11" s="3" t="s">
        <v>4</v>
      </c>
    </row>
    <row r="12" customFormat="false" ht="17.1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8</v>
      </c>
      <c r="E12" s="4" t="s">
        <v>9</v>
      </c>
    </row>
    <row r="13" customFormat="false" ht="17.15" hidden="false" customHeight="false" outlineLevel="0" collapsed="false">
      <c r="A13" s="0" t="s">
        <v>10</v>
      </c>
      <c r="B13" s="0" t="s">
        <v>11</v>
      </c>
      <c r="C13" s="1" t="s">
        <v>12</v>
      </c>
      <c r="D13" s="0" t="s">
        <v>13</v>
      </c>
      <c r="E13" s="5" t="n">
        <f aca="false">Thesis!H57</f>
        <v>10831.6</v>
      </c>
    </row>
    <row r="14" customFormat="false" ht="17.15" hidden="false" customHeight="false" outlineLevel="0" collapsed="false">
      <c r="A14" s="0" t="s">
        <v>10</v>
      </c>
      <c r="B14" s="0" t="s">
        <v>14</v>
      </c>
      <c r="C14" s="1" t="s">
        <v>15</v>
      </c>
      <c r="D14" s="0" t="s">
        <v>16</v>
      </c>
      <c r="E14" s="5" t="n">
        <f aca="false">Thesis!H71</f>
        <v>13.0472022091214</v>
      </c>
    </row>
    <row r="15" customFormat="false" ht="17.15" hidden="false" customHeight="false" outlineLevel="0" collapsed="false">
      <c r="A15" s="0" t="s">
        <v>10</v>
      </c>
      <c r="B15" s="0" t="s">
        <v>17</v>
      </c>
      <c r="C15" s="0" t="s">
        <v>18</v>
      </c>
      <c r="D15" s="1" t="s">
        <v>19</v>
      </c>
      <c r="E15" s="5" t="n">
        <f aca="false">Thesis!H89</f>
        <v>87.7423159931396</v>
      </c>
    </row>
    <row r="16" customFormat="false" ht="17.15" hidden="false" customHeight="false" outlineLevel="0" collapsed="false">
      <c r="A16" s="0" t="s">
        <v>20</v>
      </c>
      <c r="B16" s="0" t="s">
        <v>21</v>
      </c>
      <c r="C16" s="0" t="s">
        <v>22</v>
      </c>
      <c r="D16" s="1" t="s">
        <v>23</v>
      </c>
      <c r="E16" s="5" t="n">
        <f aca="false">Seg!H38</f>
        <v>24</v>
      </c>
    </row>
    <row r="17" customFormat="false" ht="17.15" hidden="false" customHeight="false" outlineLevel="0" collapsed="false">
      <c r="A17" s="0" t="s">
        <v>20</v>
      </c>
      <c r="B17" s="0" t="s">
        <v>24</v>
      </c>
      <c r="C17" s="1" t="s">
        <v>25</v>
      </c>
      <c r="D17" s="1" t="s">
        <v>26</v>
      </c>
      <c r="E17" s="5" t="n">
        <f aca="false">Seg!H56</f>
        <v>552.773101018903</v>
      </c>
    </row>
    <row r="18" customFormat="false" ht="17.15" hidden="false" customHeight="false" outlineLevel="0" collapsed="false">
      <c r="A18" s="0" t="s">
        <v>27</v>
      </c>
      <c r="B18" s="1" t="s">
        <v>28</v>
      </c>
      <c r="C18" s="0" t="s">
        <v>29</v>
      </c>
      <c r="D18" s="1" t="s">
        <v>30</v>
      </c>
      <c r="E18" s="5" t="n">
        <f aca="false">PL!H71</f>
        <v>196.822554588626</v>
      </c>
    </row>
    <row r="19" customFormat="false" ht="17.15" hidden="false" customHeight="false" outlineLevel="0" collapsed="false">
      <c r="A19" s="0" t="s">
        <v>27</v>
      </c>
      <c r="B19" s="0" t="s">
        <v>31</v>
      </c>
      <c r="C19" s="1" t="s">
        <v>32</v>
      </c>
      <c r="D19" s="1" t="s">
        <v>33</v>
      </c>
      <c r="E19" s="5" t="n">
        <f aca="false">PL!H88</f>
        <v>28.4918969691705</v>
      </c>
    </row>
    <row r="20" customFormat="false" ht="17.15" hidden="false" customHeight="false" outlineLevel="0" collapsed="false">
      <c r="A20" s="0" t="s">
        <v>34</v>
      </c>
      <c r="B20" s="0" t="s">
        <v>35</v>
      </c>
      <c r="C20" s="1" t="s">
        <v>36</v>
      </c>
      <c r="D20" s="1" t="s">
        <v>37</v>
      </c>
      <c r="E20" s="5" t="n">
        <f aca="false">CF!H56</f>
        <v>70.5529026074843</v>
      </c>
    </row>
    <row r="21" customFormat="false" ht="17.15" hidden="false" customHeight="false" outlineLevel="0" collapsed="false">
      <c r="A21" s="0" t="s">
        <v>38</v>
      </c>
      <c r="B21" s="0" t="s">
        <v>39</v>
      </c>
      <c r="C21" s="0" t="s">
        <v>40</v>
      </c>
      <c r="D21" s="0" t="s">
        <v>41</v>
      </c>
      <c r="E21" s="5" t="n">
        <f aca="false">Val!$B$36</f>
        <v>388.947955859393</v>
      </c>
    </row>
    <row r="23" customFormat="false" ht="15" hidden="false" customHeight="false" outlineLevel="0" collapsed="false">
      <c r="A23" s="3" t="s">
        <v>42</v>
      </c>
    </row>
    <row r="24" customFormat="false" ht="17.15" hidden="false" customHeight="false" outlineLevel="0" collapsed="false">
      <c r="A24" s="4" t="s">
        <v>43</v>
      </c>
      <c r="B24" s="4" t="s">
        <v>44</v>
      </c>
      <c r="C24" s="4" t="s">
        <v>45</v>
      </c>
      <c r="D24" s="4" t="s">
        <v>46</v>
      </c>
      <c r="E24" s="4" t="s">
        <v>47</v>
      </c>
    </row>
    <row r="25" customFormat="false" ht="17.15" hidden="false" customHeight="false" outlineLevel="0" collapsed="false">
      <c r="A25" s="1" t="s">
        <v>48</v>
      </c>
      <c r="B25" s="6" t="n">
        <f aca="false">Seg!H29</f>
        <v>585.223080296262</v>
      </c>
      <c r="C25" s="6" t="n">
        <f aca="false">Seg!H56</f>
        <v>552.773101018903</v>
      </c>
      <c r="D25" s="6" t="n">
        <f aca="false">Seg!H83</f>
        <v>515.333125886071</v>
      </c>
    </row>
    <row r="26" customFormat="false" ht="17.15" hidden="false" customHeight="false" outlineLevel="0" collapsed="false">
      <c r="A26" s="0" t="s">
        <v>49</v>
      </c>
      <c r="B26" s="6" t="n">
        <f aca="false">Thesis!H23</f>
        <v>149.785610014234</v>
      </c>
      <c r="C26" s="6" t="n">
        <f aca="false">Thesis!H72</f>
        <v>124.835630736874</v>
      </c>
      <c r="D26" s="6" t="n">
        <f aca="false">Thesis!H121</f>
        <v>94.895655604042</v>
      </c>
    </row>
    <row r="27" customFormat="false" ht="17.15" hidden="false" customHeight="false" outlineLevel="0" collapsed="false">
      <c r="A27" s="0" t="s">
        <v>50</v>
      </c>
      <c r="B27" s="6" t="n">
        <f aca="false">Seg!H11</f>
        <v>31.5</v>
      </c>
      <c r="C27" s="6" t="n">
        <f aca="false">Seg!H38</f>
        <v>24</v>
      </c>
      <c r="D27" s="6" t="n">
        <f aca="false">Seg!H65</f>
        <v>16.5</v>
      </c>
    </row>
    <row r="28" customFormat="false" ht="17.15" hidden="false" customHeight="false" outlineLevel="0" collapsed="false">
      <c r="A28" s="1" t="s">
        <v>51</v>
      </c>
      <c r="B28" s="7" t="n">
        <f aca="false">PL!H37</f>
        <v>0.421529710789076</v>
      </c>
      <c r="C28" s="7" t="n">
        <f aca="false">PL!H76</f>
        <v>0.393347208781769</v>
      </c>
      <c r="D28" s="7" t="n">
        <f aca="false">PL!H115</f>
        <v>0.355468321187464</v>
      </c>
    </row>
    <row r="29" customFormat="false" ht="17.15" hidden="false" customHeight="false" outlineLevel="0" collapsed="false">
      <c r="A29" s="0" t="s">
        <v>52</v>
      </c>
      <c r="B29" s="8" t="n">
        <f aca="false">PL!H47</f>
        <v>26.1820833274396</v>
      </c>
      <c r="C29" s="8" t="n">
        <f aca="false">PL!H86</f>
        <v>23.0114606350727</v>
      </c>
      <c r="D29" s="8" t="n">
        <f aca="false">PL!H125</f>
        <v>19.3465006517505</v>
      </c>
    </row>
    <row r="30" customFormat="false" ht="17.15" hidden="false" customHeight="false" outlineLevel="0" collapsed="false">
      <c r="A30" s="0" t="s">
        <v>53</v>
      </c>
      <c r="B30" s="8" t="n">
        <f aca="false">PL!H49</f>
        <v>31.2216815128492</v>
      </c>
      <c r="C30" s="8" t="n">
        <f aca="false">PL!H88</f>
        <v>28.4918969691705</v>
      </c>
      <c r="D30" s="8" t="n">
        <f aca="false">PL!H127</f>
        <v>25.2706184357155</v>
      </c>
    </row>
    <row r="31" customFormat="false" ht="17.15" hidden="false" customHeight="false" outlineLevel="0" collapsed="false">
      <c r="A31" s="1" t="s">
        <v>54</v>
      </c>
      <c r="B31" s="6" t="n">
        <f aca="false">CF!H27</f>
        <v>94.5243442800126</v>
      </c>
      <c r="C31" s="6" t="n">
        <f aca="false">CF!H56</f>
        <v>70.5529026074843</v>
      </c>
      <c r="D31" s="6" t="n">
        <f aca="false">CF!H85</f>
        <v>42.4029253007048</v>
      </c>
    </row>
    <row r="32" customFormat="false" ht="17.15" hidden="false" customHeight="false" outlineLevel="0" collapsed="false">
      <c r="A32" s="0" t="s">
        <v>55</v>
      </c>
      <c r="B32" s="7" t="n">
        <f aca="false">Thesis!H47</f>
        <v>0.152322090230892</v>
      </c>
      <c r="C32" s="7" t="n">
        <f aca="false">Thesis!H96</f>
        <v>0.106230473678522</v>
      </c>
      <c r="D32" s="7" t="n">
        <f aca="false">Thesis!H145</f>
        <v>0.0509601420656284</v>
      </c>
    </row>
    <row r="33" customFormat="false" ht="17.15" hidden="false" customHeight="false" outlineLevel="0" collapsed="false">
      <c r="A33" s="0" t="s">
        <v>56</v>
      </c>
      <c r="B33" s="7" t="n">
        <f aca="false">Thesis!H48</f>
        <v>0.0648795965209916</v>
      </c>
      <c r="C33" s="7" t="n">
        <f aca="false">Thesis!H97</f>
        <v>0.0109113433759106</v>
      </c>
      <c r="D33" s="7" t="n">
        <f aca="false">Thesis!H146</f>
        <v>-0.0522319943287548</v>
      </c>
    </row>
    <row r="35" customFormat="false" ht="17.15" hidden="false" customHeight="false" outlineLevel="0" collapsed="false">
      <c r="A35" s="1" t="s">
        <v>57</v>
      </c>
      <c r="B35" s="5" t="n">
        <f aca="false">Val!B44</f>
        <v>428.639081923075</v>
      </c>
      <c r="C35" s="5" t="n">
        <f aca="false">Val!C44</f>
        <v>390.899870220884</v>
      </c>
      <c r="D35" s="5" t="n">
        <f aca="false">Val!D44</f>
        <v>345.353001072728</v>
      </c>
    </row>
    <row r="37" customFormat="false" ht="48.5" hidden="false" customHeight="false" outlineLevel="0" collapsed="false">
      <c r="A37" s="2" t="s">
        <v>58</v>
      </c>
    </row>
    <row r="38" customFormat="false" ht="32.8" hidden="false" customHeight="false" outlineLevel="0" collapsed="false">
      <c r="A38" s="2" t="s">
        <v>59</v>
      </c>
    </row>
    <row r="39" customFormat="false" ht="30.55" hidden="false" customHeight="false" outlineLevel="0" collapsed="false">
      <c r="A39" s="2" t="s">
        <v>60</v>
      </c>
    </row>
    <row r="40" customFormat="false" ht="48.5" hidden="false" customHeight="false" outlineLevel="0" collapsed="false">
      <c r="A40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62</v>
      </c>
    </row>
    <row r="2" customFormat="false" ht="17.15" hidden="false" customHeight="false" outlineLevel="0" collapsed="false">
      <c r="A2" s="1" t="s">
        <v>63</v>
      </c>
    </row>
    <row r="3" customFormat="false" ht="17.15" hidden="false" customHeight="false" outlineLevel="0" collapsed="false">
      <c r="A3" s="4" t="s">
        <v>64</v>
      </c>
      <c r="B3" s="4" t="s">
        <v>43</v>
      </c>
      <c r="C3" s="4" t="s">
        <v>65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4" t="s">
        <v>71</v>
      </c>
    </row>
    <row r="4" customFormat="false" ht="17.15" hidden="false" customHeight="false" outlineLevel="0" collapsed="false">
      <c r="A4" s="9" t="s">
        <v>72</v>
      </c>
    </row>
    <row r="5" customFormat="false" ht="17.15" hidden="false" customHeight="false" outlineLevel="0" collapsed="false">
      <c r="A5" s="0" t="s">
        <v>73</v>
      </c>
      <c r="B5" s="1" t="s">
        <v>74</v>
      </c>
      <c r="C5" s="0" t="s">
        <v>75</v>
      </c>
      <c r="E5" s="10" t="n">
        <v>532.6</v>
      </c>
      <c r="G5" s="11" t="s">
        <v>76</v>
      </c>
      <c r="H5" s="11" t="s">
        <v>77</v>
      </c>
      <c r="I5" s="11" t="s">
        <v>78</v>
      </c>
    </row>
    <row r="6" customFormat="false" ht="17.15" hidden="false" customHeight="false" outlineLevel="0" collapsed="false">
      <c r="A6" s="0" t="s">
        <v>79</v>
      </c>
      <c r="B6" s="0" t="s">
        <v>80</v>
      </c>
      <c r="C6" s="1" t="s">
        <v>81</v>
      </c>
      <c r="E6" s="10" t="n">
        <v>7.453</v>
      </c>
      <c r="G6" s="11" t="s">
        <v>76</v>
      </c>
      <c r="H6" s="1" t="s">
        <v>82</v>
      </c>
      <c r="I6" s="11" t="s">
        <v>83</v>
      </c>
    </row>
    <row r="7" customFormat="false" ht="17.15" hidden="false" customHeight="false" outlineLevel="0" collapsed="false">
      <c r="A7" s="0" t="s">
        <v>84</v>
      </c>
      <c r="B7" s="0" t="s">
        <v>85</v>
      </c>
      <c r="C7" s="1" t="s">
        <v>81</v>
      </c>
      <c r="E7" s="10" t="n">
        <v>7.429</v>
      </c>
      <c r="G7" s="11" t="s">
        <v>76</v>
      </c>
      <c r="H7" s="1" t="s">
        <v>86</v>
      </c>
      <c r="I7" s="11" t="s">
        <v>87</v>
      </c>
    </row>
    <row r="8" customFormat="false" ht="17.15" hidden="false" customHeight="false" outlineLevel="0" collapsed="false">
      <c r="A8" s="0" t="s">
        <v>88</v>
      </c>
      <c r="B8" s="1" t="s">
        <v>89</v>
      </c>
      <c r="C8" s="1" t="s">
        <v>81</v>
      </c>
      <c r="E8" s="0" t="n">
        <f aca="false">sh_dil26-sh_basic26</f>
        <v>0.024</v>
      </c>
      <c r="G8" s="0" t="s">
        <v>90</v>
      </c>
      <c r="H8" s="0" t="s">
        <v>91</v>
      </c>
      <c r="I8" s="1" t="s">
        <v>92</v>
      </c>
    </row>
    <row r="9" customFormat="false" ht="17.15" hidden="false" customHeight="false" outlineLevel="0" collapsed="false">
      <c r="A9" s="0" t="s">
        <v>93</v>
      </c>
      <c r="B9" s="1" t="s">
        <v>94</v>
      </c>
      <c r="C9" s="1" t="s">
        <v>81</v>
      </c>
      <c r="E9" s="10" t="n">
        <v>7.427</v>
      </c>
      <c r="G9" s="11" t="s">
        <v>76</v>
      </c>
      <c r="H9" s="1" t="s">
        <v>95</v>
      </c>
      <c r="I9" s="11" t="s">
        <v>87</v>
      </c>
    </row>
    <row r="10" customFormat="false" ht="17.15" hidden="false" customHeight="false" outlineLevel="0" collapsed="false">
      <c r="A10" s="0" t="s">
        <v>96</v>
      </c>
      <c r="B10" s="1" t="s">
        <v>97</v>
      </c>
      <c r="C10" s="0" t="s">
        <v>98</v>
      </c>
      <c r="E10" s="10" t="n">
        <v>76.843</v>
      </c>
      <c r="G10" s="11" t="s">
        <v>76</v>
      </c>
      <c r="H10" s="1" t="s">
        <v>99</v>
      </c>
      <c r="I10" s="11" t="s">
        <v>87</v>
      </c>
    </row>
    <row r="11" customFormat="false" ht="17.15" hidden="false" customHeight="false" outlineLevel="0" collapsed="false">
      <c r="A11" s="0" t="s">
        <v>100</v>
      </c>
      <c r="B11" s="1" t="s">
        <v>101</v>
      </c>
      <c r="C11" s="0" t="s">
        <v>98</v>
      </c>
      <c r="E11" s="10" t="n">
        <v>46.136</v>
      </c>
      <c r="G11" s="11" t="s">
        <v>76</v>
      </c>
      <c r="H11" s="1" t="s">
        <v>102</v>
      </c>
      <c r="I11" s="1" t="s">
        <v>103</v>
      </c>
    </row>
    <row r="12" customFormat="false" ht="17.15" hidden="false" customHeight="false" outlineLevel="0" collapsed="false">
      <c r="A12" s="0" t="s">
        <v>104</v>
      </c>
      <c r="B12" s="1" t="s">
        <v>105</v>
      </c>
      <c r="C12" s="0" t="s">
        <v>98</v>
      </c>
      <c r="E12" s="10" t="n">
        <v>9.25</v>
      </c>
      <c r="G12" s="11" t="s">
        <v>76</v>
      </c>
      <c r="H12" s="1" t="s">
        <v>106</v>
      </c>
      <c r="I12" s="11" t="s">
        <v>87</v>
      </c>
    </row>
    <row r="13" customFormat="false" ht="17.15" hidden="false" customHeight="false" outlineLevel="0" collapsed="false">
      <c r="A13" s="0" t="s">
        <v>107</v>
      </c>
      <c r="B13" s="1" t="s">
        <v>108</v>
      </c>
      <c r="C13" s="0" t="s">
        <v>98</v>
      </c>
      <c r="E13" s="10" t="n">
        <v>0</v>
      </c>
      <c r="G13" s="11" t="s">
        <v>76</v>
      </c>
      <c r="H13" s="1" t="s">
        <v>109</v>
      </c>
      <c r="I13" s="11" t="s">
        <v>87</v>
      </c>
    </row>
    <row r="14" customFormat="false" ht="17.15" hidden="false" customHeight="false" outlineLevel="0" collapsed="false">
      <c r="A14" s="0" t="s">
        <v>110</v>
      </c>
      <c r="B14" s="1" t="s">
        <v>111</v>
      </c>
      <c r="C14" s="0" t="s">
        <v>98</v>
      </c>
      <c r="E14" s="10" t="n">
        <v>2.001</v>
      </c>
      <c r="G14" s="11" t="s">
        <v>76</v>
      </c>
      <c r="H14" s="1" t="s">
        <v>112</v>
      </c>
      <c r="I14" s="11" t="s">
        <v>87</v>
      </c>
    </row>
    <row r="15" customFormat="false" ht="17.15" hidden="false" customHeight="false" outlineLevel="0" collapsed="false">
      <c r="A15" s="0" t="s">
        <v>113</v>
      </c>
      <c r="B15" s="1" t="s">
        <v>114</v>
      </c>
      <c r="C15" s="0" t="s">
        <v>98</v>
      </c>
      <c r="E15" s="10" t="n">
        <v>0</v>
      </c>
      <c r="G15" s="11" t="s">
        <v>76</v>
      </c>
      <c r="H15" s="1" t="s">
        <v>115</v>
      </c>
      <c r="I15" s="11" t="s">
        <v>87</v>
      </c>
    </row>
    <row r="16" customFormat="false" ht="17.15" hidden="false" customHeight="false" outlineLevel="0" collapsed="false">
      <c r="A16" s="0" t="s">
        <v>116</v>
      </c>
      <c r="B16" s="1" t="s">
        <v>117</v>
      </c>
      <c r="C16" s="0" t="s">
        <v>98</v>
      </c>
      <c r="E16" s="10" t="n">
        <v>0.5</v>
      </c>
      <c r="G16" s="11" t="s">
        <v>76</v>
      </c>
      <c r="H16" s="1" t="s">
        <v>118</v>
      </c>
      <c r="I16" s="11" t="s">
        <v>87</v>
      </c>
    </row>
    <row r="17" customFormat="false" ht="17.15" hidden="false" customHeight="false" outlineLevel="0" collapsed="false">
      <c r="A17" s="0" t="s">
        <v>119</v>
      </c>
      <c r="B17" s="1" t="s">
        <v>120</v>
      </c>
      <c r="C17" s="0" t="s">
        <v>98</v>
      </c>
      <c r="E17" s="10" t="n">
        <v>0</v>
      </c>
      <c r="G17" s="11" t="s">
        <v>121</v>
      </c>
      <c r="H17" s="1" t="s">
        <v>122</v>
      </c>
      <c r="I17" s="11" t="s">
        <v>87</v>
      </c>
    </row>
    <row r="18" customFormat="false" ht="17.15" hidden="false" customHeight="false" outlineLevel="0" collapsed="false">
      <c r="A18" s="0" t="s">
        <v>123</v>
      </c>
      <c r="B18" s="1" t="s">
        <v>124</v>
      </c>
      <c r="C18" s="0" t="s">
        <v>98</v>
      </c>
      <c r="E18" s="10" t="n">
        <v>66.594</v>
      </c>
      <c r="G18" s="11" t="s">
        <v>76</v>
      </c>
      <c r="H18" s="1" t="s">
        <v>125</v>
      </c>
      <c r="I18" s="1" t="s">
        <v>126</v>
      </c>
    </row>
    <row r="19" customFormat="false" ht="17.15" hidden="false" customHeight="false" outlineLevel="0" collapsed="false">
      <c r="A19" s="0" t="s">
        <v>127</v>
      </c>
      <c r="B19" s="1" t="s">
        <v>128</v>
      </c>
      <c r="C19" s="0" t="s">
        <v>129</v>
      </c>
      <c r="E19" s="12" t="n">
        <v>0.045</v>
      </c>
      <c r="G19" s="11" t="s">
        <v>76</v>
      </c>
      <c r="H19" s="1" t="s">
        <v>130</v>
      </c>
      <c r="I19" s="11" t="s">
        <v>87</v>
      </c>
    </row>
    <row r="20" customFormat="false" ht="17.15" hidden="false" customHeight="false" outlineLevel="0" collapsed="false">
      <c r="A20" s="0" t="s">
        <v>131</v>
      </c>
      <c r="B20" s="1" t="s">
        <v>132</v>
      </c>
      <c r="C20" s="0" t="s">
        <v>98</v>
      </c>
      <c r="E20" s="10" t="n">
        <v>7.121</v>
      </c>
      <c r="G20" s="11" t="s">
        <v>76</v>
      </c>
      <c r="H20" s="1" t="s">
        <v>133</v>
      </c>
      <c r="I20" s="11" t="s">
        <v>87</v>
      </c>
    </row>
    <row r="21" customFormat="false" ht="17.15" hidden="false" customHeight="false" outlineLevel="0" collapsed="false">
      <c r="A21" s="0" t="s">
        <v>134</v>
      </c>
      <c r="B21" s="1" t="s">
        <v>135</v>
      </c>
      <c r="C21" s="0" t="s">
        <v>98</v>
      </c>
      <c r="E21" s="10" t="n">
        <v>7.294</v>
      </c>
      <c r="G21" s="11" t="s">
        <v>76</v>
      </c>
      <c r="H21" s="1" t="s">
        <v>136</v>
      </c>
      <c r="I21" s="11" t="s">
        <v>87</v>
      </c>
    </row>
    <row r="22" customFormat="false" ht="17.15" hidden="false" customHeight="false" outlineLevel="0" collapsed="false">
      <c r="A22" s="0" t="s">
        <v>137</v>
      </c>
      <c r="B22" s="1" t="s">
        <v>138</v>
      </c>
      <c r="C22" s="0" t="s">
        <v>98</v>
      </c>
      <c r="E22" s="10" t="n">
        <v>6.668</v>
      </c>
      <c r="G22" s="11" t="s">
        <v>76</v>
      </c>
      <c r="H22" s="1" t="s">
        <v>139</v>
      </c>
      <c r="I22" s="11" t="s">
        <v>87</v>
      </c>
    </row>
    <row r="23" customFormat="false" ht="17.15" hidden="false" customHeight="false" outlineLevel="0" collapsed="false">
      <c r="A23" s="0" t="s">
        <v>140</v>
      </c>
      <c r="B23" s="1" t="s">
        <v>141</v>
      </c>
      <c r="C23" s="0" t="s">
        <v>98</v>
      </c>
      <c r="E23" s="10" t="n">
        <v>6.57</v>
      </c>
      <c r="G23" s="11" t="s">
        <v>76</v>
      </c>
      <c r="H23" s="1" t="s">
        <v>142</v>
      </c>
      <c r="I23" s="11" t="s">
        <v>87</v>
      </c>
    </row>
    <row r="24" customFormat="false" ht="17.15" hidden="false" customHeight="false" outlineLevel="0" collapsed="false">
      <c r="A24" s="0" t="s">
        <v>143</v>
      </c>
      <c r="B24" s="1" t="s">
        <v>144</v>
      </c>
      <c r="C24" s="0" t="s">
        <v>98</v>
      </c>
      <c r="E24" s="10" t="n">
        <v>6.543</v>
      </c>
      <c r="G24" s="11" t="s">
        <v>76</v>
      </c>
      <c r="H24" s="1" t="s">
        <v>145</v>
      </c>
      <c r="I24" s="11" t="s">
        <v>87</v>
      </c>
    </row>
    <row r="25" customFormat="false" ht="17.15" hidden="false" customHeight="false" outlineLevel="0" collapsed="false">
      <c r="A25" s="0" t="s">
        <v>146</v>
      </c>
      <c r="B25" s="1" t="s">
        <v>147</v>
      </c>
      <c r="C25" s="0" t="s">
        <v>98</v>
      </c>
      <c r="E25" s="0" t="n">
        <f aca="false">fl_pay_31</f>
        <v>6.543</v>
      </c>
      <c r="G25" s="0" t="s">
        <v>121</v>
      </c>
      <c r="H25" s="1" t="s">
        <v>148</v>
      </c>
      <c r="I25" s="0" t="s">
        <v>87</v>
      </c>
    </row>
    <row r="26" customFormat="false" ht="17.15" hidden="false" customHeight="false" outlineLevel="0" collapsed="false">
      <c r="A26" s="0" t="s">
        <v>149</v>
      </c>
      <c r="B26" s="1" t="s">
        <v>150</v>
      </c>
      <c r="C26" s="0" t="s">
        <v>98</v>
      </c>
      <c r="D26" s="10" t="n">
        <v>30</v>
      </c>
      <c r="E26" s="10" t="n">
        <v>50</v>
      </c>
      <c r="F26" s="10" t="n">
        <v>70</v>
      </c>
      <c r="G26" s="11" t="s">
        <v>121</v>
      </c>
      <c r="H26" s="1" t="s">
        <v>151</v>
      </c>
      <c r="I26" s="1" t="s">
        <v>152</v>
      </c>
    </row>
    <row r="27" customFormat="false" ht="17.15" hidden="false" customHeight="false" outlineLevel="0" collapsed="false">
      <c r="A27" s="0" t="s">
        <v>153</v>
      </c>
      <c r="B27" s="1" t="s">
        <v>154</v>
      </c>
      <c r="C27" s="0" t="s">
        <v>98</v>
      </c>
      <c r="E27" s="10" t="n">
        <v>22.271</v>
      </c>
      <c r="G27" s="11" t="s">
        <v>76</v>
      </c>
      <c r="H27" s="1" t="s">
        <v>155</v>
      </c>
      <c r="I27" s="1" t="s">
        <v>156</v>
      </c>
    </row>
    <row r="28" customFormat="false" ht="15" hidden="false" customHeight="false" outlineLevel="0" collapsed="false">
      <c r="A28" s="0" t="s">
        <v>157</v>
      </c>
      <c r="B28" s="1" t="s">
        <v>158</v>
      </c>
      <c r="C28" s="0" t="s">
        <v>129</v>
      </c>
      <c r="D28" s="12" t="n">
        <v>0</v>
      </c>
      <c r="E28" s="12" t="n">
        <v>0.08</v>
      </c>
      <c r="F28" s="12" t="n">
        <v>0.12</v>
      </c>
      <c r="G28" s="11" t="s">
        <v>121</v>
      </c>
      <c r="H28" s="1" t="s">
        <v>159</v>
      </c>
      <c r="I28" s="1" t="s">
        <v>160</v>
      </c>
    </row>
    <row r="29" customFormat="false" ht="17.15" hidden="false" customHeight="false" outlineLevel="0" collapsed="false">
      <c r="A29" s="0" t="s">
        <v>161</v>
      </c>
      <c r="B29" s="1" t="s">
        <v>162</v>
      </c>
      <c r="C29" s="1" t="s">
        <v>81</v>
      </c>
      <c r="D29" s="10" t="n">
        <v>0.035</v>
      </c>
      <c r="E29" s="10" t="n">
        <v>0.045</v>
      </c>
      <c r="F29" s="10" t="n">
        <v>0.055</v>
      </c>
      <c r="G29" s="11" t="s">
        <v>90</v>
      </c>
      <c r="H29" s="1" t="s">
        <v>163</v>
      </c>
      <c r="I29" s="1" t="s">
        <v>164</v>
      </c>
    </row>
    <row r="30" customFormat="false" ht="17.15" hidden="false" customHeight="false" outlineLevel="0" collapsed="false">
      <c r="A30" s="0" t="s">
        <v>165</v>
      </c>
      <c r="B30" s="1" t="s">
        <v>166</v>
      </c>
      <c r="C30" s="0" t="s">
        <v>75</v>
      </c>
      <c r="E30" s="10" t="n">
        <v>0.91</v>
      </c>
      <c r="G30" s="11" t="s">
        <v>76</v>
      </c>
      <c r="H30" s="1" t="s">
        <v>167</v>
      </c>
      <c r="I30" s="11" t="s">
        <v>87</v>
      </c>
    </row>
    <row r="31" customFormat="false" ht="17.15" hidden="false" customHeight="false" outlineLevel="0" collapsed="false">
      <c r="A31" s="0" t="s">
        <v>168</v>
      </c>
      <c r="B31" s="1" t="s">
        <v>169</v>
      </c>
      <c r="C31" s="0" t="s">
        <v>75</v>
      </c>
      <c r="E31" s="10" t="n">
        <v>0.98</v>
      </c>
      <c r="G31" s="11" t="s">
        <v>170</v>
      </c>
      <c r="H31" s="1" t="s">
        <v>171</v>
      </c>
      <c r="I31" s="11" t="s">
        <v>87</v>
      </c>
    </row>
    <row r="32" customFormat="false" ht="17.15" hidden="false" customHeight="false" outlineLevel="0" collapsed="false">
      <c r="A32" s="0" t="s">
        <v>172</v>
      </c>
      <c r="B32" s="0" t="s">
        <v>173</v>
      </c>
      <c r="C32" s="0" t="s">
        <v>75</v>
      </c>
      <c r="E32" s="0" t="n">
        <f aca="false">dps_q0+3*dps_q1</f>
        <v>3.85</v>
      </c>
      <c r="G32" s="0" t="s">
        <v>90</v>
      </c>
      <c r="H32" s="1" t="s">
        <v>174</v>
      </c>
      <c r="I32" s="0" t="s">
        <v>87</v>
      </c>
    </row>
    <row r="33" customFormat="false" ht="17.15" hidden="false" customHeight="false" outlineLevel="0" collapsed="false">
      <c r="A33" s="0" t="s">
        <v>175</v>
      </c>
      <c r="B33" s="1" t="s">
        <v>176</v>
      </c>
      <c r="C33" s="0" t="s">
        <v>129</v>
      </c>
      <c r="D33" s="12" t="n">
        <v>0.05</v>
      </c>
      <c r="E33" s="12" t="n">
        <v>0.08</v>
      </c>
      <c r="F33" s="12" t="n">
        <v>0.1</v>
      </c>
      <c r="G33" s="11" t="s">
        <v>170</v>
      </c>
      <c r="H33" s="1" t="s">
        <v>177</v>
      </c>
      <c r="I33" s="11" t="s">
        <v>87</v>
      </c>
    </row>
    <row r="34" customFormat="false" ht="17.15" hidden="false" customHeight="false" outlineLevel="0" collapsed="false">
      <c r="A34" s="9" t="s">
        <v>178</v>
      </c>
    </row>
    <row r="35" customFormat="false" ht="17.15" hidden="false" customHeight="false" outlineLevel="0" collapsed="false">
      <c r="A35" s="0" t="s">
        <v>179</v>
      </c>
      <c r="B35" s="1" t="s">
        <v>180</v>
      </c>
      <c r="C35" s="0" t="s">
        <v>129</v>
      </c>
      <c r="E35" s="12" t="n">
        <v>0.05</v>
      </c>
      <c r="G35" s="11" t="s">
        <v>76</v>
      </c>
      <c r="H35" s="11" t="s">
        <v>181</v>
      </c>
      <c r="I35" s="1" t="s">
        <v>182</v>
      </c>
    </row>
    <row r="36" customFormat="false" ht="17.15" hidden="false" customHeight="false" outlineLevel="0" collapsed="false">
      <c r="A36" s="0" t="s">
        <v>183</v>
      </c>
      <c r="B36" s="1" t="s">
        <v>184</v>
      </c>
      <c r="C36" s="0" t="s">
        <v>185</v>
      </c>
      <c r="E36" s="13" t="n">
        <v>1.1</v>
      </c>
      <c r="G36" s="11" t="s">
        <v>76</v>
      </c>
      <c r="H36" s="1" t="s">
        <v>186</v>
      </c>
      <c r="I36" s="11" t="s">
        <v>187</v>
      </c>
    </row>
    <row r="37" customFormat="false" ht="17.15" hidden="false" customHeight="false" outlineLevel="0" collapsed="false">
      <c r="A37" s="0" t="s">
        <v>188</v>
      </c>
      <c r="B37" s="1" t="s">
        <v>189</v>
      </c>
      <c r="C37" s="0" t="s">
        <v>185</v>
      </c>
      <c r="E37" s="13" t="n">
        <v>1.1741</v>
      </c>
      <c r="G37" s="11" t="s">
        <v>76</v>
      </c>
      <c r="H37" s="1" t="s">
        <v>190</v>
      </c>
      <c r="I37" s="11" t="s">
        <v>187</v>
      </c>
    </row>
    <row r="38" customFormat="false" ht="17.15" hidden="false" customHeight="false" outlineLevel="0" collapsed="false">
      <c r="A38" s="0" t="s">
        <v>191</v>
      </c>
      <c r="B38" s="0" t="s">
        <v>192</v>
      </c>
      <c r="C38" s="0" t="s">
        <v>185</v>
      </c>
      <c r="E38" s="13" t="n">
        <v>0.67</v>
      </c>
      <c r="G38" s="11" t="s">
        <v>121</v>
      </c>
      <c r="H38" s="1" t="s">
        <v>193</v>
      </c>
      <c r="I38" s="11" t="s">
        <v>87</v>
      </c>
    </row>
    <row r="39" customFormat="false" ht="17.15" hidden="false" customHeight="false" outlineLevel="0" collapsed="false">
      <c r="A39" s="0" t="s">
        <v>194</v>
      </c>
      <c r="B39" s="0" t="s">
        <v>195</v>
      </c>
      <c r="C39" s="0" t="s">
        <v>185</v>
      </c>
      <c r="D39" s="13" t="n">
        <v>0.95</v>
      </c>
      <c r="E39" s="14" t="n">
        <f aca="false">MEDIAN(blume_w*beta_sa+(1-blume_w),blume_w*beta_gf+(1-blume_w))</f>
        <v>1.0918235</v>
      </c>
      <c r="F39" s="13" t="n">
        <v>1.174</v>
      </c>
      <c r="G39" s="11" t="s">
        <v>90</v>
      </c>
      <c r="H39" s="11" t="s">
        <v>196</v>
      </c>
      <c r="I39" s="1" t="s">
        <v>197</v>
      </c>
    </row>
    <row r="40" customFormat="false" ht="17.15" hidden="false" customHeight="false" outlineLevel="0" collapsed="false">
      <c r="A40" s="0" t="s">
        <v>198</v>
      </c>
      <c r="B40" s="1" t="s">
        <v>199</v>
      </c>
      <c r="C40" s="0" t="s">
        <v>129</v>
      </c>
      <c r="D40" s="12" t="n">
        <v>0.04</v>
      </c>
      <c r="E40" s="12" t="n">
        <v>0.05</v>
      </c>
      <c r="F40" s="12" t="n">
        <v>0.06</v>
      </c>
      <c r="G40" s="11" t="s">
        <v>121</v>
      </c>
      <c r="H40" s="11" t="s">
        <v>200</v>
      </c>
      <c r="I40" s="1" t="s">
        <v>201</v>
      </c>
    </row>
    <row r="41" customFormat="false" ht="17.15" hidden="false" customHeight="false" outlineLevel="0" collapsed="false">
      <c r="A41" s="0" t="s">
        <v>202</v>
      </c>
      <c r="B41" s="1" t="s">
        <v>203</v>
      </c>
      <c r="C41" s="0" t="s">
        <v>129</v>
      </c>
      <c r="E41" s="12" t="n">
        <v>0.0626</v>
      </c>
      <c r="G41" s="11" t="s">
        <v>204</v>
      </c>
      <c r="H41" s="1" t="s">
        <v>205</v>
      </c>
      <c r="I41" s="11" t="s">
        <v>206</v>
      </c>
    </row>
    <row r="42" customFormat="false" ht="17.15" hidden="false" customHeight="false" outlineLevel="0" collapsed="false">
      <c r="A42" s="0" t="s">
        <v>207</v>
      </c>
      <c r="B42" s="1" t="s">
        <v>208</v>
      </c>
      <c r="C42" s="0" t="s">
        <v>209</v>
      </c>
      <c r="D42" s="12" t="n">
        <v>0.003</v>
      </c>
      <c r="E42" s="12" t="n">
        <v>0.006</v>
      </c>
      <c r="F42" s="12" t="n">
        <v>0.009</v>
      </c>
      <c r="G42" s="11" t="s">
        <v>121</v>
      </c>
      <c r="H42" s="1" t="s">
        <v>210</v>
      </c>
      <c r="I42" s="11" t="s">
        <v>211</v>
      </c>
    </row>
    <row r="43" customFormat="false" ht="17.15" hidden="false" customHeight="false" outlineLevel="0" collapsed="false">
      <c r="A43" s="0" t="s">
        <v>212</v>
      </c>
      <c r="B43" s="1" t="s">
        <v>213</v>
      </c>
      <c r="C43" s="0" t="s">
        <v>129</v>
      </c>
      <c r="E43" s="7" t="n">
        <f aca="false">rf+kd_spread</f>
        <v>0.056</v>
      </c>
      <c r="G43" s="11" t="s">
        <v>90</v>
      </c>
      <c r="H43" s="11" t="s">
        <v>214</v>
      </c>
      <c r="I43" s="11" t="s">
        <v>87</v>
      </c>
    </row>
    <row r="44" customFormat="false" ht="17.15" hidden="false" customHeight="false" outlineLevel="0" collapsed="false">
      <c r="A44" s="0" t="s">
        <v>215</v>
      </c>
      <c r="B44" s="0" t="s">
        <v>216</v>
      </c>
      <c r="C44" s="0" t="s">
        <v>129</v>
      </c>
      <c r="E44" s="12" t="n">
        <v>0.2</v>
      </c>
      <c r="G44" s="11" t="s">
        <v>170</v>
      </c>
      <c r="H44" s="1" t="s">
        <v>217</v>
      </c>
      <c r="I44" s="11" t="s">
        <v>87</v>
      </c>
    </row>
    <row r="45" customFormat="false" ht="17.15" hidden="false" customHeight="false" outlineLevel="0" collapsed="false">
      <c r="A45" s="0" t="s">
        <v>218</v>
      </c>
      <c r="B45" s="1" t="s">
        <v>219</v>
      </c>
      <c r="C45" s="0" t="s">
        <v>129</v>
      </c>
      <c r="E45" s="7" t="n">
        <f aca="false">rf+beta*erp</f>
        <v>0.104591175</v>
      </c>
      <c r="G45" s="11" t="s">
        <v>90</v>
      </c>
      <c r="H45" s="11" t="s">
        <v>220</v>
      </c>
      <c r="I45" s="11" t="s">
        <v>87</v>
      </c>
    </row>
    <row r="46" customFormat="false" ht="17.15" hidden="false" customHeight="false" outlineLevel="0" collapsed="false">
      <c r="A46" s="0" t="s">
        <v>221</v>
      </c>
      <c r="B46" s="0" t="s">
        <v>222</v>
      </c>
      <c r="C46" s="0" t="s">
        <v>129</v>
      </c>
      <c r="E46" s="7" t="n">
        <f aca="false">(px*sh_out26*ke+(debt_face+fl_liab)*kd*(1-tax_w))/(px*sh_out26+debt_face+fl_liab)</f>
        <v>0.102934420092876</v>
      </c>
      <c r="G46" s="11" t="s">
        <v>90</v>
      </c>
      <c r="H46" s="11" t="s">
        <v>223</v>
      </c>
      <c r="I46" s="11" t="s">
        <v>224</v>
      </c>
    </row>
    <row r="47" customFormat="false" ht="17.15" hidden="false" customHeight="false" outlineLevel="0" collapsed="false">
      <c r="A47" s="0" t="s">
        <v>225</v>
      </c>
      <c r="B47" s="1" t="s">
        <v>226</v>
      </c>
      <c r="C47" s="0" t="s">
        <v>129</v>
      </c>
      <c r="D47" s="12" t="n">
        <v>0.02</v>
      </c>
      <c r="E47" s="12" t="n">
        <v>0.03</v>
      </c>
      <c r="F47" s="12" t="n">
        <v>0.04</v>
      </c>
      <c r="G47" s="11" t="s">
        <v>121</v>
      </c>
      <c r="H47" s="1" t="s">
        <v>227</v>
      </c>
      <c r="I47" s="11" t="s">
        <v>228</v>
      </c>
    </row>
    <row r="48" customFormat="false" ht="17.15" hidden="false" customHeight="false" outlineLevel="0" collapsed="false">
      <c r="A48" s="0" t="s">
        <v>229</v>
      </c>
      <c r="B48" s="1" t="s">
        <v>230</v>
      </c>
      <c r="C48" s="0" t="s">
        <v>209</v>
      </c>
      <c r="D48" s="12" t="n">
        <v>-0.02</v>
      </c>
      <c r="E48" s="12" t="n">
        <v>0</v>
      </c>
      <c r="F48" s="12" t="n">
        <v>0.05</v>
      </c>
      <c r="G48" s="11" t="s">
        <v>121</v>
      </c>
      <c r="H48" s="1" t="s">
        <v>231</v>
      </c>
      <c r="I48" s="1" t="s">
        <v>232</v>
      </c>
    </row>
    <row r="49" customFormat="false" ht="17.15" hidden="false" customHeight="false" outlineLevel="0" collapsed="false">
      <c r="A49" s="0" t="s">
        <v>233</v>
      </c>
      <c r="B49" s="1" t="s">
        <v>234</v>
      </c>
      <c r="C49" s="1" t="s">
        <v>235</v>
      </c>
      <c r="E49" s="10" t="n">
        <v>2026</v>
      </c>
      <c r="G49" s="11" t="s">
        <v>76</v>
      </c>
      <c r="H49" s="11" t="s">
        <v>236</v>
      </c>
      <c r="I49" s="1" t="s">
        <v>237</v>
      </c>
    </row>
    <row r="50" customFormat="false" ht="15" hidden="false" customHeight="false" outlineLevel="0" collapsed="false">
      <c r="A50" s="0" t="s">
        <v>238</v>
      </c>
      <c r="B50" s="1" t="s">
        <v>239</v>
      </c>
      <c r="C50" s="1" t="s">
        <v>235</v>
      </c>
      <c r="E50" s="10" t="n">
        <v>0.5</v>
      </c>
      <c r="G50" s="11" t="s">
        <v>121</v>
      </c>
      <c r="H50" s="1" t="s">
        <v>240</v>
      </c>
      <c r="I50" s="11" t="s">
        <v>87</v>
      </c>
    </row>
    <row r="51" customFormat="false" ht="17.15" hidden="false" customHeight="false" outlineLevel="0" collapsed="false">
      <c r="A51" s="0" t="s">
        <v>241</v>
      </c>
      <c r="B51" s="1" t="s">
        <v>242</v>
      </c>
      <c r="C51" s="1" t="s">
        <v>243</v>
      </c>
      <c r="E51" s="15" t="n">
        <f aca="false">DATE(2026,6,30)</f>
        <v>46203</v>
      </c>
      <c r="G51" s="11" t="s">
        <v>76</v>
      </c>
      <c r="H51" s="11" t="s">
        <v>244</v>
      </c>
      <c r="I51" s="11" t="s">
        <v>87</v>
      </c>
    </row>
    <row r="52" customFormat="false" ht="17.15" hidden="false" customHeight="false" outlineLevel="0" collapsed="false">
      <c r="A52" s="0" t="s">
        <v>245</v>
      </c>
      <c r="B52" s="1" t="s">
        <v>246</v>
      </c>
      <c r="C52" s="1" t="s">
        <v>243</v>
      </c>
      <c r="E52" s="15" t="n">
        <f aca="false">DATE(2027,10,27)</f>
        <v>46687</v>
      </c>
      <c r="G52" s="11" t="s">
        <v>121</v>
      </c>
      <c r="H52" s="1" t="s">
        <v>247</v>
      </c>
      <c r="I52" s="11" t="s">
        <v>87</v>
      </c>
    </row>
    <row r="53" customFormat="false" ht="15" hidden="false" customHeight="false" outlineLevel="0" collapsed="false">
      <c r="A53" s="0" t="s">
        <v>248</v>
      </c>
      <c r="B53" s="1" t="s">
        <v>249</v>
      </c>
      <c r="C53" s="1" t="s">
        <v>250</v>
      </c>
      <c r="E53" s="10" t="n">
        <v>365</v>
      </c>
      <c r="G53" s="11" t="s">
        <v>121</v>
      </c>
      <c r="H53" s="11" t="s">
        <v>87</v>
      </c>
      <c r="I53" s="11" t="s">
        <v>87</v>
      </c>
    </row>
    <row r="54" customFormat="false" ht="17.15" hidden="false" customHeight="false" outlineLevel="0" collapsed="false">
      <c r="A54" s="0" t="s">
        <v>251</v>
      </c>
      <c r="B54" s="1" t="s">
        <v>252</v>
      </c>
      <c r="C54" s="1" t="s">
        <v>235</v>
      </c>
      <c r="E54" s="0" t="n">
        <f aca="false">(roll_d2-roll_d1)/days_yr</f>
        <v>1.32602739726027</v>
      </c>
      <c r="G54" s="0" t="s">
        <v>90</v>
      </c>
      <c r="H54" s="0" t="s">
        <v>253</v>
      </c>
      <c r="I54" s="0" t="s">
        <v>254</v>
      </c>
    </row>
    <row r="55" customFormat="false" ht="17.15" hidden="false" customHeight="false" outlineLevel="0" collapsed="false">
      <c r="A55" s="0" t="s">
        <v>255</v>
      </c>
      <c r="B55" s="1" t="s">
        <v>256</v>
      </c>
      <c r="C55" s="1" t="s">
        <v>257</v>
      </c>
      <c r="E55" s="10" t="n">
        <v>1</v>
      </c>
      <c r="G55" s="11" t="s">
        <v>90</v>
      </c>
      <c r="H55" s="11" t="s">
        <v>258</v>
      </c>
      <c r="I55" s="11" t="s">
        <v>87</v>
      </c>
    </row>
    <row r="56" customFormat="false" ht="15" hidden="false" customHeight="false" outlineLevel="0" collapsed="false">
      <c r="A56" s="0" t="s">
        <v>259</v>
      </c>
      <c r="B56" s="1" t="s">
        <v>260</v>
      </c>
      <c r="C56" s="1" t="s">
        <v>257</v>
      </c>
      <c r="E56" s="10" t="n">
        <v>4</v>
      </c>
      <c r="G56" s="11" t="s">
        <v>76</v>
      </c>
      <c r="H56" s="11" t="s">
        <v>87</v>
      </c>
      <c r="I56" s="11" t="s">
        <v>87</v>
      </c>
    </row>
    <row r="57" customFormat="false" ht="17.15" hidden="false" customHeight="false" outlineLevel="0" collapsed="false">
      <c r="A57" s="0" t="s">
        <v>261</v>
      </c>
      <c r="B57" s="0" t="s">
        <v>262</v>
      </c>
      <c r="C57" s="1" t="s">
        <v>243</v>
      </c>
      <c r="E57" s="15" t="n">
        <f aca="false">DATE(2028,6,30)</f>
        <v>46934</v>
      </c>
      <c r="G57" s="11" t="s">
        <v>76</v>
      </c>
      <c r="H57" s="1" t="s">
        <v>263</v>
      </c>
      <c r="I57" s="11" t="s">
        <v>87</v>
      </c>
    </row>
    <row r="58" customFormat="false" ht="17.15" hidden="false" customHeight="false" outlineLevel="0" collapsed="false">
      <c r="A58" s="16" t="s">
        <v>264</v>
      </c>
      <c r="B58" s="17" t="s">
        <v>265</v>
      </c>
      <c r="C58" s="16" t="s">
        <v>185</v>
      </c>
      <c r="D58" s="16"/>
      <c r="E58" s="18" t="n">
        <f aca="false">(fy28_end-roll_d2)/days_yr</f>
        <v>0.676712328767123</v>
      </c>
      <c r="F58" s="16"/>
      <c r="G58" s="16" t="s">
        <v>90</v>
      </c>
      <c r="H58" s="16" t="s">
        <v>266</v>
      </c>
      <c r="I58" s="16" t="s">
        <v>267</v>
      </c>
    </row>
    <row r="59" customFormat="false" ht="17.15" hidden="false" customHeight="false" outlineLevel="0" collapsed="false">
      <c r="A59" s="16" t="s">
        <v>268</v>
      </c>
      <c r="B59" s="17" t="s">
        <v>269</v>
      </c>
      <c r="C59" s="16" t="s">
        <v>129</v>
      </c>
      <c r="D59" s="19" t="n">
        <v>0.3</v>
      </c>
      <c r="E59" s="19" t="n">
        <v>0.5</v>
      </c>
      <c r="F59" s="19" t="n">
        <v>0.7</v>
      </c>
      <c r="G59" s="16" t="s">
        <v>121</v>
      </c>
      <c r="H59" s="16" t="s">
        <v>270</v>
      </c>
      <c r="I59" s="16" t="s">
        <v>271</v>
      </c>
    </row>
    <row r="60" customFormat="false" ht="17.15" hidden="false" customHeight="false" outlineLevel="0" collapsed="false">
      <c r="A60" s="16" t="s">
        <v>272</v>
      </c>
      <c r="B60" s="17" t="s">
        <v>273</v>
      </c>
      <c r="C60" s="16" t="s">
        <v>129</v>
      </c>
      <c r="D60" s="16"/>
      <c r="E60" s="19" t="n">
        <v>0.25</v>
      </c>
      <c r="F60" s="16"/>
      <c r="G60" s="16" t="s">
        <v>121</v>
      </c>
      <c r="H60" s="16" t="s">
        <v>274</v>
      </c>
      <c r="I60" s="16" t="s">
        <v>271</v>
      </c>
    </row>
    <row r="61" customFormat="false" ht="17.15" hidden="false" customHeight="false" outlineLevel="0" collapsed="false">
      <c r="A61" s="16" t="s">
        <v>275</v>
      </c>
      <c r="B61" s="17" t="s">
        <v>276</v>
      </c>
      <c r="C61" s="16" t="s">
        <v>129</v>
      </c>
      <c r="D61" s="16"/>
      <c r="E61" s="19" t="n">
        <v>0.5</v>
      </c>
      <c r="F61" s="16"/>
      <c r="G61" s="16" t="s">
        <v>121</v>
      </c>
      <c r="H61" s="16" t="s">
        <v>274</v>
      </c>
      <c r="I61" s="16" t="s">
        <v>271</v>
      </c>
    </row>
    <row r="62" customFormat="false" ht="17.15" hidden="false" customHeight="false" outlineLevel="0" collapsed="false">
      <c r="A62" s="16" t="s">
        <v>277</v>
      </c>
      <c r="B62" s="17" t="s">
        <v>278</v>
      </c>
      <c r="C62" s="16" t="s">
        <v>129</v>
      </c>
      <c r="D62" s="16"/>
      <c r="E62" s="19" t="n">
        <v>0.25</v>
      </c>
      <c r="F62" s="16"/>
      <c r="G62" s="16" t="s">
        <v>121</v>
      </c>
      <c r="H62" s="16" t="s">
        <v>274</v>
      </c>
      <c r="I62" s="16" t="s">
        <v>271</v>
      </c>
    </row>
    <row r="63" customFormat="false" ht="17.15" hidden="false" customHeight="false" outlineLevel="0" collapsed="false">
      <c r="A63" s="0" t="s">
        <v>279</v>
      </c>
      <c r="B63" s="0" t="s">
        <v>280</v>
      </c>
      <c r="C63" s="0" t="s">
        <v>129</v>
      </c>
      <c r="E63" s="12" t="n">
        <v>0.25</v>
      </c>
      <c r="F63" s="12" t="n">
        <v>0.27</v>
      </c>
      <c r="G63" s="11" t="s">
        <v>76</v>
      </c>
      <c r="H63" s="1" t="s">
        <v>281</v>
      </c>
      <c r="I63" s="11" t="s">
        <v>282</v>
      </c>
    </row>
    <row r="64" customFormat="false" ht="17.15" hidden="false" customHeight="false" outlineLevel="0" collapsed="false">
      <c r="A64" s="0" t="s">
        <v>283</v>
      </c>
      <c r="B64" s="0" t="s">
        <v>284</v>
      </c>
      <c r="C64" s="0" t="s">
        <v>98</v>
      </c>
      <c r="E64" s="10" t="n">
        <v>852</v>
      </c>
      <c r="G64" s="11" t="s">
        <v>170</v>
      </c>
      <c r="H64" s="1" t="s">
        <v>285</v>
      </c>
      <c r="I64" s="1" t="s">
        <v>286</v>
      </c>
    </row>
    <row r="65" customFormat="false" ht="17.15" hidden="false" customHeight="false" outlineLevel="0" collapsed="false">
      <c r="A65" s="0" t="s">
        <v>287</v>
      </c>
      <c r="B65" s="1" t="s">
        <v>288</v>
      </c>
      <c r="C65" s="0" t="s">
        <v>129</v>
      </c>
      <c r="D65" s="12" t="n">
        <v>0</v>
      </c>
      <c r="E65" s="12" t="n">
        <v>0.2</v>
      </c>
      <c r="F65" s="12" t="n">
        <v>0.4</v>
      </c>
      <c r="G65" s="11" t="s">
        <v>121</v>
      </c>
      <c r="H65" s="1" t="s">
        <v>289</v>
      </c>
      <c r="I65" s="1" t="s">
        <v>201</v>
      </c>
    </row>
    <row r="66" customFormat="false" ht="17.15" hidden="false" customHeight="false" outlineLevel="0" collapsed="false">
      <c r="A66" s="0" t="s">
        <v>290</v>
      </c>
      <c r="B66" s="0" t="s">
        <v>291</v>
      </c>
      <c r="C66" s="0" t="s">
        <v>98</v>
      </c>
      <c r="E66" s="0" t="n">
        <f aca="false">oai_stake*oai_val*(1-liq_disc)</f>
        <v>170.4</v>
      </c>
      <c r="G66" s="0" t="s">
        <v>90</v>
      </c>
      <c r="H66" s="1" t="s">
        <v>292</v>
      </c>
      <c r="I66" s="0" t="s">
        <v>293</v>
      </c>
    </row>
    <row r="67" customFormat="false" ht="17.15" hidden="false" customHeight="false" outlineLevel="0" collapsed="false">
      <c r="A67" s="0" t="s">
        <v>294</v>
      </c>
      <c r="B67" s="0" t="s">
        <v>295</v>
      </c>
      <c r="C67" s="0" t="s">
        <v>185</v>
      </c>
      <c r="D67" s="13" t="n">
        <v>4</v>
      </c>
      <c r="E67" s="13" t="n">
        <v>6</v>
      </c>
      <c r="F67" s="13" t="n">
        <v>10</v>
      </c>
      <c r="G67" s="11" t="s">
        <v>121</v>
      </c>
      <c r="H67" s="1" t="s">
        <v>296</v>
      </c>
      <c r="I67" s="11" t="s">
        <v>297</v>
      </c>
    </row>
    <row r="68" customFormat="false" ht="17.15" hidden="false" customHeight="false" outlineLevel="0" collapsed="false">
      <c r="A68" s="0" t="s">
        <v>298</v>
      </c>
      <c r="B68" s="1" t="s">
        <v>299</v>
      </c>
      <c r="C68" s="0" t="s">
        <v>185</v>
      </c>
      <c r="E68" s="13" t="n">
        <v>13.82</v>
      </c>
      <c r="G68" s="11" t="s">
        <v>90</v>
      </c>
      <c r="H68" s="11" t="s">
        <v>300</v>
      </c>
      <c r="I68" s="11" t="s">
        <v>301</v>
      </c>
    </row>
    <row r="69" customFormat="false" ht="17.15" hidden="false" customHeight="false" outlineLevel="0" collapsed="false">
      <c r="A69" s="0" t="s">
        <v>302</v>
      </c>
      <c r="B69" s="1" t="s">
        <v>303</v>
      </c>
      <c r="C69" s="0" t="s">
        <v>185</v>
      </c>
      <c r="E69" s="13" t="n">
        <v>10.8</v>
      </c>
      <c r="G69" s="11" t="s">
        <v>90</v>
      </c>
      <c r="H69" s="1" t="s">
        <v>304</v>
      </c>
      <c r="I69" s="11" t="s">
        <v>305</v>
      </c>
    </row>
    <row r="70" customFormat="false" ht="17.15" hidden="false" customHeight="false" outlineLevel="0" collapsed="false">
      <c r="A70" s="0" t="s">
        <v>306</v>
      </c>
      <c r="B70" s="1" t="s">
        <v>307</v>
      </c>
      <c r="C70" s="0" t="s">
        <v>185</v>
      </c>
      <c r="E70" s="13" t="n">
        <v>9.11</v>
      </c>
      <c r="G70" s="11" t="s">
        <v>90</v>
      </c>
      <c r="H70" s="11" t="s">
        <v>308</v>
      </c>
      <c r="I70" s="11" t="s">
        <v>305</v>
      </c>
    </row>
    <row r="71" customFormat="false" ht="17.15" hidden="false" customHeight="false" outlineLevel="0" collapsed="false">
      <c r="A71" s="0" t="s">
        <v>309</v>
      </c>
      <c r="B71" s="1" t="s">
        <v>310</v>
      </c>
      <c r="C71" s="0" t="s">
        <v>185</v>
      </c>
      <c r="E71" s="13" t="n">
        <v>12.63</v>
      </c>
      <c r="G71" s="11" t="s">
        <v>90</v>
      </c>
      <c r="H71" s="1" t="s">
        <v>311</v>
      </c>
      <c r="I71" s="11" t="s">
        <v>312</v>
      </c>
    </row>
    <row r="72" customFormat="false" ht="17.15" hidden="false" customHeight="false" outlineLevel="0" collapsed="false">
      <c r="A72" s="0" t="s">
        <v>313</v>
      </c>
      <c r="B72" s="0" t="s">
        <v>314</v>
      </c>
      <c r="C72" s="0" t="s">
        <v>185</v>
      </c>
      <c r="E72" s="13" t="n">
        <v>14.47</v>
      </c>
      <c r="G72" s="11" t="s">
        <v>90</v>
      </c>
      <c r="H72" s="1" t="s">
        <v>315</v>
      </c>
      <c r="I72" s="11" t="s">
        <v>312</v>
      </c>
    </row>
    <row r="73" customFormat="false" ht="17.15" hidden="false" customHeight="false" outlineLevel="0" collapsed="false">
      <c r="A73" s="0" t="s">
        <v>316</v>
      </c>
      <c r="B73" s="0" t="s">
        <v>317</v>
      </c>
      <c r="C73" s="0" t="s">
        <v>185</v>
      </c>
      <c r="E73" s="13" t="n">
        <v>15.67</v>
      </c>
      <c r="G73" s="11" t="s">
        <v>90</v>
      </c>
      <c r="H73" s="1" t="s">
        <v>318</v>
      </c>
      <c r="I73" s="1" t="s">
        <v>319</v>
      </c>
    </row>
    <row r="74" customFormat="false" ht="17.15" hidden="false" customHeight="false" outlineLevel="0" collapsed="false">
      <c r="A74" s="0" t="s">
        <v>320</v>
      </c>
      <c r="B74" s="1" t="s">
        <v>321</v>
      </c>
      <c r="C74" s="0" t="s">
        <v>129</v>
      </c>
      <c r="D74" s="12" t="n">
        <v>0.5</v>
      </c>
      <c r="E74" s="12" t="n">
        <v>0.6</v>
      </c>
      <c r="F74" s="12" t="n">
        <v>0.7</v>
      </c>
      <c r="G74" s="11" t="s">
        <v>121</v>
      </c>
      <c r="H74" s="1" t="s">
        <v>322</v>
      </c>
      <c r="I74" s="1" t="s">
        <v>323</v>
      </c>
    </row>
    <row r="75" customFormat="false" ht="17.15" hidden="false" customHeight="false" outlineLevel="0" collapsed="false">
      <c r="A75" s="0" t="s">
        <v>324</v>
      </c>
      <c r="B75" s="1" t="s">
        <v>325</v>
      </c>
      <c r="C75" s="0" t="s">
        <v>129</v>
      </c>
      <c r="D75" s="12" t="n">
        <v>0.65</v>
      </c>
      <c r="E75" s="12" t="n">
        <v>0.75</v>
      </c>
      <c r="F75" s="12" t="n">
        <v>0.85</v>
      </c>
      <c r="G75" s="11" t="s">
        <v>121</v>
      </c>
      <c r="H75" s="1" t="s">
        <v>322</v>
      </c>
      <c r="I75" s="1" t="s">
        <v>326</v>
      </c>
    </row>
    <row r="76" customFormat="false" ht="17.15" hidden="false" customHeight="false" outlineLevel="0" collapsed="false">
      <c r="A76" s="0" t="s">
        <v>327</v>
      </c>
      <c r="B76" s="1" t="s">
        <v>328</v>
      </c>
      <c r="C76" s="0" t="s">
        <v>129</v>
      </c>
      <c r="D76" s="12" t="n">
        <v>0.2</v>
      </c>
      <c r="E76" s="12" t="n">
        <v>0.3</v>
      </c>
      <c r="F76" s="12" t="n">
        <v>0.4</v>
      </c>
      <c r="G76" s="11" t="s">
        <v>121</v>
      </c>
      <c r="H76" s="1" t="s">
        <v>322</v>
      </c>
      <c r="I76" s="1" t="s">
        <v>329</v>
      </c>
    </row>
    <row r="77" customFormat="false" ht="17.15" hidden="false" customHeight="false" outlineLevel="0" collapsed="false">
      <c r="A77" s="0" t="s">
        <v>330</v>
      </c>
      <c r="B77" s="1" t="s">
        <v>331</v>
      </c>
      <c r="C77" s="0" t="s">
        <v>129</v>
      </c>
      <c r="D77" s="12" t="n">
        <v>0.2</v>
      </c>
      <c r="E77" s="12" t="n">
        <v>0.3</v>
      </c>
      <c r="F77" s="12" t="n">
        <v>0.4</v>
      </c>
      <c r="G77" s="11" t="s">
        <v>121</v>
      </c>
      <c r="H77" s="1" t="s">
        <v>322</v>
      </c>
      <c r="I77" s="1" t="s">
        <v>332</v>
      </c>
    </row>
    <row r="78" customFormat="false" ht="17.15" hidden="false" customHeight="false" outlineLevel="0" collapsed="false">
      <c r="A78" s="0" t="s">
        <v>333</v>
      </c>
      <c r="B78" s="1" t="s">
        <v>334</v>
      </c>
      <c r="C78" s="0" t="s">
        <v>129</v>
      </c>
      <c r="D78" s="12" t="n">
        <v>0.2</v>
      </c>
      <c r="E78" s="12" t="n">
        <v>0.3</v>
      </c>
      <c r="F78" s="12" t="n">
        <v>0.4</v>
      </c>
      <c r="G78" s="11" t="s">
        <v>121</v>
      </c>
      <c r="H78" s="1" t="s">
        <v>322</v>
      </c>
      <c r="I78" s="1" t="s">
        <v>335</v>
      </c>
    </row>
    <row r="79" customFormat="false" ht="17.15" hidden="false" customHeight="false" outlineLevel="0" collapsed="false">
      <c r="A79" s="9" t="s">
        <v>336</v>
      </c>
    </row>
    <row r="80" customFormat="false" ht="17.15" hidden="false" customHeight="false" outlineLevel="0" collapsed="false">
      <c r="A80" s="0" t="s">
        <v>337</v>
      </c>
      <c r="B80" s="0" t="s">
        <v>338</v>
      </c>
      <c r="C80" s="0" t="s">
        <v>339</v>
      </c>
      <c r="E80" s="10" t="n">
        <v>9.70308728611469</v>
      </c>
      <c r="G80" s="11" t="s">
        <v>90</v>
      </c>
      <c r="H80" s="11" t="s">
        <v>340</v>
      </c>
      <c r="I80" s="1" t="s">
        <v>341</v>
      </c>
    </row>
    <row r="81" customFormat="false" ht="17.15" hidden="false" customHeight="false" outlineLevel="0" collapsed="false">
      <c r="A81" s="0" t="s">
        <v>342</v>
      </c>
      <c r="B81" s="0" t="s">
        <v>343</v>
      </c>
      <c r="C81" s="0" t="s">
        <v>339</v>
      </c>
      <c r="E81" s="10" t="n">
        <v>8.82816556596761</v>
      </c>
      <c r="G81" s="11" t="s">
        <v>90</v>
      </c>
      <c r="H81" s="11" t="s">
        <v>340</v>
      </c>
      <c r="I81" s="1" t="s">
        <v>341</v>
      </c>
    </row>
    <row r="82" customFormat="false" ht="17.15" hidden="false" customHeight="false" outlineLevel="0" collapsed="false">
      <c r="A82" s="0" t="s">
        <v>344</v>
      </c>
      <c r="B82" s="0" t="s">
        <v>345</v>
      </c>
      <c r="C82" s="0" t="s">
        <v>339</v>
      </c>
      <c r="E82" s="10" t="n">
        <v>10.8864110021101</v>
      </c>
      <c r="G82" s="11" t="s">
        <v>90</v>
      </c>
      <c r="H82" s="11" t="s">
        <v>340</v>
      </c>
      <c r="I82" s="1" t="s">
        <v>341</v>
      </c>
    </row>
    <row r="83" customFormat="false" ht="17.15" hidden="false" customHeight="false" outlineLevel="0" collapsed="false">
      <c r="A83" s="0" t="s">
        <v>346</v>
      </c>
      <c r="B83" s="0" t="s">
        <v>347</v>
      </c>
      <c r="C83" s="0" t="s">
        <v>339</v>
      </c>
      <c r="E83" s="10" t="n">
        <v>12.2254710045841</v>
      </c>
      <c r="G83" s="11" t="s">
        <v>90</v>
      </c>
      <c r="H83" s="11" t="s">
        <v>340</v>
      </c>
      <c r="I83" s="1" t="s">
        <v>341</v>
      </c>
    </row>
    <row r="84" customFormat="false" ht="17.15" hidden="false" customHeight="false" outlineLevel="0" collapsed="false">
      <c r="A84" s="0" t="s">
        <v>348</v>
      </c>
      <c r="B84" s="0" t="s">
        <v>349</v>
      </c>
      <c r="C84" s="0" t="s">
        <v>350</v>
      </c>
      <c r="E84" s="10" t="n">
        <v>27.510214</v>
      </c>
      <c r="G84" s="11" t="s">
        <v>90</v>
      </c>
      <c r="H84" s="11" t="s">
        <v>340</v>
      </c>
      <c r="I84" s="11" t="s">
        <v>87</v>
      </c>
    </row>
    <row r="85" customFormat="false" ht="17.15" hidden="false" customHeight="false" outlineLevel="0" collapsed="false">
      <c r="A85" s="0" t="s">
        <v>351</v>
      </c>
      <c r="B85" s="0" t="s">
        <v>352</v>
      </c>
      <c r="C85" s="0" t="s">
        <v>350</v>
      </c>
      <c r="E85" s="10" t="n">
        <v>24.015174</v>
      </c>
      <c r="G85" s="11" t="s">
        <v>90</v>
      </c>
      <c r="H85" s="11" t="s">
        <v>340</v>
      </c>
      <c r="I85" s="11" t="s">
        <v>87</v>
      </c>
    </row>
    <row r="86" customFormat="false" ht="17.15" hidden="false" customHeight="false" outlineLevel="0" collapsed="false">
      <c r="A86" s="0" t="s">
        <v>353</v>
      </c>
      <c r="B86" s="0" t="s">
        <v>354</v>
      </c>
      <c r="C86" s="0" t="s">
        <v>350</v>
      </c>
      <c r="E86" s="10" t="n">
        <v>32.237224</v>
      </c>
      <c r="G86" s="11" t="s">
        <v>90</v>
      </c>
      <c r="H86" s="11" t="s">
        <v>340</v>
      </c>
      <c r="I86" s="11" t="s">
        <v>87</v>
      </c>
    </row>
    <row r="87" customFormat="false" ht="17.15" hidden="false" customHeight="false" outlineLevel="0" collapsed="false">
      <c r="A87" s="0" t="s">
        <v>355</v>
      </c>
      <c r="B87" s="0" t="s">
        <v>356</v>
      </c>
      <c r="C87" s="0" t="s">
        <v>350</v>
      </c>
      <c r="E87" s="10" t="n">
        <v>37.586352</v>
      </c>
      <c r="G87" s="11" t="s">
        <v>90</v>
      </c>
      <c r="H87" s="11" t="s">
        <v>340</v>
      </c>
      <c r="I87" s="11" t="s">
        <v>87</v>
      </c>
    </row>
    <row r="88" customFormat="false" ht="17.15" hidden="false" customHeight="false" outlineLevel="0" collapsed="false">
      <c r="A88" s="0" t="s">
        <v>357</v>
      </c>
      <c r="B88" s="0" t="s">
        <v>358</v>
      </c>
      <c r="C88" s="0" t="s">
        <v>339</v>
      </c>
      <c r="E88" s="10" t="n">
        <v>1.88466748019734</v>
      </c>
      <c r="G88" s="11" t="s">
        <v>90</v>
      </c>
      <c r="H88" s="11" t="s">
        <v>340</v>
      </c>
      <c r="I88" s="1" t="s">
        <v>359</v>
      </c>
    </row>
    <row r="89" customFormat="false" ht="17.15" hidden="false" customHeight="false" outlineLevel="0" collapsed="false">
      <c r="A89" s="0" t="s">
        <v>360</v>
      </c>
      <c r="B89" s="0" t="s">
        <v>361</v>
      </c>
      <c r="C89" s="0" t="s">
        <v>339</v>
      </c>
      <c r="E89" s="10" t="n">
        <v>1.812232738713</v>
      </c>
      <c r="G89" s="11" t="s">
        <v>90</v>
      </c>
      <c r="H89" s="11" t="s">
        <v>340</v>
      </c>
      <c r="I89" s="1" t="s">
        <v>359</v>
      </c>
    </row>
    <row r="90" customFormat="false" ht="17.15" hidden="false" customHeight="false" outlineLevel="0" collapsed="false">
      <c r="A90" s="0" t="s">
        <v>362</v>
      </c>
      <c r="B90" s="0" t="s">
        <v>363</v>
      </c>
      <c r="C90" s="0" t="s">
        <v>339</v>
      </c>
      <c r="E90" s="10" t="n">
        <v>1.98263481314457</v>
      </c>
      <c r="G90" s="11" t="s">
        <v>90</v>
      </c>
      <c r="H90" s="11" t="s">
        <v>340</v>
      </c>
      <c r="I90" s="1" t="s">
        <v>359</v>
      </c>
    </row>
    <row r="91" customFormat="false" ht="17.15" hidden="false" customHeight="false" outlineLevel="0" collapsed="false">
      <c r="A91" s="0" t="s">
        <v>364</v>
      </c>
      <c r="B91" s="0" t="s">
        <v>365</v>
      </c>
      <c r="C91" s="0" t="s">
        <v>339</v>
      </c>
      <c r="E91" s="10" t="n">
        <v>2.09349554831403</v>
      </c>
      <c r="G91" s="11" t="s">
        <v>90</v>
      </c>
      <c r="H91" s="11" t="s">
        <v>340</v>
      </c>
      <c r="I91" s="1" t="s">
        <v>359</v>
      </c>
    </row>
    <row r="92" customFormat="false" ht="17.15" hidden="false" customHeight="false" outlineLevel="0" collapsed="false">
      <c r="A92" s="0" t="s">
        <v>366</v>
      </c>
      <c r="B92" s="0" t="s">
        <v>367</v>
      </c>
      <c r="C92" s="0" t="s">
        <v>350</v>
      </c>
      <c r="E92" s="10" t="n">
        <v>12.67</v>
      </c>
      <c r="G92" s="11" t="s">
        <v>90</v>
      </c>
      <c r="H92" s="11" t="s">
        <v>340</v>
      </c>
      <c r="I92" s="1" t="s">
        <v>368</v>
      </c>
    </row>
    <row r="93" customFormat="false" ht="17.15" hidden="false" customHeight="false" outlineLevel="0" collapsed="false">
      <c r="A93" s="0" t="s">
        <v>369</v>
      </c>
      <c r="B93" s="0" t="s">
        <v>370</v>
      </c>
      <c r="C93" s="0" t="s">
        <v>371</v>
      </c>
      <c r="E93" s="10" t="n">
        <v>1.54259654785589</v>
      </c>
      <c r="G93" s="11" t="s">
        <v>90</v>
      </c>
      <c r="H93" s="11" t="s">
        <v>340</v>
      </c>
      <c r="I93" s="11" t="s">
        <v>372</v>
      </c>
    </row>
    <row r="94" customFormat="false" ht="17.15" hidden="false" customHeight="false" outlineLevel="0" collapsed="false">
      <c r="A94" s="0" t="s">
        <v>373</v>
      </c>
      <c r="B94" s="0" t="s">
        <v>374</v>
      </c>
      <c r="C94" s="1" t="s">
        <v>235</v>
      </c>
      <c r="D94" s="10" t="n">
        <v>5</v>
      </c>
      <c r="E94" s="10" t="n">
        <v>6</v>
      </c>
      <c r="F94" s="10" t="n">
        <v>7</v>
      </c>
      <c r="G94" s="11" t="s">
        <v>90</v>
      </c>
      <c r="H94" s="11" t="s">
        <v>375</v>
      </c>
      <c r="I94" s="11" t="s">
        <v>376</v>
      </c>
    </row>
    <row r="95" customFormat="false" ht="17.15" hidden="false" customHeight="false" outlineLevel="0" collapsed="false">
      <c r="A95" s="0" t="s">
        <v>377</v>
      </c>
      <c r="B95" s="1" t="s">
        <v>378</v>
      </c>
      <c r="C95" s="1" t="s">
        <v>235</v>
      </c>
      <c r="E95" s="10" t="n">
        <v>20</v>
      </c>
      <c r="G95" s="11" t="s">
        <v>90</v>
      </c>
      <c r="H95" s="11" t="s">
        <v>379</v>
      </c>
      <c r="I95" s="1" t="s">
        <v>380</v>
      </c>
    </row>
    <row r="96" customFormat="false" ht="17.15" hidden="false" customHeight="false" outlineLevel="0" collapsed="false">
      <c r="A96" s="0" t="s">
        <v>381</v>
      </c>
      <c r="B96" s="1" t="s">
        <v>382</v>
      </c>
      <c r="C96" s="0" t="s">
        <v>129</v>
      </c>
      <c r="E96" s="12" t="n">
        <v>0.1</v>
      </c>
      <c r="G96" s="11" t="s">
        <v>90</v>
      </c>
      <c r="H96" s="1" t="s">
        <v>383</v>
      </c>
      <c r="I96" s="1" t="s">
        <v>384</v>
      </c>
    </row>
    <row r="97" customFormat="false" ht="17.15" hidden="false" customHeight="false" outlineLevel="0" collapsed="false">
      <c r="A97" s="0" t="s">
        <v>385</v>
      </c>
      <c r="B97" s="1" t="s">
        <v>386</v>
      </c>
      <c r="C97" s="0" t="s">
        <v>339</v>
      </c>
      <c r="E97" s="0" t="n">
        <f aca="false">tk_cxfac*fac_wacc/(1-(1+fac_wacc)^(-life_fac))</f>
        <v>1.48821344586815</v>
      </c>
      <c r="G97" s="0" t="s">
        <v>90</v>
      </c>
      <c r="H97" s="0" t="s">
        <v>387</v>
      </c>
      <c r="I97" s="0" t="s">
        <v>388</v>
      </c>
    </row>
    <row r="98" customFormat="false" ht="17.15" hidden="false" customHeight="false" outlineLevel="0" collapsed="false">
      <c r="A98" s="9" t="s">
        <v>389</v>
      </c>
    </row>
    <row r="99" customFormat="false" ht="17.15" hidden="false" customHeight="false" outlineLevel="0" collapsed="false">
      <c r="A99" s="0" t="s">
        <v>390</v>
      </c>
      <c r="B99" s="1" t="s">
        <v>391</v>
      </c>
      <c r="C99" s="0" t="s">
        <v>392</v>
      </c>
      <c r="E99" s="10" t="n">
        <v>640</v>
      </c>
      <c r="G99" s="11" t="s">
        <v>90</v>
      </c>
      <c r="H99" s="1" t="s">
        <v>393</v>
      </c>
      <c r="I99" s="1" t="s">
        <v>394</v>
      </c>
    </row>
    <row r="100" customFormat="false" ht="17.15" hidden="false" customHeight="false" outlineLevel="0" collapsed="false">
      <c r="A100" s="0" t="s">
        <v>395</v>
      </c>
      <c r="B100" s="1" t="s">
        <v>396</v>
      </c>
      <c r="C100" s="0" t="s">
        <v>392</v>
      </c>
      <c r="E100" s="10" t="n">
        <v>1630</v>
      </c>
      <c r="G100" s="11" t="s">
        <v>90</v>
      </c>
      <c r="H100" s="1" t="s">
        <v>393</v>
      </c>
      <c r="I100" s="1" t="s">
        <v>394</v>
      </c>
    </row>
    <row r="101" customFormat="false" ht="17.15" hidden="false" customHeight="false" outlineLevel="0" collapsed="false">
      <c r="A101" s="0" t="s">
        <v>397</v>
      </c>
      <c r="B101" s="1" t="s">
        <v>398</v>
      </c>
      <c r="C101" s="0" t="s">
        <v>392</v>
      </c>
      <c r="D101" s="10" t="n">
        <v>2150</v>
      </c>
      <c r="E101" s="10" t="n">
        <v>3250</v>
      </c>
      <c r="F101" s="10" t="n">
        <v>4875</v>
      </c>
      <c r="G101" s="11" t="s">
        <v>90</v>
      </c>
      <c r="H101" s="1" t="s">
        <v>399</v>
      </c>
      <c r="I101" s="1" t="s">
        <v>394</v>
      </c>
    </row>
    <row r="102" customFormat="false" ht="17.15" hidden="false" customHeight="false" outlineLevel="0" collapsed="false">
      <c r="A102" s="0" t="s">
        <v>400</v>
      </c>
      <c r="B102" s="1" t="s">
        <v>401</v>
      </c>
      <c r="C102" s="0" t="s">
        <v>392</v>
      </c>
      <c r="E102" s="10" t="n">
        <v>150</v>
      </c>
      <c r="G102" s="11" t="s">
        <v>121</v>
      </c>
      <c r="H102" s="1" t="s">
        <v>402</v>
      </c>
      <c r="I102" s="1" t="s">
        <v>403</v>
      </c>
    </row>
    <row r="103" customFormat="false" ht="17.15" hidden="false" customHeight="false" outlineLevel="0" collapsed="false">
      <c r="A103" s="0" t="s">
        <v>404</v>
      </c>
      <c r="B103" s="1" t="s">
        <v>405</v>
      </c>
      <c r="C103" s="0" t="s">
        <v>392</v>
      </c>
      <c r="E103" s="10" t="n">
        <v>400</v>
      </c>
      <c r="G103" s="11" t="s">
        <v>121</v>
      </c>
      <c r="H103" s="1" t="s">
        <v>402</v>
      </c>
      <c r="I103" s="1" t="s">
        <v>403</v>
      </c>
    </row>
    <row r="104" customFormat="false" ht="17.15" hidden="false" customHeight="false" outlineLevel="0" collapsed="false">
      <c r="A104" s="0" t="s">
        <v>406</v>
      </c>
      <c r="B104" s="1" t="s">
        <v>407</v>
      </c>
      <c r="C104" s="0" t="s">
        <v>392</v>
      </c>
      <c r="E104" s="10" t="n">
        <v>550</v>
      </c>
      <c r="G104" s="11" t="s">
        <v>90</v>
      </c>
      <c r="H104" s="1" t="s">
        <v>408</v>
      </c>
      <c r="I104" s="1" t="s">
        <v>403</v>
      </c>
    </row>
    <row r="105" customFormat="false" ht="17.15" hidden="false" customHeight="false" outlineLevel="0" collapsed="false">
      <c r="A105" s="0" t="s">
        <v>409</v>
      </c>
      <c r="B105" s="1" t="s">
        <v>410</v>
      </c>
      <c r="C105" s="0" t="s">
        <v>392</v>
      </c>
      <c r="E105" s="10" t="n">
        <v>756</v>
      </c>
      <c r="G105" s="11" t="s">
        <v>90</v>
      </c>
      <c r="H105" s="1" t="s">
        <v>411</v>
      </c>
      <c r="I105" s="11" t="s">
        <v>87</v>
      </c>
    </row>
    <row r="106" customFormat="false" ht="17.15" hidden="false" customHeight="false" outlineLevel="0" collapsed="false">
      <c r="A106" s="0" t="s">
        <v>412</v>
      </c>
      <c r="B106" s="1" t="s">
        <v>413</v>
      </c>
      <c r="C106" s="0" t="s">
        <v>414</v>
      </c>
      <c r="E106" s="10" t="n">
        <v>2527.2</v>
      </c>
      <c r="G106" s="11" t="s">
        <v>90</v>
      </c>
      <c r="H106" s="1" t="s">
        <v>415</v>
      </c>
      <c r="I106" s="1" t="s">
        <v>416</v>
      </c>
    </row>
    <row r="107" customFormat="false" ht="17.15" hidden="false" customHeight="false" outlineLevel="0" collapsed="false">
      <c r="A107" s="0" t="s">
        <v>417</v>
      </c>
      <c r="B107" s="0" t="s">
        <v>418</v>
      </c>
      <c r="C107" s="1" t="s">
        <v>235</v>
      </c>
      <c r="E107" s="10" t="n">
        <v>2029</v>
      </c>
      <c r="G107" s="11" t="s">
        <v>121</v>
      </c>
      <c r="H107" s="1" t="s">
        <v>419</v>
      </c>
      <c r="I107" s="11" t="s">
        <v>87</v>
      </c>
    </row>
    <row r="108" customFormat="false" ht="17.15" hidden="false" customHeight="false" outlineLevel="0" collapsed="false">
      <c r="A108" s="0" t="s">
        <v>420</v>
      </c>
      <c r="B108" s="0" t="s">
        <v>421</v>
      </c>
      <c r="C108" s="1" t="s">
        <v>235</v>
      </c>
      <c r="E108" s="10" t="n">
        <v>2032</v>
      </c>
      <c r="G108" s="11" t="s">
        <v>121</v>
      </c>
      <c r="H108" s="1" t="s">
        <v>422</v>
      </c>
      <c r="I108" s="1" t="s">
        <v>423</v>
      </c>
    </row>
    <row r="109" customFormat="false" ht="17.15" hidden="false" customHeight="false" outlineLevel="0" collapsed="false">
      <c r="A109" s="0" t="s">
        <v>424</v>
      </c>
      <c r="B109" s="1" t="s">
        <v>425</v>
      </c>
      <c r="C109" s="1" t="s">
        <v>235</v>
      </c>
      <c r="E109" s="10" t="n">
        <v>3</v>
      </c>
      <c r="G109" s="11" t="s">
        <v>121</v>
      </c>
      <c r="H109" s="1" t="s">
        <v>426</v>
      </c>
      <c r="I109" s="11" t="s">
        <v>87</v>
      </c>
    </row>
    <row r="110" customFormat="false" ht="17.15" hidden="false" customHeight="false" outlineLevel="0" collapsed="false">
      <c r="A110" s="0" t="s">
        <v>427</v>
      </c>
      <c r="B110" s="1" t="s">
        <v>428</v>
      </c>
      <c r="C110" s="0" t="s">
        <v>414</v>
      </c>
      <c r="E110" s="10" t="n">
        <v>650</v>
      </c>
      <c r="G110" s="11" t="s">
        <v>90</v>
      </c>
      <c r="H110" s="1" t="s">
        <v>429</v>
      </c>
      <c r="I110" s="1" t="s">
        <v>430</v>
      </c>
    </row>
    <row r="111" customFormat="false" ht="17.15" hidden="false" customHeight="false" outlineLevel="0" collapsed="false">
      <c r="A111" s="0" t="s">
        <v>431</v>
      </c>
      <c r="B111" s="1" t="s">
        <v>432</v>
      </c>
      <c r="C111" s="0" t="s">
        <v>392</v>
      </c>
      <c r="E111" s="10" t="n">
        <v>4386</v>
      </c>
      <c r="G111" s="11" t="s">
        <v>90</v>
      </c>
      <c r="H111" s="1" t="s">
        <v>201</v>
      </c>
      <c r="I111" s="11" t="s">
        <v>87</v>
      </c>
    </row>
    <row r="112" customFormat="false" ht="17.15" hidden="false" customHeight="false" outlineLevel="0" collapsed="false">
      <c r="A112" s="0" t="s">
        <v>433</v>
      </c>
      <c r="B112" s="1" t="s">
        <v>434</v>
      </c>
      <c r="C112" s="0" t="s">
        <v>129</v>
      </c>
      <c r="D112" s="12" t="n">
        <v>0.5</v>
      </c>
      <c r="E112" s="12" t="n">
        <v>0.6</v>
      </c>
      <c r="F112" s="12" t="n">
        <v>0.75</v>
      </c>
      <c r="G112" s="11" t="s">
        <v>121</v>
      </c>
      <c r="H112" s="1" t="s">
        <v>435</v>
      </c>
      <c r="I112" s="11" t="s">
        <v>436</v>
      </c>
    </row>
    <row r="113" customFormat="false" ht="17.15" hidden="false" customHeight="false" outlineLevel="0" collapsed="false">
      <c r="A113" s="0" t="s">
        <v>437</v>
      </c>
      <c r="B113" s="1" t="s">
        <v>438</v>
      </c>
      <c r="C113" s="0" t="s">
        <v>129</v>
      </c>
      <c r="D113" s="12" t="n">
        <v>0.4</v>
      </c>
      <c r="E113" s="12" t="n">
        <v>0.6</v>
      </c>
      <c r="F113" s="12" t="n">
        <v>0.8</v>
      </c>
      <c r="G113" s="11" t="s">
        <v>121</v>
      </c>
      <c r="H113" s="1" t="s">
        <v>439</v>
      </c>
      <c r="I113" s="1" t="s">
        <v>440</v>
      </c>
    </row>
    <row r="114" customFormat="false" ht="17.15" hidden="false" customHeight="false" outlineLevel="0" collapsed="false">
      <c r="A114" s="0" t="s">
        <v>441</v>
      </c>
      <c r="B114" s="1" t="s">
        <v>442</v>
      </c>
      <c r="C114" s="0" t="s">
        <v>129</v>
      </c>
      <c r="E114" s="12" t="n">
        <v>0.2</v>
      </c>
      <c r="G114" s="11" t="s">
        <v>121</v>
      </c>
      <c r="H114" s="1" t="s">
        <v>443</v>
      </c>
      <c r="I114" s="11" t="s">
        <v>444</v>
      </c>
    </row>
    <row r="115" customFormat="false" ht="17.15" hidden="false" customHeight="false" outlineLevel="0" collapsed="false">
      <c r="A115" s="0" t="s">
        <v>445</v>
      </c>
      <c r="B115" s="1" t="s">
        <v>446</v>
      </c>
      <c r="C115" s="0" t="s">
        <v>129</v>
      </c>
      <c r="E115" s="12" t="n">
        <v>0.45</v>
      </c>
      <c r="G115" s="11" t="s">
        <v>121</v>
      </c>
      <c r="H115" s="1" t="s">
        <v>443</v>
      </c>
      <c r="I115" s="11" t="s">
        <v>444</v>
      </c>
    </row>
    <row r="116" customFormat="false" ht="17.15" hidden="false" customHeight="false" outlineLevel="0" collapsed="false">
      <c r="A116" s="0" t="s">
        <v>447</v>
      </c>
      <c r="B116" s="1" t="s">
        <v>448</v>
      </c>
      <c r="C116" s="0" t="s">
        <v>129</v>
      </c>
      <c r="E116" s="12" t="n">
        <v>0.35</v>
      </c>
      <c r="G116" s="11" t="s">
        <v>121</v>
      </c>
      <c r="H116" s="1" t="s">
        <v>443</v>
      </c>
      <c r="I116" s="11" t="s">
        <v>444</v>
      </c>
    </row>
    <row r="117" customFormat="false" ht="17.15" hidden="false" customHeight="false" outlineLevel="0" collapsed="false">
      <c r="A117" s="0" t="s">
        <v>449</v>
      </c>
      <c r="B117" s="1" t="s">
        <v>450</v>
      </c>
      <c r="C117" s="0" t="s">
        <v>129</v>
      </c>
      <c r="E117" s="12" t="n">
        <v>0.7</v>
      </c>
      <c r="G117" s="11" t="s">
        <v>121</v>
      </c>
      <c r="H117" s="1" t="s">
        <v>451</v>
      </c>
      <c r="I117" s="11" t="s">
        <v>452</v>
      </c>
    </row>
    <row r="118" customFormat="false" ht="17.15" hidden="false" customHeight="false" outlineLevel="0" collapsed="false">
      <c r="A118" s="0" t="s">
        <v>453</v>
      </c>
      <c r="B118" s="1" t="s">
        <v>454</v>
      </c>
      <c r="C118" s="0" t="s">
        <v>129</v>
      </c>
      <c r="E118" s="12" t="n">
        <v>0.3</v>
      </c>
      <c r="G118" s="11" t="s">
        <v>121</v>
      </c>
      <c r="H118" s="1" t="s">
        <v>451</v>
      </c>
      <c r="I118" s="11" t="s">
        <v>452</v>
      </c>
    </row>
    <row r="119" customFormat="false" ht="17.15" hidden="false" customHeight="false" outlineLevel="0" collapsed="false">
      <c r="A119" s="0" t="s">
        <v>455</v>
      </c>
      <c r="B119" s="1" t="s">
        <v>456</v>
      </c>
      <c r="C119" s="0" t="s">
        <v>129</v>
      </c>
      <c r="E119" s="12" t="n">
        <v>0.1</v>
      </c>
      <c r="G119" s="11" t="s">
        <v>121</v>
      </c>
      <c r="H119" s="1" t="s">
        <v>451</v>
      </c>
      <c r="I119" s="11" t="s">
        <v>452</v>
      </c>
    </row>
    <row r="120" customFormat="false" ht="17.15" hidden="false" customHeight="false" outlineLevel="0" collapsed="false">
      <c r="A120" s="0" t="s">
        <v>457</v>
      </c>
      <c r="B120" s="1" t="s">
        <v>458</v>
      </c>
      <c r="C120" s="0" t="s">
        <v>350</v>
      </c>
      <c r="E120" s="0" t="n">
        <f aca="false">mix_h*tk_cxit_h100+mix_g2*tk_cxit_gb200+mix_g3*tk_cxit_gb300</f>
        <v>27.5918995</v>
      </c>
      <c r="G120" s="0" t="s">
        <v>90</v>
      </c>
      <c r="H120" s="1" t="s">
        <v>459</v>
      </c>
      <c r="I120" s="0" t="s">
        <v>460</v>
      </c>
    </row>
    <row r="121" customFormat="false" ht="17.15" hidden="false" customHeight="false" outlineLevel="0" collapsed="false">
      <c r="A121" s="0" t="s">
        <v>461</v>
      </c>
      <c r="B121" s="1" t="s">
        <v>462</v>
      </c>
      <c r="C121" s="0" t="s">
        <v>339</v>
      </c>
      <c r="E121" s="10" t="n">
        <v>9.7</v>
      </c>
      <c r="G121" s="11" t="s">
        <v>204</v>
      </c>
      <c r="H121" s="1" t="s">
        <v>463</v>
      </c>
      <c r="I121" s="11" t="s">
        <v>464</v>
      </c>
    </row>
    <row r="122" customFormat="false" ht="17.15" hidden="false" customHeight="false" outlineLevel="0" collapsed="false">
      <c r="A122" s="0" t="s">
        <v>465</v>
      </c>
      <c r="B122" s="1" t="s">
        <v>466</v>
      </c>
      <c r="C122" s="0" t="s">
        <v>371</v>
      </c>
      <c r="E122" s="10" t="n">
        <v>2.82</v>
      </c>
      <c r="F122" s="10" t="n">
        <v>12.29</v>
      </c>
      <c r="G122" s="11" t="s">
        <v>76</v>
      </c>
      <c r="H122" s="1" t="s">
        <v>467</v>
      </c>
      <c r="I122" s="1" t="s">
        <v>468</v>
      </c>
    </row>
    <row r="123" customFormat="false" ht="17.15" hidden="false" customHeight="false" outlineLevel="0" collapsed="false">
      <c r="A123" s="0" t="s">
        <v>469</v>
      </c>
      <c r="B123" s="0" t="s">
        <v>470</v>
      </c>
      <c r="C123" s="0" t="s">
        <v>185</v>
      </c>
      <c r="E123" s="14" t="n">
        <f aca="false">p_long/tk_hold_gb300</f>
        <v>0.891019087752599</v>
      </c>
      <c r="G123" s="11" t="s">
        <v>90</v>
      </c>
      <c r="H123" s="1" t="s">
        <v>471</v>
      </c>
      <c r="I123" s="11" t="s">
        <v>472</v>
      </c>
    </row>
    <row r="124" customFormat="false" ht="17.15" hidden="false" customHeight="false" outlineLevel="0" collapsed="false">
      <c r="A124" s="0" t="s">
        <v>473</v>
      </c>
      <c r="B124" s="1" t="s">
        <v>474</v>
      </c>
      <c r="C124" s="0" t="s">
        <v>339</v>
      </c>
      <c r="E124" s="10" t="n">
        <v>5.7429</v>
      </c>
      <c r="G124" s="11" t="s">
        <v>121</v>
      </c>
      <c r="H124" s="1" t="s">
        <v>475</v>
      </c>
      <c r="I124" s="1" t="s">
        <v>476</v>
      </c>
    </row>
    <row r="125" customFormat="false" ht="17.15" hidden="false" customHeight="false" outlineLevel="0" collapsed="false">
      <c r="A125" s="0" t="s">
        <v>477</v>
      </c>
      <c r="B125" s="0" t="s">
        <v>478</v>
      </c>
      <c r="C125" s="0" t="s">
        <v>185</v>
      </c>
      <c r="E125" s="14" t="n">
        <f aca="false">p_long_lo/tk_hold_vr200</f>
        <v>0.469748772693226</v>
      </c>
      <c r="G125" s="11" t="s">
        <v>90</v>
      </c>
      <c r="H125" s="1" t="s">
        <v>479</v>
      </c>
      <c r="I125" s="11" t="s">
        <v>480</v>
      </c>
    </row>
    <row r="126" customFormat="false" ht="17.15" hidden="false" customHeight="false" outlineLevel="0" collapsed="false">
      <c r="A126" s="0" t="s">
        <v>481</v>
      </c>
      <c r="B126" s="0" t="s">
        <v>482</v>
      </c>
      <c r="C126" s="0" t="s">
        <v>185</v>
      </c>
      <c r="E126" s="14" t="n">
        <f aca="false">p_spot/tk_gpuhr_h100</f>
        <v>1.82808654921445</v>
      </c>
      <c r="G126" s="11" t="s">
        <v>90</v>
      </c>
      <c r="H126" s="1" t="s">
        <v>483</v>
      </c>
      <c r="I126" s="11" t="s">
        <v>484</v>
      </c>
    </row>
    <row r="127" customFormat="false" ht="17.15" hidden="false" customHeight="false" outlineLevel="0" collapsed="false">
      <c r="A127" s="0" t="s">
        <v>485</v>
      </c>
      <c r="B127" s="1" t="s">
        <v>486</v>
      </c>
      <c r="C127" s="0" t="s">
        <v>129</v>
      </c>
      <c r="E127" s="12" t="n">
        <v>0.45</v>
      </c>
      <c r="G127" s="11" t="s">
        <v>121</v>
      </c>
      <c r="H127" s="1" t="s">
        <v>487</v>
      </c>
      <c r="I127" s="11" t="s">
        <v>488</v>
      </c>
    </row>
    <row r="128" customFormat="false" ht="17.15" hidden="false" customHeight="false" outlineLevel="0" collapsed="false">
      <c r="A128" s="0" t="s">
        <v>489</v>
      </c>
      <c r="B128" s="1" t="s">
        <v>490</v>
      </c>
      <c r="C128" s="0" t="s">
        <v>129</v>
      </c>
      <c r="E128" s="12" t="n">
        <v>0.7</v>
      </c>
      <c r="G128" s="11" t="s">
        <v>121</v>
      </c>
      <c r="H128" s="1" t="s">
        <v>491</v>
      </c>
      <c r="I128" s="11" t="s">
        <v>488</v>
      </c>
    </row>
    <row r="129" customFormat="false" ht="17.15" hidden="false" customHeight="false" outlineLevel="0" collapsed="false">
      <c r="A129" s="0" t="s">
        <v>492</v>
      </c>
      <c r="B129" s="1" t="s">
        <v>493</v>
      </c>
      <c r="C129" s="0" t="s">
        <v>129</v>
      </c>
      <c r="E129" s="12" t="n">
        <v>1</v>
      </c>
      <c r="G129" s="11" t="s">
        <v>121</v>
      </c>
      <c r="H129" s="1" t="s">
        <v>494</v>
      </c>
      <c r="I129" s="11" t="s">
        <v>488</v>
      </c>
    </row>
    <row r="130" customFormat="false" ht="17.15" hidden="false" customHeight="false" outlineLevel="0" collapsed="false">
      <c r="A130" s="0" t="s">
        <v>495</v>
      </c>
      <c r="B130" s="0" t="s">
        <v>496</v>
      </c>
      <c r="C130" s="0" t="s">
        <v>185</v>
      </c>
      <c r="E130" s="14" t="n">
        <f aca="false">ls_A*k_long+(1-ls_A)*k_spot</f>
        <v>1.40640619155662</v>
      </c>
      <c r="G130" s="11" t="s">
        <v>90</v>
      </c>
      <c r="H130" s="1" t="s">
        <v>497</v>
      </c>
      <c r="I130" s="11" t="s">
        <v>498</v>
      </c>
    </row>
    <row r="131" customFormat="false" ht="17.15" hidden="false" customHeight="false" outlineLevel="0" collapsed="false">
      <c r="A131" s="0" t="s">
        <v>499</v>
      </c>
      <c r="B131" s="0" t="s">
        <v>500</v>
      </c>
      <c r="C131" s="0" t="s">
        <v>185</v>
      </c>
      <c r="E131" s="14" t="n">
        <f aca="false">ls_B*k_long+(1-ls_B)*k_spot</f>
        <v>1.17213932619116</v>
      </c>
      <c r="G131" s="11" t="s">
        <v>90</v>
      </c>
      <c r="H131" s="1" t="s">
        <v>497</v>
      </c>
      <c r="I131" s="11" t="s">
        <v>498</v>
      </c>
    </row>
    <row r="132" customFormat="false" ht="17.15" hidden="false" customHeight="false" outlineLevel="0" collapsed="false">
      <c r="A132" s="0" t="s">
        <v>501</v>
      </c>
      <c r="B132" s="0" t="s">
        <v>502</v>
      </c>
      <c r="C132" s="0" t="s">
        <v>185</v>
      </c>
      <c r="E132" s="14" t="n">
        <f aca="false">ls_C*k_long+(1-ls_C)*k_spot</f>
        <v>0.891019087752599</v>
      </c>
      <c r="G132" s="11" t="s">
        <v>90</v>
      </c>
      <c r="H132" s="1" t="s">
        <v>497</v>
      </c>
      <c r="I132" s="11" t="s">
        <v>498</v>
      </c>
    </row>
    <row r="133" customFormat="false" ht="17.15" hidden="false" customHeight="false" outlineLevel="0" collapsed="false">
      <c r="A133" s="0" t="s">
        <v>503</v>
      </c>
      <c r="B133" s="1" t="s">
        <v>504</v>
      </c>
      <c r="C133" s="0" t="s">
        <v>185</v>
      </c>
      <c r="D133" s="13" t="n">
        <v>0.7</v>
      </c>
      <c r="E133" s="13" t="n">
        <v>1</v>
      </c>
      <c r="F133" s="13" t="n">
        <v>1</v>
      </c>
      <c r="G133" s="11" t="s">
        <v>121</v>
      </c>
      <c r="H133" s="1" t="s">
        <v>505</v>
      </c>
      <c r="I133" s="11" t="s">
        <v>87</v>
      </c>
    </row>
    <row r="134" customFormat="false" ht="17.15" hidden="false" customHeight="false" outlineLevel="0" collapsed="false">
      <c r="A134" s="0" t="s">
        <v>506</v>
      </c>
      <c r="B134" s="1" t="s">
        <v>507</v>
      </c>
      <c r="C134" s="0" t="s">
        <v>339</v>
      </c>
      <c r="E134" s="10" t="n">
        <v>8.89</v>
      </c>
      <c r="G134" s="11" t="s">
        <v>90</v>
      </c>
      <c r="H134" s="1" t="s">
        <v>508</v>
      </c>
      <c r="I134" s="1" t="s">
        <v>509</v>
      </c>
    </row>
    <row r="135" customFormat="false" ht="17.15" hidden="false" customHeight="false" outlineLevel="0" collapsed="false">
      <c r="A135" s="0" t="s">
        <v>510</v>
      </c>
      <c r="B135" s="1" t="s">
        <v>511</v>
      </c>
      <c r="C135" s="0" t="s">
        <v>129</v>
      </c>
      <c r="D135" s="12" t="n">
        <v>0.65</v>
      </c>
      <c r="E135" s="12" t="n">
        <v>0.8</v>
      </c>
      <c r="F135" s="12" t="n">
        <v>0.9</v>
      </c>
      <c r="G135" s="11" t="s">
        <v>121</v>
      </c>
      <c r="H135" s="1" t="s">
        <v>512</v>
      </c>
      <c r="I135" s="11" t="s">
        <v>513</v>
      </c>
    </row>
    <row r="136" customFormat="false" ht="17.15" hidden="false" customHeight="false" outlineLevel="0" collapsed="false">
      <c r="A136" s="0" t="s">
        <v>514</v>
      </c>
      <c r="B136" s="0" t="s">
        <v>515</v>
      </c>
      <c r="C136" s="0" t="s">
        <v>98</v>
      </c>
      <c r="E136" s="10" t="n">
        <v>204.2</v>
      </c>
      <c r="G136" s="11" t="s">
        <v>90</v>
      </c>
      <c r="H136" s="1" t="s">
        <v>516</v>
      </c>
      <c r="I136" s="11" t="s">
        <v>517</v>
      </c>
    </row>
    <row r="137" customFormat="false" ht="17.15" hidden="false" customHeight="false" outlineLevel="0" collapsed="false">
      <c r="A137" s="9" t="s">
        <v>518</v>
      </c>
    </row>
    <row r="138" customFormat="false" ht="17.15" hidden="false" customHeight="false" outlineLevel="0" collapsed="false">
      <c r="A138" s="0" t="s">
        <v>519</v>
      </c>
      <c r="B138" s="0" t="s">
        <v>520</v>
      </c>
      <c r="C138" s="1" t="s">
        <v>521</v>
      </c>
      <c r="E138" s="10" t="n">
        <v>1</v>
      </c>
      <c r="G138" s="11" t="s">
        <v>121</v>
      </c>
      <c r="H138" s="1" t="s">
        <v>522</v>
      </c>
      <c r="I138" s="11" t="s">
        <v>87</v>
      </c>
    </row>
    <row r="139" customFormat="false" ht="17.15" hidden="false" customHeight="false" outlineLevel="0" collapsed="false">
      <c r="A139" s="0" t="s">
        <v>523</v>
      </c>
      <c r="B139" s="0" t="s">
        <v>524</v>
      </c>
      <c r="C139" s="1" t="s">
        <v>521</v>
      </c>
      <c r="E139" s="10" t="n">
        <v>5</v>
      </c>
      <c r="G139" s="11" t="s">
        <v>121</v>
      </c>
      <c r="H139" s="1" t="s">
        <v>525</v>
      </c>
      <c r="I139" s="11" t="s">
        <v>87</v>
      </c>
    </row>
    <row r="140" customFormat="false" ht="17.15" hidden="false" customHeight="false" outlineLevel="0" collapsed="false">
      <c r="A140" s="0" t="s">
        <v>526</v>
      </c>
      <c r="B140" s="0" t="s">
        <v>527</v>
      </c>
      <c r="C140" s="1" t="s">
        <v>521</v>
      </c>
      <c r="E140" s="10" t="n">
        <v>30</v>
      </c>
      <c r="G140" s="11" t="s">
        <v>170</v>
      </c>
      <c r="H140" s="1" t="s">
        <v>528</v>
      </c>
      <c r="I140" s="11" t="s">
        <v>87</v>
      </c>
    </row>
    <row r="141" customFormat="false" ht="17.15" hidden="false" customHeight="false" outlineLevel="0" collapsed="false">
      <c r="A141" s="0" t="s">
        <v>529</v>
      </c>
      <c r="B141" s="0" t="s">
        <v>530</v>
      </c>
      <c r="C141" s="0" t="s">
        <v>531</v>
      </c>
      <c r="D141" s="10" t="n">
        <v>18</v>
      </c>
      <c r="E141" s="10" t="n">
        <v>25</v>
      </c>
      <c r="F141" s="10" t="n">
        <v>30</v>
      </c>
      <c r="G141" s="11" t="s">
        <v>121</v>
      </c>
      <c r="H141" s="1" t="s">
        <v>532</v>
      </c>
      <c r="I141" s="11" t="s">
        <v>533</v>
      </c>
    </row>
    <row r="142" customFormat="false" ht="17.15" hidden="false" customHeight="false" outlineLevel="0" collapsed="false">
      <c r="A142" s="0" t="s">
        <v>534</v>
      </c>
      <c r="B142" s="0" t="s">
        <v>535</v>
      </c>
      <c r="C142" s="1" t="s">
        <v>521</v>
      </c>
      <c r="E142" s="10" t="n">
        <v>30</v>
      </c>
      <c r="G142" s="11" t="s">
        <v>121</v>
      </c>
      <c r="H142" s="11" t="s">
        <v>536</v>
      </c>
      <c r="I142" s="11" t="s">
        <v>537</v>
      </c>
    </row>
    <row r="143" customFormat="false" ht="17.15" hidden="false" customHeight="false" outlineLevel="0" collapsed="false">
      <c r="A143" s="0" t="s">
        <v>538</v>
      </c>
      <c r="B143" s="0" t="s">
        <v>539</v>
      </c>
      <c r="C143" s="1" t="s">
        <v>521</v>
      </c>
      <c r="E143" s="10" t="n">
        <v>20</v>
      </c>
      <c r="G143" s="11" t="s">
        <v>121</v>
      </c>
      <c r="H143" s="11" t="s">
        <v>536</v>
      </c>
      <c r="I143" s="11" t="s">
        <v>537</v>
      </c>
    </row>
    <row r="144" customFormat="false" ht="17.15" hidden="false" customHeight="false" outlineLevel="0" collapsed="false">
      <c r="A144" s="0" t="s">
        <v>540</v>
      </c>
      <c r="B144" s="0" t="s">
        <v>541</v>
      </c>
      <c r="C144" s="1" t="s">
        <v>521</v>
      </c>
      <c r="E144" s="10" t="n">
        <v>10</v>
      </c>
      <c r="G144" s="11" t="s">
        <v>121</v>
      </c>
      <c r="H144" s="11" t="s">
        <v>536</v>
      </c>
      <c r="I144" s="11" t="s">
        <v>537</v>
      </c>
    </row>
    <row r="145" customFormat="false" ht="17.15" hidden="false" customHeight="false" outlineLevel="0" collapsed="false">
      <c r="A145" s="0" t="s">
        <v>542</v>
      </c>
      <c r="B145" s="0" t="s">
        <v>543</v>
      </c>
      <c r="C145" s="0" t="s">
        <v>185</v>
      </c>
      <c r="E145" s="13" t="n">
        <v>0.5</v>
      </c>
      <c r="G145" s="11" t="s">
        <v>121</v>
      </c>
      <c r="H145" s="1" t="s">
        <v>544</v>
      </c>
      <c r="I145" s="11" t="s">
        <v>87</v>
      </c>
    </row>
    <row r="146" customFormat="false" ht="17.15" hidden="false" customHeight="false" outlineLevel="0" collapsed="false">
      <c r="A146" s="0" t="s">
        <v>545</v>
      </c>
      <c r="B146" s="1" t="s">
        <v>546</v>
      </c>
      <c r="C146" s="1" t="s">
        <v>547</v>
      </c>
      <c r="D146" s="10" t="n">
        <v>1</v>
      </c>
      <c r="E146" s="10" t="n">
        <v>2</v>
      </c>
      <c r="G146" s="11" t="s">
        <v>121</v>
      </c>
      <c r="H146" s="1" t="s">
        <v>548</v>
      </c>
      <c r="I146" s="1" t="s">
        <v>549</v>
      </c>
    </row>
    <row r="147" customFormat="false" ht="17.15" hidden="false" customHeight="false" outlineLevel="0" collapsed="false">
      <c r="A147" s="9" t="s">
        <v>550</v>
      </c>
    </row>
    <row r="148" customFormat="false" ht="17.15" hidden="false" customHeight="false" outlineLevel="0" collapsed="false">
      <c r="A148" s="0" t="s">
        <v>551</v>
      </c>
      <c r="B148" s="1" t="s">
        <v>552</v>
      </c>
      <c r="C148" s="1" t="s">
        <v>235</v>
      </c>
      <c r="E148" s="10" t="n">
        <v>6</v>
      </c>
      <c r="G148" s="11" t="s">
        <v>121</v>
      </c>
      <c r="H148" s="1" t="s">
        <v>553</v>
      </c>
      <c r="I148" s="11" t="s">
        <v>87</v>
      </c>
    </row>
    <row r="149" customFormat="false" ht="17.15" hidden="false" customHeight="false" outlineLevel="0" collapsed="false">
      <c r="A149" s="0" t="s">
        <v>554</v>
      </c>
      <c r="B149" s="1" t="s">
        <v>555</v>
      </c>
      <c r="C149" s="0" t="s">
        <v>129</v>
      </c>
      <c r="D149" s="12" t="n">
        <v>0.05</v>
      </c>
      <c r="E149" s="12" t="n">
        <v>0.08</v>
      </c>
      <c r="F149" s="12" t="n">
        <v>0.12</v>
      </c>
      <c r="G149" s="11" t="s">
        <v>121</v>
      </c>
      <c r="H149" s="1" t="s">
        <v>556</v>
      </c>
      <c r="I149" s="1" t="s">
        <v>557</v>
      </c>
    </row>
    <row r="150" customFormat="false" ht="17.15" hidden="false" customHeight="false" outlineLevel="0" collapsed="false">
      <c r="A150" s="0" t="s">
        <v>558</v>
      </c>
      <c r="B150" s="1" t="s">
        <v>559</v>
      </c>
      <c r="C150" s="0" t="s">
        <v>129</v>
      </c>
      <c r="D150" s="12" t="n">
        <v>0.04</v>
      </c>
      <c r="E150" s="12" t="n">
        <v>0.07</v>
      </c>
      <c r="F150" s="12" t="n">
        <v>0.1</v>
      </c>
      <c r="G150" s="11" t="s">
        <v>121</v>
      </c>
      <c r="H150" s="11" t="s">
        <v>560</v>
      </c>
      <c r="I150" s="1" t="s">
        <v>557</v>
      </c>
    </row>
    <row r="151" customFormat="false" ht="17.15" hidden="false" customHeight="false" outlineLevel="0" collapsed="false">
      <c r="A151" s="0" t="s">
        <v>561</v>
      </c>
      <c r="B151" s="1" t="s">
        <v>562</v>
      </c>
      <c r="C151" s="0" t="s">
        <v>129</v>
      </c>
      <c r="D151" s="12" t="n">
        <v>0</v>
      </c>
      <c r="E151" s="12" t="n">
        <v>0.02</v>
      </c>
      <c r="F151" s="12" t="n">
        <v>0.04</v>
      </c>
      <c r="G151" s="11" t="s">
        <v>121</v>
      </c>
      <c r="H151" s="1" t="s">
        <v>201</v>
      </c>
      <c r="I151" s="1" t="s">
        <v>557</v>
      </c>
    </row>
    <row r="152" customFormat="false" ht="17.15" hidden="false" customHeight="false" outlineLevel="0" collapsed="false">
      <c r="A152" s="0" t="s">
        <v>563</v>
      </c>
      <c r="B152" s="1" t="s">
        <v>564</v>
      </c>
      <c r="C152" s="0" t="s">
        <v>129</v>
      </c>
      <c r="D152" s="12" t="n">
        <v>0.04</v>
      </c>
      <c r="E152" s="12" t="n">
        <v>0.07</v>
      </c>
      <c r="F152" s="12" t="n">
        <v>0.1</v>
      </c>
      <c r="G152" s="11" t="s">
        <v>121</v>
      </c>
      <c r="H152" s="1" t="s">
        <v>565</v>
      </c>
      <c r="I152" s="1" t="s">
        <v>557</v>
      </c>
    </row>
    <row r="153" customFormat="false" ht="17.15" hidden="false" customHeight="false" outlineLevel="0" collapsed="false">
      <c r="A153" s="0" t="s">
        <v>566</v>
      </c>
      <c r="B153" s="1" t="s">
        <v>567</v>
      </c>
      <c r="C153" s="0" t="s">
        <v>129</v>
      </c>
      <c r="D153" s="12" t="n">
        <v>0.04</v>
      </c>
      <c r="E153" s="12" t="n">
        <v>0.07</v>
      </c>
      <c r="F153" s="12" t="n">
        <v>0.1</v>
      </c>
      <c r="G153" s="11" t="s">
        <v>121</v>
      </c>
      <c r="H153" s="1" t="s">
        <v>565</v>
      </c>
      <c r="I153" s="1" t="s">
        <v>557</v>
      </c>
    </row>
    <row r="154" customFormat="false" ht="17.15" hidden="false" customHeight="false" outlineLevel="0" collapsed="false">
      <c r="A154" s="0" t="s">
        <v>568</v>
      </c>
      <c r="B154" s="1" t="s">
        <v>569</v>
      </c>
      <c r="C154" s="0" t="s">
        <v>129</v>
      </c>
      <c r="D154" s="12" t="n">
        <v>0.04</v>
      </c>
      <c r="E154" s="12" t="n">
        <v>0.07</v>
      </c>
      <c r="F154" s="12" t="n">
        <v>0.1</v>
      </c>
      <c r="G154" s="11" t="s">
        <v>121</v>
      </c>
      <c r="H154" s="1" t="s">
        <v>201</v>
      </c>
      <c r="I154" s="1" t="s">
        <v>557</v>
      </c>
    </row>
    <row r="155" customFormat="false" ht="17.15" hidden="false" customHeight="false" outlineLevel="0" collapsed="false">
      <c r="A155" s="0" t="s">
        <v>570</v>
      </c>
      <c r="B155" s="1" t="s">
        <v>571</v>
      </c>
      <c r="C155" s="0" t="s">
        <v>129</v>
      </c>
      <c r="D155" s="12" t="n">
        <v>-0.02</v>
      </c>
      <c r="E155" s="12" t="n">
        <v>0.02</v>
      </c>
      <c r="F155" s="12" t="n">
        <v>0.05</v>
      </c>
      <c r="G155" s="11" t="s">
        <v>121</v>
      </c>
      <c r="H155" s="1" t="s">
        <v>572</v>
      </c>
      <c r="I155" s="1" t="s">
        <v>557</v>
      </c>
    </row>
    <row r="156" customFormat="false" ht="17.15" hidden="false" customHeight="false" outlineLevel="0" collapsed="false">
      <c r="A156" s="0" t="s">
        <v>573</v>
      </c>
      <c r="B156" s="1" t="s">
        <v>574</v>
      </c>
      <c r="C156" s="0" t="s">
        <v>129</v>
      </c>
      <c r="D156" s="12" t="n">
        <v>-0.02</v>
      </c>
      <c r="E156" s="12" t="n">
        <v>0.02</v>
      </c>
      <c r="F156" s="12" t="n">
        <v>0.04</v>
      </c>
      <c r="G156" s="11" t="s">
        <v>121</v>
      </c>
      <c r="H156" s="1" t="s">
        <v>572</v>
      </c>
      <c r="I156" s="1" t="s">
        <v>557</v>
      </c>
    </row>
    <row r="157" customFormat="false" ht="17.15" hidden="false" customHeight="false" outlineLevel="0" collapsed="false">
      <c r="A157" s="9" t="s">
        <v>575</v>
      </c>
    </row>
    <row r="158" customFormat="false" ht="17.15" hidden="false" customHeight="false" outlineLevel="0" collapsed="false">
      <c r="A158" s="0" t="s">
        <v>576</v>
      </c>
      <c r="B158" s="1" t="s">
        <v>577</v>
      </c>
      <c r="C158" s="0" t="s">
        <v>209</v>
      </c>
      <c r="D158" s="12" t="n">
        <v>-0.02</v>
      </c>
      <c r="E158" s="12" t="n">
        <v>0</v>
      </c>
      <c r="F158" s="12" t="n">
        <v>0.02</v>
      </c>
      <c r="G158" s="11" t="s">
        <v>121</v>
      </c>
      <c r="H158" s="1" t="s">
        <v>578</v>
      </c>
      <c r="I158" s="1" t="s">
        <v>579</v>
      </c>
    </row>
    <row r="159" customFormat="false" ht="17.15" hidden="false" customHeight="false" outlineLevel="0" collapsed="false">
      <c r="A159" s="0" t="s">
        <v>580</v>
      </c>
      <c r="B159" s="1" t="s">
        <v>581</v>
      </c>
      <c r="C159" s="0" t="s">
        <v>98</v>
      </c>
      <c r="D159" s="10" t="n">
        <v>-1</v>
      </c>
      <c r="E159" s="10" t="n">
        <v>-0.4</v>
      </c>
      <c r="F159" s="10" t="n">
        <v>0.4</v>
      </c>
      <c r="G159" s="11" t="s">
        <v>170</v>
      </c>
      <c r="H159" s="1" t="s">
        <v>582</v>
      </c>
      <c r="I159" s="1" t="s">
        <v>583</v>
      </c>
    </row>
    <row r="160" customFormat="false" ht="17.15" hidden="false" customHeight="false" outlineLevel="0" collapsed="false">
      <c r="A160" s="0" t="s">
        <v>584</v>
      </c>
      <c r="B160" s="1" t="s">
        <v>585</v>
      </c>
      <c r="C160" s="0" t="s">
        <v>129</v>
      </c>
      <c r="D160" s="12" t="n">
        <v>0.19</v>
      </c>
      <c r="E160" s="12" t="n">
        <v>0.2</v>
      </c>
      <c r="F160" s="12" t="n">
        <v>0.21</v>
      </c>
      <c r="G160" s="11" t="s">
        <v>170</v>
      </c>
      <c r="H160" s="1" t="s">
        <v>586</v>
      </c>
      <c r="I160" s="11" t="s">
        <v>587</v>
      </c>
    </row>
    <row r="161" customFormat="false" ht="17.15" hidden="false" customHeight="false" outlineLevel="0" collapsed="false">
      <c r="A161" s="0" t="s">
        <v>588</v>
      </c>
      <c r="B161" s="1" t="s">
        <v>589</v>
      </c>
      <c r="C161" s="0" t="s">
        <v>129</v>
      </c>
      <c r="E161" s="7" t="n">
        <f aca="false">Q!M39/Q!M18</f>
        <v>0.0373825861336371</v>
      </c>
      <c r="G161" s="11" t="s">
        <v>90</v>
      </c>
      <c r="H161" s="11" t="s">
        <v>590</v>
      </c>
      <c r="I161" s="11" t="s">
        <v>87</v>
      </c>
    </row>
    <row r="162" customFormat="false" ht="17.15" hidden="false" customHeight="false" outlineLevel="0" collapsed="false">
      <c r="A162" s="0" t="s">
        <v>591</v>
      </c>
      <c r="B162" s="0" t="s">
        <v>592</v>
      </c>
      <c r="C162" s="0" t="s">
        <v>98</v>
      </c>
      <c r="E162" s="10" t="n">
        <v>-4.895</v>
      </c>
      <c r="G162" s="11" t="s">
        <v>90</v>
      </c>
      <c r="H162" s="1" t="s">
        <v>593</v>
      </c>
      <c r="I162" s="11" t="s">
        <v>594</v>
      </c>
    </row>
    <row r="163" customFormat="false" ht="17.15" hidden="false" customHeight="false" outlineLevel="0" collapsed="false">
      <c r="A163" s="0" t="s">
        <v>595</v>
      </c>
      <c r="B163" s="0" t="s">
        <v>596</v>
      </c>
      <c r="C163" s="0" t="s">
        <v>98</v>
      </c>
      <c r="E163" s="10" t="n">
        <v>0</v>
      </c>
      <c r="G163" s="11" t="s">
        <v>121</v>
      </c>
      <c r="H163" s="1" t="s">
        <v>597</v>
      </c>
      <c r="I163" s="11" t="s">
        <v>87</v>
      </c>
    </row>
    <row r="164" customFormat="false" ht="17.15" hidden="false" customHeight="false" outlineLevel="0" collapsed="false">
      <c r="A164" s="0" t="s">
        <v>598</v>
      </c>
      <c r="B164" s="1" t="s">
        <v>599</v>
      </c>
      <c r="C164" s="1" t="s">
        <v>235</v>
      </c>
      <c r="D164" s="10" t="n">
        <v>8</v>
      </c>
      <c r="E164" s="10" t="n">
        <v>10</v>
      </c>
      <c r="F164" s="10" t="n">
        <v>15</v>
      </c>
      <c r="G164" s="11" t="s">
        <v>121</v>
      </c>
      <c r="H164" s="1" t="s">
        <v>600</v>
      </c>
      <c r="I164" s="1" t="s">
        <v>601</v>
      </c>
    </row>
    <row r="165" customFormat="false" ht="17.15" hidden="false" customHeight="false" outlineLevel="0" collapsed="false">
      <c r="A165" s="0" t="s">
        <v>602</v>
      </c>
      <c r="B165" s="1" t="s">
        <v>603</v>
      </c>
      <c r="C165" s="0" t="s">
        <v>129</v>
      </c>
      <c r="E165" s="12" t="n">
        <v>0.2</v>
      </c>
      <c r="G165" s="11" t="s">
        <v>121</v>
      </c>
      <c r="H165" s="1" t="s">
        <v>604</v>
      </c>
      <c r="I165" s="1" t="s">
        <v>605</v>
      </c>
    </row>
    <row r="166" customFormat="false" ht="17.15" hidden="false" customHeight="false" outlineLevel="0" collapsed="false">
      <c r="A166" s="0" t="s">
        <v>606</v>
      </c>
      <c r="B166" s="1" t="s">
        <v>607</v>
      </c>
      <c r="C166" s="0" t="s">
        <v>129</v>
      </c>
      <c r="E166" s="12" t="n">
        <v>0.1</v>
      </c>
      <c r="G166" s="11" t="s">
        <v>121</v>
      </c>
      <c r="H166" s="1" t="s">
        <v>604</v>
      </c>
      <c r="I166" s="1" t="s">
        <v>605</v>
      </c>
    </row>
    <row r="167" customFormat="false" ht="17.15" hidden="false" customHeight="false" outlineLevel="0" collapsed="false">
      <c r="A167" s="0" t="s">
        <v>608</v>
      </c>
      <c r="B167" s="1" t="s">
        <v>609</v>
      </c>
      <c r="C167" s="0" t="s">
        <v>129</v>
      </c>
      <c r="E167" s="12" t="n">
        <v>0.02</v>
      </c>
      <c r="G167" s="11" t="s">
        <v>121</v>
      </c>
      <c r="H167" s="1" t="s">
        <v>604</v>
      </c>
      <c r="I167" s="1" t="s">
        <v>605</v>
      </c>
    </row>
    <row r="168" customFormat="false" ht="17.15" hidden="false" customHeight="false" outlineLevel="0" collapsed="false">
      <c r="A168" s="0" t="s">
        <v>610</v>
      </c>
      <c r="B168" s="1" t="s">
        <v>611</v>
      </c>
      <c r="C168" s="0" t="s">
        <v>129</v>
      </c>
      <c r="E168" s="12" t="n">
        <v>0.05</v>
      </c>
      <c r="G168" s="11" t="s">
        <v>121</v>
      </c>
      <c r="H168" s="1" t="s">
        <v>604</v>
      </c>
      <c r="I168" s="1" t="s">
        <v>605</v>
      </c>
    </row>
    <row r="169" customFormat="false" ht="17.15" hidden="false" customHeight="false" outlineLevel="0" collapsed="false">
      <c r="A169" s="0" t="s">
        <v>612</v>
      </c>
      <c r="B169" s="1" t="s">
        <v>613</v>
      </c>
      <c r="C169" s="0" t="s">
        <v>129</v>
      </c>
      <c r="E169" s="12" t="n">
        <v>0.08</v>
      </c>
      <c r="G169" s="11" t="s">
        <v>121</v>
      </c>
      <c r="H169" s="1" t="s">
        <v>604</v>
      </c>
      <c r="I169" s="1" t="s">
        <v>605</v>
      </c>
    </row>
    <row r="170" customFormat="false" ht="17.15" hidden="false" customHeight="false" outlineLevel="0" collapsed="false">
      <c r="A170" s="0" t="s">
        <v>614</v>
      </c>
      <c r="B170" s="1" t="s">
        <v>615</v>
      </c>
      <c r="C170" s="0" t="s">
        <v>129</v>
      </c>
      <c r="E170" s="12" t="n">
        <v>0.03</v>
      </c>
      <c r="G170" s="11" t="s">
        <v>121</v>
      </c>
      <c r="H170" s="1" t="s">
        <v>604</v>
      </c>
      <c r="I170" s="1" t="s">
        <v>605</v>
      </c>
    </row>
    <row r="171" customFormat="false" ht="17.15" hidden="false" customHeight="false" outlineLevel="0" collapsed="false">
      <c r="A171" s="9" t="s">
        <v>616</v>
      </c>
    </row>
    <row r="172" customFormat="false" ht="17.15" hidden="false" customHeight="false" outlineLevel="0" collapsed="false">
      <c r="A172" s="0" t="s">
        <v>617</v>
      </c>
      <c r="B172" s="1" t="s">
        <v>618</v>
      </c>
      <c r="C172" s="0" t="s">
        <v>75</v>
      </c>
      <c r="D172" s="10" t="n">
        <v>440</v>
      </c>
      <c r="E172" s="10" t="n">
        <v>603.43</v>
      </c>
      <c r="F172" s="10" t="n">
        <v>870</v>
      </c>
      <c r="G172" s="11" t="s">
        <v>170</v>
      </c>
      <c r="H172" s="11" t="s">
        <v>619</v>
      </c>
      <c r="I172" s="11" t="s">
        <v>620</v>
      </c>
    </row>
    <row r="173" customFormat="false" ht="17.15" hidden="false" customHeight="false" outlineLevel="0" collapsed="false">
      <c r="A173" s="0" t="s">
        <v>621</v>
      </c>
      <c r="B173" s="1" t="s">
        <v>622</v>
      </c>
      <c r="C173" s="0" t="s">
        <v>98</v>
      </c>
      <c r="D173" s="10" t="n">
        <v>380</v>
      </c>
      <c r="E173" s="10" t="n">
        <v>391.6</v>
      </c>
      <c r="F173" s="10" t="n">
        <v>402.7</v>
      </c>
      <c r="G173" s="11" t="s">
        <v>170</v>
      </c>
      <c r="H173" s="11" t="s">
        <v>623</v>
      </c>
      <c r="I173" s="11" t="s">
        <v>624</v>
      </c>
    </row>
    <row r="174" customFormat="false" ht="17.15" hidden="false" customHeight="false" outlineLevel="0" collapsed="false">
      <c r="A174" s="0" t="s">
        <v>625</v>
      </c>
      <c r="B174" s="1" t="s">
        <v>626</v>
      </c>
      <c r="C174" s="0" t="s">
        <v>75</v>
      </c>
      <c r="D174" s="10" t="n">
        <v>19.06</v>
      </c>
      <c r="E174" s="10" t="n">
        <v>19.76</v>
      </c>
      <c r="F174" s="10" t="n">
        <v>20.7</v>
      </c>
      <c r="G174" s="11" t="s">
        <v>170</v>
      </c>
      <c r="H174" s="11" t="s">
        <v>627</v>
      </c>
      <c r="I174" s="11" t="s">
        <v>628</v>
      </c>
    </row>
    <row r="175" customFormat="false" ht="17.15" hidden="false" customHeight="false" outlineLevel="0" collapsed="false">
      <c r="A175" s="0" t="s">
        <v>629</v>
      </c>
      <c r="B175" s="1" t="s">
        <v>630</v>
      </c>
      <c r="C175" s="0" t="s">
        <v>98</v>
      </c>
      <c r="E175" s="10" t="n">
        <v>467.955</v>
      </c>
      <c r="G175" s="11" t="s">
        <v>170</v>
      </c>
      <c r="H175" s="11" t="s">
        <v>631</v>
      </c>
      <c r="I175" s="11" t="s">
        <v>87</v>
      </c>
    </row>
    <row r="176" customFormat="false" ht="17.15" hidden="false" customHeight="false" outlineLevel="0" collapsed="false">
      <c r="A176" s="0" t="s">
        <v>632</v>
      </c>
      <c r="B176" s="1" t="s">
        <v>633</v>
      </c>
      <c r="C176" s="0" t="s">
        <v>98</v>
      </c>
      <c r="E176" s="10" t="n">
        <v>569.502</v>
      </c>
      <c r="G176" s="11" t="s">
        <v>170</v>
      </c>
      <c r="H176" s="11" t="s">
        <v>631</v>
      </c>
      <c r="I176" s="11" t="s">
        <v>87</v>
      </c>
    </row>
    <row r="177" customFormat="false" ht="17.15" hidden="false" customHeight="false" outlineLevel="0" collapsed="false">
      <c r="A177" s="0" t="s">
        <v>634</v>
      </c>
      <c r="B177" s="1" t="s">
        <v>635</v>
      </c>
      <c r="C177" s="0" t="s">
        <v>98</v>
      </c>
      <c r="E177" s="10" t="n">
        <v>182.305</v>
      </c>
      <c r="G177" s="11" t="s">
        <v>170</v>
      </c>
      <c r="H177" s="11" t="s">
        <v>631</v>
      </c>
      <c r="I177" s="11" t="s">
        <v>636</v>
      </c>
    </row>
    <row r="178" customFormat="false" ht="17.15" hidden="false" customHeight="false" outlineLevel="0" collapsed="false">
      <c r="A178" s="0" t="s">
        <v>637</v>
      </c>
      <c r="B178" s="1" t="s">
        <v>638</v>
      </c>
      <c r="C178" s="0" t="s">
        <v>98</v>
      </c>
      <c r="E178" s="10" t="n">
        <v>192.827</v>
      </c>
      <c r="G178" s="11" t="s">
        <v>170</v>
      </c>
      <c r="H178" s="11" t="s">
        <v>639</v>
      </c>
      <c r="I178" s="1" t="s">
        <v>640</v>
      </c>
    </row>
    <row r="179" customFormat="false" ht="17.15" hidden="false" customHeight="false" outlineLevel="0" collapsed="false">
      <c r="A179" s="0" t="s">
        <v>641</v>
      </c>
      <c r="B179" s="1" t="s">
        <v>642</v>
      </c>
      <c r="C179" s="0" t="s">
        <v>98</v>
      </c>
      <c r="E179" s="10" t="n">
        <v>217.245</v>
      </c>
      <c r="G179" s="11" t="s">
        <v>170</v>
      </c>
      <c r="H179" s="11" t="s">
        <v>631</v>
      </c>
      <c r="I179" s="11" t="s">
        <v>636</v>
      </c>
    </row>
    <row r="180" customFormat="false" ht="17.15" hidden="false" customHeight="false" outlineLevel="0" collapsed="false">
      <c r="A180" s="0" t="s">
        <v>643</v>
      </c>
      <c r="B180" s="1" t="s">
        <v>644</v>
      </c>
      <c r="C180" s="0" t="s">
        <v>98</v>
      </c>
      <c r="E180" s="10" t="n">
        <v>216.787</v>
      </c>
      <c r="G180" s="11" t="s">
        <v>170</v>
      </c>
      <c r="H180" s="11" t="s">
        <v>639</v>
      </c>
      <c r="I180" s="1" t="s">
        <v>640</v>
      </c>
    </row>
    <row r="181" customFormat="false" ht="17.15" hidden="false" customHeight="false" outlineLevel="0" collapsed="false">
      <c r="A181" s="0" t="s">
        <v>645</v>
      </c>
      <c r="B181" s="1" t="s">
        <v>646</v>
      </c>
      <c r="C181" s="0" t="s">
        <v>98</v>
      </c>
      <c r="E181" s="10" t="n">
        <v>262.608</v>
      </c>
      <c r="G181" s="11" t="s">
        <v>170</v>
      </c>
      <c r="H181" s="11" t="s">
        <v>631</v>
      </c>
      <c r="I181" s="11" t="s">
        <v>636</v>
      </c>
    </row>
    <row r="182" customFormat="false" ht="17.15" hidden="false" customHeight="false" outlineLevel="0" collapsed="false">
      <c r="A182" s="0" t="s">
        <v>647</v>
      </c>
      <c r="B182" s="1" t="s">
        <v>648</v>
      </c>
      <c r="C182" s="0" t="s">
        <v>98</v>
      </c>
      <c r="E182" s="10" t="n">
        <v>251.173</v>
      </c>
      <c r="G182" s="11" t="s">
        <v>170</v>
      </c>
      <c r="H182" s="11" t="s">
        <v>639</v>
      </c>
      <c r="I182" s="1" t="s">
        <v>640</v>
      </c>
    </row>
    <row r="183" customFormat="false" ht="17.15" hidden="false" customHeight="false" outlineLevel="0" collapsed="false">
      <c r="A183" s="0" t="s">
        <v>649</v>
      </c>
      <c r="B183" s="1" t="s">
        <v>650</v>
      </c>
      <c r="C183" s="0" t="s">
        <v>75</v>
      </c>
      <c r="E183" s="10" t="n">
        <v>23.6</v>
      </c>
      <c r="G183" s="11" t="s">
        <v>170</v>
      </c>
      <c r="H183" s="11" t="s">
        <v>639</v>
      </c>
      <c r="I183" s="11" t="s">
        <v>87</v>
      </c>
    </row>
    <row r="184" customFormat="false" ht="17.15" hidden="false" customHeight="false" outlineLevel="0" collapsed="false">
      <c r="A184" s="0" t="s">
        <v>651</v>
      </c>
      <c r="B184" s="1" t="s">
        <v>652</v>
      </c>
      <c r="C184" s="0" t="s">
        <v>75</v>
      </c>
      <c r="E184" s="10" t="n">
        <v>29.03</v>
      </c>
      <c r="G184" s="11" t="s">
        <v>170</v>
      </c>
      <c r="H184" s="11" t="s">
        <v>639</v>
      </c>
      <c r="I184" s="11" t="s">
        <v>87</v>
      </c>
    </row>
    <row r="185" customFormat="false" ht="17.15" hidden="false" customHeight="false" outlineLevel="0" collapsed="false">
      <c r="A185" s="0" t="s">
        <v>653</v>
      </c>
      <c r="B185" s="0" t="s">
        <v>654</v>
      </c>
      <c r="C185" s="0" t="s">
        <v>98</v>
      </c>
      <c r="D185" s="10" t="n">
        <v>89.85</v>
      </c>
      <c r="E185" s="10" t="n">
        <v>90.4</v>
      </c>
      <c r="F185" s="10" t="n">
        <v>90.95</v>
      </c>
      <c r="G185" s="11" t="s">
        <v>170</v>
      </c>
      <c r="H185" s="1" t="s">
        <v>655</v>
      </c>
      <c r="I185" s="11" t="s">
        <v>87</v>
      </c>
    </row>
    <row r="186" customFormat="false" ht="17.15" hidden="false" customHeight="false" outlineLevel="0" collapsed="false">
      <c r="A186" s="0" t="s">
        <v>656</v>
      </c>
      <c r="B186" s="0" t="s">
        <v>657</v>
      </c>
      <c r="C186" s="0" t="s">
        <v>98</v>
      </c>
      <c r="D186" s="10" t="n">
        <v>75.15</v>
      </c>
      <c r="E186" s="10" t="n">
        <v>75.45</v>
      </c>
      <c r="F186" s="10" t="n">
        <v>75.75</v>
      </c>
      <c r="G186" s="11" t="s">
        <v>170</v>
      </c>
      <c r="H186" s="1" t="s">
        <v>658</v>
      </c>
      <c r="I186" s="11" t="s">
        <v>87</v>
      </c>
    </row>
    <row r="187" customFormat="false" ht="17.15" hidden="false" customHeight="false" outlineLevel="0" collapsed="false">
      <c r="A187" s="0" t="s">
        <v>659</v>
      </c>
      <c r="B187" s="0" t="s">
        <v>660</v>
      </c>
      <c r="C187" s="0" t="s">
        <v>98</v>
      </c>
      <c r="D187" s="10" t="n">
        <v>14.7</v>
      </c>
      <c r="E187" s="10" t="n">
        <v>14.95</v>
      </c>
      <c r="F187" s="10" t="n">
        <v>15.2</v>
      </c>
      <c r="G187" s="11" t="s">
        <v>170</v>
      </c>
      <c r="H187" s="1" t="s">
        <v>661</v>
      </c>
      <c r="I187" s="11" t="s">
        <v>87</v>
      </c>
    </row>
    <row r="188" customFormat="false" ht="17.15" hidden="false" customHeight="false" outlineLevel="0" collapsed="false">
      <c r="A188" s="0" t="s">
        <v>662</v>
      </c>
      <c r="B188" s="0" t="s">
        <v>663</v>
      </c>
      <c r="C188" s="0" t="s">
        <v>129</v>
      </c>
      <c r="D188" s="12" t="n">
        <v>0.44</v>
      </c>
      <c r="E188" s="12" t="n">
        <v>0.445</v>
      </c>
      <c r="F188" s="12" t="n">
        <v>0.45</v>
      </c>
      <c r="G188" s="11" t="s">
        <v>170</v>
      </c>
      <c r="H188" s="1" t="s">
        <v>664</v>
      </c>
      <c r="I188" s="11" t="s">
        <v>87</v>
      </c>
    </row>
    <row r="189" customFormat="false" ht="17.15" hidden="false" customHeight="false" outlineLevel="0" collapsed="false">
      <c r="A189" s="0" t="s">
        <v>665</v>
      </c>
      <c r="B189" s="0" t="s">
        <v>666</v>
      </c>
      <c r="C189" s="0" t="s">
        <v>98</v>
      </c>
      <c r="E189" s="10" t="n">
        <v>50</v>
      </c>
      <c r="G189" s="11" t="s">
        <v>170</v>
      </c>
      <c r="H189" s="1" t="s">
        <v>667</v>
      </c>
      <c r="I189" s="11" t="s">
        <v>87</v>
      </c>
    </row>
    <row r="190" customFormat="false" ht="17.15" hidden="false" customHeight="false" outlineLevel="0" collapsed="false">
      <c r="A190" s="0" t="s">
        <v>668</v>
      </c>
      <c r="B190" s="0" t="s">
        <v>669</v>
      </c>
      <c r="C190" s="0" t="s">
        <v>209</v>
      </c>
      <c r="E190" s="12" t="n">
        <v>-0.01</v>
      </c>
      <c r="G190" s="11" t="s">
        <v>170</v>
      </c>
      <c r="H190" s="1" t="s">
        <v>670</v>
      </c>
      <c r="I190" s="11" t="s">
        <v>87</v>
      </c>
    </row>
    <row r="191" customFormat="false" ht="17.15" hidden="false" customHeight="false" outlineLevel="0" collapsed="false">
      <c r="A191" s="0" t="s">
        <v>671</v>
      </c>
      <c r="B191" s="1" t="s">
        <v>672</v>
      </c>
      <c r="C191" s="0" t="s">
        <v>98</v>
      </c>
      <c r="E191" s="10" t="n">
        <v>37</v>
      </c>
      <c r="G191" s="11" t="s">
        <v>170</v>
      </c>
      <c r="H191" s="1" t="s">
        <v>673</v>
      </c>
      <c r="I191" s="11" t="s">
        <v>674</v>
      </c>
    </row>
    <row r="192" customFormat="false" ht="17.15" hidden="false" customHeight="false" outlineLevel="0" collapsed="false">
      <c r="A192" s="9" t="s">
        <v>675</v>
      </c>
    </row>
    <row r="193" customFormat="false" ht="17.15" hidden="false" customHeight="false" outlineLevel="0" collapsed="false">
      <c r="A193" s="0" t="s">
        <v>676</v>
      </c>
      <c r="B193" s="0" t="s">
        <v>677</v>
      </c>
      <c r="C193" s="0" t="s">
        <v>75</v>
      </c>
      <c r="D193" s="10" t="n">
        <v>360.16</v>
      </c>
      <c r="E193" s="10" t="n">
        <v>359.06</v>
      </c>
      <c r="F193" s="10" t="n">
        <v>380.56</v>
      </c>
      <c r="G193" s="11" t="s">
        <v>90</v>
      </c>
      <c r="H193" s="11" t="s">
        <v>678</v>
      </c>
      <c r="I193" s="1" t="s">
        <v>679</v>
      </c>
    </row>
    <row r="194" customFormat="false" ht="17.15" hidden="false" customHeight="false" outlineLevel="0" collapsed="false">
      <c r="A194" s="0" t="s">
        <v>680</v>
      </c>
      <c r="B194" s="0" t="s">
        <v>681</v>
      </c>
      <c r="C194" s="0" t="s">
        <v>75</v>
      </c>
      <c r="E194" s="10" t="n">
        <v>324.13</v>
      </c>
      <c r="G194" s="11" t="s">
        <v>90</v>
      </c>
      <c r="H194" s="11" t="s">
        <v>682</v>
      </c>
      <c r="I194" s="11" t="s">
        <v>87</v>
      </c>
    </row>
    <row r="195" customFormat="false" ht="17.15" hidden="false" customHeight="false" outlineLevel="0" collapsed="false">
      <c r="A195" s="0" t="s">
        <v>683</v>
      </c>
      <c r="B195" s="0" t="s">
        <v>684</v>
      </c>
      <c r="C195" s="0" t="s">
        <v>75</v>
      </c>
      <c r="E195" s="10" t="n">
        <v>387.64</v>
      </c>
      <c r="G195" s="11" t="s">
        <v>90</v>
      </c>
      <c r="H195" s="11" t="s">
        <v>682</v>
      </c>
      <c r="I195" s="11" t="s">
        <v>87</v>
      </c>
    </row>
    <row r="196" customFormat="false" ht="17.15" hidden="false" customHeight="false" outlineLevel="0" collapsed="false">
      <c r="A196" s="0" t="s">
        <v>685</v>
      </c>
      <c r="B196" s="0" t="s">
        <v>686</v>
      </c>
      <c r="C196" s="0" t="s">
        <v>129</v>
      </c>
      <c r="E196" s="12" t="n">
        <v>0.45</v>
      </c>
      <c r="G196" s="11" t="s">
        <v>90</v>
      </c>
      <c r="H196" s="11" t="s">
        <v>687</v>
      </c>
      <c r="I196" s="1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13"/>
    <col collapsed="false" customWidth="true" hidden="false" outlineLevel="0" max="14" min="14" style="0" width="16"/>
    <col collapsed="false" customWidth="true" hidden="false" outlineLevel="0" max="15" min="15" style="0" width="70"/>
  </cols>
  <sheetData>
    <row r="1" customFormat="false" ht="17.15" hidden="false" customHeight="false" outlineLevel="0" collapsed="false">
      <c r="A1" s="0" t="s">
        <v>688</v>
      </c>
    </row>
    <row r="2" customFormat="false" ht="17.15" hidden="false" customHeight="false" outlineLevel="0" collapsed="false">
      <c r="A2" s="0" t="s">
        <v>689</v>
      </c>
    </row>
    <row r="3" customFormat="false" ht="17.15" hidden="false" customHeight="false" outlineLevel="0" collapsed="false">
      <c r="A3" s="4" t="s">
        <v>43</v>
      </c>
      <c r="B3" s="20" t="s">
        <v>690</v>
      </c>
      <c r="C3" s="20" t="s">
        <v>691</v>
      </c>
      <c r="D3" s="20" t="s">
        <v>692</v>
      </c>
      <c r="E3" s="20" t="s">
        <v>693</v>
      </c>
      <c r="F3" s="20" t="s">
        <v>694</v>
      </c>
      <c r="G3" s="20" t="s">
        <v>695</v>
      </c>
      <c r="H3" s="20" t="s">
        <v>696</v>
      </c>
      <c r="I3" s="20" t="s">
        <v>697</v>
      </c>
      <c r="J3" s="20" t="s">
        <v>698</v>
      </c>
      <c r="K3" s="20" t="s">
        <v>699</v>
      </c>
      <c r="L3" s="20" t="s">
        <v>700</v>
      </c>
      <c r="M3" s="20" t="s">
        <v>701</v>
      </c>
      <c r="N3" s="4" t="s">
        <v>69</v>
      </c>
      <c r="O3" s="4" t="s">
        <v>702</v>
      </c>
    </row>
    <row r="4" customFormat="false" ht="17.15" hidden="false" customHeight="false" outlineLevel="0" collapsed="false">
      <c r="A4" s="9" t="s">
        <v>703</v>
      </c>
    </row>
    <row r="5" customFormat="false" ht="17.15" hidden="false" customHeight="false" outlineLevel="0" collapsed="false">
      <c r="A5" s="0" t="s">
        <v>704</v>
      </c>
      <c r="B5" s="21" t="n">
        <v>50.476</v>
      </c>
      <c r="C5" s="21" t="n">
        <v>52.766</v>
      </c>
      <c r="D5" s="21" t="n">
        <v>54.763</v>
      </c>
      <c r="E5" s="21" t="n">
        <v>60.778</v>
      </c>
      <c r="F5" s="21" t="n">
        <v>61.672</v>
      </c>
      <c r="G5" s="21" t="n">
        <v>64.441</v>
      </c>
      <c r="H5" s="21" t="n">
        <v>67.438</v>
      </c>
      <c r="I5" s="21" t="n">
        <v>74.576</v>
      </c>
      <c r="J5" s="22" t="n">
        <f aca="false">SUM(B5:E5)</f>
        <v>218.783</v>
      </c>
      <c r="K5" s="22" t="n">
        <f aca="false">SUM(F5:I5)</f>
        <v>268.127</v>
      </c>
      <c r="L5" s="21" t="n">
        <v>218.783</v>
      </c>
      <c r="M5" s="21" t="n">
        <v>268.127</v>
      </c>
      <c r="N5" s="11" t="s">
        <v>76</v>
      </c>
      <c r="O5" s="11" t="s">
        <v>705</v>
      </c>
    </row>
    <row r="6" customFormat="false" ht="17.15" hidden="false" customHeight="false" outlineLevel="0" collapsed="false">
      <c r="A6" s="0" t="s">
        <v>706</v>
      </c>
      <c r="B6" s="21" t="n">
        <v>16.021</v>
      </c>
      <c r="C6" s="21" t="n">
        <v>17.337</v>
      </c>
      <c r="D6" s="21" t="n">
        <v>18.54</v>
      </c>
      <c r="E6" s="21" t="n">
        <v>20.712</v>
      </c>
      <c r="F6" s="21" t="n">
        <v>22.384</v>
      </c>
      <c r="G6" s="21" t="n">
        <v>24.129</v>
      </c>
      <c r="H6" s="21" t="n">
        <v>26.008</v>
      </c>
      <c r="I6" s="21" t="n">
        <v>29.417</v>
      </c>
      <c r="J6" s="22" t="n">
        <f aca="false">SUM(B6:E6)</f>
        <v>72.61</v>
      </c>
      <c r="K6" s="22" t="n">
        <f aca="false">SUM(F6:I6)</f>
        <v>101.938</v>
      </c>
      <c r="L6" s="21" t="n">
        <v>72.61</v>
      </c>
      <c r="M6" s="21" t="n">
        <v>101.938</v>
      </c>
      <c r="N6" s="11" t="s">
        <v>76</v>
      </c>
      <c r="O6" s="11" t="s">
        <v>707</v>
      </c>
    </row>
    <row r="7" customFormat="false" ht="17.15" hidden="false" customHeight="false" outlineLevel="0" collapsed="false">
      <c r="A7" s="0" t="s">
        <v>708</v>
      </c>
      <c r="B7" s="21" t="n">
        <v>20.017</v>
      </c>
      <c r="C7" s="21" t="n">
        <v>20.686</v>
      </c>
      <c r="D7" s="21" t="n">
        <v>20.967</v>
      </c>
      <c r="E7" s="21" t="n">
        <v>22.935</v>
      </c>
      <c r="F7" s="21" t="n">
        <v>23.694</v>
      </c>
      <c r="G7" s="21" t="n">
        <v>24.466</v>
      </c>
      <c r="H7" s="21" t="n">
        <v>25.418</v>
      </c>
      <c r="I7" s="21" t="n">
        <v>26.721</v>
      </c>
      <c r="J7" s="22" t="n">
        <f aca="false">SUM(B7:E7)</f>
        <v>84.605</v>
      </c>
      <c r="K7" s="22" t="n">
        <f aca="false">SUM(F7:I7)</f>
        <v>100.299</v>
      </c>
      <c r="L7" s="21" t="n">
        <v>84.605</v>
      </c>
      <c r="M7" s="21" t="n">
        <v>100.299</v>
      </c>
      <c r="N7" s="11" t="s">
        <v>76</v>
      </c>
      <c r="O7" s="11" t="s">
        <v>709</v>
      </c>
    </row>
    <row r="8" customFormat="false" ht="17.15" hidden="false" customHeight="false" outlineLevel="0" collapsed="false">
      <c r="A8" s="0" t="s">
        <v>710</v>
      </c>
      <c r="B8" s="21" t="n">
        <v>8.051</v>
      </c>
      <c r="C8" s="21" t="n">
        <v>8.307</v>
      </c>
      <c r="D8" s="21" t="n">
        <v>8.731</v>
      </c>
      <c r="E8" s="21" t="n">
        <v>10.302</v>
      </c>
      <c r="F8" s="21" t="n">
        <v>8.678</v>
      </c>
      <c r="G8" s="21" t="n">
        <v>8.814</v>
      </c>
      <c r="H8" s="21" t="n">
        <v>8.76</v>
      </c>
      <c r="I8" s="21" t="n">
        <v>11.033</v>
      </c>
      <c r="J8" s="22" t="n">
        <f aca="false">SUM(B8:E8)</f>
        <v>35.391</v>
      </c>
      <c r="K8" s="22" t="n">
        <f aca="false">SUM(F8:I8)</f>
        <v>37.285</v>
      </c>
      <c r="L8" s="21" t="n">
        <v>35.391</v>
      </c>
      <c r="M8" s="21" t="n">
        <v>37.285</v>
      </c>
      <c r="N8" s="11" t="s">
        <v>76</v>
      </c>
      <c r="O8" s="11" t="s">
        <v>711</v>
      </c>
    </row>
    <row r="9" customFormat="false" ht="17.15" hidden="false" customHeight="false" outlineLevel="0" collapsed="false">
      <c r="A9" s="0" t="s">
        <v>712</v>
      </c>
      <c r="B9" s="21" t="n">
        <v>4.459</v>
      </c>
      <c r="C9" s="21" t="n">
        <v>4.544</v>
      </c>
      <c r="D9" s="21" t="n">
        <v>4.579</v>
      </c>
      <c r="E9" s="21" t="n">
        <v>4.835</v>
      </c>
      <c r="F9" s="21" t="n">
        <v>4.894</v>
      </c>
      <c r="G9" s="21" t="n">
        <v>4.994</v>
      </c>
      <c r="H9" s="21" t="n">
        <v>5.165</v>
      </c>
      <c r="I9" s="21" t="n">
        <v>5.292</v>
      </c>
      <c r="J9" s="22" t="n">
        <f aca="false">SUM(B9:E9)</f>
        <v>18.417</v>
      </c>
      <c r="K9" s="22" t="n">
        <f aca="false">SUM(F9:I9)</f>
        <v>20.345</v>
      </c>
      <c r="L9" s="21" t="n">
        <v>18.417</v>
      </c>
      <c r="M9" s="21" t="n">
        <v>20.345</v>
      </c>
      <c r="N9" s="11" t="s">
        <v>76</v>
      </c>
      <c r="O9" s="11" t="s">
        <v>713</v>
      </c>
    </row>
    <row r="10" customFormat="false" ht="17.15" hidden="false" customHeight="false" outlineLevel="0" collapsed="false">
      <c r="A10" s="0" t="s">
        <v>714</v>
      </c>
      <c r="B10" s="21" t="n">
        <v>1.928</v>
      </c>
      <c r="C10" s="21" t="n">
        <v>1.892</v>
      </c>
      <c r="D10" s="21" t="n">
        <v>1.946</v>
      </c>
      <c r="E10" s="21" t="n">
        <v>1.994</v>
      </c>
      <c r="F10" s="21" t="n">
        <v>2.022</v>
      </c>
      <c r="G10" s="21" t="n">
        <v>2.038</v>
      </c>
      <c r="H10" s="21" t="n">
        <v>2.087</v>
      </c>
      <c r="I10" s="21" t="n">
        <v>2.113</v>
      </c>
      <c r="J10" s="22" t="n">
        <f aca="false">SUM(B10:E10)</f>
        <v>7.76</v>
      </c>
      <c r="K10" s="22" t="n">
        <f aca="false">SUM(F10:I10)</f>
        <v>8.26</v>
      </c>
      <c r="L10" s="21" t="n">
        <v>7.76</v>
      </c>
      <c r="M10" s="21" t="n">
        <v>8.26</v>
      </c>
      <c r="N10" s="11" t="s">
        <v>76</v>
      </c>
      <c r="O10" s="11" t="s">
        <v>715</v>
      </c>
    </row>
    <row r="11" customFormat="false" ht="17.15" hidden="false" customHeight="false" outlineLevel="0" collapsed="false">
      <c r="A11" s="23" t="s">
        <v>716</v>
      </c>
      <c r="B11" s="24" t="n">
        <f aca="false">SUM(B6:B10)-B5</f>
        <v>0</v>
      </c>
      <c r="C11" s="24" t="n">
        <f aca="false">SUM(C6:C10)-C5</f>
        <v>0</v>
      </c>
      <c r="D11" s="24" t="n">
        <f aca="false">SUM(D6:D10)-D5</f>
        <v>0</v>
      </c>
      <c r="E11" s="24" t="n">
        <f aca="false">SUM(E6:E10)-E5</f>
        <v>0</v>
      </c>
      <c r="F11" s="24" t="n">
        <f aca="false">SUM(F6:F10)-F5</f>
        <v>0</v>
      </c>
      <c r="G11" s="24" t="n">
        <f aca="false">SUM(G6:G10)-G5</f>
        <v>0</v>
      </c>
      <c r="H11" s="24" t="n">
        <f aca="false">SUM(H6:H10)-H5</f>
        <v>0</v>
      </c>
      <c r="I11" s="24" t="n">
        <f aca="false">SUM(I6:I10)-I5</f>
        <v>0</v>
      </c>
      <c r="J11" s="24" t="n">
        <f aca="false">SUM(J6:J10)-J5</f>
        <v>0</v>
      </c>
      <c r="K11" s="24" t="n">
        <f aca="false">SUM(K6:K10)-K5</f>
        <v>0</v>
      </c>
      <c r="L11" s="24" t="n">
        <f aca="false">SUM(L6:L10)-L5</f>
        <v>0</v>
      </c>
      <c r="M11" s="24" t="n">
        <f aca="false">SUM(M6:M10)-M5</f>
        <v>0</v>
      </c>
      <c r="N11" s="1" t="s">
        <v>717</v>
      </c>
    </row>
    <row r="12" customFormat="false" ht="17.15" hidden="false" customHeight="false" outlineLevel="0" collapsed="false">
      <c r="A12" s="0" t="s">
        <v>718</v>
      </c>
      <c r="B12" s="21" t="n">
        <v>15.109</v>
      </c>
      <c r="C12" s="21" t="n">
        <v>16.866</v>
      </c>
      <c r="D12" s="21" t="n">
        <v>15.303</v>
      </c>
      <c r="E12" s="21" t="n">
        <v>15.663</v>
      </c>
      <c r="F12" s="21" t="n">
        <v>16.001</v>
      </c>
      <c r="G12" s="21" t="n">
        <v>16.832</v>
      </c>
      <c r="H12" s="21" t="n">
        <v>15.448</v>
      </c>
      <c r="I12" s="21" t="n">
        <v>15.431</v>
      </c>
      <c r="J12" s="22" t="n">
        <f aca="false">SUM(B12:E12)</f>
        <v>62.941</v>
      </c>
      <c r="K12" s="22" t="n">
        <f aca="false">SUM(F12:I12)</f>
        <v>63.712</v>
      </c>
      <c r="L12" s="21" t="n">
        <v>62.941</v>
      </c>
      <c r="M12" s="21" t="n">
        <v>63.712</v>
      </c>
      <c r="N12" s="11" t="s">
        <v>76</v>
      </c>
      <c r="O12" s="11" t="s">
        <v>719</v>
      </c>
    </row>
    <row r="13" customFormat="false" ht="17.15" hidden="false" customHeight="false" outlineLevel="0" collapsed="false">
      <c r="A13" s="0" t="s">
        <v>720</v>
      </c>
      <c r="B13" s="21" t="n">
        <v>5.159</v>
      </c>
      <c r="C13" s="21" t="n">
        <v>5.773</v>
      </c>
      <c r="D13" s="21" t="n">
        <v>5.437</v>
      </c>
      <c r="E13" s="21" t="n">
        <v>5.802</v>
      </c>
      <c r="F13" s="21" t="n">
        <v>5.942</v>
      </c>
      <c r="G13" s="21" t="n">
        <v>6.393</v>
      </c>
      <c r="H13" s="21" t="n">
        <v>6.065</v>
      </c>
      <c r="I13" s="21" t="n">
        <v>6.435</v>
      </c>
      <c r="J13" s="22" t="n">
        <f aca="false">SUM(B13:E13)</f>
        <v>22.171</v>
      </c>
      <c r="K13" s="22" t="n">
        <f aca="false">SUM(F13:I13)</f>
        <v>24.835</v>
      </c>
      <c r="L13" s="21" t="n">
        <v>22.171</v>
      </c>
      <c r="M13" s="21" t="n">
        <v>24.835</v>
      </c>
      <c r="N13" s="11" t="s">
        <v>76</v>
      </c>
      <c r="O13" s="11" t="s">
        <v>721</v>
      </c>
    </row>
    <row r="14" customFormat="false" ht="17.15" hidden="false" customHeight="false" outlineLevel="0" collapsed="false">
      <c r="A14" s="0" t="s">
        <v>722</v>
      </c>
      <c r="B14" s="21" t="n">
        <v>5.621</v>
      </c>
      <c r="C14" s="21" t="n">
        <v>6.581</v>
      </c>
      <c r="D14" s="21" t="n">
        <v>5.721</v>
      </c>
      <c r="E14" s="21" t="n">
        <v>5.532</v>
      </c>
      <c r="F14" s="21" t="n">
        <v>5.508</v>
      </c>
      <c r="G14" s="21" t="n">
        <v>5.958</v>
      </c>
      <c r="H14" s="21" t="n">
        <v>5.341</v>
      </c>
      <c r="I14" s="21" t="n">
        <v>4.983</v>
      </c>
      <c r="J14" s="22" t="n">
        <f aca="false">SUM(B14:E14)</f>
        <v>23.455</v>
      </c>
      <c r="K14" s="22" t="n">
        <f aca="false">SUM(F14:I14)</f>
        <v>21.79</v>
      </c>
      <c r="L14" s="21" t="n">
        <v>23.455</v>
      </c>
      <c r="M14" s="21" t="n">
        <v>21.79</v>
      </c>
      <c r="N14" s="11" t="s">
        <v>76</v>
      </c>
      <c r="O14" s="11" t="s">
        <v>723</v>
      </c>
    </row>
    <row r="15" customFormat="false" ht="17.15" hidden="false" customHeight="false" outlineLevel="0" collapsed="false">
      <c r="A15" s="0" t="s">
        <v>724</v>
      </c>
      <c r="B15" s="21" t="n">
        <v>4.329</v>
      </c>
      <c r="C15" s="21" t="n">
        <v>4.512</v>
      </c>
      <c r="D15" s="21" t="n">
        <v>4.145</v>
      </c>
      <c r="E15" s="21" t="n">
        <v>4.329</v>
      </c>
      <c r="F15" s="21" t="n">
        <v>4.551</v>
      </c>
      <c r="G15" s="21" t="n">
        <v>4.481</v>
      </c>
      <c r="H15" s="21" t="n">
        <v>4.042</v>
      </c>
      <c r="I15" s="21" t="n">
        <v>4.013</v>
      </c>
      <c r="J15" s="22" t="n">
        <f aca="false">SUM(B15:E15)</f>
        <v>17.315</v>
      </c>
      <c r="K15" s="22" t="n">
        <f aca="false">SUM(F15:I15)</f>
        <v>17.087</v>
      </c>
      <c r="L15" s="21" t="n">
        <v>17.315</v>
      </c>
      <c r="M15" s="21" t="n">
        <v>17.087</v>
      </c>
      <c r="N15" s="11" t="s">
        <v>76</v>
      </c>
      <c r="O15" s="11" t="s">
        <v>725</v>
      </c>
    </row>
    <row r="16" customFormat="false" ht="17.15" hidden="false" customHeight="false" outlineLevel="0" collapsed="false">
      <c r="A16" s="23" t="s">
        <v>726</v>
      </c>
      <c r="B16" s="24" t="n">
        <f aca="false">SUM(B13:B15)-B12</f>
        <v>0</v>
      </c>
      <c r="C16" s="24" t="n">
        <f aca="false">SUM(C13:C15)-C12</f>
        <v>0</v>
      </c>
      <c r="D16" s="24" t="n">
        <f aca="false">SUM(D13:D15)-D12</f>
        <v>0</v>
      </c>
      <c r="E16" s="24" t="n">
        <f aca="false">SUM(E13:E15)-E12</f>
        <v>0</v>
      </c>
      <c r="F16" s="24" t="n">
        <f aca="false">SUM(F13:F15)-F12</f>
        <v>0</v>
      </c>
      <c r="G16" s="24" t="n">
        <f aca="false">SUM(G13:G15)-G12</f>
        <v>0</v>
      </c>
      <c r="H16" s="24" t="n">
        <f aca="false">SUM(H13:H15)-H12</f>
        <v>0</v>
      </c>
      <c r="I16" s="24" t="n">
        <f aca="false">SUM(I13:I15)-I12</f>
        <v>0</v>
      </c>
      <c r="J16" s="24" t="n">
        <f aca="false">SUM(J13:J15)-J12</f>
        <v>0</v>
      </c>
      <c r="K16" s="24" t="n">
        <f aca="false">SUM(K13:K15)-K12</f>
        <v>0</v>
      </c>
      <c r="L16" s="24" t="n">
        <f aca="false">SUM(L13:L15)-L12</f>
        <v>0</v>
      </c>
      <c r="M16" s="24" t="n">
        <f aca="false">SUM(M13:M15)-M12</f>
        <v>0</v>
      </c>
      <c r="N16" s="1" t="s">
        <v>717</v>
      </c>
    </row>
    <row r="17" customFormat="false" ht="15" hidden="false" customHeight="false" outlineLevel="0" collapsed="false">
      <c r="A17" s="1" t="s">
        <v>727</v>
      </c>
      <c r="B17" s="22" t="n">
        <f aca="false">B5+B12</f>
        <v>65.585</v>
      </c>
      <c r="C17" s="22" t="n">
        <f aca="false">C5+C12</f>
        <v>69.632</v>
      </c>
      <c r="D17" s="22" t="n">
        <f aca="false">D5+D12</f>
        <v>70.066</v>
      </c>
      <c r="E17" s="22" t="n">
        <f aca="false">E5+E12</f>
        <v>76.441</v>
      </c>
      <c r="F17" s="22" t="n">
        <f aca="false">F5+F12</f>
        <v>77.673</v>
      </c>
      <c r="G17" s="22" t="n">
        <f aca="false">G5+G12</f>
        <v>81.273</v>
      </c>
      <c r="H17" s="22" t="n">
        <f aca="false">H5+H12</f>
        <v>82.886</v>
      </c>
      <c r="I17" s="22" t="n">
        <f aca="false">I5+I12</f>
        <v>90.007</v>
      </c>
      <c r="J17" s="22" t="n">
        <f aca="false">SUM(B17:E17)</f>
        <v>281.724</v>
      </c>
      <c r="K17" s="22" t="n">
        <f aca="false">SUM(F17:I17)</f>
        <v>331.839</v>
      </c>
      <c r="L17" s="22" t="n">
        <f aca="false">L5+L12</f>
        <v>281.724</v>
      </c>
      <c r="M17" s="22" t="n">
        <f aca="false">M5+M12</f>
        <v>331.839</v>
      </c>
      <c r="N17" s="11" t="s">
        <v>90</v>
      </c>
    </row>
    <row r="18" customFormat="false" ht="17.15" hidden="false" customHeight="false" outlineLevel="0" collapsed="false">
      <c r="A18" s="1" t="s">
        <v>728</v>
      </c>
      <c r="B18" s="21" t="n">
        <v>65.585</v>
      </c>
      <c r="C18" s="21" t="n">
        <v>69.632</v>
      </c>
      <c r="D18" s="21" t="n">
        <v>70.066</v>
      </c>
      <c r="E18" s="21" t="n">
        <v>76.441</v>
      </c>
      <c r="F18" s="21" t="n">
        <v>77.673</v>
      </c>
      <c r="G18" s="21" t="n">
        <v>81.273</v>
      </c>
      <c r="H18" s="21" t="n">
        <v>82.886</v>
      </c>
      <c r="I18" s="21" t="n">
        <v>90.007</v>
      </c>
      <c r="J18" s="22" t="n">
        <f aca="false">SUM(B18:E18)</f>
        <v>281.724</v>
      </c>
      <c r="K18" s="22" t="n">
        <f aca="false">SUM(F18:I18)</f>
        <v>331.839</v>
      </c>
      <c r="L18" s="21" t="n">
        <v>281.724</v>
      </c>
      <c r="M18" s="21" t="n">
        <v>331.839</v>
      </c>
      <c r="N18" s="11" t="s">
        <v>76</v>
      </c>
      <c r="O18" s="1" t="s">
        <v>729</v>
      </c>
    </row>
    <row r="19" customFormat="false" ht="15" hidden="false" customHeight="false" outlineLevel="0" collapsed="false">
      <c r="A19" s="23" t="s">
        <v>730</v>
      </c>
      <c r="B19" s="24" t="n">
        <f aca="false">B17-B18</f>
        <v>0</v>
      </c>
      <c r="C19" s="24" t="n">
        <f aca="false">C17-C18</f>
        <v>0</v>
      </c>
      <c r="D19" s="24" t="n">
        <f aca="false">D17-D18</f>
        <v>0</v>
      </c>
      <c r="E19" s="24" t="n">
        <f aca="false">E17-E18</f>
        <v>0</v>
      </c>
      <c r="F19" s="24" t="n">
        <f aca="false">F17-F18</f>
        <v>0</v>
      </c>
      <c r="G19" s="24" t="n">
        <f aca="false">G17-G18</f>
        <v>0</v>
      </c>
      <c r="H19" s="24" t="n">
        <f aca="false">H17-H18</f>
        <v>0</v>
      </c>
      <c r="I19" s="24" t="n">
        <f aca="false">I17-I18</f>
        <v>0</v>
      </c>
      <c r="J19" s="24" t="n">
        <f aca="false">J17-J18</f>
        <v>0</v>
      </c>
      <c r="K19" s="24" t="n">
        <f aca="false">K17-K18</f>
        <v>0</v>
      </c>
      <c r="L19" s="24" t="n">
        <f aca="false">L17-L18</f>
        <v>0</v>
      </c>
      <c r="M19" s="24" t="n">
        <f aca="false">M17-M18</f>
        <v>0</v>
      </c>
      <c r="N19" s="1" t="s">
        <v>717</v>
      </c>
    </row>
    <row r="20" customFormat="false" ht="17.15" hidden="false" customHeight="false" outlineLevel="0" collapsed="false">
      <c r="A20" s="9" t="s">
        <v>731</v>
      </c>
    </row>
    <row r="21" customFormat="false" ht="17.15" hidden="false" customHeight="false" outlineLevel="0" collapsed="false">
      <c r="A21" s="0" t="s">
        <v>732</v>
      </c>
      <c r="B21" s="21" t="n">
        <v>26.171</v>
      </c>
      <c r="C21" s="21" t="n">
        <v>26.718</v>
      </c>
      <c r="D21" s="21" t="n">
        <v>27.704</v>
      </c>
      <c r="E21" s="21" t="n">
        <v>30.221</v>
      </c>
      <c r="F21" s="21" t="n">
        <v>32.718</v>
      </c>
      <c r="G21" s="21" t="n">
        <v>33.167</v>
      </c>
      <c r="H21" s="21" t="n">
        <v>33.748</v>
      </c>
      <c r="I21" s="21" t="n">
        <v>36.732</v>
      </c>
      <c r="J21" s="22" t="n">
        <f aca="false">SUM(B21:E21)</f>
        <v>110.814</v>
      </c>
      <c r="K21" s="22" t="n">
        <f aca="false">SUM(F21:I21)</f>
        <v>136.365</v>
      </c>
      <c r="L21" s="21" t="n">
        <v>110.814</v>
      </c>
      <c r="M21" s="21" t="n">
        <v>136.365</v>
      </c>
      <c r="N21" s="11" t="s">
        <v>76</v>
      </c>
      <c r="O21" s="11" t="s">
        <v>733</v>
      </c>
    </row>
    <row r="22" customFormat="false" ht="17.15" hidden="false" customHeight="false" outlineLevel="0" collapsed="false">
      <c r="A22" s="0" t="s">
        <v>734</v>
      </c>
      <c r="B22" s="21" t="n">
        <v>4.381</v>
      </c>
      <c r="C22" s="21" t="n">
        <v>4.935</v>
      </c>
      <c r="D22" s="21" t="n">
        <v>4.296</v>
      </c>
      <c r="E22" s="21" t="n">
        <v>4.102</v>
      </c>
      <c r="F22" s="21" t="n">
        <v>5.243</v>
      </c>
      <c r="G22" s="21" t="n">
        <v>5.108</v>
      </c>
      <c r="H22" s="21" t="n">
        <v>4.65</v>
      </c>
      <c r="I22" s="21" t="n">
        <v>3.871</v>
      </c>
      <c r="J22" s="22" t="n">
        <f aca="false">SUM(B22:E22)</f>
        <v>17.714</v>
      </c>
      <c r="K22" s="22" t="n">
        <f aca="false">SUM(F22:I22)</f>
        <v>18.872</v>
      </c>
      <c r="L22" s="21" t="n">
        <v>17.714</v>
      </c>
      <c r="M22" s="21" t="n">
        <v>18.872</v>
      </c>
      <c r="N22" s="11" t="s">
        <v>76</v>
      </c>
      <c r="O22" s="11" t="s">
        <v>735</v>
      </c>
    </row>
    <row r="23" customFormat="false" ht="17.15" hidden="false" customHeight="false" outlineLevel="0" collapsed="false">
      <c r="A23" s="1" t="s">
        <v>736</v>
      </c>
      <c r="B23" s="21" t="n">
        <v>30.552</v>
      </c>
      <c r="C23" s="21" t="n">
        <v>31.653</v>
      </c>
      <c r="D23" s="21" t="n">
        <v>32</v>
      </c>
      <c r="E23" s="21" t="n">
        <v>34.323</v>
      </c>
      <c r="F23" s="21" t="n">
        <v>37.961</v>
      </c>
      <c r="G23" s="21" t="n">
        <v>38.275</v>
      </c>
      <c r="H23" s="21" t="n">
        <v>38.398</v>
      </c>
      <c r="I23" s="21" t="n">
        <v>40.603</v>
      </c>
      <c r="J23" s="22" t="n">
        <f aca="false">SUM(B23:E23)</f>
        <v>128.528</v>
      </c>
      <c r="K23" s="22" t="n">
        <f aca="false">SUM(F23:I23)</f>
        <v>155.237</v>
      </c>
      <c r="L23" s="21" t="n">
        <v>128.528</v>
      </c>
      <c r="M23" s="21" t="n">
        <v>155.237</v>
      </c>
      <c r="N23" s="11" t="s">
        <v>76</v>
      </c>
      <c r="O23" s="1" t="s">
        <v>737</v>
      </c>
    </row>
    <row r="24" customFormat="false" ht="17.15" hidden="false" customHeight="false" outlineLevel="0" collapsed="false">
      <c r="A24" s="23" t="s">
        <v>738</v>
      </c>
      <c r="B24" s="24" t="n">
        <f aca="false">B21+B22-B23</f>
        <v>0</v>
      </c>
      <c r="C24" s="24" t="n">
        <f aca="false">C21+C22-C23</f>
        <v>0</v>
      </c>
      <c r="D24" s="24" t="n">
        <f aca="false">D21+D22-D23</f>
        <v>0</v>
      </c>
      <c r="E24" s="24" t="n">
        <f aca="false">E21+E22-E23</f>
        <v>0</v>
      </c>
      <c r="F24" s="24" t="n">
        <f aca="false">F21+F22-F23</f>
        <v>0</v>
      </c>
      <c r="G24" s="24" t="n">
        <f aca="false">G21+G22-G23</f>
        <v>0</v>
      </c>
      <c r="H24" s="24" t="n">
        <f aca="false">H21+H22-H23</f>
        <v>0</v>
      </c>
      <c r="I24" s="24" t="n">
        <f aca="false">I21+I22-I23</f>
        <v>0</v>
      </c>
      <c r="J24" s="24" t="n">
        <f aca="false">J21+J22-J23</f>
        <v>0</v>
      </c>
      <c r="K24" s="24" t="n">
        <f aca="false">K21+K22-K23</f>
        <v>0</v>
      </c>
      <c r="L24" s="24" t="n">
        <f aca="false">L21+L22-L23</f>
        <v>0</v>
      </c>
      <c r="M24" s="24" t="n">
        <f aca="false">M21+M22-M23</f>
        <v>0</v>
      </c>
      <c r="N24" s="1" t="s">
        <v>717</v>
      </c>
    </row>
    <row r="25" customFormat="false" ht="17.15" hidden="false" customHeight="false" outlineLevel="0" collapsed="false">
      <c r="A25" s="9" t="s">
        <v>739</v>
      </c>
    </row>
    <row r="26" customFormat="false" ht="17.15" hidden="false" customHeight="false" outlineLevel="0" collapsed="false">
      <c r="A26" s="1" t="s">
        <v>740</v>
      </c>
      <c r="B26" s="21" t="n">
        <v>24.667</v>
      </c>
      <c r="C26" s="21" t="n">
        <v>24.108</v>
      </c>
      <c r="D26" s="21" t="n">
        <v>25.824</v>
      </c>
      <c r="E26" s="21" t="n">
        <v>27.233</v>
      </c>
      <c r="F26" s="21" t="n">
        <v>27.747</v>
      </c>
      <c r="G26" s="21" t="n">
        <v>38.458</v>
      </c>
      <c r="H26" s="21" t="n">
        <v>31.778</v>
      </c>
      <c r="I26" s="21" t="n">
        <v>35.766</v>
      </c>
      <c r="J26" s="22" t="n">
        <f aca="false">SUM(B26:E26)</f>
        <v>101.832</v>
      </c>
      <c r="K26" s="22" t="n">
        <f aca="false">SUM(F26:I26)</f>
        <v>133.749</v>
      </c>
      <c r="L26" s="21" t="n">
        <v>101.832</v>
      </c>
      <c r="M26" s="21" t="n">
        <v>133.749</v>
      </c>
      <c r="N26" s="11" t="s">
        <v>76</v>
      </c>
      <c r="O26" s="1" t="s">
        <v>741</v>
      </c>
    </row>
    <row r="27" customFormat="false" ht="17.15" hidden="false" customHeight="false" outlineLevel="0" collapsed="false">
      <c r="A27" s="1" t="s">
        <v>742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1" t="n">
        <v>-4.901</v>
      </c>
      <c r="M27" s="21" t="n">
        <v>10.697</v>
      </c>
      <c r="N27" s="11" t="s">
        <v>76</v>
      </c>
      <c r="O27" s="11" t="s">
        <v>743</v>
      </c>
    </row>
    <row r="28" customFormat="false" ht="17.15" hidden="false" customHeight="false" outlineLevel="0" collapsed="false">
      <c r="A28" s="1" t="s">
        <v>744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1" t="n">
        <v>123.627</v>
      </c>
      <c r="M28" s="21" t="n">
        <v>165.934</v>
      </c>
      <c r="N28" s="11" t="s">
        <v>76</v>
      </c>
      <c r="O28" s="11" t="s">
        <v>745</v>
      </c>
    </row>
    <row r="29" customFormat="false" ht="17.15" hidden="false" customHeight="false" outlineLevel="0" collapsed="false">
      <c r="A29" s="1" t="s">
        <v>746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1" t="n">
        <v>21.795</v>
      </c>
      <c r="M29" s="21" t="n">
        <v>32.185</v>
      </c>
      <c r="N29" s="11" t="s">
        <v>76</v>
      </c>
      <c r="O29" s="11" t="s">
        <v>747</v>
      </c>
    </row>
    <row r="30" customFormat="false" ht="17.15" hidden="false" customHeight="false" outlineLevel="0" collapsed="false">
      <c r="A30" s="1" t="s">
        <v>748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1" t="n">
        <v>-4.763</v>
      </c>
      <c r="M30" s="21" t="n">
        <v>6.53</v>
      </c>
      <c r="N30" s="11" t="s">
        <v>76</v>
      </c>
      <c r="O30" s="11" t="s">
        <v>749</v>
      </c>
    </row>
    <row r="31" customFormat="false" ht="17.15" hidden="false" customHeight="false" outlineLevel="0" collapsed="false">
      <c r="A31" s="1" t="s">
        <v>750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1" t="n">
        <v>7.465</v>
      </c>
      <c r="M31" s="21" t="n">
        <v>7.453</v>
      </c>
      <c r="N31" s="11" t="s">
        <v>76</v>
      </c>
      <c r="O31" s="11" t="s">
        <v>751</v>
      </c>
    </row>
    <row r="32" customFormat="false" ht="17.15" hidden="false" customHeight="false" outlineLevel="0" collapsed="false">
      <c r="A32" s="1" t="s">
        <v>752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25" t="n">
        <v>13.64</v>
      </c>
      <c r="M32" s="25" t="n">
        <v>17.95</v>
      </c>
      <c r="N32" s="11" t="s">
        <v>76</v>
      </c>
      <c r="O32" s="11" t="s">
        <v>753</v>
      </c>
    </row>
    <row r="33" customFormat="false" ht="17.15" hidden="false" customHeight="false" outlineLevel="0" collapsed="false">
      <c r="A33" s="23" t="s">
        <v>754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 t="n">
        <f aca="false">(L23+L27-L28)+(L28-L29-L26)</f>
        <v>0</v>
      </c>
      <c r="M33" s="24" t="n">
        <f aca="false">(M23+M27-M28)+(M28-M29-M26)</f>
        <v>0</v>
      </c>
      <c r="N33" s="1" t="s">
        <v>717</v>
      </c>
    </row>
    <row r="34" customFormat="false" ht="17.15" hidden="false" customHeight="false" outlineLevel="0" collapsed="false">
      <c r="A34" s="9" t="s">
        <v>755</v>
      </c>
    </row>
    <row r="35" customFormat="false" ht="17.15" hidden="false" customHeight="false" outlineLevel="0" collapsed="false">
      <c r="A35" s="1" t="s">
        <v>756</v>
      </c>
      <c r="B35" s="21" t="n">
        <v>34.18</v>
      </c>
      <c r="C35" s="21" t="n">
        <v>22.291</v>
      </c>
      <c r="D35" s="21" t="n">
        <v>37.044</v>
      </c>
      <c r="E35" s="21" t="n">
        <v>42.647</v>
      </c>
      <c r="F35" s="21" t="n">
        <v>45.057</v>
      </c>
      <c r="G35" s="21" t="n">
        <v>35.758</v>
      </c>
      <c r="H35" s="21" t="n">
        <v>46.679</v>
      </c>
      <c r="I35" s="21" t="n">
        <v>55.441</v>
      </c>
      <c r="J35" s="22" t="n">
        <f aca="false">SUM(B35:E35)</f>
        <v>136.162</v>
      </c>
      <c r="K35" s="22" t="n">
        <f aca="false">SUM(F35:I35)</f>
        <v>182.935</v>
      </c>
      <c r="L35" s="21" t="n">
        <v>136.162</v>
      </c>
      <c r="M35" s="21" t="n">
        <v>182.935</v>
      </c>
      <c r="N35" s="11" t="s">
        <v>76</v>
      </c>
      <c r="O35" s="1" t="s">
        <v>757</v>
      </c>
    </row>
    <row r="36" customFormat="false" ht="17.15" hidden="false" customHeight="false" outlineLevel="0" collapsed="false">
      <c r="A36" s="1" t="s">
        <v>758</v>
      </c>
      <c r="B36" s="21" t="n">
        <v>14.923</v>
      </c>
      <c r="C36" s="21" t="n">
        <v>15.804</v>
      </c>
      <c r="D36" s="21" t="n">
        <v>16.745</v>
      </c>
      <c r="E36" s="21" t="n">
        <v>17.079</v>
      </c>
      <c r="F36" s="21" t="n">
        <v>19.394</v>
      </c>
      <c r="G36" s="21" t="n">
        <v>29.876</v>
      </c>
      <c r="H36" s="21" t="n">
        <v>30.876</v>
      </c>
      <c r="I36" s="21" t="n">
        <v>35.802</v>
      </c>
      <c r="J36" s="22" t="n">
        <f aca="false">SUM(B36:E36)</f>
        <v>64.551</v>
      </c>
      <c r="K36" s="22" t="n">
        <f aca="false">SUM(F36:I36)</f>
        <v>115.948</v>
      </c>
      <c r="L36" s="21" t="n">
        <v>64.551</v>
      </c>
      <c r="M36" s="21" t="n">
        <v>115.948</v>
      </c>
      <c r="N36" s="11" t="s">
        <v>76</v>
      </c>
      <c r="O36" s="1" t="s">
        <v>759</v>
      </c>
    </row>
    <row r="37" customFormat="false" ht="15" hidden="false" customHeight="false" outlineLevel="0" collapsed="false">
      <c r="A37" s="1" t="s">
        <v>760</v>
      </c>
      <c r="B37" s="22" t="n">
        <f aca="false">B35-B36</f>
        <v>19.257</v>
      </c>
      <c r="C37" s="22" t="n">
        <f aca="false">C35-C36</f>
        <v>6.487</v>
      </c>
      <c r="D37" s="22" t="n">
        <f aca="false">D35-D36</f>
        <v>20.299</v>
      </c>
      <c r="E37" s="22" t="n">
        <f aca="false">E35-E36</f>
        <v>25.568</v>
      </c>
      <c r="F37" s="22" t="n">
        <f aca="false">F35-F36</f>
        <v>25.663</v>
      </c>
      <c r="G37" s="22" t="n">
        <f aca="false">G35-G36</f>
        <v>5.882</v>
      </c>
      <c r="H37" s="22" t="n">
        <f aca="false">H35-H36</f>
        <v>15.803</v>
      </c>
      <c r="I37" s="22" t="n">
        <f aca="false">I35-I36</f>
        <v>19.639</v>
      </c>
      <c r="J37" s="22" t="n">
        <f aca="false">SUM(B37:E37)</f>
        <v>71.611</v>
      </c>
      <c r="K37" s="22" t="n">
        <f aca="false">SUM(F37:I37)</f>
        <v>66.987</v>
      </c>
      <c r="L37" s="22" t="n">
        <f aca="false">L35-L36</f>
        <v>71.611</v>
      </c>
      <c r="M37" s="22" t="n">
        <f aca="false">M35-M36</f>
        <v>66.987</v>
      </c>
      <c r="N37" s="11" t="s">
        <v>90</v>
      </c>
    </row>
    <row r="38" customFormat="false" ht="17.15" hidden="false" customHeight="false" outlineLevel="0" collapsed="false">
      <c r="A38" s="1" t="s">
        <v>761</v>
      </c>
      <c r="B38" s="21" t="n">
        <v>6.716</v>
      </c>
      <c r="C38" s="21" t="n">
        <v>5.667</v>
      </c>
      <c r="D38" s="21" t="n">
        <v>7.734</v>
      </c>
      <c r="E38" s="21" t="n">
        <v>9.317</v>
      </c>
      <c r="F38" s="21" t="n">
        <v>8.147</v>
      </c>
      <c r="G38" s="21" t="n">
        <v>9.198</v>
      </c>
      <c r="H38" s="21" t="n">
        <v>10.167</v>
      </c>
      <c r="I38" s="21" t="n">
        <v>11.022</v>
      </c>
      <c r="J38" s="22" t="n">
        <f aca="false">SUM(B38:E38)</f>
        <v>29.434</v>
      </c>
      <c r="K38" s="22" t="n">
        <f aca="false">SUM(F38:I38)</f>
        <v>38.534</v>
      </c>
      <c r="L38" s="21" t="n">
        <v>29.433</v>
      </c>
      <c r="M38" s="21" t="n">
        <v>38.534</v>
      </c>
      <c r="N38" s="11" t="s">
        <v>76</v>
      </c>
      <c r="O38" s="1" t="s">
        <v>762</v>
      </c>
    </row>
    <row r="39" customFormat="false" ht="17.15" hidden="false" customHeight="false" outlineLevel="0" collapsed="false">
      <c r="A39" s="1" t="s">
        <v>763</v>
      </c>
      <c r="B39" s="21" t="n">
        <v>2.832</v>
      </c>
      <c r="C39" s="21" t="n">
        <v>3.089</v>
      </c>
      <c r="D39" s="21" t="n">
        <v>2.98</v>
      </c>
      <c r="E39" s="21" t="n">
        <v>3.073</v>
      </c>
      <c r="F39" s="21" t="n">
        <v>2.983</v>
      </c>
      <c r="G39" s="21" t="n">
        <v>3.219</v>
      </c>
      <c r="H39" s="21" t="n">
        <v>3.081</v>
      </c>
      <c r="I39" s="21" t="n">
        <v>3.122</v>
      </c>
      <c r="J39" s="22" t="n">
        <f aca="false">SUM(B39:E39)</f>
        <v>11.974</v>
      </c>
      <c r="K39" s="22" t="n">
        <f aca="false">SUM(F39:I39)</f>
        <v>12.405</v>
      </c>
      <c r="L39" s="21" t="n">
        <v>11.974</v>
      </c>
      <c r="M39" s="21" t="n">
        <v>12.405</v>
      </c>
      <c r="N39" s="11" t="s">
        <v>76</v>
      </c>
      <c r="O39" s="1" t="s">
        <v>764</v>
      </c>
    </row>
    <row r="40" customFormat="false" ht="17.15" hidden="false" customHeight="false" outlineLevel="0" collapsed="false">
      <c r="A40" s="1" t="s">
        <v>765</v>
      </c>
      <c r="B40" s="21" t="n">
        <v>4.107</v>
      </c>
      <c r="C40" s="21" t="n">
        <v>4.986</v>
      </c>
      <c r="D40" s="21" t="n">
        <v>4.781</v>
      </c>
      <c r="E40" s="21" t="n">
        <v>4.546</v>
      </c>
      <c r="F40" s="21" t="n">
        <v>5.65</v>
      </c>
      <c r="G40" s="21" t="n">
        <v>7.415</v>
      </c>
      <c r="H40" s="21" t="n">
        <v>4.627</v>
      </c>
      <c r="I40" s="21" t="n">
        <v>4.579</v>
      </c>
      <c r="J40" s="22" t="n">
        <f aca="false">SUM(B40:E40)</f>
        <v>18.42</v>
      </c>
      <c r="K40" s="22" t="n">
        <f aca="false">SUM(F40:I40)</f>
        <v>22.271</v>
      </c>
      <c r="L40" s="21" t="n">
        <v>18.42</v>
      </c>
      <c r="M40" s="21" t="n">
        <v>22.271</v>
      </c>
      <c r="N40" s="11" t="s">
        <v>76</v>
      </c>
      <c r="O40" s="1" t="s">
        <v>766</v>
      </c>
    </row>
    <row r="41" customFormat="false" ht="17.15" hidden="false" customHeight="false" outlineLevel="0" collapsed="false">
      <c r="A41" s="1" t="s">
        <v>767</v>
      </c>
      <c r="B41" s="21" t="n">
        <v>5.574</v>
      </c>
      <c r="C41" s="21" t="n">
        <v>6.17</v>
      </c>
      <c r="D41" s="21" t="n">
        <v>6.169</v>
      </c>
      <c r="E41" s="21" t="n">
        <v>6.169</v>
      </c>
      <c r="F41" s="21" t="n">
        <v>6.169</v>
      </c>
      <c r="G41" s="21" t="n">
        <v>6.762</v>
      </c>
      <c r="H41" s="21" t="n">
        <v>6.756</v>
      </c>
      <c r="I41" s="21" t="n">
        <v>6.758</v>
      </c>
      <c r="J41" s="22" t="n">
        <f aca="false">SUM(B41:E41)</f>
        <v>24.082</v>
      </c>
      <c r="K41" s="22" t="n">
        <f aca="false">SUM(F41:I41)</f>
        <v>26.445</v>
      </c>
      <c r="L41" s="21" t="n">
        <v>24.082</v>
      </c>
      <c r="M41" s="21" t="n">
        <v>26.445</v>
      </c>
      <c r="N41" s="11" t="s">
        <v>76</v>
      </c>
      <c r="O41" s="1" t="s">
        <v>768</v>
      </c>
    </row>
    <row r="42" customFormat="false" ht="17.15" hidden="false" customHeight="false" outlineLevel="0" collapsed="false">
      <c r="A42" s="1" t="s">
        <v>769</v>
      </c>
      <c r="B42" s="22"/>
      <c r="C42" s="22"/>
      <c r="D42" s="22"/>
      <c r="E42" s="21" t="n">
        <v>24.2</v>
      </c>
      <c r="F42" s="21" t="n">
        <v>34.9</v>
      </c>
      <c r="G42" s="21" t="n">
        <v>37.5</v>
      </c>
      <c r="H42" s="21" t="n">
        <v>31.9</v>
      </c>
      <c r="I42" s="21" t="n">
        <v>41</v>
      </c>
      <c r="J42" s="22"/>
      <c r="K42" s="22" t="n">
        <f aca="false">SUM(F42:I42)</f>
        <v>145.3</v>
      </c>
      <c r="L42" s="22"/>
      <c r="M42" s="21" t="n">
        <v>145.3</v>
      </c>
      <c r="N42" s="11" t="s">
        <v>170</v>
      </c>
      <c r="O42" s="1" t="s">
        <v>770</v>
      </c>
    </row>
    <row r="43" customFormat="false" ht="17.15" hidden="false" customHeight="false" outlineLevel="0" collapsed="false">
      <c r="A43" s="1" t="s">
        <v>771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1" t="n">
        <v>2.283</v>
      </c>
      <c r="M43" s="21" t="n">
        <v>3.101</v>
      </c>
      <c r="N43" s="11" t="s">
        <v>76</v>
      </c>
      <c r="O43" s="11" t="s">
        <v>772</v>
      </c>
    </row>
    <row r="44" customFormat="false" ht="15" hidden="false" customHeight="false" outlineLevel="0" collapsed="false">
      <c r="A44" s="23" t="s">
        <v>773</v>
      </c>
      <c r="B44" s="23"/>
      <c r="C44" s="23"/>
      <c r="D44" s="23"/>
      <c r="E44" s="23"/>
      <c r="F44" s="23"/>
      <c r="G44" s="23"/>
      <c r="H44" s="23"/>
      <c r="I44" s="23"/>
      <c r="J44" s="24" t="n">
        <f aca="false">SUMPRODUCT(ABS(J5:J23-L5:L23))+ABS(J26-L26)+SUMPRODUCT(ABS(J35:J41-L35:L41))</f>
        <v>0.00100000000000122</v>
      </c>
      <c r="K44" s="24" t="n">
        <f aca="false">SUMPRODUCT(ABS(K5:K23-M5:M23))+ABS(K26-M26)+SUMPRODUCT(ABS(K35:K41-M35:M41))+ABS(K42-M42)</f>
        <v>0</v>
      </c>
      <c r="L44" s="23"/>
      <c r="M44" s="23"/>
      <c r="N44" s="1" t="s">
        <v>717</v>
      </c>
    </row>
    <row r="45" customFormat="false" ht="17.15" hidden="false" customHeight="false" outlineLevel="0" collapsed="false">
      <c r="A45" s="9" t="s">
        <v>774</v>
      </c>
    </row>
    <row r="46" customFormat="false" ht="17.15" hidden="false" customHeight="false" outlineLevel="0" collapsed="false">
      <c r="A46" s="0" t="s">
        <v>775</v>
      </c>
      <c r="B46" s="21" t="n">
        <v>28.317</v>
      </c>
      <c r="C46" s="21" t="n">
        <v>29.437</v>
      </c>
      <c r="D46" s="21" t="n">
        <v>29.944</v>
      </c>
      <c r="E46" s="21" t="n">
        <v>33.112</v>
      </c>
      <c r="F46" s="21" t="n">
        <v>33.02</v>
      </c>
      <c r="G46" s="21" t="n">
        <v>34.116</v>
      </c>
      <c r="H46" s="21" t="n">
        <v>35.013</v>
      </c>
      <c r="I46" s="21" t="n">
        <v>37.847</v>
      </c>
      <c r="J46" s="22" t="n">
        <f aca="false">SUM(B46:E46)</f>
        <v>120.81</v>
      </c>
      <c r="K46" s="22" t="n">
        <f aca="false">SUM(F46:I46)</f>
        <v>139.996</v>
      </c>
      <c r="L46" s="21" t="n">
        <v>120.81</v>
      </c>
      <c r="M46" s="21" t="n">
        <v>139.996</v>
      </c>
      <c r="N46" s="11" t="s">
        <v>76</v>
      </c>
      <c r="O46" s="11" t="s">
        <v>776</v>
      </c>
    </row>
    <row r="47" customFormat="false" ht="17.15" hidden="false" customHeight="false" outlineLevel="0" collapsed="false">
      <c r="A47" s="0" t="s">
        <v>777</v>
      </c>
      <c r="B47" s="21" t="n">
        <v>24.092</v>
      </c>
      <c r="C47" s="21" t="n">
        <v>25.544</v>
      </c>
      <c r="D47" s="21" t="n">
        <v>26.751</v>
      </c>
      <c r="E47" s="21" t="n">
        <v>29.878</v>
      </c>
      <c r="F47" s="21" t="n">
        <v>30.897</v>
      </c>
      <c r="G47" s="21" t="n">
        <v>32.907</v>
      </c>
      <c r="H47" s="21" t="n">
        <v>34.681</v>
      </c>
      <c r="I47" s="21" t="n">
        <v>39.306</v>
      </c>
      <c r="J47" s="22" t="n">
        <f aca="false">SUM(B47:E47)</f>
        <v>106.265</v>
      </c>
      <c r="K47" s="22" t="n">
        <f aca="false">SUM(F47:I47)</f>
        <v>137.791</v>
      </c>
      <c r="L47" s="21" t="n">
        <v>106.265</v>
      </c>
      <c r="M47" s="21" t="n">
        <v>137.791</v>
      </c>
      <c r="N47" s="11" t="s">
        <v>76</v>
      </c>
      <c r="O47" s="11" t="s">
        <v>778</v>
      </c>
    </row>
    <row r="48" customFormat="false" ht="17.15" hidden="false" customHeight="false" outlineLevel="0" collapsed="false">
      <c r="A48" s="0" t="s">
        <v>779</v>
      </c>
      <c r="B48" s="21" t="n">
        <v>13.176</v>
      </c>
      <c r="C48" s="21" t="n">
        <v>14.651</v>
      </c>
      <c r="D48" s="21" t="n">
        <v>13.371</v>
      </c>
      <c r="E48" s="21" t="n">
        <v>13.451</v>
      </c>
      <c r="F48" s="21" t="n">
        <v>13.756</v>
      </c>
      <c r="G48" s="21" t="n">
        <v>14.25</v>
      </c>
      <c r="H48" s="21" t="n">
        <v>13.192</v>
      </c>
      <c r="I48" s="21" t="n">
        <v>12.854</v>
      </c>
      <c r="J48" s="22" t="n">
        <f aca="false">SUM(B48:E48)</f>
        <v>54.649</v>
      </c>
      <c r="K48" s="22" t="n">
        <f aca="false">SUM(F48:I48)</f>
        <v>54.052</v>
      </c>
      <c r="L48" s="21" t="n">
        <v>54.649</v>
      </c>
      <c r="M48" s="21" t="n">
        <v>54.052</v>
      </c>
      <c r="N48" s="11" t="s">
        <v>76</v>
      </c>
      <c r="O48" s="11" t="s">
        <v>780</v>
      </c>
    </row>
    <row r="49" customFormat="false" ht="15" hidden="false" customHeight="false" outlineLevel="0" collapsed="false">
      <c r="A49" s="23" t="s">
        <v>781</v>
      </c>
      <c r="B49" s="24" t="n">
        <f aca="false">B46+B47+B48-B18</f>
        <v>0</v>
      </c>
      <c r="C49" s="24" t="n">
        <f aca="false">C46+C47+C48-C18</f>
        <v>0</v>
      </c>
      <c r="D49" s="24" t="n">
        <f aca="false">D46+D47+D48-D18</f>
        <v>0</v>
      </c>
      <c r="E49" s="24" t="n">
        <f aca="false">E46+E47+E48-E18</f>
        <v>0</v>
      </c>
      <c r="F49" s="24" t="n">
        <f aca="false">F46+F47+F48-F18</f>
        <v>0</v>
      </c>
      <c r="G49" s="24" t="n">
        <f aca="false">G46+G47+G48-G18</f>
        <v>0</v>
      </c>
      <c r="H49" s="24" t="n">
        <f aca="false">H46+H47+H48-H18</f>
        <v>0</v>
      </c>
      <c r="I49" s="24" t="n">
        <f aca="false">I46+I47+I48-I18</f>
        <v>0</v>
      </c>
      <c r="J49" s="24" t="n">
        <f aca="false">J46+J47+J48-J18</f>
        <v>0</v>
      </c>
      <c r="K49" s="24" t="n">
        <f aca="false">K46+K47+K48-K18</f>
        <v>0</v>
      </c>
      <c r="L49" s="24" t="n">
        <f aca="false">L46+L47+L48-L18</f>
        <v>0</v>
      </c>
      <c r="M49" s="24" t="n">
        <f aca="false">M46+M47+M48-M18</f>
        <v>0</v>
      </c>
      <c r="N49" s="1" t="s">
        <v>717</v>
      </c>
    </row>
    <row r="50" customFormat="false" ht="17.15" hidden="false" customHeight="false" outlineLevel="0" collapsed="false">
      <c r="A50" s="0" t="s">
        <v>782</v>
      </c>
      <c r="B50" s="26"/>
      <c r="C50" s="26"/>
      <c r="D50" s="26"/>
      <c r="E50" s="26"/>
      <c r="F50" s="27" t="n">
        <v>0.4</v>
      </c>
      <c r="G50" s="27" t="n">
        <v>0.39</v>
      </c>
      <c r="H50" s="27" t="n">
        <v>0.4</v>
      </c>
      <c r="I50" s="27" t="n">
        <v>0.42</v>
      </c>
      <c r="J50" s="26"/>
      <c r="K50" s="26"/>
      <c r="L50" s="26"/>
      <c r="M50" s="26"/>
      <c r="N50" s="11" t="s">
        <v>170</v>
      </c>
      <c r="O50" s="11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784</v>
      </c>
    </row>
    <row r="2" customFormat="false" ht="17.15" hidden="false" customHeight="false" outlineLevel="0" collapsed="false">
      <c r="A2" s="1" t="s">
        <v>785</v>
      </c>
    </row>
    <row r="3" customFormat="false" ht="17.15" hidden="false" customHeight="false" outlineLevel="0" collapsed="false">
      <c r="A3" s="1" t="s">
        <v>786</v>
      </c>
    </row>
    <row r="4" customFormat="false" ht="17.15" hidden="false" customHeight="false" outlineLevel="0" collapsed="false">
      <c r="A4" s="3" t="s">
        <v>787</v>
      </c>
    </row>
    <row r="5" customFormat="false" ht="15" hidden="false" customHeight="false" outlineLevel="0" collapsed="false">
      <c r="A5" s="4" t="s">
        <v>43</v>
      </c>
      <c r="B5" s="4" t="s">
        <v>65</v>
      </c>
      <c r="C5" s="20" t="s">
        <v>788</v>
      </c>
      <c r="D5" s="20" t="s">
        <v>789</v>
      </c>
      <c r="E5" s="20" t="s">
        <v>790</v>
      </c>
      <c r="F5" s="20" t="s">
        <v>791</v>
      </c>
      <c r="G5" s="20" t="s">
        <v>792</v>
      </c>
      <c r="H5" s="20" t="s">
        <v>793</v>
      </c>
      <c r="I5" s="20" t="s">
        <v>794</v>
      </c>
      <c r="J5" s="20" t="s">
        <v>795</v>
      </c>
      <c r="K5" s="20" t="s">
        <v>796</v>
      </c>
      <c r="L5" s="4" t="s">
        <v>47</v>
      </c>
    </row>
    <row r="6" customFormat="false" ht="17.15" hidden="false" customHeight="false" outlineLevel="0" collapsed="false">
      <c r="A6" s="1" t="s">
        <v>797</v>
      </c>
      <c r="B6" s="1" t="s">
        <v>235</v>
      </c>
      <c r="C6" s="28" t="n">
        <v>2024</v>
      </c>
      <c r="D6" s="28" t="n">
        <v>2025</v>
      </c>
      <c r="E6" s="28" t="n">
        <v>2026</v>
      </c>
      <c r="F6" s="28" t="n">
        <v>2027</v>
      </c>
      <c r="G6" s="28" t="n">
        <v>2028</v>
      </c>
      <c r="H6" s="28" t="n">
        <v>2029</v>
      </c>
      <c r="I6" s="28" t="n">
        <v>2030</v>
      </c>
      <c r="J6" s="28" t="n">
        <v>2031</v>
      </c>
      <c r="K6" s="28" t="n">
        <v>2032</v>
      </c>
    </row>
    <row r="7" customFormat="false" ht="17.15" hidden="false" customHeight="false" outlineLevel="0" collapsed="false">
      <c r="A7" s="1" t="s">
        <v>798</v>
      </c>
      <c r="B7" s="0" t="s">
        <v>392</v>
      </c>
      <c r="F7" s="29" t="n">
        <f aca="false">pace</f>
        <v>2527.2</v>
      </c>
      <c r="G7" s="29" t="n">
        <f aca="false">pace</f>
        <v>2527.2</v>
      </c>
      <c r="H7" s="29" t="n">
        <f aca="false">pace</f>
        <v>2527.2</v>
      </c>
      <c r="I7" s="29" t="n">
        <f aca="false">pace+(g_tv*Thesis!H8-pace)*MIN(1,(Thesis!I6-pace_y0)/(pace_y1-pace_y0))</f>
        <v>1793.116</v>
      </c>
      <c r="J7" s="29" t="n">
        <f aca="false">pace+(g_tv*Thesis!H8-pace)*MIN(1,(Thesis!J6-pace_y0)/(pace_y1-pace_y0))</f>
        <v>1059.032</v>
      </c>
      <c r="K7" s="29" t="n">
        <f aca="false">pace+(g_tv*Thesis!H8-pace)*MIN(1,(Thesis!K6-pace_y0)/(pace_y1-pace_y0))</f>
        <v>324.948</v>
      </c>
      <c r="L7" s="11" t="s">
        <v>799</v>
      </c>
    </row>
    <row r="8" customFormat="false" ht="17.15" hidden="false" customHeight="false" outlineLevel="0" collapsed="false">
      <c r="A8" s="1" t="s">
        <v>800</v>
      </c>
      <c r="B8" s="0" t="s">
        <v>392</v>
      </c>
      <c r="C8" s="29" t="n">
        <f aca="false">mw_ext_24</f>
        <v>640</v>
      </c>
      <c r="D8" s="29" t="n">
        <f aca="false">mw_ext_25</f>
        <v>1630</v>
      </c>
      <c r="E8" s="29" t="n">
        <f aca="false">mw_ext_26</f>
        <v>3250</v>
      </c>
      <c r="F8" s="29" t="n">
        <f aca="false">Thesis!E8+Thesis!F7</f>
        <v>5777.2</v>
      </c>
      <c r="G8" s="29" t="n">
        <f aca="false">Thesis!F8+Thesis!G7</f>
        <v>8304.4</v>
      </c>
      <c r="H8" s="29" t="n">
        <f aca="false">Thesis!G8+Thesis!H7</f>
        <v>10831.6</v>
      </c>
      <c r="I8" s="29" t="n">
        <f aca="false">Thesis!H8+Thesis!I7</f>
        <v>12624.716</v>
      </c>
      <c r="J8" s="29" t="n">
        <f aca="false">Thesis!I8+Thesis!J7</f>
        <v>13683.748</v>
      </c>
      <c r="K8" s="29" t="n">
        <f aca="false">Thesis!J8+Thesis!K7</f>
        <v>14008.696</v>
      </c>
      <c r="L8" s="1" t="s">
        <v>801</v>
      </c>
    </row>
    <row r="9" customFormat="false" ht="17.15" hidden="false" customHeight="false" outlineLevel="0" collapsed="false">
      <c r="A9" s="1" t="s">
        <v>802</v>
      </c>
      <c r="B9" s="0" t="s">
        <v>392</v>
      </c>
      <c r="C9" s="29" t="n">
        <f aca="false">rent_ext_24</f>
        <v>150</v>
      </c>
      <c r="D9" s="29" t="n">
        <f aca="false">rent_ext_25</f>
        <v>400</v>
      </c>
      <c r="E9" s="29" t="n">
        <f aca="false">rent_ext_26</f>
        <v>550</v>
      </c>
      <c r="F9" s="29" t="n">
        <f aca="false">rent_ext_f</f>
        <v>756</v>
      </c>
      <c r="G9" s="29" t="n">
        <f aca="false">rent_ext_f</f>
        <v>756</v>
      </c>
      <c r="H9" s="29" t="n">
        <f aca="false">rent_ext_f</f>
        <v>756</v>
      </c>
      <c r="I9" s="29" t="n">
        <f aca="false">rent_ext_f</f>
        <v>756</v>
      </c>
      <c r="J9" s="29" t="n">
        <f aca="false">rent_ext_f</f>
        <v>756</v>
      </c>
      <c r="K9" s="29" t="n">
        <f aca="false">rent_ext_f</f>
        <v>756</v>
      </c>
      <c r="L9" s="1" t="s">
        <v>803</v>
      </c>
    </row>
    <row r="10" customFormat="false" ht="17.15" hidden="false" customHeight="false" outlineLevel="0" collapsed="false">
      <c r="A10" s="1" t="s">
        <v>804</v>
      </c>
      <c r="B10" s="0" t="s">
        <v>392</v>
      </c>
      <c r="C10" s="29" t="n">
        <f aca="false">Thesis!C8-Thesis!C9</f>
        <v>490</v>
      </c>
      <c r="D10" s="29" t="n">
        <f aca="false">Thesis!D8-Thesis!D9</f>
        <v>1230</v>
      </c>
      <c r="E10" s="29" t="n">
        <f aca="false">Thesis!E8-Thesis!E9</f>
        <v>2700</v>
      </c>
      <c r="F10" s="29" t="n">
        <f aca="false">Thesis!F8-Thesis!F9</f>
        <v>5021.2</v>
      </c>
      <c r="G10" s="29" t="n">
        <f aca="false">Thesis!G8-Thesis!G9</f>
        <v>7548.4</v>
      </c>
      <c r="H10" s="29" t="n">
        <f aca="false">Thesis!H8-Thesis!H9</f>
        <v>10075.6</v>
      </c>
      <c r="I10" s="29" t="n">
        <f aca="false">Thesis!I8-Thesis!I9</f>
        <v>11868.716</v>
      </c>
      <c r="J10" s="29" t="n">
        <f aca="false">Thesis!J8-Thesis!J9</f>
        <v>12927.748</v>
      </c>
      <c r="K10" s="29" t="n">
        <f aca="false">Thesis!K8-Thesis!K9</f>
        <v>13252.696</v>
      </c>
    </row>
    <row r="11" customFormat="false" ht="17.15" hidden="false" customHeight="false" outlineLevel="0" collapsed="false">
      <c r="A11" s="1" t="s">
        <v>805</v>
      </c>
      <c r="B11" s="0" t="s">
        <v>392</v>
      </c>
      <c r="C11" s="29" t="n">
        <f aca="false">Thesis!C10/ext_sh</f>
        <v>816.666666666667</v>
      </c>
      <c r="D11" s="29" t="n">
        <f aca="false">Thesis!D10/ext_sh</f>
        <v>2050</v>
      </c>
      <c r="E11" s="29" t="n">
        <f aca="false">Thesis!E10/ext_sh</f>
        <v>4500</v>
      </c>
      <c r="F11" s="29" t="n">
        <f aca="false">Thesis!F10/ext_sh</f>
        <v>8368.66666666667</v>
      </c>
      <c r="G11" s="29" t="n">
        <f aca="false">Thesis!G10/ext_sh</f>
        <v>12580.6666666667</v>
      </c>
      <c r="H11" s="29" t="n">
        <f aca="false">Thesis!H10/ext_sh</f>
        <v>16792.6666666667</v>
      </c>
      <c r="I11" s="29" t="n">
        <f aca="false">Thesis!I10/ext_sh</f>
        <v>19781.1933333333</v>
      </c>
      <c r="J11" s="29" t="n">
        <f aca="false">Thesis!J10/ext_sh</f>
        <v>21546.2466666667</v>
      </c>
      <c r="K11" s="29" t="n">
        <f aca="false">Thesis!K10/ext_sh</f>
        <v>22087.8266666667</v>
      </c>
      <c r="L11" s="1" t="s">
        <v>806</v>
      </c>
    </row>
    <row r="12" customFormat="false" ht="17.15" hidden="false" customHeight="false" outlineLevel="0" collapsed="false">
      <c r="A12" s="1" t="s">
        <v>807</v>
      </c>
      <c r="B12" s="0" t="s">
        <v>392</v>
      </c>
      <c r="C12" s="29" t="n">
        <f aca="false">Thesis!C11-Thesis!C10</f>
        <v>326.666666666667</v>
      </c>
      <c r="D12" s="29" t="n">
        <f aca="false">Thesis!D11-Thesis!D10</f>
        <v>820</v>
      </c>
      <c r="E12" s="29" t="n">
        <f aca="false">Thesis!E11-Thesis!E10</f>
        <v>1800</v>
      </c>
      <c r="F12" s="29" t="n">
        <f aca="false">Thesis!F11-Thesis!F10</f>
        <v>3347.46666666667</v>
      </c>
      <c r="G12" s="29" t="n">
        <f aca="false">Thesis!G11-Thesis!G10</f>
        <v>5032.26666666667</v>
      </c>
      <c r="H12" s="29" t="n">
        <f aca="false">Thesis!H11-Thesis!H10</f>
        <v>6717.06666666667</v>
      </c>
      <c r="I12" s="29" t="n">
        <f aca="false">Thesis!I11-Thesis!I10</f>
        <v>7912.47733333333</v>
      </c>
      <c r="J12" s="29" t="n">
        <f aca="false">Thesis!J11-Thesis!J10</f>
        <v>8618.49866666667</v>
      </c>
      <c r="K12" s="29" t="n">
        <f aca="false">Thesis!K11-Thesis!K10</f>
        <v>8835.13066666667</v>
      </c>
    </row>
    <row r="13" customFormat="false" ht="17.15" hidden="false" customHeight="false" outlineLevel="0" collapsed="false">
      <c r="A13" s="1" t="s">
        <v>808</v>
      </c>
      <c r="B13" s="0" t="s">
        <v>392</v>
      </c>
      <c r="C13" s="29" t="n">
        <f aca="false">Thesis!C11</f>
        <v>816.666666666667</v>
      </c>
      <c r="D13" s="29" t="n">
        <f aca="false">Thesis!D11-Thesis!C11</f>
        <v>1233.33333333333</v>
      </c>
      <c r="E13" s="29" t="n">
        <f aca="false">Thesis!E11-Thesis!D11</f>
        <v>2450</v>
      </c>
      <c r="F13" s="29" t="n">
        <f aca="false">Thesis!F11-Thesis!E11</f>
        <v>3868.66666666667</v>
      </c>
      <c r="G13" s="29" t="n">
        <f aca="false">Thesis!G11-Thesis!F11</f>
        <v>4212</v>
      </c>
      <c r="H13" s="29" t="n">
        <f aca="false">Thesis!H11-Thesis!G11</f>
        <v>4212</v>
      </c>
      <c r="I13" s="29" t="n">
        <f aca="false">Thesis!I11-Thesis!H11</f>
        <v>2988.52666666667</v>
      </c>
      <c r="J13" s="29" t="n">
        <f aca="false">Thesis!J11-Thesis!I11</f>
        <v>1765.05333333333</v>
      </c>
      <c r="K13" s="29" t="n">
        <f aca="false">Thesis!K11-Thesis!J11</f>
        <v>541.580000000002</v>
      </c>
    </row>
    <row r="14" customFormat="false" ht="17.15" hidden="false" customHeight="false" outlineLevel="0" collapsed="false">
      <c r="A14" s="1" t="s">
        <v>809</v>
      </c>
      <c r="B14" s="0" t="s">
        <v>392</v>
      </c>
      <c r="D14" s="29" t="n">
        <f aca="false">Thesis!D8-Thesis!C8</f>
        <v>990</v>
      </c>
      <c r="E14" s="29" t="n">
        <f aca="false">Thesis!E8-Thesis!D8</f>
        <v>1620</v>
      </c>
      <c r="F14" s="29" t="n">
        <f aca="false">Thesis!F8-Thesis!E8</f>
        <v>2527.2</v>
      </c>
      <c r="G14" s="29" t="n">
        <f aca="false">Thesis!G8-Thesis!F8</f>
        <v>2527.2</v>
      </c>
      <c r="H14" s="29" t="n">
        <f aca="false">Thesis!H8-Thesis!G8</f>
        <v>2527.2</v>
      </c>
      <c r="I14" s="29" t="n">
        <f aca="false">Thesis!I8-Thesis!H8</f>
        <v>1793.116</v>
      </c>
      <c r="J14" s="29" t="n">
        <f aca="false">Thesis!J8-Thesis!I8</f>
        <v>1059.032</v>
      </c>
      <c r="K14" s="29" t="n">
        <f aca="false">Thesis!K8-Thesis!J8</f>
        <v>324.948</v>
      </c>
    </row>
    <row r="15" customFormat="false" ht="17.15" hidden="false" customHeight="false" outlineLevel="0" collapsed="false">
      <c r="A15" s="1" t="s">
        <v>810</v>
      </c>
      <c r="B15" s="0" t="s">
        <v>392</v>
      </c>
      <c r="F15" s="29" t="n">
        <f aca="false">Thesis!F32*ext_sh</f>
        <v>0</v>
      </c>
      <c r="G15" s="29" t="n">
        <f aca="false">Thesis!G32*ext_sh</f>
        <v>0</v>
      </c>
      <c r="H15" s="29" t="n">
        <f aca="false">Thesis!H32*ext_sh</f>
        <v>0</v>
      </c>
      <c r="I15" s="29" t="n">
        <f aca="false">Thesis!I32*ext_sh</f>
        <v>490</v>
      </c>
      <c r="J15" s="29" t="n">
        <f aca="false">Thesis!J32*ext_sh</f>
        <v>740</v>
      </c>
      <c r="K15" s="29" t="n">
        <f aca="false">Thesis!K32*ext_sh</f>
        <v>1470</v>
      </c>
      <c r="L15" s="1" t="s">
        <v>811</v>
      </c>
    </row>
    <row r="16" customFormat="false" ht="17.15" hidden="false" customHeight="false" outlineLevel="0" collapsed="false">
      <c r="A16" s="1" t="s">
        <v>812</v>
      </c>
      <c r="B16" s="0" t="s">
        <v>392</v>
      </c>
      <c r="C16" s="29" t="n">
        <f aca="false">mix_h*Thesis!C8</f>
        <v>128</v>
      </c>
      <c r="D16" s="29" t="n">
        <f aca="false">mix_h*Thesis!D8</f>
        <v>326</v>
      </c>
      <c r="E16" s="29" t="n">
        <f aca="false">mix_h*Thesis!E8</f>
        <v>650</v>
      </c>
      <c r="F16" s="29" t="n">
        <f aca="false">Thesis!E16-Thesis!F15*mix_h</f>
        <v>650</v>
      </c>
      <c r="G16" s="29" t="n">
        <f aca="false">Thesis!F16-Thesis!G15*mix_h</f>
        <v>650</v>
      </c>
      <c r="H16" s="29" t="n">
        <f aca="false">Thesis!G16-Thesis!H15*mix_h</f>
        <v>650</v>
      </c>
      <c r="I16" s="29" t="n">
        <f aca="false">Thesis!H16-Thesis!I15*mix_h</f>
        <v>552</v>
      </c>
      <c r="J16" s="29" t="n">
        <f aca="false">Thesis!I16-Thesis!J15*mix_h</f>
        <v>404</v>
      </c>
      <c r="K16" s="29" t="n">
        <f aca="false">Thesis!J16-Thesis!K15*mix_h</f>
        <v>110</v>
      </c>
    </row>
    <row r="17" customFormat="false" ht="17.15" hidden="false" customHeight="false" outlineLevel="0" collapsed="false">
      <c r="A17" s="1" t="s">
        <v>813</v>
      </c>
      <c r="B17" s="0" t="s">
        <v>392</v>
      </c>
      <c r="C17" s="29" t="n">
        <f aca="false">mix_g2*Thesis!C8</f>
        <v>288</v>
      </c>
      <c r="D17" s="29" t="n">
        <f aca="false">mix_g2*Thesis!D8</f>
        <v>733.5</v>
      </c>
      <c r="E17" s="29" t="n">
        <f aca="false">mix_g2*Thesis!E8</f>
        <v>1462.5</v>
      </c>
      <c r="F17" s="29" t="n">
        <f aca="false">Thesis!E17-Thesis!F15*mix_g2</f>
        <v>1462.5</v>
      </c>
      <c r="G17" s="29" t="n">
        <f aca="false">Thesis!F17-Thesis!G15*mix_g2</f>
        <v>1462.5</v>
      </c>
      <c r="H17" s="29" t="n">
        <f aca="false">Thesis!G17-Thesis!H15*mix_g2</f>
        <v>1462.5</v>
      </c>
      <c r="I17" s="29" t="n">
        <f aca="false">Thesis!H17-Thesis!I15*mix_g2</f>
        <v>1242</v>
      </c>
      <c r="J17" s="29" t="n">
        <f aca="false">Thesis!I17-Thesis!J15*mix_g2</f>
        <v>909</v>
      </c>
      <c r="K17" s="29" t="n">
        <f aca="false">Thesis!J17-Thesis!K15*mix_g2</f>
        <v>247.5</v>
      </c>
    </row>
    <row r="18" customFormat="false" ht="17.15" hidden="false" customHeight="false" outlineLevel="0" collapsed="false">
      <c r="A18" s="1" t="s">
        <v>814</v>
      </c>
      <c r="B18" s="0" t="s">
        <v>392</v>
      </c>
      <c r="C18" s="29" t="n">
        <f aca="false">mix_g3*Thesis!C8</f>
        <v>224</v>
      </c>
      <c r="D18" s="29" t="n">
        <f aca="false">mix_g3*Thesis!D8</f>
        <v>570.5</v>
      </c>
      <c r="E18" s="29" t="n">
        <f aca="false">mix_g3*Thesis!E8</f>
        <v>1137.5</v>
      </c>
      <c r="F18" s="29" t="n">
        <f aca="false">Thesis!E18+(Thesis!F14+Thesis!F15)*a_g3_27-Thesis!F15*mix_g3</f>
        <v>2906.54</v>
      </c>
      <c r="G18" s="29" t="n">
        <f aca="false">Thesis!F18+(Thesis!G14+Thesis!G15)*a_g3_28-Thesis!G15*mix_g3</f>
        <v>3664.7</v>
      </c>
      <c r="H18" s="29" t="n">
        <f aca="false">Thesis!G18+(Thesis!H14+Thesis!H15)*a_g3_29-Thesis!H15*mix_g3</f>
        <v>3917.42</v>
      </c>
      <c r="I18" s="29" t="n">
        <f aca="false">Thesis!H18+(Thesis!I14+Thesis!I15)*a_g3_29-Thesis!I15*mix_g3</f>
        <v>3974.2316</v>
      </c>
      <c r="J18" s="29" t="n">
        <f aca="false">Thesis!I18+(Thesis!J14+Thesis!J15)*a_g3_29-Thesis!J15*mix_g3</f>
        <v>3895.1348</v>
      </c>
      <c r="K18" s="29" t="n">
        <f aca="false">Thesis!J18+(Thesis!K14+Thesis!K15)*a_g3_29-Thesis!K15*mix_g3</f>
        <v>3560.1296</v>
      </c>
    </row>
    <row r="19" customFormat="false" ht="17.15" hidden="false" customHeight="false" outlineLevel="0" collapsed="false">
      <c r="A19" s="1" t="s">
        <v>815</v>
      </c>
      <c r="B19" s="0" t="s">
        <v>392</v>
      </c>
      <c r="C19" s="29" t="n">
        <v>0</v>
      </c>
      <c r="D19" s="29" t="n">
        <v>0</v>
      </c>
      <c r="E19" s="29" t="n">
        <v>0</v>
      </c>
      <c r="F19" s="29" t="n">
        <f aca="false">Thesis!E19+(Thesis!F14+Thesis!F15)*(1-a_g3_27)</f>
        <v>758.16</v>
      </c>
      <c r="G19" s="29" t="n">
        <f aca="false">Thesis!F19+(Thesis!G14+Thesis!G15)*(1-a_g3_28)</f>
        <v>2527.2</v>
      </c>
      <c r="H19" s="29" t="n">
        <f aca="false">Thesis!G19+(Thesis!H14+Thesis!H15)*(1-a_g3_29)</f>
        <v>4801.68</v>
      </c>
      <c r="I19" s="29" t="n">
        <f aca="false">Thesis!H19+(Thesis!I14+Thesis!I15)*(1-a_g3_29)</f>
        <v>6856.4844</v>
      </c>
      <c r="J19" s="29" t="n">
        <f aca="false">Thesis!I19+(Thesis!J14+Thesis!J15)*(1-a_g3_29)</f>
        <v>8475.6132</v>
      </c>
      <c r="K19" s="29" t="n">
        <f aca="false">Thesis!J19+(Thesis!K14+Thesis!K15)*(1-a_g3_29)</f>
        <v>10091.0664</v>
      </c>
    </row>
    <row r="20" customFormat="false" ht="17.15" hidden="false" customHeight="false" outlineLevel="0" collapsed="false">
      <c r="A20" s="1" t="s">
        <v>816</v>
      </c>
      <c r="B20" s="0" t="s">
        <v>339</v>
      </c>
      <c r="C20" s="14" t="n">
        <f aca="false">(Thesis!C16*tk_hold_h100+Thesis!C17*tk_hold_gb200+Thesis!C18*tk_hold_gb300+Thesis!C19*tk_hold_vr200)/Thesis!C8</f>
        <v>9.7235358126469</v>
      </c>
      <c r="D20" s="14" t="n">
        <f aca="false">(Thesis!D16*tk_hold_h100+Thesis!D17*tk_hold_gb200+Thesis!D18*tk_hold_gb300+Thesis!D19*tk_hold_vr200)/Thesis!D8</f>
        <v>9.7235358126469</v>
      </c>
      <c r="E20" s="14" t="n">
        <f aca="false">(Thesis!E16*tk_hold_h100+Thesis!E17*tk_hold_gb200+Thesis!E18*tk_hold_gb300+Thesis!E19*tk_hold_vr200)/Thesis!E8</f>
        <v>9.7235358126469</v>
      </c>
      <c r="F20" s="14" t="n">
        <f aca="false">(Thesis!F16*tk_hold_h100+Thesis!F17*tk_hold_gb200+Thesis!F18*tk_hold_gb300+Thesis!F19*tk_hold_vr200)/Thesis!F8</f>
        <v>10.4079573161931</v>
      </c>
      <c r="G20" s="14" t="n">
        <f aca="false">(Thesis!G16*tk_hold_h100+Thesis!G17*tk_hold_gb200+Thesis!G18*tk_hold_gb300+Thesis!G19*tk_hold_vr200)/Thesis!G8</f>
        <v>10.8388131109316</v>
      </c>
      <c r="H20" s="14" t="n">
        <f aca="false">(Thesis!H16*tk_hold_h100+Thesis!H17*tk_hold_gb200+Thesis!H18*tk_hold_gb300+Thesis!H19*tk_hold_vr200)/Thesis!H8</f>
        <v>11.1311018388216</v>
      </c>
      <c r="I20" s="14" t="n">
        <f aca="false">(Thesis!I16*tk_hold_h100+Thesis!I17*tk_hold_gb200+Thesis!I18*tk_hold_gb300+Thesis!I19*tk_hold_vr200)/Thesis!I8</f>
        <v>11.3594282560989</v>
      </c>
      <c r="J20" s="14" t="n">
        <f aca="false">(Thesis!J16*tk_hold_h100+Thesis!J17*tk_hold_gb200+Thesis!J18*tk_hold_gb300+Thesis!J19*tk_hold_vr200)/Thesis!J8</f>
        <v>11.5441508808221</v>
      </c>
      <c r="K20" s="14" t="n">
        <f aca="false">(Thesis!K16*tk_hold_h100+Thesis!K17*tk_hold_gb200+Thesis!K18*tk_hold_gb300+Thesis!K19*tk_hold_vr200)/Thesis!K8</f>
        <v>11.8053375063575</v>
      </c>
    </row>
    <row r="21" customFormat="false" ht="17.15" hidden="false" customHeight="false" outlineLevel="0" collapsed="false">
      <c r="A21" s="0" t="s">
        <v>817</v>
      </c>
      <c r="B21" s="0" t="s">
        <v>185</v>
      </c>
      <c r="C21" s="14" t="n">
        <f aca="false">k_B</f>
        <v>1.17213932619116</v>
      </c>
      <c r="D21" s="14" t="n">
        <f aca="false">k_B</f>
        <v>1.17213932619116</v>
      </c>
      <c r="E21" s="14" t="n">
        <f aca="false">k_B</f>
        <v>1.17213932619116</v>
      </c>
      <c r="F21" s="14" t="n">
        <f aca="false">(k_B+((ls_A*k_long+(1-ls_A)*k_spot)-k_B)*MIN(1,(Thesis!F6-base_fy)/k_ramp))</f>
        <v>1.25022828131298</v>
      </c>
      <c r="G21" s="14" t="n">
        <f aca="false">(k_B+((ls_A*k_long+(1-ls_A)*k_spot)-k_B)*MIN(1,(Thesis!G6-base_fy)/k_ramp))</f>
        <v>1.3283172364348</v>
      </c>
      <c r="H21" s="14" t="n">
        <f aca="false">(k_B+((ls_A*k_long+(1-ls_A)*k_spot)-k_B)*MIN(1,(Thesis!H6-base_fy)/k_ramp))</f>
        <v>1.40640619155662</v>
      </c>
      <c r="I21" s="14" t="n">
        <f aca="false">(k_B+((ls_A*k_long+(1-ls_A)*k_spot)-k_B)*MIN(1,(Thesis!I6-base_fy)/k_ramp))</f>
        <v>1.40640619155662</v>
      </c>
      <c r="J21" s="14" t="n">
        <f aca="false">(k_B+((ls_A*k_long+(1-ls_A)*k_spot)-k_B)*MIN(1,(Thesis!J6-base_fy)/k_ramp))</f>
        <v>1.40640619155662</v>
      </c>
      <c r="K21" s="14" t="n">
        <f aca="false">(k_B+((ls_A*k_long+(1-ls_A)*k_spot)-k_B)*MIN(1,(Thesis!K6-base_fy)/k_ramp))</f>
        <v>1.40640619155662</v>
      </c>
      <c r="L21" s="1" t="s">
        <v>818</v>
      </c>
    </row>
    <row r="22" customFormat="false" ht="17.15" hidden="false" customHeight="false" outlineLevel="0" collapsed="false">
      <c r="A22" s="1" t="s">
        <v>819</v>
      </c>
      <c r="B22" s="0" t="s">
        <v>339</v>
      </c>
      <c r="C22" s="14" t="n">
        <f aca="false">Thesis!C20*Thesis!C21*chip_f</f>
        <v>11.3973387156315</v>
      </c>
      <c r="D22" s="14" t="n">
        <f aca="false">Thesis!D20*Thesis!D21*chip_f</f>
        <v>11.3973387156315</v>
      </c>
      <c r="E22" s="14" t="n">
        <f aca="false">Thesis!E20*Thesis!E21*chip_f</f>
        <v>11.3973387156315</v>
      </c>
      <c r="F22" s="14" t="n">
        <f aca="false">Thesis!F20*Thesis!F21*chip_f</f>
        <v>13.0123225874029</v>
      </c>
      <c r="G22" s="14" t="n">
        <f aca="false">Thesis!G20*Thesis!G21*chip_f</f>
        <v>14.3973822777458</v>
      </c>
      <c r="H22" s="14" t="n">
        <f aca="false">Thesis!H20*Thesis!H21*chip_f</f>
        <v>15.6548505449659</v>
      </c>
      <c r="I22" s="14" t="n">
        <f aca="false">Thesis!I20*Thesis!I21*chip_f</f>
        <v>15.9759702319207</v>
      </c>
      <c r="J22" s="14" t="n">
        <f aca="false">Thesis!J20*Thesis!J21*chip_f</f>
        <v>16.2357652750519</v>
      </c>
      <c r="K22" s="14" t="n">
        <f aca="false">Thesis!K20*Thesis!K21*chip_f</f>
        <v>16.6030997623568</v>
      </c>
      <c r="L22" s="1" t="s">
        <v>820</v>
      </c>
    </row>
    <row r="23" customFormat="false" ht="17.15" hidden="false" customHeight="false" outlineLevel="0" collapsed="false">
      <c r="A23" s="0" t="s">
        <v>821</v>
      </c>
      <c r="B23" s="0" t="s">
        <v>98</v>
      </c>
      <c r="D23" s="6" t="n">
        <f aca="false">(Thesis!C8+Thesis!D8)/2*Thesis!D22/1000</f>
        <v>12.9359794422418</v>
      </c>
      <c r="E23" s="6" t="n">
        <f aca="false">(Thesis!D8+Thesis!E8)/2*Thesis!E22/1000</f>
        <v>27.8095064661409</v>
      </c>
      <c r="F23" s="6" t="n">
        <f aca="false">(Thesis!E8+Thesis!F8)/2*Thesis!F22/1000</f>
        <v>58.7324192305018</v>
      </c>
      <c r="G23" s="6" t="n">
        <f aca="false">(Thesis!F8+Thesis!G8)/2*Thesis!G22/1000</f>
        <v>101.369089141153</v>
      </c>
      <c r="H23" s="6" t="n">
        <f aca="false">(Thesis!G8+Thesis!H8)/2*Thesis!H22/1000</f>
        <v>149.785610014234</v>
      </c>
      <c r="I23" s="6" t="n">
        <f aca="false">(Thesis!H8+Thesis!I8)/2*Thesis!I22/1000</f>
        <v>187.368703083263</v>
      </c>
      <c r="J23" s="6" t="n">
        <f aca="false">(Thesis!I8+Thesis!J8)/2*Thesis!J22/1000</f>
        <v>213.569023125577</v>
      </c>
      <c r="K23" s="6" t="n">
        <f aca="false">(Thesis!J8+Thesis!K8)/2*Thesis!K22/1000</f>
        <v>229.890205197739</v>
      </c>
      <c r="L23" s="11" t="s">
        <v>822</v>
      </c>
    </row>
    <row r="24" customFormat="false" ht="17.15" hidden="false" customHeight="false" outlineLevel="0" collapsed="false">
      <c r="A24" s="1" t="s">
        <v>823</v>
      </c>
      <c r="B24" s="0" t="s">
        <v>339</v>
      </c>
      <c r="C24" s="14" t="n">
        <f aca="false">(Thesis!C16*tk_opex_h100+Thesis!C17*tk_opex_gb200+Thesis!C18*tk_opex_gb300+Thesis!C19*tk_opex_vr200)/Thesis!C8</f>
        <v>1.88636041306092</v>
      </c>
      <c r="D24" s="14" t="n">
        <f aca="false">(Thesis!D16*tk_opex_h100+Thesis!D17*tk_opex_gb200+Thesis!D18*tk_opex_gb300+Thesis!D19*tk_opex_vr200)/Thesis!D8</f>
        <v>1.88636041306092</v>
      </c>
      <c r="E24" s="14" t="n">
        <f aca="false">(Thesis!E16*tk_opex_h100+Thesis!E17*tk_opex_gb200+Thesis!E18*tk_opex_gb300+Thesis!E19*tk_opex_vr200)/Thesis!E8</f>
        <v>1.88636041306092</v>
      </c>
      <c r="F24" s="14" t="n">
        <f aca="false">(Thesis!F16*tk_opex_h100+Thesis!F17*tk_opex_gb200+Thesis!F18*tk_opex_gb300+Thesis!F19*tk_opex_vr200)/Thesis!F8</f>
        <v>1.9430236476499</v>
      </c>
      <c r="G24" s="14" t="n">
        <f aca="false">(Thesis!G16*tk_opex_h100+Thesis!G17*tk_opex_gb200+Thesis!G18*tk_opex_gb300+Thesis!G19*tk_opex_vr200)/Thesis!G8</f>
        <v>1.9786941852423</v>
      </c>
      <c r="H24" s="14" t="n">
        <f aca="false">(Thesis!H16*tk_opex_h100+Thesis!H17*tk_opex_gb200+Thesis!H18*tk_opex_gb300+Thesis!H19*tk_opex_vr200)/Thesis!H8</f>
        <v>2.00289275976156</v>
      </c>
      <c r="I24" s="14" t="n">
        <f aca="false">(Thesis!I16*tk_opex_h100+Thesis!I17*tk_opex_gb200+Thesis!I18*tk_opex_gb300+Thesis!I19*tk_opex_vr200)/Thesis!I8</f>
        <v>2.02179589661219</v>
      </c>
      <c r="J24" s="14" t="n">
        <f aca="false">(Thesis!J16*tk_opex_h100+Thesis!J17*tk_opex_gb200+Thesis!J18*tk_opex_gb300+Thesis!J19*tk_opex_vr200)/Thesis!J8</f>
        <v>2.03708907685909</v>
      </c>
      <c r="K24" s="14" t="n">
        <f aca="false">(Thesis!K16*tk_opex_h100+Thesis!K17*tk_opex_gb200+Thesis!K18*tk_opex_gb300+Thesis!K19*tk_opex_vr200)/Thesis!K8</f>
        <v>2.05871270931005</v>
      </c>
    </row>
    <row r="25" customFormat="false" ht="17.15" hidden="false" customHeight="false" outlineLevel="0" collapsed="false">
      <c r="A25" s="0" t="s">
        <v>824</v>
      </c>
      <c r="B25" s="0" t="s">
        <v>98</v>
      </c>
      <c r="D25" s="6" t="n">
        <f aca="false">(Thesis!C11+Thesis!D11)/2*Thesis!D24/1000</f>
        <v>2.70378325872065</v>
      </c>
      <c r="E25" s="6" t="n">
        <f aca="false">(Thesis!D11+Thesis!E11)/2*Thesis!E24/1000</f>
        <v>6.17783035277451</v>
      </c>
      <c r="F25" s="6" t="n">
        <f aca="false">(Thesis!E11+Thesis!F11)/2*Thesis!F24/1000</f>
        <v>12.5020618235287</v>
      </c>
      <c r="G25" s="6" t="n">
        <f aca="false">(Thesis!F11+Thesis!G11)/2*Thesis!G24/1000</f>
        <v>20.7261620256847</v>
      </c>
      <c r="H25" s="6" t="n">
        <f aca="false">(Thesis!G11+Thesis!H11)/2*Thesis!H24/1000</f>
        <v>29.4158183316982</v>
      </c>
      <c r="I25" s="6" t="n">
        <f aca="false">(Thesis!H11+Thesis!I11)/2*Thesis!I24/1000</f>
        <v>36.9724400356344</v>
      </c>
      <c r="J25" s="6" t="n">
        <f aca="false">(Thesis!I11+Thesis!J11)/2*Thesis!J24/1000</f>
        <v>42.0938382992747</v>
      </c>
      <c r="K25" s="6" t="n">
        <f aca="false">(Thesis!J11+Thesis!K11)/2*Thesis!K24/1000</f>
        <v>44.9150106651501</v>
      </c>
    </row>
    <row r="26" customFormat="false" ht="17.15" hidden="false" customHeight="false" outlineLevel="0" collapsed="false">
      <c r="A26" s="0" t="s">
        <v>825</v>
      </c>
      <c r="B26" s="0" t="s">
        <v>98</v>
      </c>
      <c r="D26" s="6" t="n">
        <f aca="false">(Thesis!C9+Thesis!D9)/2*rent_mw/1000</f>
        <v>2.44475</v>
      </c>
      <c r="E26" s="6" t="n">
        <f aca="false">(Thesis!D9+Thesis!E9)/2*rent_mw/1000</f>
        <v>4.22275</v>
      </c>
      <c r="F26" s="6" t="n">
        <f aca="false">(Thesis!E9+Thesis!F9)/2*rent_mw/1000</f>
        <v>5.80517</v>
      </c>
      <c r="G26" s="6" t="n">
        <f aca="false">(Thesis!F9+Thesis!G9)/2*rent_mw/1000</f>
        <v>6.72084</v>
      </c>
      <c r="H26" s="6" t="n">
        <f aca="false">(Thesis!G9+Thesis!H9)/2*rent_mw/1000</f>
        <v>6.72084</v>
      </c>
      <c r="I26" s="6" t="n">
        <f aca="false">(Thesis!H9+Thesis!I9)/2*rent_mw/1000</f>
        <v>6.72084</v>
      </c>
      <c r="J26" s="6" t="n">
        <f aca="false">(Thesis!I9+Thesis!J9)/2*rent_mw/1000</f>
        <v>6.72084</v>
      </c>
      <c r="K26" s="6" t="n">
        <f aca="false">(Thesis!J9+Thesis!K9)/2*rent_mw/1000</f>
        <v>6.72084</v>
      </c>
    </row>
    <row r="27" customFormat="false" ht="17.15" hidden="false" customHeight="false" outlineLevel="0" collapsed="false">
      <c r="A27" s="0" t="s">
        <v>826</v>
      </c>
      <c r="B27" s="0" t="s">
        <v>98</v>
      </c>
      <c r="D27" s="6" t="n">
        <f aca="false">(Thesis!C11+Thesis!D11)/2*(1-self_build)*fac_rent/1000</f>
        <v>0.853242375631075</v>
      </c>
      <c r="E27" s="6" t="n">
        <f aca="false">(Thesis!D11+Thesis!E11)/2*(1-self_build)*fac_rent/1000</f>
        <v>1.94955961408728</v>
      </c>
      <c r="F27" s="6" t="n">
        <f aca="false">(Thesis!E11+Thesis!F11)/2*(1-self_build)*fac_rent/1000</f>
        <v>3.83026455274573</v>
      </c>
      <c r="G27" s="6" t="n">
        <f aca="false">(Thesis!F11+Thesis!G11)/2*(1-self_build)*fac_rent/1000</f>
        <v>6.23541590972812</v>
      </c>
      <c r="H27" s="6" t="n">
        <f aca="false">(Thesis!G11+Thesis!H11)/2*(1-self_build)*fac_rent/1000</f>
        <v>8.74275792332679</v>
      </c>
      <c r="I27" s="6" t="n">
        <f aca="false">(Thesis!H11+Thesis!I11)/2*(1-self_build)*fac_rent/1000</f>
        <v>10.8859420438599</v>
      </c>
      <c r="J27" s="6" t="n">
        <f aca="false">(Thesis!I11+Thesis!J11)/2*(1-self_build)*fac_rent/1000</f>
        <v>12.3008103782619</v>
      </c>
      <c r="K27" s="6" t="n">
        <f aca="false">(Thesis!J11+Thesis!K11)/2*(1-self_build)*fac_rent/1000</f>
        <v>12.9873629265328</v>
      </c>
      <c r="L27" s="11" t="s">
        <v>827</v>
      </c>
    </row>
    <row r="28" customFormat="false" ht="17.15" hidden="false" customHeight="false" outlineLevel="0" collapsed="false">
      <c r="A28" s="1" t="s">
        <v>828</v>
      </c>
      <c r="B28" s="0" t="s">
        <v>129</v>
      </c>
      <c r="D28" s="7" t="n">
        <f aca="false">(Thesis!C10+Thesis!D10)/(Thesis!C11+Thesis!D11)</f>
        <v>0.6</v>
      </c>
      <c r="E28" s="7" t="n">
        <f aca="false">(Thesis!D10+Thesis!E10)/(Thesis!D11+Thesis!E11)</f>
        <v>0.6</v>
      </c>
      <c r="F28" s="7" t="n">
        <f aca="false">(Thesis!E10+Thesis!F10)/(Thesis!E11+Thesis!F11)</f>
        <v>0.6</v>
      </c>
      <c r="G28" s="7" t="n">
        <f aca="false">(Thesis!F10+Thesis!G10)/(Thesis!F11+Thesis!G11)</f>
        <v>0.6</v>
      </c>
      <c r="H28" s="7" t="n">
        <f aca="false">(Thesis!G10+Thesis!H10)/(Thesis!G11+Thesis!H11)</f>
        <v>0.6</v>
      </c>
      <c r="I28" s="7" t="n">
        <f aca="false">(Thesis!H10+Thesis!I10)/(Thesis!H11+Thesis!I11)</f>
        <v>0.6</v>
      </c>
      <c r="J28" s="7" t="n">
        <f aca="false">(Thesis!I10+Thesis!J10)/(Thesis!I11+Thesis!J11)</f>
        <v>0.6</v>
      </c>
      <c r="K28" s="7" t="n">
        <f aca="false">(Thesis!J10+Thesis!K10)/(Thesis!J11+Thesis!K11)</f>
        <v>0.6</v>
      </c>
    </row>
    <row r="29" customFormat="false" ht="17.15" hidden="false" customHeight="false" outlineLevel="0" collapsed="false">
      <c r="A29" s="0" t="s">
        <v>829</v>
      </c>
      <c r="B29" s="0" t="s">
        <v>98</v>
      </c>
      <c r="D29" s="6" t="n">
        <f aca="false">Thesis!D23-Thesis!D28*(Thesis!D25+Thesis!D27)-Thesis!D26</f>
        <v>8.35701406163072</v>
      </c>
      <c r="E29" s="6" t="n">
        <f aca="false">Thesis!E23-Thesis!E28*(Thesis!E25+Thesis!E27)-Thesis!E26</f>
        <v>18.7103224860238</v>
      </c>
      <c r="F29" s="6" t="n">
        <f aca="false">Thesis!F23-Thesis!F28*(Thesis!F25+Thesis!F27)-Thesis!F26</f>
        <v>43.1278534047371</v>
      </c>
      <c r="G29" s="6" t="n">
        <f aca="false">Thesis!G23-Thesis!G28*(Thesis!G25+Thesis!G27)-Thesis!G26</f>
        <v>78.4713023799053</v>
      </c>
      <c r="H29" s="6" t="n">
        <f aca="false">Thesis!H23-Thesis!H28*(Thesis!H25+Thesis!H27)-Thesis!H26</f>
        <v>120.169624261219</v>
      </c>
      <c r="I29" s="6" t="n">
        <f aca="false">Thesis!I23-Thesis!I28*(Thesis!I25+Thesis!I27)-Thesis!I26</f>
        <v>151.932833835566</v>
      </c>
      <c r="J29" s="6" t="n">
        <f aca="false">Thesis!J23-Thesis!J28*(Thesis!J25+Thesis!J27)-Thesis!J26</f>
        <v>174.211393919055</v>
      </c>
      <c r="K29" s="6" t="n">
        <f aca="false">Thesis!K23-Thesis!K28*(Thesis!K25+Thesis!K27)-Thesis!K26</f>
        <v>188.427941042729</v>
      </c>
    </row>
    <row r="30" customFormat="false" ht="17.15" hidden="false" customHeight="false" outlineLevel="0" collapsed="false">
      <c r="A30" s="1" t="s">
        <v>830</v>
      </c>
      <c r="B30" s="0" t="s">
        <v>98</v>
      </c>
      <c r="D30" s="6" t="n">
        <f aca="false">(1-Thesis!D28)*(Thesis!D25+Thesis!D27)</f>
        <v>1.42281025374069</v>
      </c>
      <c r="E30" s="6" t="n">
        <f aca="false">(1-Thesis!E28)*(Thesis!E25+Thesis!E27)</f>
        <v>3.25095598674472</v>
      </c>
      <c r="F30" s="6" t="n">
        <f aca="false">(1-Thesis!F28)*(Thesis!F25+Thesis!F27)</f>
        <v>6.53293055050977</v>
      </c>
      <c r="G30" s="6" t="n">
        <f aca="false">(1-Thesis!G28)*(Thesis!G25+Thesis!G27)</f>
        <v>10.7846311741651</v>
      </c>
      <c r="H30" s="6" t="n">
        <f aca="false">(1-Thesis!H28)*(Thesis!H25+Thesis!H27)</f>
        <v>15.26343050201</v>
      </c>
      <c r="I30" s="6" t="n">
        <f aca="false">(1-Thesis!I28)*(Thesis!I25+Thesis!I27)</f>
        <v>19.1433528317977</v>
      </c>
      <c r="J30" s="6" t="n">
        <f aca="false">(1-Thesis!J28)*(Thesis!J25+Thesis!J27)</f>
        <v>21.7578594710146</v>
      </c>
      <c r="K30" s="6" t="n">
        <f aca="false">(1-Thesis!K28)*(Thesis!K25+Thesis!K27)</f>
        <v>23.1609494366731</v>
      </c>
    </row>
    <row r="31" customFormat="false" ht="17.15" hidden="false" customHeight="false" outlineLevel="0" collapsed="false">
      <c r="A31" s="1" t="s">
        <v>831</v>
      </c>
      <c r="B31" s="0" t="s">
        <v>350</v>
      </c>
      <c r="C31" s="8" t="n">
        <f aca="false">cxit_open</f>
        <v>27.5918995</v>
      </c>
      <c r="D31" s="8" t="n">
        <f aca="false">cxit_open</f>
        <v>27.5918995</v>
      </c>
      <c r="E31" s="8" t="n">
        <f aca="false">cxit_open</f>
        <v>27.5918995</v>
      </c>
      <c r="F31" s="8" t="n">
        <f aca="false">(a_g3_27*tk_cxit_gb300+(1-a_g3_27)*tk_cxit_vr200)</f>
        <v>33.8419624</v>
      </c>
      <c r="G31" s="8" t="n">
        <f aca="false">(a_g3_28*tk_cxit_gb300+(1-a_g3_28)*tk_cxit_vr200)</f>
        <v>35.9816136</v>
      </c>
      <c r="H31" s="8" t="n">
        <f aca="false">(a_g3_29*tk_cxit_gb300+(1-a_g3_29)*tk_cxit_vr200)</f>
        <v>37.0514392</v>
      </c>
      <c r="I31" s="8" t="n">
        <f aca="false">(a_g3_29*tk_cxit_gb300+(1-a_g3_29)*tk_cxit_vr200)</f>
        <v>37.0514392</v>
      </c>
      <c r="J31" s="8" t="n">
        <f aca="false">(a_g3_29*tk_cxit_gb300+(1-a_g3_29)*tk_cxit_vr200)</f>
        <v>37.0514392</v>
      </c>
      <c r="K31" s="8" t="n">
        <f aca="false">(a_g3_29*tk_cxit_gb300+(1-a_g3_29)*tk_cxit_vr200)</f>
        <v>37.0514392</v>
      </c>
      <c r="L31" s="11" t="s">
        <v>832</v>
      </c>
    </row>
    <row r="32" customFormat="false" ht="17.15" hidden="false" customHeight="false" outlineLevel="0" collapsed="false">
      <c r="A32" s="0" t="s">
        <v>833</v>
      </c>
      <c r="B32" s="0" t="s">
        <v>392</v>
      </c>
      <c r="F32" s="29" t="n">
        <f aca="false">Thesis!C13*IF(Thesis!F6-Thesis!C6=life_it,1,0)+Thesis!D13*IF(Thesis!F6-Thesis!D6=life_it,1,0)+Thesis!E13*IF(Thesis!F6-Thesis!E6=life_it,1,0)</f>
        <v>0</v>
      </c>
      <c r="G32" s="29" t="n">
        <f aca="false">Thesis!C13*IF(Thesis!G6-Thesis!C6=life_it,1,0)+Thesis!D13*IF(Thesis!G6-Thesis!D6=life_it,1,0)+Thesis!E13*IF(Thesis!G6-Thesis!E6=life_it,1,0)+Thesis!F13*IF(Thesis!G6-Thesis!F6=life_it,1,0)</f>
        <v>0</v>
      </c>
      <c r="H32" s="29" t="n">
        <f aca="false">Thesis!C13*IF(Thesis!H6-Thesis!C6=life_it,1,0)+Thesis!D13*IF(Thesis!H6-Thesis!D6=life_it,1,0)+Thesis!E13*IF(Thesis!H6-Thesis!E6=life_it,1,0)+Thesis!F13*IF(Thesis!H6-Thesis!F6=life_it,1,0)+Thesis!G13*IF(Thesis!H6-Thesis!G6=life_it,1,0)</f>
        <v>0</v>
      </c>
      <c r="I32" s="29" t="n">
        <f aca="false">Thesis!C13*IF(Thesis!I6-Thesis!C6=life_it,1,0)+Thesis!D13*IF(Thesis!I6-Thesis!D6=life_it,1,0)+Thesis!E13*IF(Thesis!I6-Thesis!E6=life_it,1,0)+Thesis!F13*IF(Thesis!I6-Thesis!F6=life_it,1,0)+Thesis!G13*IF(Thesis!I6-Thesis!G6=life_it,1,0)+Thesis!H13*IF(Thesis!I6-Thesis!H6=life_it,1,0)</f>
        <v>816.666666666667</v>
      </c>
      <c r="J32" s="29" t="n">
        <f aca="false">Thesis!C13*IF(Thesis!J6-Thesis!C6=life_it,1,0)+Thesis!D13*IF(Thesis!J6-Thesis!D6=life_it,1,0)+Thesis!E13*IF(Thesis!J6-Thesis!E6=life_it,1,0)+Thesis!F13*IF(Thesis!J6-Thesis!F6=life_it,1,0)+Thesis!G13*IF(Thesis!J6-Thesis!G6=life_it,1,0)+Thesis!H13*IF(Thesis!J6-Thesis!H6=life_it,1,0)+Thesis!I13*IF(Thesis!J6-Thesis!I6=life_it,1,0)</f>
        <v>1233.33333333333</v>
      </c>
      <c r="K32" s="29" t="n">
        <f aca="false">Thesis!C13*IF(Thesis!K6-Thesis!C6=life_it,1,0)+Thesis!D13*IF(Thesis!K6-Thesis!D6=life_it,1,0)+Thesis!E13*IF(Thesis!K6-Thesis!E6=life_it,1,0)+Thesis!F13*IF(Thesis!K6-Thesis!F6=life_it,1,0)+Thesis!G13*IF(Thesis!K6-Thesis!G6=life_it,1,0)+Thesis!H13*IF(Thesis!K6-Thesis!H6=life_it,1,0)+Thesis!I13*IF(Thesis!K6-Thesis!I6=life_it,1,0)+Thesis!J13*IF(Thesis!K6-Thesis!J6=life_it,1,0)</f>
        <v>2450</v>
      </c>
      <c r="L32" s="1" t="s">
        <v>834</v>
      </c>
    </row>
    <row r="33" customFormat="false" ht="17.15" hidden="false" customHeight="false" outlineLevel="0" collapsed="false">
      <c r="A33" s="0" t="s">
        <v>835</v>
      </c>
      <c r="B33" s="0" t="s">
        <v>98</v>
      </c>
      <c r="C33" s="6" t="n">
        <f aca="false">Thesis!C13*Thesis!C31/1000</f>
        <v>22.5333845916667</v>
      </c>
      <c r="D33" s="6" t="n">
        <f aca="false">Thesis!D13*Thesis!D31/1000</f>
        <v>34.0300093833333</v>
      </c>
      <c r="E33" s="6" t="n">
        <f aca="false">Thesis!E13*Thesis!E31/1000</f>
        <v>67.600153775</v>
      </c>
      <c r="F33" s="6" t="n">
        <f aca="false">(Thesis!F13+Thesis!F32)*Thesis!F31/1000</f>
        <v>130.923271871467</v>
      </c>
      <c r="G33" s="6" t="n">
        <f aca="false">(Thesis!G13+Thesis!G32)*Thesis!G31/1000</f>
        <v>151.5545564832</v>
      </c>
      <c r="H33" s="6" t="n">
        <f aca="false">(Thesis!H13+Thesis!H32)*Thesis!H31/1000</f>
        <v>156.0606619104</v>
      </c>
      <c r="I33" s="6" t="n">
        <f aca="false">(Thesis!I13+Thesis!I32)*Thesis!I31/1000</f>
        <v>140.987889434245</v>
      </c>
      <c r="J33" s="6" t="n">
        <f aca="false">(Thesis!J13+Thesis!J32)*Thesis!J31/1000</f>
        <v>111.094541278091</v>
      </c>
      <c r="K33" s="6" t="n">
        <f aca="false">(Thesis!K13+Thesis!K32)*Thesis!K31/1000</f>
        <v>110.842344481936</v>
      </c>
    </row>
    <row r="34" customFormat="false" ht="17.15" hidden="false" customHeight="false" outlineLevel="0" collapsed="false">
      <c r="A34" s="0" t="s">
        <v>836</v>
      </c>
      <c r="B34" s="0" t="s">
        <v>98</v>
      </c>
      <c r="C34" s="6" t="n">
        <f aca="false">Thesis!C13*self_build*tk_cxfac/1000</f>
        <v>6.2083</v>
      </c>
      <c r="D34" s="6" t="n">
        <f aca="false">Thesis!D13*self_build*tk_cxfac/1000</f>
        <v>9.3758</v>
      </c>
      <c r="E34" s="6" t="n">
        <f aca="false">Thesis!E13*self_build*tk_cxfac/1000</f>
        <v>18.6249</v>
      </c>
      <c r="F34" s="6" t="n">
        <f aca="false">Thesis!F13*self_build*tk_cxfac/1000</f>
        <v>29.409604</v>
      </c>
      <c r="G34" s="6" t="n">
        <f aca="false">Thesis!G13*self_build*tk_cxfac/1000</f>
        <v>32.019624</v>
      </c>
      <c r="H34" s="6" t="n">
        <f aca="false">Thesis!H13*self_build*tk_cxfac/1000</f>
        <v>32.019624</v>
      </c>
      <c r="I34" s="6" t="n">
        <f aca="false">Thesis!I13*self_build*tk_cxfac/1000</f>
        <v>22.71877972</v>
      </c>
      <c r="J34" s="6" t="n">
        <f aca="false">Thesis!J13*self_build*tk_cxfac/1000</f>
        <v>13.41793544</v>
      </c>
      <c r="K34" s="6" t="n">
        <f aca="false">Thesis!K13*self_build*tk_cxfac/1000</f>
        <v>4.11709116000001</v>
      </c>
    </row>
    <row r="35" customFormat="false" ht="17.15" hidden="false" customHeight="false" outlineLevel="0" collapsed="false">
      <c r="A35" s="0" t="s">
        <v>837</v>
      </c>
      <c r="B35" s="0" t="s">
        <v>98</v>
      </c>
      <c r="F35" s="6" t="n">
        <f aca="false">MAX(0,capex_floor27-Thesis!F33-Thesis!F34-CF!F23)</f>
        <v>8.13777689897088</v>
      </c>
      <c r="L35" s="1" t="s">
        <v>838</v>
      </c>
    </row>
    <row r="36" customFormat="false" ht="17.15" hidden="false" customHeight="false" outlineLevel="0" collapsed="false">
      <c r="A36" s="0" t="s">
        <v>839</v>
      </c>
      <c r="B36" s="0" t="s">
        <v>98</v>
      </c>
      <c r="C36" s="6" t="n">
        <f aca="false">Thesis!C33</f>
        <v>22.5333845916667</v>
      </c>
      <c r="D36" s="6" t="n">
        <f aca="false">Thesis!D33</f>
        <v>34.0300093833333</v>
      </c>
      <c r="E36" s="6" t="n">
        <f aca="false">Thesis!E33</f>
        <v>67.600153775</v>
      </c>
      <c r="F36" s="6" t="n">
        <f aca="false">Thesis!F33+Thesis!F35</f>
        <v>139.061048770438</v>
      </c>
      <c r="G36" s="6" t="n">
        <f aca="false">Thesis!G33</f>
        <v>151.5545564832</v>
      </c>
      <c r="H36" s="6" t="n">
        <f aca="false">Thesis!H33</f>
        <v>156.0606619104</v>
      </c>
      <c r="I36" s="6" t="n">
        <f aca="false">Thesis!I33</f>
        <v>140.987889434245</v>
      </c>
      <c r="J36" s="6" t="n">
        <f aca="false">Thesis!J33</f>
        <v>111.094541278091</v>
      </c>
      <c r="K36" s="6" t="n">
        <f aca="false">Thesis!K33</f>
        <v>110.842344481936</v>
      </c>
    </row>
    <row r="37" customFormat="false" ht="17.15" hidden="false" customHeight="false" outlineLevel="0" collapsed="false">
      <c r="A37" s="0" t="s">
        <v>840</v>
      </c>
      <c r="B37" s="0" t="s">
        <v>98</v>
      </c>
      <c r="C37" s="6" t="n">
        <f aca="false">Thesis!C36+Thesis!C34</f>
        <v>28.7416845916667</v>
      </c>
      <c r="D37" s="6" t="n">
        <f aca="false">Thesis!D36+Thesis!D34</f>
        <v>43.4058093833333</v>
      </c>
      <c r="E37" s="6" t="n">
        <f aca="false">Thesis!E36+Thesis!E34</f>
        <v>86.225053775</v>
      </c>
      <c r="F37" s="6" t="n">
        <f aca="false">Thesis!F36+Thesis!F34</f>
        <v>168.470652770438</v>
      </c>
      <c r="G37" s="6" t="n">
        <f aca="false">Thesis!G36+Thesis!G34</f>
        <v>183.5741804832</v>
      </c>
      <c r="H37" s="6" t="n">
        <f aca="false">Thesis!H36+Thesis!H34</f>
        <v>188.0802859104</v>
      </c>
      <c r="I37" s="6" t="n">
        <f aca="false">Thesis!I36+Thesis!I34</f>
        <v>163.706669154245</v>
      </c>
      <c r="J37" s="6" t="n">
        <f aca="false">Thesis!J36+Thesis!J34</f>
        <v>124.51247671809</v>
      </c>
      <c r="K37" s="6" t="n">
        <f aca="false">Thesis!K36+Thesis!K34</f>
        <v>114.959435641936</v>
      </c>
      <c r="L37" s="11" t="s">
        <v>841</v>
      </c>
    </row>
    <row r="38" customFormat="false" ht="17.15" hidden="false" customHeight="false" outlineLevel="0" collapsed="false">
      <c r="A38" s="0" t="s">
        <v>842</v>
      </c>
      <c r="B38" s="0" t="s">
        <v>98</v>
      </c>
      <c r="E38" s="6" t="n">
        <f aca="false">(Thesis!C36*IF(2&lt;life_it,1,IF(2=life_it,0.5,0))+Thesis!D36*IF(1&lt;life_it,1,IF(1=life_it,0.5,0))+Thesis!E36*0.5)/life_it</f>
        <v>15.0605784770833</v>
      </c>
      <c r="F38" s="6" t="n">
        <f aca="false">(Thesis!C36*IF(3&lt;life_it,1,IF(3=life_it,0.5,0))+Thesis!D36*IF(2&lt;life_it,1,IF(2=life_it,0.5,0))+Thesis!E36*IF(1&lt;life_it,1,IF(1=life_it,0.5,0))+Thesis!F36*0.5)/life_it</f>
        <v>32.2823453558698</v>
      </c>
      <c r="G38" s="6" t="n">
        <f aca="false">(Thesis!C36*IF(4&lt;life_it,1,IF(4=life_it,0.5,0))+Thesis!D36*IF(3&lt;life_it,1,IF(3=life_it,0.5,0))+Thesis!E36*IF(2&lt;life_it,1,IF(2=life_it,0.5,0))+Thesis!F36*IF(1&lt;life_it,1,IF(1=life_it,0.5,0))+Thesis!G36*0.5)/life_it</f>
        <v>56.5003124603396</v>
      </c>
      <c r="H38" s="6" t="n">
        <f aca="false">(Thesis!C36*IF(5&lt;life_it,1,IF(5=life_it,0.5,0))+Thesis!D36*IF(4&lt;life_it,1,IF(4=life_it,0.5,0))+Thesis!E36*IF(3&lt;life_it,1,IF(3=life_it,0.5,0))+Thesis!F36*IF(2&lt;life_it,1,IF(2=life_it,0.5,0))+Thesis!G36*IF(1&lt;life_it,1,IF(1=life_it,0.5,0))+Thesis!H36*0.5)/life_it</f>
        <v>82.1349139931396</v>
      </c>
      <c r="I38" s="6" t="n">
        <f aca="false">(Thesis!C36*IF(6&lt;life_it,1,IF(6=life_it,0.5,0))+Thesis!D36*IF(5&lt;life_it,1,IF(5=life_it,0.5,0))+Thesis!E36*IF(4&lt;life_it,1,IF(4=life_it,0.5,0))+Thesis!F36*IF(3&lt;life_it,1,IF(3=life_it,0.5,0))+Thesis!G36*IF(2&lt;life_it,1,IF(2=life_it,0.5,0))+Thesis!H36*IF(1&lt;life_it,1,IF(1=life_it,0.5,0))+Thesis!I36*0.5)/life_it</f>
        <v>105.011177889221</v>
      </c>
      <c r="J38" s="6" t="n">
        <f aca="false">(Thesis!C36*IF(7&lt;life_it,1,IF(7=life_it,0.5,0))+Thesis!D36*IF(6&lt;life_it,1,IF(6=life_it,0.5,0))+Thesis!E36*IF(5&lt;life_it,1,IF(5=life_it,0.5,0))+Thesis!F36*IF(4&lt;life_it,1,IF(4=life_it,0.5,0))+Thesis!G36*IF(3&lt;life_it,1,IF(3=life_it,0.5,0))+Thesis!H36*IF(2&lt;life_it,1,IF(2=life_it,0.5,0))+Thesis!I36*IF(1&lt;life_it,1,IF(1=life_it,0.5,0))+Thesis!J36*0.5)/life_it</f>
        <v>121.304430950666</v>
      </c>
      <c r="K38" s="6" t="n">
        <f aca="false">(Thesis!C36*IF(8&lt;life_it,1,IF(8=life_it,0.5,0))+Thesis!D36*IF(7&lt;life_it,1,IF(7=life_it,0.5,0))+Thesis!E36*IF(6&lt;life_it,1,IF(6=life_it,0.5,0))+Thesis!F36*IF(5&lt;life_it,1,IF(5=life_it,0.5,0))+Thesis!G36*IF(4&lt;life_it,1,IF(4=life_it,0.5,0))+Thesis!H36*IF(3&lt;life_it,1,IF(3=life_it,0.5,0))+Thesis!I36*IF(2&lt;life_it,1,IF(2=life_it,0.5,0))+Thesis!J36*IF(1&lt;life_it,1,IF(1=life_it,0.5,0))+Thesis!K36*0.5)/life_it</f>
        <v>131.329991167474</v>
      </c>
    </row>
    <row r="39" customFormat="false" ht="17.15" hidden="false" customHeight="false" outlineLevel="0" collapsed="false">
      <c r="A39" s="0" t="s">
        <v>843</v>
      </c>
      <c r="B39" s="0" t="s">
        <v>98</v>
      </c>
      <c r="E39" s="6" t="n">
        <f aca="false">(Thesis!C34*IF(2&lt;life_fac,1,IF(2=life_fac,0.5,0))+Thesis!D34*IF(1&lt;life_fac,1,IF(1=life_fac,0.5,0))+Thesis!E34*0.5)/life_fac</f>
        <v>1.2448275</v>
      </c>
      <c r="F39" s="6" t="n">
        <f aca="false">(Thesis!C34*IF(3&lt;life_fac,1,IF(3=life_fac,0.5,0))+Thesis!D34*IF(2&lt;life_fac,1,IF(2=life_fac,0.5,0))+Thesis!E34*IF(1&lt;life_fac,1,IF(1=life_fac,0.5,0))+Thesis!F34*0.5)/life_fac</f>
        <v>2.4456901</v>
      </c>
      <c r="G39" s="6" t="n">
        <f aca="false">(Thesis!C34*IF(4&lt;life_fac,1,IF(4=life_fac,0.5,0))+Thesis!D34*IF(3&lt;life_fac,1,IF(3=life_fac,0.5,0))+Thesis!E34*IF(2&lt;life_fac,1,IF(2=life_fac,0.5,0))+Thesis!F34*IF(1&lt;life_fac,1,IF(1=life_fac,0.5,0))+Thesis!G34*0.5)/life_fac</f>
        <v>3.9814208</v>
      </c>
      <c r="H39" s="6" t="n">
        <f aca="false">(Thesis!C34*IF(5&lt;life_fac,1,IF(5=life_fac,0.5,0))+Thesis!D34*IF(4&lt;life_fac,1,IF(4=life_fac,0.5,0))+Thesis!E34*IF(3&lt;life_fac,1,IF(3=life_fac,0.5,0))+Thesis!F34*IF(2&lt;life_fac,1,IF(2=life_fac,0.5,0))+Thesis!G34*IF(1&lt;life_fac,1,IF(1=life_fac,0.5,0))+Thesis!H34*0.5)/life_fac</f>
        <v>5.582402</v>
      </c>
      <c r="I39" s="6" t="n">
        <f aca="false">(Thesis!C34*IF(6&lt;life_fac,1,IF(6=life_fac,0.5,0))+Thesis!D34*IF(5&lt;life_fac,1,IF(5=life_fac,0.5,0))+Thesis!E34*IF(4&lt;life_fac,1,IF(4=life_fac,0.5,0))+Thesis!F34*IF(3&lt;life_fac,1,IF(3=life_fac,0.5,0))+Thesis!G34*IF(2&lt;life_fac,1,IF(2=life_fac,0.5,0))+Thesis!H34*IF(1&lt;life_fac,1,IF(1=life_fac,0.5,0))+Thesis!I34*0.5)/life_fac</f>
        <v>6.950862093</v>
      </c>
      <c r="J39" s="6" t="n">
        <f aca="false">(Thesis!C34*IF(7&lt;life_fac,1,IF(7=life_fac,0.5,0))+Thesis!D34*IF(6&lt;life_fac,1,IF(6=life_fac,0.5,0))+Thesis!E34*IF(5&lt;life_fac,1,IF(5=life_fac,0.5,0))+Thesis!F34*IF(4&lt;life_fac,1,IF(4=life_fac,0.5,0))+Thesis!G34*IF(3&lt;life_fac,1,IF(3=life_fac,0.5,0))+Thesis!H34*IF(2&lt;life_fac,1,IF(2=life_fac,0.5,0))+Thesis!I34*IF(1&lt;life_fac,1,IF(1=life_fac,0.5,0))+Thesis!J34*0.5)/life_fac</f>
        <v>7.854279972</v>
      </c>
      <c r="K39" s="6" t="n">
        <f aca="false">(Thesis!C34*IF(8&lt;life_fac,1,IF(8=life_fac,0.5,0))+Thesis!D34*IF(7&lt;life_fac,1,IF(7=life_fac,0.5,0))+Thesis!E34*IF(6&lt;life_fac,1,IF(6=life_fac,0.5,0))+Thesis!F34*IF(5&lt;life_fac,1,IF(5=life_fac,0.5,0))+Thesis!G34*IF(4&lt;life_fac,1,IF(4=life_fac,0.5,0))+Thesis!H34*IF(3&lt;life_fac,1,IF(3=life_fac,0.5,0))+Thesis!I34*IF(2&lt;life_fac,1,IF(2=life_fac,0.5,0))+Thesis!J34*IF(1&lt;life_fac,1,IF(1=life_fac,0.5,0))+Thesis!K34*0.5)/life_fac</f>
        <v>8.292655637</v>
      </c>
    </row>
    <row r="40" customFormat="false" ht="17.15" hidden="false" customHeight="false" outlineLevel="0" collapsed="false">
      <c r="A40" s="0" t="s">
        <v>844</v>
      </c>
      <c r="B40" s="0" t="s">
        <v>98</v>
      </c>
      <c r="E40" s="6" t="n">
        <f aca="false">Thesis!E38+Thesis!E39</f>
        <v>16.3054059770833</v>
      </c>
      <c r="F40" s="6" t="n">
        <f aca="false">Thesis!F38+Thesis!F39</f>
        <v>34.7280354558698</v>
      </c>
      <c r="G40" s="6" t="n">
        <f aca="false">Thesis!G38+Thesis!G39</f>
        <v>60.4817332603396</v>
      </c>
      <c r="H40" s="6" t="n">
        <f aca="false">Thesis!H38+Thesis!H39</f>
        <v>87.7173159931396</v>
      </c>
      <c r="I40" s="6" t="n">
        <f aca="false">Thesis!I38+Thesis!I39</f>
        <v>111.962039982221</v>
      </c>
      <c r="J40" s="6" t="n">
        <f aca="false">Thesis!J38+Thesis!J39</f>
        <v>129.158710922666</v>
      </c>
      <c r="K40" s="6" t="n">
        <f aca="false">Thesis!K38+Thesis!K39</f>
        <v>139.622646804474</v>
      </c>
    </row>
    <row r="41" customFormat="false" ht="17.15" hidden="false" customHeight="false" outlineLevel="0" collapsed="false">
      <c r="A41" s="0" t="s">
        <v>845</v>
      </c>
      <c r="B41" s="0" t="s">
        <v>98</v>
      </c>
      <c r="E41" s="6" t="n">
        <f aca="false">Thesis!E29-Thesis!E28*Thesis!E40</f>
        <v>8.92707889977379</v>
      </c>
      <c r="F41" s="6" t="n">
        <f aca="false">Thesis!F29-Thesis!F28*Thesis!F40</f>
        <v>22.2910321312152</v>
      </c>
      <c r="G41" s="6" t="n">
        <f aca="false">Thesis!G29-Thesis!G28*Thesis!G40</f>
        <v>42.1822624237015</v>
      </c>
      <c r="H41" s="6" t="n">
        <f aca="false">Thesis!H29-Thesis!H28*Thesis!H40</f>
        <v>67.5392346653351</v>
      </c>
      <c r="I41" s="6" t="n">
        <f aca="false">Thesis!I29-Thesis!I28*Thesis!I40</f>
        <v>84.7556098462332</v>
      </c>
      <c r="J41" s="6" t="n">
        <f aca="false">Thesis!J29-Thesis!J28*Thesis!J40</f>
        <v>96.7161673654554</v>
      </c>
      <c r="K41" s="6" t="n">
        <f aca="false">Thesis!K29-Thesis!K28*Thesis!K40</f>
        <v>104.654352960045</v>
      </c>
    </row>
    <row r="42" customFormat="false" ht="17.15" hidden="false" customHeight="false" outlineLevel="0" collapsed="false">
      <c r="A42" s="0" t="s">
        <v>846</v>
      </c>
      <c r="B42" s="0" t="s">
        <v>98</v>
      </c>
      <c r="E42" s="6" t="n">
        <f aca="false">Seg!E11</f>
        <v>5.25</v>
      </c>
      <c r="F42" s="6" t="n">
        <f aca="false">Seg!F11</f>
        <v>13.5</v>
      </c>
      <c r="G42" s="6" t="n">
        <f aca="false">Seg!G11</f>
        <v>22.5</v>
      </c>
      <c r="H42" s="6" t="n">
        <f aca="false">Seg!H11</f>
        <v>31.5</v>
      </c>
      <c r="I42" s="6" t="n">
        <f aca="false">Seg!I11</f>
        <v>38.25</v>
      </c>
      <c r="J42" s="6" t="n">
        <f aca="false">Seg!J11</f>
        <v>42.75</v>
      </c>
      <c r="K42" s="6" t="n">
        <f aca="false">Seg!K11</f>
        <v>47.25</v>
      </c>
    </row>
    <row r="43" customFormat="false" ht="17.15" hidden="false" customHeight="false" outlineLevel="0" collapsed="false">
      <c r="A43" s="1" t="s">
        <v>847</v>
      </c>
      <c r="B43" s="0" t="s">
        <v>98</v>
      </c>
      <c r="F43" s="6" t="n">
        <f aca="false">MAX(0,(Thesis!E12+Thesis!F12)/2*Thesis!F20/1000-Thesis!F42*PL!F31)</f>
        <v>19.0793824397397</v>
      </c>
      <c r="G43" s="6" t="n">
        <f aca="false">MAX(0,(Thesis!F12+Thesis!G12)/2*Thesis!G20/1000-Thesis!G42*PL!G31)</f>
        <v>32.5666413649601</v>
      </c>
      <c r="H43" s="6" t="n">
        <f aca="false">MAX(0,(Thesis!G12+Thesis!H12)/2*Thesis!H20/1000-Thesis!H42*PL!H31)</f>
        <v>47.4063563831308</v>
      </c>
      <c r="I43" s="6" t="n">
        <f aca="false">MAX(0,(Thesis!H12+Thesis!I12)/2*Thesis!I20/1000-Thesis!I42*PL!I31)</f>
        <v>61.2525090726263</v>
      </c>
      <c r="J43" s="6" t="n">
        <f aca="false">MAX(0,(Thesis!I12+Thesis!J12)/2*Thesis!J20/1000-Thesis!J42*PL!J31)</f>
        <v>71.009613825577</v>
      </c>
      <c r="K43" s="6" t="n">
        <f aca="false">MAX(0,(Thesis!J12+Thesis!K12)/2*Thesis!K20/1000-Thesis!K42*PL!K31)</f>
        <v>76.0452576664312</v>
      </c>
      <c r="L43" s="1" t="s">
        <v>848</v>
      </c>
    </row>
    <row r="44" customFormat="false" ht="17.15" hidden="false" customHeight="false" outlineLevel="0" collapsed="false">
      <c r="A44" s="1" t="s">
        <v>849</v>
      </c>
      <c r="B44" s="0" t="s">
        <v>98</v>
      </c>
      <c r="F44" s="6" t="n">
        <f aca="false">IF(internal_ai_reading=2,1,0)*Thesis!F43</f>
        <v>19.0793824397397</v>
      </c>
      <c r="G44" s="6" t="n">
        <f aca="false">IF(internal_ai_reading=2,1,0)*Thesis!G43</f>
        <v>32.5666413649601</v>
      </c>
      <c r="H44" s="6" t="n">
        <f aca="false">IF(internal_ai_reading=2,1,0)*Thesis!H43</f>
        <v>47.4063563831308</v>
      </c>
      <c r="I44" s="6" t="n">
        <f aca="false">IF(internal_ai_reading=2,1,0)*Thesis!I43</f>
        <v>61.2525090726263</v>
      </c>
      <c r="J44" s="6" t="n">
        <f aca="false">IF(internal_ai_reading=2,1,0)*Thesis!J43</f>
        <v>71.009613825577</v>
      </c>
      <c r="K44" s="6" t="n">
        <f aca="false">IF(internal_ai_reading=2,1,0)*Thesis!K43</f>
        <v>76.0452576664312</v>
      </c>
    </row>
    <row r="45" customFormat="false" ht="17.15" hidden="false" customHeight="false" outlineLevel="0" collapsed="false">
      <c r="A45" s="0" t="s">
        <v>850</v>
      </c>
      <c r="B45" s="0" t="s">
        <v>98</v>
      </c>
      <c r="F45" s="6" t="n">
        <f aca="false">Thesis!F29+Thesis!F42*PL!F31+Thesis!F44-Thesis!F30-Thesis!F40</f>
        <v>28.6541940749543</v>
      </c>
      <c r="G45" s="6" t="n">
        <f aca="false">Thesis!G29+Thesis!G42*PL!G31+Thesis!G44-Thesis!G30-Thesis!G40</f>
        <v>52.6181197051223</v>
      </c>
      <c r="H45" s="6" t="n">
        <f aca="false">Thesis!H29+Thesis!H42*PL!H31+Thesis!H44-Thesis!H30-Thesis!H40</f>
        <v>82.5803907018664</v>
      </c>
      <c r="I45" s="6" t="n">
        <f aca="false">Thesis!I29+Thesis!I42*PL!I31+Thesis!I44-Thesis!I30-Thesis!I40</f>
        <v>103.919068765268</v>
      </c>
      <c r="J45" s="6" t="n">
        <f aca="false">Thesis!J29+Thesis!J42*PL!J31+Thesis!J44-Thesis!J30-Thesis!J40</f>
        <v>118.712864100999</v>
      </c>
      <c r="K45" s="6" t="n">
        <f aca="false">Thesis!K29+Thesis!K42*PL!K31+Thesis!K44-Thesis!K30-Thesis!K40</f>
        <v>128.667337297013</v>
      </c>
    </row>
    <row r="46" customFormat="false" ht="17.15" hidden="false" customHeight="false" outlineLevel="0" collapsed="false">
      <c r="A46" s="0" t="s">
        <v>851</v>
      </c>
      <c r="B46" s="0" t="s">
        <v>98</v>
      </c>
      <c r="E46" s="6" t="n">
        <f aca="false">Thesis!E11*(cxit_open+self_build*tk_cxfac)/1000*ai_net_open</f>
        <v>126.6980382</v>
      </c>
      <c r="F46" s="6" t="n">
        <f aca="false">Thesis!E46+Thesis!F37-Thesis!F40</f>
        <v>260.440655514568</v>
      </c>
      <c r="G46" s="6" t="n">
        <f aca="false">Thesis!F46+Thesis!G37-Thesis!G40</f>
        <v>383.533102737428</v>
      </c>
      <c r="H46" s="6" t="n">
        <f aca="false">Thesis!G46+Thesis!H37-Thesis!H40</f>
        <v>483.896072654688</v>
      </c>
      <c r="I46" s="6" t="n">
        <f aca="false">Thesis!H46+Thesis!I37-Thesis!I40</f>
        <v>535.640701826713</v>
      </c>
      <c r="J46" s="6" t="n">
        <f aca="false">Thesis!I46+Thesis!J37-Thesis!J40</f>
        <v>530.994467622137</v>
      </c>
      <c r="K46" s="6" t="n">
        <f aca="false">Thesis!J46+Thesis!K37-Thesis!K40</f>
        <v>506.3312564596</v>
      </c>
      <c r="L46" s="1" t="s">
        <v>852</v>
      </c>
    </row>
    <row r="47" customFormat="false" ht="17.15" hidden="false" customHeight="false" outlineLevel="0" collapsed="false">
      <c r="A47" s="0" t="s">
        <v>853</v>
      </c>
      <c r="B47" s="0" t="s">
        <v>129</v>
      </c>
      <c r="F47" s="7" t="n">
        <f aca="false">Thesis!F45*(1-tax_f)/((Thesis!E46+Thesis!F46)/2)</f>
        <v>0.118424511071293</v>
      </c>
      <c r="G47" s="7" t="n">
        <f aca="false">Thesis!G45*(1-tax_f)/((Thesis!F46+Thesis!G46)/2)</f>
        <v>0.130733574853607</v>
      </c>
      <c r="H47" s="7" t="n">
        <f aca="false">Thesis!H45*(1-tax_f)/((Thesis!G46+Thesis!H46)/2)</f>
        <v>0.152322090230892</v>
      </c>
      <c r="I47" s="7" t="n">
        <f aca="false">Thesis!I45*(1-tax_f)/((Thesis!H46+Thesis!I46)/2)</f>
        <v>0.163084367514849</v>
      </c>
      <c r="J47" s="7" t="n">
        <f aca="false">Thesis!J45*(1-tax_f)/((Thesis!I46+Thesis!J46)/2)</f>
        <v>0.178074554451213</v>
      </c>
      <c r="K47" s="7" t="n">
        <f aca="false">Thesis!K45*(1-tax_f)/((Thesis!J46+Thesis!K46)/2)</f>
        <v>0.198460073722224</v>
      </c>
    </row>
    <row r="48" customFormat="false" ht="17.15" hidden="false" customHeight="false" outlineLevel="0" collapsed="false">
      <c r="A48" s="1" t="s">
        <v>854</v>
      </c>
      <c r="B48" s="0" t="s">
        <v>129</v>
      </c>
      <c r="F48" s="7" t="n">
        <f aca="false">(Thesis!F45-Thesis!F44)*(1-tax_f)/((Thesis!E46+Thesis!F46)/2)</f>
        <v>0.0395716028004121</v>
      </c>
      <c r="G48" s="7" t="n">
        <f aca="false">(Thesis!G45-Thesis!G44)*(1-tax_f)/((Thesis!F46+Thesis!G46)/2)</f>
        <v>0.0498193675334598</v>
      </c>
      <c r="H48" s="7" t="n">
        <f aca="false">(Thesis!H45-Thesis!H44)*(1-tax_f)/((Thesis!G46+Thesis!H46)/2)</f>
        <v>0.0648795965209916</v>
      </c>
      <c r="I48" s="7" t="n">
        <f aca="false">(Thesis!I45-Thesis!I44)*(1-tax_f)/((Thesis!H46+Thesis!I46)/2)</f>
        <v>0.0669583454142216</v>
      </c>
      <c r="J48" s="7" t="n">
        <f aca="false">(Thesis!J45-Thesis!J44)*(1-tax_f)/((Thesis!I46+Thesis!J46)/2)</f>
        <v>0.0715569883938041</v>
      </c>
      <c r="K48" s="7" t="n">
        <f aca="false">(Thesis!K45-Thesis!K44)*(1-tax_f)/((Thesis!J46+Thesis!K46)/2)</f>
        <v>0.0811657567669619</v>
      </c>
    </row>
    <row r="49" customFormat="false" ht="17.15" hidden="false" customHeight="false" outlineLevel="0" collapsed="false">
      <c r="A49" s="1" t="s">
        <v>855</v>
      </c>
      <c r="B49" s="0" t="s">
        <v>129</v>
      </c>
      <c r="F49" s="7" t="n">
        <f aca="false">(Thesis!F45-Thesis!F44+Thesis!F43)*(1-tax_f)/((Thesis!E46+Thesis!F46)/2)</f>
        <v>0.118424511071293</v>
      </c>
      <c r="G49" s="7" t="n">
        <f aca="false">(Thesis!G45-Thesis!G44+Thesis!G43)*(1-tax_f)/((Thesis!F46+Thesis!G46)/2)</f>
        <v>0.130733574853607</v>
      </c>
      <c r="H49" s="7" t="n">
        <f aca="false">(Thesis!H45-Thesis!H44+Thesis!H43)*(1-tax_f)/((Thesis!G46+Thesis!H46)/2)</f>
        <v>0.152322090230892</v>
      </c>
      <c r="I49" s="7" t="n">
        <f aca="false">(Thesis!I45-Thesis!I44+Thesis!I43)*(1-tax_f)/((Thesis!H46+Thesis!I46)/2)</f>
        <v>0.163084367514849</v>
      </c>
      <c r="J49" s="7" t="n">
        <f aca="false">(Thesis!J45-Thesis!J44+Thesis!J43)*(1-tax_f)/((Thesis!I46+Thesis!J46)/2)</f>
        <v>0.178074554451213</v>
      </c>
      <c r="K49" s="7" t="n">
        <f aca="false">(Thesis!K45-Thesis!K44+Thesis!K43)*(1-tax_f)/((Thesis!J46+Thesis!K46)/2)</f>
        <v>0.198460073722224</v>
      </c>
    </row>
    <row r="50" customFormat="false" ht="17.15" hidden="false" customHeight="false" outlineLevel="0" collapsed="false">
      <c r="A50" s="1" t="s">
        <v>856</v>
      </c>
      <c r="B50" s="0" t="s">
        <v>129</v>
      </c>
      <c r="F50" s="7" t="n">
        <f aca="false">Thesis!F41*(1-tax_f)/(Thesis!F28*(Thesis!E46+Thesis!F46)/2)</f>
        <v>0.153543815988938</v>
      </c>
      <c r="G50" s="7" t="n">
        <f aca="false">Thesis!G41*(1-tax_f)/(Thesis!G28*(Thesis!F46+Thesis!G46)/2)</f>
        <v>0.17467487096866</v>
      </c>
      <c r="H50" s="7" t="n">
        <f aca="false">Thesis!H41*(1-tax_f)/(Thesis!H28*(Thesis!G46+Thesis!H46)/2)</f>
        <v>0.207630352867497</v>
      </c>
      <c r="I50" s="7" t="n">
        <f aca="false">Thesis!I41*(1-tax_f)/(Thesis!I28*(Thesis!H46+Thesis!I46)/2)</f>
        <v>0.221683969864569</v>
      </c>
      <c r="J50" s="7" t="n">
        <f aca="false">Thesis!J41*(1-tax_f)/(Thesis!J28*(Thesis!I46+Thesis!J46)/2)</f>
        <v>0.241797558367104</v>
      </c>
      <c r="K50" s="7" t="n">
        <f aca="false">Thesis!K41*(1-tax_f)/(Thesis!K28*(Thesis!J46+Thesis!K46)/2)</f>
        <v>0.269036299863445</v>
      </c>
    </row>
    <row r="51" customFormat="false" ht="17.15" hidden="false" customHeight="false" outlineLevel="0" collapsed="false">
      <c r="A51" s="0" t="s">
        <v>857</v>
      </c>
      <c r="B51" s="0" t="s">
        <v>209</v>
      </c>
      <c r="F51" s="7" t="n">
        <f aca="false">Thesis!F47-wacc</f>
        <v>0.0154900909784175</v>
      </c>
      <c r="G51" s="7" t="n">
        <f aca="false">Thesis!G47-wacc</f>
        <v>0.0277991547607309</v>
      </c>
      <c r="H51" s="7" t="n">
        <f aca="false">Thesis!H47-wacc</f>
        <v>0.0493876701380163</v>
      </c>
      <c r="I51" s="7" t="n">
        <f aca="false">Thesis!I47-wacc</f>
        <v>0.0601499474219737</v>
      </c>
      <c r="J51" s="7" t="n">
        <f aca="false">Thesis!J47-wacc</f>
        <v>0.075140134358337</v>
      </c>
      <c r="K51" s="7" t="n">
        <f aca="false">Thesis!K47-wacc</f>
        <v>0.0955256536293481</v>
      </c>
    </row>
    <row r="52" customFormat="false" ht="17.15" hidden="false" customHeight="false" outlineLevel="0" collapsed="false">
      <c r="A52" s="0" t="s">
        <v>858</v>
      </c>
      <c r="B52" s="0" t="s">
        <v>98</v>
      </c>
      <c r="F52" s="6" t="n">
        <f aca="false">Thesis!F45*(1-tax_f)-wacc*(Thesis!E46+Thesis!F46)/2</f>
        <v>2.99840679345218</v>
      </c>
      <c r="G52" s="6" t="n">
        <f aca="false">Thesis!G45*(1-tax_f)-wacc*(Thesis!F46+Thesis!G46)/2</f>
        <v>8.95096308374838</v>
      </c>
      <c r="H52" s="6" t="n">
        <f aca="false">Thesis!H45*(1-tax_f)-wacc*(Thesis!G46+Thesis!H46)/2</f>
        <v>21.4201529911787</v>
      </c>
      <c r="I52" s="6" t="n">
        <f aca="false">Thesis!I45*(1-tax_f)-wacc*(Thesis!H46+Thesis!I46)/2</f>
        <v>30.6625416899125</v>
      </c>
      <c r="J52" s="6" t="n">
        <f aca="false">Thesis!J45*(1-tax_f)-wacc*(Thesis!I46+Thesis!J46)/2</f>
        <v>40.0735549718571</v>
      </c>
      <c r="K52" s="6" t="n">
        <f aca="false">Thesis!K45*(1-tax_f)-wacc*(Thesis!J46+Thesis!K46)/2</f>
        <v>49.5456089097224</v>
      </c>
    </row>
    <row r="53" customFormat="false" ht="17.15" hidden="false" customHeight="false" outlineLevel="0" collapsed="false">
      <c r="A53" s="3" t="s">
        <v>859</v>
      </c>
    </row>
    <row r="54" customFormat="false" ht="15" hidden="false" customHeight="false" outlineLevel="0" collapsed="false">
      <c r="A54" s="4" t="s">
        <v>43</v>
      </c>
      <c r="B54" s="4" t="s">
        <v>65</v>
      </c>
      <c r="C54" s="20" t="s">
        <v>788</v>
      </c>
      <c r="D54" s="20" t="s">
        <v>789</v>
      </c>
      <c r="E54" s="20" t="s">
        <v>790</v>
      </c>
      <c r="F54" s="20" t="s">
        <v>791</v>
      </c>
      <c r="G54" s="20" t="s">
        <v>792</v>
      </c>
      <c r="H54" s="20" t="s">
        <v>793</v>
      </c>
      <c r="I54" s="20" t="s">
        <v>794</v>
      </c>
      <c r="J54" s="20" t="s">
        <v>795</v>
      </c>
      <c r="K54" s="20" t="s">
        <v>796</v>
      </c>
      <c r="L54" s="4" t="s">
        <v>47</v>
      </c>
    </row>
    <row r="55" customFormat="false" ht="17.15" hidden="false" customHeight="false" outlineLevel="0" collapsed="false">
      <c r="A55" s="1" t="s">
        <v>797</v>
      </c>
      <c r="B55" s="1" t="s">
        <v>235</v>
      </c>
      <c r="C55" s="28" t="n">
        <v>2024</v>
      </c>
      <c r="D55" s="28" t="n">
        <v>2025</v>
      </c>
      <c r="E55" s="28" t="n">
        <v>2026</v>
      </c>
      <c r="F55" s="28" t="n">
        <v>2027</v>
      </c>
      <c r="G55" s="28" t="n">
        <v>2028</v>
      </c>
      <c r="H55" s="28" t="n">
        <v>2029</v>
      </c>
      <c r="I55" s="28" t="n">
        <v>2030</v>
      </c>
      <c r="J55" s="28" t="n">
        <v>2031</v>
      </c>
      <c r="K55" s="28" t="n">
        <v>2032</v>
      </c>
    </row>
    <row r="56" customFormat="false" ht="17.15" hidden="false" customHeight="false" outlineLevel="0" collapsed="false">
      <c r="A56" s="1" t="s">
        <v>798</v>
      </c>
      <c r="B56" s="0" t="s">
        <v>392</v>
      </c>
      <c r="F56" s="29" t="n">
        <f aca="false">pace</f>
        <v>2527.2</v>
      </c>
      <c r="G56" s="29" t="n">
        <f aca="false">pace</f>
        <v>2527.2</v>
      </c>
      <c r="H56" s="29" t="n">
        <f aca="false">pace</f>
        <v>2527.2</v>
      </c>
      <c r="I56" s="29" t="n">
        <f aca="false">pace+(g_tv*Thesis!H57-pace)*MIN(1,(Thesis!I55-pace_y0)/(pace_y1-pace_y0))</f>
        <v>1793.116</v>
      </c>
      <c r="J56" s="29" t="n">
        <f aca="false">pace+(g_tv*Thesis!H57-pace)*MIN(1,(Thesis!J55-pace_y0)/(pace_y1-pace_y0))</f>
        <v>1059.032</v>
      </c>
      <c r="K56" s="29" t="n">
        <f aca="false">pace+(g_tv*Thesis!H57-pace)*MIN(1,(Thesis!K55-pace_y0)/(pace_y1-pace_y0))</f>
        <v>324.948</v>
      </c>
      <c r="L56" s="11" t="s">
        <v>799</v>
      </c>
    </row>
    <row r="57" customFormat="false" ht="17.15" hidden="false" customHeight="false" outlineLevel="0" collapsed="false">
      <c r="A57" s="1" t="s">
        <v>800</v>
      </c>
      <c r="B57" s="0" t="s">
        <v>392</v>
      </c>
      <c r="C57" s="29" t="n">
        <f aca="false">mw_ext_24</f>
        <v>640</v>
      </c>
      <c r="D57" s="29" t="n">
        <f aca="false">mw_ext_25</f>
        <v>1630</v>
      </c>
      <c r="E57" s="29" t="n">
        <f aca="false">mw_ext_26</f>
        <v>3250</v>
      </c>
      <c r="F57" s="29" t="n">
        <f aca="false">Thesis!E57+Thesis!F56</f>
        <v>5777.2</v>
      </c>
      <c r="G57" s="29" t="n">
        <f aca="false">Thesis!F57+Thesis!G56</f>
        <v>8304.4</v>
      </c>
      <c r="H57" s="29" t="n">
        <f aca="false">Thesis!G57+Thesis!H56</f>
        <v>10831.6</v>
      </c>
      <c r="I57" s="29" t="n">
        <f aca="false">Thesis!H57+Thesis!I56</f>
        <v>12624.716</v>
      </c>
      <c r="J57" s="29" t="n">
        <f aca="false">Thesis!I57+Thesis!J56</f>
        <v>13683.748</v>
      </c>
      <c r="K57" s="29" t="n">
        <f aca="false">Thesis!J57+Thesis!K56</f>
        <v>14008.696</v>
      </c>
      <c r="L57" s="1" t="s">
        <v>801</v>
      </c>
    </row>
    <row r="58" customFormat="false" ht="17.15" hidden="false" customHeight="false" outlineLevel="0" collapsed="false">
      <c r="A58" s="1" t="s">
        <v>802</v>
      </c>
      <c r="B58" s="0" t="s">
        <v>392</v>
      </c>
      <c r="C58" s="29" t="n">
        <f aca="false">rent_ext_24</f>
        <v>150</v>
      </c>
      <c r="D58" s="29" t="n">
        <f aca="false">rent_ext_25</f>
        <v>400</v>
      </c>
      <c r="E58" s="29" t="n">
        <f aca="false">rent_ext_26</f>
        <v>550</v>
      </c>
      <c r="F58" s="29" t="n">
        <f aca="false">rent_ext_f</f>
        <v>756</v>
      </c>
      <c r="G58" s="29" t="n">
        <f aca="false">rent_ext_f</f>
        <v>756</v>
      </c>
      <c r="H58" s="29" t="n">
        <f aca="false">rent_ext_f</f>
        <v>756</v>
      </c>
      <c r="I58" s="29" t="n">
        <f aca="false">rent_ext_f</f>
        <v>756</v>
      </c>
      <c r="J58" s="29" t="n">
        <f aca="false">rent_ext_f</f>
        <v>756</v>
      </c>
      <c r="K58" s="29" t="n">
        <f aca="false">rent_ext_f</f>
        <v>756</v>
      </c>
      <c r="L58" s="1" t="s">
        <v>803</v>
      </c>
    </row>
    <row r="59" customFormat="false" ht="17.15" hidden="false" customHeight="false" outlineLevel="0" collapsed="false">
      <c r="A59" s="1" t="s">
        <v>804</v>
      </c>
      <c r="B59" s="0" t="s">
        <v>392</v>
      </c>
      <c r="C59" s="29" t="n">
        <f aca="false">Thesis!C57-Thesis!C58</f>
        <v>490</v>
      </c>
      <c r="D59" s="29" t="n">
        <f aca="false">Thesis!D57-Thesis!D58</f>
        <v>1230</v>
      </c>
      <c r="E59" s="29" t="n">
        <f aca="false">Thesis!E57-Thesis!E58</f>
        <v>2700</v>
      </c>
      <c r="F59" s="29" t="n">
        <f aca="false">Thesis!F57-Thesis!F58</f>
        <v>5021.2</v>
      </c>
      <c r="G59" s="29" t="n">
        <f aca="false">Thesis!G57-Thesis!G58</f>
        <v>7548.4</v>
      </c>
      <c r="H59" s="29" t="n">
        <f aca="false">Thesis!H57-Thesis!H58</f>
        <v>10075.6</v>
      </c>
      <c r="I59" s="29" t="n">
        <f aca="false">Thesis!I57-Thesis!I58</f>
        <v>11868.716</v>
      </c>
      <c r="J59" s="29" t="n">
        <f aca="false">Thesis!J57-Thesis!J58</f>
        <v>12927.748</v>
      </c>
      <c r="K59" s="29" t="n">
        <f aca="false">Thesis!K57-Thesis!K58</f>
        <v>13252.696</v>
      </c>
    </row>
    <row r="60" customFormat="false" ht="17.15" hidden="false" customHeight="false" outlineLevel="0" collapsed="false">
      <c r="A60" s="1" t="s">
        <v>805</v>
      </c>
      <c r="B60" s="0" t="s">
        <v>392</v>
      </c>
      <c r="C60" s="29" t="n">
        <f aca="false">Thesis!C59/ext_sh</f>
        <v>816.666666666667</v>
      </c>
      <c r="D60" s="29" t="n">
        <f aca="false">Thesis!D59/ext_sh</f>
        <v>2050</v>
      </c>
      <c r="E60" s="29" t="n">
        <f aca="false">Thesis!E59/ext_sh</f>
        <v>4500</v>
      </c>
      <c r="F60" s="29" t="n">
        <f aca="false">Thesis!F59/ext_sh</f>
        <v>8368.66666666667</v>
      </c>
      <c r="G60" s="29" t="n">
        <f aca="false">Thesis!G59/ext_sh</f>
        <v>12580.6666666667</v>
      </c>
      <c r="H60" s="29" t="n">
        <f aca="false">Thesis!H59/ext_sh</f>
        <v>16792.6666666667</v>
      </c>
      <c r="I60" s="29" t="n">
        <f aca="false">Thesis!I59/ext_sh</f>
        <v>19781.1933333333</v>
      </c>
      <c r="J60" s="29" t="n">
        <f aca="false">Thesis!J59/ext_sh</f>
        <v>21546.2466666667</v>
      </c>
      <c r="K60" s="29" t="n">
        <f aca="false">Thesis!K59/ext_sh</f>
        <v>22087.8266666667</v>
      </c>
      <c r="L60" s="1" t="s">
        <v>806</v>
      </c>
    </row>
    <row r="61" customFormat="false" ht="17.15" hidden="false" customHeight="false" outlineLevel="0" collapsed="false">
      <c r="A61" s="1" t="s">
        <v>807</v>
      </c>
      <c r="B61" s="0" t="s">
        <v>392</v>
      </c>
      <c r="C61" s="29" t="n">
        <f aca="false">Thesis!C60-Thesis!C59</f>
        <v>326.666666666667</v>
      </c>
      <c r="D61" s="29" t="n">
        <f aca="false">Thesis!D60-Thesis!D59</f>
        <v>820</v>
      </c>
      <c r="E61" s="29" t="n">
        <f aca="false">Thesis!E60-Thesis!E59</f>
        <v>1800</v>
      </c>
      <c r="F61" s="29" t="n">
        <f aca="false">Thesis!F60-Thesis!F59</f>
        <v>3347.46666666667</v>
      </c>
      <c r="G61" s="29" t="n">
        <f aca="false">Thesis!G60-Thesis!G59</f>
        <v>5032.26666666667</v>
      </c>
      <c r="H61" s="29" t="n">
        <f aca="false">Thesis!H60-Thesis!H59</f>
        <v>6717.06666666667</v>
      </c>
      <c r="I61" s="29" t="n">
        <f aca="false">Thesis!I60-Thesis!I59</f>
        <v>7912.47733333333</v>
      </c>
      <c r="J61" s="29" t="n">
        <f aca="false">Thesis!J60-Thesis!J59</f>
        <v>8618.49866666667</v>
      </c>
      <c r="K61" s="29" t="n">
        <f aca="false">Thesis!K60-Thesis!K59</f>
        <v>8835.13066666667</v>
      </c>
    </row>
    <row r="62" customFormat="false" ht="17.15" hidden="false" customHeight="false" outlineLevel="0" collapsed="false">
      <c r="A62" s="1" t="s">
        <v>808</v>
      </c>
      <c r="B62" s="0" t="s">
        <v>392</v>
      </c>
      <c r="C62" s="29" t="n">
        <f aca="false">Thesis!C60</f>
        <v>816.666666666667</v>
      </c>
      <c r="D62" s="29" t="n">
        <f aca="false">Thesis!D60-Thesis!C60</f>
        <v>1233.33333333333</v>
      </c>
      <c r="E62" s="29" t="n">
        <f aca="false">Thesis!E60-Thesis!D60</f>
        <v>2450</v>
      </c>
      <c r="F62" s="29" t="n">
        <f aca="false">Thesis!F60-Thesis!E60</f>
        <v>3868.66666666667</v>
      </c>
      <c r="G62" s="29" t="n">
        <f aca="false">Thesis!G60-Thesis!F60</f>
        <v>4212</v>
      </c>
      <c r="H62" s="29" t="n">
        <f aca="false">Thesis!H60-Thesis!G60</f>
        <v>4212</v>
      </c>
      <c r="I62" s="29" t="n">
        <f aca="false">Thesis!I60-Thesis!H60</f>
        <v>2988.52666666667</v>
      </c>
      <c r="J62" s="29" t="n">
        <f aca="false">Thesis!J60-Thesis!I60</f>
        <v>1765.05333333333</v>
      </c>
      <c r="K62" s="29" t="n">
        <f aca="false">Thesis!K60-Thesis!J60</f>
        <v>541.580000000002</v>
      </c>
    </row>
    <row r="63" customFormat="false" ht="17.15" hidden="false" customHeight="false" outlineLevel="0" collapsed="false">
      <c r="A63" s="1" t="s">
        <v>809</v>
      </c>
      <c r="B63" s="0" t="s">
        <v>392</v>
      </c>
      <c r="D63" s="29" t="n">
        <f aca="false">Thesis!D57-Thesis!C57</f>
        <v>990</v>
      </c>
      <c r="E63" s="29" t="n">
        <f aca="false">Thesis!E57-Thesis!D57</f>
        <v>1620</v>
      </c>
      <c r="F63" s="29" t="n">
        <f aca="false">Thesis!F57-Thesis!E57</f>
        <v>2527.2</v>
      </c>
      <c r="G63" s="29" t="n">
        <f aca="false">Thesis!G57-Thesis!F57</f>
        <v>2527.2</v>
      </c>
      <c r="H63" s="29" t="n">
        <f aca="false">Thesis!H57-Thesis!G57</f>
        <v>2527.2</v>
      </c>
      <c r="I63" s="29" t="n">
        <f aca="false">Thesis!I57-Thesis!H57</f>
        <v>1793.116</v>
      </c>
      <c r="J63" s="29" t="n">
        <f aca="false">Thesis!J57-Thesis!I57</f>
        <v>1059.032</v>
      </c>
      <c r="K63" s="29" t="n">
        <f aca="false">Thesis!K57-Thesis!J57</f>
        <v>324.948</v>
      </c>
    </row>
    <row r="64" customFormat="false" ht="17.15" hidden="false" customHeight="false" outlineLevel="0" collapsed="false">
      <c r="A64" s="1" t="s">
        <v>810</v>
      </c>
      <c r="B64" s="0" t="s">
        <v>392</v>
      </c>
      <c r="F64" s="29" t="n">
        <f aca="false">Thesis!F81*ext_sh</f>
        <v>0</v>
      </c>
      <c r="G64" s="29" t="n">
        <f aca="false">Thesis!G81*ext_sh</f>
        <v>0</v>
      </c>
      <c r="H64" s="29" t="n">
        <f aca="false">Thesis!H81*ext_sh</f>
        <v>0</v>
      </c>
      <c r="I64" s="29" t="n">
        <f aca="false">Thesis!I81*ext_sh</f>
        <v>490</v>
      </c>
      <c r="J64" s="29" t="n">
        <f aca="false">Thesis!J81*ext_sh</f>
        <v>740</v>
      </c>
      <c r="K64" s="29" t="n">
        <f aca="false">Thesis!K81*ext_sh</f>
        <v>1470</v>
      </c>
      <c r="L64" s="1" t="s">
        <v>811</v>
      </c>
    </row>
    <row r="65" customFormat="false" ht="17.15" hidden="false" customHeight="false" outlineLevel="0" collapsed="false">
      <c r="A65" s="1" t="s">
        <v>812</v>
      </c>
      <c r="B65" s="0" t="s">
        <v>392</v>
      </c>
      <c r="C65" s="29" t="n">
        <f aca="false">mix_h*Thesis!C57</f>
        <v>128</v>
      </c>
      <c r="D65" s="29" t="n">
        <f aca="false">mix_h*Thesis!D57</f>
        <v>326</v>
      </c>
      <c r="E65" s="29" t="n">
        <f aca="false">mix_h*Thesis!E57</f>
        <v>650</v>
      </c>
      <c r="F65" s="29" t="n">
        <f aca="false">Thesis!E65-Thesis!F64*mix_h</f>
        <v>650</v>
      </c>
      <c r="G65" s="29" t="n">
        <f aca="false">Thesis!F65-Thesis!G64*mix_h</f>
        <v>650</v>
      </c>
      <c r="H65" s="29" t="n">
        <f aca="false">Thesis!G65-Thesis!H64*mix_h</f>
        <v>650</v>
      </c>
      <c r="I65" s="29" t="n">
        <f aca="false">Thesis!H65-Thesis!I64*mix_h</f>
        <v>552</v>
      </c>
      <c r="J65" s="29" t="n">
        <f aca="false">Thesis!I65-Thesis!J64*mix_h</f>
        <v>404</v>
      </c>
      <c r="K65" s="29" t="n">
        <f aca="false">Thesis!J65-Thesis!K64*mix_h</f>
        <v>110</v>
      </c>
    </row>
    <row r="66" customFormat="false" ht="17.15" hidden="false" customHeight="false" outlineLevel="0" collapsed="false">
      <c r="A66" s="1" t="s">
        <v>813</v>
      </c>
      <c r="B66" s="0" t="s">
        <v>392</v>
      </c>
      <c r="C66" s="29" t="n">
        <f aca="false">mix_g2*Thesis!C57</f>
        <v>288</v>
      </c>
      <c r="D66" s="29" t="n">
        <f aca="false">mix_g2*Thesis!D57</f>
        <v>733.5</v>
      </c>
      <c r="E66" s="29" t="n">
        <f aca="false">mix_g2*Thesis!E57</f>
        <v>1462.5</v>
      </c>
      <c r="F66" s="29" t="n">
        <f aca="false">Thesis!E66-Thesis!F64*mix_g2</f>
        <v>1462.5</v>
      </c>
      <c r="G66" s="29" t="n">
        <f aca="false">Thesis!F66-Thesis!G64*mix_g2</f>
        <v>1462.5</v>
      </c>
      <c r="H66" s="29" t="n">
        <f aca="false">Thesis!G66-Thesis!H64*mix_g2</f>
        <v>1462.5</v>
      </c>
      <c r="I66" s="29" t="n">
        <f aca="false">Thesis!H66-Thesis!I64*mix_g2</f>
        <v>1242</v>
      </c>
      <c r="J66" s="29" t="n">
        <f aca="false">Thesis!I66-Thesis!J64*mix_g2</f>
        <v>909</v>
      </c>
      <c r="K66" s="29" t="n">
        <f aca="false">Thesis!J66-Thesis!K64*mix_g2</f>
        <v>247.5</v>
      </c>
    </row>
    <row r="67" customFormat="false" ht="17.15" hidden="false" customHeight="false" outlineLevel="0" collapsed="false">
      <c r="A67" s="1" t="s">
        <v>814</v>
      </c>
      <c r="B67" s="0" t="s">
        <v>392</v>
      </c>
      <c r="C67" s="29" t="n">
        <f aca="false">mix_g3*Thesis!C57</f>
        <v>224</v>
      </c>
      <c r="D67" s="29" t="n">
        <f aca="false">mix_g3*Thesis!D57</f>
        <v>570.5</v>
      </c>
      <c r="E67" s="29" t="n">
        <f aca="false">mix_g3*Thesis!E57</f>
        <v>1137.5</v>
      </c>
      <c r="F67" s="29" t="n">
        <f aca="false">Thesis!E67+(Thesis!F63+Thesis!F64)*a_g3_27-Thesis!F64*mix_g3</f>
        <v>2906.54</v>
      </c>
      <c r="G67" s="29" t="n">
        <f aca="false">Thesis!F67+(Thesis!G63+Thesis!G64)*a_g3_28-Thesis!G64*mix_g3</f>
        <v>3664.7</v>
      </c>
      <c r="H67" s="29" t="n">
        <f aca="false">Thesis!G67+(Thesis!H63+Thesis!H64)*a_g3_29-Thesis!H64*mix_g3</f>
        <v>3917.42</v>
      </c>
      <c r="I67" s="29" t="n">
        <f aca="false">Thesis!H67+(Thesis!I63+Thesis!I64)*a_g3_29-Thesis!I64*mix_g3</f>
        <v>3974.2316</v>
      </c>
      <c r="J67" s="29" t="n">
        <f aca="false">Thesis!I67+(Thesis!J63+Thesis!J64)*a_g3_29-Thesis!J64*mix_g3</f>
        <v>3895.1348</v>
      </c>
      <c r="K67" s="29" t="n">
        <f aca="false">Thesis!J67+(Thesis!K63+Thesis!K64)*a_g3_29-Thesis!K64*mix_g3</f>
        <v>3560.1296</v>
      </c>
    </row>
    <row r="68" customFormat="false" ht="17.15" hidden="false" customHeight="false" outlineLevel="0" collapsed="false">
      <c r="A68" s="1" t="s">
        <v>815</v>
      </c>
      <c r="B68" s="0" t="s">
        <v>392</v>
      </c>
      <c r="C68" s="29" t="n">
        <v>0</v>
      </c>
      <c r="D68" s="29" t="n">
        <v>0</v>
      </c>
      <c r="E68" s="29" t="n">
        <v>0</v>
      </c>
      <c r="F68" s="29" t="n">
        <f aca="false">Thesis!E68+(Thesis!F63+Thesis!F64)*(1-a_g3_27)</f>
        <v>758.16</v>
      </c>
      <c r="G68" s="29" t="n">
        <f aca="false">Thesis!F68+(Thesis!G63+Thesis!G64)*(1-a_g3_28)</f>
        <v>2527.2</v>
      </c>
      <c r="H68" s="29" t="n">
        <f aca="false">Thesis!G68+(Thesis!H63+Thesis!H64)*(1-a_g3_29)</f>
        <v>4801.68</v>
      </c>
      <c r="I68" s="29" t="n">
        <f aca="false">Thesis!H68+(Thesis!I63+Thesis!I64)*(1-a_g3_29)</f>
        <v>6856.4844</v>
      </c>
      <c r="J68" s="29" t="n">
        <f aca="false">Thesis!I68+(Thesis!J63+Thesis!J64)*(1-a_g3_29)</f>
        <v>8475.6132</v>
      </c>
      <c r="K68" s="29" t="n">
        <f aca="false">Thesis!J68+(Thesis!K63+Thesis!K64)*(1-a_g3_29)</f>
        <v>10091.0664</v>
      </c>
    </row>
    <row r="69" customFormat="false" ht="17.15" hidden="false" customHeight="false" outlineLevel="0" collapsed="false">
      <c r="A69" s="1" t="s">
        <v>816</v>
      </c>
      <c r="B69" s="0" t="s">
        <v>339</v>
      </c>
      <c r="C69" s="14" t="n">
        <f aca="false">(Thesis!C65*tk_hold_h100+Thesis!C66*tk_hold_gb200+Thesis!C67*tk_hold_gb300+Thesis!C68*tk_hold_vr200)/Thesis!C57</f>
        <v>9.7235358126469</v>
      </c>
      <c r="D69" s="14" t="n">
        <f aca="false">(Thesis!D65*tk_hold_h100+Thesis!D66*tk_hold_gb200+Thesis!D67*tk_hold_gb300+Thesis!D68*tk_hold_vr200)/Thesis!D57</f>
        <v>9.7235358126469</v>
      </c>
      <c r="E69" s="14" t="n">
        <f aca="false">(Thesis!E65*tk_hold_h100+Thesis!E66*tk_hold_gb200+Thesis!E67*tk_hold_gb300+Thesis!E68*tk_hold_vr200)/Thesis!E57</f>
        <v>9.7235358126469</v>
      </c>
      <c r="F69" s="14" t="n">
        <f aca="false">(Thesis!F65*tk_hold_h100+Thesis!F66*tk_hold_gb200+Thesis!F67*tk_hold_gb300+Thesis!F68*tk_hold_vr200)/Thesis!F57</f>
        <v>10.4079573161931</v>
      </c>
      <c r="G69" s="14" t="n">
        <f aca="false">(Thesis!G65*tk_hold_h100+Thesis!G66*tk_hold_gb200+Thesis!G67*tk_hold_gb300+Thesis!G68*tk_hold_vr200)/Thesis!G57</f>
        <v>10.8388131109316</v>
      </c>
      <c r="H69" s="14" t="n">
        <f aca="false">(Thesis!H65*tk_hold_h100+Thesis!H66*tk_hold_gb200+Thesis!H67*tk_hold_gb300+Thesis!H68*tk_hold_vr200)/Thesis!H57</f>
        <v>11.1311018388216</v>
      </c>
      <c r="I69" s="14" t="n">
        <f aca="false">(Thesis!I65*tk_hold_h100+Thesis!I66*tk_hold_gb200+Thesis!I67*tk_hold_gb300+Thesis!I68*tk_hold_vr200)/Thesis!I57</f>
        <v>11.3594282560989</v>
      </c>
      <c r="J69" s="14" t="n">
        <f aca="false">(Thesis!J65*tk_hold_h100+Thesis!J66*tk_hold_gb200+Thesis!J67*tk_hold_gb300+Thesis!J68*tk_hold_vr200)/Thesis!J57</f>
        <v>11.5441508808221</v>
      </c>
      <c r="K69" s="14" t="n">
        <f aca="false">(Thesis!K65*tk_hold_h100+Thesis!K66*tk_hold_gb200+Thesis!K67*tk_hold_gb300+Thesis!K68*tk_hold_vr200)/Thesis!K57</f>
        <v>11.8053375063575</v>
      </c>
    </row>
    <row r="70" customFormat="false" ht="17.15" hidden="false" customHeight="false" outlineLevel="0" collapsed="false">
      <c r="A70" s="0" t="s">
        <v>817</v>
      </c>
      <c r="B70" s="0" t="s">
        <v>185</v>
      </c>
      <c r="C70" s="14" t="n">
        <f aca="false">k_B</f>
        <v>1.17213932619116</v>
      </c>
      <c r="D70" s="14" t="n">
        <f aca="false">k_B</f>
        <v>1.17213932619116</v>
      </c>
      <c r="E70" s="14" t="n">
        <f aca="false">k_B</f>
        <v>1.17213932619116</v>
      </c>
      <c r="F70" s="14" t="n">
        <f aca="false">(k_B+((ls_B*k_long+(1-ls_B)*k_spot)-k_B)*MIN(1,(Thesis!F55-base_fy)/k_ramp))</f>
        <v>1.17213932619116</v>
      </c>
      <c r="G70" s="14" t="n">
        <f aca="false">(k_B+((ls_B*k_long+(1-ls_B)*k_spot)-k_B)*MIN(1,(Thesis!G55-base_fy)/k_ramp))</f>
        <v>1.17213932619116</v>
      </c>
      <c r="H70" s="14" t="n">
        <f aca="false">(k_B+((ls_B*k_long+(1-ls_B)*k_spot)-k_B)*MIN(1,(Thesis!H55-base_fy)/k_ramp))</f>
        <v>1.17213932619116</v>
      </c>
      <c r="I70" s="14" t="n">
        <f aca="false">(k_B+((ls_B*k_long+(1-ls_B)*k_spot)-k_B)*MIN(1,(Thesis!I55-base_fy)/k_ramp))</f>
        <v>1.17213932619116</v>
      </c>
      <c r="J70" s="14" t="n">
        <f aca="false">(k_B+((ls_B*k_long+(1-ls_B)*k_spot)-k_B)*MIN(1,(Thesis!J55-base_fy)/k_ramp))</f>
        <v>1.17213932619116</v>
      </c>
      <c r="K70" s="14" t="n">
        <f aca="false">(k_B+((ls_B*k_long+(1-ls_B)*k_spot)-k_B)*MIN(1,(Thesis!K55-base_fy)/k_ramp))</f>
        <v>1.17213932619116</v>
      </c>
      <c r="L70" s="1" t="s">
        <v>818</v>
      </c>
    </row>
    <row r="71" customFormat="false" ht="17.15" hidden="false" customHeight="false" outlineLevel="0" collapsed="false">
      <c r="A71" s="1" t="s">
        <v>819</v>
      </c>
      <c r="B71" s="0" t="s">
        <v>339</v>
      </c>
      <c r="C71" s="14" t="n">
        <f aca="false">Thesis!C69*Thesis!C70*chip_f</f>
        <v>11.3973387156315</v>
      </c>
      <c r="D71" s="14" t="n">
        <f aca="false">Thesis!D69*Thesis!D70*chip_f</f>
        <v>11.3973387156315</v>
      </c>
      <c r="E71" s="14" t="n">
        <f aca="false">Thesis!E69*Thesis!E70*chip_f</f>
        <v>11.3973387156315</v>
      </c>
      <c r="F71" s="14" t="n">
        <f aca="false">Thesis!F69*Thesis!F70*chip_f</f>
        <v>12.1995760756289</v>
      </c>
      <c r="G71" s="14" t="n">
        <f aca="false">Thesis!G69*Thesis!G70*chip_f</f>
        <v>12.7045990965592</v>
      </c>
      <c r="H71" s="14" t="n">
        <f aca="false">Thesis!H69*Thesis!H70*chip_f</f>
        <v>13.0472022091214</v>
      </c>
      <c r="I71" s="14" t="n">
        <f aca="false">Thesis!I69*Thesis!I70*chip_f</f>
        <v>13.3148325820205</v>
      </c>
      <c r="J71" s="14" t="n">
        <f aca="false">Thesis!J69*Thesis!J70*chip_f</f>
        <v>13.5313532348958</v>
      </c>
      <c r="K71" s="14" t="n">
        <f aca="false">Thesis!K69*Thesis!K70*chip_f</f>
        <v>13.8375003501611</v>
      </c>
      <c r="L71" s="1" t="s">
        <v>820</v>
      </c>
    </row>
    <row r="72" customFormat="false" ht="17.15" hidden="false" customHeight="false" outlineLevel="0" collapsed="false">
      <c r="A72" s="0" t="s">
        <v>821</v>
      </c>
      <c r="B72" s="0" t="s">
        <v>98</v>
      </c>
      <c r="D72" s="6" t="n">
        <f aca="false">(Thesis!C57+Thesis!D57)/2*Thesis!D71/1000</f>
        <v>12.9359794422418</v>
      </c>
      <c r="E72" s="6" t="n">
        <f aca="false">(Thesis!D57+Thesis!E57)/2*Thesis!E71/1000</f>
        <v>27.8095064661409</v>
      </c>
      <c r="F72" s="6" t="n">
        <f aca="false">(Thesis!E57+Thesis!F57)/2*Thesis!F71/1000</f>
        <v>55.0640065749585</v>
      </c>
      <c r="G72" s="6" t="n">
        <f aca="false">(Thesis!F57+Thesis!G57)/2*Thesis!G71/1000</f>
        <v>89.4505413190538</v>
      </c>
      <c r="H72" s="6" t="n">
        <f aca="false">(Thesis!G57+Thesis!H57)/2*Thesis!H71/1000</f>
        <v>124.835630736874</v>
      </c>
      <c r="I72" s="6" t="n">
        <f aca="false">(Thesis!H57+Thesis!I57)/2*Thesis!I71/1000</f>
        <v>156.158460265485</v>
      </c>
      <c r="J72" s="6" t="n">
        <f aca="false">(Thesis!I57+Thesis!J57)/2*Thesis!J71/1000</f>
        <v>177.99455972577</v>
      </c>
      <c r="K72" s="6" t="n">
        <f aca="false">(Thesis!J57+Thesis!K57)/2*Thesis!K71/1000</f>
        <v>191.597101773408</v>
      </c>
      <c r="L72" s="11" t="s">
        <v>822</v>
      </c>
    </row>
    <row r="73" customFormat="false" ht="17.15" hidden="false" customHeight="false" outlineLevel="0" collapsed="false">
      <c r="A73" s="1" t="s">
        <v>823</v>
      </c>
      <c r="B73" s="0" t="s">
        <v>339</v>
      </c>
      <c r="C73" s="14" t="n">
        <f aca="false">(Thesis!C65*tk_opex_h100+Thesis!C66*tk_opex_gb200+Thesis!C67*tk_opex_gb300+Thesis!C68*tk_opex_vr200)/Thesis!C57</f>
        <v>1.88636041306092</v>
      </c>
      <c r="D73" s="14" t="n">
        <f aca="false">(Thesis!D65*tk_opex_h100+Thesis!D66*tk_opex_gb200+Thesis!D67*tk_opex_gb300+Thesis!D68*tk_opex_vr200)/Thesis!D57</f>
        <v>1.88636041306092</v>
      </c>
      <c r="E73" s="14" t="n">
        <f aca="false">(Thesis!E65*tk_opex_h100+Thesis!E66*tk_opex_gb200+Thesis!E67*tk_opex_gb300+Thesis!E68*tk_opex_vr200)/Thesis!E57</f>
        <v>1.88636041306092</v>
      </c>
      <c r="F73" s="14" t="n">
        <f aca="false">(Thesis!F65*tk_opex_h100+Thesis!F66*tk_opex_gb200+Thesis!F67*tk_opex_gb300+Thesis!F68*tk_opex_vr200)/Thesis!F57</f>
        <v>1.9430236476499</v>
      </c>
      <c r="G73" s="14" t="n">
        <f aca="false">(Thesis!G65*tk_opex_h100+Thesis!G66*tk_opex_gb200+Thesis!G67*tk_opex_gb300+Thesis!G68*tk_opex_vr200)/Thesis!G57</f>
        <v>1.9786941852423</v>
      </c>
      <c r="H73" s="14" t="n">
        <f aca="false">(Thesis!H65*tk_opex_h100+Thesis!H66*tk_opex_gb200+Thesis!H67*tk_opex_gb300+Thesis!H68*tk_opex_vr200)/Thesis!H57</f>
        <v>2.00289275976156</v>
      </c>
      <c r="I73" s="14" t="n">
        <f aca="false">(Thesis!I65*tk_opex_h100+Thesis!I66*tk_opex_gb200+Thesis!I67*tk_opex_gb300+Thesis!I68*tk_opex_vr200)/Thesis!I57</f>
        <v>2.02179589661219</v>
      </c>
      <c r="J73" s="14" t="n">
        <f aca="false">(Thesis!J65*tk_opex_h100+Thesis!J66*tk_opex_gb200+Thesis!J67*tk_opex_gb300+Thesis!J68*tk_opex_vr200)/Thesis!J57</f>
        <v>2.03708907685909</v>
      </c>
      <c r="K73" s="14" t="n">
        <f aca="false">(Thesis!K65*tk_opex_h100+Thesis!K66*tk_opex_gb200+Thesis!K67*tk_opex_gb300+Thesis!K68*tk_opex_vr200)/Thesis!K57</f>
        <v>2.05871270931005</v>
      </c>
    </row>
    <row r="74" customFormat="false" ht="17.15" hidden="false" customHeight="false" outlineLevel="0" collapsed="false">
      <c r="A74" s="0" t="s">
        <v>824</v>
      </c>
      <c r="B74" s="0" t="s">
        <v>98</v>
      </c>
      <c r="D74" s="6" t="n">
        <f aca="false">(Thesis!C60+Thesis!D60)/2*Thesis!D73/1000</f>
        <v>2.70378325872065</v>
      </c>
      <c r="E74" s="6" t="n">
        <f aca="false">(Thesis!D60+Thesis!E60)/2*Thesis!E73/1000</f>
        <v>6.17783035277451</v>
      </c>
      <c r="F74" s="6" t="n">
        <f aca="false">(Thesis!E60+Thesis!F60)/2*Thesis!F73/1000</f>
        <v>12.5020618235287</v>
      </c>
      <c r="G74" s="6" t="n">
        <f aca="false">(Thesis!F60+Thesis!G60)/2*Thesis!G73/1000</f>
        <v>20.7261620256847</v>
      </c>
      <c r="H74" s="6" t="n">
        <f aca="false">(Thesis!G60+Thesis!H60)/2*Thesis!H73/1000</f>
        <v>29.4158183316982</v>
      </c>
      <c r="I74" s="6" t="n">
        <f aca="false">(Thesis!H60+Thesis!I60)/2*Thesis!I73/1000</f>
        <v>36.9724400356344</v>
      </c>
      <c r="J74" s="6" t="n">
        <f aca="false">(Thesis!I60+Thesis!J60)/2*Thesis!J73/1000</f>
        <v>42.0938382992747</v>
      </c>
      <c r="K74" s="6" t="n">
        <f aca="false">(Thesis!J60+Thesis!K60)/2*Thesis!K73/1000</f>
        <v>44.9150106651501</v>
      </c>
    </row>
    <row r="75" customFormat="false" ht="17.15" hidden="false" customHeight="false" outlineLevel="0" collapsed="false">
      <c r="A75" s="0" t="s">
        <v>825</v>
      </c>
      <c r="B75" s="0" t="s">
        <v>98</v>
      </c>
      <c r="D75" s="6" t="n">
        <f aca="false">(Thesis!C58+Thesis!D58)/2*rent_mw/1000</f>
        <v>2.44475</v>
      </c>
      <c r="E75" s="6" t="n">
        <f aca="false">(Thesis!D58+Thesis!E58)/2*rent_mw/1000</f>
        <v>4.22275</v>
      </c>
      <c r="F75" s="6" t="n">
        <f aca="false">(Thesis!E58+Thesis!F58)/2*rent_mw/1000</f>
        <v>5.80517</v>
      </c>
      <c r="G75" s="6" t="n">
        <f aca="false">(Thesis!F58+Thesis!G58)/2*rent_mw/1000</f>
        <v>6.72084</v>
      </c>
      <c r="H75" s="6" t="n">
        <f aca="false">(Thesis!G58+Thesis!H58)/2*rent_mw/1000</f>
        <v>6.72084</v>
      </c>
      <c r="I75" s="6" t="n">
        <f aca="false">(Thesis!H58+Thesis!I58)/2*rent_mw/1000</f>
        <v>6.72084</v>
      </c>
      <c r="J75" s="6" t="n">
        <f aca="false">(Thesis!I58+Thesis!J58)/2*rent_mw/1000</f>
        <v>6.72084</v>
      </c>
      <c r="K75" s="6" t="n">
        <f aca="false">(Thesis!J58+Thesis!K58)/2*rent_mw/1000</f>
        <v>6.72084</v>
      </c>
    </row>
    <row r="76" customFormat="false" ht="17.15" hidden="false" customHeight="false" outlineLevel="0" collapsed="false">
      <c r="A76" s="0" t="s">
        <v>826</v>
      </c>
      <c r="B76" s="0" t="s">
        <v>98</v>
      </c>
      <c r="D76" s="6" t="n">
        <f aca="false">(Thesis!C60+Thesis!D60)/2*(1-self_build)*fac_rent/1000</f>
        <v>0.853242375631075</v>
      </c>
      <c r="E76" s="6" t="n">
        <f aca="false">(Thesis!D60+Thesis!E60)/2*(1-self_build)*fac_rent/1000</f>
        <v>1.94955961408728</v>
      </c>
      <c r="F76" s="6" t="n">
        <f aca="false">(Thesis!E60+Thesis!F60)/2*(1-self_build)*fac_rent/1000</f>
        <v>3.83026455274573</v>
      </c>
      <c r="G76" s="6" t="n">
        <f aca="false">(Thesis!F60+Thesis!G60)/2*(1-self_build)*fac_rent/1000</f>
        <v>6.23541590972812</v>
      </c>
      <c r="H76" s="6" t="n">
        <f aca="false">(Thesis!G60+Thesis!H60)/2*(1-self_build)*fac_rent/1000</f>
        <v>8.74275792332679</v>
      </c>
      <c r="I76" s="6" t="n">
        <f aca="false">(Thesis!H60+Thesis!I60)/2*(1-self_build)*fac_rent/1000</f>
        <v>10.8859420438599</v>
      </c>
      <c r="J76" s="6" t="n">
        <f aca="false">(Thesis!I60+Thesis!J60)/2*(1-self_build)*fac_rent/1000</f>
        <v>12.3008103782619</v>
      </c>
      <c r="K76" s="6" t="n">
        <f aca="false">(Thesis!J60+Thesis!K60)/2*(1-self_build)*fac_rent/1000</f>
        <v>12.9873629265328</v>
      </c>
      <c r="L76" s="11" t="s">
        <v>827</v>
      </c>
    </row>
    <row r="77" customFormat="false" ht="17.15" hidden="false" customHeight="false" outlineLevel="0" collapsed="false">
      <c r="A77" s="1" t="s">
        <v>828</v>
      </c>
      <c r="B77" s="0" t="s">
        <v>129</v>
      </c>
      <c r="D77" s="7" t="n">
        <f aca="false">(Thesis!C59+Thesis!D59)/(Thesis!C60+Thesis!D60)</f>
        <v>0.6</v>
      </c>
      <c r="E77" s="7" t="n">
        <f aca="false">(Thesis!D59+Thesis!E59)/(Thesis!D60+Thesis!E60)</f>
        <v>0.6</v>
      </c>
      <c r="F77" s="7" t="n">
        <f aca="false">(Thesis!E59+Thesis!F59)/(Thesis!E60+Thesis!F60)</f>
        <v>0.6</v>
      </c>
      <c r="G77" s="7" t="n">
        <f aca="false">(Thesis!F59+Thesis!G59)/(Thesis!F60+Thesis!G60)</f>
        <v>0.6</v>
      </c>
      <c r="H77" s="7" t="n">
        <f aca="false">(Thesis!G59+Thesis!H59)/(Thesis!G60+Thesis!H60)</f>
        <v>0.6</v>
      </c>
      <c r="I77" s="7" t="n">
        <f aca="false">(Thesis!H59+Thesis!I59)/(Thesis!H60+Thesis!I60)</f>
        <v>0.6</v>
      </c>
      <c r="J77" s="7" t="n">
        <f aca="false">(Thesis!I59+Thesis!J59)/(Thesis!I60+Thesis!J60)</f>
        <v>0.6</v>
      </c>
      <c r="K77" s="7" t="n">
        <f aca="false">(Thesis!J59+Thesis!K59)/(Thesis!J60+Thesis!K60)</f>
        <v>0.6</v>
      </c>
    </row>
    <row r="78" customFormat="false" ht="17.15" hidden="false" customHeight="false" outlineLevel="0" collapsed="false">
      <c r="A78" s="0" t="s">
        <v>829</v>
      </c>
      <c r="B78" s="0" t="s">
        <v>98</v>
      </c>
      <c r="D78" s="6" t="n">
        <f aca="false">Thesis!D72-Thesis!D77*(Thesis!D74+Thesis!D76)-Thesis!D75</f>
        <v>8.35701406163072</v>
      </c>
      <c r="E78" s="6" t="n">
        <f aca="false">Thesis!E72-Thesis!E77*(Thesis!E74+Thesis!E76)-Thesis!E75</f>
        <v>18.7103224860238</v>
      </c>
      <c r="F78" s="6" t="n">
        <f aca="false">Thesis!F72-Thesis!F77*(Thesis!F74+Thesis!F76)-Thesis!F75</f>
        <v>39.4594407491938</v>
      </c>
      <c r="G78" s="6" t="n">
        <f aca="false">Thesis!G72-Thesis!G77*(Thesis!G74+Thesis!G76)-Thesis!G75</f>
        <v>66.5527545578061</v>
      </c>
      <c r="H78" s="6" t="n">
        <f aca="false">Thesis!H72-Thesis!H77*(Thesis!H74+Thesis!H76)-Thesis!H75</f>
        <v>95.219644983859</v>
      </c>
      <c r="I78" s="6" t="n">
        <f aca="false">Thesis!I72-Thesis!I77*(Thesis!I74+Thesis!I76)-Thesis!I75</f>
        <v>120.722591017788</v>
      </c>
      <c r="J78" s="6" t="n">
        <f aca="false">Thesis!J72-Thesis!J77*(Thesis!J74+Thesis!J76)-Thesis!J75</f>
        <v>138.636930519248</v>
      </c>
      <c r="K78" s="6" t="n">
        <f aca="false">Thesis!K72-Thesis!K77*(Thesis!K74+Thesis!K76)-Thesis!K75</f>
        <v>150.134837618398</v>
      </c>
    </row>
    <row r="79" customFormat="false" ht="17.15" hidden="false" customHeight="false" outlineLevel="0" collapsed="false">
      <c r="A79" s="1" t="s">
        <v>830</v>
      </c>
      <c r="B79" s="0" t="s">
        <v>98</v>
      </c>
      <c r="D79" s="6" t="n">
        <f aca="false">(1-Thesis!D77)*(Thesis!D74+Thesis!D76)</f>
        <v>1.42281025374069</v>
      </c>
      <c r="E79" s="6" t="n">
        <f aca="false">(1-Thesis!E77)*(Thesis!E74+Thesis!E76)</f>
        <v>3.25095598674472</v>
      </c>
      <c r="F79" s="6" t="n">
        <f aca="false">(1-Thesis!F77)*(Thesis!F74+Thesis!F76)</f>
        <v>6.53293055050977</v>
      </c>
      <c r="G79" s="6" t="n">
        <f aca="false">(1-Thesis!G77)*(Thesis!G74+Thesis!G76)</f>
        <v>10.7846311741651</v>
      </c>
      <c r="H79" s="6" t="n">
        <f aca="false">(1-Thesis!H77)*(Thesis!H74+Thesis!H76)</f>
        <v>15.26343050201</v>
      </c>
      <c r="I79" s="6" t="n">
        <f aca="false">(1-Thesis!I77)*(Thesis!I74+Thesis!I76)</f>
        <v>19.1433528317977</v>
      </c>
      <c r="J79" s="6" t="n">
        <f aca="false">(1-Thesis!J77)*(Thesis!J74+Thesis!J76)</f>
        <v>21.7578594710146</v>
      </c>
      <c r="K79" s="6" t="n">
        <f aca="false">(1-Thesis!K77)*(Thesis!K74+Thesis!K76)</f>
        <v>23.1609494366731</v>
      </c>
    </row>
    <row r="80" customFormat="false" ht="17.15" hidden="false" customHeight="false" outlineLevel="0" collapsed="false">
      <c r="A80" s="1" t="s">
        <v>831</v>
      </c>
      <c r="B80" s="0" t="s">
        <v>350</v>
      </c>
      <c r="C80" s="8" t="n">
        <f aca="false">cxit_open</f>
        <v>27.5918995</v>
      </c>
      <c r="D80" s="8" t="n">
        <f aca="false">cxit_open</f>
        <v>27.5918995</v>
      </c>
      <c r="E80" s="8" t="n">
        <f aca="false">cxit_open</f>
        <v>27.5918995</v>
      </c>
      <c r="F80" s="8" t="n">
        <f aca="false">(a_g3_27*tk_cxit_gb300+(1-a_g3_27)*tk_cxit_vr200)</f>
        <v>33.8419624</v>
      </c>
      <c r="G80" s="8" t="n">
        <f aca="false">(a_g3_28*tk_cxit_gb300+(1-a_g3_28)*tk_cxit_vr200)</f>
        <v>35.9816136</v>
      </c>
      <c r="H80" s="8" t="n">
        <f aca="false">(a_g3_29*tk_cxit_gb300+(1-a_g3_29)*tk_cxit_vr200)</f>
        <v>37.0514392</v>
      </c>
      <c r="I80" s="8" t="n">
        <f aca="false">(a_g3_29*tk_cxit_gb300+(1-a_g3_29)*tk_cxit_vr200)</f>
        <v>37.0514392</v>
      </c>
      <c r="J80" s="8" t="n">
        <f aca="false">(a_g3_29*tk_cxit_gb300+(1-a_g3_29)*tk_cxit_vr200)</f>
        <v>37.0514392</v>
      </c>
      <c r="K80" s="8" t="n">
        <f aca="false">(a_g3_29*tk_cxit_gb300+(1-a_g3_29)*tk_cxit_vr200)</f>
        <v>37.0514392</v>
      </c>
      <c r="L80" s="11" t="s">
        <v>832</v>
      </c>
    </row>
    <row r="81" customFormat="false" ht="17.15" hidden="false" customHeight="false" outlineLevel="0" collapsed="false">
      <c r="A81" s="0" t="s">
        <v>833</v>
      </c>
      <c r="B81" s="0" t="s">
        <v>392</v>
      </c>
      <c r="F81" s="29" t="n">
        <f aca="false">Thesis!C62*IF(Thesis!F55-Thesis!C55=life_it,1,0)+Thesis!D62*IF(Thesis!F55-Thesis!D55=life_it,1,0)+Thesis!E62*IF(Thesis!F55-Thesis!E55=life_it,1,0)</f>
        <v>0</v>
      </c>
      <c r="G81" s="29" t="n">
        <f aca="false">Thesis!C62*IF(Thesis!G55-Thesis!C55=life_it,1,0)+Thesis!D62*IF(Thesis!G55-Thesis!D55=life_it,1,0)+Thesis!E62*IF(Thesis!G55-Thesis!E55=life_it,1,0)+Thesis!F62*IF(Thesis!G55-Thesis!F55=life_it,1,0)</f>
        <v>0</v>
      </c>
      <c r="H81" s="29" t="n">
        <f aca="false">Thesis!C62*IF(Thesis!H55-Thesis!C55=life_it,1,0)+Thesis!D62*IF(Thesis!H55-Thesis!D55=life_it,1,0)+Thesis!E62*IF(Thesis!H55-Thesis!E55=life_it,1,0)+Thesis!F62*IF(Thesis!H55-Thesis!F55=life_it,1,0)+Thesis!G62*IF(Thesis!H55-Thesis!G55=life_it,1,0)</f>
        <v>0</v>
      </c>
      <c r="I81" s="29" t="n">
        <f aca="false">Thesis!C62*IF(Thesis!I55-Thesis!C55=life_it,1,0)+Thesis!D62*IF(Thesis!I55-Thesis!D55=life_it,1,0)+Thesis!E62*IF(Thesis!I55-Thesis!E55=life_it,1,0)+Thesis!F62*IF(Thesis!I55-Thesis!F55=life_it,1,0)+Thesis!G62*IF(Thesis!I55-Thesis!G55=life_it,1,0)+Thesis!H62*IF(Thesis!I55-Thesis!H55=life_it,1,0)</f>
        <v>816.666666666667</v>
      </c>
      <c r="J81" s="29" t="n">
        <f aca="false">Thesis!C62*IF(Thesis!J55-Thesis!C55=life_it,1,0)+Thesis!D62*IF(Thesis!J55-Thesis!D55=life_it,1,0)+Thesis!E62*IF(Thesis!J55-Thesis!E55=life_it,1,0)+Thesis!F62*IF(Thesis!J55-Thesis!F55=life_it,1,0)+Thesis!G62*IF(Thesis!J55-Thesis!G55=life_it,1,0)+Thesis!H62*IF(Thesis!J55-Thesis!H55=life_it,1,0)+Thesis!I62*IF(Thesis!J55-Thesis!I55=life_it,1,0)</f>
        <v>1233.33333333333</v>
      </c>
      <c r="K81" s="29" t="n">
        <f aca="false">Thesis!C62*IF(Thesis!K55-Thesis!C55=life_it,1,0)+Thesis!D62*IF(Thesis!K55-Thesis!D55=life_it,1,0)+Thesis!E62*IF(Thesis!K55-Thesis!E55=life_it,1,0)+Thesis!F62*IF(Thesis!K55-Thesis!F55=life_it,1,0)+Thesis!G62*IF(Thesis!K55-Thesis!G55=life_it,1,0)+Thesis!H62*IF(Thesis!K55-Thesis!H55=life_it,1,0)+Thesis!I62*IF(Thesis!K55-Thesis!I55=life_it,1,0)+Thesis!J62*IF(Thesis!K55-Thesis!J55=life_it,1,0)</f>
        <v>2450</v>
      </c>
      <c r="L81" s="1" t="s">
        <v>834</v>
      </c>
    </row>
    <row r="82" customFormat="false" ht="17.15" hidden="false" customHeight="false" outlineLevel="0" collapsed="false">
      <c r="A82" s="0" t="s">
        <v>835</v>
      </c>
      <c r="B82" s="0" t="s">
        <v>98</v>
      </c>
      <c r="C82" s="6" t="n">
        <f aca="false">Thesis!C62*Thesis!C80/1000</f>
        <v>22.5333845916667</v>
      </c>
      <c r="D82" s="6" t="n">
        <f aca="false">Thesis!D62*Thesis!D80/1000</f>
        <v>34.0300093833333</v>
      </c>
      <c r="E82" s="6" t="n">
        <f aca="false">Thesis!E62*Thesis!E80/1000</f>
        <v>67.600153775</v>
      </c>
      <c r="F82" s="6" t="n">
        <f aca="false">(Thesis!F62+Thesis!F81)*Thesis!F80/1000</f>
        <v>130.923271871467</v>
      </c>
      <c r="G82" s="6" t="n">
        <f aca="false">(Thesis!G62+Thesis!G81)*Thesis!G80/1000</f>
        <v>151.5545564832</v>
      </c>
      <c r="H82" s="6" t="n">
        <f aca="false">(Thesis!H62+Thesis!H81)*Thesis!H80/1000</f>
        <v>156.0606619104</v>
      </c>
      <c r="I82" s="6" t="n">
        <f aca="false">(Thesis!I62+Thesis!I81)*Thesis!I80/1000</f>
        <v>140.987889434245</v>
      </c>
      <c r="J82" s="6" t="n">
        <f aca="false">(Thesis!J62+Thesis!J81)*Thesis!J80/1000</f>
        <v>111.094541278091</v>
      </c>
      <c r="K82" s="6" t="n">
        <f aca="false">(Thesis!K62+Thesis!K81)*Thesis!K80/1000</f>
        <v>110.842344481936</v>
      </c>
    </row>
    <row r="83" customFormat="false" ht="17.15" hidden="false" customHeight="false" outlineLevel="0" collapsed="false">
      <c r="A83" s="0" t="s">
        <v>836</v>
      </c>
      <c r="B83" s="0" t="s">
        <v>98</v>
      </c>
      <c r="C83" s="6" t="n">
        <f aca="false">Thesis!C62*self_build*tk_cxfac/1000</f>
        <v>6.2083</v>
      </c>
      <c r="D83" s="6" t="n">
        <f aca="false">Thesis!D62*self_build*tk_cxfac/1000</f>
        <v>9.3758</v>
      </c>
      <c r="E83" s="6" t="n">
        <f aca="false">Thesis!E62*self_build*tk_cxfac/1000</f>
        <v>18.6249</v>
      </c>
      <c r="F83" s="6" t="n">
        <f aca="false">Thesis!F62*self_build*tk_cxfac/1000</f>
        <v>29.409604</v>
      </c>
      <c r="G83" s="6" t="n">
        <f aca="false">Thesis!G62*self_build*tk_cxfac/1000</f>
        <v>32.019624</v>
      </c>
      <c r="H83" s="6" t="n">
        <f aca="false">Thesis!H62*self_build*tk_cxfac/1000</f>
        <v>32.019624</v>
      </c>
      <c r="I83" s="6" t="n">
        <f aca="false">Thesis!I62*self_build*tk_cxfac/1000</f>
        <v>22.71877972</v>
      </c>
      <c r="J83" s="6" t="n">
        <f aca="false">Thesis!J62*self_build*tk_cxfac/1000</f>
        <v>13.41793544</v>
      </c>
      <c r="K83" s="6" t="n">
        <f aca="false">Thesis!K62*self_build*tk_cxfac/1000</f>
        <v>4.11709116000001</v>
      </c>
    </row>
    <row r="84" customFormat="false" ht="17.15" hidden="false" customHeight="false" outlineLevel="0" collapsed="false">
      <c r="A84" s="0" t="s">
        <v>837</v>
      </c>
      <c r="B84" s="0" t="s">
        <v>98</v>
      </c>
      <c r="F84" s="6" t="n">
        <f aca="false">MAX(0,capex_floor27-Thesis!F82-Thesis!F83-CF!F52)</f>
        <v>8.28777689897088</v>
      </c>
      <c r="L84" s="1" t="s">
        <v>838</v>
      </c>
    </row>
    <row r="85" customFormat="false" ht="17.15" hidden="false" customHeight="false" outlineLevel="0" collapsed="false">
      <c r="A85" s="0" t="s">
        <v>839</v>
      </c>
      <c r="B85" s="0" t="s">
        <v>98</v>
      </c>
      <c r="C85" s="6" t="n">
        <f aca="false">Thesis!C82</f>
        <v>22.5333845916667</v>
      </c>
      <c r="D85" s="6" t="n">
        <f aca="false">Thesis!D82</f>
        <v>34.0300093833333</v>
      </c>
      <c r="E85" s="6" t="n">
        <f aca="false">Thesis!E82</f>
        <v>67.600153775</v>
      </c>
      <c r="F85" s="6" t="n">
        <f aca="false">Thesis!F82+Thesis!F84</f>
        <v>139.211048770438</v>
      </c>
      <c r="G85" s="6" t="n">
        <f aca="false">Thesis!G82</f>
        <v>151.5545564832</v>
      </c>
      <c r="H85" s="6" t="n">
        <f aca="false">Thesis!H82</f>
        <v>156.0606619104</v>
      </c>
      <c r="I85" s="6" t="n">
        <f aca="false">Thesis!I82</f>
        <v>140.987889434245</v>
      </c>
      <c r="J85" s="6" t="n">
        <f aca="false">Thesis!J82</f>
        <v>111.094541278091</v>
      </c>
      <c r="K85" s="6" t="n">
        <f aca="false">Thesis!K82</f>
        <v>110.842344481936</v>
      </c>
    </row>
    <row r="86" customFormat="false" ht="17.15" hidden="false" customHeight="false" outlineLevel="0" collapsed="false">
      <c r="A86" s="0" t="s">
        <v>840</v>
      </c>
      <c r="B86" s="0" t="s">
        <v>98</v>
      </c>
      <c r="C86" s="6" t="n">
        <f aca="false">Thesis!C85+Thesis!C83</f>
        <v>28.7416845916667</v>
      </c>
      <c r="D86" s="6" t="n">
        <f aca="false">Thesis!D85+Thesis!D83</f>
        <v>43.4058093833333</v>
      </c>
      <c r="E86" s="6" t="n">
        <f aca="false">Thesis!E85+Thesis!E83</f>
        <v>86.225053775</v>
      </c>
      <c r="F86" s="6" t="n">
        <f aca="false">Thesis!F85+Thesis!F83</f>
        <v>168.620652770438</v>
      </c>
      <c r="G86" s="6" t="n">
        <f aca="false">Thesis!G85+Thesis!G83</f>
        <v>183.5741804832</v>
      </c>
      <c r="H86" s="6" t="n">
        <f aca="false">Thesis!H85+Thesis!H83</f>
        <v>188.0802859104</v>
      </c>
      <c r="I86" s="6" t="n">
        <f aca="false">Thesis!I85+Thesis!I83</f>
        <v>163.706669154245</v>
      </c>
      <c r="J86" s="6" t="n">
        <f aca="false">Thesis!J85+Thesis!J83</f>
        <v>124.51247671809</v>
      </c>
      <c r="K86" s="6" t="n">
        <f aca="false">Thesis!K85+Thesis!K83</f>
        <v>114.959435641936</v>
      </c>
      <c r="L86" s="11" t="s">
        <v>841</v>
      </c>
    </row>
    <row r="87" customFormat="false" ht="17.15" hidden="false" customHeight="false" outlineLevel="0" collapsed="false">
      <c r="A87" s="0" t="s">
        <v>842</v>
      </c>
      <c r="B87" s="0" t="s">
        <v>98</v>
      </c>
      <c r="E87" s="6" t="n">
        <f aca="false">(Thesis!C85*IF(2&lt;life_it,1,IF(2=life_it,0.5,0))+Thesis!D85*IF(1&lt;life_it,1,IF(1=life_it,0.5,0))+Thesis!E85*0.5)/life_it</f>
        <v>15.0605784770833</v>
      </c>
      <c r="F87" s="6" t="n">
        <f aca="false">(Thesis!C85*IF(3&lt;life_it,1,IF(3=life_it,0.5,0))+Thesis!D85*IF(2&lt;life_it,1,IF(2=life_it,0.5,0))+Thesis!E85*IF(1&lt;life_it,1,IF(1=life_it,0.5,0))+Thesis!F85*0.5)/life_it</f>
        <v>32.2948453558698</v>
      </c>
      <c r="G87" s="6" t="n">
        <f aca="false">(Thesis!C85*IF(4&lt;life_it,1,IF(4=life_it,0.5,0))+Thesis!D85*IF(3&lt;life_it,1,IF(3=life_it,0.5,0))+Thesis!E85*IF(2&lt;life_it,1,IF(2=life_it,0.5,0))+Thesis!F85*IF(1&lt;life_it,1,IF(1=life_it,0.5,0))+Thesis!G85*0.5)/life_it</f>
        <v>56.5253124603396</v>
      </c>
      <c r="H87" s="6" t="n">
        <f aca="false">(Thesis!C85*IF(5&lt;life_it,1,IF(5=life_it,0.5,0))+Thesis!D85*IF(4&lt;life_it,1,IF(4=life_it,0.5,0))+Thesis!E85*IF(3&lt;life_it,1,IF(3=life_it,0.5,0))+Thesis!F85*IF(2&lt;life_it,1,IF(2=life_it,0.5,0))+Thesis!G85*IF(1&lt;life_it,1,IF(1=life_it,0.5,0))+Thesis!H85*0.5)/life_it</f>
        <v>82.1599139931396</v>
      </c>
      <c r="I87" s="6" t="n">
        <f aca="false">(Thesis!C85*IF(6&lt;life_it,1,IF(6=life_it,0.5,0))+Thesis!D85*IF(5&lt;life_it,1,IF(5=life_it,0.5,0))+Thesis!E85*IF(4&lt;life_it,1,IF(4=life_it,0.5,0))+Thesis!F85*IF(3&lt;life_it,1,IF(3=life_it,0.5,0))+Thesis!G85*IF(2&lt;life_it,1,IF(2=life_it,0.5,0))+Thesis!H85*IF(1&lt;life_it,1,IF(1=life_it,0.5,0))+Thesis!I85*0.5)/life_it</f>
        <v>105.036177889221</v>
      </c>
      <c r="J87" s="6" t="n">
        <f aca="false">(Thesis!C85*IF(7&lt;life_it,1,IF(7=life_it,0.5,0))+Thesis!D85*IF(6&lt;life_it,1,IF(6=life_it,0.5,0))+Thesis!E85*IF(5&lt;life_it,1,IF(5=life_it,0.5,0))+Thesis!F85*IF(4&lt;life_it,1,IF(4=life_it,0.5,0))+Thesis!G85*IF(3&lt;life_it,1,IF(3=life_it,0.5,0))+Thesis!H85*IF(2&lt;life_it,1,IF(2=life_it,0.5,0))+Thesis!I85*IF(1&lt;life_it,1,IF(1=life_it,0.5,0))+Thesis!J85*0.5)/life_it</f>
        <v>121.329430950666</v>
      </c>
      <c r="K87" s="6" t="n">
        <f aca="false">(Thesis!C85*IF(8&lt;life_it,1,IF(8=life_it,0.5,0))+Thesis!D85*IF(7&lt;life_it,1,IF(7=life_it,0.5,0))+Thesis!E85*IF(6&lt;life_it,1,IF(6=life_it,0.5,0))+Thesis!F85*IF(5&lt;life_it,1,IF(5=life_it,0.5,0))+Thesis!G85*IF(4&lt;life_it,1,IF(4=life_it,0.5,0))+Thesis!H85*IF(3&lt;life_it,1,IF(3=life_it,0.5,0))+Thesis!I85*IF(2&lt;life_it,1,IF(2=life_it,0.5,0))+Thesis!J85*IF(1&lt;life_it,1,IF(1=life_it,0.5,0))+Thesis!K85*0.5)/life_it</f>
        <v>131.354991167474</v>
      </c>
    </row>
    <row r="88" customFormat="false" ht="17.15" hidden="false" customHeight="false" outlineLevel="0" collapsed="false">
      <c r="A88" s="0" t="s">
        <v>843</v>
      </c>
      <c r="B88" s="0" t="s">
        <v>98</v>
      </c>
      <c r="E88" s="6" t="n">
        <f aca="false">(Thesis!C83*IF(2&lt;life_fac,1,IF(2=life_fac,0.5,0))+Thesis!D83*IF(1&lt;life_fac,1,IF(1=life_fac,0.5,0))+Thesis!E83*0.5)/life_fac</f>
        <v>1.2448275</v>
      </c>
      <c r="F88" s="6" t="n">
        <f aca="false">(Thesis!C83*IF(3&lt;life_fac,1,IF(3=life_fac,0.5,0))+Thesis!D83*IF(2&lt;life_fac,1,IF(2=life_fac,0.5,0))+Thesis!E83*IF(1&lt;life_fac,1,IF(1=life_fac,0.5,0))+Thesis!F83*0.5)/life_fac</f>
        <v>2.4456901</v>
      </c>
      <c r="G88" s="6" t="n">
        <f aca="false">(Thesis!C83*IF(4&lt;life_fac,1,IF(4=life_fac,0.5,0))+Thesis!D83*IF(3&lt;life_fac,1,IF(3=life_fac,0.5,0))+Thesis!E83*IF(2&lt;life_fac,1,IF(2=life_fac,0.5,0))+Thesis!F83*IF(1&lt;life_fac,1,IF(1=life_fac,0.5,0))+Thesis!G83*0.5)/life_fac</f>
        <v>3.9814208</v>
      </c>
      <c r="H88" s="6" t="n">
        <f aca="false">(Thesis!C83*IF(5&lt;life_fac,1,IF(5=life_fac,0.5,0))+Thesis!D83*IF(4&lt;life_fac,1,IF(4=life_fac,0.5,0))+Thesis!E83*IF(3&lt;life_fac,1,IF(3=life_fac,0.5,0))+Thesis!F83*IF(2&lt;life_fac,1,IF(2=life_fac,0.5,0))+Thesis!G83*IF(1&lt;life_fac,1,IF(1=life_fac,0.5,0))+Thesis!H83*0.5)/life_fac</f>
        <v>5.582402</v>
      </c>
      <c r="I88" s="6" t="n">
        <f aca="false">(Thesis!C83*IF(6&lt;life_fac,1,IF(6=life_fac,0.5,0))+Thesis!D83*IF(5&lt;life_fac,1,IF(5=life_fac,0.5,0))+Thesis!E83*IF(4&lt;life_fac,1,IF(4=life_fac,0.5,0))+Thesis!F83*IF(3&lt;life_fac,1,IF(3=life_fac,0.5,0))+Thesis!G83*IF(2&lt;life_fac,1,IF(2=life_fac,0.5,0))+Thesis!H83*IF(1&lt;life_fac,1,IF(1=life_fac,0.5,0))+Thesis!I83*0.5)/life_fac</f>
        <v>6.950862093</v>
      </c>
      <c r="J88" s="6" t="n">
        <f aca="false">(Thesis!C83*IF(7&lt;life_fac,1,IF(7=life_fac,0.5,0))+Thesis!D83*IF(6&lt;life_fac,1,IF(6=life_fac,0.5,0))+Thesis!E83*IF(5&lt;life_fac,1,IF(5=life_fac,0.5,0))+Thesis!F83*IF(4&lt;life_fac,1,IF(4=life_fac,0.5,0))+Thesis!G83*IF(3&lt;life_fac,1,IF(3=life_fac,0.5,0))+Thesis!H83*IF(2&lt;life_fac,1,IF(2=life_fac,0.5,0))+Thesis!I83*IF(1&lt;life_fac,1,IF(1=life_fac,0.5,0))+Thesis!J83*0.5)/life_fac</f>
        <v>7.854279972</v>
      </c>
      <c r="K88" s="6" t="n">
        <f aca="false">(Thesis!C83*IF(8&lt;life_fac,1,IF(8=life_fac,0.5,0))+Thesis!D83*IF(7&lt;life_fac,1,IF(7=life_fac,0.5,0))+Thesis!E83*IF(6&lt;life_fac,1,IF(6=life_fac,0.5,0))+Thesis!F83*IF(5&lt;life_fac,1,IF(5=life_fac,0.5,0))+Thesis!G83*IF(4&lt;life_fac,1,IF(4=life_fac,0.5,0))+Thesis!H83*IF(3&lt;life_fac,1,IF(3=life_fac,0.5,0))+Thesis!I83*IF(2&lt;life_fac,1,IF(2=life_fac,0.5,0))+Thesis!J83*IF(1&lt;life_fac,1,IF(1=life_fac,0.5,0))+Thesis!K83*0.5)/life_fac</f>
        <v>8.292655637</v>
      </c>
    </row>
    <row r="89" customFormat="false" ht="17.15" hidden="false" customHeight="false" outlineLevel="0" collapsed="false">
      <c r="A89" s="0" t="s">
        <v>844</v>
      </c>
      <c r="B89" s="0" t="s">
        <v>98</v>
      </c>
      <c r="E89" s="6" t="n">
        <f aca="false">Thesis!E87+Thesis!E88</f>
        <v>16.3054059770833</v>
      </c>
      <c r="F89" s="6" t="n">
        <f aca="false">Thesis!F87+Thesis!F88</f>
        <v>34.7405354558698</v>
      </c>
      <c r="G89" s="6" t="n">
        <f aca="false">Thesis!G87+Thesis!G88</f>
        <v>60.5067332603396</v>
      </c>
      <c r="H89" s="6" t="n">
        <f aca="false">Thesis!H87+Thesis!H88</f>
        <v>87.7423159931396</v>
      </c>
      <c r="I89" s="6" t="n">
        <f aca="false">Thesis!I87+Thesis!I88</f>
        <v>111.987039982221</v>
      </c>
      <c r="J89" s="6" t="n">
        <f aca="false">Thesis!J87+Thesis!J88</f>
        <v>129.183710922666</v>
      </c>
      <c r="K89" s="6" t="n">
        <f aca="false">Thesis!K87+Thesis!K88</f>
        <v>139.647646804474</v>
      </c>
    </row>
    <row r="90" customFormat="false" ht="17.15" hidden="false" customHeight="false" outlineLevel="0" collapsed="false">
      <c r="A90" s="0" t="s">
        <v>845</v>
      </c>
      <c r="B90" s="0" t="s">
        <v>98</v>
      </c>
      <c r="E90" s="6" t="n">
        <f aca="false">Thesis!E78-Thesis!E77*Thesis!E89</f>
        <v>8.92707889977379</v>
      </c>
      <c r="F90" s="6" t="n">
        <f aca="false">Thesis!F78-Thesis!F77*Thesis!F89</f>
        <v>18.615119475672</v>
      </c>
      <c r="G90" s="6" t="n">
        <f aca="false">Thesis!G78-Thesis!G77*Thesis!G89</f>
        <v>30.2487146016024</v>
      </c>
      <c r="H90" s="6" t="n">
        <f aca="false">Thesis!H78-Thesis!H77*Thesis!H89</f>
        <v>42.5742553879752</v>
      </c>
      <c r="I90" s="6" t="n">
        <f aca="false">Thesis!I78-Thesis!I77*Thesis!I89</f>
        <v>53.5303670284555</v>
      </c>
      <c r="J90" s="6" t="n">
        <f aca="false">Thesis!J78-Thesis!J77*Thesis!J89</f>
        <v>61.1267039656484</v>
      </c>
      <c r="K90" s="6" t="n">
        <f aca="false">Thesis!K78-Thesis!K77*Thesis!K89</f>
        <v>66.3462495357137</v>
      </c>
    </row>
    <row r="91" customFormat="false" ht="17.15" hidden="false" customHeight="false" outlineLevel="0" collapsed="false">
      <c r="A91" s="0" t="s">
        <v>846</v>
      </c>
      <c r="B91" s="0" t="s">
        <v>98</v>
      </c>
      <c r="E91" s="6" t="n">
        <f aca="false">Seg!E38</f>
        <v>5.25</v>
      </c>
      <c r="F91" s="6" t="n">
        <f aca="false">Seg!F38</f>
        <v>12</v>
      </c>
      <c r="G91" s="6" t="n">
        <f aca="false">Seg!G38</f>
        <v>18</v>
      </c>
      <c r="H91" s="6" t="n">
        <f aca="false">Seg!H38</f>
        <v>24</v>
      </c>
      <c r="I91" s="6" t="n">
        <f aca="false">Seg!I38</f>
        <v>28.5</v>
      </c>
      <c r="J91" s="6" t="n">
        <f aca="false">Seg!J38</f>
        <v>31.5</v>
      </c>
      <c r="K91" s="6" t="n">
        <f aca="false">Seg!K38</f>
        <v>34.5</v>
      </c>
    </row>
    <row r="92" customFormat="false" ht="17.15" hidden="false" customHeight="false" outlineLevel="0" collapsed="false">
      <c r="A92" s="1" t="s">
        <v>847</v>
      </c>
      <c r="B92" s="0" t="s">
        <v>98</v>
      </c>
      <c r="F92" s="6" t="n">
        <f aca="false">MAX(0,(Thesis!E61+Thesis!F61)/2*Thesis!F69/1000-Thesis!F91*PL!F70)</f>
        <v>19.9358184660572</v>
      </c>
      <c r="G92" s="6" t="n">
        <f aca="false">MAX(0,(Thesis!F61+Thesis!G61)/2*Thesis!G69/1000-Thesis!G91*PL!G70)</f>
        <v>35.1359494439124</v>
      </c>
      <c r="H92" s="6" t="n">
        <f aca="false">MAX(0,(Thesis!G61+Thesis!H61)/2*Thesis!H69/1000-Thesis!H91*PL!H70)</f>
        <v>51.688536514718</v>
      </c>
      <c r="I92" s="6" t="n">
        <f aca="false">MAX(0,(Thesis!H61+Thesis!I61)/2*Thesis!I69/1000-Thesis!I91*PL!I70)</f>
        <v>66.8193432436896</v>
      </c>
      <c r="J92" s="6" t="n">
        <f aca="false">MAX(0,(Thesis!I61+Thesis!J61)/2*Thesis!J69/1000-Thesis!J91*PL!J70)</f>
        <v>77.4328840229578</v>
      </c>
      <c r="K92" s="6" t="n">
        <f aca="false">MAX(0,(Thesis!J61+Thesis!K61)/2*Thesis!K69/1000-Thesis!K91*PL!K70)</f>
        <v>83.3249638901295</v>
      </c>
      <c r="L92" s="1" t="s">
        <v>848</v>
      </c>
    </row>
    <row r="93" customFormat="false" ht="17.15" hidden="false" customHeight="false" outlineLevel="0" collapsed="false">
      <c r="A93" s="1" t="s">
        <v>849</v>
      </c>
      <c r="B93" s="0" t="s">
        <v>98</v>
      </c>
      <c r="F93" s="6" t="n">
        <f aca="false">IF(internal_ai_reading=2,1,0)*Thesis!F92</f>
        <v>19.9358184660572</v>
      </c>
      <c r="G93" s="6" t="n">
        <f aca="false">IF(internal_ai_reading=2,1,0)*Thesis!G92</f>
        <v>35.1359494439124</v>
      </c>
      <c r="H93" s="6" t="n">
        <f aca="false">IF(internal_ai_reading=2,1,0)*Thesis!H92</f>
        <v>51.688536514718</v>
      </c>
      <c r="I93" s="6" t="n">
        <f aca="false">IF(internal_ai_reading=2,1,0)*Thesis!I92</f>
        <v>66.8193432436896</v>
      </c>
      <c r="J93" s="6" t="n">
        <f aca="false">IF(internal_ai_reading=2,1,0)*Thesis!J92</f>
        <v>77.4328840229578</v>
      </c>
      <c r="K93" s="6" t="n">
        <f aca="false">IF(internal_ai_reading=2,1,0)*Thesis!K92</f>
        <v>83.3249638901295</v>
      </c>
    </row>
    <row r="94" customFormat="false" ht="17.15" hidden="false" customHeight="false" outlineLevel="0" collapsed="false">
      <c r="A94" s="0" t="s">
        <v>850</v>
      </c>
      <c r="B94" s="0" t="s">
        <v>98</v>
      </c>
      <c r="F94" s="6" t="n">
        <f aca="false">Thesis!F78+Thesis!F91*PL!F70+Thesis!F93-Thesis!F79-Thesis!F89</f>
        <v>24.973281419411</v>
      </c>
      <c r="G94" s="6" t="n">
        <f aca="false">Thesis!G78+Thesis!G91*PL!G70+Thesis!G93-Thesis!G79-Thesis!G89</f>
        <v>40.6745718830232</v>
      </c>
      <c r="H94" s="6" t="n">
        <f aca="false">Thesis!H78+Thesis!H91*PL!H70+Thesis!H93-Thesis!H79-Thesis!H89</f>
        <v>57.6054114245065</v>
      </c>
      <c r="I94" s="6" t="n">
        <f aca="false">Thesis!I78+Thesis!I91*PL!I70+Thesis!I93-Thesis!I79-Thesis!I89</f>
        <v>72.6838259474904</v>
      </c>
      <c r="J94" s="6" t="n">
        <f aca="false">Thesis!J78+Thesis!J91*PL!J70+Thesis!J93-Thesis!J79-Thesis!J89</f>
        <v>83.1134007011916</v>
      </c>
      <c r="K94" s="6" t="n">
        <f aca="false">Thesis!K78+Thesis!K91*PL!K70+Thesis!K93-Thesis!K79-Thesis!K89</f>
        <v>90.3492338726818</v>
      </c>
    </row>
    <row r="95" customFormat="false" ht="17.15" hidden="false" customHeight="false" outlineLevel="0" collapsed="false">
      <c r="A95" s="0" t="s">
        <v>851</v>
      </c>
      <c r="B95" s="0" t="s">
        <v>98</v>
      </c>
      <c r="E95" s="6" t="n">
        <f aca="false">Thesis!E60*(cxit_open+self_build*tk_cxfac)/1000*ai_net_open</f>
        <v>126.6980382</v>
      </c>
      <c r="F95" s="6" t="n">
        <f aca="false">Thesis!E95+Thesis!F86-Thesis!F89</f>
        <v>260.578155514568</v>
      </c>
      <c r="G95" s="6" t="n">
        <f aca="false">Thesis!F95+Thesis!G86-Thesis!G89</f>
        <v>383.645602737428</v>
      </c>
      <c r="H95" s="6" t="n">
        <f aca="false">Thesis!G95+Thesis!H86-Thesis!H89</f>
        <v>483.983572654688</v>
      </c>
      <c r="I95" s="6" t="n">
        <f aca="false">Thesis!H95+Thesis!I86-Thesis!I89</f>
        <v>535.703201826713</v>
      </c>
      <c r="J95" s="6" t="n">
        <f aca="false">Thesis!I95+Thesis!J86-Thesis!J89</f>
        <v>531.031967622137</v>
      </c>
      <c r="K95" s="6" t="n">
        <f aca="false">Thesis!J95+Thesis!K86-Thesis!K89</f>
        <v>506.3437564596</v>
      </c>
      <c r="L95" s="1" t="s">
        <v>852</v>
      </c>
    </row>
    <row r="96" customFormat="false" ht="17.15" hidden="false" customHeight="false" outlineLevel="0" collapsed="false">
      <c r="A96" s="0" t="s">
        <v>853</v>
      </c>
      <c r="B96" s="0" t="s">
        <v>129</v>
      </c>
      <c r="F96" s="7" t="n">
        <f aca="false">Thesis!F94*(1-tax_f)/((Thesis!E95+Thesis!F95)/2)</f>
        <v>0.103175074842083</v>
      </c>
      <c r="G96" s="7" t="n">
        <f aca="false">Thesis!G94*(1-tax_f)/((Thesis!F95+Thesis!G95)/2)</f>
        <v>0.101019737597725</v>
      </c>
      <c r="H96" s="7" t="n">
        <f aca="false">Thesis!H94*(1-tax_f)/((Thesis!G95+Thesis!H95)/2)</f>
        <v>0.106230473678522</v>
      </c>
      <c r="I96" s="7" t="n">
        <f aca="false">Thesis!I94*(1-tax_f)/((Thesis!H95+Thesis!I95)/2)</f>
        <v>0.114048867187799</v>
      </c>
      <c r="J96" s="7" t="n">
        <f aca="false">Thesis!J94*(1-tax_f)/((Thesis!I95+Thesis!J95)/2)</f>
        <v>0.124662095082713</v>
      </c>
      <c r="K96" s="7" t="n">
        <f aca="false">Thesis!K94*(1-tax_f)/((Thesis!J95+Thesis!K95)/2)</f>
        <v>0.139350450218267</v>
      </c>
    </row>
    <row r="97" customFormat="false" ht="17.15" hidden="false" customHeight="false" outlineLevel="0" collapsed="false">
      <c r="A97" s="1" t="s">
        <v>854</v>
      </c>
      <c r="B97" s="0" t="s">
        <v>129</v>
      </c>
      <c r="F97" s="7" t="n">
        <f aca="false">(Thesis!F94-Thesis!F93)*(1-tax_f)/((Thesis!E95+Thesis!F95)/2)</f>
        <v>0.020811867231133</v>
      </c>
      <c r="G97" s="7" t="n">
        <f aca="false">(Thesis!G94-Thesis!G93)*(1-tax_f)/((Thesis!F95+Thesis!G95)/2)</f>
        <v>0.0137557731907037</v>
      </c>
      <c r="H97" s="7" t="n">
        <f aca="false">(Thesis!H94-Thesis!H93)*(1-tax_f)/((Thesis!G95+Thesis!H95)/2)</f>
        <v>0.0109113433759106</v>
      </c>
      <c r="I97" s="7" t="n">
        <f aca="false">(Thesis!I94-Thesis!I93)*(1-tax_f)/((Thesis!H95+Thesis!I95)/2)</f>
        <v>0.00920201434489856</v>
      </c>
      <c r="J97" s="7" t="n">
        <f aca="false">(Thesis!J94-Thesis!J93)*(1-tax_f)/((Thesis!I95+Thesis!J95)/2)</f>
        <v>0.00852022783674598</v>
      </c>
      <c r="K97" s="7" t="n">
        <f aca="false">(Thesis!K94-Thesis!K93)*(1-tax_f)/((Thesis!J95+Thesis!K95)/2)</f>
        <v>0.0108339068586091</v>
      </c>
    </row>
    <row r="98" customFormat="false" ht="17.15" hidden="false" customHeight="false" outlineLevel="0" collapsed="false">
      <c r="A98" s="1" t="s">
        <v>855</v>
      </c>
      <c r="B98" s="0" t="s">
        <v>129</v>
      </c>
      <c r="F98" s="7" t="n">
        <f aca="false">(Thesis!F94-Thesis!F93+Thesis!F92)*(1-tax_f)/((Thesis!E95+Thesis!F95)/2)</f>
        <v>0.103175074842083</v>
      </c>
      <c r="G98" s="7" t="n">
        <f aca="false">(Thesis!G94-Thesis!G93+Thesis!G92)*(1-tax_f)/((Thesis!F95+Thesis!G95)/2)</f>
        <v>0.101019737597725</v>
      </c>
      <c r="H98" s="7" t="n">
        <f aca="false">(Thesis!H94-Thesis!H93+Thesis!H92)*(1-tax_f)/((Thesis!G95+Thesis!H95)/2)</f>
        <v>0.106230473678522</v>
      </c>
      <c r="I98" s="7" t="n">
        <f aca="false">(Thesis!I94-Thesis!I93+Thesis!I92)*(1-tax_f)/((Thesis!H95+Thesis!I95)/2)</f>
        <v>0.114048867187799</v>
      </c>
      <c r="J98" s="7" t="n">
        <f aca="false">(Thesis!J94-Thesis!J93+Thesis!J92)*(1-tax_f)/((Thesis!I95+Thesis!J95)/2)</f>
        <v>0.124662095082713</v>
      </c>
      <c r="K98" s="7" t="n">
        <f aca="false">(Thesis!K94-Thesis!K93+Thesis!K92)*(1-tax_f)/((Thesis!J95+Thesis!K95)/2)</f>
        <v>0.139350450218267</v>
      </c>
    </row>
    <row r="99" customFormat="false" ht="17.15" hidden="false" customHeight="false" outlineLevel="0" collapsed="false">
      <c r="A99" s="1" t="s">
        <v>856</v>
      </c>
      <c r="B99" s="0" t="s">
        <v>129</v>
      </c>
      <c r="F99" s="7" t="n">
        <f aca="false">Thesis!F90*(1-tax_f)/(Thesis!F77*(Thesis!E95+Thesis!F95)/2)</f>
        <v>0.128178079126594</v>
      </c>
      <c r="G99" s="7" t="n">
        <f aca="false">Thesis!G90*(1-tax_f)/(Thesis!G77*(Thesis!F95+Thesis!G95)/2)</f>
        <v>0.125209972318428</v>
      </c>
      <c r="H99" s="7" t="n">
        <f aca="false">Thesis!H90*(1-tax_f)/(Thesis!H77*(Thesis!G95+Thesis!H95)/2)</f>
        <v>0.130852385928537</v>
      </c>
      <c r="I99" s="7" t="n">
        <f aca="false">Thesis!I90*(1-tax_f)/(Thesis!I77*(Thesis!H95+Thesis!I95)/2)</f>
        <v>0.139991661146938</v>
      </c>
      <c r="J99" s="7" t="n">
        <f aca="false">Thesis!J90*(1-tax_f)/(Thesis!J77*(Thesis!I95+Thesis!J95)/2)</f>
        <v>0.152806946444463</v>
      </c>
      <c r="K99" s="7" t="n">
        <f aca="false">Thesis!K90*(1-tax_f)/(Thesis!K77*(Thesis!J95+Thesis!K95)/2)</f>
        <v>0.170548941900337</v>
      </c>
    </row>
    <row r="100" customFormat="false" ht="17.15" hidden="false" customHeight="false" outlineLevel="0" collapsed="false">
      <c r="A100" s="0" t="s">
        <v>857</v>
      </c>
      <c r="B100" s="0" t="s">
        <v>209</v>
      </c>
      <c r="F100" s="7" t="n">
        <f aca="false">Thesis!F96-wacc</f>
        <v>0.0002406547492073</v>
      </c>
      <c r="G100" s="7" t="n">
        <f aca="false">Thesis!G96-wacc</f>
        <v>-0.00191468249515041</v>
      </c>
      <c r="H100" s="7" t="n">
        <f aca="false">Thesis!H96-wacc</f>
        <v>0.00329605358564671</v>
      </c>
      <c r="I100" s="7" t="n">
        <f aca="false">Thesis!I96-wacc</f>
        <v>0.0111144470949234</v>
      </c>
      <c r="J100" s="7" t="n">
        <f aca="false">Thesis!J96-wacc</f>
        <v>0.0217276749898373</v>
      </c>
      <c r="K100" s="7" t="n">
        <f aca="false">Thesis!K96-wacc</f>
        <v>0.0364160301253913</v>
      </c>
    </row>
    <row r="101" customFormat="false" ht="17.15" hidden="false" customHeight="false" outlineLevel="0" collapsed="false">
      <c r="A101" s="0" t="s">
        <v>858</v>
      </c>
      <c r="B101" s="0" t="s">
        <v>98</v>
      </c>
      <c r="F101" s="6" t="n">
        <f aca="false">Thesis!F94*(1-tax_f)-wacc*(Thesis!E95+Thesis!F95)/2</f>
        <v>0.0465999276361693</v>
      </c>
      <c r="G101" s="6" t="n">
        <f aca="false">Thesis!G94*(1-tax_f)-wacc*(Thesis!F95+Thesis!G95)/2</f>
        <v>-0.616741976442548</v>
      </c>
      <c r="H101" s="6" t="n">
        <f aca="false">Thesis!H94*(1-tax_f)-wacc*(Thesis!G95+Thesis!H95)/2</f>
        <v>1.42987612728144</v>
      </c>
      <c r="I101" s="6" t="n">
        <f aca="false">Thesis!I94*(1-tax_f)-wacc*(Thesis!H95+Thesis!I95)/2</f>
        <v>5.66662735418333</v>
      </c>
      <c r="J101" s="6" t="n">
        <f aca="false">Thesis!J94*(1-tax_f)-wacc*(Thesis!I95+Thesis!J95)/2</f>
        <v>11.5888375310068</v>
      </c>
      <c r="K101" s="6" t="n">
        <f aca="false">Thesis!K94*(1-tax_f)-wacc*(Thesis!J95+Thesis!K95)/2</f>
        <v>18.8885528097551</v>
      </c>
    </row>
    <row r="102" customFormat="false" ht="17.15" hidden="false" customHeight="false" outlineLevel="0" collapsed="false">
      <c r="A102" s="3" t="s">
        <v>860</v>
      </c>
    </row>
    <row r="103" customFormat="false" ht="15" hidden="false" customHeight="false" outlineLevel="0" collapsed="false">
      <c r="A103" s="4" t="s">
        <v>43</v>
      </c>
      <c r="B103" s="4" t="s">
        <v>65</v>
      </c>
      <c r="C103" s="20" t="s">
        <v>788</v>
      </c>
      <c r="D103" s="20" t="s">
        <v>789</v>
      </c>
      <c r="E103" s="20" t="s">
        <v>790</v>
      </c>
      <c r="F103" s="20" t="s">
        <v>791</v>
      </c>
      <c r="G103" s="20" t="s">
        <v>792</v>
      </c>
      <c r="H103" s="20" t="s">
        <v>793</v>
      </c>
      <c r="I103" s="20" t="s">
        <v>794</v>
      </c>
      <c r="J103" s="20" t="s">
        <v>795</v>
      </c>
      <c r="K103" s="20" t="s">
        <v>796</v>
      </c>
      <c r="L103" s="4" t="s">
        <v>47</v>
      </c>
    </row>
    <row r="104" customFormat="false" ht="17.15" hidden="false" customHeight="false" outlineLevel="0" collapsed="false">
      <c r="A104" s="1" t="s">
        <v>797</v>
      </c>
      <c r="B104" s="1" t="s">
        <v>235</v>
      </c>
      <c r="C104" s="28" t="n">
        <v>2024</v>
      </c>
      <c r="D104" s="28" t="n">
        <v>2025</v>
      </c>
      <c r="E104" s="28" t="n">
        <v>2026</v>
      </c>
      <c r="F104" s="28" t="n">
        <v>2027</v>
      </c>
      <c r="G104" s="28" t="n">
        <v>2028</v>
      </c>
      <c r="H104" s="28" t="n">
        <v>2029</v>
      </c>
      <c r="I104" s="28" t="n">
        <v>2030</v>
      </c>
      <c r="J104" s="28" t="n">
        <v>2031</v>
      </c>
      <c r="K104" s="28" t="n">
        <v>2032</v>
      </c>
    </row>
    <row r="105" customFormat="false" ht="17.15" hidden="false" customHeight="false" outlineLevel="0" collapsed="false">
      <c r="A105" s="1" t="s">
        <v>798</v>
      </c>
      <c r="B105" s="0" t="s">
        <v>392</v>
      </c>
      <c r="F105" s="29" t="n">
        <f aca="false">pace</f>
        <v>2527.2</v>
      </c>
      <c r="G105" s="29" t="n">
        <f aca="false">pace</f>
        <v>2527.2</v>
      </c>
      <c r="H105" s="29" t="n">
        <f aca="false">pace</f>
        <v>2527.2</v>
      </c>
      <c r="I105" s="29" t="n">
        <f aca="false">pace+(g_tv*Thesis!H106-pace)*MIN(1,(Thesis!I104-pace_y0)/(pace_y1-pace_y0))</f>
        <v>1793.116</v>
      </c>
      <c r="J105" s="29" t="n">
        <f aca="false">pace+(g_tv*Thesis!H106-pace)*MIN(1,(Thesis!J104-pace_y0)/(pace_y1-pace_y0))</f>
        <v>1059.032</v>
      </c>
      <c r="K105" s="29" t="n">
        <f aca="false">pace+(g_tv*Thesis!H106-pace)*MIN(1,(Thesis!K104-pace_y0)/(pace_y1-pace_y0))</f>
        <v>324.948</v>
      </c>
      <c r="L105" s="11" t="s">
        <v>799</v>
      </c>
    </row>
    <row r="106" customFormat="false" ht="17.15" hidden="false" customHeight="false" outlineLevel="0" collapsed="false">
      <c r="A106" s="1" t="s">
        <v>800</v>
      </c>
      <c r="B106" s="0" t="s">
        <v>392</v>
      </c>
      <c r="C106" s="29" t="n">
        <f aca="false">mw_ext_24</f>
        <v>640</v>
      </c>
      <c r="D106" s="29" t="n">
        <f aca="false">mw_ext_25</f>
        <v>1630</v>
      </c>
      <c r="E106" s="29" t="n">
        <f aca="false">mw_ext_26</f>
        <v>3250</v>
      </c>
      <c r="F106" s="29" t="n">
        <f aca="false">Thesis!E106+Thesis!F105</f>
        <v>5777.2</v>
      </c>
      <c r="G106" s="29" t="n">
        <f aca="false">Thesis!F106+Thesis!G105</f>
        <v>8304.4</v>
      </c>
      <c r="H106" s="29" t="n">
        <f aca="false">Thesis!G106+Thesis!H105</f>
        <v>10831.6</v>
      </c>
      <c r="I106" s="29" t="n">
        <f aca="false">Thesis!H106+Thesis!I105</f>
        <v>12624.716</v>
      </c>
      <c r="J106" s="29" t="n">
        <f aca="false">Thesis!I106+Thesis!J105</f>
        <v>13683.748</v>
      </c>
      <c r="K106" s="29" t="n">
        <f aca="false">Thesis!J106+Thesis!K105</f>
        <v>14008.696</v>
      </c>
      <c r="L106" s="1" t="s">
        <v>801</v>
      </c>
    </row>
    <row r="107" customFormat="false" ht="17.15" hidden="false" customHeight="false" outlineLevel="0" collapsed="false">
      <c r="A107" s="1" t="s">
        <v>802</v>
      </c>
      <c r="B107" s="0" t="s">
        <v>392</v>
      </c>
      <c r="C107" s="29" t="n">
        <f aca="false">rent_ext_24</f>
        <v>150</v>
      </c>
      <c r="D107" s="29" t="n">
        <f aca="false">rent_ext_25</f>
        <v>400</v>
      </c>
      <c r="E107" s="29" t="n">
        <f aca="false">rent_ext_26</f>
        <v>550</v>
      </c>
      <c r="F107" s="29" t="n">
        <f aca="false">rent_ext_f</f>
        <v>756</v>
      </c>
      <c r="G107" s="29" t="n">
        <f aca="false">rent_ext_f</f>
        <v>756</v>
      </c>
      <c r="H107" s="29" t="n">
        <f aca="false">rent_ext_f</f>
        <v>756</v>
      </c>
      <c r="I107" s="29" t="n">
        <f aca="false">rent_ext_f</f>
        <v>756</v>
      </c>
      <c r="J107" s="29" t="n">
        <f aca="false">rent_ext_f</f>
        <v>756</v>
      </c>
      <c r="K107" s="29" t="n">
        <f aca="false">rent_ext_f</f>
        <v>756</v>
      </c>
      <c r="L107" s="1" t="s">
        <v>803</v>
      </c>
    </row>
    <row r="108" customFormat="false" ht="17.15" hidden="false" customHeight="false" outlineLevel="0" collapsed="false">
      <c r="A108" s="1" t="s">
        <v>804</v>
      </c>
      <c r="B108" s="0" t="s">
        <v>392</v>
      </c>
      <c r="C108" s="29" t="n">
        <f aca="false">Thesis!C106-Thesis!C107</f>
        <v>490</v>
      </c>
      <c r="D108" s="29" t="n">
        <f aca="false">Thesis!D106-Thesis!D107</f>
        <v>1230</v>
      </c>
      <c r="E108" s="29" t="n">
        <f aca="false">Thesis!E106-Thesis!E107</f>
        <v>2700</v>
      </c>
      <c r="F108" s="29" t="n">
        <f aca="false">Thesis!F106-Thesis!F107</f>
        <v>5021.2</v>
      </c>
      <c r="G108" s="29" t="n">
        <f aca="false">Thesis!G106-Thesis!G107</f>
        <v>7548.4</v>
      </c>
      <c r="H108" s="29" t="n">
        <f aca="false">Thesis!H106-Thesis!H107</f>
        <v>10075.6</v>
      </c>
      <c r="I108" s="29" t="n">
        <f aca="false">Thesis!I106-Thesis!I107</f>
        <v>11868.716</v>
      </c>
      <c r="J108" s="29" t="n">
        <f aca="false">Thesis!J106-Thesis!J107</f>
        <v>12927.748</v>
      </c>
      <c r="K108" s="29" t="n">
        <f aca="false">Thesis!K106-Thesis!K107</f>
        <v>13252.696</v>
      </c>
    </row>
    <row r="109" customFormat="false" ht="17.15" hidden="false" customHeight="false" outlineLevel="0" collapsed="false">
      <c r="A109" s="1" t="s">
        <v>805</v>
      </c>
      <c r="B109" s="0" t="s">
        <v>392</v>
      </c>
      <c r="C109" s="29" t="n">
        <f aca="false">Thesis!C108/ext_sh</f>
        <v>816.666666666667</v>
      </c>
      <c r="D109" s="29" t="n">
        <f aca="false">Thesis!D108/ext_sh</f>
        <v>2050</v>
      </c>
      <c r="E109" s="29" t="n">
        <f aca="false">Thesis!E108/ext_sh</f>
        <v>4500</v>
      </c>
      <c r="F109" s="29" t="n">
        <f aca="false">Thesis!F108/ext_sh</f>
        <v>8368.66666666667</v>
      </c>
      <c r="G109" s="29" t="n">
        <f aca="false">Thesis!G108/ext_sh</f>
        <v>12580.6666666667</v>
      </c>
      <c r="H109" s="29" t="n">
        <f aca="false">Thesis!H108/ext_sh</f>
        <v>16792.6666666667</v>
      </c>
      <c r="I109" s="29" t="n">
        <f aca="false">Thesis!I108/ext_sh</f>
        <v>19781.1933333333</v>
      </c>
      <c r="J109" s="29" t="n">
        <f aca="false">Thesis!J108/ext_sh</f>
        <v>21546.2466666667</v>
      </c>
      <c r="K109" s="29" t="n">
        <f aca="false">Thesis!K108/ext_sh</f>
        <v>22087.8266666667</v>
      </c>
      <c r="L109" s="1" t="s">
        <v>806</v>
      </c>
    </row>
    <row r="110" customFormat="false" ht="17.15" hidden="false" customHeight="false" outlineLevel="0" collapsed="false">
      <c r="A110" s="1" t="s">
        <v>807</v>
      </c>
      <c r="B110" s="0" t="s">
        <v>392</v>
      </c>
      <c r="C110" s="29" t="n">
        <f aca="false">Thesis!C109-Thesis!C108</f>
        <v>326.666666666667</v>
      </c>
      <c r="D110" s="29" t="n">
        <f aca="false">Thesis!D109-Thesis!D108</f>
        <v>820</v>
      </c>
      <c r="E110" s="29" t="n">
        <f aca="false">Thesis!E109-Thesis!E108</f>
        <v>1800</v>
      </c>
      <c r="F110" s="29" t="n">
        <f aca="false">Thesis!F109-Thesis!F108</f>
        <v>3347.46666666667</v>
      </c>
      <c r="G110" s="29" t="n">
        <f aca="false">Thesis!G109-Thesis!G108</f>
        <v>5032.26666666667</v>
      </c>
      <c r="H110" s="29" t="n">
        <f aca="false">Thesis!H109-Thesis!H108</f>
        <v>6717.06666666667</v>
      </c>
      <c r="I110" s="29" t="n">
        <f aca="false">Thesis!I109-Thesis!I108</f>
        <v>7912.47733333333</v>
      </c>
      <c r="J110" s="29" t="n">
        <f aca="false">Thesis!J109-Thesis!J108</f>
        <v>8618.49866666667</v>
      </c>
      <c r="K110" s="29" t="n">
        <f aca="false">Thesis!K109-Thesis!K108</f>
        <v>8835.13066666667</v>
      </c>
    </row>
    <row r="111" customFormat="false" ht="17.15" hidden="false" customHeight="false" outlineLevel="0" collapsed="false">
      <c r="A111" s="1" t="s">
        <v>808</v>
      </c>
      <c r="B111" s="0" t="s">
        <v>392</v>
      </c>
      <c r="C111" s="29" t="n">
        <f aca="false">Thesis!C109</f>
        <v>816.666666666667</v>
      </c>
      <c r="D111" s="29" t="n">
        <f aca="false">Thesis!D109-Thesis!C109</f>
        <v>1233.33333333333</v>
      </c>
      <c r="E111" s="29" t="n">
        <f aca="false">Thesis!E109-Thesis!D109</f>
        <v>2450</v>
      </c>
      <c r="F111" s="29" t="n">
        <f aca="false">Thesis!F109-Thesis!E109</f>
        <v>3868.66666666667</v>
      </c>
      <c r="G111" s="29" t="n">
        <f aca="false">Thesis!G109-Thesis!F109</f>
        <v>4212</v>
      </c>
      <c r="H111" s="29" t="n">
        <f aca="false">Thesis!H109-Thesis!G109</f>
        <v>4212</v>
      </c>
      <c r="I111" s="29" t="n">
        <f aca="false">Thesis!I109-Thesis!H109</f>
        <v>2988.52666666667</v>
      </c>
      <c r="J111" s="29" t="n">
        <f aca="false">Thesis!J109-Thesis!I109</f>
        <v>1765.05333333333</v>
      </c>
      <c r="K111" s="29" t="n">
        <f aca="false">Thesis!K109-Thesis!J109</f>
        <v>541.580000000002</v>
      </c>
    </row>
    <row r="112" customFormat="false" ht="17.15" hidden="false" customHeight="false" outlineLevel="0" collapsed="false">
      <c r="A112" s="1" t="s">
        <v>809</v>
      </c>
      <c r="B112" s="0" t="s">
        <v>392</v>
      </c>
      <c r="D112" s="29" t="n">
        <f aca="false">Thesis!D106-Thesis!C106</f>
        <v>990</v>
      </c>
      <c r="E112" s="29" t="n">
        <f aca="false">Thesis!E106-Thesis!D106</f>
        <v>1620</v>
      </c>
      <c r="F112" s="29" t="n">
        <f aca="false">Thesis!F106-Thesis!E106</f>
        <v>2527.2</v>
      </c>
      <c r="G112" s="29" t="n">
        <f aca="false">Thesis!G106-Thesis!F106</f>
        <v>2527.2</v>
      </c>
      <c r="H112" s="29" t="n">
        <f aca="false">Thesis!H106-Thesis!G106</f>
        <v>2527.2</v>
      </c>
      <c r="I112" s="29" t="n">
        <f aca="false">Thesis!I106-Thesis!H106</f>
        <v>1793.116</v>
      </c>
      <c r="J112" s="29" t="n">
        <f aca="false">Thesis!J106-Thesis!I106</f>
        <v>1059.032</v>
      </c>
      <c r="K112" s="29" t="n">
        <f aca="false">Thesis!K106-Thesis!J106</f>
        <v>324.948</v>
      </c>
    </row>
    <row r="113" customFormat="false" ht="17.15" hidden="false" customHeight="false" outlineLevel="0" collapsed="false">
      <c r="A113" s="1" t="s">
        <v>810</v>
      </c>
      <c r="B113" s="0" t="s">
        <v>392</v>
      </c>
      <c r="F113" s="29" t="n">
        <f aca="false">Thesis!F130*ext_sh</f>
        <v>0</v>
      </c>
      <c r="G113" s="29" t="n">
        <f aca="false">Thesis!G130*ext_sh</f>
        <v>0</v>
      </c>
      <c r="H113" s="29" t="n">
        <f aca="false">Thesis!H130*ext_sh</f>
        <v>0</v>
      </c>
      <c r="I113" s="29" t="n">
        <f aca="false">Thesis!I130*ext_sh</f>
        <v>490</v>
      </c>
      <c r="J113" s="29" t="n">
        <f aca="false">Thesis!J130*ext_sh</f>
        <v>740</v>
      </c>
      <c r="K113" s="29" t="n">
        <f aca="false">Thesis!K130*ext_sh</f>
        <v>1470</v>
      </c>
      <c r="L113" s="1" t="s">
        <v>811</v>
      </c>
    </row>
    <row r="114" customFormat="false" ht="17.15" hidden="false" customHeight="false" outlineLevel="0" collapsed="false">
      <c r="A114" s="1" t="s">
        <v>812</v>
      </c>
      <c r="B114" s="0" t="s">
        <v>392</v>
      </c>
      <c r="C114" s="29" t="n">
        <f aca="false">mix_h*Thesis!C106</f>
        <v>128</v>
      </c>
      <c r="D114" s="29" t="n">
        <f aca="false">mix_h*Thesis!D106</f>
        <v>326</v>
      </c>
      <c r="E114" s="29" t="n">
        <f aca="false">mix_h*Thesis!E106</f>
        <v>650</v>
      </c>
      <c r="F114" s="29" t="n">
        <f aca="false">Thesis!E114-Thesis!F113*mix_h</f>
        <v>650</v>
      </c>
      <c r="G114" s="29" t="n">
        <f aca="false">Thesis!F114-Thesis!G113*mix_h</f>
        <v>650</v>
      </c>
      <c r="H114" s="29" t="n">
        <f aca="false">Thesis!G114-Thesis!H113*mix_h</f>
        <v>650</v>
      </c>
      <c r="I114" s="29" t="n">
        <f aca="false">Thesis!H114-Thesis!I113*mix_h</f>
        <v>552</v>
      </c>
      <c r="J114" s="29" t="n">
        <f aca="false">Thesis!I114-Thesis!J113*mix_h</f>
        <v>404</v>
      </c>
      <c r="K114" s="29" t="n">
        <f aca="false">Thesis!J114-Thesis!K113*mix_h</f>
        <v>110</v>
      </c>
    </row>
    <row r="115" customFormat="false" ht="17.15" hidden="false" customHeight="false" outlineLevel="0" collapsed="false">
      <c r="A115" s="1" t="s">
        <v>813</v>
      </c>
      <c r="B115" s="0" t="s">
        <v>392</v>
      </c>
      <c r="C115" s="29" t="n">
        <f aca="false">mix_g2*Thesis!C106</f>
        <v>288</v>
      </c>
      <c r="D115" s="29" t="n">
        <f aca="false">mix_g2*Thesis!D106</f>
        <v>733.5</v>
      </c>
      <c r="E115" s="29" t="n">
        <f aca="false">mix_g2*Thesis!E106</f>
        <v>1462.5</v>
      </c>
      <c r="F115" s="29" t="n">
        <f aca="false">Thesis!E115-Thesis!F113*mix_g2</f>
        <v>1462.5</v>
      </c>
      <c r="G115" s="29" t="n">
        <f aca="false">Thesis!F115-Thesis!G113*mix_g2</f>
        <v>1462.5</v>
      </c>
      <c r="H115" s="29" t="n">
        <f aca="false">Thesis!G115-Thesis!H113*mix_g2</f>
        <v>1462.5</v>
      </c>
      <c r="I115" s="29" t="n">
        <f aca="false">Thesis!H115-Thesis!I113*mix_g2</f>
        <v>1242</v>
      </c>
      <c r="J115" s="29" t="n">
        <f aca="false">Thesis!I115-Thesis!J113*mix_g2</f>
        <v>909</v>
      </c>
      <c r="K115" s="29" t="n">
        <f aca="false">Thesis!J115-Thesis!K113*mix_g2</f>
        <v>247.5</v>
      </c>
    </row>
    <row r="116" customFormat="false" ht="17.15" hidden="false" customHeight="false" outlineLevel="0" collapsed="false">
      <c r="A116" s="1" t="s">
        <v>814</v>
      </c>
      <c r="B116" s="0" t="s">
        <v>392</v>
      </c>
      <c r="C116" s="29" t="n">
        <f aca="false">mix_g3*Thesis!C106</f>
        <v>224</v>
      </c>
      <c r="D116" s="29" t="n">
        <f aca="false">mix_g3*Thesis!D106</f>
        <v>570.5</v>
      </c>
      <c r="E116" s="29" t="n">
        <f aca="false">mix_g3*Thesis!E106</f>
        <v>1137.5</v>
      </c>
      <c r="F116" s="29" t="n">
        <f aca="false">Thesis!E116+(Thesis!F112+Thesis!F113)*a_g3_27-Thesis!F113*mix_g3</f>
        <v>2906.54</v>
      </c>
      <c r="G116" s="29" t="n">
        <f aca="false">Thesis!F116+(Thesis!G112+Thesis!G113)*a_g3_28-Thesis!G113*mix_g3</f>
        <v>3664.7</v>
      </c>
      <c r="H116" s="29" t="n">
        <f aca="false">Thesis!G116+(Thesis!H112+Thesis!H113)*a_g3_29-Thesis!H113*mix_g3</f>
        <v>3917.42</v>
      </c>
      <c r="I116" s="29" t="n">
        <f aca="false">Thesis!H116+(Thesis!I112+Thesis!I113)*a_g3_29-Thesis!I113*mix_g3</f>
        <v>3974.2316</v>
      </c>
      <c r="J116" s="29" t="n">
        <f aca="false">Thesis!I116+(Thesis!J112+Thesis!J113)*a_g3_29-Thesis!J113*mix_g3</f>
        <v>3895.1348</v>
      </c>
      <c r="K116" s="29" t="n">
        <f aca="false">Thesis!J116+(Thesis!K112+Thesis!K113)*a_g3_29-Thesis!K113*mix_g3</f>
        <v>3560.1296</v>
      </c>
    </row>
    <row r="117" customFormat="false" ht="17.15" hidden="false" customHeight="false" outlineLevel="0" collapsed="false">
      <c r="A117" s="1" t="s">
        <v>815</v>
      </c>
      <c r="B117" s="0" t="s">
        <v>392</v>
      </c>
      <c r="C117" s="29" t="n">
        <v>0</v>
      </c>
      <c r="D117" s="29" t="n">
        <v>0</v>
      </c>
      <c r="E117" s="29" t="n">
        <v>0</v>
      </c>
      <c r="F117" s="29" t="n">
        <f aca="false">Thesis!E117+(Thesis!F112+Thesis!F113)*(1-a_g3_27)</f>
        <v>758.16</v>
      </c>
      <c r="G117" s="29" t="n">
        <f aca="false">Thesis!F117+(Thesis!G112+Thesis!G113)*(1-a_g3_28)</f>
        <v>2527.2</v>
      </c>
      <c r="H117" s="29" t="n">
        <f aca="false">Thesis!G117+(Thesis!H112+Thesis!H113)*(1-a_g3_29)</f>
        <v>4801.68</v>
      </c>
      <c r="I117" s="29" t="n">
        <f aca="false">Thesis!H117+(Thesis!I112+Thesis!I113)*(1-a_g3_29)</f>
        <v>6856.4844</v>
      </c>
      <c r="J117" s="29" t="n">
        <f aca="false">Thesis!I117+(Thesis!J112+Thesis!J113)*(1-a_g3_29)</f>
        <v>8475.6132</v>
      </c>
      <c r="K117" s="29" t="n">
        <f aca="false">Thesis!J117+(Thesis!K112+Thesis!K113)*(1-a_g3_29)</f>
        <v>10091.0664</v>
      </c>
    </row>
    <row r="118" customFormat="false" ht="17.15" hidden="false" customHeight="false" outlineLevel="0" collapsed="false">
      <c r="A118" s="1" t="s">
        <v>816</v>
      </c>
      <c r="B118" s="0" t="s">
        <v>339</v>
      </c>
      <c r="C118" s="14" t="n">
        <f aca="false">(Thesis!C114*tk_hold_h100+Thesis!C115*tk_hold_gb200+Thesis!C116*tk_hold_gb300+Thesis!C117*tk_hold_vr200)/Thesis!C106</f>
        <v>9.7235358126469</v>
      </c>
      <c r="D118" s="14" t="n">
        <f aca="false">(Thesis!D114*tk_hold_h100+Thesis!D115*tk_hold_gb200+Thesis!D116*tk_hold_gb300+Thesis!D117*tk_hold_vr200)/Thesis!D106</f>
        <v>9.7235358126469</v>
      </c>
      <c r="E118" s="14" t="n">
        <f aca="false">(Thesis!E114*tk_hold_h100+Thesis!E115*tk_hold_gb200+Thesis!E116*tk_hold_gb300+Thesis!E117*tk_hold_vr200)/Thesis!E106</f>
        <v>9.7235358126469</v>
      </c>
      <c r="F118" s="14" t="n">
        <f aca="false">(Thesis!F114*tk_hold_h100+Thesis!F115*tk_hold_gb200+Thesis!F116*tk_hold_gb300+Thesis!F117*tk_hold_vr200)/Thesis!F106</f>
        <v>10.4079573161931</v>
      </c>
      <c r="G118" s="14" t="n">
        <f aca="false">(Thesis!G114*tk_hold_h100+Thesis!G115*tk_hold_gb200+Thesis!G116*tk_hold_gb300+Thesis!G117*tk_hold_vr200)/Thesis!G106</f>
        <v>10.8388131109316</v>
      </c>
      <c r="H118" s="14" t="n">
        <f aca="false">(Thesis!H114*tk_hold_h100+Thesis!H115*tk_hold_gb200+Thesis!H116*tk_hold_gb300+Thesis!H117*tk_hold_vr200)/Thesis!H106</f>
        <v>11.1311018388216</v>
      </c>
      <c r="I118" s="14" t="n">
        <f aca="false">(Thesis!I114*tk_hold_h100+Thesis!I115*tk_hold_gb200+Thesis!I116*tk_hold_gb300+Thesis!I117*tk_hold_vr200)/Thesis!I106</f>
        <v>11.3594282560989</v>
      </c>
      <c r="J118" s="14" t="n">
        <f aca="false">(Thesis!J114*tk_hold_h100+Thesis!J115*tk_hold_gb200+Thesis!J116*tk_hold_gb300+Thesis!J117*tk_hold_vr200)/Thesis!J106</f>
        <v>11.5441508808221</v>
      </c>
      <c r="K118" s="14" t="n">
        <f aca="false">(Thesis!K114*tk_hold_h100+Thesis!K115*tk_hold_gb200+Thesis!K116*tk_hold_gb300+Thesis!K117*tk_hold_vr200)/Thesis!K106</f>
        <v>11.8053375063575</v>
      </c>
    </row>
    <row r="119" customFormat="false" ht="17.15" hidden="false" customHeight="false" outlineLevel="0" collapsed="false">
      <c r="A119" s="0" t="s">
        <v>817</v>
      </c>
      <c r="B119" s="0" t="s">
        <v>185</v>
      </c>
      <c r="C119" s="14" t="n">
        <f aca="false">k_B</f>
        <v>1.17213932619116</v>
      </c>
      <c r="D119" s="14" t="n">
        <f aca="false">k_B</f>
        <v>1.17213932619116</v>
      </c>
      <c r="E119" s="14" t="n">
        <f aca="false">k_B</f>
        <v>1.17213932619116</v>
      </c>
      <c r="F119" s="14" t="n">
        <f aca="false">(k_B+((ls_C*k_long+(1-ls_C)*k_spot)-k_B)*MIN(1,(Thesis!F104-base_fy)/k_ramp))</f>
        <v>1.07843258004497</v>
      </c>
      <c r="G119" s="14" t="n">
        <f aca="false">(k_B+((ls_C*k_long+(1-ls_C)*k_spot)-k_B)*MIN(1,(Thesis!G104-base_fy)/k_ramp))</f>
        <v>0.984725833898784</v>
      </c>
      <c r="H119" s="14" t="n">
        <f aca="false">(k_B+((ls_C*k_long+(1-ls_C)*k_spot)-k_B)*MIN(1,(Thesis!H104-base_fy)/k_ramp))</f>
        <v>0.891019087752599</v>
      </c>
      <c r="I119" s="14" t="n">
        <f aca="false">(k_B+((ls_C*k_long+(1-ls_C)*k_spot)-k_B)*MIN(1,(Thesis!I104-base_fy)/k_ramp))</f>
        <v>0.891019087752599</v>
      </c>
      <c r="J119" s="14" t="n">
        <f aca="false">(k_B+((ls_C*k_long+(1-ls_C)*k_spot)-k_B)*MIN(1,(Thesis!J104-base_fy)/k_ramp))</f>
        <v>0.891019087752599</v>
      </c>
      <c r="K119" s="14" t="n">
        <f aca="false">(k_B+((ls_C*k_long+(1-ls_C)*k_spot)-k_B)*MIN(1,(Thesis!K104-base_fy)/k_ramp))</f>
        <v>0.891019087752599</v>
      </c>
      <c r="L119" s="1" t="s">
        <v>818</v>
      </c>
    </row>
    <row r="120" customFormat="false" ht="17.15" hidden="false" customHeight="false" outlineLevel="0" collapsed="false">
      <c r="A120" s="1" t="s">
        <v>819</v>
      </c>
      <c r="B120" s="0" t="s">
        <v>339</v>
      </c>
      <c r="C120" s="14" t="n">
        <f aca="false">Thesis!C118*Thesis!C119*chip_f</f>
        <v>11.3973387156315</v>
      </c>
      <c r="D120" s="14" t="n">
        <f aca="false">Thesis!D118*Thesis!D119*chip_f</f>
        <v>11.3973387156315</v>
      </c>
      <c r="E120" s="14" t="n">
        <f aca="false">Thesis!E118*Thesis!E119*chip_f</f>
        <v>11.3973387156315</v>
      </c>
      <c r="F120" s="14" t="n">
        <f aca="false">Thesis!F118*Thesis!F119*chip_f</f>
        <v>11.2242802615</v>
      </c>
      <c r="G120" s="14" t="n">
        <f aca="false">Thesis!G118*Thesis!G119*chip_f</f>
        <v>10.6732592791352</v>
      </c>
      <c r="H120" s="14" t="n">
        <f aca="false">Thesis!H118*Thesis!H119*chip_f</f>
        <v>9.91802420610807</v>
      </c>
      <c r="I120" s="14" t="n">
        <f aca="false">Thesis!I118*Thesis!I119*chip_f</f>
        <v>10.1214674021403</v>
      </c>
      <c r="J120" s="14" t="n">
        <f aca="false">Thesis!J118*Thesis!J119*chip_f</f>
        <v>10.2860587867084</v>
      </c>
      <c r="K120" s="14" t="n">
        <f aca="false">Thesis!K118*Thesis!K119*chip_f</f>
        <v>10.5187810555262</v>
      </c>
      <c r="L120" s="1" t="s">
        <v>820</v>
      </c>
    </row>
    <row r="121" customFormat="false" ht="17.15" hidden="false" customHeight="false" outlineLevel="0" collapsed="false">
      <c r="A121" s="0" t="s">
        <v>821</v>
      </c>
      <c r="B121" s="0" t="s">
        <v>98</v>
      </c>
      <c r="D121" s="6" t="n">
        <f aca="false">(Thesis!C106+Thesis!D106)/2*Thesis!D120/1000</f>
        <v>12.9359794422418</v>
      </c>
      <c r="E121" s="6" t="n">
        <f aca="false">(Thesis!D106+Thesis!E106)/2*Thesis!E120/1000</f>
        <v>27.8095064661409</v>
      </c>
      <c r="F121" s="6" t="n">
        <f aca="false">(Thesis!E106+Thesis!F106)/2*Thesis!F120/1000</f>
        <v>50.6619113883066</v>
      </c>
      <c r="G121" s="6" t="n">
        <f aca="false">(Thesis!F106+Thesis!G106)/2*Thesis!G120/1000</f>
        <v>75.1482839325348</v>
      </c>
      <c r="H121" s="6" t="n">
        <f aca="false">(Thesis!G106+Thesis!H106)/2*Thesis!H120/1000</f>
        <v>94.895655604042</v>
      </c>
      <c r="I121" s="6" t="n">
        <f aca="false">(Thesis!H106+Thesis!I106)/2*Thesis!I120/1000</f>
        <v>118.706168884151</v>
      </c>
      <c r="J121" s="6" t="n">
        <f aca="false">(Thesis!I106+Thesis!J106)/2*Thesis!J120/1000</f>
        <v>135.305203646001</v>
      </c>
      <c r="K121" s="6" t="n">
        <f aca="false">(Thesis!J106+Thesis!K106)/2*Thesis!K120/1000</f>
        <v>145.64537766421</v>
      </c>
      <c r="L121" s="11" t="s">
        <v>822</v>
      </c>
    </row>
    <row r="122" customFormat="false" ht="17.15" hidden="false" customHeight="false" outlineLevel="0" collapsed="false">
      <c r="A122" s="1" t="s">
        <v>823</v>
      </c>
      <c r="B122" s="0" t="s">
        <v>339</v>
      </c>
      <c r="C122" s="14" t="n">
        <f aca="false">(Thesis!C114*tk_opex_h100+Thesis!C115*tk_opex_gb200+Thesis!C116*tk_opex_gb300+Thesis!C117*tk_opex_vr200)/Thesis!C106</f>
        <v>1.88636041306092</v>
      </c>
      <c r="D122" s="14" t="n">
        <f aca="false">(Thesis!D114*tk_opex_h100+Thesis!D115*tk_opex_gb200+Thesis!D116*tk_opex_gb300+Thesis!D117*tk_opex_vr200)/Thesis!D106</f>
        <v>1.88636041306092</v>
      </c>
      <c r="E122" s="14" t="n">
        <f aca="false">(Thesis!E114*tk_opex_h100+Thesis!E115*tk_opex_gb200+Thesis!E116*tk_opex_gb300+Thesis!E117*tk_opex_vr200)/Thesis!E106</f>
        <v>1.88636041306092</v>
      </c>
      <c r="F122" s="14" t="n">
        <f aca="false">(Thesis!F114*tk_opex_h100+Thesis!F115*tk_opex_gb200+Thesis!F116*tk_opex_gb300+Thesis!F117*tk_opex_vr200)/Thesis!F106</f>
        <v>1.9430236476499</v>
      </c>
      <c r="G122" s="14" t="n">
        <f aca="false">(Thesis!G114*tk_opex_h100+Thesis!G115*tk_opex_gb200+Thesis!G116*tk_opex_gb300+Thesis!G117*tk_opex_vr200)/Thesis!G106</f>
        <v>1.9786941852423</v>
      </c>
      <c r="H122" s="14" t="n">
        <f aca="false">(Thesis!H114*tk_opex_h100+Thesis!H115*tk_opex_gb200+Thesis!H116*tk_opex_gb300+Thesis!H117*tk_opex_vr200)/Thesis!H106</f>
        <v>2.00289275976156</v>
      </c>
      <c r="I122" s="14" t="n">
        <f aca="false">(Thesis!I114*tk_opex_h100+Thesis!I115*tk_opex_gb200+Thesis!I116*tk_opex_gb300+Thesis!I117*tk_opex_vr200)/Thesis!I106</f>
        <v>2.02179589661219</v>
      </c>
      <c r="J122" s="14" t="n">
        <f aca="false">(Thesis!J114*tk_opex_h100+Thesis!J115*tk_opex_gb200+Thesis!J116*tk_opex_gb300+Thesis!J117*tk_opex_vr200)/Thesis!J106</f>
        <v>2.03708907685909</v>
      </c>
      <c r="K122" s="14" t="n">
        <f aca="false">(Thesis!K114*tk_opex_h100+Thesis!K115*tk_opex_gb200+Thesis!K116*tk_opex_gb300+Thesis!K117*tk_opex_vr200)/Thesis!K106</f>
        <v>2.05871270931005</v>
      </c>
    </row>
    <row r="123" customFormat="false" ht="17.15" hidden="false" customHeight="false" outlineLevel="0" collapsed="false">
      <c r="A123" s="0" t="s">
        <v>824</v>
      </c>
      <c r="B123" s="0" t="s">
        <v>98</v>
      </c>
      <c r="D123" s="6" t="n">
        <f aca="false">(Thesis!C109+Thesis!D109)/2*Thesis!D122/1000</f>
        <v>2.70378325872065</v>
      </c>
      <c r="E123" s="6" t="n">
        <f aca="false">(Thesis!D109+Thesis!E109)/2*Thesis!E122/1000</f>
        <v>6.17783035277451</v>
      </c>
      <c r="F123" s="6" t="n">
        <f aca="false">(Thesis!E109+Thesis!F109)/2*Thesis!F122/1000</f>
        <v>12.5020618235287</v>
      </c>
      <c r="G123" s="6" t="n">
        <f aca="false">(Thesis!F109+Thesis!G109)/2*Thesis!G122/1000</f>
        <v>20.7261620256847</v>
      </c>
      <c r="H123" s="6" t="n">
        <f aca="false">(Thesis!G109+Thesis!H109)/2*Thesis!H122/1000</f>
        <v>29.4158183316982</v>
      </c>
      <c r="I123" s="6" t="n">
        <f aca="false">(Thesis!H109+Thesis!I109)/2*Thesis!I122/1000</f>
        <v>36.9724400356344</v>
      </c>
      <c r="J123" s="6" t="n">
        <f aca="false">(Thesis!I109+Thesis!J109)/2*Thesis!J122/1000</f>
        <v>42.0938382992747</v>
      </c>
      <c r="K123" s="6" t="n">
        <f aca="false">(Thesis!J109+Thesis!K109)/2*Thesis!K122/1000</f>
        <v>44.9150106651501</v>
      </c>
    </row>
    <row r="124" customFormat="false" ht="17.15" hidden="false" customHeight="false" outlineLevel="0" collapsed="false">
      <c r="A124" s="0" t="s">
        <v>825</v>
      </c>
      <c r="B124" s="0" t="s">
        <v>98</v>
      </c>
      <c r="D124" s="6" t="n">
        <f aca="false">(Thesis!C107+Thesis!D107)/2*rent_mw/1000</f>
        <v>2.44475</v>
      </c>
      <c r="E124" s="6" t="n">
        <f aca="false">(Thesis!D107+Thesis!E107)/2*rent_mw/1000</f>
        <v>4.22275</v>
      </c>
      <c r="F124" s="6" t="n">
        <f aca="false">(Thesis!E107+Thesis!F107)/2*rent_mw/1000</f>
        <v>5.80517</v>
      </c>
      <c r="G124" s="6" t="n">
        <f aca="false">(Thesis!F107+Thesis!G107)/2*rent_mw/1000</f>
        <v>6.72084</v>
      </c>
      <c r="H124" s="6" t="n">
        <f aca="false">(Thesis!G107+Thesis!H107)/2*rent_mw/1000</f>
        <v>6.72084</v>
      </c>
      <c r="I124" s="6" t="n">
        <f aca="false">(Thesis!H107+Thesis!I107)/2*rent_mw/1000</f>
        <v>6.72084</v>
      </c>
      <c r="J124" s="6" t="n">
        <f aca="false">(Thesis!I107+Thesis!J107)/2*rent_mw/1000</f>
        <v>6.72084</v>
      </c>
      <c r="K124" s="6" t="n">
        <f aca="false">(Thesis!J107+Thesis!K107)/2*rent_mw/1000</f>
        <v>6.72084</v>
      </c>
    </row>
    <row r="125" customFormat="false" ht="17.15" hidden="false" customHeight="false" outlineLevel="0" collapsed="false">
      <c r="A125" s="0" t="s">
        <v>826</v>
      </c>
      <c r="B125" s="0" t="s">
        <v>98</v>
      </c>
      <c r="D125" s="6" t="n">
        <f aca="false">(Thesis!C109+Thesis!D109)/2*(1-self_build)*fac_rent/1000</f>
        <v>0.853242375631075</v>
      </c>
      <c r="E125" s="6" t="n">
        <f aca="false">(Thesis!D109+Thesis!E109)/2*(1-self_build)*fac_rent/1000</f>
        <v>1.94955961408728</v>
      </c>
      <c r="F125" s="6" t="n">
        <f aca="false">(Thesis!E109+Thesis!F109)/2*(1-self_build)*fac_rent/1000</f>
        <v>3.83026455274573</v>
      </c>
      <c r="G125" s="6" t="n">
        <f aca="false">(Thesis!F109+Thesis!G109)/2*(1-self_build)*fac_rent/1000</f>
        <v>6.23541590972812</v>
      </c>
      <c r="H125" s="6" t="n">
        <f aca="false">(Thesis!G109+Thesis!H109)/2*(1-self_build)*fac_rent/1000</f>
        <v>8.74275792332679</v>
      </c>
      <c r="I125" s="6" t="n">
        <f aca="false">(Thesis!H109+Thesis!I109)/2*(1-self_build)*fac_rent/1000</f>
        <v>10.8859420438599</v>
      </c>
      <c r="J125" s="6" t="n">
        <f aca="false">(Thesis!I109+Thesis!J109)/2*(1-self_build)*fac_rent/1000</f>
        <v>12.3008103782619</v>
      </c>
      <c r="K125" s="6" t="n">
        <f aca="false">(Thesis!J109+Thesis!K109)/2*(1-self_build)*fac_rent/1000</f>
        <v>12.9873629265328</v>
      </c>
      <c r="L125" s="11" t="s">
        <v>827</v>
      </c>
    </row>
    <row r="126" customFormat="false" ht="17.15" hidden="false" customHeight="false" outlineLevel="0" collapsed="false">
      <c r="A126" s="1" t="s">
        <v>828</v>
      </c>
      <c r="B126" s="0" t="s">
        <v>129</v>
      </c>
      <c r="D126" s="7" t="n">
        <f aca="false">(Thesis!C108+Thesis!D108)/(Thesis!C109+Thesis!D109)</f>
        <v>0.6</v>
      </c>
      <c r="E126" s="7" t="n">
        <f aca="false">(Thesis!D108+Thesis!E108)/(Thesis!D109+Thesis!E109)</f>
        <v>0.6</v>
      </c>
      <c r="F126" s="7" t="n">
        <f aca="false">(Thesis!E108+Thesis!F108)/(Thesis!E109+Thesis!F109)</f>
        <v>0.6</v>
      </c>
      <c r="G126" s="7" t="n">
        <f aca="false">(Thesis!F108+Thesis!G108)/(Thesis!F109+Thesis!G109)</f>
        <v>0.6</v>
      </c>
      <c r="H126" s="7" t="n">
        <f aca="false">(Thesis!G108+Thesis!H108)/(Thesis!G109+Thesis!H109)</f>
        <v>0.6</v>
      </c>
      <c r="I126" s="7" t="n">
        <f aca="false">(Thesis!H108+Thesis!I108)/(Thesis!H109+Thesis!I109)</f>
        <v>0.6</v>
      </c>
      <c r="J126" s="7" t="n">
        <f aca="false">(Thesis!I108+Thesis!J108)/(Thesis!I109+Thesis!J109)</f>
        <v>0.6</v>
      </c>
      <c r="K126" s="7" t="n">
        <f aca="false">(Thesis!J108+Thesis!K108)/(Thesis!J109+Thesis!K109)</f>
        <v>0.6</v>
      </c>
    </row>
    <row r="127" customFormat="false" ht="17.15" hidden="false" customHeight="false" outlineLevel="0" collapsed="false">
      <c r="A127" s="0" t="s">
        <v>829</v>
      </c>
      <c r="B127" s="0" t="s">
        <v>98</v>
      </c>
      <c r="D127" s="6" t="n">
        <f aca="false">Thesis!D121-Thesis!D126*(Thesis!D123+Thesis!D125)-Thesis!D124</f>
        <v>8.35701406163072</v>
      </c>
      <c r="E127" s="6" t="n">
        <f aca="false">Thesis!E121-Thesis!E126*(Thesis!E123+Thesis!E125)-Thesis!E124</f>
        <v>18.7103224860238</v>
      </c>
      <c r="F127" s="6" t="n">
        <f aca="false">Thesis!F121-Thesis!F126*(Thesis!F123+Thesis!F125)-Thesis!F124</f>
        <v>35.0573455625419</v>
      </c>
      <c r="G127" s="6" t="n">
        <f aca="false">Thesis!G121-Thesis!G126*(Thesis!G123+Thesis!G125)-Thesis!G124</f>
        <v>52.2504971712871</v>
      </c>
      <c r="H127" s="6" t="n">
        <f aca="false">Thesis!H121-Thesis!H126*(Thesis!H123+Thesis!H125)-Thesis!H124</f>
        <v>65.2796698510271</v>
      </c>
      <c r="I127" s="6" t="n">
        <f aca="false">Thesis!I121-Thesis!I126*(Thesis!I123+Thesis!I125)-Thesis!I124</f>
        <v>83.2702996364549</v>
      </c>
      <c r="J127" s="6" t="n">
        <f aca="false">Thesis!J121-Thesis!J126*(Thesis!J123+Thesis!J125)-Thesis!J124</f>
        <v>95.9475744394793</v>
      </c>
      <c r="K127" s="6" t="n">
        <f aca="false">Thesis!K121-Thesis!K126*(Thesis!K123+Thesis!K125)-Thesis!K124</f>
        <v>104.1831135092</v>
      </c>
    </row>
    <row r="128" customFormat="false" ht="17.15" hidden="false" customHeight="false" outlineLevel="0" collapsed="false">
      <c r="A128" s="1" t="s">
        <v>830</v>
      </c>
      <c r="B128" s="0" t="s">
        <v>98</v>
      </c>
      <c r="D128" s="6" t="n">
        <f aca="false">(1-Thesis!D126)*(Thesis!D123+Thesis!D125)</f>
        <v>1.42281025374069</v>
      </c>
      <c r="E128" s="6" t="n">
        <f aca="false">(1-Thesis!E126)*(Thesis!E123+Thesis!E125)</f>
        <v>3.25095598674472</v>
      </c>
      <c r="F128" s="6" t="n">
        <f aca="false">(1-Thesis!F126)*(Thesis!F123+Thesis!F125)</f>
        <v>6.53293055050977</v>
      </c>
      <c r="G128" s="6" t="n">
        <f aca="false">(1-Thesis!G126)*(Thesis!G123+Thesis!G125)</f>
        <v>10.7846311741651</v>
      </c>
      <c r="H128" s="6" t="n">
        <f aca="false">(1-Thesis!H126)*(Thesis!H123+Thesis!H125)</f>
        <v>15.26343050201</v>
      </c>
      <c r="I128" s="6" t="n">
        <f aca="false">(1-Thesis!I126)*(Thesis!I123+Thesis!I125)</f>
        <v>19.1433528317977</v>
      </c>
      <c r="J128" s="6" t="n">
        <f aca="false">(1-Thesis!J126)*(Thesis!J123+Thesis!J125)</f>
        <v>21.7578594710146</v>
      </c>
      <c r="K128" s="6" t="n">
        <f aca="false">(1-Thesis!K126)*(Thesis!K123+Thesis!K125)</f>
        <v>23.1609494366731</v>
      </c>
    </row>
    <row r="129" customFormat="false" ht="17.15" hidden="false" customHeight="false" outlineLevel="0" collapsed="false">
      <c r="A129" s="1" t="s">
        <v>831</v>
      </c>
      <c r="B129" s="0" t="s">
        <v>350</v>
      </c>
      <c r="C129" s="8" t="n">
        <f aca="false">cxit_open</f>
        <v>27.5918995</v>
      </c>
      <c r="D129" s="8" t="n">
        <f aca="false">cxit_open</f>
        <v>27.5918995</v>
      </c>
      <c r="E129" s="8" t="n">
        <f aca="false">cxit_open</f>
        <v>27.5918995</v>
      </c>
      <c r="F129" s="8" t="n">
        <f aca="false">(a_g3_27*tk_cxit_gb300+(1-a_g3_27)*tk_cxit_vr200)</f>
        <v>33.8419624</v>
      </c>
      <c r="G129" s="8" t="n">
        <f aca="false">(a_g3_28*tk_cxit_gb300+(1-a_g3_28)*tk_cxit_vr200)</f>
        <v>35.9816136</v>
      </c>
      <c r="H129" s="8" t="n">
        <f aca="false">(a_g3_29*tk_cxit_gb300+(1-a_g3_29)*tk_cxit_vr200)</f>
        <v>37.0514392</v>
      </c>
      <c r="I129" s="8" t="n">
        <f aca="false">(a_g3_29*tk_cxit_gb300+(1-a_g3_29)*tk_cxit_vr200)</f>
        <v>37.0514392</v>
      </c>
      <c r="J129" s="8" t="n">
        <f aca="false">(a_g3_29*tk_cxit_gb300+(1-a_g3_29)*tk_cxit_vr200)</f>
        <v>37.0514392</v>
      </c>
      <c r="K129" s="8" t="n">
        <f aca="false">(a_g3_29*tk_cxit_gb300+(1-a_g3_29)*tk_cxit_vr200)</f>
        <v>37.0514392</v>
      </c>
      <c r="L129" s="11" t="s">
        <v>832</v>
      </c>
    </row>
    <row r="130" customFormat="false" ht="17.15" hidden="false" customHeight="false" outlineLevel="0" collapsed="false">
      <c r="A130" s="0" t="s">
        <v>833</v>
      </c>
      <c r="B130" s="0" t="s">
        <v>392</v>
      </c>
      <c r="F130" s="29" t="n">
        <f aca="false">Thesis!C111*IF(Thesis!F104-Thesis!C104=life_it,1,0)+Thesis!D111*IF(Thesis!F104-Thesis!D104=life_it,1,0)+Thesis!E111*IF(Thesis!F104-Thesis!E104=life_it,1,0)</f>
        <v>0</v>
      </c>
      <c r="G130" s="29" t="n">
        <f aca="false">Thesis!C111*IF(Thesis!G104-Thesis!C104=life_it,1,0)+Thesis!D111*IF(Thesis!G104-Thesis!D104=life_it,1,0)+Thesis!E111*IF(Thesis!G104-Thesis!E104=life_it,1,0)+Thesis!F111*IF(Thesis!G104-Thesis!F104=life_it,1,0)</f>
        <v>0</v>
      </c>
      <c r="H130" s="29" t="n">
        <f aca="false">Thesis!C111*IF(Thesis!H104-Thesis!C104=life_it,1,0)+Thesis!D111*IF(Thesis!H104-Thesis!D104=life_it,1,0)+Thesis!E111*IF(Thesis!H104-Thesis!E104=life_it,1,0)+Thesis!F111*IF(Thesis!H104-Thesis!F104=life_it,1,0)+Thesis!G111*IF(Thesis!H104-Thesis!G104=life_it,1,0)</f>
        <v>0</v>
      </c>
      <c r="I130" s="29" t="n">
        <f aca="false">Thesis!C111*IF(Thesis!I104-Thesis!C104=life_it,1,0)+Thesis!D111*IF(Thesis!I104-Thesis!D104=life_it,1,0)+Thesis!E111*IF(Thesis!I104-Thesis!E104=life_it,1,0)+Thesis!F111*IF(Thesis!I104-Thesis!F104=life_it,1,0)+Thesis!G111*IF(Thesis!I104-Thesis!G104=life_it,1,0)+Thesis!H111*IF(Thesis!I104-Thesis!H104=life_it,1,0)</f>
        <v>816.666666666667</v>
      </c>
      <c r="J130" s="29" t="n">
        <f aca="false">Thesis!C111*IF(Thesis!J104-Thesis!C104=life_it,1,0)+Thesis!D111*IF(Thesis!J104-Thesis!D104=life_it,1,0)+Thesis!E111*IF(Thesis!J104-Thesis!E104=life_it,1,0)+Thesis!F111*IF(Thesis!J104-Thesis!F104=life_it,1,0)+Thesis!G111*IF(Thesis!J104-Thesis!G104=life_it,1,0)+Thesis!H111*IF(Thesis!J104-Thesis!H104=life_it,1,0)+Thesis!I111*IF(Thesis!J104-Thesis!I104=life_it,1,0)</f>
        <v>1233.33333333333</v>
      </c>
      <c r="K130" s="29" t="n">
        <f aca="false">Thesis!C111*IF(Thesis!K104-Thesis!C104=life_it,1,0)+Thesis!D111*IF(Thesis!K104-Thesis!D104=life_it,1,0)+Thesis!E111*IF(Thesis!K104-Thesis!E104=life_it,1,0)+Thesis!F111*IF(Thesis!K104-Thesis!F104=life_it,1,0)+Thesis!G111*IF(Thesis!K104-Thesis!G104=life_it,1,0)+Thesis!H111*IF(Thesis!K104-Thesis!H104=life_it,1,0)+Thesis!I111*IF(Thesis!K104-Thesis!I104=life_it,1,0)+Thesis!J111*IF(Thesis!K104-Thesis!J104=life_it,1,0)</f>
        <v>2450</v>
      </c>
      <c r="L130" s="1" t="s">
        <v>834</v>
      </c>
    </row>
    <row r="131" customFormat="false" ht="17.15" hidden="false" customHeight="false" outlineLevel="0" collapsed="false">
      <c r="A131" s="0" t="s">
        <v>835</v>
      </c>
      <c r="B131" s="0" t="s">
        <v>98</v>
      </c>
      <c r="C131" s="6" t="n">
        <f aca="false">Thesis!C111*Thesis!C129/1000</f>
        <v>22.5333845916667</v>
      </c>
      <c r="D131" s="6" t="n">
        <f aca="false">Thesis!D111*Thesis!D129/1000</f>
        <v>34.0300093833333</v>
      </c>
      <c r="E131" s="6" t="n">
        <f aca="false">Thesis!E111*Thesis!E129/1000</f>
        <v>67.600153775</v>
      </c>
      <c r="F131" s="6" t="n">
        <f aca="false">(Thesis!F111+Thesis!F130)*Thesis!F129/1000</f>
        <v>130.923271871467</v>
      </c>
      <c r="G131" s="6" t="n">
        <f aca="false">(Thesis!G111+Thesis!G130)*Thesis!G129/1000</f>
        <v>151.5545564832</v>
      </c>
      <c r="H131" s="6" t="n">
        <f aca="false">(Thesis!H111+Thesis!H130)*Thesis!H129/1000</f>
        <v>156.0606619104</v>
      </c>
      <c r="I131" s="6" t="n">
        <f aca="false">(Thesis!I111+Thesis!I130)*Thesis!I129/1000</f>
        <v>140.987889434245</v>
      </c>
      <c r="J131" s="6" t="n">
        <f aca="false">(Thesis!J111+Thesis!J130)*Thesis!J129/1000</f>
        <v>111.094541278091</v>
      </c>
      <c r="K131" s="6" t="n">
        <f aca="false">(Thesis!K111+Thesis!K130)*Thesis!K129/1000</f>
        <v>110.842344481936</v>
      </c>
    </row>
    <row r="132" customFormat="false" ht="17.15" hidden="false" customHeight="false" outlineLevel="0" collapsed="false">
      <c r="A132" s="0" t="s">
        <v>836</v>
      </c>
      <c r="B132" s="0" t="s">
        <v>98</v>
      </c>
      <c r="C132" s="6" t="n">
        <f aca="false">Thesis!C111*self_build*tk_cxfac/1000</f>
        <v>6.2083</v>
      </c>
      <c r="D132" s="6" t="n">
        <f aca="false">Thesis!D111*self_build*tk_cxfac/1000</f>
        <v>9.3758</v>
      </c>
      <c r="E132" s="6" t="n">
        <f aca="false">Thesis!E111*self_build*tk_cxfac/1000</f>
        <v>18.6249</v>
      </c>
      <c r="F132" s="6" t="n">
        <f aca="false">Thesis!F111*self_build*tk_cxfac/1000</f>
        <v>29.409604</v>
      </c>
      <c r="G132" s="6" t="n">
        <f aca="false">Thesis!G111*self_build*tk_cxfac/1000</f>
        <v>32.019624</v>
      </c>
      <c r="H132" s="6" t="n">
        <f aca="false">Thesis!H111*self_build*tk_cxfac/1000</f>
        <v>32.019624</v>
      </c>
      <c r="I132" s="6" t="n">
        <f aca="false">Thesis!I111*self_build*tk_cxfac/1000</f>
        <v>22.71877972</v>
      </c>
      <c r="J132" s="6" t="n">
        <f aca="false">Thesis!J111*self_build*tk_cxfac/1000</f>
        <v>13.41793544</v>
      </c>
      <c r="K132" s="6" t="n">
        <f aca="false">Thesis!K111*self_build*tk_cxfac/1000</f>
        <v>4.11709116000001</v>
      </c>
    </row>
    <row r="133" customFormat="false" ht="17.15" hidden="false" customHeight="false" outlineLevel="0" collapsed="false">
      <c r="A133" s="0" t="s">
        <v>837</v>
      </c>
      <c r="B133" s="0" t="s">
        <v>98</v>
      </c>
      <c r="F133" s="6" t="n">
        <f aca="false">MAX(0,capex_floor27-Thesis!F131-Thesis!F132-CF!F81)</f>
        <v>8.43777689897088</v>
      </c>
      <c r="L133" s="1" t="s">
        <v>838</v>
      </c>
    </row>
    <row r="134" customFormat="false" ht="17.15" hidden="false" customHeight="false" outlineLevel="0" collapsed="false">
      <c r="A134" s="0" t="s">
        <v>839</v>
      </c>
      <c r="B134" s="0" t="s">
        <v>98</v>
      </c>
      <c r="C134" s="6" t="n">
        <f aca="false">Thesis!C131</f>
        <v>22.5333845916667</v>
      </c>
      <c r="D134" s="6" t="n">
        <f aca="false">Thesis!D131</f>
        <v>34.0300093833333</v>
      </c>
      <c r="E134" s="6" t="n">
        <f aca="false">Thesis!E131</f>
        <v>67.600153775</v>
      </c>
      <c r="F134" s="6" t="n">
        <f aca="false">Thesis!F131+Thesis!F133</f>
        <v>139.361048770438</v>
      </c>
      <c r="G134" s="6" t="n">
        <f aca="false">Thesis!G131</f>
        <v>151.5545564832</v>
      </c>
      <c r="H134" s="6" t="n">
        <f aca="false">Thesis!H131</f>
        <v>156.0606619104</v>
      </c>
      <c r="I134" s="6" t="n">
        <f aca="false">Thesis!I131</f>
        <v>140.987889434245</v>
      </c>
      <c r="J134" s="6" t="n">
        <f aca="false">Thesis!J131</f>
        <v>111.094541278091</v>
      </c>
      <c r="K134" s="6" t="n">
        <f aca="false">Thesis!K131</f>
        <v>110.842344481936</v>
      </c>
    </row>
    <row r="135" customFormat="false" ht="17.15" hidden="false" customHeight="false" outlineLevel="0" collapsed="false">
      <c r="A135" s="0" t="s">
        <v>840</v>
      </c>
      <c r="B135" s="0" t="s">
        <v>98</v>
      </c>
      <c r="C135" s="6" t="n">
        <f aca="false">Thesis!C134+Thesis!C132</f>
        <v>28.7416845916667</v>
      </c>
      <c r="D135" s="6" t="n">
        <f aca="false">Thesis!D134+Thesis!D132</f>
        <v>43.4058093833333</v>
      </c>
      <c r="E135" s="6" t="n">
        <f aca="false">Thesis!E134+Thesis!E132</f>
        <v>86.225053775</v>
      </c>
      <c r="F135" s="6" t="n">
        <f aca="false">Thesis!F134+Thesis!F132</f>
        <v>168.770652770438</v>
      </c>
      <c r="G135" s="6" t="n">
        <f aca="false">Thesis!G134+Thesis!G132</f>
        <v>183.5741804832</v>
      </c>
      <c r="H135" s="6" t="n">
        <f aca="false">Thesis!H134+Thesis!H132</f>
        <v>188.0802859104</v>
      </c>
      <c r="I135" s="6" t="n">
        <f aca="false">Thesis!I134+Thesis!I132</f>
        <v>163.706669154245</v>
      </c>
      <c r="J135" s="6" t="n">
        <f aca="false">Thesis!J134+Thesis!J132</f>
        <v>124.51247671809</v>
      </c>
      <c r="K135" s="6" t="n">
        <f aca="false">Thesis!K134+Thesis!K132</f>
        <v>114.959435641936</v>
      </c>
      <c r="L135" s="11" t="s">
        <v>841</v>
      </c>
    </row>
    <row r="136" customFormat="false" ht="17.15" hidden="false" customHeight="false" outlineLevel="0" collapsed="false">
      <c r="A136" s="0" t="s">
        <v>842</v>
      </c>
      <c r="B136" s="0" t="s">
        <v>98</v>
      </c>
      <c r="E136" s="6" t="n">
        <f aca="false">(Thesis!C134*IF(2&lt;life_it,1,IF(2=life_it,0.5,0))+Thesis!D134*IF(1&lt;life_it,1,IF(1=life_it,0.5,0))+Thesis!E134*0.5)/life_it</f>
        <v>15.0605784770833</v>
      </c>
      <c r="F136" s="6" t="n">
        <f aca="false">(Thesis!C134*IF(3&lt;life_it,1,IF(3=life_it,0.5,0))+Thesis!D134*IF(2&lt;life_it,1,IF(2=life_it,0.5,0))+Thesis!E134*IF(1&lt;life_it,1,IF(1=life_it,0.5,0))+Thesis!F134*0.5)/life_it</f>
        <v>32.3073453558698</v>
      </c>
      <c r="G136" s="6" t="n">
        <f aca="false">(Thesis!C134*IF(4&lt;life_it,1,IF(4=life_it,0.5,0))+Thesis!D134*IF(3&lt;life_it,1,IF(3=life_it,0.5,0))+Thesis!E134*IF(2&lt;life_it,1,IF(2=life_it,0.5,0))+Thesis!F134*IF(1&lt;life_it,1,IF(1=life_it,0.5,0))+Thesis!G134*0.5)/life_it</f>
        <v>56.5503124603396</v>
      </c>
      <c r="H136" s="6" t="n">
        <f aca="false">(Thesis!C134*IF(5&lt;life_it,1,IF(5=life_it,0.5,0))+Thesis!D134*IF(4&lt;life_it,1,IF(4=life_it,0.5,0))+Thesis!E134*IF(3&lt;life_it,1,IF(3=life_it,0.5,0))+Thesis!F134*IF(2&lt;life_it,1,IF(2=life_it,0.5,0))+Thesis!G134*IF(1&lt;life_it,1,IF(1=life_it,0.5,0))+Thesis!H134*0.5)/life_it</f>
        <v>82.1849139931396</v>
      </c>
      <c r="I136" s="6" t="n">
        <f aca="false">(Thesis!C134*IF(6&lt;life_it,1,IF(6=life_it,0.5,0))+Thesis!D134*IF(5&lt;life_it,1,IF(5=life_it,0.5,0))+Thesis!E134*IF(4&lt;life_it,1,IF(4=life_it,0.5,0))+Thesis!F134*IF(3&lt;life_it,1,IF(3=life_it,0.5,0))+Thesis!G134*IF(2&lt;life_it,1,IF(2=life_it,0.5,0))+Thesis!H134*IF(1&lt;life_it,1,IF(1=life_it,0.5,0))+Thesis!I134*0.5)/life_it</f>
        <v>105.061177889221</v>
      </c>
      <c r="J136" s="6" t="n">
        <f aca="false">(Thesis!C134*IF(7&lt;life_it,1,IF(7=life_it,0.5,0))+Thesis!D134*IF(6&lt;life_it,1,IF(6=life_it,0.5,0))+Thesis!E134*IF(5&lt;life_it,1,IF(5=life_it,0.5,0))+Thesis!F134*IF(4&lt;life_it,1,IF(4=life_it,0.5,0))+Thesis!G134*IF(3&lt;life_it,1,IF(3=life_it,0.5,0))+Thesis!H134*IF(2&lt;life_it,1,IF(2=life_it,0.5,0))+Thesis!I134*IF(1&lt;life_it,1,IF(1=life_it,0.5,0))+Thesis!J134*0.5)/life_it</f>
        <v>121.354430950666</v>
      </c>
      <c r="K136" s="6" t="n">
        <f aca="false">(Thesis!C134*IF(8&lt;life_it,1,IF(8=life_it,0.5,0))+Thesis!D134*IF(7&lt;life_it,1,IF(7=life_it,0.5,0))+Thesis!E134*IF(6&lt;life_it,1,IF(6=life_it,0.5,0))+Thesis!F134*IF(5&lt;life_it,1,IF(5=life_it,0.5,0))+Thesis!G134*IF(4&lt;life_it,1,IF(4=life_it,0.5,0))+Thesis!H134*IF(3&lt;life_it,1,IF(3=life_it,0.5,0))+Thesis!I134*IF(2&lt;life_it,1,IF(2=life_it,0.5,0))+Thesis!J134*IF(1&lt;life_it,1,IF(1=life_it,0.5,0))+Thesis!K134*0.5)/life_it</f>
        <v>131.379991167474</v>
      </c>
    </row>
    <row r="137" customFormat="false" ht="17.15" hidden="false" customHeight="false" outlineLevel="0" collapsed="false">
      <c r="A137" s="0" t="s">
        <v>843</v>
      </c>
      <c r="B137" s="0" t="s">
        <v>98</v>
      </c>
      <c r="E137" s="6" t="n">
        <f aca="false">(Thesis!C132*IF(2&lt;life_fac,1,IF(2=life_fac,0.5,0))+Thesis!D132*IF(1&lt;life_fac,1,IF(1=life_fac,0.5,0))+Thesis!E132*0.5)/life_fac</f>
        <v>1.2448275</v>
      </c>
      <c r="F137" s="6" t="n">
        <f aca="false">(Thesis!C132*IF(3&lt;life_fac,1,IF(3=life_fac,0.5,0))+Thesis!D132*IF(2&lt;life_fac,1,IF(2=life_fac,0.5,0))+Thesis!E132*IF(1&lt;life_fac,1,IF(1=life_fac,0.5,0))+Thesis!F132*0.5)/life_fac</f>
        <v>2.4456901</v>
      </c>
      <c r="G137" s="6" t="n">
        <f aca="false">(Thesis!C132*IF(4&lt;life_fac,1,IF(4=life_fac,0.5,0))+Thesis!D132*IF(3&lt;life_fac,1,IF(3=life_fac,0.5,0))+Thesis!E132*IF(2&lt;life_fac,1,IF(2=life_fac,0.5,0))+Thesis!F132*IF(1&lt;life_fac,1,IF(1=life_fac,0.5,0))+Thesis!G132*0.5)/life_fac</f>
        <v>3.9814208</v>
      </c>
      <c r="H137" s="6" t="n">
        <f aca="false">(Thesis!C132*IF(5&lt;life_fac,1,IF(5=life_fac,0.5,0))+Thesis!D132*IF(4&lt;life_fac,1,IF(4=life_fac,0.5,0))+Thesis!E132*IF(3&lt;life_fac,1,IF(3=life_fac,0.5,0))+Thesis!F132*IF(2&lt;life_fac,1,IF(2=life_fac,0.5,0))+Thesis!G132*IF(1&lt;life_fac,1,IF(1=life_fac,0.5,0))+Thesis!H132*0.5)/life_fac</f>
        <v>5.582402</v>
      </c>
      <c r="I137" s="6" t="n">
        <f aca="false">(Thesis!C132*IF(6&lt;life_fac,1,IF(6=life_fac,0.5,0))+Thesis!D132*IF(5&lt;life_fac,1,IF(5=life_fac,0.5,0))+Thesis!E132*IF(4&lt;life_fac,1,IF(4=life_fac,0.5,0))+Thesis!F132*IF(3&lt;life_fac,1,IF(3=life_fac,0.5,0))+Thesis!G132*IF(2&lt;life_fac,1,IF(2=life_fac,0.5,0))+Thesis!H132*IF(1&lt;life_fac,1,IF(1=life_fac,0.5,0))+Thesis!I132*0.5)/life_fac</f>
        <v>6.950862093</v>
      </c>
      <c r="J137" s="6" t="n">
        <f aca="false">(Thesis!C132*IF(7&lt;life_fac,1,IF(7=life_fac,0.5,0))+Thesis!D132*IF(6&lt;life_fac,1,IF(6=life_fac,0.5,0))+Thesis!E132*IF(5&lt;life_fac,1,IF(5=life_fac,0.5,0))+Thesis!F132*IF(4&lt;life_fac,1,IF(4=life_fac,0.5,0))+Thesis!G132*IF(3&lt;life_fac,1,IF(3=life_fac,0.5,0))+Thesis!H132*IF(2&lt;life_fac,1,IF(2=life_fac,0.5,0))+Thesis!I132*IF(1&lt;life_fac,1,IF(1=life_fac,0.5,0))+Thesis!J132*0.5)/life_fac</f>
        <v>7.854279972</v>
      </c>
      <c r="K137" s="6" t="n">
        <f aca="false">(Thesis!C132*IF(8&lt;life_fac,1,IF(8=life_fac,0.5,0))+Thesis!D132*IF(7&lt;life_fac,1,IF(7=life_fac,0.5,0))+Thesis!E132*IF(6&lt;life_fac,1,IF(6=life_fac,0.5,0))+Thesis!F132*IF(5&lt;life_fac,1,IF(5=life_fac,0.5,0))+Thesis!G132*IF(4&lt;life_fac,1,IF(4=life_fac,0.5,0))+Thesis!H132*IF(3&lt;life_fac,1,IF(3=life_fac,0.5,0))+Thesis!I132*IF(2&lt;life_fac,1,IF(2=life_fac,0.5,0))+Thesis!J132*IF(1&lt;life_fac,1,IF(1=life_fac,0.5,0))+Thesis!K132*0.5)/life_fac</f>
        <v>8.292655637</v>
      </c>
    </row>
    <row r="138" customFormat="false" ht="17.15" hidden="false" customHeight="false" outlineLevel="0" collapsed="false">
      <c r="A138" s="0" t="s">
        <v>844</v>
      </c>
      <c r="B138" s="0" t="s">
        <v>98</v>
      </c>
      <c r="E138" s="6" t="n">
        <f aca="false">Thesis!E136+Thesis!E137</f>
        <v>16.3054059770833</v>
      </c>
      <c r="F138" s="6" t="n">
        <f aca="false">Thesis!F136+Thesis!F137</f>
        <v>34.7530354558698</v>
      </c>
      <c r="G138" s="6" t="n">
        <f aca="false">Thesis!G136+Thesis!G137</f>
        <v>60.5317332603396</v>
      </c>
      <c r="H138" s="6" t="n">
        <f aca="false">Thesis!H136+Thesis!H137</f>
        <v>87.7673159931396</v>
      </c>
      <c r="I138" s="6" t="n">
        <f aca="false">Thesis!I136+Thesis!I137</f>
        <v>112.012039982221</v>
      </c>
      <c r="J138" s="6" t="n">
        <f aca="false">Thesis!J136+Thesis!J137</f>
        <v>129.208710922666</v>
      </c>
      <c r="K138" s="6" t="n">
        <f aca="false">Thesis!K136+Thesis!K137</f>
        <v>139.672646804474</v>
      </c>
    </row>
    <row r="139" customFormat="false" ht="17.15" hidden="false" customHeight="false" outlineLevel="0" collapsed="false">
      <c r="A139" s="0" t="s">
        <v>845</v>
      </c>
      <c r="B139" s="0" t="s">
        <v>98</v>
      </c>
      <c r="E139" s="6" t="n">
        <f aca="false">Thesis!E127-Thesis!E126*Thesis!E138</f>
        <v>8.92707889977379</v>
      </c>
      <c r="F139" s="6" t="n">
        <f aca="false">Thesis!F127-Thesis!F126*Thesis!F138</f>
        <v>14.2055242890201</v>
      </c>
      <c r="G139" s="6" t="n">
        <f aca="false">Thesis!G127-Thesis!G126*Thesis!G138</f>
        <v>15.9314572150833</v>
      </c>
      <c r="H139" s="6" t="n">
        <f aca="false">Thesis!H127-Thesis!H126*Thesis!H138</f>
        <v>12.6192802551433</v>
      </c>
      <c r="I139" s="6" t="n">
        <f aca="false">Thesis!I127-Thesis!I126*Thesis!I138</f>
        <v>16.0630756471222</v>
      </c>
      <c r="J139" s="6" t="n">
        <f aca="false">Thesis!J127-Thesis!J126*Thesis!J138</f>
        <v>18.4223478858798</v>
      </c>
      <c r="K139" s="6" t="n">
        <f aca="false">Thesis!K127-Thesis!K126*Thesis!K138</f>
        <v>20.3795254265162</v>
      </c>
    </row>
    <row r="140" customFormat="false" ht="17.15" hidden="false" customHeight="false" outlineLevel="0" collapsed="false">
      <c r="A140" s="0" t="s">
        <v>846</v>
      </c>
      <c r="B140" s="0" t="s">
        <v>98</v>
      </c>
      <c r="E140" s="6" t="n">
        <f aca="false">Seg!E65</f>
        <v>5.25</v>
      </c>
      <c r="F140" s="6" t="n">
        <f aca="false">Seg!F65</f>
        <v>10.5</v>
      </c>
      <c r="G140" s="6" t="n">
        <f aca="false">Seg!G65</f>
        <v>13.5</v>
      </c>
      <c r="H140" s="6" t="n">
        <f aca="false">Seg!H65</f>
        <v>16.5</v>
      </c>
      <c r="I140" s="6" t="n">
        <f aca="false">Seg!I65</f>
        <v>18.75</v>
      </c>
      <c r="J140" s="6" t="n">
        <f aca="false">Seg!J65</f>
        <v>20.25</v>
      </c>
      <c r="K140" s="6" t="n">
        <f aca="false">Seg!K65</f>
        <v>21.75</v>
      </c>
    </row>
    <row r="141" customFormat="false" ht="17.15" hidden="false" customHeight="false" outlineLevel="0" collapsed="false">
      <c r="A141" s="1" t="s">
        <v>847</v>
      </c>
      <c r="B141" s="0" t="s">
        <v>98</v>
      </c>
      <c r="F141" s="6" t="n">
        <f aca="false">MAX(0,(Thesis!E110+Thesis!F110)/2*Thesis!F118/1000-Thesis!F140*PL!F109)</f>
        <v>20.7922544923746</v>
      </c>
      <c r="G141" s="6" t="n">
        <f aca="false">MAX(0,(Thesis!F110+Thesis!G110)/2*Thesis!G118/1000-Thesis!G140*PL!G109)</f>
        <v>37.7052575228648</v>
      </c>
      <c r="H141" s="6" t="n">
        <f aca="false">MAX(0,(Thesis!G110+Thesis!H110)/2*Thesis!H118/1000-Thesis!H140*PL!H109)</f>
        <v>55.9707166463052</v>
      </c>
      <c r="I141" s="6" t="n">
        <f aca="false">MAX(0,(Thesis!H110+Thesis!I110)/2*Thesis!I118/1000-Thesis!I140*PL!I109)</f>
        <v>72.386177414753</v>
      </c>
      <c r="J141" s="6" t="n">
        <f aca="false">MAX(0,(Thesis!I110+Thesis!J110)/2*Thesis!J118/1000-Thesis!J140*PL!J109)</f>
        <v>83.8561542203386</v>
      </c>
      <c r="K141" s="6" t="n">
        <f aca="false">MAX(0,(Thesis!J110+Thesis!K110)/2*Thesis!K118/1000-Thesis!K140*PL!K109)</f>
        <v>90.6046701138278</v>
      </c>
      <c r="L141" s="1" t="s">
        <v>848</v>
      </c>
    </row>
    <row r="142" customFormat="false" ht="17.15" hidden="false" customHeight="false" outlineLevel="0" collapsed="false">
      <c r="A142" s="1" t="s">
        <v>849</v>
      </c>
      <c r="B142" s="0" t="s">
        <v>98</v>
      </c>
      <c r="F142" s="6" t="n">
        <f aca="false">IF(internal_ai_reading=2,1,0)*Thesis!F141</f>
        <v>20.7922544923746</v>
      </c>
      <c r="G142" s="6" t="n">
        <f aca="false">IF(internal_ai_reading=2,1,0)*Thesis!G141</f>
        <v>37.7052575228648</v>
      </c>
      <c r="H142" s="6" t="n">
        <f aca="false">IF(internal_ai_reading=2,1,0)*Thesis!H141</f>
        <v>55.9707166463052</v>
      </c>
      <c r="I142" s="6" t="n">
        <f aca="false">IF(internal_ai_reading=2,1,0)*Thesis!I141</f>
        <v>72.386177414753</v>
      </c>
      <c r="J142" s="6" t="n">
        <f aca="false">IF(internal_ai_reading=2,1,0)*Thesis!J141</f>
        <v>83.8561542203386</v>
      </c>
      <c r="K142" s="6" t="n">
        <f aca="false">IF(internal_ai_reading=2,1,0)*Thesis!K141</f>
        <v>90.6046701138278</v>
      </c>
    </row>
    <row r="143" customFormat="false" ht="17.15" hidden="false" customHeight="false" outlineLevel="0" collapsed="false">
      <c r="A143" s="0" t="s">
        <v>850</v>
      </c>
      <c r="B143" s="0" t="s">
        <v>98</v>
      </c>
      <c r="F143" s="6" t="n">
        <f aca="false">Thesis!F127+Thesis!F140*PL!F109+Thesis!F142-Thesis!F128-Thesis!F138</f>
        <v>20.5586862327591</v>
      </c>
      <c r="G143" s="6" t="n">
        <f aca="false">Thesis!G127+Thesis!G140*PL!G109+Thesis!G142-Thesis!G128-Thesis!G138</f>
        <v>26.3473144965041</v>
      </c>
      <c r="H143" s="6" t="n">
        <f aca="false">Thesis!H127+Thesis!H140*PL!H109+Thesis!H142-Thesis!H128-Thesis!H138</f>
        <v>27.6404362916746</v>
      </c>
      <c r="I143" s="6" t="n">
        <f aca="false">Thesis!I127+Thesis!I140*PL!I109+Thesis!I142-Thesis!I128-Thesis!I138</f>
        <v>35.206534566157</v>
      </c>
      <c r="J143" s="6" t="n">
        <f aca="false">Thesis!J127+Thesis!J140*PL!J109+Thesis!J142-Thesis!J128-Thesis!J138</f>
        <v>40.399044621423</v>
      </c>
      <c r="K143" s="6" t="n">
        <f aca="false">Thesis!K127+Thesis!K140*PL!K109+Thesis!K142-Thesis!K128-Thesis!K138</f>
        <v>44.3725097634843</v>
      </c>
    </row>
    <row r="144" customFormat="false" ht="17.15" hidden="false" customHeight="false" outlineLevel="0" collapsed="false">
      <c r="A144" s="0" t="s">
        <v>851</v>
      </c>
      <c r="B144" s="0" t="s">
        <v>98</v>
      </c>
      <c r="E144" s="6" t="n">
        <f aca="false">Thesis!E109*(cxit_open+self_build*tk_cxfac)/1000*ai_net_open</f>
        <v>126.6980382</v>
      </c>
      <c r="F144" s="6" t="n">
        <f aca="false">Thesis!E144+Thesis!F135-Thesis!F138</f>
        <v>260.715655514568</v>
      </c>
      <c r="G144" s="6" t="n">
        <f aca="false">Thesis!F144+Thesis!G135-Thesis!G138</f>
        <v>383.758102737428</v>
      </c>
      <c r="H144" s="6" t="n">
        <f aca="false">Thesis!G144+Thesis!H135-Thesis!H138</f>
        <v>484.071072654689</v>
      </c>
      <c r="I144" s="6" t="n">
        <f aca="false">Thesis!H144+Thesis!I135-Thesis!I138</f>
        <v>535.765701826713</v>
      </c>
      <c r="J144" s="6" t="n">
        <f aca="false">Thesis!I144+Thesis!J135-Thesis!J138</f>
        <v>531.069467622138</v>
      </c>
      <c r="K144" s="6" t="n">
        <f aca="false">Thesis!J144+Thesis!K135-Thesis!K138</f>
        <v>506.3562564596</v>
      </c>
      <c r="L144" s="1" t="s">
        <v>852</v>
      </c>
    </row>
    <row r="145" customFormat="false" ht="17.15" hidden="false" customHeight="false" outlineLevel="0" collapsed="false">
      <c r="A145" s="0" t="s">
        <v>853</v>
      </c>
      <c r="B145" s="0" t="s">
        <v>129</v>
      </c>
      <c r="F145" s="7" t="n">
        <f aca="false">Thesis!F143*(1-tax_f)/((Thesis!E144+Thesis!F144)/2)</f>
        <v>0.0849063894903249</v>
      </c>
      <c r="G145" s="7" t="n">
        <f aca="false">Thesis!G143*(1-tax_f)/((Thesis!F144+Thesis!G144)/2)</f>
        <v>0.0654110468496738</v>
      </c>
      <c r="H145" s="7" t="n">
        <f aca="false">Thesis!H143*(1-tax_f)/((Thesis!G144+Thesis!H144)/2)</f>
        <v>0.0509601420656284</v>
      </c>
      <c r="I145" s="7" t="n">
        <f aca="false">Thesis!I143*(1-tax_f)/((Thesis!H144+Thesis!I144)/2)</f>
        <v>0.0552347755203238</v>
      </c>
      <c r="J145" s="7" t="n">
        <f aca="false">Thesis!J143*(1-tax_f)/((Thesis!I144+Thesis!J144)/2)</f>
        <v>0.0605889956062007</v>
      </c>
      <c r="K145" s="7" t="n">
        <f aca="false">Thesis!K143*(1-tax_f)/((Thesis!J144+Thesis!K144)/2)</f>
        <v>0.068434793907213</v>
      </c>
    </row>
    <row r="146" customFormat="false" ht="17.15" hidden="false" customHeight="false" outlineLevel="0" collapsed="false">
      <c r="A146" s="1" t="s">
        <v>854</v>
      </c>
      <c r="B146" s="0" t="s">
        <v>129</v>
      </c>
      <c r="F146" s="7" t="n">
        <f aca="false">(Thesis!F143-Thesis!F142)*(1-tax_f)/((Thesis!E144+Thesis!F144)/2)</f>
        <v>-0.000964625725543334</v>
      </c>
      <c r="G146" s="7" t="n">
        <f aca="false">(Thesis!G143-Thesis!G142)*(1-tax_f)/((Thesis!F144+Thesis!G144)/2)</f>
        <v>-0.0281977483326346</v>
      </c>
      <c r="H146" s="7" t="n">
        <f aca="false">(Thesis!H143-Thesis!H142)*(1-tax_f)/((Thesis!G144+Thesis!H144)/2)</f>
        <v>-0.0522319943287548</v>
      </c>
      <c r="I146" s="7" t="n">
        <f aca="false">(Thesis!I143-Thesis!I142)*(1-tax_f)/((Thesis!H144+Thesis!I144)/2)</f>
        <v>-0.0583303427041093</v>
      </c>
      <c r="J146" s="7" t="n">
        <f aca="false">(Thesis!J143-Thesis!J142)*(1-tax_f)/((Thesis!I144+Thesis!J144)/2)</f>
        <v>-0.0651753685568751</v>
      </c>
      <c r="K146" s="7" t="n">
        <f aca="false">(Thesis!K143-Thesis!K142)*(1-tax_f)/((Thesis!J144+Thesis!K144)/2)</f>
        <v>-0.0713028941190216</v>
      </c>
    </row>
    <row r="147" customFormat="false" ht="17.15" hidden="false" customHeight="false" outlineLevel="0" collapsed="false">
      <c r="A147" s="1" t="s">
        <v>855</v>
      </c>
      <c r="B147" s="0" t="s">
        <v>129</v>
      </c>
      <c r="F147" s="7" t="n">
        <f aca="false">(Thesis!F143-Thesis!F142+Thesis!F141)*(1-tax_f)/((Thesis!E144+Thesis!F144)/2)</f>
        <v>0.0849063894903249</v>
      </c>
      <c r="G147" s="7" t="n">
        <f aca="false">(Thesis!G143-Thesis!G142+Thesis!G141)*(1-tax_f)/((Thesis!F144+Thesis!G144)/2)</f>
        <v>0.0654110468496738</v>
      </c>
      <c r="H147" s="7" t="n">
        <f aca="false">(Thesis!H143-Thesis!H142+Thesis!H141)*(1-tax_f)/((Thesis!G144+Thesis!H144)/2)</f>
        <v>0.0509601420656284</v>
      </c>
      <c r="I147" s="7" t="n">
        <f aca="false">(Thesis!I143-Thesis!I142+Thesis!I141)*(1-tax_f)/((Thesis!H144+Thesis!I144)/2)</f>
        <v>0.0552347755203238</v>
      </c>
      <c r="J147" s="7" t="n">
        <f aca="false">(Thesis!J143-Thesis!J142+Thesis!J141)*(1-tax_f)/((Thesis!I144+Thesis!J144)/2)</f>
        <v>0.0605889956062007</v>
      </c>
      <c r="K147" s="7" t="n">
        <f aca="false">(Thesis!K143-Thesis!K142+Thesis!K141)*(1-tax_f)/((Thesis!J144+Thesis!K144)/2)</f>
        <v>0.068434793907213</v>
      </c>
    </row>
    <row r="148" customFormat="false" ht="17.15" hidden="false" customHeight="false" outlineLevel="0" collapsed="false">
      <c r="A148" s="1" t="s">
        <v>856</v>
      </c>
      <c r="B148" s="0" t="s">
        <v>129</v>
      </c>
      <c r="F148" s="7" t="n">
        <f aca="false">Thesis!F139*(1-tax_f)/(Thesis!F126*(Thesis!E144+Thesis!F144)/2)</f>
        <v>0.0977802249085266</v>
      </c>
      <c r="G148" s="7" t="n">
        <f aca="false">Thesis!G139*(1-tax_f)/(Thesis!G126*(Thesis!F144+Thesis!G144)/2)</f>
        <v>0.0659202727231561</v>
      </c>
      <c r="H148" s="7" t="n">
        <f aca="false">Thesis!H139*(1-tax_f)/(Thesis!H126*(Thesis!G144+Thesis!H144)/2)</f>
        <v>0.0387765414760463</v>
      </c>
      <c r="I148" s="7" t="n">
        <f aca="false">Thesis!I139*(1-tax_f)/(Thesis!I126*(Thesis!H144+Thesis!I144)/2)</f>
        <v>0.0420016903333455</v>
      </c>
      <c r="J148" s="7" t="n">
        <f aca="false">Thesis!J139*(1-tax_f)/(Thesis!J126*(Thesis!I144+Thesis!J144)/2)</f>
        <v>0.0460485953555435</v>
      </c>
      <c r="K148" s="7" t="n">
        <f aca="false">Thesis!K139*(1-tax_f)/(Thesis!K126*(Thesis!J144+Thesis!K144)/2)</f>
        <v>0.0523848598274153</v>
      </c>
    </row>
    <row r="149" customFormat="false" ht="17.15" hidden="false" customHeight="false" outlineLevel="0" collapsed="false">
      <c r="A149" s="0" t="s">
        <v>857</v>
      </c>
      <c r="B149" s="0" t="s">
        <v>209</v>
      </c>
      <c r="F149" s="7" t="n">
        <f aca="false">Thesis!F145-wacc</f>
        <v>-0.0180280306025508</v>
      </c>
      <c r="G149" s="7" t="n">
        <f aca="false">Thesis!G145-wacc</f>
        <v>-0.037523373243202</v>
      </c>
      <c r="H149" s="7" t="n">
        <f aca="false">Thesis!H145-wacc</f>
        <v>-0.0519742780272474</v>
      </c>
      <c r="I149" s="7" t="n">
        <f aca="false">Thesis!I145-wacc</f>
        <v>-0.047699644572552</v>
      </c>
      <c r="J149" s="7" t="n">
        <f aca="false">Thesis!J145-wacc</f>
        <v>-0.042345424486675</v>
      </c>
      <c r="K149" s="7" t="n">
        <f aca="false">Thesis!K145-wacc</f>
        <v>-0.0344996261856627</v>
      </c>
    </row>
    <row r="150" customFormat="false" ht="17.15" hidden="false" customHeight="false" outlineLevel="0" collapsed="false">
      <c r="A150" s="0" t="s">
        <v>858</v>
      </c>
      <c r="B150" s="0" t="s">
        <v>98</v>
      </c>
      <c r="F150" s="6" t="n">
        <f aca="false">Thesis!F143*(1-tax_f)-wacc*(Thesis!E144+Thesis!F144)/2</f>
        <v>-3.49215296306674</v>
      </c>
      <c r="G150" s="6" t="n">
        <f aca="false">Thesis!G143*(1-tax_f)-wacc*(Thesis!F144+Thesis!G144)/2</f>
        <v>-12.0914146881694</v>
      </c>
      <c r="H150" s="6" t="n">
        <f aca="false">Thesis!H143*(1-tax_f)-wacc*(Thesis!G144+Thesis!H144)/2</f>
        <v>-22.5523974209934</v>
      </c>
      <c r="I150" s="6" t="n">
        <f aca="false">Thesis!I143*(1-tax_f)-wacc*(Thesis!H144+Thesis!I144)/2</f>
        <v>-24.3229258323903</v>
      </c>
      <c r="J150" s="6" t="n">
        <f aca="false">Thesis!J143*(1-tax_f)-wacc*(Thesis!I144+Thesis!J144)/2</f>
        <v>-22.5877940538127</v>
      </c>
      <c r="K150" s="6" t="n">
        <f aca="false">Thesis!K143*(1-tax_f)-wacc*(Thesis!J144+Thesis!K144)/2</f>
        <v>-17.8953998381052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861</v>
      </c>
    </row>
    <row r="2" customFormat="false" ht="17.15" hidden="false" customHeight="false" outlineLevel="0" collapsed="false">
      <c r="A2" s="1" t="s">
        <v>862</v>
      </c>
    </row>
    <row r="4" customFormat="false" ht="17.15" hidden="false" customHeight="false" outlineLevel="0" collapsed="false">
      <c r="A4" s="3" t="s">
        <v>863</v>
      </c>
    </row>
    <row r="5" customFormat="false" ht="15" hidden="false" customHeight="false" outlineLevel="0" collapsed="false">
      <c r="A5" s="4" t="s">
        <v>43</v>
      </c>
      <c r="B5" s="4" t="s">
        <v>65</v>
      </c>
      <c r="C5" s="20" t="s">
        <v>788</v>
      </c>
      <c r="D5" s="20" t="s">
        <v>789</v>
      </c>
      <c r="E5" s="20" t="s">
        <v>790</v>
      </c>
      <c r="F5" s="20" t="s">
        <v>791</v>
      </c>
      <c r="G5" s="20" t="s">
        <v>792</v>
      </c>
      <c r="H5" s="20" t="s">
        <v>793</v>
      </c>
      <c r="I5" s="20" t="s">
        <v>794</v>
      </c>
      <c r="J5" s="20" t="s">
        <v>795</v>
      </c>
      <c r="K5" s="20" t="s">
        <v>796</v>
      </c>
      <c r="L5" s="4" t="s">
        <v>47</v>
      </c>
    </row>
    <row r="6" customFormat="false" ht="17.15" hidden="false" customHeight="false" outlineLevel="0" collapsed="false">
      <c r="A6" s="0" t="s">
        <v>864</v>
      </c>
      <c r="B6" s="0" t="s">
        <v>98</v>
      </c>
      <c r="D6" s="6" t="n">
        <f aca="false">Thesis!D23</f>
        <v>12.9359794422418</v>
      </c>
      <c r="E6" s="6" t="n">
        <f aca="false">Thesis!E23</f>
        <v>27.8095064661409</v>
      </c>
      <c r="F6" s="6" t="n">
        <f aca="false">Thesis!F23</f>
        <v>58.7324192305018</v>
      </c>
      <c r="G6" s="6" t="n">
        <f aca="false">Thesis!G23</f>
        <v>101.369089141153</v>
      </c>
      <c r="H6" s="6" t="n">
        <f aca="false">Thesis!H23</f>
        <v>149.785610014234</v>
      </c>
      <c r="I6" s="6" t="n">
        <f aca="false">Thesis!I23</f>
        <v>187.368703083263</v>
      </c>
      <c r="J6" s="6" t="n">
        <f aca="false">Thesis!J23</f>
        <v>213.569023125577</v>
      </c>
      <c r="K6" s="6" t="n">
        <f aca="false">Thesis!K23</f>
        <v>229.890205197739</v>
      </c>
    </row>
    <row r="7" customFormat="false" ht="17.15" hidden="false" customHeight="false" outlineLevel="0" collapsed="false">
      <c r="A7" s="0" t="s">
        <v>865</v>
      </c>
      <c r="B7" s="0" t="s">
        <v>98</v>
      </c>
      <c r="D7" s="6" t="n">
        <f aca="false">Q!L6-Seg!D6</f>
        <v>59.6740205577583</v>
      </c>
      <c r="E7" s="6" t="n">
        <f aca="false">Q!M6-Seg!E6</f>
        <v>74.1284935338591</v>
      </c>
      <c r="F7" s="6" t="n">
        <f aca="false">Seg!E7*(1+Seg!F8)</f>
        <v>90.0799497373663</v>
      </c>
      <c r="G7" s="6" t="n">
        <f aca="false">Seg!F7*(1+Seg!G8)</f>
        <v>107.02842520331</v>
      </c>
      <c r="H7" s="6" t="n">
        <f aca="false">Seg!G7*(1+Seg!H8)</f>
        <v>124.271982585636</v>
      </c>
      <c r="I7" s="6" t="n">
        <f aca="false">Seg!H7*(1+Seg!I8)</f>
        <v>140.933702381855</v>
      </c>
      <c r="J7" s="6" t="n">
        <f aca="false">Seg!I7*(1+Seg!J8)</f>
        <v>156.018867314332</v>
      </c>
      <c r="K7" s="6" t="n">
        <f aca="false">Seg!J7*(1+Seg!K8)</f>
        <v>168.500376699478</v>
      </c>
    </row>
    <row r="8" customFormat="false" ht="15" hidden="false" customHeight="false" outlineLevel="0" collapsed="false">
      <c r="A8" s="1" t="s">
        <v>866</v>
      </c>
      <c r="B8" s="0" t="s">
        <v>129</v>
      </c>
      <c r="E8" s="7" t="n">
        <f aca="false">Seg!E7/Seg!D7-1</f>
        <v>0.242223883039864</v>
      </c>
      <c r="F8" s="7" t="n">
        <f aca="false">Seg!$E$8+(glt_azo-Seg!$E$8)*MIN(1,(Thesis!F6-base_fy)/n_conv)</f>
        <v>0.215186569199887</v>
      </c>
      <c r="G8" s="7" t="n">
        <f aca="false">Seg!$E$8+(glt_azo-Seg!$E$8)*MIN(1,(Thesis!G6-base_fy)/n_conv)</f>
        <v>0.18814925535991</v>
      </c>
      <c r="H8" s="7" t="n">
        <f aca="false">Seg!$E$8+(glt_azo-Seg!$E$8)*MIN(1,(Thesis!H6-base_fy)/n_conv)</f>
        <v>0.161111941519932</v>
      </c>
      <c r="I8" s="7" t="n">
        <f aca="false">Seg!$E$8+(glt_azo-Seg!$E$8)*MIN(1,(Thesis!I6-base_fy)/n_conv)</f>
        <v>0.134074627679955</v>
      </c>
      <c r="J8" s="7" t="n">
        <f aca="false">Seg!$E$8+(glt_azo-Seg!$E$8)*MIN(1,(Thesis!J6-base_fy)/n_conv)</f>
        <v>0.107037313839977</v>
      </c>
      <c r="K8" s="7" t="n">
        <f aca="false">Seg!$E$8+(glt_azo-Seg!$E$8)*MIN(1,(Thesis!K6-base_fy)/n_conv)</f>
        <v>0.08</v>
      </c>
    </row>
    <row r="9" customFormat="false" ht="15" hidden="false" customHeight="false" outlineLevel="0" collapsed="false">
      <c r="A9" s="0" t="s">
        <v>867</v>
      </c>
      <c r="B9" s="0" t="s">
        <v>98</v>
      </c>
      <c r="D9" s="6" t="n">
        <f aca="false">Seg!D6+Seg!D7</f>
        <v>72.61</v>
      </c>
      <c r="E9" s="6" t="n">
        <f aca="false">Seg!E6+Seg!E7</f>
        <v>101.938</v>
      </c>
      <c r="F9" s="6" t="n">
        <f aca="false">Seg!F6+Seg!F7</f>
        <v>148.812368967868</v>
      </c>
      <c r="G9" s="6" t="n">
        <f aca="false">Seg!G6+Seg!G7</f>
        <v>208.397514344463</v>
      </c>
      <c r="H9" s="6" t="n">
        <f aca="false">Seg!H6+Seg!H7</f>
        <v>274.05759259987</v>
      </c>
      <c r="I9" s="6" t="n">
        <f aca="false">Seg!I6+Seg!I7</f>
        <v>328.302405465117</v>
      </c>
      <c r="J9" s="6" t="n">
        <f aca="false">Seg!J6+Seg!J7</f>
        <v>369.587890439908</v>
      </c>
      <c r="K9" s="6" t="n">
        <f aca="false">Seg!K6+Seg!K7</f>
        <v>398.390581897217</v>
      </c>
    </row>
    <row r="10" customFormat="false" ht="17.15" hidden="false" customHeight="false" outlineLevel="0" collapsed="false">
      <c r="A10" s="0" t="s">
        <v>868</v>
      </c>
      <c r="B10" s="1" t="s">
        <v>521</v>
      </c>
      <c r="C10" s="29" t="n">
        <f aca="false">cop_s24</f>
        <v>1</v>
      </c>
      <c r="D10" s="29" t="n">
        <f aca="false">cop_s25</f>
        <v>5</v>
      </c>
      <c r="E10" s="29" t="n">
        <f aca="false">cop_s26</f>
        <v>30</v>
      </c>
      <c r="F10" s="29" t="n">
        <f aca="false">Seg!E10+cop_add_A</f>
        <v>60</v>
      </c>
      <c r="G10" s="29" t="n">
        <f aca="false">Seg!F10+cop_add_A</f>
        <v>90</v>
      </c>
      <c r="H10" s="29" t="n">
        <f aca="false">Seg!G10+cop_add_A</f>
        <v>120</v>
      </c>
      <c r="I10" s="29" t="n">
        <f aca="false">Seg!H10+cop_add_A*cop_tail</f>
        <v>135</v>
      </c>
      <c r="J10" s="29" t="n">
        <f aca="false">Seg!I10+cop_add_A*cop_tail</f>
        <v>150</v>
      </c>
      <c r="K10" s="29" t="n">
        <f aca="false">Seg!J10+cop_add_A*cop_tail</f>
        <v>165</v>
      </c>
      <c r="L10" s="11" t="s">
        <v>869</v>
      </c>
    </row>
    <row r="11" customFormat="false" ht="17.15" hidden="false" customHeight="false" outlineLevel="0" collapsed="false">
      <c r="A11" s="0" t="s">
        <v>870</v>
      </c>
      <c r="B11" s="0" t="s">
        <v>98</v>
      </c>
      <c r="D11" s="6" t="n">
        <f aca="false">(Seg!C10+Seg!D10)/2*cop_px*12/1000</f>
        <v>0.9</v>
      </c>
      <c r="E11" s="6" t="n">
        <f aca="false">(Seg!D10+Seg!E10)/2*cop_px*12/1000</f>
        <v>5.25</v>
      </c>
      <c r="F11" s="6" t="n">
        <f aca="false">(Seg!E10+Seg!F10)/2*cop_px*12/1000</f>
        <v>13.5</v>
      </c>
      <c r="G11" s="6" t="n">
        <f aca="false">(Seg!F10+Seg!G10)/2*cop_px*12/1000</f>
        <v>22.5</v>
      </c>
      <c r="H11" s="6" t="n">
        <f aca="false">(Seg!G10+Seg!H10)/2*cop_px*12/1000</f>
        <v>31.5</v>
      </c>
      <c r="I11" s="6" t="n">
        <f aca="false">(Seg!H10+Seg!I10)/2*cop_px*12/1000</f>
        <v>38.25</v>
      </c>
      <c r="J11" s="6" t="n">
        <f aca="false">(Seg!I10+Seg!J10)/2*cop_px*12/1000</f>
        <v>42.75</v>
      </c>
      <c r="K11" s="6" t="n">
        <f aca="false">(Seg!J10+Seg!K10)/2*cop_px*12/1000</f>
        <v>47.25</v>
      </c>
      <c r="L11" s="1" t="s">
        <v>871</v>
      </c>
    </row>
    <row r="12" customFormat="false" ht="17.15" hidden="false" customHeight="false" outlineLevel="0" collapsed="false">
      <c r="A12" s="0" t="s">
        <v>872</v>
      </c>
      <c r="B12" s="0" t="s">
        <v>98</v>
      </c>
      <c r="D12" s="6" t="n">
        <f aca="false">Q!L7-Seg!D11</f>
        <v>83.705</v>
      </c>
      <c r="E12" s="6" t="n">
        <f aca="false">Q!M7-Seg!E11</f>
        <v>95.049</v>
      </c>
      <c r="F12" s="6" t="n">
        <f aca="false">Seg!E12*(1+Seg!F13)</f>
        <v>106.89238776686</v>
      </c>
      <c r="G12" s="6" t="n">
        <f aca="false">Seg!F12*(1+Seg!G13)</f>
        <v>119.044168448684</v>
      </c>
      <c r="H12" s="6" t="n">
        <f aca="false">Seg!G12*(1+Seg!H13)</f>
        <v>131.277359388781</v>
      </c>
      <c r="I12" s="6" t="n">
        <f aca="false">Seg!H12*(1+Seg!I13)</f>
        <v>143.334028071957</v>
      </c>
      <c r="J12" s="6" t="n">
        <f aca="false">Seg!I12*(1+Seg!J13)</f>
        <v>154.932702785465</v>
      </c>
      <c r="K12" s="6" t="n">
        <f aca="false">Seg!J12*(1+Seg!K13)</f>
        <v>165.777991980448</v>
      </c>
    </row>
    <row r="13" customFormat="false" ht="15" hidden="false" customHeight="false" outlineLevel="0" collapsed="false">
      <c r="A13" s="1" t="s">
        <v>866</v>
      </c>
      <c r="B13" s="0" t="s">
        <v>129</v>
      </c>
      <c r="E13" s="7" t="n">
        <f aca="false">Seg!E12/Seg!D12-1</f>
        <v>0.135523564900544</v>
      </c>
      <c r="F13" s="7" t="n">
        <f aca="false">Seg!$E$13+(glt_m365b-Seg!$E$13)*MIN(1,(Thesis!F6-base_fy)/n_conv)</f>
        <v>0.124602970750453</v>
      </c>
      <c r="G13" s="7" t="n">
        <f aca="false">Seg!$E$13+(glt_m365b-Seg!$E$13)*MIN(1,(Thesis!G6-base_fy)/n_conv)</f>
        <v>0.113682376600363</v>
      </c>
      <c r="H13" s="7" t="n">
        <f aca="false">Seg!$E$13+(glt_m365b-Seg!$E$13)*MIN(1,(Thesis!H6-base_fy)/n_conv)</f>
        <v>0.102761782450272</v>
      </c>
      <c r="I13" s="7" t="n">
        <f aca="false">Seg!$E$13+(glt_m365b-Seg!$E$13)*MIN(1,(Thesis!I6-base_fy)/n_conv)</f>
        <v>0.0918411883001813</v>
      </c>
      <c r="J13" s="7" t="n">
        <f aca="false">Seg!$E$13+(glt_m365b-Seg!$E$13)*MIN(1,(Thesis!J6-base_fy)/n_conv)</f>
        <v>0.0809205941500906</v>
      </c>
      <c r="K13" s="7" t="n">
        <f aca="false">Seg!$E$13+(glt_m365b-Seg!$E$13)*MIN(1,(Thesis!K6-base_fy)/n_conv)</f>
        <v>0.07</v>
      </c>
    </row>
    <row r="14" customFormat="false" ht="15" hidden="false" customHeight="false" outlineLevel="0" collapsed="false">
      <c r="A14" s="0" t="s">
        <v>873</v>
      </c>
      <c r="B14" s="0" t="s">
        <v>98</v>
      </c>
      <c r="D14" s="6" t="n">
        <f aca="false">Seg!D12+Seg!D11</f>
        <v>84.605</v>
      </c>
      <c r="E14" s="6" t="n">
        <f aca="false">Seg!E12+Seg!E11</f>
        <v>100.299</v>
      </c>
      <c r="F14" s="6" t="n">
        <f aca="false">Seg!F12+Seg!F11</f>
        <v>120.39238776686</v>
      </c>
      <c r="G14" s="6" t="n">
        <f aca="false">Seg!G12+Seg!G11</f>
        <v>141.544168448684</v>
      </c>
      <c r="H14" s="6" t="n">
        <f aca="false">Seg!H12+Seg!H11</f>
        <v>162.777359388781</v>
      </c>
      <c r="I14" s="6" t="n">
        <f aca="false">Seg!I12+Seg!I11</f>
        <v>181.584028071957</v>
      </c>
      <c r="J14" s="6" t="n">
        <f aca="false">Seg!J12+Seg!J11</f>
        <v>197.682702785465</v>
      </c>
      <c r="K14" s="6" t="n">
        <f aca="false">Seg!K12+Seg!K11</f>
        <v>213.027991980448</v>
      </c>
    </row>
    <row r="15" customFormat="false" ht="15" hidden="false" customHeight="false" outlineLevel="0" collapsed="false">
      <c r="A15" s="0" t="s">
        <v>874</v>
      </c>
      <c r="B15" s="0" t="s">
        <v>98</v>
      </c>
      <c r="D15" s="6" t="n">
        <f aca="false">Q!L8</f>
        <v>35.391</v>
      </c>
      <c r="E15" s="6" t="n">
        <f aca="false">Q!M8</f>
        <v>37.285</v>
      </c>
      <c r="F15" s="6" t="n">
        <f aca="false">Seg!E15*(1+Seg!F16)</f>
        <v>39.0720834331704</v>
      </c>
      <c r="G15" s="6" t="n">
        <f aca="false">Seg!F15*(1+Seg!G16)</f>
        <v>40.726562953769</v>
      </c>
      <c r="H15" s="6" t="n">
        <f aca="false">Seg!G15*(1+Seg!H16)</f>
        <v>42.2235987259198</v>
      </c>
      <c r="I15" s="6" t="n">
        <f aca="false">Seg!H15*(1+Seg!I16)</f>
        <v>43.5397988077414</v>
      </c>
      <c r="J15" s="6" t="n">
        <f aca="false">Seg!I15*(1+Seg!J16)</f>
        <v>44.653811225693</v>
      </c>
      <c r="K15" s="6" t="n">
        <f aca="false">Seg!J15*(1+Seg!K16)</f>
        <v>45.5468874502068</v>
      </c>
    </row>
    <row r="16" customFormat="false" ht="15" hidden="false" customHeight="false" outlineLevel="0" collapsed="false">
      <c r="A16" s="1" t="s">
        <v>866</v>
      </c>
      <c r="B16" s="0" t="s">
        <v>129</v>
      </c>
      <c r="E16" s="7" t="n">
        <f aca="false">Seg!E15/Seg!D15-1</f>
        <v>0.0535164307309768</v>
      </c>
      <c r="F16" s="7" t="n">
        <f aca="false">Seg!$E$16+(glt_lic-Seg!$E$16)*MIN(1,(Thesis!F6-base_fy)/n_conv)</f>
        <v>0.0479303589424807</v>
      </c>
      <c r="G16" s="7" t="n">
        <f aca="false">Seg!$E$16+(glt_lic-Seg!$E$16)*MIN(1,(Thesis!G6-base_fy)/n_conv)</f>
        <v>0.0423442871539845</v>
      </c>
      <c r="H16" s="7" t="n">
        <f aca="false">Seg!$E$16+(glt_lic-Seg!$E$16)*MIN(1,(Thesis!H6-base_fy)/n_conv)</f>
        <v>0.0367582153654884</v>
      </c>
      <c r="I16" s="7" t="n">
        <f aca="false">Seg!$E$16+(glt_lic-Seg!$E$16)*MIN(1,(Thesis!I6-base_fy)/n_conv)</f>
        <v>0.0311721435769923</v>
      </c>
      <c r="J16" s="7" t="n">
        <f aca="false">Seg!$E$16+(glt_lic-Seg!$E$16)*MIN(1,(Thesis!J6-base_fy)/n_conv)</f>
        <v>0.0255860717884961</v>
      </c>
      <c r="K16" s="7" t="n">
        <f aca="false">Seg!$E$16+(glt_lic-Seg!$E$16)*MIN(1,(Thesis!K6-base_fy)/n_conv)</f>
        <v>0.02</v>
      </c>
    </row>
    <row r="17" customFormat="false" ht="15" hidden="false" customHeight="false" outlineLevel="0" collapsed="false">
      <c r="A17" s="0" t="s">
        <v>875</v>
      </c>
      <c r="B17" s="0" t="s">
        <v>98</v>
      </c>
      <c r="D17" s="6" t="n">
        <f aca="false">Q!L9</f>
        <v>18.417</v>
      </c>
      <c r="E17" s="6" t="n">
        <f aca="false">Q!M9</f>
        <v>20.345</v>
      </c>
      <c r="F17" s="6" t="n">
        <f aca="false">Seg!E17*(1+Seg!F18)</f>
        <v>22.3572203267814</v>
      </c>
      <c r="G17" s="6" t="n">
        <f aca="false">Seg!F17*(1+Seg!G18)</f>
        <v>24.4392124437232</v>
      </c>
      <c r="H17" s="6" t="n">
        <f aca="false">Seg!G17*(1+Seg!H18)</f>
        <v>26.5738052080665</v>
      </c>
      <c r="I17" s="6" t="n">
        <f aca="false">Seg!H17*(1+Seg!I18)</f>
        <v>28.7412169166967</v>
      </c>
      <c r="J17" s="6" t="n">
        <f aca="false">Seg!I17*(1+Seg!J18)</f>
        <v>30.9192545395413</v>
      </c>
      <c r="K17" s="6" t="n">
        <f aca="false">Seg!J17*(1+Seg!K18)</f>
        <v>33.0836023573092</v>
      </c>
    </row>
    <row r="18" customFormat="false" ht="15" hidden="false" customHeight="false" outlineLevel="0" collapsed="false">
      <c r="A18" s="1" t="s">
        <v>866</v>
      </c>
      <c r="B18" s="0" t="s">
        <v>129</v>
      </c>
      <c r="E18" s="7" t="n">
        <f aca="false">Seg!E17/Seg!D17-1</f>
        <v>0.104685888038225</v>
      </c>
      <c r="F18" s="7" t="n">
        <f aca="false">Seg!$E$18+(glt_ind-Seg!$E$18)*MIN(1,(Thesis!F6-base_fy)/n_conv)</f>
        <v>0.0989049066985211</v>
      </c>
      <c r="G18" s="7" t="n">
        <f aca="false">Seg!$E$18+(glt_ind-Seg!$E$18)*MIN(1,(Thesis!G6-base_fy)/n_conv)</f>
        <v>0.0931239253588169</v>
      </c>
      <c r="H18" s="7" t="n">
        <f aca="false">Seg!$E$18+(glt_ind-Seg!$E$18)*MIN(1,(Thesis!H6-base_fy)/n_conv)</f>
        <v>0.0873429440191127</v>
      </c>
      <c r="I18" s="7" t="n">
        <f aca="false">Seg!$E$18+(glt_ind-Seg!$E$18)*MIN(1,(Thesis!I6-base_fy)/n_conv)</f>
        <v>0.0815619626794085</v>
      </c>
      <c r="J18" s="7" t="n">
        <f aca="false">Seg!$E$18+(glt_ind-Seg!$E$18)*MIN(1,(Thesis!J6-base_fy)/n_conv)</f>
        <v>0.0757809813397042</v>
      </c>
      <c r="K18" s="7" t="n">
        <f aca="false">Seg!$E$18+(glt_ind-Seg!$E$18)*MIN(1,(Thesis!K6-base_fy)/n_conv)</f>
        <v>0.07</v>
      </c>
    </row>
    <row r="19" customFormat="false" ht="15" hidden="false" customHeight="false" outlineLevel="0" collapsed="false">
      <c r="A19" s="0" t="s">
        <v>876</v>
      </c>
      <c r="B19" s="0" t="s">
        <v>98</v>
      </c>
      <c r="D19" s="6" t="n">
        <f aca="false">Q!L10</f>
        <v>7.76</v>
      </c>
      <c r="E19" s="6" t="n">
        <f aca="false">Q!M10</f>
        <v>8.26</v>
      </c>
      <c r="F19" s="6" t="n">
        <f aca="false">Seg!E19*(1+Seg!F20)</f>
        <v>8.79988041237113</v>
      </c>
      <c r="G19" s="6" t="n">
        <f aca="false">Seg!F19*(1+Seg!G20)</f>
        <v>9.38321269125306</v>
      </c>
      <c r="H19" s="6" t="n">
        <f aca="false">Seg!G19*(1+Seg!H20)</f>
        <v>10.0139193587476</v>
      </c>
      <c r="I19" s="6" t="n">
        <f aca="false">Seg!H19*(1+Seg!I20)</f>
        <v>10.6963111830911</v>
      </c>
      <c r="J19" s="6" t="n">
        <f aca="false">Seg!I19*(1+Seg!J20)</f>
        <v>11.4351285534696</v>
      </c>
      <c r="K19" s="6" t="n">
        <f aca="false">Seg!J19*(1+Seg!K20)</f>
        <v>12.2355875522124</v>
      </c>
    </row>
    <row r="20" customFormat="false" ht="15" hidden="false" customHeight="false" outlineLevel="0" collapsed="false">
      <c r="A20" s="1" t="s">
        <v>866</v>
      </c>
      <c r="B20" s="0" t="s">
        <v>129</v>
      </c>
      <c r="E20" s="7" t="n">
        <f aca="false">Seg!E19/Seg!D19-1</f>
        <v>0.0644329896907216</v>
      </c>
      <c r="F20" s="7" t="n">
        <f aca="false">Seg!$E$20+(glt_fro-Seg!$E$20)*MIN(1,(Thesis!F6-base_fy)/n_conv)</f>
        <v>0.065360824742268</v>
      </c>
      <c r="G20" s="7" t="n">
        <f aca="false">Seg!$E$20+(glt_fro-Seg!$E$20)*MIN(1,(Thesis!G6-base_fy)/n_conv)</f>
        <v>0.0662886597938144</v>
      </c>
      <c r="H20" s="7" t="n">
        <f aca="false">Seg!$E$20+(glt_fro-Seg!$E$20)*MIN(1,(Thesis!H6-base_fy)/n_conv)</f>
        <v>0.0672164948453608</v>
      </c>
      <c r="I20" s="7" t="n">
        <f aca="false">Seg!$E$20+(glt_fro-Seg!$E$20)*MIN(1,(Thesis!I6-base_fy)/n_conv)</f>
        <v>0.0681443298969072</v>
      </c>
      <c r="J20" s="7" t="n">
        <f aca="false">Seg!$E$20+(glt_fro-Seg!$E$20)*MIN(1,(Thesis!J6-base_fy)/n_conv)</f>
        <v>0.0690721649484536</v>
      </c>
      <c r="K20" s="7" t="n">
        <f aca="false">Seg!$E$20+(glt_fro-Seg!$E$20)*MIN(1,(Thesis!K6-base_fy)/n_conv)</f>
        <v>0.07</v>
      </c>
    </row>
    <row r="21" customFormat="false" ht="15" hidden="false" customHeight="false" outlineLevel="0" collapsed="false">
      <c r="A21" s="0" t="s">
        <v>704</v>
      </c>
      <c r="B21" s="0" t="s">
        <v>98</v>
      </c>
      <c r="D21" s="6" t="n">
        <f aca="false">Seg!D9+Seg!D14+Seg!D15+Seg!D17+Seg!D19</f>
        <v>218.783</v>
      </c>
      <c r="E21" s="6" t="n">
        <f aca="false">Seg!E9+Seg!E14+Seg!E15+Seg!E17+Seg!E19</f>
        <v>268.127</v>
      </c>
      <c r="F21" s="6" t="n">
        <f aca="false">Seg!F9+Seg!F14+Seg!F15+Seg!F17+Seg!F19</f>
        <v>339.433940907051</v>
      </c>
      <c r="G21" s="6" t="n">
        <f aca="false">Seg!G9+Seg!G14+Seg!G15+Seg!G17+Seg!G19</f>
        <v>424.490670881892</v>
      </c>
      <c r="H21" s="6" t="n">
        <f aca="false">Seg!H9+Seg!H14+Seg!H15+Seg!H17+Seg!H19</f>
        <v>515.646275281385</v>
      </c>
      <c r="I21" s="6" t="n">
        <f aca="false">Seg!I9+Seg!I14+Seg!I15+Seg!I17+Seg!I19</f>
        <v>592.863760444604</v>
      </c>
      <c r="J21" s="6" t="n">
        <f aca="false">Seg!J9+Seg!J14+Seg!J15+Seg!J17+Seg!J19</f>
        <v>654.278787544077</v>
      </c>
      <c r="K21" s="6" t="n">
        <f aca="false">Seg!K9+Seg!K14+Seg!K15+Seg!K17+Seg!K19</f>
        <v>702.284651237393</v>
      </c>
    </row>
    <row r="22" customFormat="false" ht="15" hidden="false" customHeight="false" outlineLevel="0" collapsed="false">
      <c r="A22" s="0" t="s">
        <v>877</v>
      </c>
      <c r="B22" s="0" t="s">
        <v>98</v>
      </c>
      <c r="D22" s="6" t="n">
        <f aca="false">Q!L13</f>
        <v>22.171</v>
      </c>
      <c r="E22" s="6" t="n">
        <f aca="false">Q!M13</f>
        <v>24.835</v>
      </c>
      <c r="F22" s="6" t="n">
        <f aca="false">Seg!E22*(1+Seg!F23)</f>
        <v>27.6114901218559</v>
      </c>
      <c r="G22" s="6" t="n">
        <f aca="false">Seg!F22*(1+Seg!G23)</f>
        <v>30.4675667338515</v>
      </c>
      <c r="H22" s="6" t="n">
        <f aca="false">Seg!G22*(1+Seg!H23)</f>
        <v>33.3643766955789</v>
      </c>
      <c r="I22" s="6" t="n">
        <f aca="false">Seg!H22*(1+Seg!I23)</f>
        <v>36.2577016533691</v>
      </c>
      <c r="J22" s="6" t="n">
        <f aca="false">Seg!I22*(1+Seg!J23)</f>
        <v>39.0988367952171</v>
      </c>
      <c r="K22" s="6" t="n">
        <f aca="false">Seg!J22*(1+Seg!K23)</f>
        <v>41.8357553708823</v>
      </c>
    </row>
    <row r="23" customFormat="false" ht="15" hidden="false" customHeight="false" outlineLevel="0" collapsed="false">
      <c r="A23" s="1" t="s">
        <v>866</v>
      </c>
      <c r="B23" s="0" t="s">
        <v>129</v>
      </c>
      <c r="E23" s="7" t="n">
        <f aca="false">Seg!E22/Seg!D22-1</f>
        <v>0.120156961796942</v>
      </c>
      <c r="F23" s="7" t="n">
        <f aca="false">Seg!$E$23+(glt_srch-Seg!$E$23)*MIN(1,(Thesis!F6-base_fy)/n_conv)</f>
        <v>0.111797468164118</v>
      </c>
      <c r="G23" s="7" t="n">
        <f aca="false">Seg!$E$23+(glt_srch-Seg!$E$23)*MIN(1,(Thesis!G6-base_fy)/n_conv)</f>
        <v>0.103437974531295</v>
      </c>
      <c r="H23" s="7" t="n">
        <f aca="false">Seg!$E$23+(glt_srch-Seg!$E$23)*MIN(1,(Thesis!H6-base_fy)/n_conv)</f>
        <v>0.095078480898471</v>
      </c>
      <c r="I23" s="7" t="n">
        <f aca="false">Seg!$E$23+(glt_srch-Seg!$E$23)*MIN(1,(Thesis!I6-base_fy)/n_conv)</f>
        <v>0.0867189872656474</v>
      </c>
      <c r="J23" s="7" t="n">
        <f aca="false">Seg!$E$23+(glt_srch-Seg!$E$23)*MIN(1,(Thesis!J6-base_fy)/n_conv)</f>
        <v>0.0783594936328237</v>
      </c>
      <c r="K23" s="7" t="n">
        <f aca="false">Seg!$E$23+(glt_srch-Seg!$E$23)*MIN(1,(Thesis!K6-base_fy)/n_conv)</f>
        <v>0.07</v>
      </c>
    </row>
    <row r="24" customFormat="false" ht="15" hidden="false" customHeight="false" outlineLevel="0" collapsed="false">
      <c r="A24" s="0" t="s">
        <v>878</v>
      </c>
      <c r="B24" s="0" t="s">
        <v>98</v>
      </c>
      <c r="D24" s="6" t="n">
        <f aca="false">Q!L14</f>
        <v>23.455</v>
      </c>
      <c r="E24" s="6" t="n">
        <f aca="false">Q!M14</f>
        <v>21.79</v>
      </c>
      <c r="F24" s="6" t="n">
        <f aca="false">Seg!E24*(1+Seg!F25)</f>
        <v>20.5736277908051</v>
      </c>
      <c r="G24" s="6" t="n">
        <f aca="false">Seg!F24*(1+Seg!G25)</f>
        <v>19.7371452817919</v>
      </c>
      <c r="H24" s="6" t="n">
        <f aca="false">Seg!G24*(1+Seg!H25)</f>
        <v>19.2339764043138</v>
      </c>
      <c r="I24" s="6" t="n">
        <f aca="false">Seg!H24*(1+Seg!I25)</f>
        <v>19.0353086852681</v>
      </c>
      <c r="J24" s="6" t="n">
        <f aca="false">Seg!I24*(1+Seg!J25)</f>
        <v>19.1273539319129</v>
      </c>
      <c r="K24" s="6" t="n">
        <f aca="false">Seg!J24*(1+Seg!K25)</f>
        <v>19.5099010105511</v>
      </c>
    </row>
    <row r="25" customFormat="false" ht="15" hidden="false" customHeight="false" outlineLevel="0" collapsed="false">
      <c r="A25" s="1" t="s">
        <v>866</v>
      </c>
      <c r="B25" s="0" t="s">
        <v>129</v>
      </c>
      <c r="E25" s="7" t="n">
        <f aca="false">Seg!E24/Seg!D24-1</f>
        <v>-0.0709869963760392</v>
      </c>
      <c r="F25" s="7" t="n">
        <f aca="false">Seg!$E$25+(glt_xbox-Seg!$E$25)*MIN(1,(Thesis!F6-base_fy)/n_conv)</f>
        <v>-0.0558224969800327</v>
      </c>
      <c r="G25" s="7" t="n">
        <f aca="false">Seg!$E$25+(glt_xbox-Seg!$E$25)*MIN(1,(Thesis!G6-base_fy)/n_conv)</f>
        <v>-0.0406579975840262</v>
      </c>
      <c r="H25" s="7" t="n">
        <f aca="false">Seg!$E$25+(glt_xbox-Seg!$E$25)*MIN(1,(Thesis!H6-base_fy)/n_conv)</f>
        <v>-0.0254934981880196</v>
      </c>
      <c r="I25" s="7" t="n">
        <f aca="false">Seg!$E$25+(glt_xbox-Seg!$E$25)*MIN(1,(Thesis!I6-base_fy)/n_conv)</f>
        <v>-0.0103289987920131</v>
      </c>
      <c r="J25" s="7" t="n">
        <f aca="false">Seg!$E$25+(glt_xbox-Seg!$E$25)*MIN(1,(Thesis!J6-base_fy)/n_conv)</f>
        <v>0.00483550060399347</v>
      </c>
      <c r="K25" s="7" t="n">
        <f aca="false">Seg!$E$25+(glt_xbox-Seg!$E$25)*MIN(1,(Thesis!K6-base_fy)/n_conv)</f>
        <v>0.02</v>
      </c>
    </row>
    <row r="26" customFormat="false" ht="15" hidden="false" customHeight="false" outlineLevel="0" collapsed="false">
      <c r="A26" s="0" t="s">
        <v>879</v>
      </c>
      <c r="B26" s="0" t="s">
        <v>98</v>
      </c>
      <c r="D26" s="6" t="n">
        <f aca="false">Q!L15</f>
        <v>17.315</v>
      </c>
      <c r="E26" s="6" t="n">
        <f aca="false">Q!M15</f>
        <v>17.087</v>
      </c>
      <c r="F26" s="6" t="n">
        <f aca="false">Seg!E26*(1+Seg!F27)</f>
        <v>16.9564585436519</v>
      </c>
      <c r="G26" s="6" t="n">
        <f aca="false">Seg!F26*(1+Seg!G27)</f>
        <v>16.9206490624268</v>
      </c>
      <c r="H26" s="6" t="n">
        <f aca="false">Seg!G26*(1+Seg!H27)</f>
        <v>16.9784519149849</v>
      </c>
      <c r="I26" s="6" t="n">
        <f aca="false">Seg!H26*(1+Seg!I27)</f>
        <v>17.1303084701817</v>
      </c>
      <c r="J26" s="6" t="n">
        <f aca="false">Seg!I26*(1+Seg!J27)</f>
        <v>17.3782189407267</v>
      </c>
      <c r="K26" s="6" t="n">
        <f aca="false">Seg!J26*(1+Seg!K27)</f>
        <v>17.7257833195413</v>
      </c>
    </row>
    <row r="27" customFormat="false" ht="15" hidden="false" customHeight="false" outlineLevel="0" collapsed="false">
      <c r="A27" s="1" t="s">
        <v>866</v>
      </c>
      <c r="B27" s="0" t="s">
        <v>129</v>
      </c>
      <c r="E27" s="7" t="n">
        <f aca="false">Seg!E26/Seg!D26-1</f>
        <v>-0.0131677736066995</v>
      </c>
      <c r="F27" s="7" t="n">
        <f aca="false">Seg!$E$27+(glt_win-Seg!$E$27)*MIN(1,(Thesis!F6-base_fy)/n_conv)</f>
        <v>-0.00763981133891627</v>
      </c>
      <c r="G27" s="7" t="n">
        <f aca="false">Seg!$E$27+(glt_win-Seg!$E$27)*MIN(1,(Thesis!G6-base_fy)/n_conv)</f>
        <v>-0.00211184907113301</v>
      </c>
      <c r="H27" s="7" t="n">
        <f aca="false">Seg!$E$27+(glt_win-Seg!$E$27)*MIN(1,(Thesis!H6-base_fy)/n_conv)</f>
        <v>0.00341611319665024</v>
      </c>
      <c r="I27" s="7" t="n">
        <f aca="false">Seg!$E$27+(glt_win-Seg!$E$27)*MIN(1,(Thesis!I6-base_fy)/n_conv)</f>
        <v>0.00894407546443349</v>
      </c>
      <c r="J27" s="7" t="n">
        <f aca="false">Seg!$E$27+(glt_win-Seg!$E$27)*MIN(1,(Thesis!J6-base_fy)/n_conv)</f>
        <v>0.0144720377322168</v>
      </c>
      <c r="K27" s="7" t="n">
        <f aca="false">Seg!$E$27+(glt_win-Seg!$E$27)*MIN(1,(Thesis!K6-base_fy)/n_conv)</f>
        <v>0.02</v>
      </c>
    </row>
    <row r="28" customFormat="false" ht="15" hidden="false" customHeight="false" outlineLevel="0" collapsed="false">
      <c r="A28" s="0" t="s">
        <v>718</v>
      </c>
      <c r="B28" s="0" t="s">
        <v>98</v>
      </c>
      <c r="D28" s="6" t="n">
        <f aca="false">Seg!D22+Seg!D24+Seg!D26</f>
        <v>62.941</v>
      </c>
      <c r="E28" s="6" t="n">
        <f aca="false">Seg!E22+Seg!E24+Seg!E26</f>
        <v>63.712</v>
      </c>
      <c r="F28" s="6" t="n">
        <f aca="false">Seg!F22+Seg!F24+Seg!F26</f>
        <v>65.1415764563129</v>
      </c>
      <c r="G28" s="6" t="n">
        <f aca="false">Seg!G22+Seg!G24+Seg!G26</f>
        <v>67.1253610780702</v>
      </c>
      <c r="H28" s="6" t="n">
        <f aca="false">Seg!H22+Seg!H24+Seg!H26</f>
        <v>69.5768050148776</v>
      </c>
      <c r="I28" s="6" t="n">
        <f aca="false">Seg!I22+Seg!I24+Seg!I26</f>
        <v>72.4233188088189</v>
      </c>
      <c r="J28" s="6" t="n">
        <f aca="false">Seg!J22+Seg!J24+Seg!J26</f>
        <v>75.6044096678567</v>
      </c>
      <c r="K28" s="6" t="n">
        <f aca="false">Seg!K22+Seg!K24+Seg!K26</f>
        <v>79.0714397009747</v>
      </c>
    </row>
    <row r="29" customFormat="false" ht="15" hidden="false" customHeight="false" outlineLevel="0" collapsed="false">
      <c r="A29" s="1" t="s">
        <v>880</v>
      </c>
      <c r="B29" s="0" t="s">
        <v>98</v>
      </c>
      <c r="D29" s="6" t="n">
        <f aca="false">Seg!D21+Seg!D28</f>
        <v>281.724</v>
      </c>
      <c r="E29" s="6" t="n">
        <f aca="false">Seg!E21+Seg!E28</f>
        <v>331.839</v>
      </c>
      <c r="F29" s="6" t="n">
        <f aca="false">Seg!F21+Seg!F28</f>
        <v>404.575517363364</v>
      </c>
      <c r="G29" s="6" t="n">
        <f aca="false">Seg!G21+Seg!G28</f>
        <v>491.616031959962</v>
      </c>
      <c r="H29" s="6" t="n">
        <f aca="false">Seg!H21+Seg!H28</f>
        <v>585.223080296262</v>
      </c>
      <c r="I29" s="6" t="n">
        <f aca="false">Seg!I21+Seg!I28</f>
        <v>665.287079253422</v>
      </c>
      <c r="J29" s="6" t="n">
        <f aca="false">Seg!J21+Seg!J28</f>
        <v>729.883197211934</v>
      </c>
      <c r="K29" s="6" t="n">
        <f aca="false">Seg!K21+Seg!K28</f>
        <v>781.356090938368</v>
      </c>
    </row>
    <row r="30" customFormat="false" ht="15" hidden="false" customHeight="false" outlineLevel="0" collapsed="false">
      <c r="A30" s="23" t="s">
        <v>881</v>
      </c>
      <c r="B30" s="30" t="s">
        <v>98</v>
      </c>
      <c r="C30" s="30"/>
      <c r="D30" s="24" t="n">
        <f aca="false">(Seg!D9+Seg!D14+Seg!D15+Seg!D17+Seg!D19-Seg!D21)+(Seg!D22+Seg!D24+Seg!D26-Seg!D28)+(Seg!D21-Q!L5)+(Seg!D28-Q!L12)+(Seg!D9-Q!L6)+(Seg!D14-Q!L7)</f>
        <v>0</v>
      </c>
      <c r="E30" s="24" t="n">
        <f aca="false">(Seg!E9+Seg!E14+Seg!E15+Seg!E17+Seg!E19-Seg!E21)+(Seg!E22+Seg!E24+Seg!E26-Seg!E28)+(Seg!E21-Q!M5)+(Seg!E28-Q!M12)+(Seg!E9-Q!M6)+(Seg!E14-Q!M7)</f>
        <v>0</v>
      </c>
      <c r="F30" s="24" t="n">
        <f aca="false">(Seg!F9+Seg!F14+Seg!F15+Seg!F17+Seg!F19-Seg!F21)+(Seg!F22+Seg!F24+Seg!F26-Seg!F28)</f>
        <v>0</v>
      </c>
      <c r="G30" s="24" t="n">
        <f aca="false">(Seg!G9+Seg!G14+Seg!G15+Seg!G17+Seg!G19-Seg!G21)+(Seg!G22+Seg!G24+Seg!G26-Seg!G28)</f>
        <v>0</v>
      </c>
      <c r="H30" s="24" t="n">
        <f aca="false">(Seg!H9+Seg!H14+Seg!H15+Seg!H17+Seg!H19-Seg!H21)+(Seg!H22+Seg!H24+Seg!H26-Seg!H28)</f>
        <v>0</v>
      </c>
      <c r="I30" s="24" t="n">
        <f aca="false">(Seg!I9+Seg!I14+Seg!I15+Seg!I17+Seg!I19-Seg!I21)+(Seg!I22+Seg!I24+Seg!I26-Seg!I28)</f>
        <v>0</v>
      </c>
      <c r="J30" s="24" t="n">
        <f aca="false">(Seg!J9+Seg!J14+Seg!J15+Seg!J17+Seg!J19-Seg!J21)+(Seg!J22+Seg!J24+Seg!J26-Seg!J28)</f>
        <v>0</v>
      </c>
      <c r="K30" s="24" t="n">
        <f aca="false">(Seg!K9+Seg!K14+Seg!K15+Seg!K17+Seg!K19-Seg!K21)+(Seg!K22+Seg!K24+Seg!K26-Seg!K28)</f>
        <v>0</v>
      </c>
    </row>
    <row r="31" customFormat="false" ht="17.15" hidden="false" customHeight="false" outlineLevel="0" collapsed="false">
      <c r="A31" s="3" t="s">
        <v>882</v>
      </c>
    </row>
    <row r="32" customFormat="false" ht="15" hidden="false" customHeight="false" outlineLevel="0" collapsed="false">
      <c r="A32" s="4" t="s">
        <v>43</v>
      </c>
      <c r="B32" s="4" t="s">
        <v>65</v>
      </c>
      <c r="C32" s="20" t="s">
        <v>788</v>
      </c>
      <c r="D32" s="20" t="s">
        <v>789</v>
      </c>
      <c r="E32" s="20" t="s">
        <v>790</v>
      </c>
      <c r="F32" s="20" t="s">
        <v>791</v>
      </c>
      <c r="G32" s="20" t="s">
        <v>792</v>
      </c>
      <c r="H32" s="20" t="s">
        <v>793</v>
      </c>
      <c r="I32" s="20" t="s">
        <v>794</v>
      </c>
      <c r="J32" s="20" t="s">
        <v>795</v>
      </c>
      <c r="K32" s="20" t="s">
        <v>796</v>
      </c>
      <c r="L32" s="4" t="s">
        <v>47</v>
      </c>
    </row>
    <row r="33" customFormat="false" ht="17.15" hidden="false" customHeight="false" outlineLevel="0" collapsed="false">
      <c r="A33" s="0" t="s">
        <v>864</v>
      </c>
      <c r="B33" s="0" t="s">
        <v>98</v>
      </c>
      <c r="D33" s="6" t="n">
        <f aca="false">Thesis!D72</f>
        <v>12.9359794422418</v>
      </c>
      <c r="E33" s="6" t="n">
        <f aca="false">Thesis!E72</f>
        <v>27.8095064661409</v>
      </c>
      <c r="F33" s="6" t="n">
        <f aca="false">Thesis!F72</f>
        <v>55.0640065749585</v>
      </c>
      <c r="G33" s="6" t="n">
        <f aca="false">Thesis!G72</f>
        <v>89.4505413190538</v>
      </c>
      <c r="H33" s="6" t="n">
        <f aca="false">Thesis!H72</f>
        <v>124.835630736874</v>
      </c>
      <c r="I33" s="6" t="n">
        <f aca="false">Thesis!I72</f>
        <v>156.158460265485</v>
      </c>
      <c r="J33" s="6" t="n">
        <f aca="false">Thesis!J72</f>
        <v>177.99455972577</v>
      </c>
      <c r="K33" s="6" t="n">
        <f aca="false">Thesis!K72</f>
        <v>191.597101773408</v>
      </c>
    </row>
    <row r="34" customFormat="false" ht="17.15" hidden="false" customHeight="false" outlineLevel="0" collapsed="false">
      <c r="A34" s="0" t="s">
        <v>865</v>
      </c>
      <c r="B34" s="0" t="s">
        <v>98</v>
      </c>
      <c r="D34" s="6" t="n">
        <f aca="false">Q!L6-Seg!D33</f>
        <v>59.6740205577583</v>
      </c>
      <c r="E34" s="6" t="n">
        <f aca="false">Q!M6-Seg!E33</f>
        <v>74.1284935338591</v>
      </c>
      <c r="F34" s="6" t="n">
        <f aca="false">Seg!E34*(1+Seg!F35)</f>
        <v>90.0799497373663</v>
      </c>
      <c r="G34" s="6" t="n">
        <f aca="false">Seg!F34*(1+Seg!G35)</f>
        <v>107.02842520331</v>
      </c>
      <c r="H34" s="6" t="n">
        <f aca="false">Seg!G34*(1+Seg!H35)</f>
        <v>124.271982585636</v>
      </c>
      <c r="I34" s="6" t="n">
        <f aca="false">Seg!H34*(1+Seg!I35)</f>
        <v>140.933702381855</v>
      </c>
      <c r="J34" s="6" t="n">
        <f aca="false">Seg!I34*(1+Seg!J35)</f>
        <v>156.018867314332</v>
      </c>
      <c r="K34" s="6" t="n">
        <f aca="false">Seg!J34*(1+Seg!K35)</f>
        <v>168.500376699478</v>
      </c>
    </row>
    <row r="35" customFormat="false" ht="15" hidden="false" customHeight="false" outlineLevel="0" collapsed="false">
      <c r="A35" s="1" t="s">
        <v>866</v>
      </c>
      <c r="B35" s="0" t="s">
        <v>129</v>
      </c>
      <c r="E35" s="7" t="n">
        <f aca="false">Seg!E34/Seg!D34-1</f>
        <v>0.242223883039864</v>
      </c>
      <c r="F35" s="7" t="n">
        <f aca="false">Seg!$E$35+(glt_azo-Seg!$E$35)*MIN(1,(Thesis!F55-base_fy)/n_conv)</f>
        <v>0.215186569199887</v>
      </c>
      <c r="G35" s="7" t="n">
        <f aca="false">Seg!$E$35+(glt_azo-Seg!$E$35)*MIN(1,(Thesis!G55-base_fy)/n_conv)</f>
        <v>0.18814925535991</v>
      </c>
      <c r="H35" s="7" t="n">
        <f aca="false">Seg!$E$35+(glt_azo-Seg!$E$35)*MIN(1,(Thesis!H55-base_fy)/n_conv)</f>
        <v>0.161111941519932</v>
      </c>
      <c r="I35" s="7" t="n">
        <f aca="false">Seg!$E$35+(glt_azo-Seg!$E$35)*MIN(1,(Thesis!I55-base_fy)/n_conv)</f>
        <v>0.134074627679955</v>
      </c>
      <c r="J35" s="7" t="n">
        <f aca="false">Seg!$E$35+(glt_azo-Seg!$E$35)*MIN(1,(Thesis!J55-base_fy)/n_conv)</f>
        <v>0.107037313839977</v>
      </c>
      <c r="K35" s="7" t="n">
        <f aca="false">Seg!$E$35+(glt_azo-Seg!$E$35)*MIN(1,(Thesis!K55-base_fy)/n_conv)</f>
        <v>0.08</v>
      </c>
    </row>
    <row r="36" customFormat="false" ht="15" hidden="false" customHeight="false" outlineLevel="0" collapsed="false">
      <c r="A36" s="0" t="s">
        <v>867</v>
      </c>
      <c r="B36" s="0" t="s">
        <v>98</v>
      </c>
      <c r="D36" s="6" t="n">
        <f aca="false">Seg!D33+Seg!D34</f>
        <v>72.61</v>
      </c>
      <c r="E36" s="6" t="n">
        <f aca="false">Seg!E33+Seg!E34</f>
        <v>101.938</v>
      </c>
      <c r="F36" s="6" t="n">
        <f aca="false">Seg!F33+Seg!F34</f>
        <v>145.143956312325</v>
      </c>
      <c r="G36" s="6" t="n">
        <f aca="false">Seg!G33+Seg!G34</f>
        <v>196.478966522364</v>
      </c>
      <c r="H36" s="6" t="n">
        <f aca="false">Seg!H33+Seg!H34</f>
        <v>249.10761332251</v>
      </c>
      <c r="I36" s="6" t="n">
        <f aca="false">Seg!I33+Seg!I34</f>
        <v>297.09216264734</v>
      </c>
      <c r="J36" s="6" t="n">
        <f aca="false">Seg!J33+Seg!J34</f>
        <v>334.013427040101</v>
      </c>
      <c r="K36" s="6" t="n">
        <f aca="false">Seg!K33+Seg!K34</f>
        <v>360.097478472886</v>
      </c>
    </row>
    <row r="37" customFormat="false" ht="17.15" hidden="false" customHeight="false" outlineLevel="0" collapsed="false">
      <c r="A37" s="0" t="s">
        <v>868</v>
      </c>
      <c r="B37" s="1" t="s">
        <v>521</v>
      </c>
      <c r="C37" s="29" t="n">
        <f aca="false">cop_s24</f>
        <v>1</v>
      </c>
      <c r="D37" s="29" t="n">
        <f aca="false">cop_s25</f>
        <v>5</v>
      </c>
      <c r="E37" s="29" t="n">
        <f aca="false">cop_s26</f>
        <v>30</v>
      </c>
      <c r="F37" s="29" t="n">
        <f aca="false">Seg!E37+cop_add_B</f>
        <v>50</v>
      </c>
      <c r="G37" s="29" t="n">
        <f aca="false">Seg!F37+cop_add_B</f>
        <v>70</v>
      </c>
      <c r="H37" s="29" t="n">
        <f aca="false">Seg!G37+cop_add_B</f>
        <v>90</v>
      </c>
      <c r="I37" s="29" t="n">
        <f aca="false">Seg!H37+cop_add_B*cop_tail</f>
        <v>100</v>
      </c>
      <c r="J37" s="29" t="n">
        <f aca="false">Seg!I37+cop_add_B*cop_tail</f>
        <v>110</v>
      </c>
      <c r="K37" s="29" t="n">
        <f aca="false">Seg!J37+cop_add_B*cop_tail</f>
        <v>120</v>
      </c>
      <c r="L37" s="11" t="s">
        <v>869</v>
      </c>
    </row>
    <row r="38" customFormat="false" ht="17.15" hidden="false" customHeight="false" outlineLevel="0" collapsed="false">
      <c r="A38" s="0" t="s">
        <v>870</v>
      </c>
      <c r="B38" s="0" t="s">
        <v>98</v>
      </c>
      <c r="D38" s="6" t="n">
        <f aca="false">(Seg!C37+Seg!D37)/2*cop_px*12/1000</f>
        <v>0.9</v>
      </c>
      <c r="E38" s="6" t="n">
        <f aca="false">(Seg!D37+Seg!E37)/2*cop_px*12/1000</f>
        <v>5.25</v>
      </c>
      <c r="F38" s="6" t="n">
        <f aca="false">(Seg!E37+Seg!F37)/2*cop_px*12/1000</f>
        <v>12</v>
      </c>
      <c r="G38" s="6" t="n">
        <f aca="false">(Seg!F37+Seg!G37)/2*cop_px*12/1000</f>
        <v>18</v>
      </c>
      <c r="H38" s="6" t="n">
        <f aca="false">(Seg!G37+Seg!H37)/2*cop_px*12/1000</f>
        <v>24</v>
      </c>
      <c r="I38" s="6" t="n">
        <f aca="false">(Seg!H37+Seg!I37)/2*cop_px*12/1000</f>
        <v>28.5</v>
      </c>
      <c r="J38" s="6" t="n">
        <f aca="false">(Seg!I37+Seg!J37)/2*cop_px*12/1000</f>
        <v>31.5</v>
      </c>
      <c r="K38" s="6" t="n">
        <f aca="false">(Seg!J37+Seg!K37)/2*cop_px*12/1000</f>
        <v>34.5</v>
      </c>
      <c r="L38" s="1" t="s">
        <v>871</v>
      </c>
    </row>
    <row r="39" customFormat="false" ht="17.15" hidden="false" customHeight="false" outlineLevel="0" collapsed="false">
      <c r="A39" s="0" t="s">
        <v>872</v>
      </c>
      <c r="B39" s="0" t="s">
        <v>98</v>
      </c>
      <c r="D39" s="6" t="n">
        <f aca="false">Q!L7-Seg!D38</f>
        <v>83.705</v>
      </c>
      <c r="E39" s="6" t="n">
        <f aca="false">Q!M7-Seg!E38</f>
        <v>95.049</v>
      </c>
      <c r="F39" s="6" t="n">
        <f aca="false">Seg!E39*(1+Seg!F40)</f>
        <v>106.89238776686</v>
      </c>
      <c r="G39" s="6" t="n">
        <f aca="false">Seg!F39*(1+Seg!G40)</f>
        <v>119.044168448684</v>
      </c>
      <c r="H39" s="6" t="n">
        <f aca="false">Seg!G39*(1+Seg!H40)</f>
        <v>131.277359388781</v>
      </c>
      <c r="I39" s="6" t="n">
        <f aca="false">Seg!H39*(1+Seg!I40)</f>
        <v>143.334028071957</v>
      </c>
      <c r="J39" s="6" t="n">
        <f aca="false">Seg!I39*(1+Seg!J40)</f>
        <v>154.932702785465</v>
      </c>
      <c r="K39" s="6" t="n">
        <f aca="false">Seg!J39*(1+Seg!K40)</f>
        <v>165.777991980448</v>
      </c>
    </row>
    <row r="40" customFormat="false" ht="15" hidden="false" customHeight="false" outlineLevel="0" collapsed="false">
      <c r="A40" s="1" t="s">
        <v>866</v>
      </c>
      <c r="B40" s="0" t="s">
        <v>129</v>
      </c>
      <c r="E40" s="7" t="n">
        <f aca="false">Seg!E39/Seg!D39-1</f>
        <v>0.135523564900544</v>
      </c>
      <c r="F40" s="7" t="n">
        <f aca="false">Seg!$E$40+(glt_m365b-Seg!$E$40)*MIN(1,(Thesis!F55-base_fy)/n_conv)</f>
        <v>0.124602970750453</v>
      </c>
      <c r="G40" s="7" t="n">
        <f aca="false">Seg!$E$40+(glt_m365b-Seg!$E$40)*MIN(1,(Thesis!G55-base_fy)/n_conv)</f>
        <v>0.113682376600363</v>
      </c>
      <c r="H40" s="7" t="n">
        <f aca="false">Seg!$E$40+(glt_m365b-Seg!$E$40)*MIN(1,(Thesis!H55-base_fy)/n_conv)</f>
        <v>0.102761782450272</v>
      </c>
      <c r="I40" s="7" t="n">
        <f aca="false">Seg!$E$40+(glt_m365b-Seg!$E$40)*MIN(1,(Thesis!I55-base_fy)/n_conv)</f>
        <v>0.0918411883001813</v>
      </c>
      <c r="J40" s="7" t="n">
        <f aca="false">Seg!$E$40+(glt_m365b-Seg!$E$40)*MIN(1,(Thesis!J55-base_fy)/n_conv)</f>
        <v>0.0809205941500906</v>
      </c>
      <c r="K40" s="7" t="n">
        <f aca="false">Seg!$E$40+(glt_m365b-Seg!$E$40)*MIN(1,(Thesis!K55-base_fy)/n_conv)</f>
        <v>0.07</v>
      </c>
    </row>
    <row r="41" customFormat="false" ht="15" hidden="false" customHeight="false" outlineLevel="0" collapsed="false">
      <c r="A41" s="0" t="s">
        <v>873</v>
      </c>
      <c r="B41" s="0" t="s">
        <v>98</v>
      </c>
      <c r="D41" s="6" t="n">
        <f aca="false">Seg!D39+Seg!D38</f>
        <v>84.605</v>
      </c>
      <c r="E41" s="6" t="n">
        <f aca="false">Seg!E39+Seg!E38</f>
        <v>100.299</v>
      </c>
      <c r="F41" s="6" t="n">
        <f aca="false">Seg!F39+Seg!F38</f>
        <v>118.89238776686</v>
      </c>
      <c r="G41" s="6" t="n">
        <f aca="false">Seg!G39+Seg!G38</f>
        <v>137.044168448684</v>
      </c>
      <c r="H41" s="6" t="n">
        <f aca="false">Seg!H39+Seg!H38</f>
        <v>155.277359388781</v>
      </c>
      <c r="I41" s="6" t="n">
        <f aca="false">Seg!I39+Seg!I38</f>
        <v>171.834028071957</v>
      </c>
      <c r="J41" s="6" t="n">
        <f aca="false">Seg!J39+Seg!J38</f>
        <v>186.432702785465</v>
      </c>
      <c r="K41" s="6" t="n">
        <f aca="false">Seg!K39+Seg!K38</f>
        <v>200.277991980448</v>
      </c>
    </row>
    <row r="42" customFormat="false" ht="15" hidden="false" customHeight="false" outlineLevel="0" collapsed="false">
      <c r="A42" s="0" t="s">
        <v>874</v>
      </c>
      <c r="B42" s="0" t="s">
        <v>98</v>
      </c>
      <c r="D42" s="6" t="n">
        <f aca="false">Q!L8</f>
        <v>35.391</v>
      </c>
      <c r="E42" s="6" t="n">
        <f aca="false">Q!M8</f>
        <v>37.285</v>
      </c>
      <c r="F42" s="6" t="n">
        <f aca="false">Seg!E42*(1+Seg!F43)</f>
        <v>39.0720834331704</v>
      </c>
      <c r="G42" s="6" t="n">
        <f aca="false">Seg!F42*(1+Seg!G43)</f>
        <v>40.726562953769</v>
      </c>
      <c r="H42" s="6" t="n">
        <f aca="false">Seg!G42*(1+Seg!H43)</f>
        <v>42.2235987259198</v>
      </c>
      <c r="I42" s="6" t="n">
        <f aca="false">Seg!H42*(1+Seg!I43)</f>
        <v>43.5397988077414</v>
      </c>
      <c r="J42" s="6" t="n">
        <f aca="false">Seg!I42*(1+Seg!J43)</f>
        <v>44.653811225693</v>
      </c>
      <c r="K42" s="6" t="n">
        <f aca="false">Seg!J42*(1+Seg!K43)</f>
        <v>45.5468874502068</v>
      </c>
    </row>
    <row r="43" customFormat="false" ht="15" hidden="false" customHeight="false" outlineLevel="0" collapsed="false">
      <c r="A43" s="1" t="s">
        <v>866</v>
      </c>
      <c r="B43" s="0" t="s">
        <v>129</v>
      </c>
      <c r="E43" s="7" t="n">
        <f aca="false">Seg!E42/Seg!D42-1</f>
        <v>0.0535164307309768</v>
      </c>
      <c r="F43" s="7" t="n">
        <f aca="false">Seg!$E$43+(glt_lic-Seg!$E$43)*MIN(1,(Thesis!F55-base_fy)/n_conv)</f>
        <v>0.0479303589424807</v>
      </c>
      <c r="G43" s="7" t="n">
        <f aca="false">Seg!$E$43+(glt_lic-Seg!$E$43)*MIN(1,(Thesis!G55-base_fy)/n_conv)</f>
        <v>0.0423442871539845</v>
      </c>
      <c r="H43" s="7" t="n">
        <f aca="false">Seg!$E$43+(glt_lic-Seg!$E$43)*MIN(1,(Thesis!H55-base_fy)/n_conv)</f>
        <v>0.0367582153654884</v>
      </c>
      <c r="I43" s="7" t="n">
        <f aca="false">Seg!$E$43+(glt_lic-Seg!$E$43)*MIN(1,(Thesis!I55-base_fy)/n_conv)</f>
        <v>0.0311721435769923</v>
      </c>
      <c r="J43" s="7" t="n">
        <f aca="false">Seg!$E$43+(glt_lic-Seg!$E$43)*MIN(1,(Thesis!J55-base_fy)/n_conv)</f>
        <v>0.0255860717884961</v>
      </c>
      <c r="K43" s="7" t="n">
        <f aca="false">Seg!$E$43+(glt_lic-Seg!$E$43)*MIN(1,(Thesis!K55-base_fy)/n_conv)</f>
        <v>0.02</v>
      </c>
    </row>
    <row r="44" customFormat="false" ht="15" hidden="false" customHeight="false" outlineLevel="0" collapsed="false">
      <c r="A44" s="0" t="s">
        <v>875</v>
      </c>
      <c r="B44" s="0" t="s">
        <v>98</v>
      </c>
      <c r="D44" s="6" t="n">
        <f aca="false">Q!L9</f>
        <v>18.417</v>
      </c>
      <c r="E44" s="6" t="n">
        <f aca="false">Q!M9</f>
        <v>20.345</v>
      </c>
      <c r="F44" s="6" t="n">
        <f aca="false">Seg!E44*(1+Seg!F45)</f>
        <v>22.3572203267814</v>
      </c>
      <c r="G44" s="6" t="n">
        <f aca="false">Seg!F44*(1+Seg!G45)</f>
        <v>24.4392124437232</v>
      </c>
      <c r="H44" s="6" t="n">
        <f aca="false">Seg!G44*(1+Seg!H45)</f>
        <v>26.5738052080665</v>
      </c>
      <c r="I44" s="6" t="n">
        <f aca="false">Seg!H44*(1+Seg!I45)</f>
        <v>28.7412169166967</v>
      </c>
      <c r="J44" s="6" t="n">
        <f aca="false">Seg!I44*(1+Seg!J45)</f>
        <v>30.9192545395413</v>
      </c>
      <c r="K44" s="6" t="n">
        <f aca="false">Seg!J44*(1+Seg!K45)</f>
        <v>33.0836023573092</v>
      </c>
    </row>
    <row r="45" customFormat="false" ht="15" hidden="false" customHeight="false" outlineLevel="0" collapsed="false">
      <c r="A45" s="1" t="s">
        <v>866</v>
      </c>
      <c r="B45" s="0" t="s">
        <v>129</v>
      </c>
      <c r="E45" s="7" t="n">
        <f aca="false">Seg!E44/Seg!D44-1</f>
        <v>0.104685888038225</v>
      </c>
      <c r="F45" s="7" t="n">
        <f aca="false">Seg!$E$45+(glt_ind-Seg!$E$45)*MIN(1,(Thesis!F55-base_fy)/n_conv)</f>
        <v>0.0989049066985211</v>
      </c>
      <c r="G45" s="7" t="n">
        <f aca="false">Seg!$E$45+(glt_ind-Seg!$E$45)*MIN(1,(Thesis!G55-base_fy)/n_conv)</f>
        <v>0.0931239253588169</v>
      </c>
      <c r="H45" s="7" t="n">
        <f aca="false">Seg!$E$45+(glt_ind-Seg!$E$45)*MIN(1,(Thesis!H55-base_fy)/n_conv)</f>
        <v>0.0873429440191127</v>
      </c>
      <c r="I45" s="7" t="n">
        <f aca="false">Seg!$E$45+(glt_ind-Seg!$E$45)*MIN(1,(Thesis!I55-base_fy)/n_conv)</f>
        <v>0.0815619626794085</v>
      </c>
      <c r="J45" s="7" t="n">
        <f aca="false">Seg!$E$45+(glt_ind-Seg!$E$45)*MIN(1,(Thesis!J55-base_fy)/n_conv)</f>
        <v>0.0757809813397042</v>
      </c>
      <c r="K45" s="7" t="n">
        <f aca="false">Seg!$E$45+(glt_ind-Seg!$E$45)*MIN(1,(Thesis!K55-base_fy)/n_conv)</f>
        <v>0.07</v>
      </c>
    </row>
    <row r="46" customFormat="false" ht="15" hidden="false" customHeight="false" outlineLevel="0" collapsed="false">
      <c r="A46" s="0" t="s">
        <v>876</v>
      </c>
      <c r="B46" s="0" t="s">
        <v>98</v>
      </c>
      <c r="D46" s="6" t="n">
        <f aca="false">Q!L10</f>
        <v>7.76</v>
      </c>
      <c r="E46" s="6" t="n">
        <f aca="false">Q!M10</f>
        <v>8.26</v>
      </c>
      <c r="F46" s="6" t="n">
        <f aca="false">Seg!E46*(1+Seg!F47)</f>
        <v>8.79988041237113</v>
      </c>
      <c r="G46" s="6" t="n">
        <f aca="false">Seg!F46*(1+Seg!G47)</f>
        <v>9.38321269125306</v>
      </c>
      <c r="H46" s="6" t="n">
        <f aca="false">Seg!G46*(1+Seg!H47)</f>
        <v>10.0139193587476</v>
      </c>
      <c r="I46" s="6" t="n">
        <f aca="false">Seg!H46*(1+Seg!I47)</f>
        <v>10.6963111830911</v>
      </c>
      <c r="J46" s="6" t="n">
        <f aca="false">Seg!I46*(1+Seg!J47)</f>
        <v>11.4351285534696</v>
      </c>
      <c r="K46" s="6" t="n">
        <f aca="false">Seg!J46*(1+Seg!K47)</f>
        <v>12.2355875522124</v>
      </c>
    </row>
    <row r="47" customFormat="false" ht="15" hidden="false" customHeight="false" outlineLevel="0" collapsed="false">
      <c r="A47" s="1" t="s">
        <v>866</v>
      </c>
      <c r="B47" s="0" t="s">
        <v>129</v>
      </c>
      <c r="E47" s="7" t="n">
        <f aca="false">Seg!E46/Seg!D46-1</f>
        <v>0.0644329896907216</v>
      </c>
      <c r="F47" s="7" t="n">
        <f aca="false">Seg!$E$47+(glt_fro-Seg!$E$47)*MIN(1,(Thesis!F55-base_fy)/n_conv)</f>
        <v>0.065360824742268</v>
      </c>
      <c r="G47" s="7" t="n">
        <f aca="false">Seg!$E$47+(glt_fro-Seg!$E$47)*MIN(1,(Thesis!G55-base_fy)/n_conv)</f>
        <v>0.0662886597938144</v>
      </c>
      <c r="H47" s="7" t="n">
        <f aca="false">Seg!$E$47+(glt_fro-Seg!$E$47)*MIN(1,(Thesis!H55-base_fy)/n_conv)</f>
        <v>0.0672164948453608</v>
      </c>
      <c r="I47" s="7" t="n">
        <f aca="false">Seg!$E$47+(glt_fro-Seg!$E$47)*MIN(1,(Thesis!I55-base_fy)/n_conv)</f>
        <v>0.0681443298969072</v>
      </c>
      <c r="J47" s="7" t="n">
        <f aca="false">Seg!$E$47+(glt_fro-Seg!$E$47)*MIN(1,(Thesis!J55-base_fy)/n_conv)</f>
        <v>0.0690721649484536</v>
      </c>
      <c r="K47" s="7" t="n">
        <f aca="false">Seg!$E$47+(glt_fro-Seg!$E$47)*MIN(1,(Thesis!K55-base_fy)/n_conv)</f>
        <v>0.07</v>
      </c>
    </row>
    <row r="48" customFormat="false" ht="15" hidden="false" customHeight="false" outlineLevel="0" collapsed="false">
      <c r="A48" s="0" t="s">
        <v>704</v>
      </c>
      <c r="B48" s="0" t="s">
        <v>98</v>
      </c>
      <c r="D48" s="6" t="n">
        <f aca="false">Seg!D36+Seg!D41+Seg!D42+Seg!D44+Seg!D46</f>
        <v>218.783</v>
      </c>
      <c r="E48" s="6" t="n">
        <f aca="false">Seg!E36+Seg!E41+Seg!E42+Seg!E44+Seg!E46</f>
        <v>268.127</v>
      </c>
      <c r="F48" s="6" t="n">
        <f aca="false">Seg!F36+Seg!F41+Seg!F42+Seg!F44+Seg!F46</f>
        <v>334.265528251508</v>
      </c>
      <c r="G48" s="6" t="n">
        <f aca="false">Seg!G36+Seg!G41+Seg!G42+Seg!G44+Seg!G46</f>
        <v>408.072123059793</v>
      </c>
      <c r="H48" s="6" t="n">
        <f aca="false">Seg!H36+Seg!H41+Seg!H42+Seg!H44+Seg!H46</f>
        <v>483.196296004025</v>
      </c>
      <c r="I48" s="6" t="n">
        <f aca="false">Seg!I36+Seg!I41+Seg!I42+Seg!I44+Seg!I46</f>
        <v>551.903517626826</v>
      </c>
      <c r="J48" s="6" t="n">
        <f aca="false">Seg!J36+Seg!J41+Seg!J42+Seg!J44+Seg!J46</f>
        <v>607.45432414427</v>
      </c>
      <c r="K48" s="6" t="n">
        <f aca="false">Seg!K36+Seg!K41+Seg!K42+Seg!K44+Seg!K46</f>
        <v>651.241547813062</v>
      </c>
    </row>
    <row r="49" customFormat="false" ht="15" hidden="false" customHeight="false" outlineLevel="0" collapsed="false">
      <c r="A49" s="0" t="s">
        <v>877</v>
      </c>
      <c r="B49" s="0" t="s">
        <v>98</v>
      </c>
      <c r="D49" s="6" t="n">
        <f aca="false">Q!L13</f>
        <v>22.171</v>
      </c>
      <c r="E49" s="6" t="n">
        <f aca="false">Q!M13</f>
        <v>24.835</v>
      </c>
      <c r="F49" s="6" t="n">
        <f aca="false">Seg!E49*(1+Seg!F50)</f>
        <v>27.6114901218559</v>
      </c>
      <c r="G49" s="6" t="n">
        <f aca="false">Seg!F49*(1+Seg!G50)</f>
        <v>30.4675667338515</v>
      </c>
      <c r="H49" s="6" t="n">
        <f aca="false">Seg!G49*(1+Seg!H50)</f>
        <v>33.3643766955789</v>
      </c>
      <c r="I49" s="6" t="n">
        <f aca="false">Seg!H49*(1+Seg!I50)</f>
        <v>36.2577016533691</v>
      </c>
      <c r="J49" s="6" t="n">
        <f aca="false">Seg!I49*(1+Seg!J50)</f>
        <v>39.0988367952171</v>
      </c>
      <c r="K49" s="6" t="n">
        <f aca="false">Seg!J49*(1+Seg!K50)</f>
        <v>41.8357553708823</v>
      </c>
    </row>
    <row r="50" customFormat="false" ht="15" hidden="false" customHeight="false" outlineLevel="0" collapsed="false">
      <c r="A50" s="1" t="s">
        <v>866</v>
      </c>
      <c r="B50" s="0" t="s">
        <v>129</v>
      </c>
      <c r="E50" s="7" t="n">
        <f aca="false">Seg!E49/Seg!D49-1</f>
        <v>0.120156961796942</v>
      </c>
      <c r="F50" s="7" t="n">
        <f aca="false">Seg!$E$50+(glt_srch-Seg!$E$50)*MIN(1,(Thesis!F55-base_fy)/n_conv)</f>
        <v>0.111797468164118</v>
      </c>
      <c r="G50" s="7" t="n">
        <f aca="false">Seg!$E$50+(glt_srch-Seg!$E$50)*MIN(1,(Thesis!G55-base_fy)/n_conv)</f>
        <v>0.103437974531295</v>
      </c>
      <c r="H50" s="7" t="n">
        <f aca="false">Seg!$E$50+(glt_srch-Seg!$E$50)*MIN(1,(Thesis!H55-base_fy)/n_conv)</f>
        <v>0.095078480898471</v>
      </c>
      <c r="I50" s="7" t="n">
        <f aca="false">Seg!$E$50+(glt_srch-Seg!$E$50)*MIN(1,(Thesis!I55-base_fy)/n_conv)</f>
        <v>0.0867189872656474</v>
      </c>
      <c r="J50" s="7" t="n">
        <f aca="false">Seg!$E$50+(glt_srch-Seg!$E$50)*MIN(1,(Thesis!J55-base_fy)/n_conv)</f>
        <v>0.0783594936328237</v>
      </c>
      <c r="K50" s="7" t="n">
        <f aca="false">Seg!$E$50+(glt_srch-Seg!$E$50)*MIN(1,(Thesis!K55-base_fy)/n_conv)</f>
        <v>0.07</v>
      </c>
    </row>
    <row r="51" customFormat="false" ht="15" hidden="false" customHeight="false" outlineLevel="0" collapsed="false">
      <c r="A51" s="0" t="s">
        <v>878</v>
      </c>
      <c r="B51" s="0" t="s">
        <v>98</v>
      </c>
      <c r="D51" s="6" t="n">
        <f aca="false">Q!L14</f>
        <v>23.455</v>
      </c>
      <c r="E51" s="6" t="n">
        <f aca="false">Q!M14</f>
        <v>21.79</v>
      </c>
      <c r="F51" s="6" t="n">
        <f aca="false">Seg!E51*(1+Seg!F52)</f>
        <v>20.5736277908051</v>
      </c>
      <c r="G51" s="6" t="n">
        <f aca="false">Seg!F51*(1+Seg!G52)</f>
        <v>19.7371452817919</v>
      </c>
      <c r="H51" s="6" t="n">
        <f aca="false">Seg!G51*(1+Seg!H52)</f>
        <v>19.2339764043138</v>
      </c>
      <c r="I51" s="6" t="n">
        <f aca="false">Seg!H51*(1+Seg!I52)</f>
        <v>19.0353086852681</v>
      </c>
      <c r="J51" s="6" t="n">
        <f aca="false">Seg!I51*(1+Seg!J52)</f>
        <v>19.1273539319129</v>
      </c>
      <c r="K51" s="6" t="n">
        <f aca="false">Seg!J51*(1+Seg!K52)</f>
        <v>19.5099010105511</v>
      </c>
    </row>
    <row r="52" customFormat="false" ht="15" hidden="false" customHeight="false" outlineLevel="0" collapsed="false">
      <c r="A52" s="1" t="s">
        <v>866</v>
      </c>
      <c r="B52" s="0" t="s">
        <v>129</v>
      </c>
      <c r="E52" s="7" t="n">
        <f aca="false">Seg!E51/Seg!D51-1</f>
        <v>-0.0709869963760392</v>
      </c>
      <c r="F52" s="7" t="n">
        <f aca="false">Seg!$E$52+(glt_xbox-Seg!$E$52)*MIN(1,(Thesis!F55-base_fy)/n_conv)</f>
        <v>-0.0558224969800327</v>
      </c>
      <c r="G52" s="7" t="n">
        <f aca="false">Seg!$E$52+(glt_xbox-Seg!$E$52)*MIN(1,(Thesis!G55-base_fy)/n_conv)</f>
        <v>-0.0406579975840262</v>
      </c>
      <c r="H52" s="7" t="n">
        <f aca="false">Seg!$E$52+(glt_xbox-Seg!$E$52)*MIN(1,(Thesis!H55-base_fy)/n_conv)</f>
        <v>-0.0254934981880196</v>
      </c>
      <c r="I52" s="7" t="n">
        <f aca="false">Seg!$E$52+(glt_xbox-Seg!$E$52)*MIN(1,(Thesis!I55-base_fy)/n_conv)</f>
        <v>-0.0103289987920131</v>
      </c>
      <c r="J52" s="7" t="n">
        <f aca="false">Seg!$E$52+(glt_xbox-Seg!$E$52)*MIN(1,(Thesis!J55-base_fy)/n_conv)</f>
        <v>0.00483550060399347</v>
      </c>
      <c r="K52" s="7" t="n">
        <f aca="false">Seg!$E$52+(glt_xbox-Seg!$E$52)*MIN(1,(Thesis!K55-base_fy)/n_conv)</f>
        <v>0.02</v>
      </c>
    </row>
    <row r="53" customFormat="false" ht="15" hidden="false" customHeight="false" outlineLevel="0" collapsed="false">
      <c r="A53" s="0" t="s">
        <v>879</v>
      </c>
      <c r="B53" s="0" t="s">
        <v>98</v>
      </c>
      <c r="D53" s="6" t="n">
        <f aca="false">Q!L15</f>
        <v>17.315</v>
      </c>
      <c r="E53" s="6" t="n">
        <f aca="false">Q!M15</f>
        <v>17.087</v>
      </c>
      <c r="F53" s="6" t="n">
        <f aca="false">Seg!E53*(1+Seg!F54)</f>
        <v>16.9564585436519</v>
      </c>
      <c r="G53" s="6" t="n">
        <f aca="false">Seg!F53*(1+Seg!G54)</f>
        <v>16.9206490624268</v>
      </c>
      <c r="H53" s="6" t="n">
        <f aca="false">Seg!G53*(1+Seg!H54)</f>
        <v>16.9784519149849</v>
      </c>
      <c r="I53" s="6" t="n">
        <f aca="false">Seg!H53*(1+Seg!I54)</f>
        <v>17.1303084701817</v>
      </c>
      <c r="J53" s="6" t="n">
        <f aca="false">Seg!I53*(1+Seg!J54)</f>
        <v>17.3782189407267</v>
      </c>
      <c r="K53" s="6" t="n">
        <f aca="false">Seg!J53*(1+Seg!K54)</f>
        <v>17.7257833195413</v>
      </c>
    </row>
    <row r="54" customFormat="false" ht="15" hidden="false" customHeight="false" outlineLevel="0" collapsed="false">
      <c r="A54" s="1" t="s">
        <v>866</v>
      </c>
      <c r="B54" s="0" t="s">
        <v>129</v>
      </c>
      <c r="E54" s="7" t="n">
        <f aca="false">Seg!E53/Seg!D53-1</f>
        <v>-0.0131677736066995</v>
      </c>
      <c r="F54" s="7" t="n">
        <f aca="false">Seg!$E$54+(glt_win-Seg!$E$54)*MIN(1,(Thesis!F55-base_fy)/n_conv)</f>
        <v>-0.00763981133891627</v>
      </c>
      <c r="G54" s="7" t="n">
        <f aca="false">Seg!$E$54+(glt_win-Seg!$E$54)*MIN(1,(Thesis!G55-base_fy)/n_conv)</f>
        <v>-0.00211184907113301</v>
      </c>
      <c r="H54" s="7" t="n">
        <f aca="false">Seg!$E$54+(glt_win-Seg!$E$54)*MIN(1,(Thesis!H55-base_fy)/n_conv)</f>
        <v>0.00341611319665024</v>
      </c>
      <c r="I54" s="7" t="n">
        <f aca="false">Seg!$E$54+(glt_win-Seg!$E$54)*MIN(1,(Thesis!I55-base_fy)/n_conv)</f>
        <v>0.00894407546443349</v>
      </c>
      <c r="J54" s="7" t="n">
        <f aca="false">Seg!$E$54+(glt_win-Seg!$E$54)*MIN(1,(Thesis!J55-base_fy)/n_conv)</f>
        <v>0.0144720377322168</v>
      </c>
      <c r="K54" s="7" t="n">
        <f aca="false">Seg!$E$54+(glt_win-Seg!$E$54)*MIN(1,(Thesis!K55-base_fy)/n_conv)</f>
        <v>0.02</v>
      </c>
    </row>
    <row r="55" customFormat="false" ht="15" hidden="false" customHeight="false" outlineLevel="0" collapsed="false">
      <c r="A55" s="0" t="s">
        <v>718</v>
      </c>
      <c r="B55" s="0" t="s">
        <v>98</v>
      </c>
      <c r="D55" s="6" t="n">
        <f aca="false">Seg!D49+Seg!D51+Seg!D53</f>
        <v>62.941</v>
      </c>
      <c r="E55" s="6" t="n">
        <f aca="false">Seg!E49+Seg!E51+Seg!E53</f>
        <v>63.712</v>
      </c>
      <c r="F55" s="6" t="n">
        <f aca="false">Seg!F49+Seg!F51+Seg!F53</f>
        <v>65.1415764563129</v>
      </c>
      <c r="G55" s="6" t="n">
        <f aca="false">Seg!G49+Seg!G51+Seg!G53</f>
        <v>67.1253610780702</v>
      </c>
      <c r="H55" s="6" t="n">
        <f aca="false">Seg!H49+Seg!H51+Seg!H53</f>
        <v>69.5768050148776</v>
      </c>
      <c r="I55" s="6" t="n">
        <f aca="false">Seg!I49+Seg!I51+Seg!I53</f>
        <v>72.4233188088189</v>
      </c>
      <c r="J55" s="6" t="n">
        <f aca="false">Seg!J49+Seg!J51+Seg!J53</f>
        <v>75.6044096678567</v>
      </c>
      <c r="K55" s="6" t="n">
        <f aca="false">Seg!K49+Seg!K51+Seg!K53</f>
        <v>79.0714397009747</v>
      </c>
    </row>
    <row r="56" customFormat="false" ht="15" hidden="false" customHeight="false" outlineLevel="0" collapsed="false">
      <c r="A56" s="1" t="s">
        <v>880</v>
      </c>
      <c r="B56" s="0" t="s">
        <v>98</v>
      </c>
      <c r="D56" s="6" t="n">
        <f aca="false">Seg!D48+Seg!D55</f>
        <v>281.724</v>
      </c>
      <c r="E56" s="6" t="n">
        <f aca="false">Seg!E48+Seg!E55</f>
        <v>331.839</v>
      </c>
      <c r="F56" s="6" t="n">
        <f aca="false">Seg!F48+Seg!F55</f>
        <v>399.407104707821</v>
      </c>
      <c r="G56" s="6" t="n">
        <f aca="false">Seg!G48+Seg!G55</f>
        <v>475.197484137863</v>
      </c>
      <c r="H56" s="6" t="n">
        <f aca="false">Seg!H48+Seg!H55</f>
        <v>552.773101018903</v>
      </c>
      <c r="I56" s="6" t="n">
        <f aca="false">Seg!I48+Seg!I55</f>
        <v>624.326836435645</v>
      </c>
      <c r="J56" s="6" t="n">
        <f aca="false">Seg!J48+Seg!J55</f>
        <v>683.058733812127</v>
      </c>
      <c r="K56" s="6" t="n">
        <f aca="false">Seg!K48+Seg!K55</f>
        <v>730.312987514037</v>
      </c>
    </row>
    <row r="57" customFormat="false" ht="15" hidden="false" customHeight="false" outlineLevel="0" collapsed="false">
      <c r="A57" s="23" t="s">
        <v>881</v>
      </c>
      <c r="B57" s="30" t="s">
        <v>98</v>
      </c>
      <c r="C57" s="30"/>
      <c r="D57" s="24" t="n">
        <f aca="false">(Seg!D36+Seg!D41+Seg!D42+Seg!D44+Seg!D46-Seg!D48)+(Seg!D49+Seg!D51+Seg!D53-Seg!D55)+(Seg!D48-Q!L5)+(Seg!D55-Q!L12)+(Seg!D36-Q!L6)+(Seg!D41-Q!L7)</f>
        <v>0</v>
      </c>
      <c r="E57" s="24" t="n">
        <f aca="false">(Seg!E36+Seg!E41+Seg!E42+Seg!E44+Seg!E46-Seg!E48)+(Seg!E49+Seg!E51+Seg!E53-Seg!E55)+(Seg!E48-Q!M5)+(Seg!E55-Q!M12)+(Seg!E36-Q!M6)+(Seg!E41-Q!M7)</f>
        <v>0</v>
      </c>
      <c r="F57" s="24" t="n">
        <f aca="false">(Seg!F36+Seg!F41+Seg!F42+Seg!F44+Seg!F46-Seg!F48)+(Seg!F49+Seg!F51+Seg!F53-Seg!F55)</f>
        <v>0</v>
      </c>
      <c r="G57" s="24" t="n">
        <f aca="false">(Seg!G36+Seg!G41+Seg!G42+Seg!G44+Seg!G46-Seg!G48)+(Seg!G49+Seg!G51+Seg!G53-Seg!G55)</f>
        <v>0</v>
      </c>
      <c r="H57" s="24" t="n">
        <f aca="false">(Seg!H36+Seg!H41+Seg!H42+Seg!H44+Seg!H46-Seg!H48)+(Seg!H49+Seg!H51+Seg!H53-Seg!H55)</f>
        <v>0</v>
      </c>
      <c r="I57" s="24" t="n">
        <f aca="false">(Seg!I36+Seg!I41+Seg!I42+Seg!I44+Seg!I46-Seg!I48)+(Seg!I49+Seg!I51+Seg!I53-Seg!I55)</f>
        <v>0</v>
      </c>
      <c r="J57" s="24" t="n">
        <f aca="false">(Seg!J36+Seg!J41+Seg!J42+Seg!J44+Seg!J46-Seg!J48)+(Seg!J49+Seg!J51+Seg!J53-Seg!J55)</f>
        <v>0</v>
      </c>
      <c r="K57" s="24" t="n">
        <f aca="false">(Seg!K36+Seg!K41+Seg!K42+Seg!K44+Seg!K46-Seg!K48)+(Seg!K49+Seg!K51+Seg!K53-Seg!K55)</f>
        <v>0</v>
      </c>
    </row>
    <row r="58" customFormat="false" ht="17.15" hidden="false" customHeight="false" outlineLevel="0" collapsed="false">
      <c r="A58" s="3" t="s">
        <v>883</v>
      </c>
    </row>
    <row r="59" customFormat="false" ht="15" hidden="false" customHeight="false" outlineLevel="0" collapsed="false">
      <c r="A59" s="4" t="s">
        <v>43</v>
      </c>
      <c r="B59" s="4" t="s">
        <v>65</v>
      </c>
      <c r="C59" s="20" t="s">
        <v>788</v>
      </c>
      <c r="D59" s="20" t="s">
        <v>789</v>
      </c>
      <c r="E59" s="20" t="s">
        <v>790</v>
      </c>
      <c r="F59" s="20" t="s">
        <v>791</v>
      </c>
      <c r="G59" s="20" t="s">
        <v>792</v>
      </c>
      <c r="H59" s="20" t="s">
        <v>793</v>
      </c>
      <c r="I59" s="20" t="s">
        <v>794</v>
      </c>
      <c r="J59" s="20" t="s">
        <v>795</v>
      </c>
      <c r="K59" s="20" t="s">
        <v>796</v>
      </c>
      <c r="L59" s="4" t="s">
        <v>47</v>
      </c>
    </row>
    <row r="60" customFormat="false" ht="17.15" hidden="false" customHeight="false" outlineLevel="0" collapsed="false">
      <c r="A60" s="0" t="s">
        <v>864</v>
      </c>
      <c r="B60" s="0" t="s">
        <v>98</v>
      </c>
      <c r="D60" s="6" t="n">
        <f aca="false">Thesis!D121</f>
        <v>12.9359794422418</v>
      </c>
      <c r="E60" s="6" t="n">
        <f aca="false">Thesis!E121</f>
        <v>27.8095064661409</v>
      </c>
      <c r="F60" s="6" t="n">
        <f aca="false">Thesis!F121</f>
        <v>50.6619113883066</v>
      </c>
      <c r="G60" s="6" t="n">
        <f aca="false">Thesis!G121</f>
        <v>75.1482839325348</v>
      </c>
      <c r="H60" s="6" t="n">
        <f aca="false">Thesis!H121</f>
        <v>94.895655604042</v>
      </c>
      <c r="I60" s="6" t="n">
        <f aca="false">Thesis!I121</f>
        <v>118.706168884151</v>
      </c>
      <c r="J60" s="6" t="n">
        <f aca="false">Thesis!J121</f>
        <v>135.305203646001</v>
      </c>
      <c r="K60" s="6" t="n">
        <f aca="false">Thesis!K121</f>
        <v>145.64537766421</v>
      </c>
    </row>
    <row r="61" customFormat="false" ht="17.15" hidden="false" customHeight="false" outlineLevel="0" collapsed="false">
      <c r="A61" s="0" t="s">
        <v>865</v>
      </c>
      <c r="B61" s="0" t="s">
        <v>98</v>
      </c>
      <c r="D61" s="6" t="n">
        <f aca="false">Q!L6-Seg!D60</f>
        <v>59.6740205577583</v>
      </c>
      <c r="E61" s="6" t="n">
        <f aca="false">Q!M6-Seg!E60</f>
        <v>74.1284935338591</v>
      </c>
      <c r="F61" s="6" t="n">
        <f aca="false">Seg!E61*(1+Seg!F62)</f>
        <v>90.0799497373663</v>
      </c>
      <c r="G61" s="6" t="n">
        <f aca="false">Seg!F61*(1+Seg!G62)</f>
        <v>107.02842520331</v>
      </c>
      <c r="H61" s="6" t="n">
        <f aca="false">Seg!G61*(1+Seg!H62)</f>
        <v>124.271982585636</v>
      </c>
      <c r="I61" s="6" t="n">
        <f aca="false">Seg!H61*(1+Seg!I62)</f>
        <v>140.933702381855</v>
      </c>
      <c r="J61" s="6" t="n">
        <f aca="false">Seg!I61*(1+Seg!J62)</f>
        <v>156.018867314332</v>
      </c>
      <c r="K61" s="6" t="n">
        <f aca="false">Seg!J61*(1+Seg!K62)</f>
        <v>168.500376699478</v>
      </c>
    </row>
    <row r="62" customFormat="false" ht="15" hidden="false" customHeight="false" outlineLevel="0" collapsed="false">
      <c r="A62" s="1" t="s">
        <v>866</v>
      </c>
      <c r="B62" s="0" t="s">
        <v>129</v>
      </c>
      <c r="E62" s="7" t="n">
        <f aca="false">Seg!E61/Seg!D61-1</f>
        <v>0.242223883039864</v>
      </c>
      <c r="F62" s="7" t="n">
        <f aca="false">Seg!$E$62+(glt_azo-Seg!$E$62)*MIN(1,(Thesis!F104-base_fy)/n_conv)</f>
        <v>0.215186569199887</v>
      </c>
      <c r="G62" s="7" t="n">
        <f aca="false">Seg!$E$62+(glt_azo-Seg!$E$62)*MIN(1,(Thesis!G104-base_fy)/n_conv)</f>
        <v>0.18814925535991</v>
      </c>
      <c r="H62" s="7" t="n">
        <f aca="false">Seg!$E$62+(glt_azo-Seg!$E$62)*MIN(1,(Thesis!H104-base_fy)/n_conv)</f>
        <v>0.161111941519932</v>
      </c>
      <c r="I62" s="7" t="n">
        <f aca="false">Seg!$E$62+(glt_azo-Seg!$E$62)*MIN(1,(Thesis!I104-base_fy)/n_conv)</f>
        <v>0.134074627679955</v>
      </c>
      <c r="J62" s="7" t="n">
        <f aca="false">Seg!$E$62+(glt_azo-Seg!$E$62)*MIN(1,(Thesis!J104-base_fy)/n_conv)</f>
        <v>0.107037313839977</v>
      </c>
      <c r="K62" s="7" t="n">
        <f aca="false">Seg!$E$62+(glt_azo-Seg!$E$62)*MIN(1,(Thesis!K104-base_fy)/n_conv)</f>
        <v>0.08</v>
      </c>
    </row>
    <row r="63" customFormat="false" ht="15" hidden="false" customHeight="false" outlineLevel="0" collapsed="false">
      <c r="A63" s="0" t="s">
        <v>867</v>
      </c>
      <c r="B63" s="0" t="s">
        <v>98</v>
      </c>
      <c r="D63" s="6" t="n">
        <f aca="false">Seg!D60+Seg!D61</f>
        <v>72.61</v>
      </c>
      <c r="E63" s="6" t="n">
        <f aca="false">Seg!E60+Seg!E61</f>
        <v>101.938</v>
      </c>
      <c r="F63" s="6" t="n">
        <f aca="false">Seg!F60+Seg!F61</f>
        <v>140.741861125673</v>
      </c>
      <c r="G63" s="6" t="n">
        <f aca="false">Seg!G60+Seg!G61</f>
        <v>182.176709135845</v>
      </c>
      <c r="H63" s="6" t="n">
        <f aca="false">Seg!H60+Seg!H61</f>
        <v>219.167638189678</v>
      </c>
      <c r="I63" s="6" t="n">
        <f aca="false">Seg!I60+Seg!I61</f>
        <v>259.639871266006</v>
      </c>
      <c r="J63" s="6" t="n">
        <f aca="false">Seg!J60+Seg!J61</f>
        <v>291.324070960333</v>
      </c>
      <c r="K63" s="6" t="n">
        <f aca="false">Seg!K60+Seg!K61</f>
        <v>314.145754363688</v>
      </c>
    </row>
    <row r="64" customFormat="false" ht="17.15" hidden="false" customHeight="false" outlineLevel="0" collapsed="false">
      <c r="A64" s="0" t="s">
        <v>868</v>
      </c>
      <c r="B64" s="1" t="s">
        <v>521</v>
      </c>
      <c r="C64" s="29" t="n">
        <f aca="false">cop_s24</f>
        <v>1</v>
      </c>
      <c r="D64" s="29" t="n">
        <f aca="false">cop_s25</f>
        <v>5</v>
      </c>
      <c r="E64" s="29" t="n">
        <f aca="false">cop_s26</f>
        <v>30</v>
      </c>
      <c r="F64" s="29" t="n">
        <f aca="false">Seg!E64+cop_add_C</f>
        <v>40</v>
      </c>
      <c r="G64" s="29" t="n">
        <f aca="false">Seg!F64+cop_add_C</f>
        <v>50</v>
      </c>
      <c r="H64" s="29" t="n">
        <f aca="false">Seg!G64+cop_add_C</f>
        <v>60</v>
      </c>
      <c r="I64" s="29" t="n">
        <f aca="false">Seg!H64+cop_add_C*cop_tail</f>
        <v>65</v>
      </c>
      <c r="J64" s="29" t="n">
        <f aca="false">Seg!I64+cop_add_C*cop_tail</f>
        <v>70</v>
      </c>
      <c r="K64" s="29" t="n">
        <f aca="false">Seg!J64+cop_add_C*cop_tail</f>
        <v>75</v>
      </c>
      <c r="L64" s="11" t="s">
        <v>869</v>
      </c>
    </row>
    <row r="65" customFormat="false" ht="17.15" hidden="false" customHeight="false" outlineLevel="0" collapsed="false">
      <c r="A65" s="0" t="s">
        <v>870</v>
      </c>
      <c r="B65" s="0" t="s">
        <v>98</v>
      </c>
      <c r="D65" s="6" t="n">
        <f aca="false">(Seg!C64+Seg!D64)/2*cop_px*12/1000</f>
        <v>0.9</v>
      </c>
      <c r="E65" s="6" t="n">
        <f aca="false">(Seg!D64+Seg!E64)/2*cop_px*12/1000</f>
        <v>5.25</v>
      </c>
      <c r="F65" s="6" t="n">
        <f aca="false">(Seg!E64+Seg!F64)/2*cop_px*12/1000</f>
        <v>10.5</v>
      </c>
      <c r="G65" s="6" t="n">
        <f aca="false">(Seg!F64+Seg!G64)/2*cop_px*12/1000</f>
        <v>13.5</v>
      </c>
      <c r="H65" s="6" t="n">
        <f aca="false">(Seg!G64+Seg!H64)/2*cop_px*12/1000</f>
        <v>16.5</v>
      </c>
      <c r="I65" s="6" t="n">
        <f aca="false">(Seg!H64+Seg!I64)/2*cop_px*12/1000</f>
        <v>18.75</v>
      </c>
      <c r="J65" s="6" t="n">
        <f aca="false">(Seg!I64+Seg!J64)/2*cop_px*12/1000</f>
        <v>20.25</v>
      </c>
      <c r="K65" s="6" t="n">
        <f aca="false">(Seg!J64+Seg!K64)/2*cop_px*12/1000</f>
        <v>21.75</v>
      </c>
      <c r="L65" s="1" t="s">
        <v>871</v>
      </c>
    </row>
    <row r="66" customFormat="false" ht="17.15" hidden="false" customHeight="false" outlineLevel="0" collapsed="false">
      <c r="A66" s="0" t="s">
        <v>872</v>
      </c>
      <c r="B66" s="0" t="s">
        <v>98</v>
      </c>
      <c r="D66" s="6" t="n">
        <f aca="false">Q!L7-Seg!D65</f>
        <v>83.705</v>
      </c>
      <c r="E66" s="6" t="n">
        <f aca="false">Q!M7-Seg!E65</f>
        <v>95.049</v>
      </c>
      <c r="F66" s="6" t="n">
        <f aca="false">Seg!E66*(1+Seg!F67)</f>
        <v>106.89238776686</v>
      </c>
      <c r="G66" s="6" t="n">
        <f aca="false">Seg!F66*(1+Seg!G67)</f>
        <v>119.044168448684</v>
      </c>
      <c r="H66" s="6" t="n">
        <f aca="false">Seg!G66*(1+Seg!H67)</f>
        <v>131.277359388781</v>
      </c>
      <c r="I66" s="6" t="n">
        <f aca="false">Seg!H66*(1+Seg!I67)</f>
        <v>143.334028071957</v>
      </c>
      <c r="J66" s="6" t="n">
        <f aca="false">Seg!I66*(1+Seg!J67)</f>
        <v>154.932702785465</v>
      </c>
      <c r="K66" s="6" t="n">
        <f aca="false">Seg!J66*(1+Seg!K67)</f>
        <v>165.777991980448</v>
      </c>
    </row>
    <row r="67" customFormat="false" ht="15" hidden="false" customHeight="false" outlineLevel="0" collapsed="false">
      <c r="A67" s="1" t="s">
        <v>866</v>
      </c>
      <c r="B67" s="0" t="s">
        <v>129</v>
      </c>
      <c r="E67" s="7" t="n">
        <f aca="false">Seg!E66/Seg!D66-1</f>
        <v>0.135523564900544</v>
      </c>
      <c r="F67" s="7" t="n">
        <f aca="false">Seg!$E$67+(glt_m365b-Seg!$E$67)*MIN(1,(Thesis!F104-base_fy)/n_conv)</f>
        <v>0.124602970750453</v>
      </c>
      <c r="G67" s="7" t="n">
        <f aca="false">Seg!$E$67+(glt_m365b-Seg!$E$67)*MIN(1,(Thesis!G104-base_fy)/n_conv)</f>
        <v>0.113682376600363</v>
      </c>
      <c r="H67" s="7" t="n">
        <f aca="false">Seg!$E$67+(glt_m365b-Seg!$E$67)*MIN(1,(Thesis!H104-base_fy)/n_conv)</f>
        <v>0.102761782450272</v>
      </c>
      <c r="I67" s="7" t="n">
        <f aca="false">Seg!$E$67+(glt_m365b-Seg!$E$67)*MIN(1,(Thesis!I104-base_fy)/n_conv)</f>
        <v>0.0918411883001813</v>
      </c>
      <c r="J67" s="7" t="n">
        <f aca="false">Seg!$E$67+(glt_m365b-Seg!$E$67)*MIN(1,(Thesis!J104-base_fy)/n_conv)</f>
        <v>0.0809205941500906</v>
      </c>
      <c r="K67" s="7" t="n">
        <f aca="false">Seg!$E$67+(glt_m365b-Seg!$E$67)*MIN(1,(Thesis!K104-base_fy)/n_conv)</f>
        <v>0.07</v>
      </c>
    </row>
    <row r="68" customFormat="false" ht="15" hidden="false" customHeight="false" outlineLevel="0" collapsed="false">
      <c r="A68" s="0" t="s">
        <v>873</v>
      </c>
      <c r="B68" s="0" t="s">
        <v>98</v>
      </c>
      <c r="D68" s="6" t="n">
        <f aca="false">Seg!D66+Seg!D65</f>
        <v>84.605</v>
      </c>
      <c r="E68" s="6" t="n">
        <f aca="false">Seg!E66+Seg!E65</f>
        <v>100.299</v>
      </c>
      <c r="F68" s="6" t="n">
        <f aca="false">Seg!F66+Seg!F65</f>
        <v>117.39238776686</v>
      </c>
      <c r="G68" s="6" t="n">
        <f aca="false">Seg!G66+Seg!G65</f>
        <v>132.544168448684</v>
      </c>
      <c r="H68" s="6" t="n">
        <f aca="false">Seg!H66+Seg!H65</f>
        <v>147.777359388781</v>
      </c>
      <c r="I68" s="6" t="n">
        <f aca="false">Seg!I66+Seg!I65</f>
        <v>162.084028071957</v>
      </c>
      <c r="J68" s="6" t="n">
        <f aca="false">Seg!J66+Seg!J65</f>
        <v>175.182702785465</v>
      </c>
      <c r="K68" s="6" t="n">
        <f aca="false">Seg!K66+Seg!K65</f>
        <v>187.527991980448</v>
      </c>
    </row>
    <row r="69" customFormat="false" ht="15" hidden="false" customHeight="false" outlineLevel="0" collapsed="false">
      <c r="A69" s="0" t="s">
        <v>874</v>
      </c>
      <c r="B69" s="0" t="s">
        <v>98</v>
      </c>
      <c r="D69" s="6" t="n">
        <f aca="false">Q!L8</f>
        <v>35.391</v>
      </c>
      <c r="E69" s="6" t="n">
        <f aca="false">Q!M8</f>
        <v>37.285</v>
      </c>
      <c r="F69" s="6" t="n">
        <f aca="false">Seg!E69*(1+Seg!F70)</f>
        <v>39.0720834331704</v>
      </c>
      <c r="G69" s="6" t="n">
        <f aca="false">Seg!F69*(1+Seg!G70)</f>
        <v>40.726562953769</v>
      </c>
      <c r="H69" s="6" t="n">
        <f aca="false">Seg!G69*(1+Seg!H70)</f>
        <v>42.2235987259198</v>
      </c>
      <c r="I69" s="6" t="n">
        <f aca="false">Seg!H69*(1+Seg!I70)</f>
        <v>43.5397988077414</v>
      </c>
      <c r="J69" s="6" t="n">
        <f aca="false">Seg!I69*(1+Seg!J70)</f>
        <v>44.653811225693</v>
      </c>
      <c r="K69" s="6" t="n">
        <f aca="false">Seg!J69*(1+Seg!K70)</f>
        <v>45.5468874502068</v>
      </c>
    </row>
    <row r="70" customFormat="false" ht="15" hidden="false" customHeight="false" outlineLevel="0" collapsed="false">
      <c r="A70" s="1" t="s">
        <v>866</v>
      </c>
      <c r="B70" s="0" t="s">
        <v>129</v>
      </c>
      <c r="E70" s="7" t="n">
        <f aca="false">Seg!E69/Seg!D69-1</f>
        <v>0.0535164307309768</v>
      </c>
      <c r="F70" s="7" t="n">
        <f aca="false">Seg!$E$70+(glt_lic-Seg!$E$70)*MIN(1,(Thesis!F104-base_fy)/n_conv)</f>
        <v>0.0479303589424807</v>
      </c>
      <c r="G70" s="7" t="n">
        <f aca="false">Seg!$E$70+(glt_lic-Seg!$E$70)*MIN(1,(Thesis!G104-base_fy)/n_conv)</f>
        <v>0.0423442871539845</v>
      </c>
      <c r="H70" s="7" t="n">
        <f aca="false">Seg!$E$70+(glt_lic-Seg!$E$70)*MIN(1,(Thesis!H104-base_fy)/n_conv)</f>
        <v>0.0367582153654884</v>
      </c>
      <c r="I70" s="7" t="n">
        <f aca="false">Seg!$E$70+(glt_lic-Seg!$E$70)*MIN(1,(Thesis!I104-base_fy)/n_conv)</f>
        <v>0.0311721435769923</v>
      </c>
      <c r="J70" s="7" t="n">
        <f aca="false">Seg!$E$70+(glt_lic-Seg!$E$70)*MIN(1,(Thesis!J104-base_fy)/n_conv)</f>
        <v>0.0255860717884961</v>
      </c>
      <c r="K70" s="7" t="n">
        <f aca="false">Seg!$E$70+(glt_lic-Seg!$E$70)*MIN(1,(Thesis!K104-base_fy)/n_conv)</f>
        <v>0.02</v>
      </c>
    </row>
    <row r="71" customFormat="false" ht="15" hidden="false" customHeight="false" outlineLevel="0" collapsed="false">
      <c r="A71" s="0" t="s">
        <v>875</v>
      </c>
      <c r="B71" s="0" t="s">
        <v>98</v>
      </c>
      <c r="D71" s="6" t="n">
        <f aca="false">Q!L9</f>
        <v>18.417</v>
      </c>
      <c r="E71" s="6" t="n">
        <f aca="false">Q!M9</f>
        <v>20.345</v>
      </c>
      <c r="F71" s="6" t="n">
        <f aca="false">Seg!E71*(1+Seg!F72)</f>
        <v>22.3572203267814</v>
      </c>
      <c r="G71" s="6" t="n">
        <f aca="false">Seg!F71*(1+Seg!G72)</f>
        <v>24.4392124437232</v>
      </c>
      <c r="H71" s="6" t="n">
        <f aca="false">Seg!G71*(1+Seg!H72)</f>
        <v>26.5738052080665</v>
      </c>
      <c r="I71" s="6" t="n">
        <f aca="false">Seg!H71*(1+Seg!I72)</f>
        <v>28.7412169166967</v>
      </c>
      <c r="J71" s="6" t="n">
        <f aca="false">Seg!I71*(1+Seg!J72)</f>
        <v>30.9192545395413</v>
      </c>
      <c r="K71" s="6" t="n">
        <f aca="false">Seg!J71*(1+Seg!K72)</f>
        <v>33.0836023573092</v>
      </c>
    </row>
    <row r="72" customFormat="false" ht="15" hidden="false" customHeight="false" outlineLevel="0" collapsed="false">
      <c r="A72" s="1" t="s">
        <v>866</v>
      </c>
      <c r="B72" s="0" t="s">
        <v>129</v>
      </c>
      <c r="E72" s="7" t="n">
        <f aca="false">Seg!E71/Seg!D71-1</f>
        <v>0.104685888038225</v>
      </c>
      <c r="F72" s="7" t="n">
        <f aca="false">Seg!$E$72+(glt_ind-Seg!$E$72)*MIN(1,(Thesis!F104-base_fy)/n_conv)</f>
        <v>0.0989049066985211</v>
      </c>
      <c r="G72" s="7" t="n">
        <f aca="false">Seg!$E$72+(glt_ind-Seg!$E$72)*MIN(1,(Thesis!G104-base_fy)/n_conv)</f>
        <v>0.0931239253588169</v>
      </c>
      <c r="H72" s="7" t="n">
        <f aca="false">Seg!$E$72+(glt_ind-Seg!$E$72)*MIN(1,(Thesis!H104-base_fy)/n_conv)</f>
        <v>0.0873429440191127</v>
      </c>
      <c r="I72" s="7" t="n">
        <f aca="false">Seg!$E$72+(glt_ind-Seg!$E$72)*MIN(1,(Thesis!I104-base_fy)/n_conv)</f>
        <v>0.0815619626794085</v>
      </c>
      <c r="J72" s="7" t="n">
        <f aca="false">Seg!$E$72+(glt_ind-Seg!$E$72)*MIN(1,(Thesis!J104-base_fy)/n_conv)</f>
        <v>0.0757809813397042</v>
      </c>
      <c r="K72" s="7" t="n">
        <f aca="false">Seg!$E$72+(glt_ind-Seg!$E$72)*MIN(1,(Thesis!K104-base_fy)/n_conv)</f>
        <v>0.07</v>
      </c>
    </row>
    <row r="73" customFormat="false" ht="15" hidden="false" customHeight="false" outlineLevel="0" collapsed="false">
      <c r="A73" s="0" t="s">
        <v>876</v>
      </c>
      <c r="B73" s="0" t="s">
        <v>98</v>
      </c>
      <c r="D73" s="6" t="n">
        <f aca="false">Q!L10</f>
        <v>7.76</v>
      </c>
      <c r="E73" s="6" t="n">
        <f aca="false">Q!M10</f>
        <v>8.26</v>
      </c>
      <c r="F73" s="6" t="n">
        <f aca="false">Seg!E73*(1+Seg!F74)</f>
        <v>8.79988041237113</v>
      </c>
      <c r="G73" s="6" t="n">
        <f aca="false">Seg!F73*(1+Seg!G74)</f>
        <v>9.38321269125306</v>
      </c>
      <c r="H73" s="6" t="n">
        <f aca="false">Seg!G73*(1+Seg!H74)</f>
        <v>10.0139193587476</v>
      </c>
      <c r="I73" s="6" t="n">
        <f aca="false">Seg!H73*(1+Seg!I74)</f>
        <v>10.6963111830911</v>
      </c>
      <c r="J73" s="6" t="n">
        <f aca="false">Seg!I73*(1+Seg!J74)</f>
        <v>11.4351285534696</v>
      </c>
      <c r="K73" s="6" t="n">
        <f aca="false">Seg!J73*(1+Seg!K74)</f>
        <v>12.2355875522124</v>
      </c>
    </row>
    <row r="74" customFormat="false" ht="15" hidden="false" customHeight="false" outlineLevel="0" collapsed="false">
      <c r="A74" s="1" t="s">
        <v>866</v>
      </c>
      <c r="B74" s="0" t="s">
        <v>129</v>
      </c>
      <c r="E74" s="7" t="n">
        <f aca="false">Seg!E73/Seg!D73-1</f>
        <v>0.0644329896907216</v>
      </c>
      <c r="F74" s="7" t="n">
        <f aca="false">Seg!$E$74+(glt_fro-Seg!$E$74)*MIN(1,(Thesis!F104-base_fy)/n_conv)</f>
        <v>0.065360824742268</v>
      </c>
      <c r="G74" s="7" t="n">
        <f aca="false">Seg!$E$74+(glt_fro-Seg!$E$74)*MIN(1,(Thesis!G104-base_fy)/n_conv)</f>
        <v>0.0662886597938144</v>
      </c>
      <c r="H74" s="7" t="n">
        <f aca="false">Seg!$E$74+(glt_fro-Seg!$E$74)*MIN(1,(Thesis!H104-base_fy)/n_conv)</f>
        <v>0.0672164948453608</v>
      </c>
      <c r="I74" s="7" t="n">
        <f aca="false">Seg!$E$74+(glt_fro-Seg!$E$74)*MIN(1,(Thesis!I104-base_fy)/n_conv)</f>
        <v>0.0681443298969072</v>
      </c>
      <c r="J74" s="7" t="n">
        <f aca="false">Seg!$E$74+(glt_fro-Seg!$E$74)*MIN(1,(Thesis!J104-base_fy)/n_conv)</f>
        <v>0.0690721649484536</v>
      </c>
      <c r="K74" s="7" t="n">
        <f aca="false">Seg!$E$74+(glt_fro-Seg!$E$74)*MIN(1,(Thesis!K104-base_fy)/n_conv)</f>
        <v>0.07</v>
      </c>
    </row>
    <row r="75" customFormat="false" ht="15" hidden="false" customHeight="false" outlineLevel="0" collapsed="false">
      <c r="A75" s="0" t="s">
        <v>704</v>
      </c>
      <c r="B75" s="0" t="s">
        <v>98</v>
      </c>
      <c r="D75" s="6" t="n">
        <f aca="false">Seg!D63+Seg!D68+Seg!D69+Seg!D71+Seg!D73</f>
        <v>218.783</v>
      </c>
      <c r="E75" s="6" t="n">
        <f aca="false">Seg!E63+Seg!E68+Seg!E69+Seg!E71+Seg!E73</f>
        <v>268.127</v>
      </c>
      <c r="F75" s="6" t="n">
        <f aca="false">Seg!F63+Seg!F68+Seg!F69+Seg!F71+Seg!F73</f>
        <v>328.363433064856</v>
      </c>
      <c r="G75" s="6" t="n">
        <f aca="false">Seg!G63+Seg!G68+Seg!G69+Seg!G71+Seg!G73</f>
        <v>389.269865673274</v>
      </c>
      <c r="H75" s="6" t="n">
        <f aca="false">Seg!H63+Seg!H68+Seg!H69+Seg!H71+Seg!H73</f>
        <v>445.756320871193</v>
      </c>
      <c r="I75" s="6" t="n">
        <f aca="false">Seg!I63+Seg!I68+Seg!I69+Seg!I71+Seg!I73</f>
        <v>504.701226245492</v>
      </c>
      <c r="J75" s="6" t="n">
        <f aca="false">Seg!J63+Seg!J68+Seg!J69+Seg!J71+Seg!J73</f>
        <v>553.514968064502</v>
      </c>
      <c r="K75" s="6" t="n">
        <f aca="false">Seg!K63+Seg!K68+Seg!K69+Seg!K71+Seg!K73</f>
        <v>592.539823703865</v>
      </c>
    </row>
    <row r="76" customFormat="false" ht="15" hidden="false" customHeight="false" outlineLevel="0" collapsed="false">
      <c r="A76" s="0" t="s">
        <v>877</v>
      </c>
      <c r="B76" s="0" t="s">
        <v>98</v>
      </c>
      <c r="D76" s="6" t="n">
        <f aca="false">Q!L13</f>
        <v>22.171</v>
      </c>
      <c r="E76" s="6" t="n">
        <f aca="false">Q!M13</f>
        <v>24.835</v>
      </c>
      <c r="F76" s="6" t="n">
        <f aca="false">Seg!E76*(1+Seg!F77)</f>
        <v>27.6114901218559</v>
      </c>
      <c r="G76" s="6" t="n">
        <f aca="false">Seg!F76*(1+Seg!G77)</f>
        <v>30.4675667338515</v>
      </c>
      <c r="H76" s="6" t="n">
        <f aca="false">Seg!G76*(1+Seg!H77)</f>
        <v>33.3643766955789</v>
      </c>
      <c r="I76" s="6" t="n">
        <f aca="false">Seg!H76*(1+Seg!I77)</f>
        <v>36.2577016533691</v>
      </c>
      <c r="J76" s="6" t="n">
        <f aca="false">Seg!I76*(1+Seg!J77)</f>
        <v>39.0988367952171</v>
      </c>
      <c r="K76" s="6" t="n">
        <f aca="false">Seg!J76*(1+Seg!K77)</f>
        <v>41.8357553708823</v>
      </c>
    </row>
    <row r="77" customFormat="false" ht="15" hidden="false" customHeight="false" outlineLevel="0" collapsed="false">
      <c r="A77" s="1" t="s">
        <v>866</v>
      </c>
      <c r="B77" s="0" t="s">
        <v>129</v>
      </c>
      <c r="E77" s="7" t="n">
        <f aca="false">Seg!E76/Seg!D76-1</f>
        <v>0.120156961796942</v>
      </c>
      <c r="F77" s="7" t="n">
        <f aca="false">Seg!$E$77+(glt_srch-Seg!$E$77)*MIN(1,(Thesis!F104-base_fy)/n_conv)</f>
        <v>0.111797468164118</v>
      </c>
      <c r="G77" s="7" t="n">
        <f aca="false">Seg!$E$77+(glt_srch-Seg!$E$77)*MIN(1,(Thesis!G104-base_fy)/n_conv)</f>
        <v>0.103437974531295</v>
      </c>
      <c r="H77" s="7" t="n">
        <f aca="false">Seg!$E$77+(glt_srch-Seg!$E$77)*MIN(1,(Thesis!H104-base_fy)/n_conv)</f>
        <v>0.095078480898471</v>
      </c>
      <c r="I77" s="7" t="n">
        <f aca="false">Seg!$E$77+(glt_srch-Seg!$E$77)*MIN(1,(Thesis!I104-base_fy)/n_conv)</f>
        <v>0.0867189872656474</v>
      </c>
      <c r="J77" s="7" t="n">
        <f aca="false">Seg!$E$77+(glt_srch-Seg!$E$77)*MIN(1,(Thesis!J104-base_fy)/n_conv)</f>
        <v>0.0783594936328237</v>
      </c>
      <c r="K77" s="7" t="n">
        <f aca="false">Seg!$E$77+(glt_srch-Seg!$E$77)*MIN(1,(Thesis!K104-base_fy)/n_conv)</f>
        <v>0.07</v>
      </c>
    </row>
    <row r="78" customFormat="false" ht="15" hidden="false" customHeight="false" outlineLevel="0" collapsed="false">
      <c r="A78" s="0" t="s">
        <v>878</v>
      </c>
      <c r="B78" s="0" t="s">
        <v>98</v>
      </c>
      <c r="D78" s="6" t="n">
        <f aca="false">Q!L14</f>
        <v>23.455</v>
      </c>
      <c r="E78" s="6" t="n">
        <f aca="false">Q!M14</f>
        <v>21.79</v>
      </c>
      <c r="F78" s="6" t="n">
        <f aca="false">Seg!E78*(1+Seg!F79)</f>
        <v>20.5736277908051</v>
      </c>
      <c r="G78" s="6" t="n">
        <f aca="false">Seg!F78*(1+Seg!G79)</f>
        <v>19.7371452817919</v>
      </c>
      <c r="H78" s="6" t="n">
        <f aca="false">Seg!G78*(1+Seg!H79)</f>
        <v>19.2339764043138</v>
      </c>
      <c r="I78" s="6" t="n">
        <f aca="false">Seg!H78*(1+Seg!I79)</f>
        <v>19.0353086852681</v>
      </c>
      <c r="J78" s="6" t="n">
        <f aca="false">Seg!I78*(1+Seg!J79)</f>
        <v>19.1273539319129</v>
      </c>
      <c r="K78" s="6" t="n">
        <f aca="false">Seg!J78*(1+Seg!K79)</f>
        <v>19.5099010105511</v>
      </c>
    </row>
    <row r="79" customFormat="false" ht="15" hidden="false" customHeight="false" outlineLevel="0" collapsed="false">
      <c r="A79" s="1" t="s">
        <v>866</v>
      </c>
      <c r="B79" s="0" t="s">
        <v>129</v>
      </c>
      <c r="E79" s="7" t="n">
        <f aca="false">Seg!E78/Seg!D78-1</f>
        <v>-0.0709869963760392</v>
      </c>
      <c r="F79" s="7" t="n">
        <f aca="false">Seg!$E$79+(glt_xbox-Seg!$E$79)*MIN(1,(Thesis!F104-base_fy)/n_conv)</f>
        <v>-0.0558224969800327</v>
      </c>
      <c r="G79" s="7" t="n">
        <f aca="false">Seg!$E$79+(glt_xbox-Seg!$E$79)*MIN(1,(Thesis!G104-base_fy)/n_conv)</f>
        <v>-0.0406579975840262</v>
      </c>
      <c r="H79" s="7" t="n">
        <f aca="false">Seg!$E$79+(glt_xbox-Seg!$E$79)*MIN(1,(Thesis!H104-base_fy)/n_conv)</f>
        <v>-0.0254934981880196</v>
      </c>
      <c r="I79" s="7" t="n">
        <f aca="false">Seg!$E$79+(glt_xbox-Seg!$E$79)*MIN(1,(Thesis!I104-base_fy)/n_conv)</f>
        <v>-0.0103289987920131</v>
      </c>
      <c r="J79" s="7" t="n">
        <f aca="false">Seg!$E$79+(glt_xbox-Seg!$E$79)*MIN(1,(Thesis!J104-base_fy)/n_conv)</f>
        <v>0.00483550060399347</v>
      </c>
      <c r="K79" s="7" t="n">
        <f aca="false">Seg!$E$79+(glt_xbox-Seg!$E$79)*MIN(1,(Thesis!K104-base_fy)/n_conv)</f>
        <v>0.02</v>
      </c>
    </row>
    <row r="80" customFormat="false" ht="15" hidden="false" customHeight="false" outlineLevel="0" collapsed="false">
      <c r="A80" s="0" t="s">
        <v>879</v>
      </c>
      <c r="B80" s="0" t="s">
        <v>98</v>
      </c>
      <c r="D80" s="6" t="n">
        <f aca="false">Q!L15</f>
        <v>17.315</v>
      </c>
      <c r="E80" s="6" t="n">
        <f aca="false">Q!M15</f>
        <v>17.087</v>
      </c>
      <c r="F80" s="6" t="n">
        <f aca="false">Seg!E80*(1+Seg!F81)</f>
        <v>16.9564585436519</v>
      </c>
      <c r="G80" s="6" t="n">
        <f aca="false">Seg!F80*(1+Seg!G81)</f>
        <v>16.9206490624268</v>
      </c>
      <c r="H80" s="6" t="n">
        <f aca="false">Seg!G80*(1+Seg!H81)</f>
        <v>16.9784519149849</v>
      </c>
      <c r="I80" s="6" t="n">
        <f aca="false">Seg!H80*(1+Seg!I81)</f>
        <v>17.1303084701817</v>
      </c>
      <c r="J80" s="6" t="n">
        <f aca="false">Seg!I80*(1+Seg!J81)</f>
        <v>17.3782189407267</v>
      </c>
      <c r="K80" s="6" t="n">
        <f aca="false">Seg!J80*(1+Seg!K81)</f>
        <v>17.7257833195413</v>
      </c>
    </row>
    <row r="81" customFormat="false" ht="15" hidden="false" customHeight="false" outlineLevel="0" collapsed="false">
      <c r="A81" s="1" t="s">
        <v>866</v>
      </c>
      <c r="B81" s="0" t="s">
        <v>129</v>
      </c>
      <c r="E81" s="7" t="n">
        <f aca="false">Seg!E80/Seg!D80-1</f>
        <v>-0.0131677736066995</v>
      </c>
      <c r="F81" s="7" t="n">
        <f aca="false">Seg!$E$81+(glt_win-Seg!$E$81)*MIN(1,(Thesis!F104-base_fy)/n_conv)</f>
        <v>-0.00763981133891627</v>
      </c>
      <c r="G81" s="7" t="n">
        <f aca="false">Seg!$E$81+(glt_win-Seg!$E$81)*MIN(1,(Thesis!G104-base_fy)/n_conv)</f>
        <v>-0.00211184907113301</v>
      </c>
      <c r="H81" s="7" t="n">
        <f aca="false">Seg!$E$81+(glt_win-Seg!$E$81)*MIN(1,(Thesis!H104-base_fy)/n_conv)</f>
        <v>0.00341611319665024</v>
      </c>
      <c r="I81" s="7" t="n">
        <f aca="false">Seg!$E$81+(glt_win-Seg!$E$81)*MIN(1,(Thesis!I104-base_fy)/n_conv)</f>
        <v>0.00894407546443349</v>
      </c>
      <c r="J81" s="7" t="n">
        <f aca="false">Seg!$E$81+(glt_win-Seg!$E$81)*MIN(1,(Thesis!J104-base_fy)/n_conv)</f>
        <v>0.0144720377322168</v>
      </c>
      <c r="K81" s="7" t="n">
        <f aca="false">Seg!$E$81+(glt_win-Seg!$E$81)*MIN(1,(Thesis!K104-base_fy)/n_conv)</f>
        <v>0.02</v>
      </c>
    </row>
    <row r="82" customFormat="false" ht="15" hidden="false" customHeight="false" outlineLevel="0" collapsed="false">
      <c r="A82" s="0" t="s">
        <v>718</v>
      </c>
      <c r="B82" s="0" t="s">
        <v>98</v>
      </c>
      <c r="D82" s="6" t="n">
        <f aca="false">Seg!D76+Seg!D78+Seg!D80</f>
        <v>62.941</v>
      </c>
      <c r="E82" s="6" t="n">
        <f aca="false">Seg!E76+Seg!E78+Seg!E80</f>
        <v>63.712</v>
      </c>
      <c r="F82" s="6" t="n">
        <f aca="false">Seg!F76+Seg!F78+Seg!F80</f>
        <v>65.1415764563129</v>
      </c>
      <c r="G82" s="6" t="n">
        <f aca="false">Seg!G76+Seg!G78+Seg!G80</f>
        <v>67.1253610780702</v>
      </c>
      <c r="H82" s="6" t="n">
        <f aca="false">Seg!H76+Seg!H78+Seg!H80</f>
        <v>69.5768050148776</v>
      </c>
      <c r="I82" s="6" t="n">
        <f aca="false">Seg!I76+Seg!I78+Seg!I80</f>
        <v>72.4233188088189</v>
      </c>
      <c r="J82" s="6" t="n">
        <f aca="false">Seg!J76+Seg!J78+Seg!J80</f>
        <v>75.6044096678567</v>
      </c>
      <c r="K82" s="6" t="n">
        <f aca="false">Seg!K76+Seg!K78+Seg!K80</f>
        <v>79.0714397009747</v>
      </c>
    </row>
    <row r="83" customFormat="false" ht="15" hidden="false" customHeight="false" outlineLevel="0" collapsed="false">
      <c r="A83" s="1" t="s">
        <v>880</v>
      </c>
      <c r="B83" s="0" t="s">
        <v>98</v>
      </c>
      <c r="D83" s="6" t="n">
        <f aca="false">Seg!D75+Seg!D82</f>
        <v>281.724</v>
      </c>
      <c r="E83" s="6" t="n">
        <f aca="false">Seg!E75+Seg!E82</f>
        <v>331.839</v>
      </c>
      <c r="F83" s="6" t="n">
        <f aca="false">Seg!F75+Seg!F82</f>
        <v>393.505009521169</v>
      </c>
      <c r="G83" s="6" t="n">
        <f aca="false">Seg!G75+Seg!G82</f>
        <v>456.395226751344</v>
      </c>
      <c r="H83" s="6" t="n">
        <f aca="false">Seg!H75+Seg!H82</f>
        <v>515.333125886071</v>
      </c>
      <c r="I83" s="6" t="n">
        <f aca="false">Seg!I75+Seg!I82</f>
        <v>577.124545054311</v>
      </c>
      <c r="J83" s="6" t="n">
        <f aca="false">Seg!J75+Seg!J82</f>
        <v>629.119377732358</v>
      </c>
      <c r="K83" s="6" t="n">
        <f aca="false">Seg!K75+Seg!K82</f>
        <v>671.611263404839</v>
      </c>
    </row>
    <row r="84" customFormat="false" ht="15" hidden="false" customHeight="false" outlineLevel="0" collapsed="false">
      <c r="A84" s="23" t="s">
        <v>881</v>
      </c>
      <c r="B84" s="30" t="s">
        <v>98</v>
      </c>
      <c r="C84" s="30"/>
      <c r="D84" s="24" t="n">
        <f aca="false">(Seg!D63+Seg!D68+Seg!D69+Seg!D71+Seg!D73-Seg!D75)+(Seg!D76+Seg!D78+Seg!D80-Seg!D82)+(Seg!D75-Q!L5)+(Seg!D82-Q!L12)+(Seg!D63-Q!L6)+(Seg!D68-Q!L7)</f>
        <v>0</v>
      </c>
      <c r="E84" s="24" t="n">
        <f aca="false">(Seg!E63+Seg!E68+Seg!E69+Seg!E71+Seg!E73-Seg!E75)+(Seg!E76+Seg!E78+Seg!E80-Seg!E82)+(Seg!E75-Q!M5)+(Seg!E82-Q!M12)+(Seg!E63-Q!M6)+(Seg!E68-Q!M7)</f>
        <v>0</v>
      </c>
      <c r="F84" s="24" t="n">
        <f aca="false">(Seg!F63+Seg!F68+Seg!F69+Seg!F71+Seg!F73-Seg!F75)+(Seg!F76+Seg!F78+Seg!F80-Seg!F82)</f>
        <v>0</v>
      </c>
      <c r="G84" s="24" t="n">
        <f aca="false">(Seg!G63+Seg!G68+Seg!G69+Seg!G71+Seg!G73-Seg!G75)+(Seg!G76+Seg!G78+Seg!G80-Seg!G82)</f>
        <v>0</v>
      </c>
      <c r="H84" s="24" t="n">
        <f aca="false">(Seg!H63+Seg!H68+Seg!H69+Seg!H71+Seg!H73-Seg!H75)+(Seg!H76+Seg!H78+Seg!H80-Seg!H82)</f>
        <v>0</v>
      </c>
      <c r="I84" s="24" t="n">
        <f aca="false">(Seg!I63+Seg!I68+Seg!I69+Seg!I71+Seg!I73-Seg!I75)+(Seg!I76+Seg!I78+Seg!I80-Seg!I82)</f>
        <v>0</v>
      </c>
      <c r="J84" s="24" t="n">
        <f aca="false">(Seg!J63+Seg!J68+Seg!J69+Seg!J71+Seg!J73-Seg!J75)+(Seg!J76+Seg!J78+Seg!J80-Seg!J82)</f>
        <v>0</v>
      </c>
      <c r="K84" s="24" t="n">
        <f aca="false">(Seg!K63+Seg!K68+Seg!K69+Seg!K71+Seg!K73-Seg!K75)+(Seg!K76+Seg!K78+Seg!K80-Seg!K82)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884</v>
      </c>
    </row>
    <row r="2" customFormat="false" ht="17.15" hidden="false" customHeight="false" outlineLevel="0" collapsed="false">
      <c r="A2" s="1" t="s">
        <v>885</v>
      </c>
    </row>
    <row r="3" customFormat="false" ht="15" hidden="false" customHeight="false" outlineLevel="0" collapsed="false">
      <c r="A3" s="4" t="s">
        <v>43</v>
      </c>
      <c r="B3" s="4" t="s">
        <v>65</v>
      </c>
      <c r="C3" s="20" t="s">
        <v>788</v>
      </c>
      <c r="D3" s="20" t="s">
        <v>789</v>
      </c>
      <c r="E3" s="20" t="s">
        <v>790</v>
      </c>
      <c r="F3" s="20" t="s">
        <v>791</v>
      </c>
      <c r="G3" s="20" t="s">
        <v>792</v>
      </c>
      <c r="H3" s="20" t="s">
        <v>793</v>
      </c>
      <c r="I3" s="20" t="s">
        <v>794</v>
      </c>
      <c r="J3" s="20" t="s">
        <v>795</v>
      </c>
      <c r="K3" s="20" t="s">
        <v>796</v>
      </c>
      <c r="L3" s="4" t="s">
        <v>47</v>
      </c>
    </row>
    <row r="4" customFormat="false" ht="15" hidden="false" customHeight="false" outlineLevel="0" collapsed="false">
      <c r="A4" s="23" t="s">
        <v>886</v>
      </c>
      <c r="B4" s="30" t="s">
        <v>98</v>
      </c>
      <c r="C4" s="30"/>
      <c r="D4" s="24" t="n">
        <f aca="false">ABS(PL!D23+PL!D27-PL!D28)+ABS(PL!D28-Q!L18)+ABS(PL!D62+PL!D66-PL!D67)+ABS(PL!D67-Q!L18)+ABS(PL!D101+PL!D105-PL!D106)+ABS(PL!D106-Q!L18)</f>
        <v>0</v>
      </c>
      <c r="E4" s="24" t="n">
        <f aca="false">ABS(PL!E23+PL!E27-PL!E28)+ABS(PL!E28-Q!M18)+ABS(PL!E62+PL!E66-PL!E67)+ABS(PL!E67-Q!M18)+ABS(PL!E101+PL!E105-PL!E106)+ABS(PL!E106-Q!M18)</f>
        <v>0</v>
      </c>
      <c r="F4" s="24" t="n">
        <f aca="false">ABS(PL!F23+PL!F27-PL!F28)+ABS(PL!F62+PL!F66-PL!F67)+ABS(PL!F101+PL!F105-PL!F106)</f>
        <v>0</v>
      </c>
      <c r="G4" s="24" t="n">
        <f aca="false">ABS(PL!G23+PL!G27-PL!G28)+ABS(PL!G62+PL!G66-PL!G67)+ABS(PL!G101+PL!G105-PL!G106)</f>
        <v>0</v>
      </c>
      <c r="H4" s="24" t="n">
        <f aca="false">ABS(PL!H23+PL!H27-PL!H28)+ABS(PL!H62+PL!H66-PL!H67)+ABS(PL!H101+PL!H105-PL!H106)</f>
        <v>0</v>
      </c>
      <c r="I4" s="24" t="n">
        <f aca="false">ABS(PL!I23+PL!I27-PL!I28)+ABS(PL!I62+PL!I66-PL!I67)+ABS(PL!I101+PL!I105-PL!I106)</f>
        <v>0</v>
      </c>
      <c r="J4" s="24" t="n">
        <f aca="false">ABS(PL!J23+PL!J27-PL!J28)+ABS(PL!J62+PL!J66-PL!J67)+ABS(PL!J101+PL!J105-PL!J106)</f>
        <v>0</v>
      </c>
      <c r="K4" s="24" t="n">
        <f aca="false">ABS(PL!K23+PL!K27-PL!K28)+ABS(PL!K62+PL!K66-PL!K67)+ABS(PL!K101+PL!K105-PL!K106)</f>
        <v>0</v>
      </c>
    </row>
    <row r="5" customFormat="false" ht="15" hidden="false" customHeight="false" outlineLevel="0" collapsed="false">
      <c r="A5" s="23" t="s">
        <v>887</v>
      </c>
      <c r="B5" s="30" t="s">
        <v>98</v>
      </c>
      <c r="C5" s="30"/>
      <c r="D5" s="24" t="n">
        <f aca="false">ABS(Seg!D30)+ABS(Seg!D57)+ABS(Seg!D84)</f>
        <v>0</v>
      </c>
      <c r="E5" s="24" t="n">
        <f aca="false">ABS(Seg!E30)+ABS(Seg!E57)+ABS(Seg!E84)</f>
        <v>0</v>
      </c>
      <c r="F5" s="24" t="n">
        <f aca="false">ABS(Seg!F30)+ABS(Seg!F57)+ABS(Seg!F84)</f>
        <v>0</v>
      </c>
      <c r="G5" s="24" t="n">
        <f aca="false">ABS(Seg!G30)+ABS(Seg!G57)+ABS(Seg!G84)</f>
        <v>0</v>
      </c>
      <c r="H5" s="24" t="n">
        <f aca="false">ABS(Seg!H30)+ABS(Seg!H57)+ABS(Seg!H84)</f>
        <v>0</v>
      </c>
      <c r="I5" s="24" t="n">
        <f aca="false">ABS(Seg!I30)+ABS(Seg!I57)+ABS(Seg!I84)</f>
        <v>0</v>
      </c>
      <c r="J5" s="24" t="n">
        <f aca="false">ABS(Seg!J30)+ABS(Seg!J57)+ABS(Seg!J84)</f>
        <v>0</v>
      </c>
      <c r="K5" s="24" t="n">
        <f aca="false">ABS(Seg!K30)+ABS(Seg!K57)+ABS(Seg!K84)</f>
        <v>0</v>
      </c>
    </row>
    <row r="6" customFormat="false" ht="17.15" hidden="false" customHeight="false" outlineLevel="0" collapsed="false">
      <c r="A6" s="23" t="s">
        <v>888</v>
      </c>
      <c r="B6" s="30" t="s">
        <v>98</v>
      </c>
      <c r="C6" s="30"/>
      <c r="D6" s="24" t="n">
        <f aca="false">ABS(PL!D15+PL!D16-PL!D14)+ABS(PL!D18+PL!D19-PL!D17)+ABS(PL!D54+PL!D55-PL!D53)+ABS(PL!D57+PL!D58-PL!D56)+ABS(PL!D93+PL!D94-PL!D92)+ABS(PL!D96+PL!D97-PL!D95)</f>
        <v>0</v>
      </c>
      <c r="E6" s="24" t="n">
        <f aca="false">ABS(PL!E15+PL!E16-PL!E14)+ABS(PL!E18+PL!E19-PL!E17)+ABS(PL!E54+PL!E55-PL!E53)+ABS(PL!E57+PL!E58-PL!E56)+ABS(PL!E93+PL!E94-PL!E92)+ABS(PL!E96+PL!E97-PL!E95)</f>
        <v>0</v>
      </c>
      <c r="F6" s="24" t="n">
        <f aca="false">ABS(PL!F15+PL!F16-PL!F14)+ABS(PL!F18+PL!F19-PL!F17)+ABS(PL!F54+PL!F55-PL!F53)+ABS(PL!F57+PL!F58-PL!F56)+ABS(PL!F93+PL!F94-PL!F92)+ABS(PL!F96+PL!F97-PL!F95)</f>
        <v>0</v>
      </c>
      <c r="G6" s="24" t="n">
        <f aca="false">ABS(PL!G15+PL!G16-PL!G14)+ABS(PL!G18+PL!G19-PL!G17)+ABS(PL!G54+PL!G55-PL!G53)+ABS(PL!G57+PL!G58-PL!G56)+ABS(PL!G93+PL!G94-PL!G92)+ABS(PL!G96+PL!G97-PL!G95)</f>
        <v>0</v>
      </c>
      <c r="H6" s="24" t="n">
        <f aca="false">ABS(PL!H15+PL!H16-PL!H14)+ABS(PL!H18+PL!H19-PL!H17)+ABS(PL!H54+PL!H55-PL!H53)+ABS(PL!H57+PL!H58-PL!H56)+ABS(PL!H93+PL!H94-PL!H92)+ABS(PL!H96+PL!H97-PL!H95)</f>
        <v>0</v>
      </c>
      <c r="I6" s="24" t="n">
        <f aca="false">ABS(PL!I15+PL!I16-PL!I14)+ABS(PL!I18+PL!I19-PL!I17)+ABS(PL!I54+PL!I55-PL!I53)+ABS(PL!I57+PL!I58-PL!I56)+ABS(PL!I93+PL!I94-PL!I92)+ABS(PL!I96+PL!I97-PL!I95)</f>
        <v>0</v>
      </c>
      <c r="J6" s="24" t="n">
        <f aca="false">ABS(PL!J15+PL!J16-PL!J14)+ABS(PL!J18+PL!J19-PL!J17)+ABS(PL!J54+PL!J55-PL!J53)+ABS(PL!J57+PL!J58-PL!J56)+ABS(PL!J93+PL!J94-PL!J92)+ABS(PL!J96+PL!J97-PL!J95)</f>
        <v>0</v>
      </c>
      <c r="K6" s="24" t="n">
        <f aca="false">ABS(PL!K15+PL!K16-PL!K14)+ABS(PL!K18+PL!K19-PL!K17)+ABS(PL!K54+PL!K55-PL!K53)+ABS(PL!K57+PL!K58-PL!K56)+ABS(PL!K93+PL!K94-PL!K92)+ABS(PL!K96+PL!K97-PL!K95)</f>
        <v>0</v>
      </c>
    </row>
    <row r="7" customFormat="false" ht="15" hidden="false" customHeight="false" outlineLevel="0" collapsed="false">
      <c r="A7" s="23" t="s">
        <v>889</v>
      </c>
      <c r="B7" s="30" t="s">
        <v>98</v>
      </c>
      <c r="C7" s="30"/>
      <c r="D7" s="24" t="n">
        <f aca="false">ABS(PL!D32+PL!D34-PL!D35)+ABS(PL!D36)+ABS(PL!D71+PL!D73-PL!D74)+ABS(PL!D75)+ABS(PL!D110+PL!D112-PL!D113)+ABS(PL!D114)</f>
        <v>0</v>
      </c>
      <c r="E7" s="24" t="n">
        <f aca="false">ABS(PL!E32+PL!E34-PL!E35)+ABS(PL!E36)+ABS(PL!E71+PL!E73-PL!E74)+ABS(PL!E75)+ABS(PL!E110+PL!E112-PL!E113)+ABS(PL!E114)</f>
        <v>0</v>
      </c>
      <c r="F7" s="24" t="n">
        <f aca="false">ABS(PL!F32+PL!F34-PL!F35)+ABS(PL!F71+PL!F73-PL!F74)+ABS(PL!F110+PL!F112-PL!F113)</f>
        <v>0</v>
      </c>
      <c r="G7" s="24" t="n">
        <f aca="false">ABS(PL!G32+PL!G34-PL!G35)+ABS(PL!G71+PL!G73-PL!G74)+ABS(PL!G110+PL!G112-PL!G113)</f>
        <v>0</v>
      </c>
      <c r="H7" s="24" t="n">
        <f aca="false">ABS(PL!H32+PL!H34-PL!H35)+ABS(PL!H71+PL!H73-PL!H74)+ABS(PL!H110+PL!H112-PL!H113)</f>
        <v>0</v>
      </c>
      <c r="I7" s="24" t="n">
        <f aca="false">ABS(PL!I32+PL!I34-PL!I35)+ABS(PL!I71+PL!I73-PL!I74)+ABS(PL!I110+PL!I112-PL!I113)</f>
        <v>0</v>
      </c>
      <c r="J7" s="24" t="n">
        <f aca="false">ABS(PL!J32+PL!J34-PL!J35)+ABS(PL!J71+PL!J73-PL!J74)+ABS(PL!J110+PL!J112-PL!J113)</f>
        <v>0</v>
      </c>
      <c r="K7" s="24" t="n">
        <f aca="false">ABS(PL!K32+PL!K34-PL!K35)+ABS(PL!K71+PL!K73-PL!K74)+ABS(PL!K110+PL!K112-PL!K113)</f>
        <v>0</v>
      </c>
    </row>
    <row r="9" customFormat="false" ht="17.15" hidden="false" customHeight="false" outlineLevel="0" collapsed="false">
      <c r="A9" s="1" t="s">
        <v>890</v>
      </c>
    </row>
    <row r="12" customFormat="false" ht="17.15" hidden="false" customHeight="false" outlineLevel="0" collapsed="false">
      <c r="A12" s="3" t="s">
        <v>891</v>
      </c>
    </row>
    <row r="13" customFormat="false" ht="15" hidden="false" customHeight="false" outlineLevel="0" collapsed="false">
      <c r="A13" s="4" t="s">
        <v>43</v>
      </c>
      <c r="B13" s="4" t="s">
        <v>65</v>
      </c>
      <c r="C13" s="20" t="s">
        <v>788</v>
      </c>
      <c r="D13" s="20" t="s">
        <v>789</v>
      </c>
      <c r="E13" s="20" t="s">
        <v>790</v>
      </c>
      <c r="F13" s="20" t="s">
        <v>791</v>
      </c>
      <c r="G13" s="20" t="s">
        <v>792</v>
      </c>
      <c r="H13" s="20" t="s">
        <v>793</v>
      </c>
      <c r="I13" s="20" t="s">
        <v>794</v>
      </c>
      <c r="J13" s="20" t="s">
        <v>795</v>
      </c>
      <c r="K13" s="20" t="s">
        <v>796</v>
      </c>
      <c r="L13" s="4" t="s">
        <v>47</v>
      </c>
    </row>
    <row r="14" customFormat="false" ht="15" hidden="false" customHeight="false" outlineLevel="0" collapsed="false">
      <c r="A14" s="0" t="s">
        <v>867</v>
      </c>
      <c r="B14" s="0" t="s">
        <v>98</v>
      </c>
      <c r="D14" s="6" t="n">
        <f aca="false">Seg!D9</f>
        <v>72.61</v>
      </c>
      <c r="E14" s="6" t="n">
        <f aca="false">Seg!E9</f>
        <v>101.938</v>
      </c>
      <c r="F14" s="6" t="n">
        <f aca="false">Seg!F9</f>
        <v>148.812368967868</v>
      </c>
      <c r="G14" s="6" t="n">
        <f aca="false">Seg!G9</f>
        <v>208.397514344463</v>
      </c>
      <c r="H14" s="6" t="n">
        <f aca="false">Seg!H9</f>
        <v>274.05759259987</v>
      </c>
      <c r="I14" s="6" t="n">
        <f aca="false">Seg!I9</f>
        <v>328.302405465117</v>
      </c>
      <c r="J14" s="6" t="n">
        <f aca="false">Seg!J9</f>
        <v>369.587890439908</v>
      </c>
      <c r="K14" s="6" t="n">
        <f aca="false">Seg!K9</f>
        <v>398.390581897217</v>
      </c>
    </row>
    <row r="15" customFormat="false" ht="17.15" hidden="false" customHeight="false" outlineLevel="0" collapsed="false">
      <c r="A15" s="0" t="s">
        <v>864</v>
      </c>
      <c r="B15" s="0" t="s">
        <v>98</v>
      </c>
      <c r="D15" s="6" t="n">
        <f aca="false">Seg!D6</f>
        <v>12.9359794422418</v>
      </c>
      <c r="E15" s="6" t="n">
        <f aca="false">Seg!E6</f>
        <v>27.8095064661409</v>
      </c>
      <c r="F15" s="6" t="n">
        <f aca="false">Seg!F6</f>
        <v>58.7324192305018</v>
      </c>
      <c r="G15" s="6" t="n">
        <f aca="false">Seg!G6</f>
        <v>101.369089141153</v>
      </c>
      <c r="H15" s="6" t="n">
        <f aca="false">Seg!H6</f>
        <v>149.785610014234</v>
      </c>
      <c r="I15" s="6" t="n">
        <f aca="false">Seg!I6</f>
        <v>187.368703083263</v>
      </c>
      <c r="J15" s="6" t="n">
        <f aca="false">Seg!J6</f>
        <v>213.569023125577</v>
      </c>
      <c r="K15" s="6" t="n">
        <f aca="false">Seg!K6</f>
        <v>229.890205197739</v>
      </c>
    </row>
    <row r="16" customFormat="false" ht="17.15" hidden="false" customHeight="false" outlineLevel="0" collapsed="false">
      <c r="A16" s="0" t="s">
        <v>892</v>
      </c>
      <c r="B16" s="0" t="s">
        <v>98</v>
      </c>
      <c r="D16" s="6" t="n">
        <f aca="false">Seg!D7</f>
        <v>59.6740205577583</v>
      </c>
      <c r="E16" s="6" t="n">
        <f aca="false">Seg!E7</f>
        <v>74.1284935338591</v>
      </c>
      <c r="F16" s="6" t="n">
        <f aca="false">Seg!F7</f>
        <v>90.0799497373663</v>
      </c>
      <c r="G16" s="6" t="n">
        <f aca="false">Seg!G7</f>
        <v>107.02842520331</v>
      </c>
      <c r="H16" s="6" t="n">
        <f aca="false">Seg!H7</f>
        <v>124.271982585636</v>
      </c>
      <c r="I16" s="6" t="n">
        <f aca="false">Seg!I7</f>
        <v>140.933702381855</v>
      </c>
      <c r="J16" s="6" t="n">
        <f aca="false">Seg!J7</f>
        <v>156.018867314332</v>
      </c>
      <c r="K16" s="6" t="n">
        <f aca="false">Seg!K7</f>
        <v>168.500376699478</v>
      </c>
    </row>
    <row r="17" customFormat="false" ht="15" hidden="false" customHeight="false" outlineLevel="0" collapsed="false">
      <c r="A17" s="0" t="s">
        <v>873</v>
      </c>
      <c r="B17" s="0" t="s">
        <v>98</v>
      </c>
      <c r="D17" s="6" t="n">
        <f aca="false">Seg!D14</f>
        <v>84.605</v>
      </c>
      <c r="E17" s="6" t="n">
        <f aca="false">Seg!E14</f>
        <v>100.299</v>
      </c>
      <c r="F17" s="6" t="n">
        <f aca="false">Seg!F14</f>
        <v>120.39238776686</v>
      </c>
      <c r="G17" s="6" t="n">
        <f aca="false">Seg!G14</f>
        <v>141.544168448684</v>
      </c>
      <c r="H17" s="6" t="n">
        <f aca="false">Seg!H14</f>
        <v>162.777359388781</v>
      </c>
      <c r="I17" s="6" t="n">
        <f aca="false">Seg!I14</f>
        <v>181.584028071957</v>
      </c>
      <c r="J17" s="6" t="n">
        <f aca="false">Seg!J14</f>
        <v>197.682702785465</v>
      </c>
      <c r="K17" s="6" t="n">
        <f aca="false">Seg!K14</f>
        <v>213.027991980448</v>
      </c>
    </row>
    <row r="18" customFormat="false" ht="17.15" hidden="false" customHeight="false" outlineLevel="0" collapsed="false">
      <c r="A18" s="0" t="s">
        <v>893</v>
      </c>
      <c r="B18" s="0" t="s">
        <v>98</v>
      </c>
      <c r="D18" s="6" t="n">
        <f aca="false">Seg!D12</f>
        <v>83.705</v>
      </c>
      <c r="E18" s="6" t="n">
        <f aca="false">Seg!E12</f>
        <v>95.049</v>
      </c>
      <c r="F18" s="6" t="n">
        <f aca="false">Seg!F12</f>
        <v>106.89238776686</v>
      </c>
      <c r="G18" s="6" t="n">
        <f aca="false">Seg!G12</f>
        <v>119.044168448684</v>
      </c>
      <c r="H18" s="6" t="n">
        <f aca="false">Seg!H12</f>
        <v>131.277359388781</v>
      </c>
      <c r="I18" s="6" t="n">
        <f aca="false">Seg!I12</f>
        <v>143.334028071957</v>
      </c>
      <c r="J18" s="6" t="n">
        <f aca="false">Seg!J12</f>
        <v>154.932702785465</v>
      </c>
      <c r="K18" s="6" t="n">
        <f aca="false">Seg!K12</f>
        <v>165.777991980448</v>
      </c>
    </row>
    <row r="19" customFormat="false" ht="17.15" hidden="false" customHeight="false" outlineLevel="0" collapsed="false">
      <c r="A19" s="0" t="s">
        <v>894</v>
      </c>
      <c r="B19" s="0" t="s">
        <v>98</v>
      </c>
      <c r="D19" s="6" t="n">
        <f aca="false">Seg!D11</f>
        <v>0.9</v>
      </c>
      <c r="E19" s="6" t="n">
        <f aca="false">Seg!E11</f>
        <v>5.25</v>
      </c>
      <c r="F19" s="6" t="n">
        <f aca="false">Seg!F11</f>
        <v>13.5</v>
      </c>
      <c r="G19" s="6" t="n">
        <f aca="false">Seg!G11</f>
        <v>22.5</v>
      </c>
      <c r="H19" s="6" t="n">
        <f aca="false">Seg!H11</f>
        <v>31.5</v>
      </c>
      <c r="I19" s="6" t="n">
        <f aca="false">Seg!I11</f>
        <v>38.25</v>
      </c>
      <c r="J19" s="6" t="n">
        <f aca="false">Seg!J11</f>
        <v>42.75</v>
      </c>
      <c r="K19" s="6" t="n">
        <f aca="false">Seg!K11</f>
        <v>47.25</v>
      </c>
    </row>
    <row r="20" customFormat="false" ht="15" hidden="false" customHeight="false" outlineLevel="0" collapsed="false">
      <c r="A20" s="0" t="s">
        <v>874</v>
      </c>
      <c r="B20" s="0" t="s">
        <v>98</v>
      </c>
      <c r="D20" s="6" t="n">
        <f aca="false">Seg!D15</f>
        <v>35.391</v>
      </c>
      <c r="E20" s="6" t="n">
        <f aca="false">Seg!E15</f>
        <v>37.285</v>
      </c>
      <c r="F20" s="6" t="n">
        <f aca="false">Seg!F15</f>
        <v>39.0720834331704</v>
      </c>
      <c r="G20" s="6" t="n">
        <f aca="false">Seg!G15</f>
        <v>40.726562953769</v>
      </c>
      <c r="H20" s="6" t="n">
        <f aca="false">Seg!H15</f>
        <v>42.2235987259198</v>
      </c>
      <c r="I20" s="6" t="n">
        <f aca="false">Seg!I15</f>
        <v>43.5397988077414</v>
      </c>
      <c r="J20" s="6" t="n">
        <f aca="false">Seg!J15</f>
        <v>44.653811225693</v>
      </c>
      <c r="K20" s="6" t="n">
        <f aca="false">Seg!K15</f>
        <v>45.5468874502068</v>
      </c>
    </row>
    <row r="21" customFormat="false" ht="15" hidden="false" customHeight="false" outlineLevel="0" collapsed="false">
      <c r="A21" s="0" t="s">
        <v>875</v>
      </c>
      <c r="B21" s="0" t="s">
        <v>98</v>
      </c>
      <c r="D21" s="6" t="n">
        <f aca="false">Seg!D17</f>
        <v>18.417</v>
      </c>
      <c r="E21" s="6" t="n">
        <f aca="false">Seg!E17</f>
        <v>20.345</v>
      </c>
      <c r="F21" s="6" t="n">
        <f aca="false">Seg!F17</f>
        <v>22.3572203267814</v>
      </c>
      <c r="G21" s="6" t="n">
        <f aca="false">Seg!G17</f>
        <v>24.4392124437232</v>
      </c>
      <c r="H21" s="6" t="n">
        <f aca="false">Seg!H17</f>
        <v>26.5738052080665</v>
      </c>
      <c r="I21" s="6" t="n">
        <f aca="false">Seg!I17</f>
        <v>28.7412169166967</v>
      </c>
      <c r="J21" s="6" t="n">
        <f aca="false">Seg!J17</f>
        <v>30.9192545395413</v>
      </c>
      <c r="K21" s="6" t="n">
        <f aca="false">Seg!K17</f>
        <v>33.0836023573092</v>
      </c>
    </row>
    <row r="22" customFormat="false" ht="15" hidden="false" customHeight="false" outlineLevel="0" collapsed="false">
      <c r="A22" s="0" t="s">
        <v>876</v>
      </c>
      <c r="B22" s="0" t="s">
        <v>98</v>
      </c>
      <c r="D22" s="6" t="n">
        <f aca="false">Seg!D19</f>
        <v>7.76</v>
      </c>
      <c r="E22" s="6" t="n">
        <f aca="false">Seg!E19</f>
        <v>8.26</v>
      </c>
      <c r="F22" s="6" t="n">
        <f aca="false">Seg!F19</f>
        <v>8.79988041237113</v>
      </c>
      <c r="G22" s="6" t="n">
        <f aca="false">Seg!G19</f>
        <v>9.38321269125306</v>
      </c>
      <c r="H22" s="6" t="n">
        <f aca="false">Seg!H19</f>
        <v>10.0139193587476</v>
      </c>
      <c r="I22" s="6" t="n">
        <f aca="false">Seg!I19</f>
        <v>10.6963111830911</v>
      </c>
      <c r="J22" s="6" t="n">
        <f aca="false">Seg!J19</f>
        <v>11.4351285534696</v>
      </c>
      <c r="K22" s="6" t="n">
        <f aca="false">Seg!K19</f>
        <v>12.2355875522124</v>
      </c>
    </row>
    <row r="23" customFormat="false" ht="15" hidden="false" customHeight="false" outlineLevel="0" collapsed="false">
      <c r="A23" s="0" t="s">
        <v>704</v>
      </c>
      <c r="B23" s="0" t="s">
        <v>98</v>
      </c>
      <c r="D23" s="6" t="n">
        <f aca="false">Seg!D21</f>
        <v>218.783</v>
      </c>
      <c r="E23" s="6" t="n">
        <f aca="false">Seg!E21</f>
        <v>268.127</v>
      </c>
      <c r="F23" s="6" t="n">
        <f aca="false">Seg!F21</f>
        <v>339.433940907051</v>
      </c>
      <c r="G23" s="6" t="n">
        <f aca="false">Seg!G21</f>
        <v>424.490670881892</v>
      </c>
      <c r="H23" s="6" t="n">
        <f aca="false">Seg!H21</f>
        <v>515.646275281385</v>
      </c>
      <c r="I23" s="6" t="n">
        <f aca="false">Seg!I21</f>
        <v>592.863760444604</v>
      </c>
      <c r="J23" s="6" t="n">
        <f aca="false">Seg!J21</f>
        <v>654.278787544077</v>
      </c>
      <c r="K23" s="6" t="n">
        <f aca="false">Seg!K21</f>
        <v>702.284651237393</v>
      </c>
    </row>
    <row r="24" customFormat="false" ht="15" hidden="false" customHeight="false" outlineLevel="0" collapsed="false">
      <c r="A24" s="0" t="s">
        <v>877</v>
      </c>
      <c r="B24" s="0" t="s">
        <v>98</v>
      </c>
      <c r="D24" s="6" t="n">
        <f aca="false">Seg!D22</f>
        <v>22.171</v>
      </c>
      <c r="E24" s="6" t="n">
        <f aca="false">Seg!E22</f>
        <v>24.835</v>
      </c>
      <c r="F24" s="6" t="n">
        <f aca="false">Seg!F22</f>
        <v>27.6114901218559</v>
      </c>
      <c r="G24" s="6" t="n">
        <f aca="false">Seg!G22</f>
        <v>30.4675667338515</v>
      </c>
      <c r="H24" s="6" t="n">
        <f aca="false">Seg!H22</f>
        <v>33.3643766955789</v>
      </c>
      <c r="I24" s="6" t="n">
        <f aca="false">Seg!I22</f>
        <v>36.2577016533691</v>
      </c>
      <c r="J24" s="6" t="n">
        <f aca="false">Seg!J22</f>
        <v>39.0988367952171</v>
      </c>
      <c r="K24" s="6" t="n">
        <f aca="false">Seg!K22</f>
        <v>41.8357553708823</v>
      </c>
    </row>
    <row r="25" customFormat="false" ht="15" hidden="false" customHeight="false" outlineLevel="0" collapsed="false">
      <c r="A25" s="0" t="s">
        <v>878</v>
      </c>
      <c r="B25" s="0" t="s">
        <v>98</v>
      </c>
      <c r="D25" s="6" t="n">
        <f aca="false">Seg!D24</f>
        <v>23.455</v>
      </c>
      <c r="E25" s="6" t="n">
        <f aca="false">Seg!E24</f>
        <v>21.79</v>
      </c>
      <c r="F25" s="6" t="n">
        <f aca="false">Seg!F24</f>
        <v>20.5736277908051</v>
      </c>
      <c r="G25" s="6" t="n">
        <f aca="false">Seg!G24</f>
        <v>19.7371452817919</v>
      </c>
      <c r="H25" s="6" t="n">
        <f aca="false">Seg!H24</f>
        <v>19.2339764043138</v>
      </c>
      <c r="I25" s="6" t="n">
        <f aca="false">Seg!I24</f>
        <v>19.0353086852681</v>
      </c>
      <c r="J25" s="6" t="n">
        <f aca="false">Seg!J24</f>
        <v>19.1273539319129</v>
      </c>
      <c r="K25" s="6" t="n">
        <f aca="false">Seg!K24</f>
        <v>19.5099010105511</v>
      </c>
    </row>
    <row r="26" customFormat="false" ht="15" hidden="false" customHeight="false" outlineLevel="0" collapsed="false">
      <c r="A26" s="0" t="s">
        <v>879</v>
      </c>
      <c r="B26" s="0" t="s">
        <v>98</v>
      </c>
      <c r="D26" s="6" t="n">
        <f aca="false">Seg!D26</f>
        <v>17.315</v>
      </c>
      <c r="E26" s="6" t="n">
        <f aca="false">Seg!E26</f>
        <v>17.087</v>
      </c>
      <c r="F26" s="6" t="n">
        <f aca="false">Seg!F26</f>
        <v>16.9564585436519</v>
      </c>
      <c r="G26" s="6" t="n">
        <f aca="false">Seg!G26</f>
        <v>16.9206490624268</v>
      </c>
      <c r="H26" s="6" t="n">
        <f aca="false">Seg!H26</f>
        <v>16.9784519149849</v>
      </c>
      <c r="I26" s="6" t="n">
        <f aca="false">Seg!I26</f>
        <v>17.1303084701817</v>
      </c>
      <c r="J26" s="6" t="n">
        <f aca="false">Seg!J26</f>
        <v>17.3782189407267</v>
      </c>
      <c r="K26" s="6" t="n">
        <f aca="false">Seg!K26</f>
        <v>17.7257833195413</v>
      </c>
    </row>
    <row r="27" customFormat="false" ht="15" hidden="false" customHeight="false" outlineLevel="0" collapsed="false">
      <c r="A27" s="0" t="s">
        <v>718</v>
      </c>
      <c r="B27" s="0" t="s">
        <v>98</v>
      </c>
      <c r="D27" s="6" t="n">
        <f aca="false">Seg!D28</f>
        <v>62.941</v>
      </c>
      <c r="E27" s="6" t="n">
        <f aca="false">Seg!E28</f>
        <v>63.712</v>
      </c>
      <c r="F27" s="6" t="n">
        <f aca="false">Seg!F28</f>
        <v>65.1415764563129</v>
      </c>
      <c r="G27" s="6" t="n">
        <f aca="false">Seg!G28</f>
        <v>67.1253610780702</v>
      </c>
      <c r="H27" s="6" t="n">
        <f aca="false">Seg!H28</f>
        <v>69.5768050148776</v>
      </c>
      <c r="I27" s="6" t="n">
        <f aca="false">Seg!I28</f>
        <v>72.4233188088189</v>
      </c>
      <c r="J27" s="6" t="n">
        <f aca="false">Seg!J28</f>
        <v>75.6044096678567</v>
      </c>
      <c r="K27" s="6" t="n">
        <f aca="false">Seg!K28</f>
        <v>79.0714397009747</v>
      </c>
    </row>
    <row r="28" customFormat="false" ht="15" hidden="false" customHeight="false" outlineLevel="0" collapsed="false">
      <c r="A28" s="1" t="s">
        <v>895</v>
      </c>
      <c r="B28" s="0" t="s">
        <v>98</v>
      </c>
      <c r="D28" s="6" t="n">
        <f aca="false">Seg!D29</f>
        <v>281.724</v>
      </c>
      <c r="E28" s="6" t="n">
        <f aca="false">Seg!E29</f>
        <v>331.839</v>
      </c>
      <c r="F28" s="6" t="n">
        <f aca="false">Seg!F29</f>
        <v>404.575517363364</v>
      </c>
      <c r="G28" s="6" t="n">
        <f aca="false">Seg!G29</f>
        <v>491.616031959962</v>
      </c>
      <c r="H28" s="6" t="n">
        <f aca="false">Seg!H29</f>
        <v>585.223080296262</v>
      </c>
      <c r="I28" s="6" t="n">
        <f aca="false">Seg!I29</f>
        <v>665.287079253422</v>
      </c>
      <c r="J28" s="6" t="n">
        <f aca="false">Seg!J29</f>
        <v>729.883197211934</v>
      </c>
      <c r="K28" s="6" t="n">
        <f aca="false">Seg!K29</f>
        <v>781.356090938368</v>
      </c>
    </row>
    <row r="29" customFormat="false" ht="15" hidden="false" customHeight="false" outlineLevel="0" collapsed="false">
      <c r="A29" s="1" t="s">
        <v>896</v>
      </c>
      <c r="B29" s="0" t="s">
        <v>129</v>
      </c>
      <c r="E29" s="7" t="n">
        <f aca="false">PL!E28/PL!D28-1</f>
        <v>0.177886867998467</v>
      </c>
      <c r="F29" s="7" t="n">
        <f aca="false">PL!F28/PL!E28-1</f>
        <v>0.219192190680914</v>
      </c>
      <c r="G29" s="7" t="n">
        <f aca="false">PL!G28/PL!F28-1</f>
        <v>0.215140340581766</v>
      </c>
      <c r="H29" s="7" t="n">
        <f aca="false">PL!H28/PL!G28-1</f>
        <v>0.19040682616291</v>
      </c>
      <c r="I29" s="7" t="n">
        <f aca="false">PL!I28/PL!H28-1</f>
        <v>0.13680936663781</v>
      </c>
      <c r="J29" s="7" t="n">
        <f aca="false">PL!J28/PL!I28-1</f>
        <v>0.097095103712221</v>
      </c>
      <c r="K29" s="7" t="n">
        <f aca="false">PL!K28/PL!J28-1</f>
        <v>0.0705220971287655</v>
      </c>
    </row>
    <row r="30" customFormat="false" ht="17.15" hidden="false" customHeight="false" outlineLevel="0" collapsed="false">
      <c r="A30" s="23" t="s">
        <v>897</v>
      </c>
      <c r="B30" s="30" t="s">
        <v>98</v>
      </c>
      <c r="C30" s="30"/>
      <c r="D30" s="24" t="n">
        <f aca="false">(PL!D23+PL!D27-PL!D28)+(PL!D15+PL!D16-PL!D14)+(PL!D18+PL!D19-PL!D17)+(PL!D28-Q!L18)</f>
        <v>0</v>
      </c>
      <c r="E30" s="24" t="n">
        <f aca="false">(PL!E23+PL!E27-PL!E28)+(PL!E15+PL!E16-PL!E14)+(PL!E18+PL!E19-PL!E17)+(PL!E28-Q!M18)</f>
        <v>0</v>
      </c>
      <c r="F30" s="24" t="n">
        <f aca="false">(PL!F23+PL!F27-PL!F28)+(PL!F15+PL!F16-PL!F14)+(PL!F18+PL!F19-PL!F17)</f>
        <v>0</v>
      </c>
      <c r="G30" s="24" t="n">
        <f aca="false">(PL!G23+PL!G27-PL!G28)+(PL!G15+PL!G16-PL!G14)+(PL!G18+PL!G19-PL!G17)</f>
        <v>0</v>
      </c>
      <c r="H30" s="24" t="n">
        <f aca="false">(PL!H23+PL!H27-PL!H28)+(PL!H15+PL!H16-PL!H14)+(PL!H18+PL!H19-PL!H17)</f>
        <v>0</v>
      </c>
      <c r="I30" s="24" t="n">
        <f aca="false">(PL!I23+PL!I27-PL!I28)+(PL!I15+PL!I16-PL!I14)+(PL!I18+PL!I19-PL!I17)</f>
        <v>0</v>
      </c>
      <c r="J30" s="24" t="n">
        <f aca="false">(PL!J23+PL!J27-PL!J28)+(PL!J15+PL!J16-PL!J14)+(PL!J18+PL!J19-PL!J17)</f>
        <v>0</v>
      </c>
      <c r="K30" s="24" t="n">
        <f aca="false">(PL!K23+PL!K27-PL!K28)+(PL!K15+PL!K16-PL!K14)+(PL!K18+PL!K19-PL!K17)</f>
        <v>0</v>
      </c>
    </row>
    <row r="31" customFormat="false" ht="17.15" hidden="false" customHeight="false" outlineLevel="0" collapsed="false">
      <c r="A31" s="0" t="s">
        <v>898</v>
      </c>
      <c r="B31" s="0" t="s">
        <v>129</v>
      </c>
      <c r="E31" s="7" t="n">
        <f aca="false">(Q!M21+Thesis!E25+Thesis!E26+Thesis!E27+Thesis!E40-Thesis!E23)/(Q!M5-Thesis!E23)</f>
        <v>0.570957350878296</v>
      </c>
      <c r="F31" s="7" t="n">
        <f aca="false">PL!$E$31+dm_seg</f>
        <v>0.570957350878296</v>
      </c>
      <c r="G31" s="7" t="n">
        <f aca="false">PL!$E$31+dm_seg</f>
        <v>0.570957350878296</v>
      </c>
      <c r="H31" s="7" t="n">
        <f aca="false">PL!$E$31+dm_seg</f>
        <v>0.570957350878296</v>
      </c>
      <c r="I31" s="7" t="n">
        <f aca="false">PL!$E$31+dm_seg</f>
        <v>0.570957350878296</v>
      </c>
      <c r="J31" s="7" t="n">
        <f aca="false">PL!$E$31+dm_seg</f>
        <v>0.570957350878296</v>
      </c>
      <c r="K31" s="7" t="n">
        <f aca="false">PL!$E$31+dm_seg</f>
        <v>0.570957350878296</v>
      </c>
      <c r="L31" s="11" t="s">
        <v>899</v>
      </c>
    </row>
    <row r="32" customFormat="false" ht="17.15" hidden="false" customHeight="false" outlineLevel="0" collapsed="false">
      <c r="A32" s="0" t="s">
        <v>732</v>
      </c>
      <c r="B32" s="0" t="s">
        <v>98</v>
      </c>
      <c r="D32" s="6" t="n">
        <f aca="false">Q!L21</f>
        <v>110.814</v>
      </c>
      <c r="E32" s="6" t="n">
        <f aca="false">Q!M21</f>
        <v>136.365</v>
      </c>
      <c r="F32" s="6" t="n">
        <f aca="false">PL!F31*(Seg!F21-Thesis!F23)+Thesis!F23-(Thesis!F25+Thesis!F26+Thesis!F27)-Thesis!F40</f>
        <v>162.135484602307</v>
      </c>
      <c r="G32" s="6" t="n">
        <f aca="false">PL!G31*(Seg!G21-Thesis!G23)+Thesis!G23-(Thesis!G25+Thesis!G26+Thesis!G27)-Thesis!G40</f>
        <v>191.693580267698</v>
      </c>
      <c r="H32" s="6" t="n">
        <f aca="false">PL!H31*(Seg!H21-Thesis!H23)+Thesis!H23-(Thesis!H25+Thesis!H26+Thesis!H27)-Thesis!H40</f>
        <v>226.079713997573</v>
      </c>
      <c r="I32" s="6" t="n">
        <f aca="false">PL!I31*(Seg!I21-Thesis!I23)+Thesis!I23-(Thesis!I25+Thesis!I26+Thesis!I27)-Thesis!I40</f>
        <v>252.347824766821</v>
      </c>
      <c r="J32" s="6" t="n">
        <f aca="false">PL!J31*(Seg!J21-Thesis!J23)+Thesis!J23-(Thesis!J25+Thesis!J26+Thesis!J27)-Thesis!J40</f>
        <v>274.921303123959</v>
      </c>
      <c r="K32" s="6" t="n">
        <f aca="false">PL!K31*(Seg!K21-Thesis!K23)+Thesis!K23-(Thesis!K25+Thesis!K26+Thesis!K27)-Thesis!K40</f>
        <v>295.361426282004</v>
      </c>
      <c r="L32" s="1" t="s">
        <v>900</v>
      </c>
    </row>
    <row r="33" customFormat="false" ht="17.15" hidden="false" customHeight="false" outlineLevel="0" collapsed="false">
      <c r="A33" s="0" t="s">
        <v>901</v>
      </c>
      <c r="B33" s="0" t="s">
        <v>129</v>
      </c>
      <c r="E33" s="7" t="n">
        <f aca="false">Q!M22/Q!M12</f>
        <v>0.296207935710698</v>
      </c>
      <c r="F33" s="7" t="n">
        <f aca="false">PL!$E$33+dm_seg</f>
        <v>0.296207935710698</v>
      </c>
      <c r="G33" s="7" t="n">
        <f aca="false">PL!$E$33+dm_seg</f>
        <v>0.296207935710698</v>
      </c>
      <c r="H33" s="7" t="n">
        <f aca="false">PL!$E$33+dm_seg</f>
        <v>0.296207935710698</v>
      </c>
      <c r="I33" s="7" t="n">
        <f aca="false">PL!$E$33+dm_seg</f>
        <v>0.296207935710698</v>
      </c>
      <c r="J33" s="7" t="n">
        <f aca="false">PL!$E$33+dm_seg</f>
        <v>0.296207935710698</v>
      </c>
      <c r="K33" s="7" t="n">
        <f aca="false">PL!$E$33+dm_seg</f>
        <v>0.296207935710698</v>
      </c>
      <c r="L33" s="11" t="s">
        <v>902</v>
      </c>
    </row>
    <row r="34" customFormat="false" ht="17.15" hidden="false" customHeight="false" outlineLevel="0" collapsed="false">
      <c r="A34" s="0" t="s">
        <v>734</v>
      </c>
      <c r="B34" s="0" t="s">
        <v>98</v>
      </c>
      <c r="D34" s="6" t="n">
        <f aca="false">Q!L22</f>
        <v>17.714</v>
      </c>
      <c r="E34" s="6" t="n">
        <f aca="false">Q!M22</f>
        <v>18.872</v>
      </c>
      <c r="F34" s="6" t="n">
        <f aca="false">Seg!F28*PL!F33</f>
        <v>19.2954518910651</v>
      </c>
      <c r="G34" s="6" t="n">
        <f aca="false">Seg!G28*PL!G33</f>
        <v>19.8830646387704</v>
      </c>
      <c r="H34" s="6" t="n">
        <f aca="false">Seg!H28*PL!H33</f>
        <v>20.6092017868026</v>
      </c>
      <c r="I34" s="6" t="n">
        <f aca="false">Seg!I28*PL!I33</f>
        <v>21.452361761678</v>
      </c>
      <c r="J34" s="6" t="n">
        <f aca="false">Seg!J28*PL!J33</f>
        <v>22.3946261183418</v>
      </c>
      <c r="K34" s="6" t="n">
        <f aca="false">Seg!K28*PL!K33</f>
        <v>23.4215879274986</v>
      </c>
    </row>
    <row r="35" customFormat="false" ht="15" hidden="false" customHeight="false" outlineLevel="0" collapsed="false">
      <c r="A35" s="1" t="s">
        <v>903</v>
      </c>
      <c r="B35" s="0" t="s">
        <v>98</v>
      </c>
      <c r="D35" s="6" t="n">
        <f aca="false">PL!D32+PL!D34</f>
        <v>128.528</v>
      </c>
      <c r="E35" s="6" t="n">
        <f aca="false">PL!E32+PL!E34</f>
        <v>155.237</v>
      </c>
      <c r="F35" s="6" t="n">
        <f aca="false">PL!F32+PL!F34</f>
        <v>181.430936493372</v>
      </c>
      <c r="G35" s="6" t="n">
        <f aca="false">PL!G32+PL!G34</f>
        <v>211.576644906468</v>
      </c>
      <c r="H35" s="6" t="n">
        <f aca="false">PL!H32+PL!H34</f>
        <v>246.688915784375</v>
      </c>
      <c r="I35" s="6" t="n">
        <f aca="false">PL!I32+PL!I34</f>
        <v>273.800186528499</v>
      </c>
      <c r="J35" s="6" t="n">
        <f aca="false">PL!J32+PL!J34</f>
        <v>297.315929242301</v>
      </c>
      <c r="K35" s="6" t="n">
        <f aca="false">PL!K32+PL!K34</f>
        <v>318.783014209502</v>
      </c>
    </row>
    <row r="36" customFormat="false" ht="15" hidden="false" customHeight="false" outlineLevel="0" collapsed="false">
      <c r="A36" s="23" t="s">
        <v>904</v>
      </c>
      <c r="B36" s="30" t="s">
        <v>98</v>
      </c>
      <c r="C36" s="30"/>
      <c r="D36" s="24" t="n">
        <f aca="false">PL!D35-Q!L23</f>
        <v>0</v>
      </c>
      <c r="E36" s="24" t="n">
        <f aca="false">PL!E35-Q!M23</f>
        <v>0</v>
      </c>
      <c r="F36" s="30"/>
      <c r="G36" s="30"/>
      <c r="H36" s="30"/>
      <c r="I36" s="30"/>
      <c r="J36" s="30"/>
      <c r="K36" s="30"/>
    </row>
    <row r="37" customFormat="false" ht="15" hidden="false" customHeight="false" outlineLevel="0" collapsed="false">
      <c r="A37" s="1" t="s">
        <v>905</v>
      </c>
      <c r="B37" s="0" t="s">
        <v>129</v>
      </c>
      <c r="D37" s="7" t="n">
        <f aca="false">PL!D35/PL!D28</f>
        <v>0.456219562408598</v>
      </c>
      <c r="E37" s="7" t="n">
        <f aca="false">PL!E35/PL!E28</f>
        <v>0.467808184089272</v>
      </c>
      <c r="F37" s="7" t="n">
        <f aca="false">PL!F35/PL!F28</f>
        <v>0.448447641309996</v>
      </c>
      <c r="G37" s="7" t="n">
        <f aca="false">PL!G35/PL!G28</f>
        <v>0.430369701457782</v>
      </c>
      <c r="H37" s="7" t="n">
        <f aca="false">PL!H35/PL!H28</f>
        <v>0.421529710789076</v>
      </c>
      <c r="I37" s="7" t="n">
        <f aca="false">PL!I35/PL!I28</f>
        <v>0.411551937602267</v>
      </c>
      <c r="J37" s="7" t="n">
        <f aca="false">PL!J35/PL!J28</f>
        <v>0.407347271971751</v>
      </c>
      <c r="K37" s="7" t="n">
        <f aca="false">PL!K35/PL!K28</f>
        <v>0.407986855041548</v>
      </c>
    </row>
    <row r="38" customFormat="false" ht="17.15" hidden="false" customHeight="false" outlineLevel="0" collapsed="false">
      <c r="A38" s="1" t="s">
        <v>906</v>
      </c>
      <c r="B38" s="0" t="s">
        <v>98</v>
      </c>
      <c r="F38" s="6" t="n">
        <f aca="false">Thesis!F44</f>
        <v>19.0793824397397</v>
      </c>
      <c r="G38" s="6" t="n">
        <f aca="false">Thesis!G44</f>
        <v>32.5666413649601</v>
      </c>
      <c r="H38" s="6" t="n">
        <f aca="false">Thesis!H44</f>
        <v>47.4063563831308</v>
      </c>
      <c r="I38" s="6" t="n">
        <f aca="false">Thesis!I44</f>
        <v>61.2525090726263</v>
      </c>
      <c r="J38" s="6" t="n">
        <f aca="false">Thesis!J44</f>
        <v>71.009613825577</v>
      </c>
      <c r="K38" s="6" t="n">
        <f aca="false">Thesis!K44</f>
        <v>76.0452576664312</v>
      </c>
      <c r="L38" s="1" t="s">
        <v>907</v>
      </c>
    </row>
    <row r="39" customFormat="false" ht="17.15" hidden="false" customHeight="false" outlineLevel="0" collapsed="false">
      <c r="A39" s="1" t="s">
        <v>908</v>
      </c>
      <c r="B39" s="0" t="s">
        <v>98</v>
      </c>
      <c r="D39" s="6" t="n">
        <f aca="false">PL!D35</f>
        <v>128.528</v>
      </c>
      <c r="E39" s="6" t="n">
        <f aca="false">PL!E35</f>
        <v>155.237</v>
      </c>
      <c r="F39" s="6" t="n">
        <f aca="false">PL!F35+PL!F38</f>
        <v>200.510318933111</v>
      </c>
      <c r="G39" s="6" t="n">
        <f aca="false">PL!G35+PL!G38</f>
        <v>244.143286271428</v>
      </c>
      <c r="H39" s="6" t="n">
        <f aca="false">PL!H35+PL!H38</f>
        <v>294.095272167506</v>
      </c>
      <c r="I39" s="6" t="n">
        <f aca="false">PL!I35+PL!I38</f>
        <v>335.052695601125</v>
      </c>
      <c r="J39" s="6" t="n">
        <f aca="false">PL!J35+PL!J38</f>
        <v>368.325543067878</v>
      </c>
      <c r="K39" s="6" t="n">
        <f aca="false">PL!K35+PL!K38</f>
        <v>394.828271875933</v>
      </c>
    </row>
    <row r="40" customFormat="false" ht="17.15" hidden="false" customHeight="false" outlineLevel="0" collapsed="false">
      <c r="A40" s="1" t="s">
        <v>909</v>
      </c>
      <c r="B40" s="0" t="s">
        <v>98</v>
      </c>
      <c r="E40" s="6" t="n">
        <f aca="false">Thesis!E40</f>
        <v>16.3054059770833</v>
      </c>
      <c r="F40" s="6" t="n">
        <f aca="false">Thesis!F40</f>
        <v>34.7280354558698</v>
      </c>
      <c r="G40" s="6" t="n">
        <f aca="false">Thesis!G40</f>
        <v>60.4817332603396</v>
      </c>
      <c r="H40" s="6" t="n">
        <f aca="false">Thesis!H40</f>
        <v>87.7173159931396</v>
      </c>
      <c r="I40" s="6" t="n">
        <f aca="false">Thesis!I40</f>
        <v>111.962039982221</v>
      </c>
      <c r="J40" s="6" t="n">
        <f aca="false">Thesis!J40</f>
        <v>129.158710922666</v>
      </c>
      <c r="K40" s="6" t="n">
        <f aca="false">Thesis!K40</f>
        <v>139.622646804474</v>
      </c>
    </row>
    <row r="41" customFormat="false" ht="17.15" hidden="false" customHeight="false" outlineLevel="0" collapsed="false">
      <c r="A41" s="1" t="s">
        <v>910</v>
      </c>
      <c r="B41" s="0" t="s">
        <v>98</v>
      </c>
      <c r="E41" s="6" t="n">
        <f aca="false">CF!E17</f>
        <v>22.2285940229167</v>
      </c>
      <c r="F41" s="6" t="n">
        <f aca="false">CF!F17</f>
        <v>23.5786693435813</v>
      </c>
      <c r="G41" s="6" t="n">
        <f aca="false">CF!G17</f>
        <v>25.3810917662621</v>
      </c>
      <c r="H41" s="6" t="n">
        <f aca="false">CF!H17</f>
        <v>27.5991339540448</v>
      </c>
      <c r="I41" s="6" t="n">
        <f aca="false">CF!I17</f>
        <v>30.1565605898047</v>
      </c>
      <c r="J41" s="6" t="n">
        <f aca="false">CF!J17</f>
        <v>32.9614958558616</v>
      </c>
      <c r="K41" s="6" t="n">
        <f aca="false">CF!K17</f>
        <v>35.9297165444749</v>
      </c>
    </row>
    <row r="42" customFormat="false" ht="17.15" hidden="false" customHeight="false" outlineLevel="0" collapsed="false">
      <c r="A42" s="1" t="s">
        <v>911</v>
      </c>
      <c r="B42" s="0" t="s">
        <v>98</v>
      </c>
      <c r="D42" s="6" t="n">
        <f aca="false">Q!L27</f>
        <v>-4.901</v>
      </c>
      <c r="E42" s="6" t="n">
        <f aca="false">Q!M27</f>
        <v>10.697</v>
      </c>
      <c r="F42" s="6" t="n">
        <f aca="false">oie_f</f>
        <v>-0.4</v>
      </c>
      <c r="G42" s="6" t="n">
        <f aca="false">oie_f</f>
        <v>-0.4</v>
      </c>
      <c r="H42" s="6" t="n">
        <f aca="false">oie_f</f>
        <v>-0.4</v>
      </c>
      <c r="I42" s="6" t="n">
        <f aca="false">oie_f</f>
        <v>-0.4</v>
      </c>
      <c r="J42" s="6" t="n">
        <f aca="false">oie_f</f>
        <v>-0.4</v>
      </c>
      <c r="K42" s="6" t="n">
        <f aca="false">oie_f</f>
        <v>-0.4</v>
      </c>
      <c r="L42" s="11" t="s">
        <v>912</v>
      </c>
    </row>
    <row r="43" customFormat="false" ht="15" hidden="false" customHeight="false" outlineLevel="0" collapsed="false">
      <c r="A43" s="1" t="s">
        <v>913</v>
      </c>
      <c r="B43" s="0" t="s">
        <v>98</v>
      </c>
      <c r="D43" s="6" t="n">
        <f aca="false">PL!D35+PL!D42</f>
        <v>123.627</v>
      </c>
      <c r="E43" s="6" t="n">
        <f aca="false">PL!E35+PL!E42</f>
        <v>165.934</v>
      </c>
      <c r="F43" s="6" t="n">
        <f aca="false">PL!F35+PL!F42</f>
        <v>181.030936493372</v>
      </c>
      <c r="G43" s="6" t="n">
        <f aca="false">PL!G35+PL!G42</f>
        <v>211.176644906468</v>
      </c>
      <c r="H43" s="6" t="n">
        <f aca="false">PL!H35+PL!H42</f>
        <v>246.288915784375</v>
      </c>
      <c r="I43" s="6" t="n">
        <f aca="false">PL!I35+PL!I42</f>
        <v>273.400186528499</v>
      </c>
      <c r="J43" s="6" t="n">
        <f aca="false">PL!J35+PL!J42</f>
        <v>296.915929242301</v>
      </c>
      <c r="K43" s="6" t="n">
        <f aca="false">PL!K35+PL!K42</f>
        <v>318.383014209502</v>
      </c>
    </row>
    <row r="44" customFormat="false" ht="15" hidden="false" customHeight="false" outlineLevel="0" collapsed="false">
      <c r="A44" s="1" t="s">
        <v>914</v>
      </c>
      <c r="B44" s="0" t="s">
        <v>98</v>
      </c>
      <c r="D44" s="6" t="n">
        <f aca="false">Q!L29</f>
        <v>21.795</v>
      </c>
      <c r="E44" s="6" t="n">
        <f aca="false">Q!M29</f>
        <v>32.185</v>
      </c>
      <c r="F44" s="6" t="n">
        <f aca="false">PL!F43*tax_f</f>
        <v>36.2061872986743</v>
      </c>
      <c r="G44" s="6" t="n">
        <f aca="false">PL!G43*tax_f</f>
        <v>42.2353289812936</v>
      </c>
      <c r="H44" s="6" t="n">
        <f aca="false">PL!H43*tax_f</f>
        <v>49.2577831568751</v>
      </c>
      <c r="I44" s="6" t="n">
        <f aca="false">PL!I43*tax_f</f>
        <v>54.6800373056998</v>
      </c>
      <c r="J44" s="6" t="n">
        <f aca="false">PL!J43*tax_f</f>
        <v>59.3831858484602</v>
      </c>
      <c r="K44" s="6" t="n">
        <f aca="false">PL!K43*tax_f</f>
        <v>63.6766028419005</v>
      </c>
    </row>
    <row r="45" customFormat="false" ht="15" hidden="false" customHeight="false" outlineLevel="0" collapsed="false">
      <c r="A45" s="1" t="s">
        <v>915</v>
      </c>
      <c r="B45" s="0" t="s">
        <v>98</v>
      </c>
      <c r="D45" s="6" t="n">
        <f aca="false">PL!D43-PL!D44</f>
        <v>101.832</v>
      </c>
      <c r="E45" s="6" t="n">
        <f aca="false">PL!E43-PL!E44</f>
        <v>133.749</v>
      </c>
      <c r="F45" s="6" t="n">
        <f aca="false">PL!F43-PL!F44</f>
        <v>144.824749194697</v>
      </c>
      <c r="G45" s="6" t="n">
        <f aca="false">PL!G43-PL!G44</f>
        <v>168.941315925174</v>
      </c>
      <c r="H45" s="6" t="n">
        <f aca="false">PL!H43-PL!H44</f>
        <v>197.0311326275</v>
      </c>
      <c r="I45" s="6" t="n">
        <f aca="false">PL!I43-PL!I44</f>
        <v>218.720149222799</v>
      </c>
      <c r="J45" s="6" t="n">
        <f aca="false">PL!J43-PL!J44</f>
        <v>237.532743393841</v>
      </c>
      <c r="K45" s="6" t="n">
        <f aca="false">PL!K43-PL!K44</f>
        <v>254.706411367602</v>
      </c>
    </row>
    <row r="46" customFormat="false" ht="17.15" hidden="false" customHeight="false" outlineLevel="0" collapsed="false">
      <c r="A46" s="1" t="s">
        <v>916</v>
      </c>
      <c r="B46" s="1" t="s">
        <v>81</v>
      </c>
      <c r="D46" s="14" t="n">
        <f aca="false">Q!L31</f>
        <v>7.465</v>
      </c>
      <c r="E46" s="14" t="n">
        <f aca="false">Q!M31</f>
        <v>7.453</v>
      </c>
      <c r="F46" s="14" t="n">
        <f aca="false">CF!F39</f>
        <v>7.4735</v>
      </c>
      <c r="G46" s="14" t="n">
        <f aca="false">CF!G39</f>
        <v>7.50808342626474</v>
      </c>
      <c r="H46" s="14" t="n">
        <f aca="false">CF!H39</f>
        <v>7.52541843837942</v>
      </c>
      <c r="I46" s="14" t="n">
        <f aca="false">CF!I39</f>
        <v>7.53719927038673</v>
      </c>
      <c r="J46" s="14" t="n">
        <f aca="false">CF!J39</f>
        <v>7.55144078150462</v>
      </c>
      <c r="K46" s="14" t="n">
        <f aca="false">CF!K39</f>
        <v>7.56796069920636</v>
      </c>
    </row>
    <row r="47" customFormat="false" ht="17.15" hidden="false" customHeight="false" outlineLevel="0" collapsed="false">
      <c r="A47" s="0" t="s">
        <v>917</v>
      </c>
      <c r="B47" s="0" t="s">
        <v>75</v>
      </c>
      <c r="D47" s="8" t="n">
        <f aca="false">PL!D45/PL!D46</f>
        <v>13.641259209645</v>
      </c>
      <c r="E47" s="8" t="n">
        <f aca="false">PL!E45/PL!E46</f>
        <v>17.9456594659869</v>
      </c>
      <c r="F47" s="8" t="n">
        <f aca="false">PL!F45/PL!F46</f>
        <v>19.3784370368231</v>
      </c>
      <c r="G47" s="8" t="n">
        <f aca="false">PL!G45/PL!G46</f>
        <v>22.5012571562784</v>
      </c>
      <c r="H47" s="8" t="n">
        <f aca="false">PL!H45/PL!H46</f>
        <v>26.1820833274396</v>
      </c>
      <c r="I47" s="8" t="n">
        <f aca="false">PL!I45/PL!I46</f>
        <v>29.0187563545174</v>
      </c>
      <c r="J47" s="8" t="n">
        <f aca="false">PL!J45/PL!J46</f>
        <v>31.4552878406487</v>
      </c>
      <c r="K47" s="8" t="n">
        <f aca="false">PL!K45/PL!K46</f>
        <v>33.6558845230674</v>
      </c>
      <c r="L47" s="1" t="s">
        <v>918</v>
      </c>
    </row>
    <row r="48" customFormat="false" ht="17.15" hidden="false" customHeight="false" outlineLevel="0" collapsed="false">
      <c r="A48" s="1" t="s">
        <v>919</v>
      </c>
      <c r="B48" s="0" t="s">
        <v>98</v>
      </c>
      <c r="D48" s="6" t="n">
        <f aca="false">PL!D45</f>
        <v>101.832</v>
      </c>
      <c r="E48" s="6" t="n">
        <f aca="false">PL!E45</f>
        <v>133.749</v>
      </c>
      <c r="F48" s="6" t="n">
        <f aca="false">PL!F45+PL!F38*(1-tax_f)</f>
        <v>160.088255146489</v>
      </c>
      <c r="G48" s="6" t="n">
        <f aca="false">PL!G45+PL!G38*(1-tax_f)</f>
        <v>194.994629017143</v>
      </c>
      <c r="H48" s="6" t="n">
        <f aca="false">PL!H45+PL!H38*(1-tax_f)</f>
        <v>234.956217734005</v>
      </c>
      <c r="I48" s="6" t="n">
        <f aca="false">PL!I45+PL!I38*(1-tax_f)</f>
        <v>267.7221564809</v>
      </c>
      <c r="J48" s="6" t="n">
        <f aca="false">PL!J45+PL!J38*(1-tax_f)</f>
        <v>294.340434454303</v>
      </c>
      <c r="K48" s="6" t="n">
        <f aca="false">PL!K45+PL!K38*(1-tax_f)</f>
        <v>315.542617500747</v>
      </c>
    </row>
    <row r="49" customFormat="false" ht="17.15" hidden="false" customHeight="false" outlineLevel="0" collapsed="false">
      <c r="A49" s="0" t="s">
        <v>920</v>
      </c>
      <c r="B49" s="0" t="s">
        <v>75</v>
      </c>
      <c r="D49" s="8" t="n">
        <f aca="false">PL!D48/PL!D46</f>
        <v>13.641259209645</v>
      </c>
      <c r="E49" s="8" t="n">
        <f aca="false">PL!E48/PL!E46</f>
        <v>17.9456594659869</v>
      </c>
      <c r="F49" s="8" t="n">
        <f aca="false">PL!F48/PL!F46</f>
        <v>21.4207874685876</v>
      </c>
      <c r="G49" s="8" t="n">
        <f aca="false">PL!G48/PL!G46</f>
        <v>25.971292265482</v>
      </c>
      <c r="H49" s="8" t="n">
        <f aca="false">PL!H48/PL!H46</f>
        <v>31.2216815128492</v>
      </c>
      <c r="I49" s="8" t="n">
        <f aca="false">PL!I48/PL!I46</f>
        <v>35.5201112345227</v>
      </c>
      <c r="J49" s="8" t="n">
        <f aca="false">PL!J48/PL!J46</f>
        <v>38.9780497484952</v>
      </c>
      <c r="K49" s="8" t="n">
        <f aca="false">PL!K48/PL!K46</f>
        <v>41.69453701495</v>
      </c>
      <c r="L49" s="1" t="s">
        <v>921</v>
      </c>
    </row>
    <row r="50" customFormat="false" ht="17.15" hidden="false" customHeight="false" outlineLevel="0" collapsed="false">
      <c r="A50" s="0" t="s">
        <v>922</v>
      </c>
      <c r="B50" s="0" t="s">
        <v>129</v>
      </c>
      <c r="E50" s="7" t="n">
        <f aca="false">PL!E49/PL!D49-1</f>
        <v>0.315542736208578</v>
      </c>
      <c r="F50" s="7" t="n">
        <f aca="false">PL!F49/PL!E49-1</f>
        <v>0.193647272154431</v>
      </c>
      <c r="G50" s="7" t="n">
        <f aca="false">PL!G49/PL!F49-1</f>
        <v>0.212434057504537</v>
      </c>
      <c r="H50" s="7" t="n">
        <f aca="false">PL!H49/PL!G49-1</f>
        <v>0.202161263047562</v>
      </c>
      <c r="I50" s="7" t="n">
        <f aca="false">PL!I49/PL!H49-1</f>
        <v>0.137674510577034</v>
      </c>
      <c r="J50" s="7" t="n">
        <f aca="false">PL!J49/PL!I49-1</f>
        <v>0.097351567711637</v>
      </c>
      <c r="K50" s="7" t="n">
        <f aca="false">PL!K49/PL!J49-1</f>
        <v>0.0696927446083855</v>
      </c>
    </row>
    <row r="51" customFormat="false" ht="17.15" hidden="false" customHeight="false" outlineLevel="0" collapsed="false">
      <c r="A51" s="3" t="s">
        <v>923</v>
      </c>
    </row>
    <row r="52" customFormat="false" ht="15" hidden="false" customHeight="false" outlineLevel="0" collapsed="false">
      <c r="A52" s="4" t="s">
        <v>43</v>
      </c>
      <c r="B52" s="4" t="s">
        <v>65</v>
      </c>
      <c r="C52" s="20" t="s">
        <v>788</v>
      </c>
      <c r="D52" s="20" t="s">
        <v>789</v>
      </c>
      <c r="E52" s="20" t="s">
        <v>790</v>
      </c>
      <c r="F52" s="20" t="s">
        <v>791</v>
      </c>
      <c r="G52" s="20" t="s">
        <v>792</v>
      </c>
      <c r="H52" s="20" t="s">
        <v>793</v>
      </c>
      <c r="I52" s="20" t="s">
        <v>794</v>
      </c>
      <c r="J52" s="20" t="s">
        <v>795</v>
      </c>
      <c r="K52" s="20" t="s">
        <v>796</v>
      </c>
      <c r="L52" s="4" t="s">
        <v>47</v>
      </c>
    </row>
    <row r="53" customFormat="false" ht="15" hidden="false" customHeight="false" outlineLevel="0" collapsed="false">
      <c r="A53" s="0" t="s">
        <v>867</v>
      </c>
      <c r="B53" s="0" t="s">
        <v>98</v>
      </c>
      <c r="D53" s="6" t="n">
        <f aca="false">Seg!D36</f>
        <v>72.61</v>
      </c>
      <c r="E53" s="6" t="n">
        <f aca="false">Seg!E36</f>
        <v>101.938</v>
      </c>
      <c r="F53" s="6" t="n">
        <f aca="false">Seg!F36</f>
        <v>145.143956312325</v>
      </c>
      <c r="G53" s="6" t="n">
        <f aca="false">Seg!G36</f>
        <v>196.478966522364</v>
      </c>
      <c r="H53" s="6" t="n">
        <f aca="false">Seg!H36</f>
        <v>249.10761332251</v>
      </c>
      <c r="I53" s="6" t="n">
        <f aca="false">Seg!I36</f>
        <v>297.09216264734</v>
      </c>
      <c r="J53" s="6" t="n">
        <f aca="false">Seg!J36</f>
        <v>334.013427040101</v>
      </c>
      <c r="K53" s="6" t="n">
        <f aca="false">Seg!K36</f>
        <v>360.097478472886</v>
      </c>
    </row>
    <row r="54" customFormat="false" ht="17.15" hidden="false" customHeight="false" outlineLevel="0" collapsed="false">
      <c r="A54" s="0" t="s">
        <v>864</v>
      </c>
      <c r="B54" s="0" t="s">
        <v>98</v>
      </c>
      <c r="D54" s="6" t="n">
        <f aca="false">Seg!D33</f>
        <v>12.9359794422418</v>
      </c>
      <c r="E54" s="6" t="n">
        <f aca="false">Seg!E33</f>
        <v>27.8095064661409</v>
      </c>
      <c r="F54" s="6" t="n">
        <f aca="false">Seg!F33</f>
        <v>55.0640065749585</v>
      </c>
      <c r="G54" s="6" t="n">
        <f aca="false">Seg!G33</f>
        <v>89.4505413190538</v>
      </c>
      <c r="H54" s="6" t="n">
        <f aca="false">Seg!H33</f>
        <v>124.835630736874</v>
      </c>
      <c r="I54" s="6" t="n">
        <f aca="false">Seg!I33</f>
        <v>156.158460265485</v>
      </c>
      <c r="J54" s="6" t="n">
        <f aca="false">Seg!J33</f>
        <v>177.99455972577</v>
      </c>
      <c r="K54" s="6" t="n">
        <f aca="false">Seg!K33</f>
        <v>191.597101773408</v>
      </c>
    </row>
    <row r="55" customFormat="false" ht="17.15" hidden="false" customHeight="false" outlineLevel="0" collapsed="false">
      <c r="A55" s="0" t="s">
        <v>892</v>
      </c>
      <c r="B55" s="0" t="s">
        <v>98</v>
      </c>
      <c r="D55" s="6" t="n">
        <f aca="false">Seg!D34</f>
        <v>59.6740205577583</v>
      </c>
      <c r="E55" s="6" t="n">
        <f aca="false">Seg!E34</f>
        <v>74.1284935338591</v>
      </c>
      <c r="F55" s="6" t="n">
        <f aca="false">Seg!F34</f>
        <v>90.0799497373663</v>
      </c>
      <c r="G55" s="6" t="n">
        <f aca="false">Seg!G34</f>
        <v>107.02842520331</v>
      </c>
      <c r="H55" s="6" t="n">
        <f aca="false">Seg!H34</f>
        <v>124.271982585636</v>
      </c>
      <c r="I55" s="6" t="n">
        <f aca="false">Seg!I34</f>
        <v>140.933702381855</v>
      </c>
      <c r="J55" s="6" t="n">
        <f aca="false">Seg!J34</f>
        <v>156.018867314332</v>
      </c>
      <c r="K55" s="6" t="n">
        <f aca="false">Seg!K34</f>
        <v>168.500376699478</v>
      </c>
    </row>
    <row r="56" customFormat="false" ht="15" hidden="false" customHeight="false" outlineLevel="0" collapsed="false">
      <c r="A56" s="0" t="s">
        <v>873</v>
      </c>
      <c r="B56" s="0" t="s">
        <v>98</v>
      </c>
      <c r="D56" s="6" t="n">
        <f aca="false">Seg!D41</f>
        <v>84.605</v>
      </c>
      <c r="E56" s="6" t="n">
        <f aca="false">Seg!E41</f>
        <v>100.299</v>
      </c>
      <c r="F56" s="6" t="n">
        <f aca="false">Seg!F41</f>
        <v>118.89238776686</v>
      </c>
      <c r="G56" s="6" t="n">
        <f aca="false">Seg!G41</f>
        <v>137.044168448684</v>
      </c>
      <c r="H56" s="6" t="n">
        <f aca="false">Seg!H41</f>
        <v>155.277359388781</v>
      </c>
      <c r="I56" s="6" t="n">
        <f aca="false">Seg!I41</f>
        <v>171.834028071957</v>
      </c>
      <c r="J56" s="6" t="n">
        <f aca="false">Seg!J41</f>
        <v>186.432702785465</v>
      </c>
      <c r="K56" s="6" t="n">
        <f aca="false">Seg!K41</f>
        <v>200.277991980448</v>
      </c>
    </row>
    <row r="57" customFormat="false" ht="17.15" hidden="false" customHeight="false" outlineLevel="0" collapsed="false">
      <c r="A57" s="0" t="s">
        <v>893</v>
      </c>
      <c r="B57" s="0" t="s">
        <v>98</v>
      </c>
      <c r="D57" s="6" t="n">
        <f aca="false">Seg!D39</f>
        <v>83.705</v>
      </c>
      <c r="E57" s="6" t="n">
        <f aca="false">Seg!E39</f>
        <v>95.049</v>
      </c>
      <c r="F57" s="6" t="n">
        <f aca="false">Seg!F39</f>
        <v>106.89238776686</v>
      </c>
      <c r="G57" s="6" t="n">
        <f aca="false">Seg!G39</f>
        <v>119.044168448684</v>
      </c>
      <c r="H57" s="6" t="n">
        <f aca="false">Seg!H39</f>
        <v>131.277359388781</v>
      </c>
      <c r="I57" s="6" t="n">
        <f aca="false">Seg!I39</f>
        <v>143.334028071957</v>
      </c>
      <c r="J57" s="6" t="n">
        <f aca="false">Seg!J39</f>
        <v>154.932702785465</v>
      </c>
      <c r="K57" s="6" t="n">
        <f aca="false">Seg!K39</f>
        <v>165.777991980448</v>
      </c>
    </row>
    <row r="58" customFormat="false" ht="17.15" hidden="false" customHeight="false" outlineLevel="0" collapsed="false">
      <c r="A58" s="0" t="s">
        <v>894</v>
      </c>
      <c r="B58" s="0" t="s">
        <v>98</v>
      </c>
      <c r="D58" s="6" t="n">
        <f aca="false">Seg!D38</f>
        <v>0.9</v>
      </c>
      <c r="E58" s="6" t="n">
        <f aca="false">Seg!E38</f>
        <v>5.25</v>
      </c>
      <c r="F58" s="6" t="n">
        <f aca="false">Seg!F38</f>
        <v>12</v>
      </c>
      <c r="G58" s="6" t="n">
        <f aca="false">Seg!G38</f>
        <v>18</v>
      </c>
      <c r="H58" s="6" t="n">
        <f aca="false">Seg!H38</f>
        <v>24</v>
      </c>
      <c r="I58" s="6" t="n">
        <f aca="false">Seg!I38</f>
        <v>28.5</v>
      </c>
      <c r="J58" s="6" t="n">
        <f aca="false">Seg!J38</f>
        <v>31.5</v>
      </c>
      <c r="K58" s="6" t="n">
        <f aca="false">Seg!K38</f>
        <v>34.5</v>
      </c>
    </row>
    <row r="59" customFormat="false" ht="15" hidden="false" customHeight="false" outlineLevel="0" collapsed="false">
      <c r="A59" s="0" t="s">
        <v>874</v>
      </c>
      <c r="B59" s="0" t="s">
        <v>98</v>
      </c>
      <c r="D59" s="6" t="n">
        <f aca="false">Seg!D42</f>
        <v>35.391</v>
      </c>
      <c r="E59" s="6" t="n">
        <f aca="false">Seg!E42</f>
        <v>37.285</v>
      </c>
      <c r="F59" s="6" t="n">
        <f aca="false">Seg!F42</f>
        <v>39.0720834331704</v>
      </c>
      <c r="G59" s="6" t="n">
        <f aca="false">Seg!G42</f>
        <v>40.726562953769</v>
      </c>
      <c r="H59" s="6" t="n">
        <f aca="false">Seg!H42</f>
        <v>42.2235987259198</v>
      </c>
      <c r="I59" s="6" t="n">
        <f aca="false">Seg!I42</f>
        <v>43.5397988077414</v>
      </c>
      <c r="J59" s="6" t="n">
        <f aca="false">Seg!J42</f>
        <v>44.653811225693</v>
      </c>
      <c r="K59" s="6" t="n">
        <f aca="false">Seg!K42</f>
        <v>45.5468874502068</v>
      </c>
    </row>
    <row r="60" customFormat="false" ht="15" hidden="false" customHeight="false" outlineLevel="0" collapsed="false">
      <c r="A60" s="0" t="s">
        <v>875</v>
      </c>
      <c r="B60" s="0" t="s">
        <v>98</v>
      </c>
      <c r="D60" s="6" t="n">
        <f aca="false">Seg!D44</f>
        <v>18.417</v>
      </c>
      <c r="E60" s="6" t="n">
        <f aca="false">Seg!E44</f>
        <v>20.345</v>
      </c>
      <c r="F60" s="6" t="n">
        <f aca="false">Seg!F44</f>
        <v>22.3572203267814</v>
      </c>
      <c r="G60" s="6" t="n">
        <f aca="false">Seg!G44</f>
        <v>24.4392124437232</v>
      </c>
      <c r="H60" s="6" t="n">
        <f aca="false">Seg!H44</f>
        <v>26.5738052080665</v>
      </c>
      <c r="I60" s="6" t="n">
        <f aca="false">Seg!I44</f>
        <v>28.7412169166967</v>
      </c>
      <c r="J60" s="6" t="n">
        <f aca="false">Seg!J44</f>
        <v>30.9192545395413</v>
      </c>
      <c r="K60" s="6" t="n">
        <f aca="false">Seg!K44</f>
        <v>33.0836023573092</v>
      </c>
    </row>
    <row r="61" customFormat="false" ht="15" hidden="false" customHeight="false" outlineLevel="0" collapsed="false">
      <c r="A61" s="0" t="s">
        <v>876</v>
      </c>
      <c r="B61" s="0" t="s">
        <v>98</v>
      </c>
      <c r="D61" s="6" t="n">
        <f aca="false">Seg!D46</f>
        <v>7.76</v>
      </c>
      <c r="E61" s="6" t="n">
        <f aca="false">Seg!E46</f>
        <v>8.26</v>
      </c>
      <c r="F61" s="6" t="n">
        <f aca="false">Seg!F46</f>
        <v>8.79988041237113</v>
      </c>
      <c r="G61" s="6" t="n">
        <f aca="false">Seg!G46</f>
        <v>9.38321269125306</v>
      </c>
      <c r="H61" s="6" t="n">
        <f aca="false">Seg!H46</f>
        <v>10.0139193587476</v>
      </c>
      <c r="I61" s="6" t="n">
        <f aca="false">Seg!I46</f>
        <v>10.6963111830911</v>
      </c>
      <c r="J61" s="6" t="n">
        <f aca="false">Seg!J46</f>
        <v>11.4351285534696</v>
      </c>
      <c r="K61" s="6" t="n">
        <f aca="false">Seg!K46</f>
        <v>12.2355875522124</v>
      </c>
    </row>
    <row r="62" customFormat="false" ht="15" hidden="false" customHeight="false" outlineLevel="0" collapsed="false">
      <c r="A62" s="0" t="s">
        <v>704</v>
      </c>
      <c r="B62" s="0" t="s">
        <v>98</v>
      </c>
      <c r="D62" s="6" t="n">
        <f aca="false">Seg!D48</f>
        <v>218.783</v>
      </c>
      <c r="E62" s="6" t="n">
        <f aca="false">Seg!E48</f>
        <v>268.127</v>
      </c>
      <c r="F62" s="6" t="n">
        <f aca="false">Seg!F48</f>
        <v>334.265528251508</v>
      </c>
      <c r="G62" s="6" t="n">
        <f aca="false">Seg!G48</f>
        <v>408.072123059793</v>
      </c>
      <c r="H62" s="6" t="n">
        <f aca="false">Seg!H48</f>
        <v>483.196296004025</v>
      </c>
      <c r="I62" s="6" t="n">
        <f aca="false">Seg!I48</f>
        <v>551.903517626826</v>
      </c>
      <c r="J62" s="6" t="n">
        <f aca="false">Seg!J48</f>
        <v>607.45432414427</v>
      </c>
      <c r="K62" s="6" t="n">
        <f aca="false">Seg!K48</f>
        <v>651.241547813062</v>
      </c>
    </row>
    <row r="63" customFormat="false" ht="15" hidden="false" customHeight="false" outlineLevel="0" collapsed="false">
      <c r="A63" s="0" t="s">
        <v>877</v>
      </c>
      <c r="B63" s="0" t="s">
        <v>98</v>
      </c>
      <c r="D63" s="6" t="n">
        <f aca="false">Seg!D49</f>
        <v>22.171</v>
      </c>
      <c r="E63" s="6" t="n">
        <f aca="false">Seg!E49</f>
        <v>24.835</v>
      </c>
      <c r="F63" s="6" t="n">
        <f aca="false">Seg!F49</f>
        <v>27.6114901218559</v>
      </c>
      <c r="G63" s="6" t="n">
        <f aca="false">Seg!G49</f>
        <v>30.4675667338515</v>
      </c>
      <c r="H63" s="6" t="n">
        <f aca="false">Seg!H49</f>
        <v>33.3643766955789</v>
      </c>
      <c r="I63" s="6" t="n">
        <f aca="false">Seg!I49</f>
        <v>36.2577016533691</v>
      </c>
      <c r="J63" s="6" t="n">
        <f aca="false">Seg!J49</f>
        <v>39.0988367952171</v>
      </c>
      <c r="K63" s="6" t="n">
        <f aca="false">Seg!K49</f>
        <v>41.8357553708823</v>
      </c>
    </row>
    <row r="64" customFormat="false" ht="15" hidden="false" customHeight="false" outlineLevel="0" collapsed="false">
      <c r="A64" s="0" t="s">
        <v>878</v>
      </c>
      <c r="B64" s="0" t="s">
        <v>98</v>
      </c>
      <c r="D64" s="6" t="n">
        <f aca="false">Seg!D51</f>
        <v>23.455</v>
      </c>
      <c r="E64" s="6" t="n">
        <f aca="false">Seg!E51</f>
        <v>21.79</v>
      </c>
      <c r="F64" s="6" t="n">
        <f aca="false">Seg!F51</f>
        <v>20.5736277908051</v>
      </c>
      <c r="G64" s="6" t="n">
        <f aca="false">Seg!G51</f>
        <v>19.7371452817919</v>
      </c>
      <c r="H64" s="6" t="n">
        <f aca="false">Seg!H51</f>
        <v>19.2339764043138</v>
      </c>
      <c r="I64" s="6" t="n">
        <f aca="false">Seg!I51</f>
        <v>19.0353086852681</v>
      </c>
      <c r="J64" s="6" t="n">
        <f aca="false">Seg!J51</f>
        <v>19.1273539319129</v>
      </c>
      <c r="K64" s="6" t="n">
        <f aca="false">Seg!K51</f>
        <v>19.5099010105511</v>
      </c>
    </row>
    <row r="65" customFormat="false" ht="15" hidden="false" customHeight="false" outlineLevel="0" collapsed="false">
      <c r="A65" s="0" t="s">
        <v>879</v>
      </c>
      <c r="B65" s="0" t="s">
        <v>98</v>
      </c>
      <c r="D65" s="6" t="n">
        <f aca="false">Seg!D53</f>
        <v>17.315</v>
      </c>
      <c r="E65" s="6" t="n">
        <f aca="false">Seg!E53</f>
        <v>17.087</v>
      </c>
      <c r="F65" s="6" t="n">
        <f aca="false">Seg!F53</f>
        <v>16.9564585436519</v>
      </c>
      <c r="G65" s="6" t="n">
        <f aca="false">Seg!G53</f>
        <v>16.9206490624268</v>
      </c>
      <c r="H65" s="6" t="n">
        <f aca="false">Seg!H53</f>
        <v>16.9784519149849</v>
      </c>
      <c r="I65" s="6" t="n">
        <f aca="false">Seg!I53</f>
        <v>17.1303084701817</v>
      </c>
      <c r="J65" s="6" t="n">
        <f aca="false">Seg!J53</f>
        <v>17.3782189407267</v>
      </c>
      <c r="K65" s="6" t="n">
        <f aca="false">Seg!K53</f>
        <v>17.7257833195413</v>
      </c>
    </row>
    <row r="66" customFormat="false" ht="15" hidden="false" customHeight="false" outlineLevel="0" collapsed="false">
      <c r="A66" s="0" t="s">
        <v>718</v>
      </c>
      <c r="B66" s="0" t="s">
        <v>98</v>
      </c>
      <c r="D66" s="6" t="n">
        <f aca="false">Seg!D55</f>
        <v>62.941</v>
      </c>
      <c r="E66" s="6" t="n">
        <f aca="false">Seg!E55</f>
        <v>63.712</v>
      </c>
      <c r="F66" s="6" t="n">
        <f aca="false">Seg!F55</f>
        <v>65.1415764563129</v>
      </c>
      <c r="G66" s="6" t="n">
        <f aca="false">Seg!G55</f>
        <v>67.1253610780702</v>
      </c>
      <c r="H66" s="6" t="n">
        <f aca="false">Seg!H55</f>
        <v>69.5768050148776</v>
      </c>
      <c r="I66" s="6" t="n">
        <f aca="false">Seg!I55</f>
        <v>72.4233188088189</v>
      </c>
      <c r="J66" s="6" t="n">
        <f aca="false">Seg!J55</f>
        <v>75.6044096678567</v>
      </c>
      <c r="K66" s="6" t="n">
        <f aca="false">Seg!K55</f>
        <v>79.0714397009747</v>
      </c>
    </row>
    <row r="67" customFormat="false" ht="15" hidden="false" customHeight="false" outlineLevel="0" collapsed="false">
      <c r="A67" s="1" t="s">
        <v>895</v>
      </c>
      <c r="B67" s="0" t="s">
        <v>98</v>
      </c>
      <c r="D67" s="6" t="n">
        <f aca="false">Seg!D56</f>
        <v>281.724</v>
      </c>
      <c r="E67" s="6" t="n">
        <f aca="false">Seg!E56</f>
        <v>331.839</v>
      </c>
      <c r="F67" s="6" t="n">
        <f aca="false">Seg!F56</f>
        <v>399.407104707821</v>
      </c>
      <c r="G67" s="6" t="n">
        <f aca="false">Seg!G56</f>
        <v>475.197484137863</v>
      </c>
      <c r="H67" s="6" t="n">
        <f aca="false">Seg!H56</f>
        <v>552.773101018903</v>
      </c>
      <c r="I67" s="6" t="n">
        <f aca="false">Seg!I56</f>
        <v>624.326836435645</v>
      </c>
      <c r="J67" s="6" t="n">
        <f aca="false">Seg!J56</f>
        <v>683.058733812127</v>
      </c>
      <c r="K67" s="6" t="n">
        <f aca="false">Seg!K56</f>
        <v>730.312987514037</v>
      </c>
    </row>
    <row r="68" customFormat="false" ht="15" hidden="false" customHeight="false" outlineLevel="0" collapsed="false">
      <c r="A68" s="1" t="s">
        <v>896</v>
      </c>
      <c r="B68" s="0" t="s">
        <v>129</v>
      </c>
      <c r="E68" s="7" t="n">
        <f aca="false">PL!E67/PL!D67-1</f>
        <v>0.177886867998467</v>
      </c>
      <c r="F68" s="7" t="n">
        <f aca="false">PL!F67/PL!E67-1</f>
        <v>0.203617129715978</v>
      </c>
      <c r="G68" s="7" t="n">
        <f aca="false">PL!G67/PL!F67-1</f>
        <v>0.189757213972159</v>
      </c>
      <c r="H68" s="7" t="n">
        <f aca="false">PL!H67/PL!G67-1</f>
        <v>0.163249216316418</v>
      </c>
      <c r="I68" s="7" t="n">
        <f aca="false">PL!I67/PL!H67-1</f>
        <v>0.129445038633121</v>
      </c>
      <c r="J68" s="7" t="n">
        <f aca="false">PL!J67/PL!I67-1</f>
        <v>0.0940723575359816</v>
      </c>
      <c r="K68" s="7" t="n">
        <f aca="false">PL!K67/PL!J67-1</f>
        <v>0.0691803667280342</v>
      </c>
    </row>
    <row r="69" customFormat="false" ht="17.15" hidden="false" customHeight="false" outlineLevel="0" collapsed="false">
      <c r="A69" s="23" t="s">
        <v>897</v>
      </c>
      <c r="B69" s="30" t="s">
        <v>98</v>
      </c>
      <c r="C69" s="30"/>
      <c r="D69" s="24" t="n">
        <f aca="false">(PL!D62+PL!D66-PL!D67)+(PL!D54+PL!D55-PL!D53)+(PL!D57+PL!D58-PL!D56)+(PL!D67-Q!L18)</f>
        <v>0</v>
      </c>
      <c r="E69" s="24" t="n">
        <f aca="false">(PL!E62+PL!E66-PL!E67)+(PL!E54+PL!E55-PL!E53)+(PL!E57+PL!E58-PL!E56)+(PL!E67-Q!M18)</f>
        <v>0</v>
      </c>
      <c r="F69" s="24" t="n">
        <f aca="false">(PL!F62+PL!F66-PL!F67)+(PL!F54+PL!F55-PL!F53)+(PL!F57+PL!F58-PL!F56)</f>
        <v>0</v>
      </c>
      <c r="G69" s="24" t="n">
        <f aca="false">(PL!G62+PL!G66-PL!G67)+(PL!G54+PL!G55-PL!G53)+(PL!G57+PL!G58-PL!G56)</f>
        <v>0</v>
      </c>
      <c r="H69" s="24" t="n">
        <f aca="false">(PL!H62+PL!H66-PL!H67)+(PL!H54+PL!H55-PL!H53)+(PL!H57+PL!H58-PL!H56)</f>
        <v>0</v>
      </c>
      <c r="I69" s="24" t="n">
        <f aca="false">(PL!I62+PL!I66-PL!I67)+(PL!I54+PL!I55-PL!I53)+(PL!I57+PL!I58-PL!I56)</f>
        <v>0</v>
      </c>
      <c r="J69" s="24" t="n">
        <f aca="false">(PL!J62+PL!J66-PL!J67)+(PL!J54+PL!J55-PL!J53)+(PL!J57+PL!J58-PL!J56)</f>
        <v>0</v>
      </c>
      <c r="K69" s="24" t="n">
        <f aca="false">(PL!K62+PL!K66-PL!K67)+(PL!K54+PL!K55-PL!K53)+(PL!K57+PL!K58-PL!K56)</f>
        <v>0</v>
      </c>
    </row>
    <row r="70" customFormat="false" ht="17.15" hidden="false" customHeight="false" outlineLevel="0" collapsed="false">
      <c r="A70" s="0" t="s">
        <v>898</v>
      </c>
      <c r="B70" s="0" t="s">
        <v>129</v>
      </c>
      <c r="E70" s="7" t="n">
        <f aca="false">(Q!M21+Thesis!E74+Thesis!E75+Thesis!E76+Thesis!E89-Thesis!E72)/(Q!M5-Thesis!E72)</f>
        <v>0.570957350878296</v>
      </c>
      <c r="F70" s="7" t="n">
        <f aca="false">PL!$E$70+dm_seg</f>
        <v>0.570957350878296</v>
      </c>
      <c r="G70" s="7" t="n">
        <f aca="false">PL!$E$70+dm_seg</f>
        <v>0.570957350878296</v>
      </c>
      <c r="H70" s="7" t="n">
        <f aca="false">PL!$E$70+dm_seg</f>
        <v>0.570957350878296</v>
      </c>
      <c r="I70" s="7" t="n">
        <f aca="false">PL!$E$70+dm_seg</f>
        <v>0.570957350878296</v>
      </c>
      <c r="J70" s="7" t="n">
        <f aca="false">PL!$E$70+dm_seg</f>
        <v>0.570957350878296</v>
      </c>
      <c r="K70" s="7" t="n">
        <f aca="false">PL!$E$70+dm_seg</f>
        <v>0.570957350878296</v>
      </c>
      <c r="L70" s="11" t="s">
        <v>899</v>
      </c>
    </row>
    <row r="71" customFormat="false" ht="17.15" hidden="false" customHeight="false" outlineLevel="0" collapsed="false">
      <c r="A71" s="0" t="s">
        <v>732</v>
      </c>
      <c r="B71" s="0" t="s">
        <v>98</v>
      </c>
      <c r="D71" s="6" t="n">
        <f aca="false">Q!L21</f>
        <v>110.814</v>
      </c>
      <c r="E71" s="6" t="n">
        <f aca="false">Q!M21</f>
        <v>136.365</v>
      </c>
      <c r="F71" s="6" t="n">
        <f aca="false">PL!F70*(Seg!F48-Thesis!F72)+Thesis!F72-(Thesis!F74+Thesis!F75+Thesis!F76)-Thesis!F89</f>
        <v>157.598135920446</v>
      </c>
      <c r="G71" s="6" t="n">
        <f aca="false">PL!G70*(Seg!G48-Thesis!G72)+Thesis!G72-(Thesis!G74+Thesis!G75+Thesis!G76)-Thesis!G89</f>
        <v>177.180724366646</v>
      </c>
      <c r="H71" s="6" t="n">
        <f aca="false">PL!H70*(Seg!H48-Thesis!H72)+Thesis!H72-(Thesis!H74+Thesis!H75+Thesis!H76)-Thesis!H89</f>
        <v>196.822554588626</v>
      </c>
      <c r="I71" s="6" t="n">
        <f aca="false">PL!I70*(Seg!I48-Thesis!I72)+Thesis!I72-(Thesis!I74+Thesis!I75+Thesis!I76)-Thesis!I89</f>
        <v>215.54574777798</v>
      </c>
      <c r="J71" s="6" t="n">
        <f aca="false">PL!J70*(Seg!J48-Thesis!J72)+Thesis!J72-(Thesis!J74+Thesis!J75+Thesis!J76)-Thesis!J89</f>
        <v>232.898569526772</v>
      </c>
      <c r="K71" s="6" t="n">
        <f aca="false">PL!K70*(Seg!K48-Thesis!K72)+Thesis!K72-(Thesis!K74+Thesis!K75+Thesis!K76)-Thesis!K89</f>
        <v>249.763616633974</v>
      </c>
      <c r="L71" s="1" t="s">
        <v>900</v>
      </c>
    </row>
    <row r="72" customFormat="false" ht="17.15" hidden="false" customHeight="false" outlineLevel="0" collapsed="false">
      <c r="A72" s="0" t="s">
        <v>901</v>
      </c>
      <c r="B72" s="0" t="s">
        <v>129</v>
      </c>
      <c r="E72" s="7" t="n">
        <f aca="false">Q!M22/Q!M12</f>
        <v>0.296207935710698</v>
      </c>
      <c r="F72" s="7" t="n">
        <f aca="false">PL!$E$72+dm_seg</f>
        <v>0.296207935710698</v>
      </c>
      <c r="G72" s="7" t="n">
        <f aca="false">PL!$E$72+dm_seg</f>
        <v>0.296207935710698</v>
      </c>
      <c r="H72" s="7" t="n">
        <f aca="false">PL!$E$72+dm_seg</f>
        <v>0.296207935710698</v>
      </c>
      <c r="I72" s="7" t="n">
        <f aca="false">PL!$E$72+dm_seg</f>
        <v>0.296207935710698</v>
      </c>
      <c r="J72" s="7" t="n">
        <f aca="false">PL!$E$72+dm_seg</f>
        <v>0.296207935710698</v>
      </c>
      <c r="K72" s="7" t="n">
        <f aca="false">PL!$E$72+dm_seg</f>
        <v>0.296207935710698</v>
      </c>
      <c r="L72" s="11" t="s">
        <v>902</v>
      </c>
    </row>
    <row r="73" customFormat="false" ht="17.15" hidden="false" customHeight="false" outlineLevel="0" collapsed="false">
      <c r="A73" s="0" t="s">
        <v>734</v>
      </c>
      <c r="B73" s="0" t="s">
        <v>98</v>
      </c>
      <c r="D73" s="6" t="n">
        <f aca="false">Q!L22</f>
        <v>17.714</v>
      </c>
      <c r="E73" s="6" t="n">
        <f aca="false">Q!M22</f>
        <v>18.872</v>
      </c>
      <c r="F73" s="6" t="n">
        <f aca="false">Seg!F55*PL!F72</f>
        <v>19.2954518910651</v>
      </c>
      <c r="G73" s="6" t="n">
        <f aca="false">Seg!G55*PL!G72</f>
        <v>19.8830646387704</v>
      </c>
      <c r="H73" s="6" t="n">
        <f aca="false">Seg!H55*PL!H72</f>
        <v>20.6092017868026</v>
      </c>
      <c r="I73" s="6" t="n">
        <f aca="false">Seg!I55*PL!I72</f>
        <v>21.452361761678</v>
      </c>
      <c r="J73" s="6" t="n">
        <f aca="false">Seg!J55*PL!J72</f>
        <v>22.3946261183418</v>
      </c>
      <c r="K73" s="6" t="n">
        <f aca="false">Seg!K55*PL!K72</f>
        <v>23.4215879274986</v>
      </c>
    </row>
    <row r="74" customFormat="false" ht="15" hidden="false" customHeight="false" outlineLevel="0" collapsed="false">
      <c r="A74" s="1" t="s">
        <v>903</v>
      </c>
      <c r="B74" s="0" t="s">
        <v>98</v>
      </c>
      <c r="D74" s="6" t="n">
        <f aca="false">PL!D71+PL!D73</f>
        <v>128.528</v>
      </c>
      <c r="E74" s="6" t="n">
        <f aca="false">PL!E71+PL!E73</f>
        <v>155.237</v>
      </c>
      <c r="F74" s="6" t="n">
        <f aca="false">PL!F71+PL!F73</f>
        <v>176.893587811511</v>
      </c>
      <c r="G74" s="6" t="n">
        <f aca="false">PL!G71+PL!G73</f>
        <v>197.063789005417</v>
      </c>
      <c r="H74" s="6" t="n">
        <f aca="false">PL!H71+PL!H73</f>
        <v>217.431756375428</v>
      </c>
      <c r="I74" s="6" t="n">
        <f aca="false">PL!I71+PL!I73</f>
        <v>236.998109539658</v>
      </c>
      <c r="J74" s="6" t="n">
        <f aca="false">PL!J71+PL!J73</f>
        <v>255.293195645113</v>
      </c>
      <c r="K74" s="6" t="n">
        <f aca="false">PL!K71+PL!K73</f>
        <v>273.185204561473</v>
      </c>
    </row>
    <row r="75" customFormat="false" ht="15" hidden="false" customHeight="false" outlineLevel="0" collapsed="false">
      <c r="A75" s="23" t="s">
        <v>904</v>
      </c>
      <c r="B75" s="30" t="s">
        <v>98</v>
      </c>
      <c r="C75" s="30"/>
      <c r="D75" s="24" t="n">
        <f aca="false">PL!D74-Q!L23</f>
        <v>0</v>
      </c>
      <c r="E75" s="24" t="n">
        <f aca="false">PL!E74-Q!M23</f>
        <v>0</v>
      </c>
      <c r="F75" s="30"/>
      <c r="G75" s="30"/>
      <c r="H75" s="30"/>
      <c r="I75" s="30"/>
      <c r="J75" s="30"/>
      <c r="K75" s="30"/>
    </row>
    <row r="76" customFormat="false" ht="15" hidden="false" customHeight="false" outlineLevel="0" collapsed="false">
      <c r="A76" s="1" t="s">
        <v>905</v>
      </c>
      <c r="B76" s="0" t="s">
        <v>129</v>
      </c>
      <c r="D76" s="7" t="n">
        <f aca="false">PL!D74/PL!D67</f>
        <v>0.456219562408598</v>
      </c>
      <c r="E76" s="7" t="n">
        <f aca="false">PL!E74/PL!E67</f>
        <v>0.467808184089272</v>
      </c>
      <c r="F76" s="7" t="n">
        <f aca="false">PL!F74/PL!F67</f>
        <v>0.442890438668873</v>
      </c>
      <c r="G76" s="7" t="n">
        <f aca="false">PL!G74/PL!G67</f>
        <v>0.414698721233644</v>
      </c>
      <c r="H76" s="7" t="n">
        <f aca="false">PL!H74/PL!H67</f>
        <v>0.393347208781769</v>
      </c>
      <c r="I76" s="7" t="n">
        <f aca="false">PL!I74/PL!I67</f>
        <v>0.37960583416966</v>
      </c>
      <c r="J76" s="7" t="n">
        <f aca="false">PL!J74/PL!J67</f>
        <v>0.373749991044446</v>
      </c>
      <c r="K76" s="7" t="n">
        <f aca="false">PL!K74/PL!K67</f>
        <v>0.374065926845128</v>
      </c>
    </row>
    <row r="77" customFormat="false" ht="17.15" hidden="false" customHeight="false" outlineLevel="0" collapsed="false">
      <c r="A77" s="1" t="s">
        <v>906</v>
      </c>
      <c r="B77" s="0" t="s">
        <v>98</v>
      </c>
      <c r="F77" s="6" t="n">
        <f aca="false">Thesis!F93</f>
        <v>19.9358184660572</v>
      </c>
      <c r="G77" s="6" t="n">
        <f aca="false">Thesis!G93</f>
        <v>35.1359494439124</v>
      </c>
      <c r="H77" s="6" t="n">
        <f aca="false">Thesis!H93</f>
        <v>51.688536514718</v>
      </c>
      <c r="I77" s="6" t="n">
        <f aca="false">Thesis!I93</f>
        <v>66.8193432436896</v>
      </c>
      <c r="J77" s="6" t="n">
        <f aca="false">Thesis!J93</f>
        <v>77.4328840229578</v>
      </c>
      <c r="K77" s="6" t="n">
        <f aca="false">Thesis!K93</f>
        <v>83.3249638901295</v>
      </c>
      <c r="L77" s="1" t="s">
        <v>907</v>
      </c>
    </row>
    <row r="78" customFormat="false" ht="17.15" hidden="false" customHeight="false" outlineLevel="0" collapsed="false">
      <c r="A78" s="1" t="s">
        <v>908</v>
      </c>
      <c r="B78" s="0" t="s">
        <v>98</v>
      </c>
      <c r="D78" s="6" t="n">
        <f aca="false">PL!D74</f>
        <v>128.528</v>
      </c>
      <c r="E78" s="6" t="n">
        <f aca="false">PL!E74</f>
        <v>155.237</v>
      </c>
      <c r="F78" s="6" t="n">
        <f aca="false">PL!F74+PL!F77</f>
        <v>196.829406277568</v>
      </c>
      <c r="G78" s="6" t="n">
        <f aca="false">PL!G74+PL!G77</f>
        <v>232.199738449329</v>
      </c>
      <c r="H78" s="6" t="n">
        <f aca="false">PL!H74+PL!H77</f>
        <v>269.120292890146</v>
      </c>
      <c r="I78" s="6" t="n">
        <f aca="false">PL!I74+PL!I77</f>
        <v>303.817452783348</v>
      </c>
      <c r="J78" s="6" t="n">
        <f aca="false">PL!J74+PL!J77</f>
        <v>332.726079668071</v>
      </c>
      <c r="K78" s="6" t="n">
        <f aca="false">PL!K74+PL!K77</f>
        <v>356.510168451602</v>
      </c>
    </row>
    <row r="79" customFormat="false" ht="17.15" hidden="false" customHeight="false" outlineLevel="0" collapsed="false">
      <c r="A79" s="1" t="s">
        <v>909</v>
      </c>
      <c r="B79" s="0" t="s">
        <v>98</v>
      </c>
      <c r="E79" s="6" t="n">
        <f aca="false">Thesis!E89</f>
        <v>16.3054059770833</v>
      </c>
      <c r="F79" s="6" t="n">
        <f aca="false">Thesis!F89</f>
        <v>34.7405354558698</v>
      </c>
      <c r="G79" s="6" t="n">
        <f aca="false">Thesis!G89</f>
        <v>60.5067332603396</v>
      </c>
      <c r="H79" s="6" t="n">
        <f aca="false">Thesis!H89</f>
        <v>87.7423159931396</v>
      </c>
      <c r="I79" s="6" t="n">
        <f aca="false">Thesis!I89</f>
        <v>111.987039982221</v>
      </c>
      <c r="J79" s="6" t="n">
        <f aca="false">Thesis!J89</f>
        <v>129.183710922666</v>
      </c>
      <c r="K79" s="6" t="n">
        <f aca="false">Thesis!K89</f>
        <v>139.647646804474</v>
      </c>
    </row>
    <row r="80" customFormat="false" ht="17.15" hidden="false" customHeight="false" outlineLevel="0" collapsed="false">
      <c r="A80" s="1" t="s">
        <v>910</v>
      </c>
      <c r="B80" s="0" t="s">
        <v>98</v>
      </c>
      <c r="E80" s="6" t="n">
        <f aca="false">CF!E46</f>
        <v>22.2285940229167</v>
      </c>
      <c r="F80" s="6" t="n">
        <f aca="false">CF!F46</f>
        <v>23.5636693435813</v>
      </c>
      <c r="G80" s="6" t="n">
        <f aca="false">CF!G46</f>
        <v>25.3225917662621</v>
      </c>
      <c r="H80" s="6" t="n">
        <f aca="false">CF!H46</f>
        <v>27.4714839540448</v>
      </c>
      <c r="I80" s="6" t="n">
        <f aca="false">CF!I46</f>
        <v>29.9441755898047</v>
      </c>
      <c r="J80" s="6" t="n">
        <f aca="false">CF!J46</f>
        <v>32.6578493558616</v>
      </c>
      <c r="K80" s="6" t="n">
        <f aca="false">CF!K46</f>
        <v>35.5289346944749</v>
      </c>
    </row>
    <row r="81" customFormat="false" ht="17.15" hidden="false" customHeight="false" outlineLevel="0" collapsed="false">
      <c r="A81" s="1" t="s">
        <v>911</v>
      </c>
      <c r="B81" s="0" t="s">
        <v>98</v>
      </c>
      <c r="D81" s="6" t="n">
        <f aca="false">Q!L27</f>
        <v>-4.901</v>
      </c>
      <c r="E81" s="6" t="n">
        <f aca="false">Q!M27</f>
        <v>10.697</v>
      </c>
      <c r="F81" s="6" t="n">
        <f aca="false">oie_f</f>
        <v>-0.4</v>
      </c>
      <c r="G81" s="6" t="n">
        <f aca="false">oie_f</f>
        <v>-0.4</v>
      </c>
      <c r="H81" s="6" t="n">
        <f aca="false">oie_f</f>
        <v>-0.4</v>
      </c>
      <c r="I81" s="6" t="n">
        <f aca="false">oie_f</f>
        <v>-0.4</v>
      </c>
      <c r="J81" s="6" t="n">
        <f aca="false">oie_f</f>
        <v>-0.4</v>
      </c>
      <c r="K81" s="6" t="n">
        <f aca="false">oie_f</f>
        <v>-0.4</v>
      </c>
      <c r="L81" s="11" t="s">
        <v>912</v>
      </c>
    </row>
    <row r="82" customFormat="false" ht="15" hidden="false" customHeight="false" outlineLevel="0" collapsed="false">
      <c r="A82" s="1" t="s">
        <v>913</v>
      </c>
      <c r="B82" s="0" t="s">
        <v>98</v>
      </c>
      <c r="D82" s="6" t="n">
        <f aca="false">PL!D74+PL!D81</f>
        <v>123.627</v>
      </c>
      <c r="E82" s="6" t="n">
        <f aca="false">PL!E74+PL!E81</f>
        <v>165.934</v>
      </c>
      <c r="F82" s="6" t="n">
        <f aca="false">PL!F74+PL!F81</f>
        <v>176.493587811511</v>
      </c>
      <c r="G82" s="6" t="n">
        <f aca="false">PL!G74+PL!G81</f>
        <v>196.663789005417</v>
      </c>
      <c r="H82" s="6" t="n">
        <f aca="false">PL!H74+PL!H81</f>
        <v>217.031756375428</v>
      </c>
      <c r="I82" s="6" t="n">
        <f aca="false">PL!I74+PL!I81</f>
        <v>236.598109539658</v>
      </c>
      <c r="J82" s="6" t="n">
        <f aca="false">PL!J74+PL!J81</f>
        <v>254.893195645113</v>
      </c>
      <c r="K82" s="6" t="n">
        <f aca="false">PL!K74+PL!K81</f>
        <v>272.785204561473</v>
      </c>
    </row>
    <row r="83" customFormat="false" ht="15" hidden="false" customHeight="false" outlineLevel="0" collapsed="false">
      <c r="A83" s="1" t="s">
        <v>914</v>
      </c>
      <c r="B83" s="0" t="s">
        <v>98</v>
      </c>
      <c r="D83" s="6" t="n">
        <f aca="false">Q!L29</f>
        <v>21.795</v>
      </c>
      <c r="E83" s="6" t="n">
        <f aca="false">Q!M29</f>
        <v>32.185</v>
      </c>
      <c r="F83" s="6" t="n">
        <f aca="false">PL!F82*tax_f</f>
        <v>35.2987175623022</v>
      </c>
      <c r="G83" s="6" t="n">
        <f aca="false">PL!G82*tax_f</f>
        <v>39.3327578010833</v>
      </c>
      <c r="H83" s="6" t="n">
        <f aca="false">PL!H82*tax_f</f>
        <v>43.4063512750857</v>
      </c>
      <c r="I83" s="6" t="n">
        <f aca="false">PL!I82*tax_f</f>
        <v>47.3196219079316</v>
      </c>
      <c r="J83" s="6" t="n">
        <f aca="false">PL!J82*tax_f</f>
        <v>50.9786391290227</v>
      </c>
      <c r="K83" s="6" t="n">
        <f aca="false">PL!K82*tax_f</f>
        <v>54.5570409122945</v>
      </c>
    </row>
    <row r="84" customFormat="false" ht="15" hidden="false" customHeight="false" outlineLevel="0" collapsed="false">
      <c r="A84" s="1" t="s">
        <v>915</v>
      </c>
      <c r="B84" s="0" t="s">
        <v>98</v>
      </c>
      <c r="D84" s="6" t="n">
        <f aca="false">PL!D82-PL!D83</f>
        <v>101.832</v>
      </c>
      <c r="E84" s="6" t="n">
        <f aca="false">PL!E82-PL!E83</f>
        <v>133.749</v>
      </c>
      <c r="F84" s="6" t="n">
        <f aca="false">PL!F82-PL!F83</f>
        <v>141.194870249209</v>
      </c>
      <c r="G84" s="6" t="n">
        <f aca="false">PL!G82-PL!G83</f>
        <v>157.331031204333</v>
      </c>
      <c r="H84" s="6" t="n">
        <f aca="false">PL!H82-PL!H83</f>
        <v>173.625405100343</v>
      </c>
      <c r="I84" s="6" t="n">
        <f aca="false">PL!I82-PL!I83</f>
        <v>189.278487631726</v>
      </c>
      <c r="J84" s="6" t="n">
        <f aca="false">PL!J82-PL!J83</f>
        <v>203.914556516091</v>
      </c>
      <c r="K84" s="6" t="n">
        <f aca="false">PL!K82-PL!K83</f>
        <v>218.228163649178</v>
      </c>
    </row>
    <row r="85" customFormat="false" ht="17.15" hidden="false" customHeight="false" outlineLevel="0" collapsed="false">
      <c r="A85" s="1" t="s">
        <v>916</v>
      </c>
      <c r="B85" s="1" t="s">
        <v>81</v>
      </c>
      <c r="D85" s="14" t="n">
        <f aca="false">Q!L31</f>
        <v>7.465</v>
      </c>
      <c r="E85" s="14" t="n">
        <f aca="false">Q!M31</f>
        <v>7.453</v>
      </c>
      <c r="F85" s="14" t="n">
        <f aca="false">CF!F68</f>
        <v>7.4735</v>
      </c>
      <c r="G85" s="14" t="n">
        <f aca="false">CF!G68</f>
        <v>7.51795969944731</v>
      </c>
      <c r="H85" s="14" t="n">
        <f aca="false">CF!H68</f>
        <v>7.54517098474457</v>
      </c>
      <c r="I85" s="14" t="n">
        <f aca="false">CF!I68</f>
        <v>7.55695181675188</v>
      </c>
      <c r="J85" s="14" t="n">
        <f aca="false">CF!J68</f>
        <v>7.57119332786977</v>
      </c>
      <c r="K85" s="14" t="n">
        <f aca="false">CF!K68</f>
        <v>7.58771324557151</v>
      </c>
    </row>
    <row r="86" customFormat="false" ht="17.15" hidden="false" customHeight="false" outlineLevel="0" collapsed="false">
      <c r="A86" s="0" t="s">
        <v>917</v>
      </c>
      <c r="B86" s="0" t="s">
        <v>75</v>
      </c>
      <c r="D86" s="8" t="n">
        <f aca="false">PL!D84/PL!D85</f>
        <v>13.641259209645</v>
      </c>
      <c r="E86" s="8" t="n">
        <f aca="false">PL!E84/PL!E85</f>
        <v>17.9456594659869</v>
      </c>
      <c r="F86" s="8" t="n">
        <f aca="false">PL!F84/PL!F85</f>
        <v>18.8927370374267</v>
      </c>
      <c r="G86" s="8" t="n">
        <f aca="false">PL!G84/PL!G85</f>
        <v>20.9273576201665</v>
      </c>
      <c r="H86" s="8" t="n">
        <f aca="false">PL!H84/PL!H85</f>
        <v>23.0114606350727</v>
      </c>
      <c r="I86" s="8" t="n">
        <f aca="false">PL!I84/PL!I85</f>
        <v>25.0469358838762</v>
      </c>
      <c r="J86" s="8" t="n">
        <f aca="false">PL!J84/PL!J85</f>
        <v>26.9329480420842</v>
      </c>
      <c r="K86" s="8" t="n">
        <f aca="false">PL!K84/PL!K85</f>
        <v>28.7607289029465</v>
      </c>
      <c r="L86" s="1" t="s">
        <v>918</v>
      </c>
    </row>
    <row r="87" customFormat="false" ht="17.15" hidden="false" customHeight="false" outlineLevel="0" collapsed="false">
      <c r="A87" s="1" t="s">
        <v>919</v>
      </c>
      <c r="B87" s="0" t="s">
        <v>98</v>
      </c>
      <c r="D87" s="6" t="n">
        <f aca="false">PL!D84</f>
        <v>101.832</v>
      </c>
      <c r="E87" s="6" t="n">
        <f aca="false">PL!E84</f>
        <v>133.749</v>
      </c>
      <c r="F87" s="6" t="n">
        <f aca="false">PL!F84+PL!F77*(1-tax_f)</f>
        <v>157.143525022055</v>
      </c>
      <c r="G87" s="6" t="n">
        <f aca="false">PL!G84+PL!G77*(1-tax_f)</f>
        <v>185.439790759463</v>
      </c>
      <c r="H87" s="6" t="n">
        <f aca="false">PL!H84+PL!H77*(1-tax_f)</f>
        <v>214.976234312117</v>
      </c>
      <c r="I87" s="6" t="n">
        <f aca="false">PL!I84+PL!I77*(1-tax_f)</f>
        <v>242.733962226678</v>
      </c>
      <c r="J87" s="6" t="n">
        <f aca="false">PL!J84+PL!J77*(1-tax_f)</f>
        <v>265.860863734457</v>
      </c>
      <c r="K87" s="6" t="n">
        <f aca="false">PL!K84+PL!K77*(1-tax_f)</f>
        <v>284.888134761282</v>
      </c>
    </row>
    <row r="88" customFormat="false" ht="17.15" hidden="false" customHeight="false" outlineLevel="0" collapsed="false">
      <c r="A88" s="0" t="s">
        <v>920</v>
      </c>
      <c r="B88" s="0" t="s">
        <v>75</v>
      </c>
      <c r="D88" s="8" t="n">
        <f aca="false">PL!D87/PL!D85</f>
        <v>13.641259209645</v>
      </c>
      <c r="E88" s="8" t="n">
        <f aca="false">PL!E87/PL!E85</f>
        <v>17.9456594659869</v>
      </c>
      <c r="F88" s="8" t="n">
        <f aca="false">PL!F87/PL!F85</f>
        <v>21.0267645710918</v>
      </c>
      <c r="G88" s="8" t="n">
        <f aca="false">PL!G87/PL!G85</f>
        <v>24.6662390027305</v>
      </c>
      <c r="H88" s="8" t="n">
        <f aca="false">PL!H87/PL!H85</f>
        <v>28.4918969691705</v>
      </c>
      <c r="I88" s="8" t="n">
        <f aca="false">PL!I87/PL!I85</f>
        <v>32.1206179571765</v>
      </c>
      <c r="J88" s="8" t="n">
        <f aca="false">PL!J87/PL!J85</f>
        <v>35.1147899969501</v>
      </c>
      <c r="K88" s="8" t="n">
        <f aca="false">PL!K87/PL!K85</f>
        <v>37.5459806586067</v>
      </c>
      <c r="L88" s="1" t="s">
        <v>921</v>
      </c>
    </row>
    <row r="89" customFormat="false" ht="17.15" hidden="false" customHeight="false" outlineLevel="0" collapsed="false">
      <c r="A89" s="0" t="s">
        <v>922</v>
      </c>
      <c r="B89" s="0" t="s">
        <v>129</v>
      </c>
      <c r="E89" s="7" t="n">
        <f aca="false">PL!E88/PL!D88-1</f>
        <v>0.315542736208578</v>
      </c>
      <c r="F89" s="7" t="n">
        <f aca="false">PL!F88/PL!E88-1</f>
        <v>0.171690826461111</v>
      </c>
      <c r="G89" s="7" t="n">
        <f aca="false">PL!G88/PL!F88-1</f>
        <v>0.173087705402017</v>
      </c>
      <c r="H89" s="7" t="n">
        <f aca="false">PL!H88/PL!G88-1</f>
        <v>0.155096930910972</v>
      </c>
      <c r="I89" s="7" t="n">
        <f aca="false">PL!I88/PL!H88-1</f>
        <v>0.127359753965572</v>
      </c>
      <c r="J89" s="7" t="n">
        <f aca="false">PL!J88/PL!I88-1</f>
        <v>0.0932165141955086</v>
      </c>
      <c r="K89" s="7" t="n">
        <f aca="false">PL!K88/PL!J88-1</f>
        <v>0.0692355176228512</v>
      </c>
    </row>
    <row r="90" customFormat="false" ht="17.15" hidden="false" customHeight="false" outlineLevel="0" collapsed="false">
      <c r="A90" s="3" t="s">
        <v>924</v>
      </c>
    </row>
    <row r="91" customFormat="false" ht="15" hidden="false" customHeight="false" outlineLevel="0" collapsed="false">
      <c r="A91" s="4" t="s">
        <v>43</v>
      </c>
      <c r="B91" s="4" t="s">
        <v>65</v>
      </c>
      <c r="C91" s="20" t="s">
        <v>788</v>
      </c>
      <c r="D91" s="20" t="s">
        <v>789</v>
      </c>
      <c r="E91" s="20" t="s">
        <v>790</v>
      </c>
      <c r="F91" s="20" t="s">
        <v>791</v>
      </c>
      <c r="G91" s="20" t="s">
        <v>792</v>
      </c>
      <c r="H91" s="20" t="s">
        <v>793</v>
      </c>
      <c r="I91" s="20" t="s">
        <v>794</v>
      </c>
      <c r="J91" s="20" t="s">
        <v>795</v>
      </c>
      <c r="K91" s="20" t="s">
        <v>796</v>
      </c>
      <c r="L91" s="4" t="s">
        <v>47</v>
      </c>
    </row>
    <row r="92" customFormat="false" ht="15" hidden="false" customHeight="false" outlineLevel="0" collapsed="false">
      <c r="A92" s="0" t="s">
        <v>867</v>
      </c>
      <c r="B92" s="0" t="s">
        <v>98</v>
      </c>
      <c r="D92" s="6" t="n">
        <f aca="false">Seg!D63</f>
        <v>72.61</v>
      </c>
      <c r="E92" s="6" t="n">
        <f aca="false">Seg!E63</f>
        <v>101.938</v>
      </c>
      <c r="F92" s="6" t="n">
        <f aca="false">Seg!F63</f>
        <v>140.741861125673</v>
      </c>
      <c r="G92" s="6" t="n">
        <f aca="false">Seg!G63</f>
        <v>182.176709135845</v>
      </c>
      <c r="H92" s="6" t="n">
        <f aca="false">Seg!H63</f>
        <v>219.167638189678</v>
      </c>
      <c r="I92" s="6" t="n">
        <f aca="false">Seg!I63</f>
        <v>259.639871266006</v>
      </c>
      <c r="J92" s="6" t="n">
        <f aca="false">Seg!J63</f>
        <v>291.324070960333</v>
      </c>
      <c r="K92" s="6" t="n">
        <f aca="false">Seg!K63</f>
        <v>314.145754363688</v>
      </c>
    </row>
    <row r="93" customFormat="false" ht="17.15" hidden="false" customHeight="false" outlineLevel="0" collapsed="false">
      <c r="A93" s="0" t="s">
        <v>864</v>
      </c>
      <c r="B93" s="0" t="s">
        <v>98</v>
      </c>
      <c r="D93" s="6" t="n">
        <f aca="false">Seg!D60</f>
        <v>12.9359794422418</v>
      </c>
      <c r="E93" s="6" t="n">
        <f aca="false">Seg!E60</f>
        <v>27.8095064661409</v>
      </c>
      <c r="F93" s="6" t="n">
        <f aca="false">Seg!F60</f>
        <v>50.6619113883066</v>
      </c>
      <c r="G93" s="6" t="n">
        <f aca="false">Seg!G60</f>
        <v>75.1482839325348</v>
      </c>
      <c r="H93" s="6" t="n">
        <f aca="false">Seg!H60</f>
        <v>94.895655604042</v>
      </c>
      <c r="I93" s="6" t="n">
        <f aca="false">Seg!I60</f>
        <v>118.706168884151</v>
      </c>
      <c r="J93" s="6" t="n">
        <f aca="false">Seg!J60</f>
        <v>135.305203646001</v>
      </c>
      <c r="K93" s="6" t="n">
        <f aca="false">Seg!K60</f>
        <v>145.64537766421</v>
      </c>
    </row>
    <row r="94" customFormat="false" ht="17.15" hidden="false" customHeight="false" outlineLevel="0" collapsed="false">
      <c r="A94" s="0" t="s">
        <v>892</v>
      </c>
      <c r="B94" s="0" t="s">
        <v>98</v>
      </c>
      <c r="D94" s="6" t="n">
        <f aca="false">Seg!D61</f>
        <v>59.6740205577583</v>
      </c>
      <c r="E94" s="6" t="n">
        <f aca="false">Seg!E61</f>
        <v>74.1284935338591</v>
      </c>
      <c r="F94" s="6" t="n">
        <f aca="false">Seg!F61</f>
        <v>90.0799497373663</v>
      </c>
      <c r="G94" s="6" t="n">
        <f aca="false">Seg!G61</f>
        <v>107.02842520331</v>
      </c>
      <c r="H94" s="6" t="n">
        <f aca="false">Seg!H61</f>
        <v>124.271982585636</v>
      </c>
      <c r="I94" s="6" t="n">
        <f aca="false">Seg!I61</f>
        <v>140.933702381855</v>
      </c>
      <c r="J94" s="6" t="n">
        <f aca="false">Seg!J61</f>
        <v>156.018867314332</v>
      </c>
      <c r="K94" s="6" t="n">
        <f aca="false">Seg!K61</f>
        <v>168.500376699478</v>
      </c>
    </row>
    <row r="95" customFormat="false" ht="15" hidden="false" customHeight="false" outlineLevel="0" collapsed="false">
      <c r="A95" s="0" t="s">
        <v>873</v>
      </c>
      <c r="B95" s="0" t="s">
        <v>98</v>
      </c>
      <c r="D95" s="6" t="n">
        <f aca="false">Seg!D68</f>
        <v>84.605</v>
      </c>
      <c r="E95" s="6" t="n">
        <f aca="false">Seg!E68</f>
        <v>100.299</v>
      </c>
      <c r="F95" s="6" t="n">
        <f aca="false">Seg!F68</f>
        <v>117.39238776686</v>
      </c>
      <c r="G95" s="6" t="n">
        <f aca="false">Seg!G68</f>
        <v>132.544168448684</v>
      </c>
      <c r="H95" s="6" t="n">
        <f aca="false">Seg!H68</f>
        <v>147.777359388781</v>
      </c>
      <c r="I95" s="6" t="n">
        <f aca="false">Seg!I68</f>
        <v>162.084028071957</v>
      </c>
      <c r="J95" s="6" t="n">
        <f aca="false">Seg!J68</f>
        <v>175.182702785465</v>
      </c>
      <c r="K95" s="6" t="n">
        <f aca="false">Seg!K68</f>
        <v>187.527991980448</v>
      </c>
    </row>
    <row r="96" customFormat="false" ht="17.15" hidden="false" customHeight="false" outlineLevel="0" collapsed="false">
      <c r="A96" s="0" t="s">
        <v>893</v>
      </c>
      <c r="B96" s="0" t="s">
        <v>98</v>
      </c>
      <c r="D96" s="6" t="n">
        <f aca="false">Seg!D66</f>
        <v>83.705</v>
      </c>
      <c r="E96" s="6" t="n">
        <f aca="false">Seg!E66</f>
        <v>95.049</v>
      </c>
      <c r="F96" s="6" t="n">
        <f aca="false">Seg!F66</f>
        <v>106.89238776686</v>
      </c>
      <c r="G96" s="6" t="n">
        <f aca="false">Seg!G66</f>
        <v>119.044168448684</v>
      </c>
      <c r="H96" s="6" t="n">
        <f aca="false">Seg!H66</f>
        <v>131.277359388781</v>
      </c>
      <c r="I96" s="6" t="n">
        <f aca="false">Seg!I66</f>
        <v>143.334028071957</v>
      </c>
      <c r="J96" s="6" t="n">
        <f aca="false">Seg!J66</f>
        <v>154.932702785465</v>
      </c>
      <c r="K96" s="6" t="n">
        <f aca="false">Seg!K66</f>
        <v>165.777991980448</v>
      </c>
    </row>
    <row r="97" customFormat="false" ht="17.15" hidden="false" customHeight="false" outlineLevel="0" collapsed="false">
      <c r="A97" s="0" t="s">
        <v>894</v>
      </c>
      <c r="B97" s="0" t="s">
        <v>98</v>
      </c>
      <c r="D97" s="6" t="n">
        <f aca="false">Seg!D65</f>
        <v>0.9</v>
      </c>
      <c r="E97" s="6" t="n">
        <f aca="false">Seg!E65</f>
        <v>5.25</v>
      </c>
      <c r="F97" s="6" t="n">
        <f aca="false">Seg!F65</f>
        <v>10.5</v>
      </c>
      <c r="G97" s="6" t="n">
        <f aca="false">Seg!G65</f>
        <v>13.5</v>
      </c>
      <c r="H97" s="6" t="n">
        <f aca="false">Seg!H65</f>
        <v>16.5</v>
      </c>
      <c r="I97" s="6" t="n">
        <f aca="false">Seg!I65</f>
        <v>18.75</v>
      </c>
      <c r="J97" s="6" t="n">
        <f aca="false">Seg!J65</f>
        <v>20.25</v>
      </c>
      <c r="K97" s="6" t="n">
        <f aca="false">Seg!K65</f>
        <v>21.75</v>
      </c>
    </row>
    <row r="98" customFormat="false" ht="15" hidden="false" customHeight="false" outlineLevel="0" collapsed="false">
      <c r="A98" s="0" t="s">
        <v>874</v>
      </c>
      <c r="B98" s="0" t="s">
        <v>98</v>
      </c>
      <c r="D98" s="6" t="n">
        <f aca="false">Seg!D69</f>
        <v>35.391</v>
      </c>
      <c r="E98" s="6" t="n">
        <f aca="false">Seg!E69</f>
        <v>37.285</v>
      </c>
      <c r="F98" s="6" t="n">
        <f aca="false">Seg!F69</f>
        <v>39.0720834331704</v>
      </c>
      <c r="G98" s="6" t="n">
        <f aca="false">Seg!G69</f>
        <v>40.726562953769</v>
      </c>
      <c r="H98" s="6" t="n">
        <f aca="false">Seg!H69</f>
        <v>42.2235987259198</v>
      </c>
      <c r="I98" s="6" t="n">
        <f aca="false">Seg!I69</f>
        <v>43.5397988077414</v>
      </c>
      <c r="J98" s="6" t="n">
        <f aca="false">Seg!J69</f>
        <v>44.653811225693</v>
      </c>
      <c r="K98" s="6" t="n">
        <f aca="false">Seg!K69</f>
        <v>45.5468874502068</v>
      </c>
    </row>
    <row r="99" customFormat="false" ht="15" hidden="false" customHeight="false" outlineLevel="0" collapsed="false">
      <c r="A99" s="0" t="s">
        <v>875</v>
      </c>
      <c r="B99" s="0" t="s">
        <v>98</v>
      </c>
      <c r="D99" s="6" t="n">
        <f aca="false">Seg!D71</f>
        <v>18.417</v>
      </c>
      <c r="E99" s="6" t="n">
        <f aca="false">Seg!E71</f>
        <v>20.345</v>
      </c>
      <c r="F99" s="6" t="n">
        <f aca="false">Seg!F71</f>
        <v>22.3572203267814</v>
      </c>
      <c r="G99" s="6" t="n">
        <f aca="false">Seg!G71</f>
        <v>24.4392124437232</v>
      </c>
      <c r="H99" s="6" t="n">
        <f aca="false">Seg!H71</f>
        <v>26.5738052080665</v>
      </c>
      <c r="I99" s="6" t="n">
        <f aca="false">Seg!I71</f>
        <v>28.7412169166967</v>
      </c>
      <c r="J99" s="6" t="n">
        <f aca="false">Seg!J71</f>
        <v>30.9192545395413</v>
      </c>
      <c r="K99" s="6" t="n">
        <f aca="false">Seg!K71</f>
        <v>33.0836023573092</v>
      </c>
    </row>
    <row r="100" customFormat="false" ht="15" hidden="false" customHeight="false" outlineLevel="0" collapsed="false">
      <c r="A100" s="0" t="s">
        <v>876</v>
      </c>
      <c r="B100" s="0" t="s">
        <v>98</v>
      </c>
      <c r="D100" s="6" t="n">
        <f aca="false">Seg!D73</f>
        <v>7.76</v>
      </c>
      <c r="E100" s="6" t="n">
        <f aca="false">Seg!E73</f>
        <v>8.26</v>
      </c>
      <c r="F100" s="6" t="n">
        <f aca="false">Seg!F73</f>
        <v>8.79988041237113</v>
      </c>
      <c r="G100" s="6" t="n">
        <f aca="false">Seg!G73</f>
        <v>9.38321269125306</v>
      </c>
      <c r="H100" s="6" t="n">
        <f aca="false">Seg!H73</f>
        <v>10.0139193587476</v>
      </c>
      <c r="I100" s="6" t="n">
        <f aca="false">Seg!I73</f>
        <v>10.6963111830911</v>
      </c>
      <c r="J100" s="6" t="n">
        <f aca="false">Seg!J73</f>
        <v>11.4351285534696</v>
      </c>
      <c r="K100" s="6" t="n">
        <f aca="false">Seg!K73</f>
        <v>12.2355875522124</v>
      </c>
    </row>
    <row r="101" customFormat="false" ht="15" hidden="false" customHeight="false" outlineLevel="0" collapsed="false">
      <c r="A101" s="0" t="s">
        <v>704</v>
      </c>
      <c r="B101" s="0" t="s">
        <v>98</v>
      </c>
      <c r="D101" s="6" t="n">
        <f aca="false">Seg!D75</f>
        <v>218.783</v>
      </c>
      <c r="E101" s="6" t="n">
        <f aca="false">Seg!E75</f>
        <v>268.127</v>
      </c>
      <c r="F101" s="6" t="n">
        <f aca="false">Seg!F75</f>
        <v>328.363433064856</v>
      </c>
      <c r="G101" s="6" t="n">
        <f aca="false">Seg!G75</f>
        <v>389.269865673274</v>
      </c>
      <c r="H101" s="6" t="n">
        <f aca="false">Seg!H75</f>
        <v>445.756320871193</v>
      </c>
      <c r="I101" s="6" t="n">
        <f aca="false">Seg!I75</f>
        <v>504.701226245492</v>
      </c>
      <c r="J101" s="6" t="n">
        <f aca="false">Seg!J75</f>
        <v>553.514968064502</v>
      </c>
      <c r="K101" s="6" t="n">
        <f aca="false">Seg!K75</f>
        <v>592.539823703865</v>
      </c>
    </row>
    <row r="102" customFormat="false" ht="15" hidden="false" customHeight="false" outlineLevel="0" collapsed="false">
      <c r="A102" s="0" t="s">
        <v>877</v>
      </c>
      <c r="B102" s="0" t="s">
        <v>98</v>
      </c>
      <c r="D102" s="6" t="n">
        <f aca="false">Seg!D76</f>
        <v>22.171</v>
      </c>
      <c r="E102" s="6" t="n">
        <f aca="false">Seg!E76</f>
        <v>24.835</v>
      </c>
      <c r="F102" s="6" t="n">
        <f aca="false">Seg!F76</f>
        <v>27.6114901218559</v>
      </c>
      <c r="G102" s="6" t="n">
        <f aca="false">Seg!G76</f>
        <v>30.4675667338515</v>
      </c>
      <c r="H102" s="6" t="n">
        <f aca="false">Seg!H76</f>
        <v>33.3643766955789</v>
      </c>
      <c r="I102" s="6" t="n">
        <f aca="false">Seg!I76</f>
        <v>36.2577016533691</v>
      </c>
      <c r="J102" s="6" t="n">
        <f aca="false">Seg!J76</f>
        <v>39.0988367952171</v>
      </c>
      <c r="K102" s="6" t="n">
        <f aca="false">Seg!K76</f>
        <v>41.8357553708823</v>
      </c>
    </row>
    <row r="103" customFormat="false" ht="15" hidden="false" customHeight="false" outlineLevel="0" collapsed="false">
      <c r="A103" s="0" t="s">
        <v>878</v>
      </c>
      <c r="B103" s="0" t="s">
        <v>98</v>
      </c>
      <c r="D103" s="6" t="n">
        <f aca="false">Seg!D78</f>
        <v>23.455</v>
      </c>
      <c r="E103" s="6" t="n">
        <f aca="false">Seg!E78</f>
        <v>21.79</v>
      </c>
      <c r="F103" s="6" t="n">
        <f aca="false">Seg!F78</f>
        <v>20.5736277908051</v>
      </c>
      <c r="G103" s="6" t="n">
        <f aca="false">Seg!G78</f>
        <v>19.7371452817919</v>
      </c>
      <c r="H103" s="6" t="n">
        <f aca="false">Seg!H78</f>
        <v>19.2339764043138</v>
      </c>
      <c r="I103" s="6" t="n">
        <f aca="false">Seg!I78</f>
        <v>19.0353086852681</v>
      </c>
      <c r="J103" s="6" t="n">
        <f aca="false">Seg!J78</f>
        <v>19.1273539319129</v>
      </c>
      <c r="K103" s="6" t="n">
        <f aca="false">Seg!K78</f>
        <v>19.5099010105511</v>
      </c>
    </row>
    <row r="104" customFormat="false" ht="15" hidden="false" customHeight="false" outlineLevel="0" collapsed="false">
      <c r="A104" s="0" t="s">
        <v>879</v>
      </c>
      <c r="B104" s="0" t="s">
        <v>98</v>
      </c>
      <c r="D104" s="6" t="n">
        <f aca="false">Seg!D80</f>
        <v>17.315</v>
      </c>
      <c r="E104" s="6" t="n">
        <f aca="false">Seg!E80</f>
        <v>17.087</v>
      </c>
      <c r="F104" s="6" t="n">
        <f aca="false">Seg!F80</f>
        <v>16.9564585436519</v>
      </c>
      <c r="G104" s="6" t="n">
        <f aca="false">Seg!G80</f>
        <v>16.9206490624268</v>
      </c>
      <c r="H104" s="6" t="n">
        <f aca="false">Seg!H80</f>
        <v>16.9784519149849</v>
      </c>
      <c r="I104" s="6" t="n">
        <f aca="false">Seg!I80</f>
        <v>17.1303084701817</v>
      </c>
      <c r="J104" s="6" t="n">
        <f aca="false">Seg!J80</f>
        <v>17.3782189407267</v>
      </c>
      <c r="K104" s="6" t="n">
        <f aca="false">Seg!K80</f>
        <v>17.7257833195413</v>
      </c>
    </row>
    <row r="105" customFormat="false" ht="15" hidden="false" customHeight="false" outlineLevel="0" collapsed="false">
      <c r="A105" s="0" t="s">
        <v>718</v>
      </c>
      <c r="B105" s="0" t="s">
        <v>98</v>
      </c>
      <c r="D105" s="6" t="n">
        <f aca="false">Seg!D82</f>
        <v>62.941</v>
      </c>
      <c r="E105" s="6" t="n">
        <f aca="false">Seg!E82</f>
        <v>63.712</v>
      </c>
      <c r="F105" s="6" t="n">
        <f aca="false">Seg!F82</f>
        <v>65.1415764563129</v>
      </c>
      <c r="G105" s="6" t="n">
        <f aca="false">Seg!G82</f>
        <v>67.1253610780702</v>
      </c>
      <c r="H105" s="6" t="n">
        <f aca="false">Seg!H82</f>
        <v>69.5768050148776</v>
      </c>
      <c r="I105" s="6" t="n">
        <f aca="false">Seg!I82</f>
        <v>72.4233188088189</v>
      </c>
      <c r="J105" s="6" t="n">
        <f aca="false">Seg!J82</f>
        <v>75.6044096678567</v>
      </c>
      <c r="K105" s="6" t="n">
        <f aca="false">Seg!K82</f>
        <v>79.0714397009747</v>
      </c>
    </row>
    <row r="106" customFormat="false" ht="15" hidden="false" customHeight="false" outlineLevel="0" collapsed="false">
      <c r="A106" s="1" t="s">
        <v>895</v>
      </c>
      <c r="B106" s="0" t="s">
        <v>98</v>
      </c>
      <c r="D106" s="6" t="n">
        <f aca="false">Seg!D83</f>
        <v>281.724</v>
      </c>
      <c r="E106" s="6" t="n">
        <f aca="false">Seg!E83</f>
        <v>331.839</v>
      </c>
      <c r="F106" s="6" t="n">
        <f aca="false">Seg!F83</f>
        <v>393.505009521169</v>
      </c>
      <c r="G106" s="6" t="n">
        <f aca="false">Seg!G83</f>
        <v>456.395226751344</v>
      </c>
      <c r="H106" s="6" t="n">
        <f aca="false">Seg!H83</f>
        <v>515.333125886071</v>
      </c>
      <c r="I106" s="6" t="n">
        <f aca="false">Seg!I83</f>
        <v>577.124545054311</v>
      </c>
      <c r="J106" s="6" t="n">
        <f aca="false">Seg!J83</f>
        <v>629.119377732358</v>
      </c>
      <c r="K106" s="6" t="n">
        <f aca="false">Seg!K83</f>
        <v>671.611263404839</v>
      </c>
    </row>
    <row r="107" customFormat="false" ht="15" hidden="false" customHeight="false" outlineLevel="0" collapsed="false">
      <c r="A107" s="1" t="s">
        <v>896</v>
      </c>
      <c r="B107" s="0" t="s">
        <v>129</v>
      </c>
      <c r="E107" s="7" t="n">
        <f aca="false">PL!E106/PL!D106-1</f>
        <v>0.177886867998467</v>
      </c>
      <c r="F107" s="7" t="n">
        <f aca="false">PL!F106/PL!E106-1</f>
        <v>0.185831109427067</v>
      </c>
      <c r="G107" s="7" t="n">
        <f aca="false">PL!G106/PL!F106-1</f>
        <v>0.159820626697237</v>
      </c>
      <c r="H107" s="7" t="n">
        <f aca="false">PL!H106/PL!G106-1</f>
        <v>0.129137851756801</v>
      </c>
      <c r="I107" s="7" t="n">
        <f aca="false">PL!I106/PL!H106-1</f>
        <v>0.119905777572508</v>
      </c>
      <c r="J107" s="7" t="n">
        <f aca="false">PL!J106/PL!I106-1</f>
        <v>0.090092915166438</v>
      </c>
      <c r="K107" s="7" t="n">
        <f aca="false">PL!K106/PL!J106-1</f>
        <v>0.0675418484575083</v>
      </c>
    </row>
    <row r="108" customFormat="false" ht="17.15" hidden="false" customHeight="false" outlineLevel="0" collapsed="false">
      <c r="A108" s="23" t="s">
        <v>897</v>
      </c>
      <c r="B108" s="30" t="s">
        <v>98</v>
      </c>
      <c r="C108" s="30"/>
      <c r="D108" s="24" t="n">
        <f aca="false">(PL!D101+PL!D105-PL!D106)+(PL!D93+PL!D94-PL!D92)+(PL!D96+PL!D97-PL!D95)+(PL!D106-Q!L18)</f>
        <v>0</v>
      </c>
      <c r="E108" s="24" t="n">
        <f aca="false">(PL!E101+PL!E105-PL!E106)+(PL!E93+PL!E94-PL!E92)+(PL!E96+PL!E97-PL!E95)+(PL!E106-Q!M18)</f>
        <v>0</v>
      </c>
      <c r="F108" s="24" t="n">
        <f aca="false">(PL!F101+PL!F105-PL!F106)+(PL!F93+PL!F94-PL!F92)+(PL!F96+PL!F97-PL!F95)</f>
        <v>0</v>
      </c>
      <c r="G108" s="24" t="n">
        <f aca="false">(PL!G101+PL!G105-PL!G106)+(PL!G93+PL!G94-PL!G92)+(PL!G96+PL!G97-PL!G95)</f>
        <v>0</v>
      </c>
      <c r="H108" s="24" t="n">
        <f aca="false">(PL!H101+PL!H105-PL!H106)+(PL!H93+PL!H94-PL!H92)+(PL!H96+PL!H97-PL!H95)</f>
        <v>0</v>
      </c>
      <c r="I108" s="24" t="n">
        <f aca="false">(PL!I101+PL!I105-PL!I106)+(PL!I93+PL!I94-PL!I92)+(PL!I96+PL!I97-PL!I95)</f>
        <v>0</v>
      </c>
      <c r="J108" s="24" t="n">
        <f aca="false">(PL!J101+PL!J105-PL!J106)+(PL!J93+PL!J94-PL!J92)+(PL!J96+PL!J97-PL!J95)</f>
        <v>0</v>
      </c>
      <c r="K108" s="24" t="n">
        <f aca="false">(PL!K101+PL!K105-PL!K106)+(PL!K93+PL!K94-PL!K92)+(PL!K96+PL!K97-PL!K95)</f>
        <v>0</v>
      </c>
    </row>
    <row r="109" customFormat="false" ht="17.15" hidden="false" customHeight="false" outlineLevel="0" collapsed="false">
      <c r="A109" s="0" t="s">
        <v>898</v>
      </c>
      <c r="B109" s="0" t="s">
        <v>129</v>
      </c>
      <c r="E109" s="7" t="n">
        <f aca="false">(Q!M21+Thesis!E123+Thesis!E124+Thesis!E125+Thesis!E138-Thesis!E121)/(Q!M5-Thesis!E121)</f>
        <v>0.570957350878296</v>
      </c>
      <c r="F109" s="7" t="n">
        <f aca="false">PL!$E$109+dm_seg</f>
        <v>0.570957350878296</v>
      </c>
      <c r="G109" s="7" t="n">
        <f aca="false">PL!$E$109+dm_seg</f>
        <v>0.570957350878296</v>
      </c>
      <c r="H109" s="7" t="n">
        <f aca="false">PL!$E$109+dm_seg</f>
        <v>0.570957350878296</v>
      </c>
      <c r="I109" s="7" t="n">
        <f aca="false">PL!$E$109+dm_seg</f>
        <v>0.570957350878296</v>
      </c>
      <c r="J109" s="7" t="n">
        <f aca="false">PL!$E$109+dm_seg</f>
        <v>0.570957350878296</v>
      </c>
      <c r="K109" s="7" t="n">
        <f aca="false">PL!$E$109+dm_seg</f>
        <v>0.570957350878296</v>
      </c>
      <c r="L109" s="11" t="s">
        <v>899</v>
      </c>
    </row>
    <row r="110" customFormat="false" ht="17.15" hidden="false" customHeight="false" outlineLevel="0" collapsed="false">
      <c r="A110" s="0" t="s">
        <v>732</v>
      </c>
      <c r="B110" s="0" t="s">
        <v>98</v>
      </c>
      <c r="D110" s="6" t="n">
        <f aca="false">Q!L21</f>
        <v>110.814</v>
      </c>
      <c r="E110" s="6" t="n">
        <f aca="false">Q!M21</f>
        <v>136.365</v>
      </c>
      <c r="F110" s="6" t="n">
        <f aca="false">PL!F109*(Seg!F75-Thesis!F121)+Thesis!F121-(Thesis!F123+Thesis!F124+Thesis!F125)-Thesis!F138</f>
        <v>152.327104707477</v>
      </c>
      <c r="G110" s="6" t="n">
        <f aca="false">PL!G109*(Seg!G75-Thesis!G121)+Thesis!G121-(Thesis!G123+Thesis!G124+Thesis!G125)-Thesis!G138</f>
        <v>160.284158901175</v>
      </c>
      <c r="H110" s="6" t="n">
        <f aca="false">PL!H109*(Seg!H75-Thesis!H121)+Thesis!H121-(Thesis!H123+Thesis!H124+Thesis!H125)-Thesis!H138</f>
        <v>162.575399324207</v>
      </c>
      <c r="I110" s="6" t="n">
        <f aca="false">PL!I109*(Seg!I75-Thesis!I121)+Thesis!I121-(Thesis!I123+Thesis!I124+Thesis!I125)-Thesis!I138</f>
        <v>172.501622225583</v>
      </c>
      <c r="J110" s="6" t="n">
        <f aca="false">PL!J109*(Seg!J75-Thesis!J121)+Thesis!J121-(Thesis!J123+Thesis!J124+Thesis!J125)-Thesis!J138</f>
        <v>183.760943249622</v>
      </c>
      <c r="K110" s="6" t="n">
        <f aca="false">PL!K109*(Seg!K75-Thesis!K121)+Thesis!K121-(Thesis!K123+Thesis!K124+Thesis!K125)-Thesis!K138</f>
        <v>196.507186301078</v>
      </c>
      <c r="L110" s="1" t="s">
        <v>900</v>
      </c>
    </row>
    <row r="111" customFormat="false" ht="17.15" hidden="false" customHeight="false" outlineLevel="0" collapsed="false">
      <c r="A111" s="0" t="s">
        <v>901</v>
      </c>
      <c r="B111" s="0" t="s">
        <v>129</v>
      </c>
      <c r="E111" s="7" t="n">
        <f aca="false">Q!M22/Q!M12</f>
        <v>0.296207935710698</v>
      </c>
      <c r="F111" s="7" t="n">
        <f aca="false">PL!$E$111+dm_seg</f>
        <v>0.296207935710698</v>
      </c>
      <c r="G111" s="7" t="n">
        <f aca="false">PL!$E$111+dm_seg</f>
        <v>0.296207935710698</v>
      </c>
      <c r="H111" s="7" t="n">
        <f aca="false">PL!$E$111+dm_seg</f>
        <v>0.296207935710698</v>
      </c>
      <c r="I111" s="7" t="n">
        <f aca="false">PL!$E$111+dm_seg</f>
        <v>0.296207935710698</v>
      </c>
      <c r="J111" s="7" t="n">
        <f aca="false">PL!$E$111+dm_seg</f>
        <v>0.296207935710698</v>
      </c>
      <c r="K111" s="7" t="n">
        <f aca="false">PL!$E$111+dm_seg</f>
        <v>0.296207935710698</v>
      </c>
      <c r="L111" s="11" t="s">
        <v>902</v>
      </c>
    </row>
    <row r="112" customFormat="false" ht="17.15" hidden="false" customHeight="false" outlineLevel="0" collapsed="false">
      <c r="A112" s="0" t="s">
        <v>734</v>
      </c>
      <c r="B112" s="0" t="s">
        <v>98</v>
      </c>
      <c r="D112" s="6" t="n">
        <f aca="false">Q!L22</f>
        <v>17.714</v>
      </c>
      <c r="E112" s="6" t="n">
        <f aca="false">Q!M22</f>
        <v>18.872</v>
      </c>
      <c r="F112" s="6" t="n">
        <f aca="false">Seg!F82*PL!F111</f>
        <v>19.2954518910651</v>
      </c>
      <c r="G112" s="6" t="n">
        <f aca="false">Seg!G82*PL!G111</f>
        <v>19.8830646387704</v>
      </c>
      <c r="H112" s="6" t="n">
        <f aca="false">Seg!H82*PL!H111</f>
        <v>20.6092017868026</v>
      </c>
      <c r="I112" s="6" t="n">
        <f aca="false">Seg!I82*PL!I111</f>
        <v>21.452361761678</v>
      </c>
      <c r="J112" s="6" t="n">
        <f aca="false">Seg!J82*PL!J111</f>
        <v>22.3946261183418</v>
      </c>
      <c r="K112" s="6" t="n">
        <f aca="false">Seg!K82*PL!K111</f>
        <v>23.4215879274986</v>
      </c>
    </row>
    <row r="113" customFormat="false" ht="15" hidden="false" customHeight="false" outlineLevel="0" collapsed="false">
      <c r="A113" s="1" t="s">
        <v>903</v>
      </c>
      <c r="B113" s="0" t="s">
        <v>98</v>
      </c>
      <c r="D113" s="6" t="n">
        <f aca="false">PL!D110+PL!D112</f>
        <v>128.528</v>
      </c>
      <c r="E113" s="6" t="n">
        <f aca="false">PL!E110+PL!E112</f>
        <v>155.237</v>
      </c>
      <c r="F113" s="6" t="n">
        <f aca="false">PL!F110+PL!F112</f>
        <v>171.622556598542</v>
      </c>
      <c r="G113" s="6" t="n">
        <f aca="false">PL!G110+PL!G112</f>
        <v>180.167223539945</v>
      </c>
      <c r="H113" s="6" t="n">
        <f aca="false">PL!H110+PL!H112</f>
        <v>183.184601111009</v>
      </c>
      <c r="I113" s="6" t="n">
        <f aca="false">PL!I110+PL!I112</f>
        <v>193.953983987261</v>
      </c>
      <c r="J113" s="6" t="n">
        <f aca="false">PL!J110+PL!J112</f>
        <v>206.155569367964</v>
      </c>
      <c r="K113" s="6" t="n">
        <f aca="false">PL!K110+PL!K112</f>
        <v>219.928774228577</v>
      </c>
    </row>
    <row r="114" customFormat="false" ht="15" hidden="false" customHeight="false" outlineLevel="0" collapsed="false">
      <c r="A114" s="23" t="s">
        <v>904</v>
      </c>
      <c r="B114" s="30" t="s">
        <v>98</v>
      </c>
      <c r="C114" s="30"/>
      <c r="D114" s="24" t="n">
        <f aca="false">PL!D113-Q!L23</f>
        <v>0</v>
      </c>
      <c r="E114" s="24" t="n">
        <f aca="false">PL!E113-Q!M23</f>
        <v>0</v>
      </c>
      <c r="F114" s="30"/>
      <c r="G114" s="30"/>
      <c r="H114" s="30"/>
      <c r="I114" s="30"/>
      <c r="J114" s="30"/>
      <c r="K114" s="30"/>
    </row>
    <row r="115" customFormat="false" ht="15" hidden="false" customHeight="false" outlineLevel="0" collapsed="false">
      <c r="A115" s="1" t="s">
        <v>905</v>
      </c>
      <c r="B115" s="0" t="s">
        <v>129</v>
      </c>
      <c r="D115" s="7" t="n">
        <f aca="false">PL!D113/PL!D106</f>
        <v>0.456219562408598</v>
      </c>
      <c r="E115" s="7" t="n">
        <f aca="false">PL!E113/PL!E106</f>
        <v>0.467808184089272</v>
      </c>
      <c r="F115" s="7" t="n">
        <f aca="false">PL!F113/PL!F106</f>
        <v>0.436138174727123</v>
      </c>
      <c r="G115" s="7" t="n">
        <f aca="false">PL!G113/PL!G106</f>
        <v>0.394761410679926</v>
      </c>
      <c r="H115" s="7" t="n">
        <f aca="false">PL!H113/PL!H106</f>
        <v>0.355468321187464</v>
      </c>
      <c r="I115" s="7" t="n">
        <f aca="false">PL!I113/PL!I106</f>
        <v>0.336069546251942</v>
      </c>
      <c r="J115" s="7" t="n">
        <f aca="false">PL!J113/PL!J106</f>
        <v>0.327689110628011</v>
      </c>
      <c r="K115" s="7" t="n">
        <f aca="false">PL!K113/PL!K106</f>
        <v>0.32746439229386</v>
      </c>
    </row>
    <row r="116" customFormat="false" ht="17.15" hidden="false" customHeight="false" outlineLevel="0" collapsed="false">
      <c r="A116" s="1" t="s">
        <v>906</v>
      </c>
      <c r="B116" s="0" t="s">
        <v>98</v>
      </c>
      <c r="F116" s="6" t="n">
        <f aca="false">Thesis!F142</f>
        <v>20.7922544923746</v>
      </c>
      <c r="G116" s="6" t="n">
        <f aca="false">Thesis!G142</f>
        <v>37.7052575228648</v>
      </c>
      <c r="H116" s="6" t="n">
        <f aca="false">Thesis!H142</f>
        <v>55.9707166463052</v>
      </c>
      <c r="I116" s="6" t="n">
        <f aca="false">Thesis!I142</f>
        <v>72.386177414753</v>
      </c>
      <c r="J116" s="6" t="n">
        <f aca="false">Thesis!J142</f>
        <v>83.8561542203386</v>
      </c>
      <c r="K116" s="6" t="n">
        <f aca="false">Thesis!K142</f>
        <v>90.6046701138278</v>
      </c>
      <c r="L116" s="1" t="s">
        <v>907</v>
      </c>
    </row>
    <row r="117" customFormat="false" ht="17.15" hidden="false" customHeight="false" outlineLevel="0" collapsed="false">
      <c r="A117" s="1" t="s">
        <v>908</v>
      </c>
      <c r="B117" s="0" t="s">
        <v>98</v>
      </c>
      <c r="D117" s="6" t="n">
        <f aca="false">PL!D113</f>
        <v>128.528</v>
      </c>
      <c r="E117" s="6" t="n">
        <f aca="false">PL!E113</f>
        <v>155.237</v>
      </c>
      <c r="F117" s="6" t="n">
        <f aca="false">PL!F113+PL!F116</f>
        <v>192.414811090916</v>
      </c>
      <c r="G117" s="6" t="n">
        <f aca="false">PL!G113+PL!G116</f>
        <v>217.87248106281</v>
      </c>
      <c r="H117" s="6" t="n">
        <f aca="false">PL!H113+PL!H116</f>
        <v>239.155317757315</v>
      </c>
      <c r="I117" s="6" t="n">
        <f aca="false">PL!I113+PL!I116</f>
        <v>266.340161402014</v>
      </c>
      <c r="J117" s="6" t="n">
        <f aca="false">PL!J113+PL!J116</f>
        <v>290.011723588303</v>
      </c>
      <c r="K117" s="6" t="n">
        <f aca="false">PL!K113+PL!K116</f>
        <v>310.533444342405</v>
      </c>
    </row>
    <row r="118" customFormat="false" ht="17.15" hidden="false" customHeight="false" outlineLevel="0" collapsed="false">
      <c r="A118" s="1" t="s">
        <v>909</v>
      </c>
      <c r="B118" s="0" t="s">
        <v>98</v>
      </c>
      <c r="E118" s="6" t="n">
        <f aca="false">Thesis!E138</f>
        <v>16.3054059770833</v>
      </c>
      <c r="F118" s="6" t="n">
        <f aca="false">Thesis!F138</f>
        <v>34.7530354558698</v>
      </c>
      <c r="G118" s="6" t="n">
        <f aca="false">Thesis!G138</f>
        <v>60.5317332603396</v>
      </c>
      <c r="H118" s="6" t="n">
        <f aca="false">Thesis!H138</f>
        <v>87.7673159931396</v>
      </c>
      <c r="I118" s="6" t="n">
        <f aca="false">Thesis!I138</f>
        <v>112.012039982221</v>
      </c>
      <c r="J118" s="6" t="n">
        <f aca="false">Thesis!J138</f>
        <v>129.208710922666</v>
      </c>
      <c r="K118" s="6" t="n">
        <f aca="false">Thesis!K138</f>
        <v>139.672646804474</v>
      </c>
    </row>
    <row r="119" customFormat="false" ht="17.15" hidden="false" customHeight="false" outlineLevel="0" collapsed="false">
      <c r="A119" s="1" t="s">
        <v>910</v>
      </c>
      <c r="B119" s="0" t="s">
        <v>98</v>
      </c>
      <c r="E119" s="6" t="n">
        <f aca="false">CF!E75</f>
        <v>22.2285940229167</v>
      </c>
      <c r="F119" s="6" t="n">
        <f aca="false">CF!F75</f>
        <v>23.5486693435813</v>
      </c>
      <c r="G119" s="6" t="n">
        <f aca="false">CF!G75</f>
        <v>25.264091766262</v>
      </c>
      <c r="H119" s="6" t="n">
        <f aca="false">CF!H75</f>
        <v>27.3438339540448</v>
      </c>
      <c r="I119" s="6" t="n">
        <f aca="false">CF!I75</f>
        <v>29.7317905898047</v>
      </c>
      <c r="J119" s="6" t="n">
        <f aca="false">CF!J75</f>
        <v>32.3542028558616</v>
      </c>
      <c r="K119" s="6" t="n">
        <f aca="false">CF!K75</f>
        <v>35.1281528444749</v>
      </c>
    </row>
    <row r="120" customFormat="false" ht="17.15" hidden="false" customHeight="false" outlineLevel="0" collapsed="false">
      <c r="A120" s="1" t="s">
        <v>911</v>
      </c>
      <c r="B120" s="0" t="s">
        <v>98</v>
      </c>
      <c r="D120" s="6" t="n">
        <f aca="false">Q!L27</f>
        <v>-4.901</v>
      </c>
      <c r="E120" s="6" t="n">
        <f aca="false">Q!M27</f>
        <v>10.697</v>
      </c>
      <c r="F120" s="6" t="n">
        <f aca="false">oie_f</f>
        <v>-0.4</v>
      </c>
      <c r="G120" s="6" t="n">
        <f aca="false">oie_f</f>
        <v>-0.4</v>
      </c>
      <c r="H120" s="6" t="n">
        <f aca="false">oie_f</f>
        <v>-0.4</v>
      </c>
      <c r="I120" s="6" t="n">
        <f aca="false">oie_f</f>
        <v>-0.4</v>
      </c>
      <c r="J120" s="6" t="n">
        <f aca="false">oie_f</f>
        <v>-0.4</v>
      </c>
      <c r="K120" s="6" t="n">
        <f aca="false">oie_f</f>
        <v>-0.4</v>
      </c>
      <c r="L120" s="11" t="s">
        <v>912</v>
      </c>
    </row>
    <row r="121" customFormat="false" ht="15" hidden="false" customHeight="false" outlineLevel="0" collapsed="false">
      <c r="A121" s="1" t="s">
        <v>913</v>
      </c>
      <c r="B121" s="0" t="s">
        <v>98</v>
      </c>
      <c r="D121" s="6" t="n">
        <f aca="false">PL!D113+PL!D120</f>
        <v>123.627</v>
      </c>
      <c r="E121" s="6" t="n">
        <f aca="false">PL!E113+PL!E120</f>
        <v>165.934</v>
      </c>
      <c r="F121" s="6" t="n">
        <f aca="false">PL!F113+PL!F120</f>
        <v>171.222556598542</v>
      </c>
      <c r="G121" s="6" t="n">
        <f aca="false">PL!G113+PL!G120</f>
        <v>179.767223539945</v>
      </c>
      <c r="H121" s="6" t="n">
        <f aca="false">PL!H113+PL!H120</f>
        <v>182.784601111009</v>
      </c>
      <c r="I121" s="6" t="n">
        <f aca="false">PL!I113+PL!I120</f>
        <v>193.553983987261</v>
      </c>
      <c r="J121" s="6" t="n">
        <f aca="false">PL!J113+PL!J120</f>
        <v>205.755569367964</v>
      </c>
      <c r="K121" s="6" t="n">
        <f aca="false">PL!K113+PL!K120</f>
        <v>219.528774228577</v>
      </c>
    </row>
    <row r="122" customFormat="false" ht="15" hidden="false" customHeight="false" outlineLevel="0" collapsed="false">
      <c r="A122" s="1" t="s">
        <v>914</v>
      </c>
      <c r="B122" s="0" t="s">
        <v>98</v>
      </c>
      <c r="D122" s="6" t="n">
        <f aca="false">Q!L29</f>
        <v>21.795</v>
      </c>
      <c r="E122" s="6" t="n">
        <f aca="false">Q!M29</f>
        <v>32.185</v>
      </c>
      <c r="F122" s="6" t="n">
        <f aca="false">PL!F121*tax_f</f>
        <v>34.2445113197083</v>
      </c>
      <c r="G122" s="6" t="n">
        <f aca="false">PL!G121*tax_f</f>
        <v>35.9534447079891</v>
      </c>
      <c r="H122" s="6" t="n">
        <f aca="false">PL!H121*tax_f</f>
        <v>36.5569202222019</v>
      </c>
      <c r="I122" s="6" t="n">
        <f aca="false">PL!I121*tax_f</f>
        <v>38.7107967974522</v>
      </c>
      <c r="J122" s="6" t="n">
        <f aca="false">PL!J121*tax_f</f>
        <v>41.1511138735928</v>
      </c>
      <c r="K122" s="6" t="n">
        <f aca="false">PL!K121*tax_f</f>
        <v>43.9057548457154</v>
      </c>
    </row>
    <row r="123" customFormat="false" ht="15" hidden="false" customHeight="false" outlineLevel="0" collapsed="false">
      <c r="A123" s="1" t="s">
        <v>915</v>
      </c>
      <c r="B123" s="0" t="s">
        <v>98</v>
      </c>
      <c r="D123" s="6" t="n">
        <f aca="false">PL!D121-PL!D122</f>
        <v>101.832</v>
      </c>
      <c r="E123" s="6" t="n">
        <f aca="false">PL!E121-PL!E122</f>
        <v>133.749</v>
      </c>
      <c r="F123" s="6" t="n">
        <f aca="false">PL!F121-PL!F122</f>
        <v>136.978045278833</v>
      </c>
      <c r="G123" s="6" t="n">
        <f aca="false">PL!G121-PL!G122</f>
        <v>143.813778831956</v>
      </c>
      <c r="H123" s="6" t="n">
        <f aca="false">PL!H121-PL!H122</f>
        <v>146.227680888807</v>
      </c>
      <c r="I123" s="6" t="n">
        <f aca="false">PL!I121-PL!I122</f>
        <v>154.843187189809</v>
      </c>
      <c r="J123" s="6" t="n">
        <f aca="false">PL!J121-PL!J122</f>
        <v>164.604455494371</v>
      </c>
      <c r="K123" s="6" t="n">
        <f aca="false">PL!K121-PL!K122</f>
        <v>175.623019382862</v>
      </c>
    </row>
    <row r="124" customFormat="false" ht="17.15" hidden="false" customHeight="false" outlineLevel="0" collapsed="false">
      <c r="A124" s="1" t="s">
        <v>916</v>
      </c>
      <c r="B124" s="1" t="s">
        <v>81</v>
      </c>
      <c r="D124" s="14" t="n">
        <f aca="false">Q!L31</f>
        <v>7.465</v>
      </c>
      <c r="E124" s="14" t="n">
        <f aca="false">Q!M31</f>
        <v>7.453</v>
      </c>
      <c r="F124" s="14" t="n">
        <f aca="false">CF!F97</f>
        <v>7.4735</v>
      </c>
      <c r="G124" s="14" t="n">
        <f aca="false">CF!G97</f>
        <v>7.5185</v>
      </c>
      <c r="H124" s="14" t="n">
        <f aca="false">CF!H97</f>
        <v>7.55835298181311</v>
      </c>
      <c r="I124" s="14" t="n">
        <f aca="false">CF!I97</f>
        <v>7.58223520978358</v>
      </c>
      <c r="J124" s="14" t="n">
        <f aca="false">CF!J97</f>
        <v>7.59647672090146</v>
      </c>
      <c r="K124" s="14" t="n">
        <f aca="false">CF!K97</f>
        <v>7.6129966386032</v>
      </c>
    </row>
    <row r="125" customFormat="false" ht="17.15" hidden="false" customHeight="false" outlineLevel="0" collapsed="false">
      <c r="A125" s="0" t="s">
        <v>917</v>
      </c>
      <c r="B125" s="0" t="s">
        <v>75</v>
      </c>
      <c r="D125" s="8" t="n">
        <f aca="false">PL!D123/PL!D124</f>
        <v>13.641259209645</v>
      </c>
      <c r="E125" s="8" t="n">
        <f aca="false">PL!E123/PL!E124</f>
        <v>17.9456594659869</v>
      </c>
      <c r="F125" s="8" t="n">
        <f aca="false">PL!F123/PL!F124</f>
        <v>18.3285000707611</v>
      </c>
      <c r="G125" s="8" t="n">
        <f aca="false">PL!G123/PL!G124</f>
        <v>19.1279881401817</v>
      </c>
      <c r="H125" s="8" t="n">
        <f aca="false">PL!H123/PL!H124</f>
        <v>19.3465006517505</v>
      </c>
      <c r="I125" s="8" t="n">
        <f aca="false">PL!I123/PL!I124</f>
        <v>20.4218390627094</v>
      </c>
      <c r="J125" s="8" t="n">
        <f aca="false">PL!J123/PL!J124</f>
        <v>21.6685262842269</v>
      </c>
      <c r="K125" s="8" t="n">
        <f aca="false">PL!K123/PL!K124</f>
        <v>23.0688423652167</v>
      </c>
      <c r="L125" s="1" t="s">
        <v>918</v>
      </c>
    </row>
    <row r="126" customFormat="false" ht="17.15" hidden="false" customHeight="false" outlineLevel="0" collapsed="false">
      <c r="A126" s="1" t="s">
        <v>919</v>
      </c>
      <c r="B126" s="0" t="s">
        <v>98</v>
      </c>
      <c r="D126" s="6" t="n">
        <f aca="false">PL!D123</f>
        <v>101.832</v>
      </c>
      <c r="E126" s="6" t="n">
        <f aca="false">PL!E123</f>
        <v>133.749</v>
      </c>
      <c r="F126" s="6" t="n">
        <f aca="false">PL!F123+PL!F116*(1-tax_f)</f>
        <v>153.611848872733</v>
      </c>
      <c r="G126" s="6" t="n">
        <f aca="false">PL!G123+PL!G116*(1-tax_f)</f>
        <v>173.977984850248</v>
      </c>
      <c r="H126" s="6" t="n">
        <f aca="false">PL!H123+PL!H116*(1-tax_f)</f>
        <v>191.004254205852</v>
      </c>
      <c r="I126" s="6" t="n">
        <f aca="false">PL!I123+PL!I116*(1-tax_f)</f>
        <v>212.752129121611</v>
      </c>
      <c r="J126" s="6" t="n">
        <f aca="false">PL!J123+PL!J116*(1-tax_f)</f>
        <v>231.689378870642</v>
      </c>
      <c r="K126" s="6" t="n">
        <f aca="false">PL!K123+PL!K116*(1-tax_f)</f>
        <v>248.106755473924</v>
      </c>
    </row>
    <row r="127" customFormat="false" ht="17.15" hidden="false" customHeight="false" outlineLevel="0" collapsed="false">
      <c r="A127" s="0" t="s">
        <v>920</v>
      </c>
      <c r="B127" s="0" t="s">
        <v>75</v>
      </c>
      <c r="D127" s="8" t="n">
        <f aca="false">PL!D126/PL!D124</f>
        <v>13.641259209645</v>
      </c>
      <c r="E127" s="8" t="n">
        <f aca="false">PL!E126/PL!E124</f>
        <v>17.9456594659869</v>
      </c>
      <c r="F127" s="8" t="n">
        <f aca="false">PL!F126/PL!F124</f>
        <v>20.5542047063267</v>
      </c>
      <c r="G127" s="8" t="n">
        <f aca="false">PL!G126/PL!G124</f>
        <v>23.1399860145306</v>
      </c>
      <c r="H127" s="8" t="n">
        <f aca="false">PL!H126/PL!H124</f>
        <v>25.2706184357155</v>
      </c>
      <c r="I127" s="8" t="n">
        <f aca="false">PL!I126/PL!I124</f>
        <v>28.0592890137582</v>
      </c>
      <c r="J127" s="8" t="n">
        <f aca="false">PL!J126/PL!J124</f>
        <v>30.4995838706589</v>
      </c>
      <c r="K127" s="8" t="n">
        <f aca="false">PL!K126/PL!K124</f>
        <v>32.5898942626415</v>
      </c>
      <c r="L127" s="1" t="s">
        <v>921</v>
      </c>
    </row>
    <row r="128" customFormat="false" ht="17.15" hidden="false" customHeight="false" outlineLevel="0" collapsed="false">
      <c r="A128" s="0" t="s">
        <v>922</v>
      </c>
      <c r="B128" s="0" t="s">
        <v>129</v>
      </c>
      <c r="E128" s="7" t="n">
        <f aca="false">PL!E127/PL!D127-1</f>
        <v>0.315542736208578</v>
      </c>
      <c r="F128" s="7" t="n">
        <f aca="false">PL!F127/PL!E127-1</f>
        <v>0.145358003994446</v>
      </c>
      <c r="G128" s="7" t="n">
        <f aca="false">PL!G127/PL!F127-1</f>
        <v>0.125803033741699</v>
      </c>
      <c r="H128" s="7" t="n">
        <f aca="false">PL!H127/PL!G127-1</f>
        <v>0.0920757869018172</v>
      </c>
      <c r="I128" s="7" t="n">
        <f aca="false">PL!I127/PL!H127-1</f>
        <v>0.110352288573256</v>
      </c>
      <c r="J128" s="7" t="n">
        <f aca="false">PL!J127/PL!I127-1</f>
        <v>0.0869692334579155</v>
      </c>
      <c r="K128" s="7" t="n">
        <f aca="false">PL!K127/PL!J127-1</f>
        <v>0.0685357020229229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925</v>
      </c>
    </row>
    <row r="2" customFormat="false" ht="17.15" hidden="false" customHeight="false" outlineLevel="0" collapsed="false">
      <c r="A2" s="1" t="s">
        <v>926</v>
      </c>
    </row>
    <row r="4" customFormat="false" ht="17.15" hidden="false" customHeight="fals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</row>
    <row r="5" customFormat="false" ht="17.15" hidden="false" customHeight="false" outlineLevel="0" collapsed="false">
      <c r="A5" s="17" t="s">
        <v>927</v>
      </c>
      <c r="B5" s="31" t="n">
        <f aca="false">CF!$C$40</f>
        <v>378.566004075148</v>
      </c>
      <c r="C5" s="31" t="n">
        <f aca="false">CF!$C$69</f>
        <v>273.965962224192</v>
      </c>
      <c r="D5" s="31" t="n">
        <f aca="false">CF!$C$98</f>
        <v>151.420119937449</v>
      </c>
      <c r="E5" s="16" t="s">
        <v>928</v>
      </c>
    </row>
    <row r="6" customFormat="false" ht="17.15" hidden="false" customHeight="false" outlineLevel="0" collapsed="false">
      <c r="A6" s="1" t="s">
        <v>929</v>
      </c>
      <c r="B6" s="0" t="str">
        <f aca="false">CF!$C$42</f>
        <v>需要舉債 6.0 十億美元；回購較每年 22.3 的目標少 32.1 十億美元（2 年減少）</v>
      </c>
      <c r="C6" s="0" t="str">
        <f aca="false">CF!$C$71</f>
        <v>需要舉債 9.8 十億美元；回購較每年 22.3 的目標少 43.9 十億美元（2 年減少）</v>
      </c>
      <c r="D6" s="0" t="str">
        <f aca="false">CF!$C$100</f>
        <v>需要舉債 27.4 十億美元；回購較每年 22.3 的目標少 60.2 十億美元（3 年減少）</v>
      </c>
    </row>
    <row r="7" customFormat="false" ht="17.15" hidden="false" customHeight="false" outlineLevel="0" collapsed="false">
      <c r="A7" s="1" t="s">
        <v>930</v>
      </c>
      <c r="B7" s="6" t="n">
        <f aca="false">CF!F27</f>
        <v>5.03626311954508</v>
      </c>
      <c r="C7" s="6" t="n">
        <f aca="false">CF!F56</f>
        <v>1.2106755427865</v>
      </c>
      <c r="D7" s="6" t="n">
        <f aca="false">CF!F85</f>
        <v>-3.22928500927296</v>
      </c>
    </row>
    <row r="8" customFormat="false" ht="17.15" hidden="false" customHeight="false" outlineLevel="0" collapsed="false">
      <c r="A8" s="1" t="s">
        <v>931</v>
      </c>
      <c r="B8" s="6" t="n">
        <f aca="false">CF!H27</f>
        <v>94.5243442800126</v>
      </c>
      <c r="C8" s="6" t="n">
        <f aca="false">CF!H56</f>
        <v>70.5529026074843</v>
      </c>
      <c r="D8" s="6" t="n">
        <f aca="false">CF!H85</f>
        <v>42.4029253007048</v>
      </c>
    </row>
    <row r="9" customFormat="false" ht="17.15" hidden="false" customHeight="false" outlineLevel="0" collapsed="false">
      <c r="A9" s="1" t="s">
        <v>932</v>
      </c>
      <c r="B9" s="6" t="n">
        <f aca="false">CF!F24</f>
        <v>204.2</v>
      </c>
      <c r="C9" s="6" t="n">
        <f aca="false">CF!F53</f>
        <v>204.2</v>
      </c>
      <c r="D9" s="6" t="n">
        <f aca="false">CF!F82</f>
        <v>204.2</v>
      </c>
    </row>
    <row r="10" customFormat="false" ht="17.15" hidden="false" customHeight="false" outlineLevel="0" collapsed="false">
      <c r="A10" s="1" t="s">
        <v>933</v>
      </c>
      <c r="B10" s="6" t="n">
        <f aca="false">SUM(CF!F32:J32)</f>
        <v>79.266507407607</v>
      </c>
      <c r="C10" s="6" t="n">
        <f aca="false">SUM(CF!F61:J61)</f>
        <v>67.4589549086171</v>
      </c>
      <c r="D10" s="6" t="n">
        <f aca="false">SUM(CF!F90:J90)</f>
        <v>51.1877844207048</v>
      </c>
    </row>
    <row r="11" customFormat="false" ht="17.15" hidden="false" customHeight="false" outlineLevel="0" collapsed="false">
      <c r="A11" s="1" t="s">
        <v>934</v>
      </c>
      <c r="B11" s="6" t="n">
        <f aca="false">SUM(CF!F33:J33)</f>
        <v>5.96468688045492</v>
      </c>
      <c r="C11" s="6" t="n">
        <f aca="false">SUM(CF!F62:J62)</f>
        <v>9.7902744572135</v>
      </c>
      <c r="D11" s="6" t="n">
        <f aca="false">SUM(CF!F91:J91)</f>
        <v>27.3879094792913</v>
      </c>
    </row>
    <row r="12" customFormat="false" ht="15" hidden="false" customHeight="false" outlineLevel="0" collapsed="false">
      <c r="A12" s="23" t="s">
        <v>935</v>
      </c>
      <c r="B12" s="24" t="n">
        <f aca="false">B5-(CF!F30+CF!G30+CF!H30+CF!I30+CF!J30)</f>
        <v>0</v>
      </c>
      <c r="C12" s="24" t="n">
        <f aca="false">C5-(CF!F59+CF!G59+CF!H59+CF!I59+CF!J59)</f>
        <v>0</v>
      </c>
      <c r="D12" s="24" t="n">
        <f aca="false">D5-(CF!F88+CF!G88+CF!H88+CF!I88+CF!J88)</f>
        <v>0</v>
      </c>
      <c r="E12" s="30"/>
    </row>
    <row r="14" customFormat="false" ht="17.15" hidden="false" customHeight="false" outlineLevel="0" collapsed="false">
      <c r="A14" s="3" t="s">
        <v>936</v>
      </c>
    </row>
    <row r="15" customFormat="false" ht="15" hidden="false" customHeight="false" outlineLevel="0" collapsed="false">
      <c r="A15" s="4" t="s">
        <v>43</v>
      </c>
      <c r="B15" s="4" t="s">
        <v>65</v>
      </c>
      <c r="C15" s="20" t="s">
        <v>788</v>
      </c>
      <c r="D15" s="20" t="s">
        <v>789</v>
      </c>
      <c r="E15" s="20" t="s">
        <v>790</v>
      </c>
      <c r="F15" s="20" t="s">
        <v>791</v>
      </c>
      <c r="G15" s="20" t="s">
        <v>792</v>
      </c>
      <c r="H15" s="20" t="s">
        <v>793</v>
      </c>
      <c r="I15" s="20" t="s">
        <v>794</v>
      </c>
      <c r="J15" s="20" t="s">
        <v>795</v>
      </c>
      <c r="K15" s="20" t="s">
        <v>796</v>
      </c>
      <c r="L15" s="4" t="s">
        <v>47</v>
      </c>
    </row>
    <row r="16" customFormat="false" ht="15" hidden="false" customHeight="false" outlineLevel="0" collapsed="false">
      <c r="A16" s="1" t="s">
        <v>915</v>
      </c>
      <c r="B16" s="0" t="s">
        <v>98</v>
      </c>
      <c r="F16" s="6" t="n">
        <f aca="false">PL!F45</f>
        <v>144.824749194697</v>
      </c>
      <c r="G16" s="6" t="n">
        <f aca="false">PL!G45</f>
        <v>168.941315925174</v>
      </c>
      <c r="H16" s="6" t="n">
        <f aca="false">PL!H45</f>
        <v>197.0311326275</v>
      </c>
      <c r="I16" s="6" t="n">
        <f aca="false">PL!I45</f>
        <v>218.720149222799</v>
      </c>
      <c r="J16" s="6" t="n">
        <f aca="false">PL!J45</f>
        <v>237.532743393841</v>
      </c>
      <c r="K16" s="6" t="n">
        <f aca="false">PL!K45</f>
        <v>254.706411367602</v>
      </c>
    </row>
    <row r="17" customFormat="false" ht="17.15" hidden="false" customHeight="false" outlineLevel="0" collapsed="false">
      <c r="A17" s="1" t="s">
        <v>937</v>
      </c>
      <c r="B17" s="0" t="s">
        <v>98</v>
      </c>
      <c r="E17" s="6" t="n">
        <f aca="false">Q!M38-Thesis!E40</f>
        <v>22.2285940229167</v>
      </c>
      <c r="F17" s="6" t="n">
        <f aca="false">CF!E17*(1-1/life_nonai)+CF!F23/life_nonai</f>
        <v>23.5786693435813</v>
      </c>
      <c r="G17" s="6" t="n">
        <f aca="false">CF!F17*(1-1/life_nonai)+CF!G23/life_nonai</f>
        <v>25.3810917662621</v>
      </c>
      <c r="H17" s="6" t="n">
        <f aca="false">CF!G17*(1-1/life_nonai)+CF!H23/life_nonai</f>
        <v>27.5991339540448</v>
      </c>
      <c r="I17" s="6" t="n">
        <f aca="false">CF!H17*(1-1/life_nonai)+CF!I23/life_nonai</f>
        <v>30.1565605898047</v>
      </c>
      <c r="J17" s="6" t="n">
        <f aca="false">CF!I17*(1-1/life_nonai)+CF!J23/life_nonai</f>
        <v>32.9614958558616</v>
      </c>
      <c r="K17" s="6" t="n">
        <f aca="false">CF!J17*(1-1/life_nonai)+CF!K23/life_nonai</f>
        <v>35.9297165444749</v>
      </c>
      <c r="L17" s="11" t="s">
        <v>938</v>
      </c>
    </row>
    <row r="18" customFormat="false" ht="17.15" hidden="false" customHeight="false" outlineLevel="0" collapsed="false">
      <c r="A18" s="1" t="s">
        <v>939</v>
      </c>
      <c r="B18" s="0" t="s">
        <v>98</v>
      </c>
      <c r="E18" s="6" t="n">
        <f aca="false">Thesis!E40+CF!E17</f>
        <v>38.534</v>
      </c>
      <c r="F18" s="6" t="n">
        <f aca="false">Thesis!F40+CF!F17</f>
        <v>58.306704799451</v>
      </c>
      <c r="G18" s="6" t="n">
        <f aca="false">Thesis!G40+CF!G17</f>
        <v>85.8628250266016</v>
      </c>
      <c r="H18" s="6" t="n">
        <f aca="false">Thesis!H40+CF!H17</f>
        <v>115.316449947184</v>
      </c>
      <c r="I18" s="6" t="n">
        <f aca="false">Thesis!I40+CF!I17</f>
        <v>142.118600572026</v>
      </c>
      <c r="J18" s="6" t="n">
        <f aca="false">Thesis!J40+CF!J17</f>
        <v>162.120206778527</v>
      </c>
      <c r="K18" s="6" t="n">
        <f aca="false">Thesis!K40+CF!K17</f>
        <v>175.552363348948</v>
      </c>
    </row>
    <row r="19" customFormat="false" ht="17.15" hidden="false" customHeight="false" outlineLevel="0" collapsed="false">
      <c r="A19" s="1" t="s">
        <v>940</v>
      </c>
      <c r="B19" s="0" t="s">
        <v>98</v>
      </c>
      <c r="F19" s="6" t="n">
        <f aca="false">Seg!F29*sbc_r</f>
        <v>15.1240791253967</v>
      </c>
      <c r="G19" s="6" t="n">
        <f aca="false">Seg!G29*sbc_r</f>
        <v>18.3778786594202</v>
      </c>
      <c r="H19" s="6" t="n">
        <f aca="false">Seg!H29*sbc_r</f>
        <v>21.8771522065674</v>
      </c>
      <c r="I19" s="6" t="n">
        <f aca="false">Seg!I29*sbc_r</f>
        <v>24.8701515437869</v>
      </c>
      <c r="J19" s="6" t="n">
        <f aca="false">Seg!J29*sbc_r</f>
        <v>27.2849214872696</v>
      </c>
      <c r="K19" s="6" t="n">
        <f aca="false">Seg!K29*sbc_r</f>
        <v>29.2091113705455</v>
      </c>
    </row>
    <row r="20" customFormat="false" ht="17.15" hidden="false" customHeight="false" outlineLevel="0" collapsed="false">
      <c r="A20" s="1" t="s">
        <v>941</v>
      </c>
      <c r="B20" s="0" t="s">
        <v>98</v>
      </c>
      <c r="F20" s="6" t="n">
        <f aca="false">wc27</f>
        <v>-4.895</v>
      </c>
      <c r="G20" s="6" t="n">
        <f aca="false">wc_f</f>
        <v>0</v>
      </c>
      <c r="H20" s="6" t="n">
        <f aca="false">wc_f</f>
        <v>0</v>
      </c>
      <c r="I20" s="6" t="n">
        <f aca="false">wc_f</f>
        <v>0</v>
      </c>
      <c r="J20" s="6" t="n">
        <f aca="false">wc_f</f>
        <v>0</v>
      </c>
      <c r="K20" s="6" t="n">
        <f aca="false">wc_f</f>
        <v>0</v>
      </c>
      <c r="L20" s="11" t="s">
        <v>942</v>
      </c>
    </row>
    <row r="21" customFormat="false" ht="15" hidden="false" customHeight="false" outlineLevel="0" collapsed="false">
      <c r="A21" s="1" t="s">
        <v>756</v>
      </c>
      <c r="B21" s="0" t="s">
        <v>98</v>
      </c>
      <c r="E21" s="6" t="n">
        <f aca="false">Q!M35</f>
        <v>182.935</v>
      </c>
      <c r="F21" s="6" t="n">
        <f aca="false">CF!F16+CF!F18+CF!F19+CF!F20</f>
        <v>213.360533119545</v>
      </c>
      <c r="G21" s="6" t="n">
        <f aca="false">CF!G16+CF!G18+CF!G19+CF!G20</f>
        <v>273.182019611196</v>
      </c>
      <c r="H21" s="6" t="n">
        <f aca="false">CF!H16+CF!H18+CF!H19+CF!H20</f>
        <v>334.224734781252</v>
      </c>
      <c r="I21" s="6" t="n">
        <f aca="false">CF!I16+CF!I18+CF!I19+CF!I20</f>
        <v>385.708901338612</v>
      </c>
      <c r="J21" s="6" t="n">
        <f aca="false">CF!J16+CF!J18+CF!J19+CF!J20</f>
        <v>426.937871659638</v>
      </c>
      <c r="K21" s="6" t="n">
        <f aca="false">CF!K16+CF!K18+CF!K19+CF!K20</f>
        <v>459.467886087096</v>
      </c>
    </row>
    <row r="22" customFormat="false" ht="17.15" hidden="false" customHeight="false" outlineLevel="0" collapsed="false">
      <c r="A22" s="0" t="s">
        <v>943</v>
      </c>
      <c r="B22" s="0" t="s">
        <v>98</v>
      </c>
      <c r="F22" s="6" t="n">
        <f aca="false">Thesis!F37</f>
        <v>168.470652770438</v>
      </c>
      <c r="G22" s="6" t="n">
        <f aca="false">Thesis!G37</f>
        <v>183.5741804832</v>
      </c>
      <c r="H22" s="6" t="n">
        <f aca="false">Thesis!H37</f>
        <v>188.0802859104</v>
      </c>
      <c r="I22" s="6" t="n">
        <f aca="false">Thesis!I37</f>
        <v>163.706669154245</v>
      </c>
      <c r="J22" s="6" t="n">
        <f aca="false">Thesis!J37</f>
        <v>124.51247671809</v>
      </c>
      <c r="K22" s="6" t="n">
        <f aca="false">Thesis!K37</f>
        <v>114.959435641936</v>
      </c>
    </row>
    <row r="23" customFormat="false" ht="17.15" hidden="false" customHeight="false" outlineLevel="0" collapsed="false">
      <c r="A23" s="1" t="s">
        <v>944</v>
      </c>
      <c r="B23" s="0" t="s">
        <v>98</v>
      </c>
      <c r="E23" s="6" t="n">
        <f aca="false">Seg!E7*cx_azo+Seg!E14*cx_m365+Seg!E15*cx_lic+(Seg!E17+Seg!E19)*cx_ind+Seg!E22*cx_srch+(Seg!E24+Seg!E26)*cx_dev</f>
        <v>30.1846587067718</v>
      </c>
      <c r="F23" s="6" t="n">
        <f aca="false">Seg!F7*cx_azo+Seg!F14*cx_m365+Seg!F15*cx_lic+(Seg!F17+Seg!F19)*cx_ind+Seg!F22*cx_srch+(Seg!F24+Seg!F26)*cx_dev</f>
        <v>35.7293472295625</v>
      </c>
      <c r="G23" s="6" t="n">
        <f aca="false">Seg!G7*cx_azo+Seg!G14*cx_m365+Seg!G15*cx_lic+(Seg!G17+Seg!G19)*cx_ind+Seg!G22*cx_srch+(Seg!G24+Seg!G26)*cx_dev</f>
        <v>41.6028935703892</v>
      </c>
      <c r="H23" s="6" t="n">
        <f aca="false">Seg!H7*cx_azo+Seg!H14*cx_m365+Seg!H15*cx_lic+(Seg!H17+Seg!H19)*cx_ind+Seg!H22*cx_srch+(Seg!H24+Seg!H26)*cx_dev</f>
        <v>47.5615136440897</v>
      </c>
      <c r="I23" s="6" t="n">
        <f aca="false">Seg!I7*cx_azo+Seg!I14*cx_m365+Seg!I15*cx_lic+(Seg!I17+Seg!I19)*cx_ind+Seg!I22*cx_srch+(Seg!I24+Seg!I26)*cx_dev</f>
        <v>53.1734003116439</v>
      </c>
      <c r="J23" s="6" t="n">
        <f aca="false">Seg!J7*cx_azo+Seg!J14*cx_m365+Seg!J15*cx_lic+(Seg!J17+Seg!J19)*cx_ind+Seg!J22*cx_srch+(Seg!J24+Seg!J26)*cx_dev</f>
        <v>58.2059132503738</v>
      </c>
      <c r="K23" s="6" t="n">
        <f aca="false">Seg!K7*cx_azo+Seg!K14*cx_m365+Seg!K15*cx_lic+(Seg!K17+Seg!K19)*cx_ind+Seg!K22*cx_srch+(Seg!K24+Seg!K26)*cx_dev</f>
        <v>62.643702741994</v>
      </c>
    </row>
    <row r="24" customFormat="false" ht="17.15" hidden="false" customHeight="false" outlineLevel="0" collapsed="false">
      <c r="A24" s="1" t="s">
        <v>945</v>
      </c>
      <c r="B24" s="0" t="s">
        <v>98</v>
      </c>
      <c r="E24" s="6" t="n">
        <f aca="false">Q!M42</f>
        <v>145.3</v>
      </c>
      <c r="F24" s="6" t="n">
        <f aca="false">CF!F22+CF!F23</f>
        <v>204.2</v>
      </c>
      <c r="G24" s="6" t="n">
        <f aca="false">CF!G22+CF!G23</f>
        <v>225.177074053589</v>
      </c>
      <c r="H24" s="6" t="n">
        <f aca="false">CF!H22+CF!H23</f>
        <v>235.64179955449</v>
      </c>
      <c r="I24" s="6" t="n">
        <f aca="false">CF!I22+CF!I23</f>
        <v>216.880069465889</v>
      </c>
      <c r="J24" s="6" t="n">
        <f aca="false">CF!J22+CF!J23</f>
        <v>182.718389968464</v>
      </c>
      <c r="K24" s="6" t="n">
        <f aca="false">CF!K22+CF!K23</f>
        <v>177.60313838393</v>
      </c>
      <c r="L24" s="1" t="s">
        <v>946</v>
      </c>
    </row>
    <row r="25" customFormat="false" ht="15" hidden="false" customHeight="false" outlineLevel="0" collapsed="false">
      <c r="A25" s="1" t="s">
        <v>947</v>
      </c>
      <c r="B25" s="0" t="s">
        <v>98</v>
      </c>
      <c r="E25" s="6" t="n">
        <f aca="false">fl_liab</f>
        <v>66.594</v>
      </c>
      <c r="F25" s="6" t="n">
        <f aca="false">CF!E25-CF!F26</f>
        <v>62.46973</v>
      </c>
      <c r="G25" s="6" t="n">
        <f aca="false">CF!F25-CF!G26</f>
        <v>57.98686785</v>
      </c>
      <c r="H25" s="6" t="n">
        <f aca="false">CF!G25-CF!H26</f>
        <v>53.92827690325</v>
      </c>
      <c r="I25" s="6" t="n">
        <f aca="false">CF!H25-CF!I26</f>
        <v>49.7850493638962</v>
      </c>
      <c r="J25" s="6" t="n">
        <f aca="false">CF!I25-CF!J26</f>
        <v>45.4823765852716</v>
      </c>
      <c r="K25" s="6" t="n">
        <f aca="false">CF!J25-CF!K26</f>
        <v>40.9860835316088</v>
      </c>
    </row>
    <row r="26" customFormat="false" ht="15" hidden="false" customHeight="false" outlineLevel="0" collapsed="false">
      <c r="A26" s="1" t="s">
        <v>948</v>
      </c>
      <c r="B26" s="0" t="s">
        <v>98</v>
      </c>
      <c r="F26" s="6" t="n">
        <f aca="false">fl_pay_27-CF!E25*fl_rate</f>
        <v>4.12427</v>
      </c>
      <c r="G26" s="6" t="n">
        <f aca="false">fl_pay_28-CF!F25*fl_rate</f>
        <v>4.48286215</v>
      </c>
      <c r="H26" s="6" t="n">
        <f aca="false">fl_pay_29-CF!G25*fl_rate</f>
        <v>4.05859094675</v>
      </c>
      <c r="I26" s="6" t="n">
        <f aca="false">fl_pay_30-CF!H25*fl_rate</f>
        <v>4.14322753935375</v>
      </c>
      <c r="J26" s="6" t="n">
        <f aca="false">fl_pay_31-CF!I25*fl_rate</f>
        <v>4.30267277862467</v>
      </c>
      <c r="K26" s="6" t="n">
        <f aca="false">fl_pay_32-CF!J25*fl_rate</f>
        <v>4.49629305366278</v>
      </c>
    </row>
    <row r="27" customFormat="false" ht="17.15" hidden="false" customHeight="false" outlineLevel="0" collapsed="false">
      <c r="A27" s="1" t="s">
        <v>949</v>
      </c>
      <c r="B27" s="0" t="s">
        <v>98</v>
      </c>
      <c r="E27" s="6" t="n">
        <f aca="false">Q!M35-Q!M36-Q!M43</f>
        <v>63.886</v>
      </c>
      <c r="F27" s="6" t="n">
        <f aca="false">CF!F21-CF!F24-CF!F26</f>
        <v>5.03626311954508</v>
      </c>
      <c r="G27" s="6" t="n">
        <f aca="false">CF!G21-CF!G24-CF!G26</f>
        <v>43.522083407607</v>
      </c>
      <c r="H27" s="6" t="n">
        <f aca="false">CF!H21-CF!H24-CF!H26</f>
        <v>94.5243442800126</v>
      </c>
      <c r="I27" s="6" t="n">
        <f aca="false">CF!I21-CF!I24-CF!I26</f>
        <v>164.685604333369</v>
      </c>
      <c r="J27" s="6" t="n">
        <f aca="false">CF!J21-CF!J24-CF!J26</f>
        <v>239.916808912549</v>
      </c>
      <c r="K27" s="6" t="n">
        <f aca="false">CF!K21-CF!K24-CF!K26</f>
        <v>277.368454649503</v>
      </c>
      <c r="L27" s="11" t="s">
        <v>950</v>
      </c>
    </row>
    <row r="28" customFormat="false" ht="15" hidden="false" customHeight="false" outlineLevel="0" collapsed="false">
      <c r="A28" s="1" t="s">
        <v>951</v>
      </c>
      <c r="B28" s="0" t="s">
        <v>75</v>
      </c>
      <c r="F28" s="8" t="n">
        <f aca="false">dps_27</f>
        <v>3.85</v>
      </c>
      <c r="G28" s="8" t="n">
        <f aca="false">CF!F28*(1+dps_g)</f>
        <v>4.158</v>
      </c>
      <c r="H28" s="8" t="n">
        <f aca="false">CF!G28*(1+dps_g)</f>
        <v>4.49064</v>
      </c>
      <c r="I28" s="8" t="n">
        <f aca="false">CF!H28*(1+dps_g)</f>
        <v>4.8498912</v>
      </c>
      <c r="J28" s="8" t="n">
        <f aca="false">CF!I28*(1+dps_g)</f>
        <v>5.237882496</v>
      </c>
      <c r="K28" s="8" t="n">
        <f aca="false">CF!J28*(1+dps_g)</f>
        <v>5.65691309568</v>
      </c>
    </row>
    <row r="29" customFormat="false" ht="17.15" hidden="false" customHeight="false" outlineLevel="0" collapsed="false">
      <c r="A29" s="1" t="s">
        <v>952</v>
      </c>
      <c r="B29" s="0" t="s">
        <v>98</v>
      </c>
      <c r="E29" s="6" t="n">
        <f aca="false">Q!M41</f>
        <v>26.445</v>
      </c>
      <c r="F29" s="6" t="n">
        <f aca="false">CF!F28*CF!E38</f>
        <v>28.59395</v>
      </c>
      <c r="G29" s="6" t="n">
        <f aca="false">CF!G28*CF!F38</f>
        <v>31.068576</v>
      </c>
      <c r="H29" s="6" t="n">
        <f aca="false">CF!H28*CF!G38</f>
        <v>33.6625867146429</v>
      </c>
      <c r="I29" s="6" t="n">
        <f aca="false">CF!I28*CF!H38</f>
        <v>36.4065328918138</v>
      </c>
      <c r="J29" s="6" t="n">
        <f aca="false">CF!J28*CF!I38</f>
        <v>39.3874543714784</v>
      </c>
      <c r="K29" s="6" t="n">
        <f aca="false">CF!K28*CF!J38</f>
        <v>42.6257059465017</v>
      </c>
      <c r="L29" s="1" t="s">
        <v>953</v>
      </c>
    </row>
    <row r="30" customFormat="false" ht="15" hidden="false" customHeight="false" outlineLevel="0" collapsed="false">
      <c r="A30" s="1" t="s">
        <v>954</v>
      </c>
      <c r="B30" s="0" t="s">
        <v>98</v>
      </c>
      <c r="E30" s="6" t="n">
        <f aca="false">CF!E27-CF!E29</f>
        <v>37.441</v>
      </c>
      <c r="F30" s="6" t="n">
        <f aca="false">CF!F27-CF!F29</f>
        <v>-23.5576868804549</v>
      </c>
      <c r="G30" s="6" t="n">
        <f aca="false">CF!G27-CF!G29</f>
        <v>12.453507407607</v>
      </c>
      <c r="H30" s="6" t="n">
        <f aca="false">CF!H27-CF!H29</f>
        <v>60.8617575653697</v>
      </c>
      <c r="I30" s="6" t="n">
        <f aca="false">CF!I27-CF!I29</f>
        <v>128.279071441555</v>
      </c>
      <c r="J30" s="6" t="n">
        <f aca="false">CF!J27-CF!J29</f>
        <v>200.529354541071</v>
      </c>
      <c r="K30" s="6" t="n">
        <f aca="false">CF!K27-CF!K29</f>
        <v>234.742748703001</v>
      </c>
    </row>
    <row r="31" customFormat="false" ht="15" hidden="false" customHeight="false" outlineLevel="0" collapsed="false">
      <c r="A31" s="1" t="s">
        <v>955</v>
      </c>
      <c r="B31" s="0" t="s">
        <v>98</v>
      </c>
      <c r="F31" s="6" t="n">
        <f aca="false">debt_mat_27</f>
        <v>9.25</v>
      </c>
      <c r="G31" s="6" t="n">
        <f aca="false">debt_mat_28</f>
        <v>0</v>
      </c>
      <c r="H31" s="6" t="n">
        <f aca="false">debt_mat_29</f>
        <v>2.001</v>
      </c>
      <c r="I31" s="6" t="n">
        <f aca="false">debt_mat_30</f>
        <v>0</v>
      </c>
      <c r="J31" s="6" t="n">
        <f aca="false">debt_mat_31</f>
        <v>0.5</v>
      </c>
      <c r="K31" s="6" t="n">
        <f aca="false">debt_mat_32</f>
        <v>0</v>
      </c>
    </row>
    <row r="32" customFormat="false" ht="15" hidden="false" customHeight="false" outlineLevel="0" collapsed="false">
      <c r="A32" s="1" t="s">
        <v>956</v>
      </c>
      <c r="B32" s="0" t="s">
        <v>98</v>
      </c>
      <c r="E32" s="6" t="n">
        <f aca="false">Q!M40</f>
        <v>22.271</v>
      </c>
      <c r="F32" s="6" t="n">
        <f aca="false">MAX(0,MIN(bb_target,CF!E34+CF!F30-CF!F31-min_cash))</f>
        <v>0</v>
      </c>
      <c r="G32" s="6" t="n">
        <f aca="false">MAX(0,MIN(bb_target,CF!F34+CF!G30-CF!G31-min_cash))</f>
        <v>12.453507407607</v>
      </c>
      <c r="H32" s="6" t="n">
        <f aca="false">MAX(0,MIN(bb_target,CF!G34+CF!H30-CF!H31-min_cash))</f>
        <v>22.271</v>
      </c>
      <c r="I32" s="6" t="n">
        <f aca="false">MAX(0,MIN(bb_target,CF!H34+CF!I30-CF!I31-min_cash))</f>
        <v>22.271</v>
      </c>
      <c r="J32" s="6" t="n">
        <f aca="false">MAX(0,MIN(bb_target,CF!I34+CF!J30-CF!J31-min_cash))</f>
        <v>22.271</v>
      </c>
      <c r="K32" s="6" t="n">
        <f aca="false">MAX(0,MIN(bb_target,CF!J34+CF!K30-CF!K31-min_cash))</f>
        <v>22.271</v>
      </c>
    </row>
    <row r="33" customFormat="false" ht="15" hidden="false" customHeight="false" outlineLevel="0" collapsed="false">
      <c r="A33" s="1" t="s">
        <v>957</v>
      </c>
      <c r="B33" s="0" t="s">
        <v>98</v>
      </c>
      <c r="F33" s="6" t="n">
        <f aca="false">MAX(0,min_cash-(CF!E34+CF!F30-CF!F31-CF!F32))</f>
        <v>5.96468688045492</v>
      </c>
      <c r="G33" s="6" t="n">
        <f aca="false">MAX(0,min_cash-(CF!F34+CF!G30-CF!G31-CF!G32))</f>
        <v>0</v>
      </c>
      <c r="H33" s="6" t="n">
        <f aca="false">MAX(0,min_cash-(CF!G34+CF!H30-CF!H31-CF!H32))</f>
        <v>0</v>
      </c>
      <c r="I33" s="6" t="n">
        <f aca="false">MAX(0,min_cash-(CF!H34+CF!I30-CF!I31-CF!I32))</f>
        <v>0</v>
      </c>
      <c r="J33" s="6" t="n">
        <f aca="false">MAX(0,min_cash-(CF!I34+CF!J30-CF!J31-CF!J32))</f>
        <v>0</v>
      </c>
      <c r="K33" s="6" t="n">
        <f aca="false">MAX(0,min_cash-(CF!J34+CF!K30-CF!K31-CF!K32))</f>
        <v>0</v>
      </c>
    </row>
    <row r="34" customFormat="false" ht="15" hidden="false" customHeight="false" outlineLevel="0" collapsed="false">
      <c r="A34" s="1" t="s">
        <v>958</v>
      </c>
      <c r="B34" s="0" t="s">
        <v>98</v>
      </c>
      <c r="E34" s="6" t="n">
        <f aca="false">cash_open</f>
        <v>76.843</v>
      </c>
      <c r="F34" s="6" t="n">
        <f aca="false">CF!E34+CF!F30-CF!F31-CF!F32+CF!F33</f>
        <v>50</v>
      </c>
      <c r="G34" s="6" t="n">
        <f aca="false">CF!F34+CF!G30-CF!G31-CF!G32+CF!G33</f>
        <v>50</v>
      </c>
      <c r="H34" s="6" t="n">
        <f aca="false">CF!G34+CF!H30-CF!H31-CF!H32+CF!H33</f>
        <v>86.5897575653697</v>
      </c>
      <c r="I34" s="6" t="n">
        <f aca="false">CF!H34+CF!I30-CF!I31-CF!I32+CF!I33</f>
        <v>192.597829006925</v>
      </c>
      <c r="J34" s="6" t="n">
        <f aca="false">CF!I34+CF!J30-CF!J31-CF!J32+CF!J33</f>
        <v>370.356183547995</v>
      </c>
      <c r="K34" s="6" t="n">
        <f aca="false">CF!J34+CF!K30-CF!K31-CF!K32+CF!K33</f>
        <v>582.827932250997</v>
      </c>
    </row>
    <row r="35" customFormat="false" ht="15" hidden="false" customHeight="false" outlineLevel="0" collapsed="false">
      <c r="A35" s="1" t="s">
        <v>959</v>
      </c>
      <c r="B35" s="0" t="s">
        <v>98</v>
      </c>
      <c r="E35" s="6" t="n">
        <f aca="false">debt_face</f>
        <v>46.136</v>
      </c>
      <c r="F35" s="6" t="n">
        <f aca="false">CF!E35-CF!F31+CF!F33</f>
        <v>42.8506868804549</v>
      </c>
      <c r="G35" s="6" t="n">
        <f aca="false">CF!F35-CF!G31+CF!G33</f>
        <v>42.8506868804549</v>
      </c>
      <c r="H35" s="6" t="n">
        <f aca="false">CF!G35-CF!H31+CF!H33</f>
        <v>40.8496868804549</v>
      </c>
      <c r="I35" s="6" t="n">
        <f aca="false">CF!H35-CF!I31+CF!I33</f>
        <v>40.8496868804549</v>
      </c>
      <c r="J35" s="6" t="n">
        <f aca="false">CF!I35-CF!J31+CF!J33</f>
        <v>40.3496868804549</v>
      </c>
      <c r="K35" s="6" t="n">
        <f aca="false">CF!J35-CF!K31+CF!K33</f>
        <v>40.3496868804549</v>
      </c>
    </row>
    <row r="36" customFormat="false" ht="15" hidden="false" customHeight="false" outlineLevel="0" collapsed="false">
      <c r="A36" s="1" t="s">
        <v>960</v>
      </c>
      <c r="B36" s="0" t="s">
        <v>98</v>
      </c>
      <c r="E36" s="6" t="n">
        <f aca="false">CF!E34-CF!E35</f>
        <v>30.707</v>
      </c>
      <c r="F36" s="6" t="n">
        <f aca="false">CF!F34-CF!F35</f>
        <v>7.14931311954508</v>
      </c>
      <c r="G36" s="6" t="n">
        <f aca="false">CF!G34-CF!G35</f>
        <v>7.14931311954508</v>
      </c>
      <c r="H36" s="6" t="n">
        <f aca="false">CF!H34-CF!H35</f>
        <v>45.7400706849148</v>
      </c>
      <c r="I36" s="6" t="n">
        <f aca="false">CF!I34-CF!I35</f>
        <v>151.74814212647</v>
      </c>
      <c r="J36" s="6" t="n">
        <f aca="false">CF!J34-CF!J35</f>
        <v>330.00649666754</v>
      </c>
      <c r="K36" s="6" t="n">
        <f aca="false">CF!K34-CF!K35</f>
        <v>542.478245370542</v>
      </c>
    </row>
    <row r="37" customFormat="false" ht="15" hidden="false" customHeight="false" outlineLevel="0" collapsed="false">
      <c r="A37" s="1" t="s">
        <v>961</v>
      </c>
      <c r="B37" s="0" t="s">
        <v>75</v>
      </c>
      <c r="F37" s="29" t="n">
        <f aca="false">px*(1+bb_g)^(Thesis!F6-base_fy-mid_yr)</f>
        <v>553.494156066711</v>
      </c>
      <c r="G37" s="29" t="n">
        <f aca="false">px*(1+bb_g)^(Thesis!G6-base_fy-mid_yr)</f>
        <v>597.773688552047</v>
      </c>
      <c r="H37" s="29" t="n">
        <f aca="false">px*(1+bb_g)^(Thesis!H6-base_fy-mid_yr)</f>
        <v>645.595583636211</v>
      </c>
      <c r="I37" s="29" t="n">
        <f aca="false">px*(1+bb_g)^(Thesis!I6-base_fy-mid_yr)</f>
        <v>697.243230327108</v>
      </c>
      <c r="J37" s="29" t="n">
        <f aca="false">px*(1+bb_g)^(Thesis!J6-base_fy-mid_yr)</f>
        <v>753.022688753277</v>
      </c>
      <c r="K37" s="29" t="n">
        <f aca="false">px*(1+bb_g)^(Thesis!K6-base_fy-mid_yr)</f>
        <v>813.264503853539</v>
      </c>
    </row>
    <row r="38" customFormat="false" ht="15" hidden="false" customHeight="false" outlineLevel="0" collapsed="false">
      <c r="A38" s="1" t="s">
        <v>962</v>
      </c>
      <c r="B38" s="1" t="s">
        <v>81</v>
      </c>
      <c r="E38" s="14" t="n">
        <f aca="false">sh_out26</f>
        <v>7.427</v>
      </c>
      <c r="F38" s="14" t="n">
        <f aca="false">CF!E38+sh_iss-CF!F32/CF!F37</f>
        <v>7.472</v>
      </c>
      <c r="G38" s="14" t="n">
        <f aca="false">CF!F38+sh_iss-CF!G32/CF!G37</f>
        <v>7.49616685252947</v>
      </c>
      <c r="H38" s="14" t="n">
        <f aca="false">CF!G38+sh_iss-CF!H32/CF!H37</f>
        <v>7.50667002422937</v>
      </c>
      <c r="I38" s="14" t="n">
        <f aca="false">CF!H38+sh_iss-CF!I32/CF!I37</f>
        <v>7.5197285165441</v>
      </c>
      <c r="J38" s="14" t="n">
        <f aca="false">CF!I38+sh_iss-CF!J32/CF!J37</f>
        <v>7.53515304646514</v>
      </c>
      <c r="K38" s="14" t="n">
        <f aca="false">CF!J38+sh_iss-CF!K32/CF!K37</f>
        <v>7.55276835194758</v>
      </c>
    </row>
    <row r="39" customFormat="false" ht="15" hidden="false" customHeight="false" outlineLevel="0" collapsed="false">
      <c r="A39" s="1" t="s">
        <v>963</v>
      </c>
      <c r="B39" s="1" t="s">
        <v>81</v>
      </c>
      <c r="E39" s="14" t="n">
        <f aca="false">sh_dil26</f>
        <v>7.453</v>
      </c>
      <c r="F39" s="14" t="n">
        <f aca="false">(CF!E38+CF!F38)/2+dil_gap</f>
        <v>7.4735</v>
      </c>
      <c r="G39" s="14" t="n">
        <f aca="false">(CF!F38+CF!G38)/2+dil_gap</f>
        <v>7.50808342626474</v>
      </c>
      <c r="H39" s="14" t="n">
        <f aca="false">(CF!G38+CF!H38)/2+dil_gap</f>
        <v>7.52541843837942</v>
      </c>
      <c r="I39" s="14" t="n">
        <f aca="false">(CF!H38+CF!I38)/2+dil_gap</f>
        <v>7.53719927038673</v>
      </c>
      <c r="J39" s="14" t="n">
        <f aca="false">(CF!I38+CF!J38)/2+dil_gap</f>
        <v>7.55144078150462</v>
      </c>
      <c r="K39" s="14" t="n">
        <f aca="false">(CF!J38+CF!K38)/2+dil_gap</f>
        <v>7.56796069920636</v>
      </c>
    </row>
    <row r="40" customFormat="false" ht="17.15" hidden="false" customHeight="false" outlineLevel="0" collapsed="false">
      <c r="A40" s="1" t="s">
        <v>964</v>
      </c>
      <c r="B40" s="0" t="s">
        <v>98</v>
      </c>
      <c r="C40" s="6" t="n">
        <f aca="false">SUM(CF!F30:J30)</f>
        <v>378.566004075148</v>
      </c>
    </row>
    <row r="41" customFormat="false" ht="15" hidden="false" customHeight="false" outlineLevel="0" collapsed="false">
      <c r="A41" s="23" t="s">
        <v>935</v>
      </c>
      <c r="B41" s="30" t="s">
        <v>98</v>
      </c>
      <c r="C41" s="24" t="n">
        <f aca="false">CF!$C$40-(CF!F30+CF!G30+CF!H30+CF!I30+CF!J30)</f>
        <v>0</v>
      </c>
      <c r="D41" s="30"/>
      <c r="E41" s="30"/>
      <c r="F41" s="30"/>
      <c r="G41" s="30"/>
      <c r="H41" s="30"/>
      <c r="I41" s="30"/>
      <c r="J41" s="30"/>
      <c r="K41" s="30"/>
    </row>
    <row r="42" customFormat="false" ht="17.15" hidden="false" customHeight="false" outlineLevel="0" collapsed="false">
      <c r="A42" s="1" t="s">
        <v>929</v>
      </c>
      <c r="B42" s="1" t="s">
        <v>965</v>
      </c>
      <c r="C42" s="32" t="str">
        <f aca="false">IF(SUM(CF!F33:J33)&gt;0.05,"需要舉債 "&amp;TEXT(SUM(CF!F33:J33),"0.0")&amp;" 十億美元","不需舉債")&amp;"；"&amp;IF(SUM(CF!F32:J32)&lt;COUNT(CF!F32:J32)*bb_target-0.05,"回購較每年 "&amp;TEXT(bb_target,"0.0")&amp;" 的目標少 "&amp;TEXT(COUNT(CF!F32:J32)*bb_target-SUM(CF!F32:J32),"0.0")&amp;" 十億美元（"&amp;TEXT(COUNTIF(CF!F32:J32,"&lt;"&amp;(bb_target-0.05)),"0")&amp;" 年減少）","回購不減")</f>
        <v>需要舉債 6.0 十億美元；回購較每年 22.3 的目標少 32.1 十億美元（2 年減少）</v>
      </c>
    </row>
    <row r="43" customFormat="false" ht="17.15" hidden="false" customHeight="false" outlineLevel="0" collapsed="false">
      <c r="A43" s="3" t="s">
        <v>966</v>
      </c>
    </row>
    <row r="44" customFormat="false" ht="15" hidden="false" customHeight="false" outlineLevel="0" collapsed="false">
      <c r="A44" s="4" t="s">
        <v>43</v>
      </c>
      <c r="B44" s="4" t="s">
        <v>65</v>
      </c>
      <c r="C44" s="20" t="s">
        <v>788</v>
      </c>
      <c r="D44" s="20" t="s">
        <v>789</v>
      </c>
      <c r="E44" s="20" t="s">
        <v>790</v>
      </c>
      <c r="F44" s="20" t="s">
        <v>791</v>
      </c>
      <c r="G44" s="20" t="s">
        <v>792</v>
      </c>
      <c r="H44" s="20" t="s">
        <v>793</v>
      </c>
      <c r="I44" s="20" t="s">
        <v>794</v>
      </c>
      <c r="J44" s="20" t="s">
        <v>795</v>
      </c>
      <c r="K44" s="20" t="s">
        <v>796</v>
      </c>
      <c r="L44" s="4" t="s">
        <v>47</v>
      </c>
    </row>
    <row r="45" customFormat="false" ht="15" hidden="false" customHeight="false" outlineLevel="0" collapsed="false">
      <c r="A45" s="1" t="s">
        <v>915</v>
      </c>
      <c r="B45" s="0" t="s">
        <v>98</v>
      </c>
      <c r="F45" s="6" t="n">
        <f aca="false">PL!F84</f>
        <v>141.194870249209</v>
      </c>
      <c r="G45" s="6" t="n">
        <f aca="false">PL!G84</f>
        <v>157.331031204333</v>
      </c>
      <c r="H45" s="6" t="n">
        <f aca="false">PL!H84</f>
        <v>173.625405100343</v>
      </c>
      <c r="I45" s="6" t="n">
        <f aca="false">PL!I84</f>
        <v>189.278487631726</v>
      </c>
      <c r="J45" s="6" t="n">
        <f aca="false">PL!J84</f>
        <v>203.914556516091</v>
      </c>
      <c r="K45" s="6" t="n">
        <f aca="false">PL!K84</f>
        <v>218.228163649178</v>
      </c>
    </row>
    <row r="46" customFormat="false" ht="17.15" hidden="false" customHeight="false" outlineLevel="0" collapsed="false">
      <c r="A46" s="1" t="s">
        <v>937</v>
      </c>
      <c r="B46" s="0" t="s">
        <v>98</v>
      </c>
      <c r="E46" s="6" t="n">
        <f aca="false">Q!M38-Thesis!E89</f>
        <v>22.2285940229167</v>
      </c>
      <c r="F46" s="6" t="n">
        <f aca="false">CF!E46*(1-1/life_nonai)+CF!F52/life_nonai</f>
        <v>23.5636693435813</v>
      </c>
      <c r="G46" s="6" t="n">
        <f aca="false">CF!F46*(1-1/life_nonai)+CF!G52/life_nonai</f>
        <v>25.3225917662621</v>
      </c>
      <c r="H46" s="6" t="n">
        <f aca="false">CF!G46*(1-1/life_nonai)+CF!H52/life_nonai</f>
        <v>27.4714839540448</v>
      </c>
      <c r="I46" s="6" t="n">
        <f aca="false">CF!H46*(1-1/life_nonai)+CF!I52/life_nonai</f>
        <v>29.9441755898047</v>
      </c>
      <c r="J46" s="6" t="n">
        <f aca="false">CF!I46*(1-1/life_nonai)+CF!J52/life_nonai</f>
        <v>32.6578493558616</v>
      </c>
      <c r="K46" s="6" t="n">
        <f aca="false">CF!J46*(1-1/life_nonai)+CF!K52/life_nonai</f>
        <v>35.5289346944749</v>
      </c>
      <c r="L46" s="11" t="s">
        <v>938</v>
      </c>
    </row>
    <row r="47" customFormat="false" ht="17.15" hidden="false" customHeight="false" outlineLevel="0" collapsed="false">
      <c r="A47" s="1" t="s">
        <v>939</v>
      </c>
      <c r="B47" s="0" t="s">
        <v>98</v>
      </c>
      <c r="E47" s="6" t="n">
        <f aca="false">Thesis!E89+CF!E46</f>
        <v>38.534</v>
      </c>
      <c r="F47" s="6" t="n">
        <f aca="false">Thesis!F89+CF!F46</f>
        <v>58.304204799451</v>
      </c>
      <c r="G47" s="6" t="n">
        <f aca="false">Thesis!G89+CF!G46</f>
        <v>85.8293250266017</v>
      </c>
      <c r="H47" s="6" t="n">
        <f aca="false">Thesis!H89+CF!H46</f>
        <v>115.213799947184</v>
      </c>
      <c r="I47" s="6" t="n">
        <f aca="false">Thesis!I89+CF!I46</f>
        <v>141.931215572026</v>
      </c>
      <c r="J47" s="6" t="n">
        <f aca="false">Thesis!J89+CF!J46</f>
        <v>161.841560278527</v>
      </c>
      <c r="K47" s="6" t="n">
        <f aca="false">Thesis!K89+CF!K46</f>
        <v>175.176581498948</v>
      </c>
    </row>
    <row r="48" customFormat="false" ht="17.15" hidden="false" customHeight="false" outlineLevel="0" collapsed="false">
      <c r="A48" s="1" t="s">
        <v>940</v>
      </c>
      <c r="B48" s="0" t="s">
        <v>98</v>
      </c>
      <c r="F48" s="6" t="n">
        <f aca="false">Seg!F56*sbc_r</f>
        <v>14.9308704941267</v>
      </c>
      <c r="G48" s="6" t="n">
        <f aca="false">Seg!G56*sbc_r</f>
        <v>17.7641108812713</v>
      </c>
      <c r="H48" s="6" t="n">
        <f aca="false">Seg!H56*sbc_r</f>
        <v>20.6640880611968</v>
      </c>
      <c r="I48" s="6" t="n">
        <f aca="false">Seg!I56*sbc_r</f>
        <v>23.3389517385966</v>
      </c>
      <c r="J48" s="6" t="n">
        <f aca="false">Seg!J56*sbc_r</f>
        <v>25.5345019510649</v>
      </c>
      <c r="K48" s="6" t="n">
        <f aca="false">Seg!K56*sbc_r</f>
        <v>27.3009881602573</v>
      </c>
    </row>
    <row r="49" customFormat="false" ht="17.15" hidden="false" customHeight="false" outlineLevel="0" collapsed="false">
      <c r="A49" s="1" t="s">
        <v>941</v>
      </c>
      <c r="B49" s="0" t="s">
        <v>98</v>
      </c>
      <c r="F49" s="6" t="n">
        <f aca="false">wc27</f>
        <v>-4.895</v>
      </c>
      <c r="G49" s="6" t="n">
        <f aca="false">wc_f</f>
        <v>0</v>
      </c>
      <c r="H49" s="6" t="n">
        <f aca="false">wc_f</f>
        <v>0</v>
      </c>
      <c r="I49" s="6" t="n">
        <f aca="false">wc_f</f>
        <v>0</v>
      </c>
      <c r="J49" s="6" t="n">
        <f aca="false">wc_f</f>
        <v>0</v>
      </c>
      <c r="K49" s="6" t="n">
        <f aca="false">wc_f</f>
        <v>0</v>
      </c>
      <c r="L49" s="11" t="s">
        <v>942</v>
      </c>
    </row>
    <row r="50" customFormat="false" ht="15" hidden="false" customHeight="false" outlineLevel="0" collapsed="false">
      <c r="A50" s="1" t="s">
        <v>756</v>
      </c>
      <c r="B50" s="0" t="s">
        <v>98</v>
      </c>
      <c r="E50" s="6" t="n">
        <f aca="false">Q!M35</f>
        <v>182.935</v>
      </c>
      <c r="F50" s="6" t="n">
        <f aca="false">CF!F45+CF!F47+CF!F48+CF!F49</f>
        <v>209.534945542787</v>
      </c>
      <c r="G50" s="6" t="n">
        <f aca="false">CF!G45+CF!G47+CF!G48+CF!G49</f>
        <v>260.924467112206</v>
      </c>
      <c r="H50" s="6" t="n">
        <f aca="false">CF!H45+CF!H47+CF!H48+CF!H49</f>
        <v>309.503293108724</v>
      </c>
      <c r="I50" s="6" t="n">
        <f aca="false">CF!I45+CF!I47+CF!I48+CF!I49</f>
        <v>354.548654942349</v>
      </c>
      <c r="J50" s="6" t="n">
        <f aca="false">CF!J45+CF!J47+CF!J48+CF!J49</f>
        <v>391.290618745683</v>
      </c>
      <c r="K50" s="6" t="n">
        <f aca="false">CF!K45+CF!K47+CF!K48+CF!K49</f>
        <v>420.705733308384</v>
      </c>
    </row>
    <row r="51" customFormat="false" ht="17.15" hidden="false" customHeight="false" outlineLevel="0" collapsed="false">
      <c r="A51" s="0" t="s">
        <v>943</v>
      </c>
      <c r="B51" s="0" t="s">
        <v>98</v>
      </c>
      <c r="F51" s="6" t="n">
        <f aca="false">Thesis!F86</f>
        <v>168.620652770438</v>
      </c>
      <c r="G51" s="6" t="n">
        <f aca="false">Thesis!G86</f>
        <v>183.5741804832</v>
      </c>
      <c r="H51" s="6" t="n">
        <f aca="false">Thesis!H86</f>
        <v>188.0802859104</v>
      </c>
      <c r="I51" s="6" t="n">
        <f aca="false">Thesis!I86</f>
        <v>163.706669154245</v>
      </c>
      <c r="J51" s="6" t="n">
        <f aca="false">Thesis!J86</f>
        <v>124.51247671809</v>
      </c>
      <c r="K51" s="6" t="n">
        <f aca="false">Thesis!K86</f>
        <v>114.959435641936</v>
      </c>
    </row>
    <row r="52" customFormat="false" ht="17.15" hidden="false" customHeight="false" outlineLevel="0" collapsed="false">
      <c r="A52" s="1" t="s">
        <v>944</v>
      </c>
      <c r="B52" s="0" t="s">
        <v>98</v>
      </c>
      <c r="E52" s="6" t="n">
        <f aca="false">Seg!E34*cx_azo+Seg!E41*cx_m365+Seg!E42*cx_lic+(Seg!E44+Seg!E46)*cx_ind+Seg!E49*cx_srch+(Seg!E51+Seg!E53)*cx_dev</f>
        <v>30.1846587067718</v>
      </c>
      <c r="F52" s="6" t="n">
        <f aca="false">Seg!F34*cx_azo+Seg!F41*cx_m365+Seg!F42*cx_lic+(Seg!F44+Seg!F46)*cx_ind+Seg!F49*cx_srch+(Seg!F51+Seg!F53)*cx_dev</f>
        <v>35.5793472295625</v>
      </c>
      <c r="G52" s="6" t="n">
        <f aca="false">Seg!G34*cx_azo+Seg!G41*cx_m365+Seg!G42*cx_lic+(Seg!G44+Seg!G46)*cx_ind+Seg!G49*cx_srch+(Seg!G51+Seg!G53)*cx_dev</f>
        <v>41.1528935703892</v>
      </c>
      <c r="H52" s="6" t="n">
        <f aca="false">Seg!H34*cx_azo+Seg!H41*cx_m365+Seg!H42*cx_lic+(Seg!H44+Seg!H46)*cx_ind+Seg!H49*cx_srch+(Seg!H51+Seg!H53)*cx_dev</f>
        <v>46.8115136440897</v>
      </c>
      <c r="I52" s="6" t="n">
        <f aca="false">Seg!I34*cx_azo+Seg!I41*cx_m365+Seg!I42*cx_lic+(Seg!I44+Seg!I46)*cx_ind+Seg!I49*cx_srch+(Seg!I51+Seg!I53)*cx_dev</f>
        <v>52.1984003116439</v>
      </c>
      <c r="J52" s="6" t="n">
        <f aca="false">Seg!J34*cx_azo+Seg!J41*cx_m365+Seg!J42*cx_lic+(Seg!J44+Seg!J46)*cx_ind+Seg!J49*cx_srch+(Seg!J51+Seg!J53)*cx_dev</f>
        <v>57.0809132503738</v>
      </c>
      <c r="K52" s="6" t="n">
        <f aca="false">Seg!K34*cx_azo+Seg!K41*cx_m365+Seg!K42*cx_lic+(Seg!K44+Seg!K46)*cx_ind+Seg!K49*cx_srch+(Seg!K51+Seg!K53)*cx_dev</f>
        <v>61.368702741994</v>
      </c>
    </row>
    <row r="53" customFormat="false" ht="17.15" hidden="false" customHeight="false" outlineLevel="0" collapsed="false">
      <c r="A53" s="1" t="s">
        <v>945</v>
      </c>
      <c r="B53" s="0" t="s">
        <v>98</v>
      </c>
      <c r="E53" s="6" t="n">
        <f aca="false">Q!M42</f>
        <v>145.3</v>
      </c>
      <c r="F53" s="6" t="n">
        <f aca="false">CF!F51+CF!F52</f>
        <v>204.2</v>
      </c>
      <c r="G53" s="6" t="n">
        <f aca="false">CF!G51+CF!G52</f>
        <v>224.727074053589</v>
      </c>
      <c r="H53" s="6" t="n">
        <f aca="false">CF!H51+CF!H52</f>
        <v>234.89179955449</v>
      </c>
      <c r="I53" s="6" t="n">
        <f aca="false">CF!I51+CF!I52</f>
        <v>215.905069465889</v>
      </c>
      <c r="J53" s="6" t="n">
        <f aca="false">CF!J51+CF!J52</f>
        <v>181.593389968464</v>
      </c>
      <c r="K53" s="6" t="n">
        <f aca="false">CF!K51+CF!K52</f>
        <v>176.32813838393</v>
      </c>
      <c r="L53" s="1" t="s">
        <v>946</v>
      </c>
    </row>
    <row r="54" customFormat="false" ht="15" hidden="false" customHeight="false" outlineLevel="0" collapsed="false">
      <c r="A54" s="1" t="s">
        <v>947</v>
      </c>
      <c r="B54" s="0" t="s">
        <v>98</v>
      </c>
      <c r="E54" s="6" t="n">
        <f aca="false">fl_liab</f>
        <v>66.594</v>
      </c>
      <c r="F54" s="6" t="n">
        <f aca="false">CF!E54-CF!F55</f>
        <v>62.46973</v>
      </c>
      <c r="G54" s="6" t="n">
        <f aca="false">CF!F54-CF!G55</f>
        <v>57.98686785</v>
      </c>
      <c r="H54" s="6" t="n">
        <f aca="false">CF!G54-CF!H55</f>
        <v>53.92827690325</v>
      </c>
      <c r="I54" s="6" t="n">
        <f aca="false">CF!H54-CF!I55</f>
        <v>49.7850493638962</v>
      </c>
      <c r="J54" s="6" t="n">
        <f aca="false">CF!I54-CF!J55</f>
        <v>45.4823765852716</v>
      </c>
      <c r="K54" s="6" t="n">
        <f aca="false">CF!J54-CF!K55</f>
        <v>40.9860835316088</v>
      </c>
    </row>
    <row r="55" customFormat="false" ht="15" hidden="false" customHeight="false" outlineLevel="0" collapsed="false">
      <c r="A55" s="1" t="s">
        <v>948</v>
      </c>
      <c r="B55" s="0" t="s">
        <v>98</v>
      </c>
      <c r="F55" s="6" t="n">
        <f aca="false">fl_pay_27-CF!E54*fl_rate</f>
        <v>4.12427</v>
      </c>
      <c r="G55" s="6" t="n">
        <f aca="false">fl_pay_28-CF!F54*fl_rate</f>
        <v>4.48286215</v>
      </c>
      <c r="H55" s="6" t="n">
        <f aca="false">fl_pay_29-CF!G54*fl_rate</f>
        <v>4.05859094675</v>
      </c>
      <c r="I55" s="6" t="n">
        <f aca="false">fl_pay_30-CF!H54*fl_rate</f>
        <v>4.14322753935375</v>
      </c>
      <c r="J55" s="6" t="n">
        <f aca="false">fl_pay_31-CF!I54*fl_rate</f>
        <v>4.30267277862467</v>
      </c>
      <c r="K55" s="6" t="n">
        <f aca="false">fl_pay_32-CF!J54*fl_rate</f>
        <v>4.49629305366278</v>
      </c>
    </row>
    <row r="56" customFormat="false" ht="17.15" hidden="false" customHeight="false" outlineLevel="0" collapsed="false">
      <c r="A56" s="1" t="s">
        <v>949</v>
      </c>
      <c r="B56" s="0" t="s">
        <v>98</v>
      </c>
      <c r="E56" s="6" t="n">
        <f aca="false">Q!M35-Q!M36-Q!M43</f>
        <v>63.886</v>
      </c>
      <c r="F56" s="6" t="n">
        <f aca="false">CF!F50-CF!F53-CF!F55</f>
        <v>1.2106755427865</v>
      </c>
      <c r="G56" s="6" t="n">
        <f aca="false">CF!G50-CF!G53-CF!G55</f>
        <v>31.7145309086171</v>
      </c>
      <c r="H56" s="6" t="n">
        <f aca="false">CF!H50-CF!H53-CF!H55</f>
        <v>70.5529026074843</v>
      </c>
      <c r="I56" s="6" t="n">
        <f aca="false">CF!I50-CF!I53-CF!I55</f>
        <v>134.500357937106</v>
      </c>
      <c r="J56" s="6" t="n">
        <f aca="false">CF!J50-CF!J53-CF!J55</f>
        <v>205.394555998594</v>
      </c>
      <c r="K56" s="6" t="n">
        <f aca="false">CF!K50-CF!K53-CF!K55</f>
        <v>239.881301870791</v>
      </c>
      <c r="L56" s="11" t="s">
        <v>950</v>
      </c>
    </row>
    <row r="57" customFormat="false" ht="15" hidden="false" customHeight="false" outlineLevel="0" collapsed="false">
      <c r="A57" s="1" t="s">
        <v>951</v>
      </c>
      <c r="B57" s="0" t="s">
        <v>75</v>
      </c>
      <c r="F57" s="8" t="n">
        <f aca="false">dps_27</f>
        <v>3.85</v>
      </c>
      <c r="G57" s="8" t="n">
        <f aca="false">CF!F57*(1+dps_g)</f>
        <v>4.158</v>
      </c>
      <c r="H57" s="8" t="n">
        <f aca="false">CF!G57*(1+dps_g)</f>
        <v>4.49064</v>
      </c>
      <c r="I57" s="8" t="n">
        <f aca="false">CF!H57*(1+dps_g)</f>
        <v>4.8498912</v>
      </c>
      <c r="J57" s="8" t="n">
        <f aca="false">CF!I57*(1+dps_g)</f>
        <v>5.237882496</v>
      </c>
      <c r="K57" s="8" t="n">
        <f aca="false">CF!J57*(1+dps_g)</f>
        <v>5.65691309568</v>
      </c>
    </row>
    <row r="58" customFormat="false" ht="17.15" hidden="false" customHeight="false" outlineLevel="0" collapsed="false">
      <c r="A58" s="1" t="s">
        <v>952</v>
      </c>
      <c r="B58" s="0" t="s">
        <v>98</v>
      </c>
      <c r="E58" s="6" t="n">
        <f aca="false">Q!M41</f>
        <v>26.445</v>
      </c>
      <c r="F58" s="6" t="n">
        <f aca="false">CF!F57*CF!E67</f>
        <v>28.59395</v>
      </c>
      <c r="G58" s="6" t="n">
        <f aca="false">CF!G57*CF!F67</f>
        <v>31.068576</v>
      </c>
      <c r="H58" s="6" t="n">
        <f aca="false">CF!H57*CF!G67</f>
        <v>33.7512882894521</v>
      </c>
      <c r="I58" s="6" t="n">
        <f aca="false">CF!I57*CF!H67</f>
        <v>36.5023305926078</v>
      </c>
      <c r="J58" s="6" t="n">
        <f aca="false">CF!J57*CF!I67</f>
        <v>39.4909158883358</v>
      </c>
      <c r="K58" s="6" t="n">
        <f aca="false">CF!K57*CF!J67</f>
        <v>42.7374443847077</v>
      </c>
      <c r="L58" s="1" t="s">
        <v>953</v>
      </c>
    </row>
    <row r="59" customFormat="false" ht="15" hidden="false" customHeight="false" outlineLevel="0" collapsed="false">
      <c r="A59" s="1" t="s">
        <v>954</v>
      </c>
      <c r="B59" s="0" t="s">
        <v>98</v>
      </c>
      <c r="E59" s="6" t="n">
        <f aca="false">CF!E56-CF!E58</f>
        <v>37.441</v>
      </c>
      <c r="F59" s="6" t="n">
        <f aca="false">CF!F56-CF!F58</f>
        <v>-27.3832744572135</v>
      </c>
      <c r="G59" s="6" t="n">
        <f aca="false">CF!G56-CF!G58</f>
        <v>0.645954908617053</v>
      </c>
      <c r="H59" s="6" t="n">
        <f aca="false">CF!H56-CF!H58</f>
        <v>36.8016143180322</v>
      </c>
      <c r="I59" s="6" t="n">
        <f aca="false">CF!I56-CF!I58</f>
        <v>97.998027344498</v>
      </c>
      <c r="J59" s="6" t="n">
        <f aca="false">CF!J56-CF!J58</f>
        <v>165.903640110258</v>
      </c>
      <c r="K59" s="6" t="n">
        <f aca="false">CF!K56-CF!K58</f>
        <v>197.143857486083</v>
      </c>
    </row>
    <row r="60" customFormat="false" ht="15" hidden="false" customHeight="false" outlineLevel="0" collapsed="false">
      <c r="A60" s="1" t="s">
        <v>955</v>
      </c>
      <c r="B60" s="0" t="s">
        <v>98</v>
      </c>
      <c r="F60" s="6" t="n">
        <f aca="false">debt_mat_27</f>
        <v>9.25</v>
      </c>
      <c r="G60" s="6" t="n">
        <f aca="false">debt_mat_28</f>
        <v>0</v>
      </c>
      <c r="H60" s="6" t="n">
        <f aca="false">debt_mat_29</f>
        <v>2.001</v>
      </c>
      <c r="I60" s="6" t="n">
        <f aca="false">debt_mat_30</f>
        <v>0</v>
      </c>
      <c r="J60" s="6" t="n">
        <f aca="false">debt_mat_31</f>
        <v>0.5</v>
      </c>
      <c r="K60" s="6" t="n">
        <f aca="false">debt_mat_32</f>
        <v>0</v>
      </c>
    </row>
    <row r="61" customFormat="false" ht="15" hidden="false" customHeight="false" outlineLevel="0" collapsed="false">
      <c r="A61" s="1" t="s">
        <v>956</v>
      </c>
      <c r="B61" s="0" t="s">
        <v>98</v>
      </c>
      <c r="E61" s="6" t="n">
        <f aca="false">Q!M40</f>
        <v>22.271</v>
      </c>
      <c r="F61" s="6" t="n">
        <f aca="false">MAX(0,MIN(bb_target,CF!E63+CF!F59-CF!F60-min_cash))</f>
        <v>0</v>
      </c>
      <c r="G61" s="6" t="n">
        <f aca="false">MAX(0,MIN(bb_target,CF!F63+CF!G59-CF!G60-min_cash))</f>
        <v>0.645954908617057</v>
      </c>
      <c r="H61" s="6" t="n">
        <f aca="false">MAX(0,MIN(bb_target,CF!G63+CF!H59-CF!H60-min_cash))</f>
        <v>22.271</v>
      </c>
      <c r="I61" s="6" t="n">
        <f aca="false">MAX(0,MIN(bb_target,CF!H63+CF!I59-CF!I60-min_cash))</f>
        <v>22.271</v>
      </c>
      <c r="J61" s="6" t="n">
        <f aca="false">MAX(0,MIN(bb_target,CF!I63+CF!J59-CF!J60-min_cash))</f>
        <v>22.271</v>
      </c>
      <c r="K61" s="6" t="n">
        <f aca="false">MAX(0,MIN(bb_target,CF!J63+CF!K59-CF!K60-min_cash))</f>
        <v>22.271</v>
      </c>
    </row>
    <row r="62" customFormat="false" ht="15" hidden="false" customHeight="false" outlineLevel="0" collapsed="false">
      <c r="A62" s="1" t="s">
        <v>957</v>
      </c>
      <c r="B62" s="0" t="s">
        <v>98</v>
      </c>
      <c r="F62" s="6" t="n">
        <f aca="false">MAX(0,min_cash-(CF!E63+CF!F59-CF!F60-CF!F61))</f>
        <v>9.7902744572135</v>
      </c>
      <c r="G62" s="6" t="n">
        <f aca="false">MAX(0,min_cash-(CF!F63+CF!G59-CF!G60-CF!G61))</f>
        <v>0</v>
      </c>
      <c r="H62" s="6" t="n">
        <f aca="false">MAX(0,min_cash-(CF!G63+CF!H59-CF!H60-CF!H61))</f>
        <v>0</v>
      </c>
      <c r="I62" s="6" t="n">
        <f aca="false">MAX(0,min_cash-(CF!H63+CF!I59-CF!I60-CF!I61))</f>
        <v>0</v>
      </c>
      <c r="J62" s="6" t="n">
        <f aca="false">MAX(0,min_cash-(CF!I63+CF!J59-CF!J60-CF!J61))</f>
        <v>0</v>
      </c>
      <c r="K62" s="6" t="n">
        <f aca="false">MAX(0,min_cash-(CF!J63+CF!K59-CF!K60-CF!K61))</f>
        <v>0</v>
      </c>
    </row>
    <row r="63" customFormat="false" ht="15" hidden="false" customHeight="false" outlineLevel="0" collapsed="false">
      <c r="A63" s="1" t="s">
        <v>958</v>
      </c>
      <c r="B63" s="0" t="s">
        <v>98</v>
      </c>
      <c r="E63" s="6" t="n">
        <f aca="false">cash_open</f>
        <v>76.843</v>
      </c>
      <c r="F63" s="6" t="n">
        <f aca="false">CF!E63+CF!F59-CF!F60-CF!F61+CF!F62</f>
        <v>50</v>
      </c>
      <c r="G63" s="6" t="n">
        <f aca="false">CF!F63+CF!G59-CF!G60-CF!G61+CF!G62</f>
        <v>50</v>
      </c>
      <c r="H63" s="6" t="n">
        <f aca="false">CF!G63+CF!H59-CF!H60-CF!H61+CF!H62</f>
        <v>62.5296143180322</v>
      </c>
      <c r="I63" s="6" t="n">
        <f aca="false">CF!H63+CF!I59-CF!I60-CF!I61+CF!I62</f>
        <v>138.25664166253</v>
      </c>
      <c r="J63" s="6" t="n">
        <f aca="false">CF!I63+CF!J59-CF!J60-CF!J61+CF!J62</f>
        <v>281.389281772788</v>
      </c>
      <c r="K63" s="6" t="n">
        <f aca="false">CF!J63+CF!K59-CF!K60-CF!K61+CF!K62</f>
        <v>456.262139258872</v>
      </c>
    </row>
    <row r="64" customFormat="false" ht="15" hidden="false" customHeight="false" outlineLevel="0" collapsed="false">
      <c r="A64" s="1" t="s">
        <v>959</v>
      </c>
      <c r="B64" s="0" t="s">
        <v>98</v>
      </c>
      <c r="E64" s="6" t="n">
        <f aca="false">debt_face</f>
        <v>46.136</v>
      </c>
      <c r="F64" s="6" t="n">
        <f aca="false">CF!E64-CF!F60+CF!F62</f>
        <v>46.6762744572135</v>
      </c>
      <c r="G64" s="6" t="n">
        <f aca="false">CF!F64-CF!G60+CF!G62</f>
        <v>46.6762744572135</v>
      </c>
      <c r="H64" s="6" t="n">
        <f aca="false">CF!G64-CF!H60+CF!H62</f>
        <v>44.6752744572135</v>
      </c>
      <c r="I64" s="6" t="n">
        <f aca="false">CF!H64-CF!I60+CF!I62</f>
        <v>44.6752744572135</v>
      </c>
      <c r="J64" s="6" t="n">
        <f aca="false">CF!I64-CF!J60+CF!J62</f>
        <v>44.1752744572135</v>
      </c>
      <c r="K64" s="6" t="n">
        <f aca="false">CF!J64-CF!K60+CF!K62</f>
        <v>44.1752744572135</v>
      </c>
    </row>
    <row r="65" customFormat="false" ht="15" hidden="false" customHeight="false" outlineLevel="0" collapsed="false">
      <c r="A65" s="1" t="s">
        <v>960</v>
      </c>
      <c r="B65" s="0" t="s">
        <v>98</v>
      </c>
      <c r="E65" s="6" t="n">
        <f aca="false">CF!E63-CF!E64</f>
        <v>30.707</v>
      </c>
      <c r="F65" s="6" t="n">
        <f aca="false">CF!F63-CF!F64</f>
        <v>3.3237255427865</v>
      </c>
      <c r="G65" s="6" t="n">
        <f aca="false">CF!G63-CF!G64</f>
        <v>3.3237255427865</v>
      </c>
      <c r="H65" s="6" t="n">
        <f aca="false">CF!H63-CF!H64</f>
        <v>17.8543398608187</v>
      </c>
      <c r="I65" s="6" t="n">
        <f aca="false">CF!I63-CF!I64</f>
        <v>93.5813672053166</v>
      </c>
      <c r="J65" s="6" t="n">
        <f aca="false">CF!J63-CF!J64</f>
        <v>237.214007315575</v>
      </c>
      <c r="K65" s="6" t="n">
        <f aca="false">CF!K63-CF!K64</f>
        <v>412.086864801658</v>
      </c>
    </row>
    <row r="66" customFormat="false" ht="15" hidden="false" customHeight="false" outlineLevel="0" collapsed="false">
      <c r="A66" s="1" t="s">
        <v>961</v>
      </c>
      <c r="B66" s="0" t="s">
        <v>75</v>
      </c>
      <c r="F66" s="29" t="n">
        <f aca="false">px*(1+bb_g)^(Thesis!F55-base_fy-mid_yr)</f>
        <v>553.494156066711</v>
      </c>
      <c r="G66" s="29" t="n">
        <f aca="false">px*(1+bb_g)^(Thesis!G55-base_fy-mid_yr)</f>
        <v>597.773688552047</v>
      </c>
      <c r="H66" s="29" t="n">
        <f aca="false">px*(1+bb_g)^(Thesis!H55-base_fy-mid_yr)</f>
        <v>645.595583636211</v>
      </c>
      <c r="I66" s="29" t="n">
        <f aca="false">px*(1+bb_g)^(Thesis!I55-base_fy-mid_yr)</f>
        <v>697.243230327108</v>
      </c>
      <c r="J66" s="29" t="n">
        <f aca="false">px*(1+bb_g)^(Thesis!J55-base_fy-mid_yr)</f>
        <v>753.022688753277</v>
      </c>
      <c r="K66" s="29" t="n">
        <f aca="false">px*(1+bb_g)^(Thesis!K55-base_fy-mid_yr)</f>
        <v>813.264503853539</v>
      </c>
    </row>
    <row r="67" customFormat="false" ht="15" hidden="false" customHeight="false" outlineLevel="0" collapsed="false">
      <c r="A67" s="1" t="s">
        <v>962</v>
      </c>
      <c r="B67" s="1" t="s">
        <v>81</v>
      </c>
      <c r="E67" s="14" t="n">
        <f aca="false">sh_out26</f>
        <v>7.427</v>
      </c>
      <c r="F67" s="14" t="n">
        <f aca="false">CF!E67+sh_iss-CF!F61/CF!F66</f>
        <v>7.472</v>
      </c>
      <c r="G67" s="14" t="n">
        <f aca="false">CF!F67+sh_iss-CF!G61/CF!G66</f>
        <v>7.51591939889462</v>
      </c>
      <c r="H67" s="14" t="n">
        <f aca="false">CF!G67+sh_iss-CF!H61/CF!H66</f>
        <v>7.52642257059452</v>
      </c>
      <c r="I67" s="14" t="n">
        <f aca="false">CF!H67+sh_iss-CF!I61/CF!I66</f>
        <v>7.53948106290924</v>
      </c>
      <c r="J67" s="14" t="n">
        <f aca="false">CF!I67+sh_iss-CF!J61/CF!J66</f>
        <v>7.55490559283029</v>
      </c>
      <c r="K67" s="14" t="n">
        <f aca="false">CF!J67+sh_iss-CF!K61/CF!K66</f>
        <v>7.57252089831273</v>
      </c>
    </row>
    <row r="68" customFormat="false" ht="15" hidden="false" customHeight="false" outlineLevel="0" collapsed="false">
      <c r="A68" s="1" t="s">
        <v>963</v>
      </c>
      <c r="B68" s="1" t="s">
        <v>81</v>
      </c>
      <c r="E68" s="14" t="n">
        <f aca="false">sh_dil26</f>
        <v>7.453</v>
      </c>
      <c r="F68" s="14" t="n">
        <f aca="false">(CF!E67+CF!F67)/2+dil_gap</f>
        <v>7.4735</v>
      </c>
      <c r="G68" s="14" t="n">
        <f aca="false">(CF!F67+CF!G67)/2+dil_gap</f>
        <v>7.51795969944731</v>
      </c>
      <c r="H68" s="14" t="n">
        <f aca="false">(CF!G67+CF!H67)/2+dil_gap</f>
        <v>7.54517098474457</v>
      </c>
      <c r="I68" s="14" t="n">
        <f aca="false">(CF!H67+CF!I67)/2+dil_gap</f>
        <v>7.55695181675188</v>
      </c>
      <c r="J68" s="14" t="n">
        <f aca="false">(CF!I67+CF!J67)/2+dil_gap</f>
        <v>7.57119332786977</v>
      </c>
      <c r="K68" s="14" t="n">
        <f aca="false">(CF!J67+CF!K67)/2+dil_gap</f>
        <v>7.58771324557151</v>
      </c>
    </row>
    <row r="69" customFormat="false" ht="17.15" hidden="false" customHeight="false" outlineLevel="0" collapsed="false">
      <c r="A69" s="1" t="s">
        <v>964</v>
      </c>
      <c r="B69" s="0" t="s">
        <v>98</v>
      </c>
      <c r="C69" s="6" t="n">
        <f aca="false">SUM(CF!F59:J59)</f>
        <v>273.965962224192</v>
      </c>
    </row>
    <row r="70" customFormat="false" ht="15" hidden="false" customHeight="false" outlineLevel="0" collapsed="false">
      <c r="A70" s="23" t="s">
        <v>935</v>
      </c>
      <c r="B70" s="30" t="s">
        <v>98</v>
      </c>
      <c r="C70" s="24" t="n">
        <f aca="false">CF!$C$69-(CF!F59+CF!G59+CF!H59+CF!I59+CF!J59)</f>
        <v>0</v>
      </c>
      <c r="D70" s="30"/>
      <c r="E70" s="30"/>
      <c r="F70" s="30"/>
      <c r="G70" s="30"/>
      <c r="H70" s="30"/>
      <c r="I70" s="30"/>
      <c r="J70" s="30"/>
      <c r="K70" s="30"/>
    </row>
    <row r="71" customFormat="false" ht="17.15" hidden="false" customHeight="false" outlineLevel="0" collapsed="false">
      <c r="A71" s="1" t="s">
        <v>929</v>
      </c>
      <c r="B71" s="1" t="s">
        <v>965</v>
      </c>
      <c r="C71" s="32" t="str">
        <f aca="false">IF(SUM(CF!F62:J62)&gt;0.05,"需要舉債 "&amp;TEXT(SUM(CF!F62:J62),"0.0")&amp;" 十億美元","不需舉債")&amp;"；"&amp;IF(SUM(CF!F61:J61)&lt;COUNT(CF!F61:J61)*bb_target-0.05,"回購較每年 "&amp;TEXT(bb_target,"0.0")&amp;" 的目標少 "&amp;TEXT(COUNT(CF!F61:J61)*bb_target-SUM(CF!F61:J61),"0.0")&amp;" 十億美元（"&amp;TEXT(COUNTIF(CF!F61:J61,"&lt;"&amp;(bb_target-0.05)),"0")&amp;" 年減少）","回購不減")</f>
        <v>需要舉債 9.8 十億美元；回購較每年 22.3 的目標少 43.9 十億美元（2 年減少）</v>
      </c>
    </row>
    <row r="72" customFormat="false" ht="17.15" hidden="false" customHeight="false" outlineLevel="0" collapsed="false">
      <c r="A72" s="3" t="s">
        <v>967</v>
      </c>
    </row>
    <row r="73" customFormat="false" ht="15" hidden="false" customHeight="false" outlineLevel="0" collapsed="false">
      <c r="A73" s="4" t="s">
        <v>43</v>
      </c>
      <c r="B73" s="4" t="s">
        <v>65</v>
      </c>
      <c r="C73" s="20" t="s">
        <v>788</v>
      </c>
      <c r="D73" s="20" t="s">
        <v>789</v>
      </c>
      <c r="E73" s="20" t="s">
        <v>790</v>
      </c>
      <c r="F73" s="20" t="s">
        <v>791</v>
      </c>
      <c r="G73" s="20" t="s">
        <v>792</v>
      </c>
      <c r="H73" s="20" t="s">
        <v>793</v>
      </c>
      <c r="I73" s="20" t="s">
        <v>794</v>
      </c>
      <c r="J73" s="20" t="s">
        <v>795</v>
      </c>
      <c r="K73" s="20" t="s">
        <v>796</v>
      </c>
      <c r="L73" s="4" t="s">
        <v>47</v>
      </c>
    </row>
    <row r="74" customFormat="false" ht="15" hidden="false" customHeight="false" outlineLevel="0" collapsed="false">
      <c r="A74" s="1" t="s">
        <v>915</v>
      </c>
      <c r="B74" s="0" t="s">
        <v>98</v>
      </c>
      <c r="F74" s="6" t="n">
        <f aca="false">PL!F123</f>
        <v>136.978045278833</v>
      </c>
      <c r="G74" s="6" t="n">
        <f aca="false">PL!G123</f>
        <v>143.813778831956</v>
      </c>
      <c r="H74" s="6" t="n">
        <f aca="false">PL!H123</f>
        <v>146.227680888807</v>
      </c>
      <c r="I74" s="6" t="n">
        <f aca="false">PL!I123</f>
        <v>154.843187189809</v>
      </c>
      <c r="J74" s="6" t="n">
        <f aca="false">PL!J123</f>
        <v>164.604455494371</v>
      </c>
      <c r="K74" s="6" t="n">
        <f aca="false">PL!K123</f>
        <v>175.623019382862</v>
      </c>
    </row>
    <row r="75" customFormat="false" ht="17.15" hidden="false" customHeight="false" outlineLevel="0" collapsed="false">
      <c r="A75" s="1" t="s">
        <v>937</v>
      </c>
      <c r="B75" s="0" t="s">
        <v>98</v>
      </c>
      <c r="E75" s="6" t="n">
        <f aca="false">Q!M38-Thesis!E138</f>
        <v>22.2285940229167</v>
      </c>
      <c r="F75" s="6" t="n">
        <f aca="false">CF!E75*(1-1/life_nonai)+CF!F81/life_nonai</f>
        <v>23.5486693435813</v>
      </c>
      <c r="G75" s="6" t="n">
        <f aca="false">CF!F75*(1-1/life_nonai)+CF!G81/life_nonai</f>
        <v>25.264091766262</v>
      </c>
      <c r="H75" s="6" t="n">
        <f aca="false">CF!G75*(1-1/life_nonai)+CF!H81/life_nonai</f>
        <v>27.3438339540448</v>
      </c>
      <c r="I75" s="6" t="n">
        <f aca="false">CF!H75*(1-1/life_nonai)+CF!I81/life_nonai</f>
        <v>29.7317905898047</v>
      </c>
      <c r="J75" s="6" t="n">
        <f aca="false">CF!I75*(1-1/life_nonai)+CF!J81/life_nonai</f>
        <v>32.3542028558616</v>
      </c>
      <c r="K75" s="6" t="n">
        <f aca="false">CF!J75*(1-1/life_nonai)+CF!K81/life_nonai</f>
        <v>35.1281528444749</v>
      </c>
      <c r="L75" s="11" t="s">
        <v>938</v>
      </c>
    </row>
    <row r="76" customFormat="false" ht="17.15" hidden="false" customHeight="false" outlineLevel="0" collapsed="false">
      <c r="A76" s="1" t="s">
        <v>939</v>
      </c>
      <c r="B76" s="0" t="s">
        <v>98</v>
      </c>
      <c r="E76" s="6" t="n">
        <f aca="false">Thesis!E138+CF!E75</f>
        <v>38.534</v>
      </c>
      <c r="F76" s="6" t="n">
        <f aca="false">Thesis!F138+CF!F75</f>
        <v>58.301704799451</v>
      </c>
      <c r="G76" s="6" t="n">
        <f aca="false">Thesis!G138+CF!G75</f>
        <v>85.7958250266017</v>
      </c>
      <c r="H76" s="6" t="n">
        <f aca="false">Thesis!H138+CF!H75</f>
        <v>115.111149947184</v>
      </c>
      <c r="I76" s="6" t="n">
        <f aca="false">Thesis!I138+CF!I75</f>
        <v>141.743830572026</v>
      </c>
      <c r="J76" s="6" t="n">
        <f aca="false">Thesis!J138+CF!J75</f>
        <v>161.562913778527</v>
      </c>
      <c r="K76" s="6" t="n">
        <f aca="false">Thesis!K138+CF!K75</f>
        <v>174.800799648948</v>
      </c>
    </row>
    <row r="77" customFormat="false" ht="17.15" hidden="false" customHeight="false" outlineLevel="0" collapsed="false">
      <c r="A77" s="1" t="s">
        <v>940</v>
      </c>
      <c r="B77" s="0" t="s">
        <v>98</v>
      </c>
      <c r="F77" s="6" t="n">
        <f aca="false">Seg!F83*sbc_r</f>
        <v>14.7102349124428</v>
      </c>
      <c r="G77" s="6" t="n">
        <f aca="false">Seg!G83*sbc_r</f>
        <v>17.061233875013</v>
      </c>
      <c r="H77" s="6" t="n">
        <f aca="false">Seg!H83*sbc_r</f>
        <v>19.2644849659525</v>
      </c>
      <c r="I77" s="6" t="n">
        <f aca="false">Seg!I83*sbc_r</f>
        <v>21.5744080153289</v>
      </c>
      <c r="J77" s="6" t="n">
        <f aca="false">Seg!J83*sbc_r</f>
        <v>23.5181093264201</v>
      </c>
      <c r="K77" s="6" t="n">
        <f aca="false">Seg!K83*sbc_r</f>
        <v>25.1065659025522</v>
      </c>
    </row>
    <row r="78" customFormat="false" ht="17.15" hidden="false" customHeight="false" outlineLevel="0" collapsed="false">
      <c r="A78" s="1" t="s">
        <v>941</v>
      </c>
      <c r="B78" s="0" t="s">
        <v>98</v>
      </c>
      <c r="F78" s="6" t="n">
        <f aca="false">wc27</f>
        <v>-4.895</v>
      </c>
      <c r="G78" s="6" t="n">
        <f aca="false">wc_f</f>
        <v>0</v>
      </c>
      <c r="H78" s="6" t="n">
        <f aca="false">wc_f</f>
        <v>0</v>
      </c>
      <c r="I78" s="6" t="n">
        <f aca="false">wc_f</f>
        <v>0</v>
      </c>
      <c r="J78" s="6" t="n">
        <f aca="false">wc_f</f>
        <v>0</v>
      </c>
      <c r="K78" s="6" t="n">
        <f aca="false">wc_f</f>
        <v>0</v>
      </c>
      <c r="L78" s="11" t="s">
        <v>942</v>
      </c>
    </row>
    <row r="79" customFormat="false" ht="15" hidden="false" customHeight="false" outlineLevel="0" collapsed="false">
      <c r="A79" s="1" t="s">
        <v>756</v>
      </c>
      <c r="B79" s="0" t="s">
        <v>98</v>
      </c>
      <c r="E79" s="6" t="n">
        <f aca="false">Q!M35</f>
        <v>182.935</v>
      </c>
      <c r="F79" s="6" t="n">
        <f aca="false">CF!F74+CF!F76+CF!F77+CF!F78</f>
        <v>205.094984990727</v>
      </c>
      <c r="G79" s="6" t="n">
        <f aca="false">CF!G74+CF!G76+CF!G77+CF!G78</f>
        <v>246.670837733571</v>
      </c>
      <c r="H79" s="6" t="n">
        <f aca="false">CF!H74+CF!H76+CF!H77+CF!H78</f>
        <v>280.603315801944</v>
      </c>
      <c r="I79" s="6" t="n">
        <f aca="false">CF!I74+CF!I76+CF!I77+CF!I78</f>
        <v>318.161425777164</v>
      </c>
      <c r="J79" s="6" t="n">
        <f aca="false">CF!J74+CF!J76+CF!J77+CF!J78</f>
        <v>349.685478599319</v>
      </c>
      <c r="K79" s="6" t="n">
        <f aca="false">CF!K74+CF!K76+CF!K77+CF!K78</f>
        <v>375.530384934362</v>
      </c>
    </row>
    <row r="80" customFormat="false" ht="17.15" hidden="false" customHeight="false" outlineLevel="0" collapsed="false">
      <c r="A80" s="0" t="s">
        <v>943</v>
      </c>
      <c r="B80" s="0" t="s">
        <v>98</v>
      </c>
      <c r="F80" s="6" t="n">
        <f aca="false">Thesis!F135</f>
        <v>168.770652770438</v>
      </c>
      <c r="G80" s="6" t="n">
        <f aca="false">Thesis!G135</f>
        <v>183.5741804832</v>
      </c>
      <c r="H80" s="6" t="n">
        <f aca="false">Thesis!H135</f>
        <v>188.0802859104</v>
      </c>
      <c r="I80" s="6" t="n">
        <f aca="false">Thesis!I135</f>
        <v>163.706669154245</v>
      </c>
      <c r="J80" s="6" t="n">
        <f aca="false">Thesis!J135</f>
        <v>124.51247671809</v>
      </c>
      <c r="K80" s="6" t="n">
        <f aca="false">Thesis!K135</f>
        <v>114.959435641936</v>
      </c>
    </row>
    <row r="81" customFormat="false" ht="17.15" hidden="false" customHeight="false" outlineLevel="0" collapsed="false">
      <c r="A81" s="1" t="s">
        <v>944</v>
      </c>
      <c r="B81" s="0" t="s">
        <v>98</v>
      </c>
      <c r="E81" s="6" t="n">
        <f aca="false">Seg!E61*cx_azo+Seg!E68*cx_m365+Seg!E69*cx_lic+(Seg!E71+Seg!E73)*cx_ind+Seg!E76*cx_srch+(Seg!E78+Seg!E80)*cx_dev</f>
        <v>30.1846587067718</v>
      </c>
      <c r="F81" s="6" t="n">
        <f aca="false">Seg!F61*cx_azo+Seg!F68*cx_m365+Seg!F69*cx_lic+(Seg!F71+Seg!F73)*cx_ind+Seg!F76*cx_srch+(Seg!F78+Seg!F80)*cx_dev</f>
        <v>35.4293472295625</v>
      </c>
      <c r="G81" s="6" t="n">
        <f aca="false">Seg!G61*cx_azo+Seg!G68*cx_m365+Seg!G69*cx_lic+(Seg!G71+Seg!G73)*cx_ind+Seg!G76*cx_srch+(Seg!G78+Seg!G80)*cx_dev</f>
        <v>40.7028935703892</v>
      </c>
      <c r="H81" s="6" t="n">
        <f aca="false">Seg!H61*cx_azo+Seg!H68*cx_m365+Seg!H69*cx_lic+(Seg!H71+Seg!H73)*cx_ind+Seg!H76*cx_srch+(Seg!H78+Seg!H80)*cx_dev</f>
        <v>46.0615136440897</v>
      </c>
      <c r="I81" s="6" t="n">
        <f aca="false">Seg!I61*cx_azo+Seg!I68*cx_m365+Seg!I69*cx_lic+(Seg!I71+Seg!I73)*cx_ind+Seg!I76*cx_srch+(Seg!I78+Seg!I80)*cx_dev</f>
        <v>51.2234003116439</v>
      </c>
      <c r="J81" s="6" t="n">
        <f aca="false">Seg!J61*cx_azo+Seg!J68*cx_m365+Seg!J69*cx_lic+(Seg!J71+Seg!J73)*cx_ind+Seg!J76*cx_srch+(Seg!J78+Seg!J80)*cx_dev</f>
        <v>55.9559132503738</v>
      </c>
      <c r="K81" s="6" t="n">
        <f aca="false">Seg!K61*cx_azo+Seg!K68*cx_m365+Seg!K69*cx_lic+(Seg!K71+Seg!K73)*cx_ind+Seg!K76*cx_srch+(Seg!K78+Seg!K80)*cx_dev</f>
        <v>60.093702741994</v>
      </c>
    </row>
    <row r="82" customFormat="false" ht="17.15" hidden="false" customHeight="false" outlineLevel="0" collapsed="false">
      <c r="A82" s="1" t="s">
        <v>945</v>
      </c>
      <c r="B82" s="0" t="s">
        <v>98</v>
      </c>
      <c r="E82" s="6" t="n">
        <f aca="false">Q!M42</f>
        <v>145.3</v>
      </c>
      <c r="F82" s="6" t="n">
        <f aca="false">CF!F80+CF!F81</f>
        <v>204.2</v>
      </c>
      <c r="G82" s="6" t="n">
        <f aca="false">CF!G80+CF!G81</f>
        <v>224.277074053589</v>
      </c>
      <c r="H82" s="6" t="n">
        <f aca="false">CF!H80+CF!H81</f>
        <v>234.14179955449</v>
      </c>
      <c r="I82" s="6" t="n">
        <f aca="false">CF!I80+CF!I81</f>
        <v>214.930069465889</v>
      </c>
      <c r="J82" s="6" t="n">
        <f aca="false">CF!J80+CF!J81</f>
        <v>180.468389968464</v>
      </c>
      <c r="K82" s="6" t="n">
        <f aca="false">CF!K80+CF!K81</f>
        <v>175.05313838393</v>
      </c>
      <c r="L82" s="1" t="s">
        <v>946</v>
      </c>
    </row>
    <row r="83" customFormat="false" ht="15" hidden="false" customHeight="false" outlineLevel="0" collapsed="false">
      <c r="A83" s="1" t="s">
        <v>947</v>
      </c>
      <c r="B83" s="0" t="s">
        <v>98</v>
      </c>
      <c r="E83" s="6" t="n">
        <f aca="false">fl_liab</f>
        <v>66.594</v>
      </c>
      <c r="F83" s="6" t="n">
        <f aca="false">CF!E83-CF!F84</f>
        <v>62.46973</v>
      </c>
      <c r="G83" s="6" t="n">
        <f aca="false">CF!F83-CF!G84</f>
        <v>57.98686785</v>
      </c>
      <c r="H83" s="6" t="n">
        <f aca="false">CF!G83-CF!H84</f>
        <v>53.92827690325</v>
      </c>
      <c r="I83" s="6" t="n">
        <f aca="false">CF!H83-CF!I84</f>
        <v>49.7850493638962</v>
      </c>
      <c r="J83" s="6" t="n">
        <f aca="false">CF!I83-CF!J84</f>
        <v>45.4823765852716</v>
      </c>
      <c r="K83" s="6" t="n">
        <f aca="false">CF!J83-CF!K84</f>
        <v>40.9860835316088</v>
      </c>
    </row>
    <row r="84" customFormat="false" ht="15" hidden="false" customHeight="false" outlineLevel="0" collapsed="false">
      <c r="A84" s="1" t="s">
        <v>948</v>
      </c>
      <c r="B84" s="0" t="s">
        <v>98</v>
      </c>
      <c r="F84" s="6" t="n">
        <f aca="false">fl_pay_27-CF!E83*fl_rate</f>
        <v>4.12427</v>
      </c>
      <c r="G84" s="6" t="n">
        <f aca="false">fl_pay_28-CF!F83*fl_rate</f>
        <v>4.48286215</v>
      </c>
      <c r="H84" s="6" t="n">
        <f aca="false">fl_pay_29-CF!G83*fl_rate</f>
        <v>4.05859094675</v>
      </c>
      <c r="I84" s="6" t="n">
        <f aca="false">fl_pay_30-CF!H83*fl_rate</f>
        <v>4.14322753935375</v>
      </c>
      <c r="J84" s="6" t="n">
        <f aca="false">fl_pay_31-CF!I83*fl_rate</f>
        <v>4.30267277862467</v>
      </c>
      <c r="K84" s="6" t="n">
        <f aca="false">fl_pay_32-CF!J83*fl_rate</f>
        <v>4.49629305366278</v>
      </c>
    </row>
    <row r="85" customFormat="false" ht="17.15" hidden="false" customHeight="false" outlineLevel="0" collapsed="false">
      <c r="A85" s="1" t="s">
        <v>949</v>
      </c>
      <c r="B85" s="0" t="s">
        <v>98</v>
      </c>
      <c r="E85" s="6" t="n">
        <f aca="false">Q!M35-Q!M36-Q!M43</f>
        <v>63.886</v>
      </c>
      <c r="F85" s="6" t="n">
        <f aca="false">CF!F79-CF!F82-CF!F84</f>
        <v>-3.22928500927296</v>
      </c>
      <c r="G85" s="6" t="n">
        <f aca="false">CF!G79-CF!G82-CF!G84</f>
        <v>17.9109015299816</v>
      </c>
      <c r="H85" s="6" t="n">
        <f aca="false">CF!H79-CF!H82-CF!H84</f>
        <v>42.4029253007048</v>
      </c>
      <c r="I85" s="6" t="n">
        <f aca="false">CF!I79-CF!I82-CF!I84</f>
        <v>99.0881287719206</v>
      </c>
      <c r="J85" s="6" t="n">
        <f aca="false">CF!J79-CF!J82-CF!J84</f>
        <v>164.91441585223</v>
      </c>
      <c r="K85" s="6" t="n">
        <f aca="false">CF!K79-CF!K82-CF!K84</f>
        <v>195.980953496769</v>
      </c>
      <c r="L85" s="11" t="s">
        <v>950</v>
      </c>
    </row>
    <row r="86" customFormat="false" ht="15" hidden="false" customHeight="false" outlineLevel="0" collapsed="false">
      <c r="A86" s="1" t="s">
        <v>951</v>
      </c>
      <c r="B86" s="0" t="s">
        <v>75</v>
      </c>
      <c r="F86" s="8" t="n">
        <f aca="false">dps_27</f>
        <v>3.85</v>
      </c>
      <c r="G86" s="8" t="n">
        <f aca="false">CF!F86*(1+dps_g)</f>
        <v>4.158</v>
      </c>
      <c r="H86" s="8" t="n">
        <f aca="false">CF!G86*(1+dps_g)</f>
        <v>4.49064</v>
      </c>
      <c r="I86" s="8" t="n">
        <f aca="false">CF!H86*(1+dps_g)</f>
        <v>4.8498912</v>
      </c>
      <c r="J86" s="8" t="n">
        <f aca="false">CF!I86*(1+dps_g)</f>
        <v>5.237882496</v>
      </c>
      <c r="K86" s="8" t="n">
        <f aca="false">CF!J86*(1+dps_g)</f>
        <v>5.65691309568</v>
      </c>
    </row>
    <row r="87" customFormat="false" ht="17.15" hidden="false" customHeight="false" outlineLevel="0" collapsed="false">
      <c r="A87" s="1" t="s">
        <v>952</v>
      </c>
      <c r="B87" s="0" t="s">
        <v>98</v>
      </c>
      <c r="E87" s="6" t="n">
        <f aca="false">Q!M41</f>
        <v>26.445</v>
      </c>
      <c r="F87" s="6" t="n">
        <f aca="false">CF!F86*CF!E96</f>
        <v>28.59395</v>
      </c>
      <c r="G87" s="6" t="n">
        <f aca="false">CF!G86*CF!F96</f>
        <v>31.068576</v>
      </c>
      <c r="H87" s="6" t="n">
        <f aca="false">CF!H86*CF!G96</f>
        <v>33.75614088</v>
      </c>
      <c r="I87" s="6" t="n">
        <f aca="false">CF!I86*CF!H96</f>
        <v>36.6249522979783</v>
      </c>
      <c r="J87" s="6" t="n">
        <f aca="false">CF!J86*CF!I96</f>
        <v>39.623347330136</v>
      </c>
      <c r="K87" s="6" t="n">
        <f aca="false">CF!K86*CF!J96</f>
        <v>42.880470341852</v>
      </c>
      <c r="L87" s="1" t="s">
        <v>953</v>
      </c>
    </row>
    <row r="88" customFormat="false" ht="15" hidden="false" customHeight="false" outlineLevel="0" collapsed="false">
      <c r="A88" s="1" t="s">
        <v>954</v>
      </c>
      <c r="B88" s="0" t="s">
        <v>98</v>
      </c>
      <c r="E88" s="6" t="n">
        <f aca="false">CF!E85-CF!E87</f>
        <v>37.441</v>
      </c>
      <c r="F88" s="6" t="n">
        <f aca="false">CF!F85-CF!F87</f>
        <v>-31.823235009273</v>
      </c>
      <c r="G88" s="6" t="n">
        <f aca="false">CF!G85-CF!G87</f>
        <v>-13.1576744700184</v>
      </c>
      <c r="H88" s="6" t="n">
        <f aca="false">CF!H85-CF!H87</f>
        <v>8.64678442070476</v>
      </c>
      <c r="I88" s="6" t="n">
        <f aca="false">CF!I85-CF!I87</f>
        <v>62.4631764739423</v>
      </c>
      <c r="J88" s="6" t="n">
        <f aca="false">CF!J85-CF!J87</f>
        <v>125.291068522094</v>
      </c>
      <c r="K88" s="6" t="n">
        <f aca="false">CF!K85-CF!K87</f>
        <v>153.100483154918</v>
      </c>
    </row>
    <row r="89" customFormat="false" ht="15" hidden="false" customHeight="false" outlineLevel="0" collapsed="false">
      <c r="A89" s="1" t="s">
        <v>955</v>
      </c>
      <c r="B89" s="0" t="s">
        <v>98</v>
      </c>
      <c r="F89" s="6" t="n">
        <f aca="false">debt_mat_27</f>
        <v>9.25</v>
      </c>
      <c r="G89" s="6" t="n">
        <f aca="false">debt_mat_28</f>
        <v>0</v>
      </c>
      <c r="H89" s="6" t="n">
        <f aca="false">debt_mat_29</f>
        <v>2.001</v>
      </c>
      <c r="I89" s="6" t="n">
        <f aca="false">debt_mat_30</f>
        <v>0</v>
      </c>
      <c r="J89" s="6" t="n">
        <f aca="false">debt_mat_31</f>
        <v>0.5</v>
      </c>
      <c r="K89" s="6" t="n">
        <f aca="false">debt_mat_32</f>
        <v>0</v>
      </c>
    </row>
    <row r="90" customFormat="false" ht="15" hidden="false" customHeight="false" outlineLevel="0" collapsed="false">
      <c r="A90" s="1" t="s">
        <v>956</v>
      </c>
      <c r="B90" s="0" t="s">
        <v>98</v>
      </c>
      <c r="E90" s="6" t="n">
        <f aca="false">Q!M40</f>
        <v>22.271</v>
      </c>
      <c r="F90" s="6" t="n">
        <f aca="false">MAX(0,MIN(bb_target,CF!E92+CF!F88-CF!F89-min_cash))</f>
        <v>0</v>
      </c>
      <c r="G90" s="6" t="n">
        <f aca="false">MAX(0,MIN(bb_target,CF!F92+CF!G88-CF!G89-min_cash))</f>
        <v>0</v>
      </c>
      <c r="H90" s="6" t="n">
        <f aca="false">MAX(0,MIN(bb_target,CF!G92+CF!H88-CF!H89-min_cash))</f>
        <v>6.64578442070476</v>
      </c>
      <c r="I90" s="6" t="n">
        <f aca="false">MAX(0,MIN(bb_target,CF!H92+CF!I88-CF!I89-min_cash))</f>
        <v>22.271</v>
      </c>
      <c r="J90" s="6" t="n">
        <f aca="false">MAX(0,MIN(bb_target,CF!I92+CF!J88-CF!J89-min_cash))</f>
        <v>22.271</v>
      </c>
      <c r="K90" s="6" t="n">
        <f aca="false">MAX(0,MIN(bb_target,CF!J92+CF!K88-CF!K89-min_cash))</f>
        <v>22.271</v>
      </c>
    </row>
    <row r="91" customFormat="false" ht="15" hidden="false" customHeight="false" outlineLevel="0" collapsed="false">
      <c r="A91" s="1" t="s">
        <v>957</v>
      </c>
      <c r="B91" s="0" t="s">
        <v>98</v>
      </c>
      <c r="F91" s="6" t="n">
        <f aca="false">MAX(0,min_cash-(CF!E92+CF!F88-CF!F89-CF!F90))</f>
        <v>14.230235009273</v>
      </c>
      <c r="G91" s="6" t="n">
        <f aca="false">MAX(0,min_cash-(CF!F92+CF!G88-CF!G89-CF!G90))</f>
        <v>13.1576744700184</v>
      </c>
      <c r="H91" s="6" t="n">
        <f aca="false">MAX(0,min_cash-(CF!G92+CF!H88-CF!H89-CF!H90))</f>
        <v>0</v>
      </c>
      <c r="I91" s="6" t="n">
        <f aca="false">MAX(0,min_cash-(CF!H92+CF!I88-CF!I89-CF!I90))</f>
        <v>0</v>
      </c>
      <c r="J91" s="6" t="n">
        <f aca="false">MAX(0,min_cash-(CF!I92+CF!J88-CF!J89-CF!J90))</f>
        <v>0</v>
      </c>
      <c r="K91" s="6" t="n">
        <f aca="false">MAX(0,min_cash-(CF!J92+CF!K88-CF!K89-CF!K90))</f>
        <v>0</v>
      </c>
    </row>
    <row r="92" customFormat="false" ht="15" hidden="false" customHeight="false" outlineLevel="0" collapsed="false">
      <c r="A92" s="1" t="s">
        <v>958</v>
      </c>
      <c r="B92" s="0" t="s">
        <v>98</v>
      </c>
      <c r="E92" s="6" t="n">
        <f aca="false">cash_open</f>
        <v>76.843</v>
      </c>
      <c r="F92" s="6" t="n">
        <f aca="false">CF!E92+CF!F88-CF!F89-CF!F90+CF!F91</f>
        <v>50</v>
      </c>
      <c r="G92" s="6" t="n">
        <f aca="false">CF!F92+CF!G88-CF!G89-CF!G90+CF!G91</f>
        <v>50</v>
      </c>
      <c r="H92" s="6" t="n">
        <f aca="false">CF!G92+CF!H88-CF!H89-CF!H90+CF!H91</f>
        <v>50</v>
      </c>
      <c r="I92" s="6" t="n">
        <f aca="false">CF!H92+CF!I88-CF!I89-CF!I90+CF!I91</f>
        <v>90.1921764739423</v>
      </c>
      <c r="J92" s="6" t="n">
        <f aca="false">CF!I92+CF!J88-CF!J89-CF!J90+CF!J91</f>
        <v>192.712244996036</v>
      </c>
      <c r="K92" s="6" t="n">
        <f aca="false">CF!J92+CF!K88-CF!K89-CF!K90+CF!K91</f>
        <v>323.541728150953</v>
      </c>
    </row>
    <row r="93" customFormat="false" ht="15" hidden="false" customHeight="false" outlineLevel="0" collapsed="false">
      <c r="A93" s="1" t="s">
        <v>959</v>
      </c>
      <c r="B93" s="0" t="s">
        <v>98</v>
      </c>
      <c r="E93" s="6" t="n">
        <f aca="false">debt_face</f>
        <v>46.136</v>
      </c>
      <c r="F93" s="6" t="n">
        <f aca="false">CF!E93-CF!F89+CF!F91</f>
        <v>51.116235009273</v>
      </c>
      <c r="G93" s="6" t="n">
        <f aca="false">CF!F93-CF!G89+CF!G91</f>
        <v>64.2739094792914</v>
      </c>
      <c r="H93" s="6" t="n">
        <f aca="false">CF!G93-CF!H89+CF!H91</f>
        <v>62.2729094792914</v>
      </c>
      <c r="I93" s="6" t="n">
        <f aca="false">CF!H93-CF!I89+CF!I91</f>
        <v>62.2729094792914</v>
      </c>
      <c r="J93" s="6" t="n">
        <f aca="false">CF!I93-CF!J89+CF!J91</f>
        <v>61.7729094792914</v>
      </c>
      <c r="K93" s="6" t="n">
        <f aca="false">CF!J93-CF!K89+CF!K91</f>
        <v>61.7729094792914</v>
      </c>
    </row>
    <row r="94" customFormat="false" ht="15" hidden="false" customHeight="false" outlineLevel="0" collapsed="false">
      <c r="A94" s="1" t="s">
        <v>960</v>
      </c>
      <c r="B94" s="0" t="s">
        <v>98</v>
      </c>
      <c r="E94" s="6" t="n">
        <f aca="false">CF!E92-CF!E93</f>
        <v>30.707</v>
      </c>
      <c r="F94" s="6" t="n">
        <f aca="false">CF!F92-CF!F93</f>
        <v>-1.11623500927296</v>
      </c>
      <c r="G94" s="6" t="n">
        <f aca="false">CF!G92-CF!G93</f>
        <v>-14.2739094792913</v>
      </c>
      <c r="H94" s="6" t="n">
        <f aca="false">CF!H92-CF!H93</f>
        <v>-12.2729094792914</v>
      </c>
      <c r="I94" s="6" t="n">
        <f aca="false">CF!I92-CF!I93</f>
        <v>27.9192669946509</v>
      </c>
      <c r="J94" s="6" t="n">
        <f aca="false">CF!J92-CF!J93</f>
        <v>130.939335516745</v>
      </c>
      <c r="K94" s="6" t="n">
        <f aca="false">CF!K92-CF!K93</f>
        <v>261.768818671662</v>
      </c>
    </row>
    <row r="95" customFormat="false" ht="15" hidden="false" customHeight="false" outlineLevel="0" collapsed="false">
      <c r="A95" s="1" t="s">
        <v>961</v>
      </c>
      <c r="B95" s="0" t="s">
        <v>75</v>
      </c>
      <c r="F95" s="29" t="n">
        <f aca="false">px*(1+bb_g)^(Thesis!F104-base_fy-mid_yr)</f>
        <v>553.494156066711</v>
      </c>
      <c r="G95" s="29" t="n">
        <f aca="false">px*(1+bb_g)^(Thesis!G104-base_fy-mid_yr)</f>
        <v>597.773688552047</v>
      </c>
      <c r="H95" s="29" t="n">
        <f aca="false">px*(1+bb_g)^(Thesis!H104-base_fy-mid_yr)</f>
        <v>645.595583636211</v>
      </c>
      <c r="I95" s="29" t="n">
        <f aca="false">px*(1+bb_g)^(Thesis!I104-base_fy-mid_yr)</f>
        <v>697.243230327108</v>
      </c>
      <c r="J95" s="29" t="n">
        <f aca="false">px*(1+bb_g)^(Thesis!J104-base_fy-mid_yr)</f>
        <v>753.022688753277</v>
      </c>
      <c r="K95" s="29" t="n">
        <f aca="false">px*(1+bb_g)^(Thesis!K104-base_fy-mid_yr)</f>
        <v>813.264503853539</v>
      </c>
    </row>
    <row r="96" customFormat="false" ht="15" hidden="false" customHeight="false" outlineLevel="0" collapsed="false">
      <c r="A96" s="1" t="s">
        <v>962</v>
      </c>
      <c r="B96" s="1" t="s">
        <v>81</v>
      </c>
      <c r="E96" s="14" t="n">
        <f aca="false">sh_out26</f>
        <v>7.427</v>
      </c>
      <c r="F96" s="14" t="n">
        <f aca="false">CF!E96+sh_iss-CF!F90/CF!F95</f>
        <v>7.472</v>
      </c>
      <c r="G96" s="14" t="n">
        <f aca="false">CF!F96+sh_iss-CF!G90/CF!G95</f>
        <v>7.517</v>
      </c>
      <c r="H96" s="14" t="n">
        <f aca="false">CF!G96+sh_iss-CF!H90/CF!H95</f>
        <v>7.55170596362622</v>
      </c>
      <c r="I96" s="14" t="n">
        <f aca="false">CF!H96+sh_iss-CF!I90/CF!I95</f>
        <v>7.56476445594094</v>
      </c>
      <c r="J96" s="14" t="n">
        <f aca="false">CF!I96+sh_iss-CF!J90/CF!J95</f>
        <v>7.58018898586198</v>
      </c>
      <c r="K96" s="14" t="n">
        <f aca="false">CF!J96+sh_iss-CF!K90/CF!K95</f>
        <v>7.59780429134443</v>
      </c>
    </row>
    <row r="97" customFormat="false" ht="15" hidden="false" customHeight="false" outlineLevel="0" collapsed="false">
      <c r="A97" s="1" t="s">
        <v>963</v>
      </c>
      <c r="B97" s="1" t="s">
        <v>81</v>
      </c>
      <c r="E97" s="14" t="n">
        <f aca="false">sh_dil26</f>
        <v>7.453</v>
      </c>
      <c r="F97" s="14" t="n">
        <f aca="false">(CF!E96+CF!F96)/2+dil_gap</f>
        <v>7.4735</v>
      </c>
      <c r="G97" s="14" t="n">
        <f aca="false">(CF!F96+CF!G96)/2+dil_gap</f>
        <v>7.5185</v>
      </c>
      <c r="H97" s="14" t="n">
        <f aca="false">(CF!G96+CF!H96)/2+dil_gap</f>
        <v>7.55835298181311</v>
      </c>
      <c r="I97" s="14" t="n">
        <f aca="false">(CF!H96+CF!I96)/2+dil_gap</f>
        <v>7.58223520978358</v>
      </c>
      <c r="J97" s="14" t="n">
        <f aca="false">(CF!I96+CF!J96)/2+dil_gap</f>
        <v>7.59647672090146</v>
      </c>
      <c r="K97" s="14" t="n">
        <f aca="false">(CF!J96+CF!K96)/2+dil_gap</f>
        <v>7.6129966386032</v>
      </c>
    </row>
    <row r="98" customFormat="false" ht="17.15" hidden="false" customHeight="false" outlineLevel="0" collapsed="false">
      <c r="A98" s="1" t="s">
        <v>964</v>
      </c>
      <c r="B98" s="0" t="s">
        <v>98</v>
      </c>
      <c r="C98" s="6" t="n">
        <f aca="false">SUM(CF!F88:J88)</f>
        <v>151.420119937449</v>
      </c>
    </row>
    <row r="99" customFormat="false" ht="15" hidden="false" customHeight="false" outlineLevel="0" collapsed="false">
      <c r="A99" s="23" t="s">
        <v>935</v>
      </c>
      <c r="B99" s="30" t="s">
        <v>98</v>
      </c>
      <c r="C99" s="24" t="n">
        <f aca="false">CF!$C$98-(CF!F88+CF!G88+CF!H88+CF!I88+CF!J88)</f>
        <v>0</v>
      </c>
      <c r="D99" s="30"/>
      <c r="E99" s="30"/>
      <c r="F99" s="30"/>
      <c r="G99" s="30"/>
      <c r="H99" s="30"/>
      <c r="I99" s="30"/>
      <c r="J99" s="30"/>
      <c r="K99" s="30"/>
    </row>
    <row r="100" customFormat="false" ht="17.15" hidden="false" customHeight="false" outlineLevel="0" collapsed="false">
      <c r="A100" s="1" t="s">
        <v>929</v>
      </c>
      <c r="B100" s="1" t="s">
        <v>965</v>
      </c>
      <c r="C100" s="32" t="str">
        <f aca="false">IF(SUM(CF!F91:J91)&gt;0.05,"需要舉債 "&amp;TEXT(SUM(CF!F91:J91),"0.0")&amp;" 十億美元","不需舉債")&amp;"；"&amp;IF(SUM(CF!F90:J90)&lt;COUNT(CF!F90:J90)*bb_target-0.05,"回購較每年 "&amp;TEXT(bb_target,"0.0")&amp;" 的目標少 "&amp;TEXT(COUNT(CF!F90:J90)*bb_target-SUM(CF!F90:J90),"0.0")&amp;" 十億美元（"&amp;TEXT(COUNTIF(CF!F90:J90,"&lt;"&amp;(bb_target-0.05)),"0")&amp;" 年減少）","回購不減")</f>
        <v>需要舉債 27.4 十億美元；回購較每年 22.3 的目標少 60.2 十億美元（3 年減少）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11" min="6" style="0" width="11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968</v>
      </c>
    </row>
    <row r="2" customFormat="false" ht="17.15" hidden="false" customHeight="false" outlineLevel="0" collapsed="false">
      <c r="A2" s="1" t="s">
        <v>969</v>
      </c>
    </row>
    <row r="4" customFormat="false" ht="17.15" hidden="false" customHeight="false" outlineLevel="0" collapsed="false">
      <c r="A4" s="9" t="s">
        <v>970</v>
      </c>
    </row>
    <row r="5" customFormat="false" ht="17.15" hidden="false" customHeight="false" outlineLevel="0" collapsed="false">
      <c r="A5" s="9" t="s">
        <v>971</v>
      </c>
    </row>
    <row r="6" customFormat="false" ht="17.15" hidden="false" customHeight="false" outlineLevel="0" collapsed="false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</row>
    <row r="7" customFormat="false" ht="17.15" hidden="false" customHeight="false" outlineLevel="0" collapsed="false">
      <c r="A7" s="0" t="s">
        <v>972</v>
      </c>
      <c r="B7" s="6" t="n">
        <f aca="false">Val!$C$81</f>
        <v>2398.44450024663</v>
      </c>
      <c r="C7" s="6" t="n">
        <f aca="false">Val!$C$127</f>
        <v>2149.89905253932</v>
      </c>
      <c r="D7" s="6" t="n">
        <f aca="false">Val!$C$173</f>
        <v>1851.18456527027</v>
      </c>
      <c r="E7" s="11" t="s">
        <v>98</v>
      </c>
    </row>
    <row r="8" customFormat="false" ht="17.15" hidden="false" customHeight="false" outlineLevel="0" collapsed="false">
      <c r="A8" s="1" t="s">
        <v>973</v>
      </c>
      <c r="B8" s="7" t="n">
        <f aca="false">Val!$C$82</f>
        <v>0.732060572988622</v>
      </c>
      <c r="C8" s="7" t="n">
        <f aca="false">Val!$C$128</f>
        <v>0.737432545981606</v>
      </c>
      <c r="D8" s="7" t="n">
        <f aca="false">Val!$C$174</f>
        <v>0.745979868801507</v>
      </c>
      <c r="E8" s="1" t="s">
        <v>974</v>
      </c>
    </row>
    <row r="9" customFormat="false" ht="17.15" hidden="false" customHeight="false" outlineLevel="0" collapsed="false">
      <c r="A9" s="1" t="s">
        <v>975</v>
      </c>
      <c r="B9" s="6" t="n">
        <f aca="false">CF!E36</f>
        <v>30.707</v>
      </c>
      <c r="C9" s="6" t="n">
        <f aca="false">CF!E65</f>
        <v>30.707</v>
      </c>
      <c r="D9" s="6" t="n">
        <f aca="false">CF!E94</f>
        <v>30.707</v>
      </c>
    </row>
    <row r="10" customFormat="false" ht="17.15" hidden="false" customHeight="false" outlineLevel="0" collapsed="false">
      <c r="A10" s="1" t="s">
        <v>976</v>
      </c>
      <c r="B10" s="6" t="n">
        <f aca="false">CF!E25</f>
        <v>66.594</v>
      </c>
      <c r="C10" s="6" t="n">
        <f aca="false">CF!E54</f>
        <v>66.594</v>
      </c>
      <c r="D10" s="6" t="n">
        <f aca="false">CF!E83</f>
        <v>66.594</v>
      </c>
      <c r="E10" s="1" t="s">
        <v>977</v>
      </c>
    </row>
    <row r="11" customFormat="false" ht="17.15" hidden="false" customHeight="false" outlineLevel="0" collapsed="false">
      <c r="A11" s="1" t="s">
        <v>978</v>
      </c>
      <c r="B11" s="6" t="n">
        <f aca="false">oai_v</f>
        <v>170.4</v>
      </c>
      <c r="C11" s="6" t="n">
        <f aca="false">oai_v</f>
        <v>170.4</v>
      </c>
      <c r="D11" s="6" t="n">
        <f aca="false">oai_v</f>
        <v>170.4</v>
      </c>
      <c r="E11" s="11" t="s">
        <v>979</v>
      </c>
    </row>
    <row r="12" customFormat="false" ht="17.15" hidden="false" customHeight="false" outlineLevel="0" collapsed="false">
      <c r="A12" s="0" t="s">
        <v>980</v>
      </c>
      <c r="B12" s="5" t="n">
        <f aca="false">Val!$C$84</f>
        <v>339.857439990155</v>
      </c>
      <c r="C12" s="5" t="n">
        <f aca="false">Val!$C$130</f>
        <v>306.509063805088</v>
      </c>
      <c r="D12" s="5" t="n">
        <f aca="false">Val!$C$176</f>
        <v>266.429298976287</v>
      </c>
      <c r="E12" s="11" t="s">
        <v>981</v>
      </c>
    </row>
    <row r="13" customFormat="false" ht="17.15" hidden="false" customHeight="false" outlineLevel="0" collapsed="false">
      <c r="A13" s="0" t="s">
        <v>982</v>
      </c>
      <c r="B13" s="5" t="n">
        <f aca="false">Val!$C$86</f>
        <v>382.117514595532</v>
      </c>
      <c r="C13" s="5" t="n">
        <f aca="false">Val!$C$132</f>
        <v>344.14260514713</v>
      </c>
      <c r="D13" s="5" t="n">
        <f aca="false">Val!$C$178</f>
        <v>298.502438692235</v>
      </c>
      <c r="E13" s="11" t="s">
        <v>983</v>
      </c>
    </row>
    <row r="14" customFormat="false" ht="17.15" hidden="false" customHeight="false" outlineLevel="0" collapsed="false">
      <c r="A14" s="0" t="s">
        <v>984</v>
      </c>
      <c r="B14" s="33" t="n">
        <f aca="false">w_A*B13+w_B*C13+w_C*D13</f>
        <v>342.226290895507</v>
      </c>
      <c r="E14" s="11" t="s">
        <v>985</v>
      </c>
    </row>
    <row r="15" customFormat="false" ht="17.15" hidden="false" customHeight="false" outlineLevel="0" collapsed="false">
      <c r="A15" s="0" t="s">
        <v>986</v>
      </c>
      <c r="B15" s="34" t="n">
        <f aca="false">wacc</f>
        <v>0.102934420092876</v>
      </c>
      <c r="C15" s="34" t="n">
        <f aca="false">g_tv</f>
        <v>0.03</v>
      </c>
      <c r="E15" s="11" t="s">
        <v>987</v>
      </c>
    </row>
    <row r="17" customFormat="false" ht="17.15" hidden="false" customHeight="false" outlineLevel="0" collapsed="false">
      <c r="A17" s="9" t="s">
        <v>988</v>
      </c>
    </row>
    <row r="18" customFormat="false" ht="17.15" hidden="false" customHeight="false" outlineLevel="0" collapsed="false">
      <c r="A18" s="4" t="s">
        <v>43</v>
      </c>
      <c r="B18" s="4" t="s">
        <v>44</v>
      </c>
      <c r="C18" s="4" t="s">
        <v>45</v>
      </c>
      <c r="D18" s="4" t="s">
        <v>46</v>
      </c>
      <c r="E18" s="4" t="s">
        <v>989</v>
      </c>
    </row>
    <row r="19" customFormat="false" ht="17.15" hidden="false" customHeight="false" outlineLevel="0" collapsed="false">
      <c r="A19" s="0" t="s">
        <v>990</v>
      </c>
      <c r="B19" s="6" t="n">
        <f aca="false">Val!$C$102</f>
        <v>395.341160412867</v>
      </c>
      <c r="C19" s="6" t="n">
        <f aca="false">Val!$C$148</f>
        <v>163.343942987594</v>
      </c>
      <c r="D19" s="6" t="n">
        <f aca="false">Val!$C$194</f>
        <v>-125.782434907083</v>
      </c>
    </row>
    <row r="20" customFormat="false" ht="17.15" hidden="false" customHeight="false" outlineLevel="0" collapsed="false">
      <c r="A20" s="0" t="s">
        <v>991</v>
      </c>
      <c r="B20" s="6" t="n">
        <f aca="false">Val!$C$104</f>
        <v>1075.89468255979</v>
      </c>
      <c r="C20" s="6" t="n">
        <f aca="false">Val!$C$150</f>
        <v>1070.81495830201</v>
      </c>
      <c r="D20" s="6" t="n">
        <f aca="false">Val!$C$196</f>
        <v>1064.09888458319</v>
      </c>
      <c r="E20" s="8" t="n">
        <f aca="false">m_cloud</f>
        <v>13.82</v>
      </c>
    </row>
    <row r="21" customFormat="false" ht="17.15" hidden="false" customHeight="false" outlineLevel="0" collapsed="false">
      <c r="A21" s="0" t="s">
        <v>992</v>
      </c>
      <c r="B21" s="6" t="n">
        <f aca="false">Val!$C$105</f>
        <v>1124.90844188024</v>
      </c>
      <c r="C21" s="6" t="n">
        <f aca="false">Val!$C$151</f>
        <v>1084.50516663972</v>
      </c>
      <c r="D21" s="6" t="n">
        <f aca="false">Val!$C$197</f>
        <v>1044.04824539957</v>
      </c>
      <c r="E21" s="8" t="n">
        <f aca="false">m_sw</f>
        <v>10.8</v>
      </c>
    </row>
    <row r="22" customFormat="false" ht="17.15" hidden="false" customHeight="false" outlineLevel="0" collapsed="false">
      <c r="A22" s="0" t="s">
        <v>993</v>
      </c>
      <c r="B22" s="6" t="n">
        <f aca="false">Val!$C$106</f>
        <v>379.14616828134</v>
      </c>
      <c r="C22" s="6" t="n">
        <f aca="false">Val!$C$152</f>
        <v>379.446649868791</v>
      </c>
      <c r="D22" s="6" t="n">
        <f aca="false">Val!$C$198</f>
        <v>379.755670745447</v>
      </c>
      <c r="E22" s="8" t="n">
        <f aca="false">m_sw</f>
        <v>10.8</v>
      </c>
    </row>
    <row r="23" customFormat="false" ht="17.15" hidden="false" customHeight="false" outlineLevel="0" collapsed="false">
      <c r="A23" s="0" t="s">
        <v>994</v>
      </c>
      <c r="B23" s="6" t="n">
        <f aca="false">Val!$C$107</f>
        <v>109.062013245671</v>
      </c>
      <c r="C23" s="6" t="n">
        <f aca="false">Val!$C$153</f>
        <v>109.245833616811</v>
      </c>
      <c r="D23" s="6" t="n">
        <f aca="false">Val!$C$199</f>
        <v>109.434903376969</v>
      </c>
      <c r="E23" s="8" t="n">
        <f aca="false">m_sw</f>
        <v>10.8</v>
      </c>
    </row>
    <row r="24" customFormat="false" ht="17.15" hidden="false" customHeight="false" outlineLevel="0" collapsed="false">
      <c r="A24" s="0" t="s">
        <v>995</v>
      </c>
      <c r="B24" s="6" t="n">
        <f aca="false">Val!$C$108</f>
        <v>41.609111172448</v>
      </c>
      <c r="C24" s="6" t="n">
        <f aca="false">Val!$C$154</f>
        <v>41.6791515554452</v>
      </c>
      <c r="D24" s="6" t="n">
        <f aca="false">Val!$C$200</f>
        <v>41.7511882786773</v>
      </c>
      <c r="E24" s="8" t="n">
        <f aca="false">m_sw</f>
        <v>10.8</v>
      </c>
    </row>
    <row r="25" customFormat="false" ht="17.15" hidden="false" customHeight="false" outlineLevel="0" collapsed="false">
      <c r="A25" s="0" t="s">
        <v>996</v>
      </c>
      <c r="B25" s="6" t="n">
        <f aca="false">Val!$C$109</f>
        <v>114.966369190532</v>
      </c>
      <c r="C25" s="6" t="n">
        <f aca="false">Val!$C$155</f>
        <v>115.160236299351</v>
      </c>
      <c r="D25" s="6" t="n">
        <f aca="false">Val!$C$201</f>
        <v>115.359643719254</v>
      </c>
      <c r="E25" s="8" t="n">
        <f aca="false">m_ads</f>
        <v>9.11</v>
      </c>
    </row>
    <row r="26" customFormat="false" ht="17.15" hidden="false" customHeight="false" outlineLevel="0" collapsed="false">
      <c r="A26" s="0" t="s">
        <v>997</v>
      </c>
      <c r="B26" s="6" t="n">
        <f aca="false">Val!$C$110</f>
        <v>97.6152211068291</v>
      </c>
      <c r="C26" s="6" t="n">
        <f aca="false">Val!$C$156</f>
        <v>97.7814405506301</v>
      </c>
      <c r="D26" s="6" t="n">
        <f aca="false">Val!$C$202</f>
        <v>97.9523541428266</v>
      </c>
      <c r="E26" s="8" t="n">
        <f aca="false">m_game</f>
        <v>12.63</v>
      </c>
    </row>
    <row r="27" customFormat="false" ht="17.15" hidden="false" customHeight="false" outlineLevel="0" collapsed="false">
      <c r="A27" s="0" t="s">
        <v>998</v>
      </c>
      <c r="B27" s="6" t="n">
        <f aca="false">Val!$C$111</f>
        <v>96.7776202313644</v>
      </c>
      <c r="C27" s="6" t="n">
        <f aca="false">Val!$C$157</f>
        <v>96.9427395583992</v>
      </c>
      <c r="D27" s="6" t="n">
        <f aca="false">Val!$C$203</f>
        <v>97.1125357928949</v>
      </c>
      <c r="E27" s="8" t="n">
        <f aca="false">m_pc</f>
        <v>14.47</v>
      </c>
    </row>
    <row r="28" customFormat="false" ht="17.15" hidden="false" customHeight="false" outlineLevel="0" collapsed="false">
      <c r="A28" s="1" t="s">
        <v>999</v>
      </c>
      <c r="B28" s="6" t="n">
        <f aca="false">Val!$C$112</f>
        <v>3435.32078808108</v>
      </c>
      <c r="C28" s="6" t="n">
        <f aca="false">Val!$C$158</f>
        <v>3158.92011937875</v>
      </c>
      <c r="D28" s="6" t="n">
        <f aca="false">Val!$C$204</f>
        <v>2823.73099113174</v>
      </c>
      <c r="E28" s="11" t="s">
        <v>98</v>
      </c>
    </row>
    <row r="29" customFormat="false" ht="17.15" hidden="false" customHeight="false" outlineLevel="0" collapsed="false">
      <c r="A29" s="1" t="s">
        <v>1000</v>
      </c>
      <c r="B29" s="6" t="n">
        <f aca="false">Val!$C$113</f>
        <v>115.079583119545</v>
      </c>
      <c r="C29" s="6" t="n">
        <f aca="false">Val!$C$159</f>
        <v>111.253995542787</v>
      </c>
      <c r="D29" s="6" t="n">
        <f aca="false">Val!$C$205</f>
        <v>106.814034990727</v>
      </c>
    </row>
    <row r="30" customFormat="false" ht="17.15" hidden="false" customHeight="false" outlineLevel="0" collapsed="false">
      <c r="A30" s="1" t="s">
        <v>1001</v>
      </c>
      <c r="B30" s="5" t="n">
        <f aca="false">Val!$C$114</f>
        <v>475.160649250619</v>
      </c>
      <c r="C30" s="5" t="n">
        <f aca="false">Val!$C$160</f>
        <v>437.657135294638</v>
      </c>
      <c r="D30" s="5" t="n">
        <f aca="false">Val!$C$206</f>
        <v>392.203563453221</v>
      </c>
      <c r="E30" s="11" t="s">
        <v>1002</v>
      </c>
    </row>
    <row r="31" customFormat="false" ht="17.15" hidden="false" customHeight="false" outlineLevel="0" collapsed="false">
      <c r="A31" s="0" t="s">
        <v>1003</v>
      </c>
      <c r="B31" s="33" t="n">
        <f aca="false">w_A*B30+w_B*C30+w_C*D30</f>
        <v>435.669620823279</v>
      </c>
      <c r="E31" s="1" t="s">
        <v>1004</v>
      </c>
    </row>
    <row r="32" customFormat="false" ht="17.15" hidden="false" customHeight="false" outlineLevel="0" collapsed="false">
      <c r="A32" s="1" t="s">
        <v>1005</v>
      </c>
      <c r="B32" s="6" t="n">
        <f aca="false">Val!$C$103</f>
        <v>551.711134531404</v>
      </c>
      <c r="C32" s="6" t="n">
        <f aca="false">Val!$C$149</f>
        <v>454.922440830797</v>
      </c>
      <c r="D32" s="6" t="n">
        <f aca="false">Val!$C$195</f>
        <v>338.776008390068</v>
      </c>
      <c r="E32" s="11" t="s">
        <v>1006</v>
      </c>
    </row>
    <row r="34" customFormat="false" ht="17.15" hidden="false" customHeight="false" outlineLevel="0" collapsed="false">
      <c r="A34" s="9" t="s">
        <v>1007</v>
      </c>
    </row>
    <row r="35" customFormat="false" ht="15" hidden="false" customHeight="false" outlineLevel="0" collapsed="false">
      <c r="A35" s="4" t="s">
        <v>43</v>
      </c>
      <c r="B35" s="4" t="s">
        <v>1008</v>
      </c>
      <c r="C35" s="4" t="s">
        <v>1009</v>
      </c>
      <c r="D35" s="4" t="s">
        <v>1009</v>
      </c>
      <c r="E35" s="4" t="s">
        <v>47</v>
      </c>
    </row>
    <row r="36" customFormat="false" ht="17.15" hidden="false" customHeight="false" outlineLevel="0" collapsed="false">
      <c r="A36" s="1" t="s">
        <v>1010</v>
      </c>
      <c r="B36" s="33" t="n">
        <f aca="false">w_dcf*$B$14+(1-w_dcf)*$B$31</f>
        <v>388.947955859393</v>
      </c>
      <c r="E36" s="11" t="s">
        <v>1011</v>
      </c>
    </row>
    <row r="37" customFormat="false" ht="17.15" hidden="false" customHeight="false" outlineLevel="0" collapsed="false">
      <c r="A37" s="0" t="s">
        <v>984</v>
      </c>
      <c r="B37" s="5" t="n">
        <f aca="false">$B$14</f>
        <v>342.226290895507</v>
      </c>
    </row>
    <row r="38" customFormat="false" ht="17.15" hidden="false" customHeight="false" outlineLevel="0" collapsed="false">
      <c r="A38" s="1" t="s">
        <v>1012</v>
      </c>
      <c r="B38" s="5" t="n">
        <f aca="false">cons_tp</f>
        <v>603.43</v>
      </c>
      <c r="C38" s="5" t="n">
        <f aca="false">cons_tp_lo</f>
        <v>440</v>
      </c>
      <c r="D38" s="5" t="n">
        <f aca="false">cons_tp_hi</f>
        <v>870</v>
      </c>
      <c r="E38" s="11" t="s">
        <v>1013</v>
      </c>
    </row>
    <row r="39" customFormat="false" ht="17.15" hidden="false" customHeight="false" outlineLevel="0" collapsed="false">
      <c r="A39" s="1" t="s">
        <v>74</v>
      </c>
      <c r="B39" s="5" t="n">
        <f aca="false">px</f>
        <v>532.6</v>
      </c>
      <c r="E39" s="11" t="s">
        <v>1014</v>
      </c>
    </row>
    <row r="40" customFormat="false" ht="17.15" hidden="false" customHeight="false" outlineLevel="0" collapsed="false">
      <c r="A40" s="1" t="s">
        <v>1015</v>
      </c>
      <c r="B40" s="7" t="n">
        <f aca="false">$B$36/px-1</f>
        <v>-0.269718445626375</v>
      </c>
      <c r="E40" s="1" t="s">
        <v>1016</v>
      </c>
    </row>
    <row r="41" customFormat="false" ht="17.15" hidden="false" customHeight="false" outlineLevel="0" collapsed="false">
      <c r="A41" s="1" t="s">
        <v>1017</v>
      </c>
      <c r="B41" s="7" t="n">
        <f aca="false">$B$31/px-1</f>
        <v>-0.181994703673904</v>
      </c>
    </row>
    <row r="42" customFormat="false" ht="17.15" hidden="false" customHeight="false" outlineLevel="0" collapsed="false">
      <c r="A42" s="1" t="s">
        <v>1018</v>
      </c>
      <c r="B42" s="32" t="str">
        <f aca="false">IF($B$40&gt;0.5,"大於 50%",IF($B$40&gt;0.25,"25%–50%",IF($B$40&gt;=0,"0%–25%",IF($B$40&gt;=-0.25,"0%～−25%",IF($B$40&gt;=-0.5,"−25%～−50%","小於 −50%")))))</f>
        <v>−25%～−50%</v>
      </c>
      <c r="E42" s="1" t="s">
        <v>1019</v>
      </c>
    </row>
    <row r="43" customFormat="false" ht="17.15" hidden="false" customHeight="false" outlineLevel="0" collapsed="false">
      <c r="A43" s="17" t="s">
        <v>1020</v>
      </c>
      <c r="B43" s="35" t="str">
        <f aca="false">IF($B$40&gt;=0.5,"強力買進",IF($B$40&gt;=0.25,"買進",IF($B$40&gt;-0.25,"中立",IF($B$40&gt;-0.5,"放空","強力放空"))))</f>
        <v>放空</v>
      </c>
      <c r="C43" s="16"/>
      <c r="D43" s="16"/>
      <c r="E43" s="17" t="s">
        <v>1021</v>
      </c>
    </row>
    <row r="44" customFormat="false" ht="17.15" hidden="false" customHeight="false" outlineLevel="0" collapsed="false">
      <c r="A44" s="1" t="s">
        <v>1022</v>
      </c>
      <c r="B44" s="5" t="n">
        <f aca="false">Val!$C$115</f>
        <v>428.639081923075</v>
      </c>
      <c r="C44" s="5" t="n">
        <f aca="false">Val!$C$161</f>
        <v>390.899870220884</v>
      </c>
      <c r="D44" s="5" t="n">
        <f aca="false">Val!$C$207</f>
        <v>345.353001072728</v>
      </c>
      <c r="E44" s="11" t="s">
        <v>1023</v>
      </c>
    </row>
    <row r="45" customFormat="false" ht="15" hidden="false" customHeight="false" outlineLevel="0" collapsed="false">
      <c r="A45" s="1" t="s">
        <v>1024</v>
      </c>
      <c r="B45" s="7" t="n">
        <f aca="false">B44/px-1</f>
        <v>-0.195195114676914</v>
      </c>
      <c r="C45" s="7" t="n">
        <f aca="false">C44/px-1</f>
        <v>-0.266053566990455</v>
      </c>
      <c r="D45" s="7" t="n">
        <f aca="false">D44/px-1</f>
        <v>-0.351571533847676</v>
      </c>
    </row>
    <row r="46" customFormat="false" ht="17.15" hidden="false" customHeight="false" outlineLevel="0" collapsed="false">
      <c r="A46" s="1" t="s">
        <v>1025</v>
      </c>
      <c r="C46" s="32" t="str">
        <f aca="false">IF(C45&gt;=0.5,"強力買進",IF(C45&gt;=0.25,"買進",IF(C45&gt;-0.25,"中立",IF(C45&gt;-0.5,"放空","強力放空"))))</f>
        <v>放空</v>
      </c>
      <c r="E46" s="1" t="s">
        <v>1026</v>
      </c>
    </row>
    <row r="47" customFormat="false" ht="17.15" hidden="false" customHeight="false" outlineLevel="0" collapsed="false">
      <c r="A47" s="1" t="s">
        <v>1027</v>
      </c>
      <c r="B47" s="5" t="n">
        <f aca="false">Sens!C4</f>
        <v>303.639132482236</v>
      </c>
      <c r="E47" s="11" t="s">
        <v>1028</v>
      </c>
    </row>
    <row r="48" customFormat="false" ht="17.15" hidden="false" customHeight="false" outlineLevel="0" collapsed="false">
      <c r="A48" s="1" t="s">
        <v>1029</v>
      </c>
      <c r="B48" s="7" t="n">
        <f aca="false">$B$47/px-1</f>
        <v>-0.429892729098319</v>
      </c>
    </row>
    <row r="49" customFormat="false" ht="17.15" hidden="false" customHeight="false" outlineLevel="0" collapsed="false">
      <c r="A49" s="1" t="s">
        <v>1030</v>
      </c>
      <c r="B49" s="0" t="str">
        <f aca="false">IF($B$48&gt;=0.5,"強力買進",IF($B$48&gt;=0.25,"買進",IF($B$48&gt;-0.25,"中立",IF($B$48&gt;-0.5,"放空","強力放空"))))</f>
        <v>放空</v>
      </c>
    </row>
    <row r="50" customFormat="false" ht="17.15" hidden="false" customHeight="false" outlineLevel="0" collapsed="false">
      <c r="A50" s="1" t="s">
        <v>1031</v>
      </c>
      <c r="B50" s="5" t="n">
        <f aca="false">D13</f>
        <v>298.502438692235</v>
      </c>
      <c r="E50" s="1" t="s">
        <v>1032</v>
      </c>
    </row>
    <row r="51" customFormat="false" ht="17.15" hidden="false" customHeight="false" outlineLevel="0" collapsed="false">
      <c r="A51" s="1" t="s">
        <v>1033</v>
      </c>
      <c r="B51" s="5" t="n">
        <f aca="false">D13</f>
        <v>298.502438692235</v>
      </c>
      <c r="C51" s="5" t="n">
        <f aca="false">B13</f>
        <v>382.117514595532</v>
      </c>
      <c r="E51" s="11" t="s">
        <v>1034</v>
      </c>
    </row>
    <row r="52" customFormat="false" ht="17.15" hidden="false" customHeight="false" outlineLevel="0" collapsed="false">
      <c r="A52" s="1" t="s">
        <v>1035</v>
      </c>
      <c r="B52" s="36" t="n">
        <f aca="false">px/PL!G49</f>
        <v>20.5072583433929</v>
      </c>
      <c r="C52" s="36" t="n">
        <f aca="false">px/PL!G88</f>
        <v>21.5922662527126</v>
      </c>
      <c r="D52" s="36" t="n">
        <f aca="false">px/PL!G127</f>
        <v>23.0164356912557</v>
      </c>
      <c r="E52" s="11" t="s">
        <v>1036</v>
      </c>
    </row>
    <row r="53" customFormat="false" ht="17.15" hidden="false" customHeight="false" outlineLevel="0" collapsed="false">
      <c r="A53" s="1" t="s">
        <v>1037</v>
      </c>
      <c r="B53" s="36" t="n">
        <f aca="false">$B$36/PL!G88</f>
        <v>15.7684337614801</v>
      </c>
    </row>
    <row r="54" customFormat="false" ht="17.15" hidden="false" customHeight="false" outlineLevel="0" collapsed="false">
      <c r="A54" s="1" t="s">
        <v>1038</v>
      </c>
      <c r="B54" s="0" t="s">
        <v>1039</v>
      </c>
    </row>
    <row r="56" customFormat="false" ht="17.15" hidden="false" customHeight="false" outlineLevel="0" collapsed="false">
      <c r="A56" s="9" t="s">
        <v>1040</v>
      </c>
    </row>
    <row r="70" customFormat="false" ht="17.15" hidden="false" customHeight="false" outlineLevel="0" collapsed="false">
      <c r="A70" s="3" t="s">
        <v>1041</v>
      </c>
    </row>
    <row r="71" customFormat="false" ht="15" hidden="false" customHeight="false" outlineLevel="0" collapsed="false">
      <c r="A71" s="4" t="s">
        <v>43</v>
      </c>
      <c r="B71" s="4" t="s">
        <v>65</v>
      </c>
      <c r="C71" s="20" t="s">
        <v>788</v>
      </c>
      <c r="D71" s="20" t="s">
        <v>789</v>
      </c>
      <c r="E71" s="20" t="s">
        <v>790</v>
      </c>
      <c r="F71" s="20" t="s">
        <v>791</v>
      </c>
      <c r="G71" s="20" t="s">
        <v>792</v>
      </c>
      <c r="H71" s="20" t="s">
        <v>793</v>
      </c>
      <c r="I71" s="20" t="s">
        <v>794</v>
      </c>
      <c r="J71" s="20" t="s">
        <v>795</v>
      </c>
      <c r="K71" s="20" t="s">
        <v>796</v>
      </c>
      <c r="L71" s="4" t="s">
        <v>47</v>
      </c>
    </row>
    <row r="72" customFormat="false" ht="15" hidden="false" customHeight="false" outlineLevel="0" collapsed="false">
      <c r="A72" s="1" t="s">
        <v>1042</v>
      </c>
      <c r="B72" s="1" t="s">
        <v>235</v>
      </c>
      <c r="F72" s="36" t="n">
        <f aca="false">Thesis!F6-base_fy-mid_yr</f>
        <v>0.5</v>
      </c>
      <c r="G72" s="36" t="n">
        <f aca="false">Thesis!G6-base_fy-mid_yr</f>
        <v>1.5</v>
      </c>
      <c r="H72" s="36" t="n">
        <f aca="false">Thesis!H6-base_fy-mid_yr</f>
        <v>2.5</v>
      </c>
      <c r="I72" s="36" t="n">
        <f aca="false">Thesis!I6-base_fy-mid_yr</f>
        <v>3.5</v>
      </c>
      <c r="J72" s="36" t="n">
        <f aca="false">Thesis!J6-base_fy-mid_yr</f>
        <v>4.5</v>
      </c>
      <c r="K72" s="36" t="n">
        <f aca="false">Thesis!K6-base_fy-mid_yr</f>
        <v>5.5</v>
      </c>
    </row>
    <row r="73" customFormat="false" ht="15" hidden="false" customHeight="false" outlineLevel="0" collapsed="false">
      <c r="A73" s="1" t="s">
        <v>1043</v>
      </c>
      <c r="B73" s="0" t="s">
        <v>185</v>
      </c>
      <c r="F73" s="14" t="n">
        <f aca="false">1/(1+wacc)^Val!F72</f>
        <v>0.952193373608246</v>
      </c>
      <c r="G73" s="14" t="n">
        <f aca="false">1/(1+wacc)^Val!G72</f>
        <v>0.863327280626589</v>
      </c>
      <c r="H73" s="14" t="n">
        <f aca="false">1/(1+wacc)^Val!H72</f>
        <v>0.782754862754115</v>
      </c>
      <c r="I73" s="14" t="n">
        <f aca="false">1/(1+wacc)^Val!I72</f>
        <v>0.709702089711011</v>
      </c>
      <c r="J73" s="14" t="n">
        <f aca="false">1/(1+wacc)^Val!J72</f>
        <v>0.643467169744551</v>
      </c>
      <c r="K73" s="14" t="n">
        <f aca="false">1/(1+wacc)^Val!K72</f>
        <v>0.583413807767797</v>
      </c>
    </row>
    <row r="74" customFormat="false" ht="17.15" hidden="false" customHeight="false" outlineLevel="0" collapsed="false">
      <c r="A74" s="1" t="s">
        <v>1044</v>
      </c>
      <c r="B74" s="0" t="s">
        <v>98</v>
      </c>
      <c r="F74" s="6" t="n">
        <f aca="false">CF!F21-CF!F19-CF!F24+Thesis!F44*(1-tax_f)</f>
        <v>9.29995994594013</v>
      </c>
      <c r="G74" s="6" t="n">
        <f aca="false">CF!G21-CF!G19-CF!G24+Thesis!G44*(1-tax_f)</f>
        <v>55.6803799901549</v>
      </c>
      <c r="H74" s="6" t="n">
        <f aca="false">CF!H21-CF!H19-CF!H24+Thesis!H44*(1-tax_f)</f>
        <v>114.6308681267</v>
      </c>
      <c r="I74" s="6" t="n">
        <f aca="false">CF!I21-CF!I19-CF!I24+Thesis!I44*(1-tax_f)</f>
        <v>192.960687587037</v>
      </c>
      <c r="J74" s="6" t="n">
        <f aca="false">CF!J21-CF!J19-CF!J24+Thesis!J44*(1-tax_f)</f>
        <v>273.742251264366</v>
      </c>
      <c r="K74" s="6" t="n">
        <f aca="false">CF!K21-CF!K19-CF!K24+Thesis!K44*(1-tax_f)</f>
        <v>313.491842465765</v>
      </c>
      <c r="L74" s="1" t="s">
        <v>1045</v>
      </c>
    </row>
    <row r="75" customFormat="false" ht="15" hidden="false" customHeight="false" outlineLevel="0" collapsed="false">
      <c r="A75" s="1" t="s">
        <v>1046</v>
      </c>
      <c r="B75" s="0" t="s">
        <v>98</v>
      </c>
      <c r="F75" s="6" t="n">
        <f aca="false">Val!F74*Val!F73</f>
        <v>8.8553602353463</v>
      </c>
      <c r="G75" s="6" t="n">
        <f aca="false">Val!G74*Val!G73</f>
        <v>48.0703910411556</v>
      </c>
      <c r="H75" s="6" t="n">
        <f aca="false">Val!H74*Val!H73</f>
        <v>89.7278694479</v>
      </c>
      <c r="I75" s="6" t="n">
        <f aca="false">Val!I74*Val!I73</f>
        <v>136.944603212593</v>
      </c>
      <c r="J75" s="6" t="n">
        <f aca="false">Val!J74*Val!J73</f>
        <v>176.144151660583</v>
      </c>
      <c r="K75" s="6" t="n">
        <f aca="false">Val!K74*Val!K73</f>
        <v>182.895469517094</v>
      </c>
    </row>
    <row r="76" customFormat="false" ht="17.15" hidden="false" customHeight="false" outlineLevel="0" collapsed="false">
      <c r="A76" s="1" t="s">
        <v>1047</v>
      </c>
      <c r="B76" s="0" t="s">
        <v>98</v>
      </c>
      <c r="C76" s="6" t="n">
        <f aca="false">SUM(Val!F75:K75)</f>
        <v>642.637845114673</v>
      </c>
    </row>
    <row r="77" customFormat="false" ht="17.15" hidden="false" customHeight="false" outlineLevel="0" collapsed="false">
      <c r="A77" s="1" t="s">
        <v>1048</v>
      </c>
      <c r="B77" s="0" t="s">
        <v>98</v>
      </c>
      <c r="C77" s="6" t="n">
        <f aca="false">PL!K39*(1+g_tv)*(1-tax_f)</f>
        <v>325.338496025769</v>
      </c>
    </row>
    <row r="78" customFormat="false" ht="17.15" hidden="false" customHeight="false" outlineLevel="0" collapsed="false">
      <c r="A78" s="1" t="s">
        <v>1049</v>
      </c>
      <c r="B78" s="0" t="s">
        <v>98</v>
      </c>
      <c r="C78" s="6" t="n">
        <f aca="false">Val!$C$77*(1-g_tv/(wacc+ronic_prem))</f>
        <v>230.519339596203</v>
      </c>
    </row>
    <row r="79" customFormat="false" ht="17.15" hidden="false" customHeight="false" outlineLevel="0" collapsed="false">
      <c r="A79" s="1" t="s">
        <v>1050</v>
      </c>
      <c r="B79" s="0" t="s">
        <v>98</v>
      </c>
      <c r="C79" s="6" t="n">
        <f aca="false">Val!$C$78/(wacc-g_tv)</f>
        <v>3160.63854765221</v>
      </c>
    </row>
    <row r="80" customFormat="false" ht="15" hidden="false" customHeight="false" outlineLevel="0" collapsed="false">
      <c r="A80" s="1" t="s">
        <v>1051</v>
      </c>
      <c r="B80" s="0" t="s">
        <v>98</v>
      </c>
      <c r="C80" s="6" t="n">
        <f aca="false">Val!$C$79/(1+wacc)^(Val!K72+mid_yr)</f>
        <v>1755.80665513196</v>
      </c>
    </row>
    <row r="81" customFormat="false" ht="17.15" hidden="false" customHeight="false" outlineLevel="0" collapsed="false">
      <c r="A81" s="0" t="s">
        <v>972</v>
      </c>
      <c r="B81" s="0" t="s">
        <v>98</v>
      </c>
      <c r="C81" s="6" t="n">
        <f aca="false">Val!$C$76+Val!$C$80</f>
        <v>2398.44450024663</v>
      </c>
    </row>
    <row r="82" customFormat="false" ht="15" hidden="false" customHeight="false" outlineLevel="0" collapsed="false">
      <c r="A82" s="1" t="s">
        <v>973</v>
      </c>
      <c r="B82" s="0" t="s">
        <v>129</v>
      </c>
      <c r="C82" s="7" t="n">
        <f aca="false">Val!$C$80/Val!$C$81</f>
        <v>0.732060572988622</v>
      </c>
    </row>
    <row r="83" customFormat="false" ht="17.15" hidden="false" customHeight="false" outlineLevel="0" collapsed="false">
      <c r="A83" s="1" t="s">
        <v>1052</v>
      </c>
      <c r="B83" s="0" t="s">
        <v>98</v>
      </c>
      <c r="C83" s="6" t="n">
        <f aca="false">Val!$C$81+CF!E36-CF!E25+oai_v</f>
        <v>2532.95750024663</v>
      </c>
    </row>
    <row r="84" customFormat="false" ht="17.15" hidden="false" customHeight="false" outlineLevel="0" collapsed="false">
      <c r="A84" s="0" t="s">
        <v>980</v>
      </c>
      <c r="B84" s="0" t="s">
        <v>75</v>
      </c>
      <c r="C84" s="5" t="n">
        <f aca="false">Val!$C$83/sh_dil26</f>
        <v>339.857439990155</v>
      </c>
    </row>
    <row r="85" customFormat="false" ht="15" hidden="false" customHeight="false" outlineLevel="0" collapsed="false">
      <c r="A85" s="1" t="s">
        <v>1053</v>
      </c>
      <c r="B85" s="0" t="s">
        <v>75</v>
      </c>
      <c r="C85" s="8" t="n">
        <f aca="false">dps_27+CF!G28*roll_div_q/q_per_yr</f>
        <v>4.8895</v>
      </c>
    </row>
    <row r="86" customFormat="false" ht="17.15" hidden="false" customHeight="false" outlineLevel="0" collapsed="false">
      <c r="A86" s="0" t="s">
        <v>1054</v>
      </c>
      <c r="B86" s="0" t="s">
        <v>75</v>
      </c>
      <c r="C86" s="5" t="n">
        <f aca="false">Val!$C$84*(1+wacc)^t_roll-Val!$C$85</f>
        <v>382.117514595532</v>
      </c>
    </row>
    <row r="87" customFormat="false" ht="17.15" hidden="false" customHeight="false" outlineLevel="0" collapsed="false">
      <c r="A87" s="1" t="s">
        <v>1055</v>
      </c>
      <c r="B87" s="0" t="s">
        <v>129</v>
      </c>
      <c r="F87" s="7" t="n">
        <f aca="false">CF!F17/(Seg!F29-Thesis!F23)</f>
        <v>0.0681773598226415</v>
      </c>
      <c r="G87" s="7" t="n">
        <f aca="false">CF!G17/(Seg!G29-Thesis!G23)</f>
        <v>0.0650385409375172</v>
      </c>
      <c r="H87" s="7" t="n">
        <f aca="false">CF!H17/(Seg!H29-Thesis!H23)</f>
        <v>0.063382542471986</v>
      </c>
      <c r="I87" s="7" t="n">
        <f aca="false">CF!I17/(Seg!I29-Thesis!I23)</f>
        <v>0.0630998138876076</v>
      </c>
      <c r="J87" s="7" t="n">
        <f aca="false">CF!J17/(Seg!J29-Thesis!J23)</f>
        <v>0.0638399980286975</v>
      </c>
      <c r="K87" s="7" t="n">
        <f aca="false">CF!K17/(Seg!K29-Thesis!K23)</f>
        <v>0.0651531082402687</v>
      </c>
    </row>
    <row r="88" customFormat="false" ht="17.15" hidden="false" customHeight="false" outlineLevel="0" collapsed="false">
      <c r="A88" s="0" t="s">
        <v>1056</v>
      </c>
      <c r="B88" s="0" t="s">
        <v>98</v>
      </c>
      <c r="F88" s="6" t="n">
        <f aca="false">Seg!F14*(al_m365+Val!F87+sbc_r)</f>
        <v>84.944046606333</v>
      </c>
      <c r="G88" s="6" t="n">
        <f aca="false">Seg!G14*(al_m365+Val!G87+sbc_r)</f>
        <v>99.4236143320739</v>
      </c>
      <c r="H88" s="6" t="n">
        <f aca="false">Seg!H14*(al_m365+Val!H87+sbc_r)</f>
        <v>114.068697186163</v>
      </c>
      <c r="I88" s="6" t="n">
        <f aca="false">Seg!I14*(al_m365+Val!I87+sbc_r)</f>
        <v>127.196415789369</v>
      </c>
      <c r="J88" s="6" t="n">
        <f aca="false">Seg!J14*(al_m365+Val!J87+sbc_r)</f>
        <v>138.619575691419</v>
      </c>
      <c r="K88" s="6" t="n">
        <f aca="false">Seg!K14*(al_m365+Val!K87+sbc_r)</f>
        <v>149.659768267063</v>
      </c>
      <c r="L88" s="11" t="s">
        <v>1057</v>
      </c>
    </row>
    <row r="89" customFormat="false" ht="17.15" hidden="false" customHeight="false" outlineLevel="0" collapsed="false">
      <c r="A89" s="0" t="s">
        <v>1058</v>
      </c>
      <c r="B89" s="0" t="s">
        <v>98</v>
      </c>
      <c r="F89" s="6" t="n">
        <f aca="false">Seg!F15*(al_lic+Val!F87+sbc_r)</f>
        <v>33.4285095904825</v>
      </c>
      <c r="G89" s="6" t="n">
        <f aca="false">Seg!G15*(al_lic+Val!G87+sbc_r)</f>
        <v>34.7161826947861</v>
      </c>
      <c r="H89" s="6" t="n">
        <f aca="false">Seg!H15*(al_lic+Val!H87+sbc_r)</f>
        <v>35.9223654002493</v>
      </c>
      <c r="I89" s="6" t="n">
        <f aca="false">Seg!I15*(al_lic+Val!I87+sbc_r)</f>
        <v>37.0298325864501</v>
      </c>
      <c r="J89" s="6" t="n">
        <f aca="false">Seg!J15*(al_lic+Val!J87+sbc_r)</f>
        <v>38.0103325842314</v>
      </c>
      <c r="K89" s="6" t="n">
        <f aca="false">Seg!K15*(al_lic+Val!K87+sbc_r)</f>
        <v>38.8303473189322</v>
      </c>
    </row>
    <row r="90" customFormat="false" ht="17.15" hidden="false" customHeight="false" outlineLevel="0" collapsed="false">
      <c r="A90" s="0" t="s">
        <v>1059</v>
      </c>
      <c r="B90" s="0" t="s">
        <v>98</v>
      </c>
      <c r="F90" s="6" t="n">
        <f aca="false">Seg!F17*(al_ind+Val!F87+sbc_r)</f>
        <v>9.06719306746208</v>
      </c>
      <c r="G90" s="6" t="n">
        <f aca="false">Seg!G17*(al_ind+Val!G87+sbc_r)</f>
        <v>9.83485541633448</v>
      </c>
      <c r="H90" s="6" t="n">
        <f aca="false">Seg!H17*(al_ind+Val!H87+sbc_r)</f>
        <v>10.6498544617516</v>
      </c>
      <c r="I90" s="6" t="n">
        <f aca="false">Seg!I17*(al_ind+Val!I87+sbc_r)</f>
        <v>11.5103515303299</v>
      </c>
      <c r="J90" s="6" t="n">
        <f aca="false">Seg!J17*(al_ind+Val!J87+sbc_r)</f>
        <v>12.4055032067278</v>
      </c>
      <c r="K90" s="6" t="n">
        <f aca="false">Seg!K17*(al_ind+Val!K87+sbc_r)</f>
        <v>13.3173308472897</v>
      </c>
    </row>
    <row r="91" customFormat="false" ht="17.15" hidden="false" customHeight="false" outlineLevel="0" collapsed="false">
      <c r="A91" s="0" t="s">
        <v>1060</v>
      </c>
      <c r="B91" s="0" t="s">
        <v>98</v>
      </c>
      <c r="F91" s="6" t="n">
        <f aca="false">Seg!F19*(al_fro+Val!F87+sbc_r)</f>
        <v>3.56887902446295</v>
      </c>
      <c r="G91" s="6" t="n">
        <f aca="false">Seg!G19*(al_fro+Val!G87+sbc_r)</f>
        <v>3.77600302676241</v>
      </c>
      <c r="H91" s="6" t="n">
        <f aca="false">Seg!H19*(al_fro+Val!H87+sbc_r)</f>
        <v>4.01322967965482</v>
      </c>
      <c r="I91" s="6" t="n">
        <f aca="false">Seg!I19*(al_fro+Val!I87+sbc_r)</f>
        <v>4.28368437397841</v>
      </c>
      <c r="J91" s="6" t="n">
        <f aca="false">Seg!J19*(al_fro+Val!J87+sbc_r)</f>
        <v>4.58803182845156</v>
      </c>
      <c r="K91" s="6" t="n">
        <f aca="false">Seg!K19*(al_fro+Val!K87+sbc_r)</f>
        <v>4.92526073140255</v>
      </c>
    </row>
    <row r="92" customFormat="false" ht="17.15" hidden="false" customHeight="false" outlineLevel="0" collapsed="false">
      <c r="A92" s="0" t="s">
        <v>1061</v>
      </c>
      <c r="B92" s="0" t="s">
        <v>98</v>
      </c>
      <c r="F92" s="6" t="n">
        <f aca="false">Seg!F22*(al_srch+Val!F87+sbc_r)</f>
        <v>11.1981144415922</v>
      </c>
      <c r="G92" s="6" t="n">
        <f aca="false">Seg!G22*(al_srch+Val!G87+sbc_r)</f>
        <v>12.2607925441521</v>
      </c>
      <c r="H92" s="6" t="n">
        <f aca="false">Seg!H22*(al_srch+Val!H87+sbc_r)</f>
        <v>13.3712787172501</v>
      </c>
      <c r="I92" s="6" t="n">
        <f aca="false">Seg!I22*(al_srch+Val!I87+sbc_r)</f>
        <v>14.5205713773955</v>
      </c>
      <c r="J92" s="6" t="n">
        <f aca="false">Seg!J22*(al_srch+Val!J87+sbc_r)</f>
        <v>15.6873363367184</v>
      </c>
      <c r="K92" s="6" t="n">
        <f aca="false">Seg!K22*(al_srch+Val!K87+sbc_r)</f>
        <v>16.8403848378749</v>
      </c>
    </row>
    <row r="93" customFormat="false" ht="17.15" hidden="false" customHeight="false" outlineLevel="0" collapsed="false">
      <c r="A93" s="0" t="s">
        <v>1062</v>
      </c>
      <c r="B93" s="0" t="s">
        <v>98</v>
      </c>
      <c r="F93" s="6" t="n">
        <f aca="false">Thesis!F29-Thesis!F30+Thesis!F44</f>
        <v>55.6743052939671</v>
      </c>
      <c r="G93" s="6" t="n">
        <f aca="false">Thesis!G29-Thesis!G30+Thesis!G44</f>
        <v>100.2533125707</v>
      </c>
      <c r="H93" s="6" t="n">
        <f aca="false">Thesis!H29-Thesis!H30+Thesis!H44</f>
        <v>152.31255014234</v>
      </c>
      <c r="I93" s="6" t="n">
        <f aca="false">Thesis!I29-Thesis!I30+Thesis!I44</f>
        <v>194.041990076394</v>
      </c>
      <c r="J93" s="6" t="n">
        <f aca="false">Thesis!J29-Thesis!J30+Thesis!J44</f>
        <v>223.463148273617</v>
      </c>
      <c r="K93" s="6" t="n">
        <f aca="false">Thesis!K29-Thesis!K30+Thesis!K44</f>
        <v>241.312249272487</v>
      </c>
    </row>
    <row r="94" customFormat="false" ht="17.15" hidden="false" customHeight="false" outlineLevel="0" collapsed="false">
      <c r="A94" s="0" t="s">
        <v>1063</v>
      </c>
      <c r="B94" s="0" t="s">
        <v>98</v>
      </c>
      <c r="F94" s="6" t="n">
        <f aca="false">PL!F32+Thesis!F44+Thesis!F40+Val!F87*(Seg!F21-Thesis!F23)+sbc_r*Seg!F21</f>
        <v>247.769309676659</v>
      </c>
      <c r="G94" s="6" t="n">
        <f aca="false">PL!G32+Thesis!G44+Thesis!G40+Val!G87*(Seg!G21-Thesis!G23)+sbc_r*Seg!G21</f>
        <v>321.625870182006</v>
      </c>
      <c r="H94" s="6" t="n">
        <f aca="false">PL!H32+Thesis!H44+Thesis!H40+Val!H87*(Seg!H21-Thesis!H23)+sbc_r*Seg!H21</f>
        <v>403.668756829163</v>
      </c>
      <c r="I94" s="6" t="n">
        <f aca="false">PL!I32+Thesis!I44+Thesis!I40+Val!I87*(Seg!I21-Thesis!I23)+sbc_r*Seg!I21</f>
        <v>473.311817063846</v>
      </c>
      <c r="J94" s="6" t="n">
        <f aca="false">PL!J32+Thesis!J44+Thesis!J40+Val!J87*(Seg!J21-Thesis!J23)+sbc_r*Seg!J21</f>
        <v>527.683171494685</v>
      </c>
      <c r="K94" s="6" t="n">
        <f aca="false">PL!K32+Thesis!K44+Thesis!K40+Val!K87*(Seg!K21-Thesis!K23)+sbc_r*Seg!K21</f>
        <v>568.060513693045</v>
      </c>
    </row>
    <row r="95" customFormat="false" ht="17.15" hidden="false" customHeight="false" outlineLevel="0" collapsed="false">
      <c r="A95" s="0" t="s">
        <v>1064</v>
      </c>
      <c r="B95" s="0" t="s">
        <v>98</v>
      </c>
      <c r="F95" s="6" t="n">
        <f aca="false">Val!F94-Val!F88-Val!F89-Val!F90-Val!F91-Val!F93</f>
        <v>61.0863760939514</v>
      </c>
      <c r="G95" s="6" t="n">
        <f aca="false">Val!G94-Val!G88-Val!G89-Val!G90-Val!G91-Val!G93</f>
        <v>73.6219021413484</v>
      </c>
      <c r="H95" s="6" t="n">
        <f aca="false">Val!H94-Val!H88-Val!H89-Val!H90-Val!H91-Val!H93</f>
        <v>86.7020599590046</v>
      </c>
      <c r="I95" s="6" t="n">
        <f aca="false">Val!I94-Val!I88-Val!I89-Val!I90-Val!I91-Val!I93</f>
        <v>99.2495427073239</v>
      </c>
      <c r="J95" s="6" t="n">
        <f aca="false">Val!J94-Val!J88-Val!J89-Val!J90-Val!J91-Val!J93</f>
        <v>110.596579910238</v>
      </c>
      <c r="K95" s="6" t="n">
        <f aca="false">Val!K94-Val!K88-Val!K89-Val!K90-Val!K91-Val!K93</f>
        <v>120.01555725587</v>
      </c>
    </row>
    <row r="96" customFormat="false" ht="17.15" hidden="false" customHeight="false" outlineLevel="0" collapsed="false">
      <c r="A96" s="0" t="s">
        <v>1065</v>
      </c>
      <c r="B96" s="0" t="s">
        <v>98</v>
      </c>
      <c r="F96" s="6" t="n">
        <f aca="false">PL!F34+Val!F87*Seg!F28+sbc_r*Seg!F28</f>
        <v>26.1717931813002</v>
      </c>
      <c r="G96" s="6" t="n">
        <f aca="false">PL!G34+Val!G87*Seg!G28+sbc_r*Seg!G28</f>
        <v>26.7581197754446</v>
      </c>
      <c r="H96" s="6" t="n">
        <f aca="false">PL!H34+Val!H87*Seg!H28+sbc_r*Seg!H28</f>
        <v>27.6201174920951</v>
      </c>
      <c r="I96" s="6" t="n">
        <f aca="false">PL!I34+Val!I87*Seg!I28+sbc_r*Seg!I28</f>
        <v>28.7296306530919</v>
      </c>
      <c r="J96" s="6" t="n">
        <f aca="false">PL!J34+Val!J87*Seg!J28+sbc_r*Seg!J28</f>
        <v>30.04749983899</v>
      </c>
      <c r="K96" s="6" t="n">
        <f aca="false">PL!K34+Val!K87*Seg!K28+sbc_r*Seg!K28</f>
        <v>31.5292329023825</v>
      </c>
    </row>
    <row r="97" customFormat="false" ht="17.15" hidden="false" customHeight="false" outlineLevel="0" collapsed="false">
      <c r="A97" s="0" t="s">
        <v>1066</v>
      </c>
      <c r="B97" s="0" t="s">
        <v>98</v>
      </c>
      <c r="F97" s="6" t="n">
        <f aca="false">(Val!F96-Val!F92)*Seg!F24/(Seg!F24+Seg!F26)</f>
        <v>8.20842484359027</v>
      </c>
      <c r="G97" s="6" t="n">
        <f aca="false">(Val!G96-Val!G92)*Seg!G24/(Seg!G24+Seg!G26)</f>
        <v>7.80559384110416</v>
      </c>
      <c r="H97" s="6" t="n">
        <f aca="false">(Val!H96-Val!H92)*Seg!H24/(Seg!H24+Seg!H26)</f>
        <v>7.56817041839156</v>
      </c>
      <c r="I97" s="6" t="n">
        <f aca="false">(Val!I96-Val!I92)*Seg!I24/(Seg!I24+Seg!I26)</f>
        <v>7.47875608696462</v>
      </c>
      <c r="J97" s="6" t="n">
        <f aca="false">(Val!J96-Val!J92)*Seg!J24/(Seg!J24+Seg!J26)</f>
        <v>7.52410955955578</v>
      </c>
      <c r="K97" s="6" t="n">
        <f aca="false">(Val!K96-Val!K92)*Seg!K24/(Seg!K24+Seg!K26)</f>
        <v>7.6963261681206</v>
      </c>
    </row>
    <row r="98" customFormat="false" ht="17.15" hidden="false" customHeight="false" outlineLevel="0" collapsed="false">
      <c r="A98" s="0" t="s">
        <v>1067</v>
      </c>
      <c r="B98" s="0" t="s">
        <v>98</v>
      </c>
      <c r="F98" s="6" t="n">
        <f aca="false">Val!F96-Val!F92-Val!F97</f>
        <v>6.76525389611778</v>
      </c>
      <c r="G98" s="6" t="n">
        <f aca="false">Val!G96-Val!G92-Val!G97</f>
        <v>6.69173339018827</v>
      </c>
      <c r="H98" s="6" t="n">
        <f aca="false">Val!H96-Val!H92-Val!H97</f>
        <v>6.68066835645346</v>
      </c>
      <c r="I98" s="6" t="n">
        <f aca="false">Val!I96-Val!I92-Val!I97</f>
        <v>6.73030318873177</v>
      </c>
      <c r="J98" s="6" t="n">
        <f aca="false">Val!J96-Val!J92-Val!J97</f>
        <v>6.83605394271588</v>
      </c>
      <c r="K98" s="6" t="n">
        <f aca="false">Val!K96-Val!K92-Val!K97</f>
        <v>6.99252189638696</v>
      </c>
    </row>
    <row r="99" customFormat="false" ht="17.15" hidden="false" customHeight="false" outlineLevel="0" collapsed="false">
      <c r="A99" s="0" t="s">
        <v>1068</v>
      </c>
      <c r="B99" s="0" t="s">
        <v>98</v>
      </c>
      <c r="F99" s="6" t="n">
        <f aca="false">Val!F93-tax_f*(Val!F93-Thesis!F40)-Thesis!F37</f>
        <v>-116.98560144409</v>
      </c>
      <c r="G99" s="6" t="n">
        <f aca="false">Val!G93-tax_f*(Val!G93-Thesis!G40)-Thesis!G37</f>
        <v>-91.2751837745719</v>
      </c>
      <c r="H99" s="6" t="n">
        <f aca="false">Val!H93-tax_f*(Val!H93-Thesis!H40)-Thesis!H37</f>
        <v>-48.6867825979003</v>
      </c>
      <c r="I99" s="6" t="n">
        <f aca="false">Val!I93-tax_f*(Val!I93-Thesis!I40)-Thesis!I37</f>
        <v>13.9193309033143</v>
      </c>
      <c r="J99" s="6" t="n">
        <f aca="false">Val!J93-tax_f*(Val!J93-Thesis!J40)-Thesis!J37</f>
        <v>80.0897840853365</v>
      </c>
      <c r="K99" s="6" t="n">
        <f aca="false">Val!K93-tax_f*(Val!K93-Thesis!K40)-Thesis!K37</f>
        <v>106.014893136948</v>
      </c>
    </row>
    <row r="100" customFormat="false" ht="17.15" hidden="false" customHeight="false" outlineLevel="0" collapsed="false">
      <c r="A100" s="0" t="s">
        <v>1069</v>
      </c>
      <c r="B100" s="0" t="s">
        <v>98</v>
      </c>
      <c r="F100" s="6" t="n">
        <f aca="false">Val!F99*Val!F73</f>
        <v>-111.392914502638</v>
      </c>
      <c r="G100" s="6" t="n">
        <f aca="false">Val!G99*Val!G73</f>
        <v>-78.8003561967933</v>
      </c>
      <c r="H100" s="6" t="n">
        <f aca="false">Val!H99*Val!H73</f>
        <v>-38.1098158303589</v>
      </c>
      <c r="I100" s="6" t="n">
        <f aca="false">Val!I99*Val!I73</f>
        <v>9.87857822946124</v>
      </c>
      <c r="J100" s="6" t="n">
        <f aca="false">Val!J99*Val!J73</f>
        <v>51.5351466908437</v>
      </c>
      <c r="K100" s="6" t="n">
        <f aca="false">Val!K99*Val!K73</f>
        <v>61.8505524851231</v>
      </c>
    </row>
    <row r="101" customFormat="false" ht="17.15" hidden="false" customHeight="false" outlineLevel="0" collapsed="false">
      <c r="A101" s="0" t="s">
        <v>1070</v>
      </c>
      <c r="B101" s="0" t="s">
        <v>98</v>
      </c>
      <c r="C101" s="6" t="n">
        <f aca="false">(Val!K93-Thesis!K40)*(1-tax_f)*(1+g_tv)*(1-g_tv/(wacc+ronic_prem))/(wacc-g_tv)/(1+wacc)^(Val!K72+mid_yr)</f>
        <v>452.215034963772</v>
      </c>
    </row>
    <row r="102" customFormat="false" ht="17.15" hidden="false" customHeight="false" outlineLevel="0" collapsed="false">
      <c r="A102" s="1" t="s">
        <v>1071</v>
      </c>
      <c r="B102" s="0" t="s">
        <v>98</v>
      </c>
      <c r="C102" s="6" t="n">
        <f aca="false">(SUM(Val!F100:K100)+Val!$C$101)*(1+wacc)^t_roll</f>
        <v>395.341160412867</v>
      </c>
      <c r="L102" s="11" t="s">
        <v>1072</v>
      </c>
    </row>
    <row r="103" customFormat="false" ht="17.15" hidden="false" customHeight="false" outlineLevel="0" collapsed="false">
      <c r="A103" s="1" t="s">
        <v>1073</v>
      </c>
      <c r="B103" s="0" t="s">
        <v>98</v>
      </c>
      <c r="C103" s="6" t="n">
        <f aca="false">(w_ntm28*Thesis!G29+(1-w_ntm28)*Thesis!H29)*m_ai</f>
        <v>551.711134531404</v>
      </c>
    </row>
    <row r="104" customFormat="false" ht="17.15" hidden="false" customHeight="false" outlineLevel="0" collapsed="false">
      <c r="A104" s="1" t="s">
        <v>1074</v>
      </c>
      <c r="B104" s="0" t="s">
        <v>98</v>
      </c>
      <c r="C104" s="6" t="n">
        <f aca="false">(w_ntm28*Val!G95+(1-w_ntm28)*Val!H95)*m_cloud</f>
        <v>1075.89468255979</v>
      </c>
    </row>
    <row r="105" customFormat="false" ht="17.15" hidden="false" customHeight="false" outlineLevel="0" collapsed="false">
      <c r="A105" s="1" t="s">
        <v>1075</v>
      </c>
      <c r="B105" s="0" t="s">
        <v>98</v>
      </c>
      <c r="C105" s="6" t="n">
        <f aca="false">(w_ntm28*Val!G88+(1-w_ntm28)*Val!H88)*m_sw</f>
        <v>1124.90844188024</v>
      </c>
    </row>
    <row r="106" customFormat="false" ht="17.15" hidden="false" customHeight="false" outlineLevel="0" collapsed="false">
      <c r="A106" s="1" t="s">
        <v>1076</v>
      </c>
      <c r="B106" s="0" t="s">
        <v>98</v>
      </c>
      <c r="C106" s="6" t="n">
        <f aca="false">(w_ntm28*Val!G89+(1-w_ntm28)*Val!H89)*m_sw</f>
        <v>379.14616828134</v>
      </c>
    </row>
    <row r="107" customFormat="false" ht="17.15" hidden="false" customHeight="false" outlineLevel="0" collapsed="false">
      <c r="A107" s="1" t="s">
        <v>1077</v>
      </c>
      <c r="B107" s="0" t="s">
        <v>98</v>
      </c>
      <c r="C107" s="6" t="n">
        <f aca="false">(w_ntm28*Val!G90+(1-w_ntm28)*Val!H90)*m_sw</f>
        <v>109.062013245671</v>
      </c>
    </row>
    <row r="108" customFormat="false" ht="17.15" hidden="false" customHeight="false" outlineLevel="0" collapsed="false">
      <c r="A108" s="1" t="s">
        <v>1078</v>
      </c>
      <c r="B108" s="0" t="s">
        <v>98</v>
      </c>
      <c r="C108" s="6" t="n">
        <f aca="false">(w_ntm28*Val!G91+(1-w_ntm28)*Val!H91)*m_sw</f>
        <v>41.609111172448</v>
      </c>
    </row>
    <row r="109" customFormat="false" ht="17.15" hidden="false" customHeight="false" outlineLevel="0" collapsed="false">
      <c r="A109" s="1" t="s">
        <v>1079</v>
      </c>
      <c r="B109" s="0" t="s">
        <v>98</v>
      </c>
      <c r="C109" s="6" t="n">
        <f aca="false">(w_ntm28*Val!G92+(1-w_ntm28)*Val!H92)*m_ads</f>
        <v>114.966369190532</v>
      </c>
    </row>
    <row r="110" customFormat="false" ht="17.15" hidden="false" customHeight="false" outlineLevel="0" collapsed="false">
      <c r="A110" s="1" t="s">
        <v>1080</v>
      </c>
      <c r="B110" s="0" t="s">
        <v>98</v>
      </c>
      <c r="C110" s="6" t="n">
        <f aca="false">(w_ntm28*Val!G97+(1-w_ntm28)*Val!H97)*m_game</f>
        <v>97.6152211068291</v>
      </c>
    </row>
    <row r="111" customFormat="false" ht="17.15" hidden="false" customHeight="false" outlineLevel="0" collapsed="false">
      <c r="A111" s="1" t="s">
        <v>1081</v>
      </c>
      <c r="B111" s="0" t="s">
        <v>98</v>
      </c>
      <c r="C111" s="6" t="n">
        <f aca="false">(w_ntm28*Val!G98+(1-w_ntm28)*Val!H98)*m_pc</f>
        <v>96.7776202313644</v>
      </c>
    </row>
    <row r="112" customFormat="false" ht="17.15" hidden="false" customHeight="false" outlineLevel="0" collapsed="false">
      <c r="A112" s="1" t="s">
        <v>1082</v>
      </c>
      <c r="B112" s="0" t="s">
        <v>98</v>
      </c>
      <c r="C112" s="6" t="n">
        <f aca="false">Val!$C$102+Val!$C$104+Val!$C$105+Val!$C$106+Val!$C$107+Val!$C$108+Val!$C$109+Val!$C$110+Val!$C$111</f>
        <v>3435.32078808108</v>
      </c>
    </row>
    <row r="113" customFormat="false" ht="17.15" hidden="false" customHeight="false" outlineLevel="0" collapsed="false">
      <c r="A113" s="1" t="s">
        <v>1000</v>
      </c>
      <c r="B113" s="0" t="s">
        <v>98</v>
      </c>
      <c r="C113" s="6" t="n">
        <f aca="false">CF!F36+oai_v-CF!F25</f>
        <v>115.079583119545</v>
      </c>
      <c r="L113" s="1" t="s">
        <v>1083</v>
      </c>
    </row>
    <row r="114" customFormat="false" ht="15" hidden="false" customHeight="false" outlineLevel="0" collapsed="false">
      <c r="A114" s="1" t="s">
        <v>1001</v>
      </c>
      <c r="B114" s="0" t="s">
        <v>75</v>
      </c>
      <c r="C114" s="5" t="n">
        <f aca="false">(Val!$C$112+Val!$C$113)/CF!F38</f>
        <v>475.160649250619</v>
      </c>
    </row>
    <row r="115" customFormat="false" ht="17.15" hidden="false" customHeight="false" outlineLevel="0" collapsed="false">
      <c r="A115" s="1" t="s">
        <v>1084</v>
      </c>
      <c r="B115" s="0" t="s">
        <v>75</v>
      </c>
      <c r="C115" s="5" t="n">
        <f aca="false">w_dcf*Val!$C$86+(1-w_dcf)*Val!$C$114</f>
        <v>428.639081923075</v>
      </c>
    </row>
    <row r="116" customFormat="false" ht="17.15" hidden="false" customHeight="false" outlineLevel="0" collapsed="false">
      <c r="A116" s="3" t="s">
        <v>1085</v>
      </c>
    </row>
    <row r="117" customFormat="false" ht="15" hidden="false" customHeight="false" outlineLevel="0" collapsed="false">
      <c r="A117" s="4" t="s">
        <v>43</v>
      </c>
      <c r="B117" s="4" t="s">
        <v>65</v>
      </c>
      <c r="C117" s="20" t="s">
        <v>788</v>
      </c>
      <c r="D117" s="20" t="s">
        <v>789</v>
      </c>
      <c r="E117" s="20" t="s">
        <v>790</v>
      </c>
      <c r="F117" s="20" t="s">
        <v>791</v>
      </c>
      <c r="G117" s="20" t="s">
        <v>792</v>
      </c>
      <c r="H117" s="20" t="s">
        <v>793</v>
      </c>
      <c r="I117" s="20" t="s">
        <v>794</v>
      </c>
      <c r="J117" s="20" t="s">
        <v>795</v>
      </c>
      <c r="K117" s="20" t="s">
        <v>796</v>
      </c>
      <c r="L117" s="4" t="s">
        <v>47</v>
      </c>
    </row>
    <row r="118" customFormat="false" ht="15" hidden="false" customHeight="false" outlineLevel="0" collapsed="false">
      <c r="A118" s="1" t="s">
        <v>1042</v>
      </c>
      <c r="B118" s="1" t="s">
        <v>235</v>
      </c>
      <c r="F118" s="36" t="n">
        <f aca="false">Thesis!F55-base_fy-mid_yr</f>
        <v>0.5</v>
      </c>
      <c r="G118" s="36" t="n">
        <f aca="false">Thesis!G55-base_fy-mid_yr</f>
        <v>1.5</v>
      </c>
      <c r="H118" s="36" t="n">
        <f aca="false">Thesis!H55-base_fy-mid_yr</f>
        <v>2.5</v>
      </c>
      <c r="I118" s="36" t="n">
        <f aca="false">Thesis!I55-base_fy-mid_yr</f>
        <v>3.5</v>
      </c>
      <c r="J118" s="36" t="n">
        <f aca="false">Thesis!J55-base_fy-mid_yr</f>
        <v>4.5</v>
      </c>
      <c r="K118" s="36" t="n">
        <f aca="false">Thesis!K55-base_fy-mid_yr</f>
        <v>5.5</v>
      </c>
    </row>
    <row r="119" customFormat="false" ht="15" hidden="false" customHeight="false" outlineLevel="0" collapsed="false">
      <c r="A119" s="1" t="s">
        <v>1043</v>
      </c>
      <c r="B119" s="0" t="s">
        <v>185</v>
      </c>
      <c r="F119" s="14" t="n">
        <f aca="false">1/(1+wacc)^Val!F118</f>
        <v>0.952193373608246</v>
      </c>
      <c r="G119" s="14" t="n">
        <f aca="false">1/(1+wacc)^Val!G118</f>
        <v>0.863327280626589</v>
      </c>
      <c r="H119" s="14" t="n">
        <f aca="false">1/(1+wacc)^Val!H118</f>
        <v>0.782754862754115</v>
      </c>
      <c r="I119" s="14" t="n">
        <f aca="false">1/(1+wacc)^Val!I118</f>
        <v>0.709702089711011</v>
      </c>
      <c r="J119" s="14" t="n">
        <f aca="false">1/(1+wacc)^Val!J118</f>
        <v>0.643467169744551</v>
      </c>
      <c r="K119" s="14" t="n">
        <f aca="false">1/(1+wacc)^Val!K118</f>
        <v>0.583413807767797</v>
      </c>
    </row>
    <row r="120" customFormat="false" ht="17.15" hidden="false" customHeight="false" outlineLevel="0" collapsed="false">
      <c r="A120" s="1" t="s">
        <v>1044</v>
      </c>
      <c r="B120" s="0" t="s">
        <v>98</v>
      </c>
      <c r="F120" s="6" t="n">
        <f aca="false">CF!F50-CF!F48-CF!F53+Thesis!F93*(1-tax_f)</f>
        <v>6.35272982150552</v>
      </c>
      <c r="G120" s="6" t="n">
        <f aca="false">CF!G50-CF!G48-CF!G53+Thesis!G93*(1-tax_f)</f>
        <v>46.5420417324757</v>
      </c>
      <c r="H120" s="6" t="n">
        <f aca="false">CF!H50-CF!H48-CF!H53+Thesis!H93*(1-tax_f)</f>
        <v>95.2982347048119</v>
      </c>
      <c r="I120" s="6" t="n">
        <f aca="false">CF!I50-CF!I48-CF!I53+Thesis!I93*(1-tax_f)</f>
        <v>168.760108332815</v>
      </c>
      <c r="J120" s="6" t="n">
        <f aca="false">CF!J50-CF!J48-CF!J53+Thesis!J93*(1-tax_f)</f>
        <v>246.10903404452</v>
      </c>
      <c r="K120" s="6" t="n">
        <f aca="false">CF!K50-CF!K48-CF!K53+Thesis!K93*(1-tax_f)</f>
        <v>283.7365778763</v>
      </c>
      <c r="L120" s="1" t="s">
        <v>1045</v>
      </c>
    </row>
    <row r="121" customFormat="false" ht="15" hidden="false" customHeight="false" outlineLevel="0" collapsed="false">
      <c r="A121" s="1" t="s">
        <v>1046</v>
      </c>
      <c r="B121" s="0" t="s">
        <v>98</v>
      </c>
      <c r="F121" s="6" t="n">
        <f aca="false">Val!F120*Val!F119</f>
        <v>6.04902724036105</v>
      </c>
      <c r="G121" s="6" t="n">
        <f aca="false">Val!G120*Val!G119</f>
        <v>40.1810143237074</v>
      </c>
      <c r="H121" s="6" t="n">
        <f aca="false">Val!H120*Val!H119</f>
        <v>74.5951566270745</v>
      </c>
      <c r="I121" s="6" t="n">
        <f aca="false">Val!I120*Val!I119</f>
        <v>119.769401543655</v>
      </c>
      <c r="J121" s="6" t="n">
        <f aca="false">Val!J120*Val!J119</f>
        <v>158.363083585193</v>
      </c>
      <c r="K121" s="6" t="n">
        <f aca="false">Val!K120*Val!K119</f>
        <v>165.535837301816</v>
      </c>
    </row>
    <row r="122" customFormat="false" ht="17.15" hidden="false" customHeight="false" outlineLevel="0" collapsed="false">
      <c r="A122" s="1" t="s">
        <v>1047</v>
      </c>
      <c r="B122" s="0" t="s">
        <v>98</v>
      </c>
      <c r="C122" s="6" t="n">
        <f aca="false">SUM(Val!F121:K121)</f>
        <v>564.493520621807</v>
      </c>
    </row>
    <row r="123" customFormat="false" ht="17.15" hidden="false" customHeight="false" outlineLevel="0" collapsed="false">
      <c r="A123" s="1" t="s">
        <v>1048</v>
      </c>
      <c r="B123" s="0" t="s">
        <v>98</v>
      </c>
      <c r="C123" s="6" t="n">
        <f aca="false">PL!K78*(1+g_tv)*(1-tax_f)</f>
        <v>293.76437880412</v>
      </c>
    </row>
    <row r="124" customFormat="false" ht="17.15" hidden="false" customHeight="false" outlineLevel="0" collapsed="false">
      <c r="A124" s="1" t="s">
        <v>1049</v>
      </c>
      <c r="B124" s="0" t="s">
        <v>98</v>
      </c>
      <c r="C124" s="6" t="n">
        <f aca="false">Val!$C$123*(1-g_tv/(wacc+ronic_prem))</f>
        <v>208.147426222351</v>
      </c>
    </row>
    <row r="125" customFormat="false" ht="17.15" hidden="false" customHeight="false" outlineLevel="0" collapsed="false">
      <c r="A125" s="1" t="s">
        <v>1050</v>
      </c>
      <c r="B125" s="0" t="s">
        <v>98</v>
      </c>
      <c r="C125" s="6" t="n">
        <f aca="false">Val!$C$124/(wacc-g_tv)</f>
        <v>2853.89841939229</v>
      </c>
    </row>
    <row r="126" customFormat="false" ht="15" hidden="false" customHeight="false" outlineLevel="0" collapsed="false">
      <c r="A126" s="1" t="s">
        <v>1051</v>
      </c>
      <c r="B126" s="0" t="s">
        <v>98</v>
      </c>
      <c r="C126" s="6" t="n">
        <f aca="false">Val!$C$125/(1+wacc)^(Val!K118+mid_yr)</f>
        <v>1585.40553191752</v>
      </c>
    </row>
    <row r="127" customFormat="false" ht="17.15" hidden="false" customHeight="false" outlineLevel="0" collapsed="false">
      <c r="A127" s="0" t="s">
        <v>972</v>
      </c>
      <c r="B127" s="0" t="s">
        <v>98</v>
      </c>
      <c r="C127" s="6" t="n">
        <f aca="false">Val!$C$122+Val!$C$126</f>
        <v>2149.89905253932</v>
      </c>
    </row>
    <row r="128" customFormat="false" ht="15" hidden="false" customHeight="false" outlineLevel="0" collapsed="false">
      <c r="A128" s="1" t="s">
        <v>973</v>
      </c>
      <c r="B128" s="0" t="s">
        <v>129</v>
      </c>
      <c r="C128" s="7" t="n">
        <f aca="false">Val!$C$126/Val!$C$127</f>
        <v>0.737432545981606</v>
      </c>
    </row>
    <row r="129" customFormat="false" ht="17.15" hidden="false" customHeight="false" outlineLevel="0" collapsed="false">
      <c r="A129" s="1" t="s">
        <v>1052</v>
      </c>
      <c r="B129" s="0" t="s">
        <v>98</v>
      </c>
      <c r="C129" s="6" t="n">
        <f aca="false">Val!$C$127+CF!E65-CF!E54+oai_v</f>
        <v>2284.41205253932</v>
      </c>
    </row>
    <row r="130" customFormat="false" ht="17.15" hidden="false" customHeight="false" outlineLevel="0" collapsed="false">
      <c r="A130" s="0" t="s">
        <v>980</v>
      </c>
      <c r="B130" s="0" t="s">
        <v>75</v>
      </c>
      <c r="C130" s="5" t="n">
        <f aca="false">Val!$C$129/sh_dil26</f>
        <v>306.509063805088</v>
      </c>
    </row>
    <row r="131" customFormat="false" ht="15" hidden="false" customHeight="false" outlineLevel="0" collapsed="false">
      <c r="A131" s="1" t="s">
        <v>1053</v>
      </c>
      <c r="B131" s="0" t="s">
        <v>75</v>
      </c>
      <c r="C131" s="8" t="n">
        <f aca="false">dps_27+CF!G57*roll_div_q/q_per_yr</f>
        <v>4.8895</v>
      </c>
    </row>
    <row r="132" customFormat="false" ht="17.15" hidden="false" customHeight="false" outlineLevel="0" collapsed="false">
      <c r="A132" s="0" t="s">
        <v>1054</v>
      </c>
      <c r="B132" s="0" t="s">
        <v>75</v>
      </c>
      <c r="C132" s="5" t="n">
        <f aca="false">Val!$C$130*(1+wacc)^t_roll-Val!$C$131</f>
        <v>344.14260514713</v>
      </c>
    </row>
    <row r="133" customFormat="false" ht="17.15" hidden="false" customHeight="false" outlineLevel="0" collapsed="false">
      <c r="A133" s="1" t="s">
        <v>1055</v>
      </c>
      <c r="B133" s="0" t="s">
        <v>129</v>
      </c>
      <c r="F133" s="7" t="n">
        <f aca="false">CF!F46/(Seg!F56-Thesis!F72)</f>
        <v>0.0684307874075333</v>
      </c>
      <c r="G133" s="7" t="n">
        <f aca="false">CF!G46/(Seg!G56-Thesis!G72)</f>
        <v>0.0656456058503526</v>
      </c>
      <c r="H133" s="7" t="n">
        <f aca="false">CF!H46/(Seg!H56-Thesis!H72)</f>
        <v>0.0641950889132003</v>
      </c>
      <c r="I133" s="7" t="n">
        <f aca="false">CF!I46/(Seg!I56-Thesis!I72)</f>
        <v>0.063960269667854</v>
      </c>
      <c r="J133" s="7" t="n">
        <f aca="false">CF!J46/(Seg!J56-Thesis!J72)</f>
        <v>0.0646607917002597</v>
      </c>
      <c r="K133" s="7" t="n">
        <f aca="false">CF!K46/(Seg!K56-Thesis!K72)</f>
        <v>0.0659511546529383</v>
      </c>
    </row>
    <row r="134" customFormat="false" ht="17.15" hidden="false" customHeight="false" outlineLevel="0" collapsed="false">
      <c r="A134" s="0" t="s">
        <v>1056</v>
      </c>
      <c r="B134" s="0" t="s">
        <v>98</v>
      </c>
      <c r="F134" s="6" t="n">
        <f aca="false">Seg!F41*(al_m365+Val!F133+sbc_r)</f>
        <v>83.9158372980923</v>
      </c>
      <c r="G134" s="6" t="n">
        <f aca="false">Seg!G41*(al_m365+Val!G133+sbc_r)</f>
        <v>96.3459139664276</v>
      </c>
      <c r="H134" s="6" t="n">
        <f aca="false">Seg!H41*(al_m365+Val!H133+sbc_r)</f>
        <v>108.939128787393</v>
      </c>
      <c r="I134" s="6" t="n">
        <f aca="false">Seg!I41*(al_m365+Val!I133+sbc_r)</f>
        <v>120.51456797186</v>
      </c>
      <c r="J134" s="6" t="n">
        <f aca="false">Seg!J41*(al_m365+Val!J133+sbc_r)</f>
        <v>130.883844402211</v>
      </c>
      <c r="K134" s="6" t="n">
        <f aca="false">Seg!K41*(al_m365+Val!K133+sbc_r)</f>
        <v>140.862269296832</v>
      </c>
      <c r="L134" s="11" t="s">
        <v>1057</v>
      </c>
    </row>
    <row r="135" customFormat="false" ht="17.15" hidden="false" customHeight="false" outlineLevel="0" collapsed="false">
      <c r="A135" s="0" t="s">
        <v>1058</v>
      </c>
      <c r="B135" s="0" t="s">
        <v>98</v>
      </c>
      <c r="F135" s="6" t="n">
        <f aca="false">Seg!F42*(al_lic+Val!F133+sbc_r)</f>
        <v>33.4384115342236</v>
      </c>
      <c r="G135" s="6" t="n">
        <f aca="false">Seg!G42*(al_lic+Val!G133+sbc_r)</f>
        <v>34.7409063621757</v>
      </c>
      <c r="H135" s="6" t="n">
        <f aca="false">Seg!H42*(al_lic+Val!H133+sbc_r)</f>
        <v>35.9566740351293</v>
      </c>
      <c r="I135" s="6" t="n">
        <f aca="false">Seg!I42*(al_lic+Val!I133+sbc_r)</f>
        <v>37.0672966580049</v>
      </c>
      <c r="J135" s="6" t="n">
        <f aca="false">Seg!J42*(al_lic+Val!J133+sbc_r)</f>
        <v>38.0469841498966</v>
      </c>
      <c r="K135" s="6" t="n">
        <f aca="false">Seg!K42*(al_lic+Val!K133+sbc_r)</f>
        <v>38.8666958490701</v>
      </c>
    </row>
    <row r="136" customFormat="false" ht="17.15" hidden="false" customHeight="false" outlineLevel="0" collapsed="false">
      <c r="A136" s="0" t="s">
        <v>1059</v>
      </c>
      <c r="B136" s="0" t="s">
        <v>98</v>
      </c>
      <c r="F136" s="6" t="n">
        <f aca="false">Seg!F44*(al_ind+Val!F133+sbc_r)</f>
        <v>9.07285900381439</v>
      </c>
      <c r="G136" s="6" t="n">
        <f aca="false">Seg!G44*(al_ind+Val!G133+sbc_r)</f>
        <v>9.84969160470639</v>
      </c>
      <c r="H136" s="6" t="n">
        <f aca="false">Seg!H44*(al_ind+Val!H133+sbc_r)</f>
        <v>10.6714469126029</v>
      </c>
      <c r="I136" s="6" t="n">
        <f aca="false">Seg!I44*(al_ind+Val!I133+sbc_r)</f>
        <v>11.5350820765572</v>
      </c>
      <c r="J136" s="6" t="n">
        <f aca="false">Seg!J44*(al_ind+Val!J133+sbc_r)</f>
        <v>12.4308815351832</v>
      </c>
      <c r="K136" s="6" t="n">
        <f aca="false">Seg!K44*(al_ind+Val!K133+sbc_r)</f>
        <v>13.3437330974691</v>
      </c>
    </row>
    <row r="137" customFormat="false" ht="17.15" hidden="false" customHeight="false" outlineLevel="0" collapsed="false">
      <c r="A137" s="0" t="s">
        <v>1060</v>
      </c>
      <c r="B137" s="0" t="s">
        <v>98</v>
      </c>
      <c r="F137" s="6" t="n">
        <f aca="false">Seg!F46*(al_fro+Val!F133+sbc_r)</f>
        <v>3.5711091569032</v>
      </c>
      <c r="G137" s="6" t="n">
        <f aca="false">Seg!G46*(al_fro+Val!G133+sbc_r)</f>
        <v>3.78169924595694</v>
      </c>
      <c r="H137" s="6" t="n">
        <f aca="false">Seg!H46*(al_fro+Val!H133+sbc_r)</f>
        <v>4.02136645419237</v>
      </c>
      <c r="I137" s="6" t="n">
        <f aca="false">Seg!I46*(al_fro+Val!I133+sbc_r)</f>
        <v>4.29288807676321</v>
      </c>
      <c r="J137" s="6" t="n">
        <f aca="false">Seg!J46*(al_fro+Val!J133+sbc_r)</f>
        <v>4.59741770960175</v>
      </c>
      <c r="K137" s="6" t="n">
        <f aca="false">Seg!K46*(al_fro+Val!K133+sbc_r)</f>
        <v>4.9350252981555</v>
      </c>
    </row>
    <row r="138" customFormat="false" ht="17.15" hidden="false" customHeight="false" outlineLevel="0" collapsed="false">
      <c r="A138" s="0" t="s">
        <v>1061</v>
      </c>
      <c r="B138" s="0" t="s">
        <v>98</v>
      </c>
      <c r="F138" s="6" t="n">
        <f aca="false">Seg!F49*(al_srch+Val!F133+sbc_r)</f>
        <v>11.205111954849</v>
      </c>
      <c r="G138" s="6" t="n">
        <f aca="false">Seg!G49*(al_srch+Val!G133+sbc_r)</f>
        <v>12.2792883348957</v>
      </c>
      <c r="H138" s="6" t="n">
        <f aca="false">Seg!H49*(al_srch+Val!H133+sbc_r)</f>
        <v>13.3983888227975</v>
      </c>
      <c r="I138" s="6" t="n">
        <f aca="false">Seg!I49*(al_srch+Val!I133+sbc_r)</f>
        <v>14.5517695263616</v>
      </c>
      <c r="J138" s="6" t="n">
        <f aca="false">Seg!J49*(al_srch+Val!J133+sbc_r)</f>
        <v>15.7194284145253</v>
      </c>
      <c r="K138" s="6" t="n">
        <f aca="false">Seg!K49*(al_srch+Val!K133+sbc_r)</f>
        <v>16.87377171237</v>
      </c>
    </row>
    <row r="139" customFormat="false" ht="17.15" hidden="false" customHeight="false" outlineLevel="0" collapsed="false">
      <c r="A139" s="0" t="s">
        <v>1062</v>
      </c>
      <c r="B139" s="0" t="s">
        <v>98</v>
      </c>
      <c r="F139" s="6" t="n">
        <f aca="false">Thesis!F78-Thesis!F79+Thesis!F93</f>
        <v>52.8623286647412</v>
      </c>
      <c r="G139" s="6" t="n">
        <f aca="false">Thesis!G78-Thesis!G79+Thesis!G93</f>
        <v>90.9040728275534</v>
      </c>
      <c r="H139" s="6" t="n">
        <f aca="false">Thesis!H78-Thesis!H79+Thesis!H93</f>
        <v>131.644750996567</v>
      </c>
      <c r="I139" s="6" t="n">
        <f aca="false">Thesis!I78-Thesis!I79+Thesis!I93</f>
        <v>168.39858142968</v>
      </c>
      <c r="J139" s="6" t="n">
        <f aca="false">Thesis!J78-Thesis!J79+Thesis!J93</f>
        <v>194.311955071191</v>
      </c>
      <c r="K139" s="6" t="n">
        <f aca="false">Thesis!K78-Thesis!K79+Thesis!K93</f>
        <v>210.298852071854</v>
      </c>
    </row>
    <row r="140" customFormat="false" ht="17.15" hidden="false" customHeight="false" outlineLevel="0" collapsed="false">
      <c r="A140" s="0" t="s">
        <v>1063</v>
      </c>
      <c r="B140" s="0" t="s">
        <v>98</v>
      </c>
      <c r="F140" s="6" t="n">
        <f aca="false">PL!F71+Thesis!F93+Thesis!F89+Val!F133*(Seg!F48-Thesis!F72)+sbc_r*Seg!F48</f>
        <v>243.876179717448</v>
      </c>
      <c r="G140" s="6" t="n">
        <f aca="false">PL!G71+Thesis!G93+Thesis!G89+Val!G133*(Seg!G48-Thesis!G72)+sbc_r*Seg!G48</f>
        <v>308.994305130286</v>
      </c>
      <c r="H140" s="6" t="n">
        <f aca="false">PL!H71+Thesis!H93+Thesis!H89+Val!H133*(Seg!H48-Thesis!H72)+sbc_r*Seg!H48</f>
        <v>377.321529021127</v>
      </c>
      <c r="I140" s="6" t="n">
        <f aca="false">PL!I71+Thesis!I93+Thesis!I89+Val!I133*(Seg!I48-Thesis!I72)+sbc_r*Seg!I48</f>
        <v>440.295672377585</v>
      </c>
      <c r="J140" s="6" t="n">
        <f aca="false">PL!J71+Thesis!J93+Thesis!J89+Val!J133*(Seg!J48-Thesis!J72)+sbc_r*Seg!J48</f>
        <v>489.992586437676</v>
      </c>
      <c r="K140" s="6" t="n">
        <f aca="false">PL!K71+Thesis!K93+Thesis!K89+Val!K133*(Seg!K48-Thesis!K72)+sbc_r*Seg!K48</f>
        <v>527.395402529627</v>
      </c>
    </row>
    <row r="141" customFormat="false" ht="17.15" hidden="false" customHeight="false" outlineLevel="0" collapsed="false">
      <c r="A141" s="0" t="s">
        <v>1064</v>
      </c>
      <c r="B141" s="0" t="s">
        <v>98</v>
      </c>
      <c r="F141" s="6" t="n">
        <f aca="false">Val!F140-Val!F134-Val!F135-Val!F136-Val!F137-Val!F139</f>
        <v>61.0156340596736</v>
      </c>
      <c r="G141" s="6" t="n">
        <f aca="false">Val!G140-Val!G134-Val!G135-Val!G136-Val!G137-Val!G139</f>
        <v>73.3720211234655</v>
      </c>
      <c r="H141" s="6" t="n">
        <f aca="false">Val!H140-Val!H134-Val!H135-Val!H136-Val!H137-Val!H139</f>
        <v>86.0881618352416</v>
      </c>
      <c r="I141" s="6" t="n">
        <f aca="false">Val!I140-Val!I134-Val!I135-Val!I136-Val!I137-Val!I139</f>
        <v>98.4872561647193</v>
      </c>
      <c r="J141" s="6" t="n">
        <f aca="false">Val!J140-Val!J134-Val!J135-Val!J136-Val!J137-Val!J139</f>
        <v>109.721503569592</v>
      </c>
      <c r="K141" s="6" t="n">
        <f aca="false">Val!K140-Val!K134-Val!K135-Val!K136-Val!K137-Val!K139</f>
        <v>119.088826916246</v>
      </c>
    </row>
    <row r="142" customFormat="false" ht="17.15" hidden="false" customHeight="false" outlineLevel="0" collapsed="false">
      <c r="A142" s="0" t="s">
        <v>1065</v>
      </c>
      <c r="B142" s="0" t="s">
        <v>98</v>
      </c>
      <c r="F142" s="6" t="n">
        <f aca="false">PL!F73+Val!F133*Seg!F55+sbc_r*Seg!F55</f>
        <v>26.1883018536976</v>
      </c>
      <c r="G142" s="6" t="n">
        <f aca="false">PL!G73+Val!G133*Seg!G55+sbc_r*Seg!G55</f>
        <v>26.7988692269165</v>
      </c>
      <c r="H142" s="6" t="n">
        <f aca="false">PL!H73+Val!H133*Seg!H55+sbc_r*Seg!H55</f>
        <v>27.676651877401</v>
      </c>
      <c r="I142" s="6" t="n">
        <f aca="false">PL!I73+Val!I133*Seg!I55+sbc_r*Seg!I55</f>
        <v>28.7919477163856</v>
      </c>
      <c r="J142" s="6" t="n">
        <f aca="false">PL!J73+Val!J133*Seg!J55+sbc_r*Seg!J55</f>
        <v>30.1095554599876</v>
      </c>
      <c r="K142" s="6" t="n">
        <f aca="false">PL!K73+Val!K133*Seg!K55+sbc_r*Seg!K55</f>
        <v>31.5923355811805</v>
      </c>
    </row>
    <row r="143" customFormat="false" ht="17.15" hidden="false" customHeight="false" outlineLevel="0" collapsed="false">
      <c r="A143" s="0" t="s">
        <v>1066</v>
      </c>
      <c r="B143" s="0" t="s">
        <v>98</v>
      </c>
      <c r="F143" s="6" t="n">
        <f aca="false">(Val!F142-Val!F138)*Seg!F51/(Seg!F51+Seg!F53)</f>
        <v>8.21363876839376</v>
      </c>
      <c r="G143" s="6" t="n">
        <f aca="false">(Val!G142-Val!G138)*Seg!G51/(Seg!G51+Seg!G53)</f>
        <v>7.81757556948427</v>
      </c>
      <c r="H143" s="6" t="n">
        <f aca="false">(Val!H142-Val!H138)*Seg!H51/(Seg!H51+Seg!H53)</f>
        <v>7.58379891746928</v>
      </c>
      <c r="I143" s="6" t="n">
        <f aca="false">(Val!I142-Val!I138)*Seg!I51/(Seg!I51+Seg!I53)</f>
        <v>7.49513512835163</v>
      </c>
      <c r="J143" s="6" t="n">
        <f aca="false">(Val!J142-Val!J138)*Seg!J51/(Seg!J51+Seg!J53)</f>
        <v>7.53980917061682</v>
      </c>
      <c r="K143" s="6" t="n">
        <f aca="false">(Val!K142-Val!K138)*Seg!K51/(Seg!K51+Seg!K53)</f>
        <v>7.71189597463361</v>
      </c>
    </row>
    <row r="144" customFormat="false" ht="17.15" hidden="false" customHeight="false" outlineLevel="0" collapsed="false">
      <c r="A144" s="0" t="s">
        <v>1067</v>
      </c>
      <c r="B144" s="0" t="s">
        <v>98</v>
      </c>
      <c r="F144" s="6" t="n">
        <f aca="false">Val!F142-Val!F138-Val!F143</f>
        <v>6.76955113045481</v>
      </c>
      <c r="G144" s="6" t="n">
        <f aca="false">Val!G142-Val!G138-Val!G143</f>
        <v>6.70200532253647</v>
      </c>
      <c r="H144" s="6" t="n">
        <f aca="false">Val!H142-Val!H138-Val!H143</f>
        <v>6.69446413713431</v>
      </c>
      <c r="I144" s="6" t="n">
        <f aca="false">Val!I142-Val!I138-Val!I143</f>
        <v>6.74504306167234</v>
      </c>
      <c r="J144" s="6" t="n">
        <f aca="false">Val!J142-Val!J138-Val!J143</f>
        <v>6.85031787484545</v>
      </c>
      <c r="K144" s="6" t="n">
        <f aca="false">Val!K142-Val!K138-Val!K143</f>
        <v>7.00666789417688</v>
      </c>
    </row>
    <row r="145" customFormat="false" ht="17.15" hidden="false" customHeight="false" outlineLevel="0" collapsed="false">
      <c r="A145" s="0" t="s">
        <v>1068</v>
      </c>
      <c r="B145" s="0" t="s">
        <v>98</v>
      </c>
      <c r="F145" s="6" t="n">
        <f aca="false">Val!F139-tax_f*(Val!F139-Thesis!F89)-Thesis!F86</f>
        <v>-119.382682747471</v>
      </c>
      <c r="G145" s="6" t="n">
        <f aca="false">Val!G139-tax_f*(Val!G139-Thesis!G89)-Thesis!G86</f>
        <v>-98.7495755690893</v>
      </c>
      <c r="H145" s="6" t="n">
        <f aca="false">Val!H139-tax_f*(Val!H139-Thesis!H89)-Thesis!H86</f>
        <v>-65.2160219145184</v>
      </c>
      <c r="I145" s="6" t="n">
        <f aca="false">Val!I139-tax_f*(Val!I139-Thesis!I89)-Thesis!I86</f>
        <v>-6.59039601405712</v>
      </c>
      <c r="J145" s="6" t="n">
        <f aca="false">Val!J139-tax_f*(Val!J139-Thesis!J89)-Thesis!J86</f>
        <v>56.7738295233955</v>
      </c>
      <c r="K145" s="6" t="n">
        <f aca="false">Val!K139-tax_f*(Val!K139-Thesis!K89)-Thesis!K86</f>
        <v>81.209175376442</v>
      </c>
    </row>
    <row r="146" customFormat="false" ht="17.15" hidden="false" customHeight="false" outlineLevel="0" collapsed="false">
      <c r="A146" s="0" t="s">
        <v>1069</v>
      </c>
      <c r="B146" s="0" t="s">
        <v>98</v>
      </c>
      <c r="F146" s="6" t="n">
        <f aca="false">Val!F145*Val!F119</f>
        <v>-113.675399435717</v>
      </c>
      <c r="G146" s="6" t="n">
        <f aca="false">Val!G145*Val!G119</f>
        <v>-85.2532025390917</v>
      </c>
      <c r="H146" s="6" t="n">
        <f aca="false">Val!H145*Val!H119</f>
        <v>-51.0481582830682</v>
      </c>
      <c r="I146" s="6" t="n">
        <f aca="false">Val!I145*Val!I119</f>
        <v>-4.67721782319945</v>
      </c>
      <c r="J146" s="6" t="n">
        <f aca="false">Val!J145*Val!J119</f>
        <v>36.5320953989789</v>
      </c>
      <c r="K146" s="6" t="n">
        <f aca="false">Val!K145*Val!K119</f>
        <v>47.3785542320528</v>
      </c>
    </row>
    <row r="147" customFormat="false" ht="17.15" hidden="false" customHeight="false" outlineLevel="0" collapsed="false">
      <c r="A147" s="0" t="s">
        <v>1070</v>
      </c>
      <c r="B147" s="0" t="s">
        <v>98</v>
      </c>
      <c r="C147" s="6" t="n">
        <f aca="false">(Val!K139-Thesis!K89)*(1-tax_f)*(1+g_tv)*(1-g_tv/(wacc+ronic_prem))/(wacc-g_tv)/(1+wacc)^(Val!K118+mid_yr)</f>
        <v>314.186863600641</v>
      </c>
    </row>
    <row r="148" customFormat="false" ht="17.15" hidden="false" customHeight="false" outlineLevel="0" collapsed="false">
      <c r="A148" s="1" t="s">
        <v>1071</v>
      </c>
      <c r="B148" s="0" t="s">
        <v>98</v>
      </c>
      <c r="C148" s="6" t="n">
        <f aca="false">(SUM(Val!F146:K146)+Val!$C$147)*(1+wacc)^t_roll</f>
        <v>163.343942987594</v>
      </c>
      <c r="L148" s="11" t="s">
        <v>1072</v>
      </c>
    </row>
    <row r="149" customFormat="false" ht="17.15" hidden="false" customHeight="false" outlineLevel="0" collapsed="false">
      <c r="A149" s="1" t="s">
        <v>1073</v>
      </c>
      <c r="B149" s="0" t="s">
        <v>98</v>
      </c>
      <c r="C149" s="6" t="n">
        <f aca="false">(w_ntm28*Thesis!G78+(1-w_ntm28)*Thesis!H78)*m_ai</f>
        <v>454.922440830797</v>
      </c>
    </row>
    <row r="150" customFormat="false" ht="17.15" hidden="false" customHeight="false" outlineLevel="0" collapsed="false">
      <c r="A150" s="1" t="s">
        <v>1074</v>
      </c>
      <c r="B150" s="0" t="s">
        <v>98</v>
      </c>
      <c r="C150" s="6" t="n">
        <f aca="false">(w_ntm28*Val!G141+(1-w_ntm28)*Val!H141)*m_cloud</f>
        <v>1070.81495830201</v>
      </c>
    </row>
    <row r="151" customFormat="false" ht="17.15" hidden="false" customHeight="false" outlineLevel="0" collapsed="false">
      <c r="A151" s="1" t="s">
        <v>1075</v>
      </c>
      <c r="B151" s="0" t="s">
        <v>98</v>
      </c>
      <c r="C151" s="6" t="n">
        <f aca="false">(w_ntm28*Val!G134+(1-w_ntm28)*Val!H134)*m_sw</f>
        <v>1084.50516663972</v>
      </c>
    </row>
    <row r="152" customFormat="false" ht="17.15" hidden="false" customHeight="false" outlineLevel="0" collapsed="false">
      <c r="A152" s="1" t="s">
        <v>1076</v>
      </c>
      <c r="B152" s="0" t="s">
        <v>98</v>
      </c>
      <c r="C152" s="6" t="n">
        <f aca="false">(w_ntm28*Val!G135+(1-w_ntm28)*Val!H135)*m_sw</f>
        <v>379.446649868791</v>
      </c>
    </row>
    <row r="153" customFormat="false" ht="17.15" hidden="false" customHeight="false" outlineLevel="0" collapsed="false">
      <c r="A153" s="1" t="s">
        <v>1077</v>
      </c>
      <c r="B153" s="0" t="s">
        <v>98</v>
      </c>
      <c r="C153" s="6" t="n">
        <f aca="false">(w_ntm28*Val!G136+(1-w_ntm28)*Val!H136)*m_sw</f>
        <v>109.245833616811</v>
      </c>
    </row>
    <row r="154" customFormat="false" ht="17.15" hidden="false" customHeight="false" outlineLevel="0" collapsed="false">
      <c r="A154" s="1" t="s">
        <v>1078</v>
      </c>
      <c r="B154" s="0" t="s">
        <v>98</v>
      </c>
      <c r="C154" s="6" t="n">
        <f aca="false">(w_ntm28*Val!G137+(1-w_ntm28)*Val!H137)*m_sw</f>
        <v>41.6791515554452</v>
      </c>
    </row>
    <row r="155" customFormat="false" ht="17.15" hidden="false" customHeight="false" outlineLevel="0" collapsed="false">
      <c r="A155" s="1" t="s">
        <v>1079</v>
      </c>
      <c r="B155" s="0" t="s">
        <v>98</v>
      </c>
      <c r="C155" s="6" t="n">
        <f aca="false">(w_ntm28*Val!G138+(1-w_ntm28)*Val!H138)*m_ads</f>
        <v>115.160236299351</v>
      </c>
    </row>
    <row r="156" customFormat="false" ht="17.15" hidden="false" customHeight="false" outlineLevel="0" collapsed="false">
      <c r="A156" s="1" t="s">
        <v>1080</v>
      </c>
      <c r="B156" s="0" t="s">
        <v>98</v>
      </c>
      <c r="C156" s="6" t="n">
        <f aca="false">(w_ntm28*Val!G143+(1-w_ntm28)*Val!H143)*m_game</f>
        <v>97.7814405506301</v>
      </c>
    </row>
    <row r="157" customFormat="false" ht="17.15" hidden="false" customHeight="false" outlineLevel="0" collapsed="false">
      <c r="A157" s="1" t="s">
        <v>1081</v>
      </c>
      <c r="B157" s="0" t="s">
        <v>98</v>
      </c>
      <c r="C157" s="6" t="n">
        <f aca="false">(w_ntm28*Val!G144+(1-w_ntm28)*Val!H144)*m_pc</f>
        <v>96.9427395583992</v>
      </c>
    </row>
    <row r="158" customFormat="false" ht="17.15" hidden="false" customHeight="false" outlineLevel="0" collapsed="false">
      <c r="A158" s="1" t="s">
        <v>1082</v>
      </c>
      <c r="B158" s="0" t="s">
        <v>98</v>
      </c>
      <c r="C158" s="6" t="n">
        <f aca="false">Val!$C$148+Val!$C$150+Val!$C$151+Val!$C$152+Val!$C$153+Val!$C$154+Val!$C$155+Val!$C$156+Val!$C$157</f>
        <v>3158.92011937875</v>
      </c>
    </row>
    <row r="159" customFormat="false" ht="17.15" hidden="false" customHeight="false" outlineLevel="0" collapsed="false">
      <c r="A159" s="1" t="s">
        <v>1000</v>
      </c>
      <c r="B159" s="0" t="s">
        <v>98</v>
      </c>
      <c r="C159" s="6" t="n">
        <f aca="false">CF!F65+oai_v-CF!F54</f>
        <v>111.253995542787</v>
      </c>
      <c r="L159" s="1" t="s">
        <v>1083</v>
      </c>
    </row>
    <row r="160" customFormat="false" ht="15" hidden="false" customHeight="false" outlineLevel="0" collapsed="false">
      <c r="A160" s="1" t="s">
        <v>1001</v>
      </c>
      <c r="B160" s="0" t="s">
        <v>75</v>
      </c>
      <c r="C160" s="5" t="n">
        <f aca="false">(Val!$C$158+Val!$C$159)/CF!F67</f>
        <v>437.657135294638</v>
      </c>
    </row>
    <row r="161" customFormat="false" ht="17.15" hidden="false" customHeight="false" outlineLevel="0" collapsed="false">
      <c r="A161" s="1" t="s">
        <v>1084</v>
      </c>
      <c r="B161" s="0" t="s">
        <v>75</v>
      </c>
      <c r="C161" s="5" t="n">
        <f aca="false">w_dcf*Val!$C$132+(1-w_dcf)*Val!$C$160</f>
        <v>390.899870220884</v>
      </c>
    </row>
    <row r="162" customFormat="false" ht="17.15" hidden="false" customHeight="false" outlineLevel="0" collapsed="false">
      <c r="A162" s="3" t="s">
        <v>1086</v>
      </c>
    </row>
    <row r="163" customFormat="false" ht="15" hidden="false" customHeight="false" outlineLevel="0" collapsed="false">
      <c r="A163" s="4" t="s">
        <v>43</v>
      </c>
      <c r="B163" s="4" t="s">
        <v>65</v>
      </c>
      <c r="C163" s="20" t="s">
        <v>788</v>
      </c>
      <c r="D163" s="20" t="s">
        <v>789</v>
      </c>
      <c r="E163" s="20" t="s">
        <v>790</v>
      </c>
      <c r="F163" s="20" t="s">
        <v>791</v>
      </c>
      <c r="G163" s="20" t="s">
        <v>792</v>
      </c>
      <c r="H163" s="20" t="s">
        <v>793</v>
      </c>
      <c r="I163" s="20" t="s">
        <v>794</v>
      </c>
      <c r="J163" s="20" t="s">
        <v>795</v>
      </c>
      <c r="K163" s="20" t="s">
        <v>796</v>
      </c>
      <c r="L163" s="4" t="s">
        <v>47</v>
      </c>
    </row>
    <row r="164" customFormat="false" ht="15" hidden="false" customHeight="false" outlineLevel="0" collapsed="false">
      <c r="A164" s="1" t="s">
        <v>1042</v>
      </c>
      <c r="B164" s="1" t="s">
        <v>235</v>
      </c>
      <c r="F164" s="36" t="n">
        <f aca="false">Thesis!F104-base_fy-mid_yr</f>
        <v>0.5</v>
      </c>
      <c r="G164" s="36" t="n">
        <f aca="false">Thesis!G104-base_fy-mid_yr</f>
        <v>1.5</v>
      </c>
      <c r="H164" s="36" t="n">
        <f aca="false">Thesis!H104-base_fy-mid_yr</f>
        <v>2.5</v>
      </c>
      <c r="I164" s="36" t="n">
        <f aca="false">Thesis!I104-base_fy-mid_yr</f>
        <v>3.5</v>
      </c>
      <c r="J164" s="36" t="n">
        <f aca="false">Thesis!J104-base_fy-mid_yr</f>
        <v>4.5</v>
      </c>
      <c r="K164" s="36" t="n">
        <f aca="false">Thesis!K104-base_fy-mid_yr</f>
        <v>5.5</v>
      </c>
    </row>
    <row r="165" customFormat="false" ht="15" hidden="false" customHeight="false" outlineLevel="0" collapsed="false">
      <c r="A165" s="1" t="s">
        <v>1043</v>
      </c>
      <c r="B165" s="0" t="s">
        <v>185</v>
      </c>
      <c r="F165" s="14" t="n">
        <f aca="false">1/(1+wacc)^Val!F164</f>
        <v>0.952193373608246</v>
      </c>
      <c r="G165" s="14" t="n">
        <f aca="false">1/(1+wacc)^Val!G164</f>
        <v>0.863327280626589</v>
      </c>
      <c r="H165" s="14" t="n">
        <f aca="false">1/(1+wacc)^Val!H164</f>
        <v>0.782754862754115</v>
      </c>
      <c r="I165" s="14" t="n">
        <f aca="false">1/(1+wacc)^Val!I164</f>
        <v>0.709702089711011</v>
      </c>
      <c r="J165" s="14" t="n">
        <f aca="false">1/(1+wacc)^Val!J164</f>
        <v>0.643467169744551</v>
      </c>
      <c r="K165" s="14" t="n">
        <f aca="false">1/(1+wacc)^Val!K164</f>
        <v>0.583413807767797</v>
      </c>
    </row>
    <row r="166" customFormat="false" ht="17.15" hidden="false" customHeight="false" outlineLevel="0" collapsed="false">
      <c r="A166" s="1" t="s">
        <v>1044</v>
      </c>
      <c r="B166" s="0" t="s">
        <v>98</v>
      </c>
      <c r="F166" s="6" t="n">
        <f aca="false">CF!F79-CF!F77-CF!F82+Thesis!F142*(1-tax_f)</f>
        <v>2.81855367218396</v>
      </c>
      <c r="G166" s="6" t="n">
        <f aca="false">CF!G79-CF!G77-CF!G82+Thesis!G142*(1-tax_f)</f>
        <v>35.4967358232605</v>
      </c>
      <c r="H166" s="6" t="n">
        <f aca="false">CF!H79-CF!H77-CF!H82+Thesis!H142*(1-tax_f)</f>
        <v>71.9736045985465</v>
      </c>
      <c r="I166" s="6" t="n">
        <f aca="false">CF!I79-CF!I77-CF!I82+Thesis!I142*(1-tax_f)</f>
        <v>139.565890227748</v>
      </c>
      <c r="J166" s="6" t="n">
        <f aca="false">CF!J79-CF!J77-CF!J82+Thesis!J142*(1-tax_f)</f>
        <v>212.783902680705</v>
      </c>
      <c r="K166" s="6" t="n">
        <f aca="false">CF!K79-CF!K77-CF!K82+Thesis!K142*(1-tax_f)</f>
        <v>247.854416738942</v>
      </c>
      <c r="L166" s="1" t="s">
        <v>1045</v>
      </c>
    </row>
    <row r="167" customFormat="false" ht="15" hidden="false" customHeight="false" outlineLevel="0" collapsed="false">
      <c r="A167" s="1" t="s">
        <v>1046</v>
      </c>
      <c r="B167" s="0" t="s">
        <v>98</v>
      </c>
      <c r="F167" s="6" t="n">
        <f aca="false">Val!F166*Val!F165</f>
        <v>2.68380812981276</v>
      </c>
      <c r="G167" s="6" t="n">
        <f aca="false">Val!G166*Val!G165</f>
        <v>30.6453004094159</v>
      </c>
      <c r="H167" s="6" t="n">
        <f aca="false">Val!H166*Val!H165</f>
        <v>56.3376889894542</v>
      </c>
      <c r="I167" s="6" t="n">
        <f aca="false">Val!I166*Val!I165</f>
        <v>99.0502039470101</v>
      </c>
      <c r="J167" s="6" t="n">
        <f aca="false">Val!J166*Val!J165</f>
        <v>136.919455625153</v>
      </c>
      <c r="K167" s="6" t="n">
        <f aca="false">Val!K166*Val!K165</f>
        <v>144.601689041733</v>
      </c>
    </row>
    <row r="168" customFormat="false" ht="17.15" hidden="false" customHeight="false" outlineLevel="0" collapsed="false">
      <c r="A168" s="1" t="s">
        <v>1047</v>
      </c>
      <c r="B168" s="0" t="s">
        <v>98</v>
      </c>
      <c r="C168" s="6" t="n">
        <f aca="false">SUM(Val!F167:K167)</f>
        <v>470.238146142579</v>
      </c>
    </row>
    <row r="169" customFormat="false" ht="17.15" hidden="false" customHeight="false" outlineLevel="0" collapsed="false">
      <c r="A169" s="1" t="s">
        <v>1048</v>
      </c>
      <c r="B169" s="0" t="s">
        <v>98</v>
      </c>
      <c r="C169" s="6" t="n">
        <f aca="false">PL!K117*(1+g_tv)*(1-tax_f)</f>
        <v>255.879558138142</v>
      </c>
    </row>
    <row r="170" customFormat="false" ht="17.15" hidden="false" customHeight="false" outlineLevel="0" collapsed="false">
      <c r="A170" s="1" t="s">
        <v>1049</v>
      </c>
      <c r="B170" s="0" t="s">
        <v>98</v>
      </c>
      <c r="C170" s="6" t="n">
        <f aca="false">Val!$C$169*(1-g_tv/(wacc+ronic_prem))</f>
        <v>181.304049409205</v>
      </c>
    </row>
    <row r="171" customFormat="false" ht="17.15" hidden="false" customHeight="false" outlineLevel="0" collapsed="false">
      <c r="A171" s="1" t="s">
        <v>1050</v>
      </c>
      <c r="B171" s="0" t="s">
        <v>98</v>
      </c>
      <c r="C171" s="6" t="n">
        <f aca="false">Val!$C$170/(wacc-g_tv)</f>
        <v>2485.85029096454</v>
      </c>
    </row>
    <row r="172" customFormat="false" ht="15" hidden="false" customHeight="false" outlineLevel="0" collapsed="false">
      <c r="A172" s="1" t="s">
        <v>1051</v>
      </c>
      <c r="B172" s="0" t="s">
        <v>98</v>
      </c>
      <c r="C172" s="6" t="n">
        <f aca="false">Val!$C$171/(1+wacc)^(Val!K164+mid_yr)</f>
        <v>1380.94641912769</v>
      </c>
    </row>
    <row r="173" customFormat="false" ht="17.15" hidden="false" customHeight="false" outlineLevel="0" collapsed="false">
      <c r="A173" s="0" t="s">
        <v>972</v>
      </c>
      <c r="B173" s="0" t="s">
        <v>98</v>
      </c>
      <c r="C173" s="6" t="n">
        <f aca="false">Val!$C$168+Val!$C$172</f>
        <v>1851.18456527027</v>
      </c>
    </row>
    <row r="174" customFormat="false" ht="15" hidden="false" customHeight="false" outlineLevel="0" collapsed="false">
      <c r="A174" s="1" t="s">
        <v>973</v>
      </c>
      <c r="B174" s="0" t="s">
        <v>129</v>
      </c>
      <c r="C174" s="7" t="n">
        <f aca="false">Val!$C$172/Val!$C$173</f>
        <v>0.745979868801507</v>
      </c>
    </row>
    <row r="175" customFormat="false" ht="17.15" hidden="false" customHeight="false" outlineLevel="0" collapsed="false">
      <c r="A175" s="1" t="s">
        <v>1052</v>
      </c>
      <c r="B175" s="0" t="s">
        <v>98</v>
      </c>
      <c r="C175" s="6" t="n">
        <f aca="false">Val!$C$173+CF!E94-CF!E83+oai_v</f>
        <v>1985.69756527027</v>
      </c>
    </row>
    <row r="176" customFormat="false" ht="17.15" hidden="false" customHeight="false" outlineLevel="0" collapsed="false">
      <c r="A176" s="0" t="s">
        <v>980</v>
      </c>
      <c r="B176" s="0" t="s">
        <v>75</v>
      </c>
      <c r="C176" s="5" t="n">
        <f aca="false">Val!$C$175/sh_dil26</f>
        <v>266.429298976287</v>
      </c>
    </row>
    <row r="177" customFormat="false" ht="15" hidden="false" customHeight="false" outlineLevel="0" collapsed="false">
      <c r="A177" s="1" t="s">
        <v>1053</v>
      </c>
      <c r="B177" s="0" t="s">
        <v>75</v>
      </c>
      <c r="C177" s="8" t="n">
        <f aca="false">dps_27+CF!G86*roll_div_q/q_per_yr</f>
        <v>4.8895</v>
      </c>
    </row>
    <row r="178" customFormat="false" ht="17.15" hidden="false" customHeight="false" outlineLevel="0" collapsed="false">
      <c r="A178" s="0" t="s">
        <v>1054</v>
      </c>
      <c r="B178" s="0" t="s">
        <v>75</v>
      </c>
      <c r="C178" s="5" t="n">
        <f aca="false">Val!$C$176*(1+wacc)^t_roll-Val!$C$177</f>
        <v>298.502438692235</v>
      </c>
    </row>
    <row r="179" customFormat="false" ht="17.15" hidden="false" customHeight="false" outlineLevel="0" collapsed="false">
      <c r="A179" s="1" t="s">
        <v>1055</v>
      </c>
      <c r="B179" s="0" t="s">
        <v>129</v>
      </c>
      <c r="F179" s="7" t="n">
        <f aca="false">CF!F75/(Seg!F83-Thesis!F121)</f>
        <v>0.0686864325746334</v>
      </c>
      <c r="G179" s="7" t="n">
        <f aca="false">CF!G75/(Seg!G83-Thesis!G121)</f>
        <v>0.066267001590801</v>
      </c>
      <c r="H179" s="7" t="n">
        <f aca="false">CF!H75/(Seg!H83-Thesis!H121)</f>
        <v>0.0650366246750144</v>
      </c>
      <c r="I179" s="7" t="n">
        <f aca="false">CF!I75/(Seg!I83-Thesis!I121)</f>
        <v>0.0648573271390164</v>
      </c>
      <c r="J179" s="7" t="n">
        <f aca="false">CF!J75/(Seg!J83-Thesis!J121)</f>
        <v>0.0655189837669657</v>
      </c>
      <c r="K179" s="7" t="n">
        <f aca="false">CF!K75/(Seg!K83-Thesis!K121)</f>
        <v>0.0667878921367872</v>
      </c>
    </row>
    <row r="180" customFormat="false" ht="17.15" hidden="false" customHeight="false" outlineLevel="0" collapsed="false">
      <c r="A180" s="0" t="s">
        <v>1056</v>
      </c>
      <c r="B180" s="0" t="s">
        <v>98</v>
      </c>
      <c r="F180" s="6" t="n">
        <f aca="false">Seg!F68*(al_m365+Val!F179+sbc_r)</f>
        <v>82.8871280343675</v>
      </c>
      <c r="G180" s="6" t="n">
        <f aca="false">Seg!G68*(al_m365+Val!G179+sbc_r)</f>
        <v>93.2646494841949</v>
      </c>
      <c r="H180" s="6" t="n">
        <f aca="false">Seg!H68*(al_m365+Val!H179+sbc_r)</f>
        <v>103.801656157254</v>
      </c>
      <c r="I180" s="6" t="n">
        <f aca="false">Seg!I68*(al_m365+Val!I179+sbc_r)</f>
        <v>113.821873816133</v>
      </c>
      <c r="J180" s="6" t="n">
        <f aca="false">Seg!J68*(al_m365+Val!J179+sbc_r)</f>
        <v>123.136196807334</v>
      </c>
      <c r="K180" s="6" t="n">
        <f aca="false">Seg!K68*(al_m365+Val!K179+sbc_r)</f>
        <v>132.051675801964</v>
      </c>
      <c r="L180" s="11" t="s">
        <v>1057</v>
      </c>
    </row>
    <row r="181" customFormat="false" ht="17.15" hidden="false" customHeight="false" outlineLevel="0" collapsed="false">
      <c r="A181" s="0" t="s">
        <v>1058</v>
      </c>
      <c r="B181" s="0" t="s">
        <v>98</v>
      </c>
      <c r="F181" s="6" t="n">
        <f aca="false">Seg!F69*(al_lic+Val!F179+sbc_r)</f>
        <v>33.4484001235218</v>
      </c>
      <c r="G181" s="6" t="n">
        <f aca="false">Seg!G69*(al_lic+Val!G179+sbc_r)</f>
        <v>34.7662136749183</v>
      </c>
      <c r="H181" s="6" t="n">
        <f aca="false">Seg!H69*(al_lic+Val!H179+sbc_r)</f>
        <v>35.9922067034497</v>
      </c>
      <c r="I181" s="6" t="n">
        <f aca="false">Seg!I69*(al_lic+Val!I179+sbc_r)</f>
        <v>37.1063543598183</v>
      </c>
      <c r="J181" s="6" t="n">
        <f aca="false">Seg!J69*(al_lic+Val!J179+sbc_r)</f>
        <v>38.0853056964387</v>
      </c>
      <c r="K181" s="6" t="n">
        <f aca="false">Seg!K69*(al_lic+Val!K179+sbc_r)</f>
        <v>38.9048066370724</v>
      </c>
    </row>
    <row r="182" customFormat="false" ht="17.15" hidden="false" customHeight="false" outlineLevel="0" collapsed="false">
      <c r="A182" s="0" t="s">
        <v>1059</v>
      </c>
      <c r="B182" s="0" t="s">
        <v>98</v>
      </c>
      <c r="F182" s="6" t="n">
        <f aca="false">Seg!F71*(al_ind+Val!F179+sbc_r)</f>
        <v>9.07857451914073</v>
      </c>
      <c r="G182" s="6" t="n">
        <f aca="false">Seg!G71*(al_ind+Val!G179+sbc_r)</f>
        <v>9.86487802721884</v>
      </c>
      <c r="H182" s="6" t="n">
        <f aca="false">Seg!H71*(al_ind+Val!H179+sbc_r)</f>
        <v>10.693809720013</v>
      </c>
      <c r="I182" s="6" t="n">
        <f aca="false">Seg!I71*(al_ind+Val!I179+sbc_r)</f>
        <v>11.5608645999226</v>
      </c>
      <c r="J182" s="6" t="n">
        <f aca="false">Seg!J71*(al_ind+Val!J179+sbc_r)</f>
        <v>12.4574161941375</v>
      </c>
      <c r="K182" s="6" t="n">
        <f aca="false">Seg!K71*(al_ind+Val!K179+sbc_r)</f>
        <v>13.3714153876622</v>
      </c>
    </row>
    <row r="183" customFormat="false" ht="17.15" hidden="false" customHeight="false" outlineLevel="0" collapsed="false">
      <c r="A183" s="0" t="s">
        <v>1060</v>
      </c>
      <c r="B183" s="0" t="s">
        <v>98</v>
      </c>
      <c r="F183" s="6" t="n">
        <f aca="false">Seg!F73*(al_fro+Val!F179+sbc_r)</f>
        <v>3.57335880380168</v>
      </c>
      <c r="G183" s="6" t="n">
        <f aca="false">Seg!G73*(al_fro+Val!G179+sbc_r)</f>
        <v>3.78752993435501</v>
      </c>
      <c r="H183" s="6" t="n">
        <f aca="false">Seg!H73*(al_fro+Val!H179+sbc_r)</f>
        <v>4.02979352544868</v>
      </c>
      <c r="I183" s="6" t="n">
        <f aca="false">Seg!I73*(al_fro+Val!I179+sbc_r)</f>
        <v>4.30248328262388</v>
      </c>
      <c r="J183" s="6" t="n">
        <f aca="false">Seg!J73*(al_fro+Val!J179+sbc_r)</f>
        <v>4.6072312462081</v>
      </c>
      <c r="K183" s="6" t="n">
        <f aca="false">Seg!K73*(al_fro+Val!K179+sbc_r)</f>
        <v>4.94526327289735</v>
      </c>
    </row>
    <row r="184" customFormat="false" ht="17.15" hidden="false" customHeight="false" outlineLevel="0" collapsed="false">
      <c r="A184" s="0" t="s">
        <v>1061</v>
      </c>
      <c r="B184" s="0" t="s">
        <v>98</v>
      </c>
      <c r="F184" s="6" t="n">
        <f aca="false">Seg!F76*(al_srch+Val!F179+sbc_r)</f>
        <v>11.2121706988551</v>
      </c>
      <c r="G184" s="6" t="n">
        <f aca="false">Seg!G76*(al_srch+Val!G179+sbc_r)</f>
        <v>12.298220751086</v>
      </c>
      <c r="H184" s="6" t="n">
        <f aca="false">Seg!H76*(al_srch+Val!H179+sbc_r)</f>
        <v>13.4264661389574</v>
      </c>
      <c r="I184" s="6" t="n">
        <f aca="false">Seg!I76*(al_srch+Val!I179+sbc_r)</f>
        <v>14.5842947685169</v>
      </c>
      <c r="J184" s="6" t="n">
        <f aca="false">Seg!J76*(al_srch+Val!J179+sbc_r)</f>
        <v>15.7529827260804</v>
      </c>
      <c r="K184" s="6" t="n">
        <f aca="false">Seg!K76*(al_srch+Val!K179+sbc_r)</f>
        <v>16.908777257054</v>
      </c>
    </row>
    <row r="185" customFormat="false" ht="17.15" hidden="false" customHeight="false" outlineLevel="0" collapsed="false">
      <c r="A185" s="0" t="s">
        <v>1062</v>
      </c>
      <c r="B185" s="0" t="s">
        <v>98</v>
      </c>
      <c r="F185" s="6" t="n">
        <f aca="false">Thesis!F127-Thesis!F128+Thesis!F142</f>
        <v>49.3166695044068</v>
      </c>
      <c r="G185" s="6" t="n">
        <f aca="false">Thesis!G127-Thesis!G128+Thesis!G142</f>
        <v>79.1711235199867</v>
      </c>
      <c r="H185" s="6" t="n">
        <f aca="false">Thesis!H127-Thesis!H128+Thesis!H142</f>
        <v>105.986955995322</v>
      </c>
      <c r="I185" s="6" t="n">
        <f aca="false">Thesis!I127-Thesis!I128+Thesis!I142</f>
        <v>136.51312421941</v>
      </c>
      <c r="J185" s="6" t="n">
        <f aca="false">Thesis!J127-Thesis!J128+Thesis!J142</f>
        <v>158.045869188803</v>
      </c>
      <c r="K185" s="6" t="n">
        <f aca="false">Thesis!K127-Thesis!K128+Thesis!K142</f>
        <v>171.626834186355</v>
      </c>
    </row>
    <row r="186" customFormat="false" ht="17.15" hidden="false" customHeight="false" outlineLevel="0" collapsed="false">
      <c r="A186" s="0" t="s">
        <v>1063</v>
      </c>
      <c r="B186" s="0" t="s">
        <v>98</v>
      </c>
      <c r="F186" s="6" t="n">
        <f aca="false">PL!F110+Thesis!F142+Thesis!F138+Val!F179*(Seg!F75-Thesis!F121)+sbc_r*Seg!F75</f>
        <v>239.221795819914</v>
      </c>
      <c r="G186" s="6" t="n">
        <f aca="false">PL!G110+Thesis!G142+Thesis!G138+Val!G179*(Seg!G75-Thesis!G121)+sbc_r*Seg!G75</f>
        <v>293.888959324058</v>
      </c>
      <c r="H186" s="6" t="n">
        <f aca="false">PL!H110+Thesis!H142+Thesis!H138+Val!H179*(Seg!H75-Thesis!H121)+sbc_r*Seg!H75</f>
        <v>345.795749423438</v>
      </c>
      <c r="I186" s="6" t="n">
        <f aca="false">PL!I110+Thesis!I142+Thesis!I138+Val!I179*(Seg!I75-Thesis!I121)+sbc_r*Seg!I75</f>
        <v>400.80148439376</v>
      </c>
      <c r="J186" s="6" t="n">
        <f aca="false">PL!J110+Thesis!J142+Thesis!J138+Val!J179*(Seg!J75-Thesis!J121)+sbc_r*Seg!J75</f>
        <v>444.918308128678</v>
      </c>
      <c r="K186" s="6" t="n">
        <f aca="false">PL!K110+Thesis!K142+Thesis!K138+Val!K179*(Seg!K75-Thesis!K121)+sbc_r*Seg!K75</f>
        <v>478.782312275225</v>
      </c>
    </row>
    <row r="187" customFormat="false" ht="17.15" hidden="false" customHeight="false" outlineLevel="0" collapsed="false">
      <c r="A187" s="0" t="s">
        <v>1064</v>
      </c>
      <c r="B187" s="0" t="s">
        <v>98</v>
      </c>
      <c r="F187" s="6" t="n">
        <f aca="false">Val!F186-Val!F180-Val!F181-Val!F182-Val!F183-Val!F185</f>
        <v>60.9176648346756</v>
      </c>
      <c r="G187" s="6" t="n">
        <f aca="false">Val!G186-Val!G180-Val!G181-Val!G182-Val!G183-Val!G185</f>
        <v>73.0345646833845</v>
      </c>
      <c r="H187" s="6" t="n">
        <f aca="false">Val!H186-Val!H180-Val!H181-Val!H182-Val!H183-Val!H185</f>
        <v>85.2913273219498</v>
      </c>
      <c r="I187" s="6" t="n">
        <f aca="false">Val!I186-Val!I180-Val!I181-Val!I182-Val!I183-Val!I185</f>
        <v>97.4967841158513</v>
      </c>
      <c r="J187" s="6" t="n">
        <f aca="false">Val!J186-Val!J180-Val!J181-Val!J182-Val!J183-Val!J185</f>
        <v>108.586288995756</v>
      </c>
      <c r="K187" s="6" t="n">
        <f aca="false">Val!K186-Val!K180-Val!K181-Val!K182-Val!K183-Val!K185</f>
        <v>117.882316989274</v>
      </c>
    </row>
    <row r="188" customFormat="false" ht="17.15" hidden="false" customHeight="false" outlineLevel="0" collapsed="false">
      <c r="A188" s="0" t="s">
        <v>1065</v>
      </c>
      <c r="B188" s="0" t="s">
        <v>98</v>
      </c>
      <c r="F188" s="6" t="n">
        <f aca="false">PL!F112+Val!F179*Seg!F82+sbc_r*Seg!F82</f>
        <v>26.2049549828959</v>
      </c>
      <c r="G188" s="6" t="n">
        <f aca="false">PL!G112+Val!G179*Seg!G82+sbc_r*Seg!G82</f>
        <v>26.8405806403664</v>
      </c>
      <c r="H188" s="6" t="n">
        <f aca="false">PL!H112+Val!H179*Seg!H82+sbc_r*Seg!H82</f>
        <v>27.7352032470138</v>
      </c>
      <c r="I188" s="6" t="n">
        <f aca="false">PL!I112+Val!I179*Seg!I82+sbc_r*Seg!I82</f>
        <v>28.8569155956094</v>
      </c>
      <c r="J188" s="6" t="n">
        <f aca="false">PL!J112+Val!J179*Seg!J82+sbc_r*Seg!J82</f>
        <v>30.1744385645725</v>
      </c>
      <c r="K188" s="6" t="n">
        <f aca="false">PL!K112+Val!K179*Seg!K82+sbc_r*Seg!K82</f>
        <v>31.6584976186802</v>
      </c>
    </row>
    <row r="189" customFormat="false" ht="17.15" hidden="false" customHeight="false" outlineLevel="0" collapsed="false">
      <c r="A189" s="0" t="s">
        <v>1066</v>
      </c>
      <c r="B189" s="0" t="s">
        <v>98</v>
      </c>
      <c r="F189" s="6" t="n">
        <f aca="false">(Val!F188-Val!F184)*Seg!F78/(Seg!F78+Seg!F80)</f>
        <v>8.21889831690819</v>
      </c>
      <c r="G189" s="6" t="n">
        <f aca="false">(Val!G188-Val!G184)*Seg!G78/(Seg!G78+Seg!G80)</f>
        <v>7.82984014749099</v>
      </c>
      <c r="H189" s="6" t="n">
        <f aca="false">(Val!H188-Val!H184)*Seg!H78/(Seg!H78+Seg!H80)</f>
        <v>7.5999849964554</v>
      </c>
      <c r="I189" s="6" t="n">
        <f aca="false">(Val!I188-Val!I184)*Seg!I78/(Seg!I78+Seg!I80)</f>
        <v>7.51221089422364</v>
      </c>
      <c r="J189" s="6" t="n">
        <f aca="false">(Val!J188-Val!J184)*Seg!J78/(Seg!J78+Seg!J80)</f>
        <v>7.55622411401827</v>
      </c>
      <c r="K189" s="6" t="n">
        <f aca="false">(Val!K188-Val!K184)*Seg!K78/(Seg!K78+Seg!K80)</f>
        <v>7.72822064011532</v>
      </c>
    </row>
    <row r="190" customFormat="false" ht="17.15" hidden="false" customHeight="false" outlineLevel="0" collapsed="false">
      <c r="A190" s="0" t="s">
        <v>1067</v>
      </c>
      <c r="B190" s="0" t="s">
        <v>98</v>
      </c>
      <c r="F190" s="6" t="n">
        <f aca="false">Val!F188-Val!F184-Val!F189</f>
        <v>6.77388596713263</v>
      </c>
      <c r="G190" s="6" t="n">
        <f aca="false">Val!G188-Val!G184-Val!G189</f>
        <v>6.71251974178949</v>
      </c>
      <c r="H190" s="6" t="n">
        <f aca="false">Val!H188-Val!H184-Val!H189</f>
        <v>6.70875211160101</v>
      </c>
      <c r="I190" s="6" t="n">
        <f aca="false">Val!I188-Val!I184-Val!I189</f>
        <v>6.76040993286883</v>
      </c>
      <c r="J190" s="6" t="n">
        <f aca="false">Val!J188-Val!J184-Val!J189</f>
        <v>6.86523172447386</v>
      </c>
      <c r="K190" s="6" t="n">
        <f aca="false">Val!K188-Val!K184-Val!K189</f>
        <v>7.02149972151092</v>
      </c>
    </row>
    <row r="191" customFormat="false" ht="17.15" hidden="false" customHeight="false" outlineLevel="0" collapsed="false">
      <c r="A191" s="0" t="s">
        <v>1068</v>
      </c>
      <c r="B191" s="0" t="s">
        <v>98</v>
      </c>
      <c r="F191" s="6" t="n">
        <f aca="false">Val!F185-tax_f*(Val!F185-Thesis!F138)-Thesis!F135</f>
        <v>-122.366710075738</v>
      </c>
      <c r="G191" s="6" t="n">
        <f aca="false">Val!G185-tax_f*(Val!G185-Thesis!G138)-Thesis!G135</f>
        <v>-108.130935015143</v>
      </c>
      <c r="H191" s="6" t="n">
        <f aca="false">Val!H185-tax_f*(Val!H185-Thesis!H138)-Thesis!H135</f>
        <v>-85.7372579155142</v>
      </c>
      <c r="I191" s="6" t="n">
        <f aca="false">Val!I185-tax_f*(Val!I185-Thesis!I138)-Thesis!I135</f>
        <v>-32.0937617822731</v>
      </c>
      <c r="J191" s="6" t="n">
        <f aca="false">Val!J185-tax_f*(Val!J185-Thesis!J138)-Thesis!J135</f>
        <v>27.7659608174853</v>
      </c>
      <c r="K191" s="6" t="n">
        <f aca="false">Val!K185-tax_f*(Val!K185-Thesis!K138)-Thesis!K135</f>
        <v>50.2765610680426</v>
      </c>
    </row>
    <row r="192" customFormat="false" ht="17.15" hidden="false" customHeight="false" outlineLevel="0" collapsed="false">
      <c r="A192" s="0" t="s">
        <v>1069</v>
      </c>
      <c r="B192" s="0" t="s">
        <v>98</v>
      </c>
      <c r="F192" s="6" t="n">
        <f aca="false">Val!F191*Val!F165</f>
        <v>-116.516770484359</v>
      </c>
      <c r="G192" s="6" t="n">
        <f aca="false">Val!G191*Val!G165</f>
        <v>-93.3523860782335</v>
      </c>
      <c r="H192" s="6" t="n">
        <f aca="false">Val!H191*Val!H165</f>
        <v>-67.1112555525725</v>
      </c>
      <c r="I192" s="6" t="n">
        <f aca="false">Val!I191*Val!I165</f>
        <v>-22.7770098035666</v>
      </c>
      <c r="J192" s="6" t="n">
        <f aca="false">Val!J191*Val!J165</f>
        <v>17.8664842224654</v>
      </c>
      <c r="K192" s="6" t="n">
        <f aca="false">Val!K191*Val!K165</f>
        <v>29.3320399341769</v>
      </c>
    </row>
    <row r="193" customFormat="false" ht="17.15" hidden="false" customHeight="false" outlineLevel="0" collapsed="false">
      <c r="A193" s="0" t="s">
        <v>1070</v>
      </c>
      <c r="B193" s="0" t="s">
        <v>98</v>
      </c>
      <c r="C193" s="6" t="n">
        <f aca="false">(Val!K185-Thesis!K138)*(1-tax_f)*(1+g_tv)*(1-g_tv/(wacc+ronic_prem))/(wacc-g_tv)/(1+wacc)^(Val!K164+mid_yr)</f>
        <v>142.100702662121</v>
      </c>
    </row>
    <row r="194" customFormat="false" ht="17.15" hidden="false" customHeight="false" outlineLevel="0" collapsed="false">
      <c r="A194" s="1" t="s">
        <v>1071</v>
      </c>
      <c r="B194" s="0" t="s">
        <v>98</v>
      </c>
      <c r="C194" s="6" t="n">
        <f aca="false">(SUM(Val!F192:K192)+Val!$C$193)*(1+wacc)^t_roll</f>
        <v>-125.782434907083</v>
      </c>
      <c r="L194" s="11" t="s">
        <v>1072</v>
      </c>
    </row>
    <row r="195" customFormat="false" ht="17.15" hidden="false" customHeight="false" outlineLevel="0" collapsed="false">
      <c r="A195" s="1" t="s">
        <v>1073</v>
      </c>
      <c r="B195" s="0" t="s">
        <v>98</v>
      </c>
      <c r="C195" s="6" t="n">
        <f aca="false">(w_ntm28*Thesis!G127+(1-w_ntm28)*Thesis!H127)*m_ai</f>
        <v>338.776008390068</v>
      </c>
    </row>
    <row r="196" customFormat="false" ht="17.15" hidden="false" customHeight="false" outlineLevel="0" collapsed="false">
      <c r="A196" s="1" t="s">
        <v>1074</v>
      </c>
      <c r="B196" s="0" t="s">
        <v>98</v>
      </c>
      <c r="C196" s="6" t="n">
        <f aca="false">(w_ntm28*Val!G187+(1-w_ntm28)*Val!H187)*m_cloud</f>
        <v>1064.09888458319</v>
      </c>
    </row>
    <row r="197" customFormat="false" ht="17.15" hidden="false" customHeight="false" outlineLevel="0" collapsed="false">
      <c r="A197" s="1" t="s">
        <v>1075</v>
      </c>
      <c r="B197" s="0" t="s">
        <v>98</v>
      </c>
      <c r="C197" s="6" t="n">
        <f aca="false">(w_ntm28*Val!G180+(1-w_ntm28)*Val!H180)*m_sw</f>
        <v>1044.04824539957</v>
      </c>
    </row>
    <row r="198" customFormat="false" ht="17.15" hidden="false" customHeight="false" outlineLevel="0" collapsed="false">
      <c r="A198" s="1" t="s">
        <v>1076</v>
      </c>
      <c r="B198" s="0" t="s">
        <v>98</v>
      </c>
      <c r="C198" s="6" t="n">
        <f aca="false">(w_ntm28*Val!G181+(1-w_ntm28)*Val!H181)*m_sw</f>
        <v>379.755670745447</v>
      </c>
    </row>
    <row r="199" customFormat="false" ht="17.15" hidden="false" customHeight="false" outlineLevel="0" collapsed="false">
      <c r="A199" s="1" t="s">
        <v>1077</v>
      </c>
      <c r="B199" s="0" t="s">
        <v>98</v>
      </c>
      <c r="C199" s="6" t="n">
        <f aca="false">(w_ntm28*Val!G182+(1-w_ntm28)*Val!H182)*m_sw</f>
        <v>109.434903376969</v>
      </c>
    </row>
    <row r="200" customFormat="false" ht="17.15" hidden="false" customHeight="false" outlineLevel="0" collapsed="false">
      <c r="A200" s="1" t="s">
        <v>1078</v>
      </c>
      <c r="B200" s="0" t="s">
        <v>98</v>
      </c>
      <c r="C200" s="6" t="n">
        <f aca="false">(w_ntm28*Val!G183+(1-w_ntm28)*Val!H183)*m_sw</f>
        <v>41.7511882786773</v>
      </c>
    </row>
    <row r="201" customFormat="false" ht="17.15" hidden="false" customHeight="false" outlineLevel="0" collapsed="false">
      <c r="A201" s="1" t="s">
        <v>1079</v>
      </c>
      <c r="B201" s="0" t="s">
        <v>98</v>
      </c>
      <c r="C201" s="6" t="n">
        <f aca="false">(w_ntm28*Val!G184+(1-w_ntm28)*Val!H184)*m_ads</f>
        <v>115.359643719254</v>
      </c>
    </row>
    <row r="202" customFormat="false" ht="17.15" hidden="false" customHeight="false" outlineLevel="0" collapsed="false">
      <c r="A202" s="1" t="s">
        <v>1080</v>
      </c>
      <c r="B202" s="0" t="s">
        <v>98</v>
      </c>
      <c r="C202" s="6" t="n">
        <f aca="false">(w_ntm28*Val!G189+(1-w_ntm28)*Val!H189)*m_game</f>
        <v>97.9523541428266</v>
      </c>
    </row>
    <row r="203" customFormat="false" ht="17.15" hidden="false" customHeight="false" outlineLevel="0" collapsed="false">
      <c r="A203" s="1" t="s">
        <v>1081</v>
      </c>
      <c r="B203" s="0" t="s">
        <v>98</v>
      </c>
      <c r="C203" s="6" t="n">
        <f aca="false">(w_ntm28*Val!G190+(1-w_ntm28)*Val!H190)*m_pc</f>
        <v>97.1125357928949</v>
      </c>
    </row>
    <row r="204" customFormat="false" ht="17.15" hidden="false" customHeight="false" outlineLevel="0" collapsed="false">
      <c r="A204" s="1" t="s">
        <v>1082</v>
      </c>
      <c r="B204" s="0" t="s">
        <v>98</v>
      </c>
      <c r="C204" s="6" t="n">
        <f aca="false">Val!$C$194+Val!$C$196+Val!$C$197+Val!$C$198+Val!$C$199+Val!$C$200+Val!$C$201+Val!$C$202+Val!$C$203</f>
        <v>2823.73099113174</v>
      </c>
    </row>
    <row r="205" customFormat="false" ht="17.15" hidden="false" customHeight="false" outlineLevel="0" collapsed="false">
      <c r="A205" s="1" t="s">
        <v>1000</v>
      </c>
      <c r="B205" s="0" t="s">
        <v>98</v>
      </c>
      <c r="C205" s="6" t="n">
        <f aca="false">CF!F94+oai_v-CF!F83</f>
        <v>106.814034990727</v>
      </c>
      <c r="L205" s="1" t="s">
        <v>1083</v>
      </c>
    </row>
    <row r="206" customFormat="false" ht="15" hidden="false" customHeight="false" outlineLevel="0" collapsed="false">
      <c r="A206" s="1" t="s">
        <v>1001</v>
      </c>
      <c r="B206" s="0" t="s">
        <v>75</v>
      </c>
      <c r="C206" s="5" t="n">
        <f aca="false">(Val!$C$204+Val!$C$205)/CF!F96</f>
        <v>392.203563453221</v>
      </c>
    </row>
    <row r="207" customFormat="false" ht="17.15" hidden="false" customHeight="false" outlineLevel="0" collapsed="false">
      <c r="A207" s="1" t="s">
        <v>1084</v>
      </c>
      <c r="B207" s="0" t="s">
        <v>75</v>
      </c>
      <c r="C207" s="5" t="n">
        <f aca="false">w_dcf*Val!$C$178+(1-w_dcf)*Val!$C$206</f>
        <v>345.353001072728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5" min="2" style="0" width="13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1087</v>
      </c>
    </row>
    <row r="3" customFormat="false" ht="17.15" hidden="false" customHeight="false" outlineLevel="0" collapsed="false">
      <c r="A3" s="4" t="s">
        <v>43</v>
      </c>
      <c r="B3" s="4" t="s">
        <v>1088</v>
      </c>
      <c r="C3" s="4" t="s">
        <v>1089</v>
      </c>
      <c r="D3" s="4" t="s">
        <v>1090</v>
      </c>
      <c r="E3" s="4" t="s">
        <v>1091</v>
      </c>
      <c r="F3" s="4" t="s">
        <v>47</v>
      </c>
    </row>
    <row r="4" customFormat="false" ht="17.15" hidden="false" customHeight="false" outlineLevel="0" collapsed="false">
      <c r="A4" s="9" t="s">
        <v>1092</v>
      </c>
    </row>
    <row r="5" customFormat="false" ht="17.15" hidden="false" customHeight="false" outlineLevel="0" collapsed="false">
      <c r="A5" s="1" t="s">
        <v>1093</v>
      </c>
      <c r="B5" s="6" t="n">
        <f aca="false">Seg!F56</f>
        <v>399.407104707821</v>
      </c>
      <c r="C5" s="6" t="n">
        <f aca="false">cons_rev27</f>
        <v>391.6</v>
      </c>
      <c r="D5" s="6" t="n">
        <f aca="false">B5-C5</f>
        <v>7.80710470782049</v>
      </c>
      <c r="E5" s="37" t="n">
        <f aca="false">B5/C5-1</f>
        <v>0.0199364267309001</v>
      </c>
      <c r="F5" s="1" t="s">
        <v>1094</v>
      </c>
    </row>
    <row r="6" customFormat="false" ht="17.15" hidden="false" customHeight="false" outlineLevel="0" collapsed="false">
      <c r="A6" s="1" t="s">
        <v>1095</v>
      </c>
      <c r="B6" s="6" t="n">
        <f aca="false">Seg!G56</f>
        <v>475.197484137863</v>
      </c>
      <c r="C6" s="6" t="n">
        <f aca="false">cons_rev28</f>
        <v>467.955</v>
      </c>
      <c r="D6" s="6" t="n">
        <f aca="false">B6-C6</f>
        <v>7.24248413786307</v>
      </c>
      <c r="E6" s="37" t="n">
        <f aca="false">B6/C6-1</f>
        <v>0.0154768816186666</v>
      </c>
      <c r="F6" s="11" t="s">
        <v>87</v>
      </c>
    </row>
    <row r="7" customFormat="false" ht="17.15" hidden="false" customHeight="false" outlineLevel="0" collapsed="false">
      <c r="A7" s="1" t="s">
        <v>1096</v>
      </c>
      <c r="B7" s="6" t="n">
        <f aca="false">Seg!H56</f>
        <v>552.773101018903</v>
      </c>
      <c r="C7" s="6" t="n">
        <f aca="false">cons_rev29</f>
        <v>569.502</v>
      </c>
      <c r="D7" s="6" t="n">
        <f aca="false">B7-C7</f>
        <v>-16.7288989810975</v>
      </c>
      <c r="E7" s="37" t="n">
        <f aca="false">B7/C7-1</f>
        <v>-0.0293746097135699</v>
      </c>
      <c r="F7" s="11" t="s">
        <v>87</v>
      </c>
    </row>
    <row r="8" customFormat="false" ht="17.15" hidden="false" customHeight="false" outlineLevel="0" collapsed="false">
      <c r="A8" s="1" t="s">
        <v>1097</v>
      </c>
      <c r="B8" s="6" t="n">
        <f aca="false">PL!F74</f>
        <v>176.893587811511</v>
      </c>
      <c r="C8" s="6" t="n">
        <f aca="false">cons_ebit27</f>
        <v>182.305</v>
      </c>
      <c r="D8" s="6" t="n">
        <f aca="false">B8-C8</f>
        <v>-5.41141218848904</v>
      </c>
      <c r="E8" s="37" t="n">
        <f aca="false">B8/C8-1</f>
        <v>-0.0296832900276407</v>
      </c>
      <c r="F8" s="1" t="s">
        <v>1098</v>
      </c>
    </row>
    <row r="9" customFormat="false" ht="17.15" hidden="false" customHeight="false" outlineLevel="0" collapsed="false">
      <c r="A9" s="1" t="s">
        <v>1099</v>
      </c>
      <c r="B9" s="6" t="n">
        <f aca="false">PL!G74</f>
        <v>197.063789005417</v>
      </c>
      <c r="C9" s="6" t="n">
        <f aca="false">cons_ebit28</f>
        <v>217.245</v>
      </c>
      <c r="D9" s="6" t="n">
        <f aca="false">B9-C9</f>
        <v>-20.1812109945833</v>
      </c>
      <c r="E9" s="37" t="n">
        <f aca="false">B9/C9-1</f>
        <v>-0.0928960896434133</v>
      </c>
      <c r="F9" s="1" t="s">
        <v>1100</v>
      </c>
    </row>
    <row r="10" customFormat="false" ht="17.15" hidden="false" customHeight="false" outlineLevel="0" collapsed="false">
      <c r="A10" s="1" t="s">
        <v>1101</v>
      </c>
      <c r="B10" s="6" t="n">
        <f aca="false">PL!H74</f>
        <v>217.431756375428</v>
      </c>
      <c r="C10" s="6" t="n">
        <f aca="false">cons_ebit29</f>
        <v>262.608</v>
      </c>
      <c r="D10" s="6" t="n">
        <f aca="false">B10-C10</f>
        <v>-45.1762436245717</v>
      </c>
      <c r="E10" s="37" t="n">
        <f aca="false">B10/C10-1</f>
        <v>-0.172029197985483</v>
      </c>
      <c r="F10" s="1" t="s">
        <v>1100</v>
      </c>
    </row>
    <row r="11" customFormat="false" ht="17.15" hidden="false" customHeight="false" outlineLevel="0" collapsed="false">
      <c r="A11" s="0" t="s">
        <v>1102</v>
      </c>
      <c r="B11" s="8" t="n">
        <f aca="false">PL!F86</f>
        <v>18.8927370374267</v>
      </c>
      <c r="C11" s="8" t="n">
        <f aca="false">cons_eps27</f>
        <v>19.76</v>
      </c>
      <c r="D11" s="8" t="n">
        <f aca="false">B11-C11</f>
        <v>-0.867262962573257</v>
      </c>
      <c r="E11" s="37" t="n">
        <f aca="false">B11/C11-1</f>
        <v>-0.0438898260411568</v>
      </c>
      <c r="F11" s="1" t="s">
        <v>1103</v>
      </c>
    </row>
    <row r="12" customFormat="false" ht="17.15" hidden="false" customHeight="false" outlineLevel="0" collapsed="false">
      <c r="A12" s="0" t="s">
        <v>1104</v>
      </c>
      <c r="B12" s="8" t="n">
        <f aca="false">PL!G86</f>
        <v>20.9273576201665</v>
      </c>
      <c r="C12" s="8" t="n">
        <f aca="false">cons_eps28</f>
        <v>23.6</v>
      </c>
      <c r="D12" s="8" t="n">
        <f aca="false">B12-C12</f>
        <v>-2.6726423798335</v>
      </c>
      <c r="E12" s="37" t="n">
        <f aca="false">B12/C12-1</f>
        <v>-0.113247558467521</v>
      </c>
      <c r="F12" s="11" t="s">
        <v>87</v>
      </c>
    </row>
    <row r="13" customFormat="false" ht="15" hidden="false" customHeight="false" outlineLevel="0" collapsed="false">
      <c r="A13" s="0" t="s">
        <v>1105</v>
      </c>
      <c r="B13" s="8" t="n">
        <f aca="false">PL!H86</f>
        <v>23.0114606350727</v>
      </c>
      <c r="C13" s="8" t="n">
        <f aca="false">cons_eps29</f>
        <v>29.03</v>
      </c>
      <c r="D13" s="8" t="n">
        <f aca="false">B13-C13</f>
        <v>-6.01853936492726</v>
      </c>
      <c r="E13" s="37" t="n">
        <f aca="false">B13/C13-1</f>
        <v>-0.207321369787367</v>
      </c>
      <c r="F13" s="11" t="s">
        <v>87</v>
      </c>
    </row>
    <row r="14" customFormat="false" ht="17.15" hidden="false" customHeight="false" outlineLevel="0" collapsed="false">
      <c r="A14" s="1" t="s">
        <v>1106</v>
      </c>
      <c r="B14" s="6" t="n">
        <f aca="false">CF!F53</f>
        <v>204.2</v>
      </c>
      <c r="C14" s="6" t="n">
        <f aca="false">cons_cx27</f>
        <v>192.827</v>
      </c>
      <c r="D14" s="6" t="n">
        <f aca="false">B14-C14</f>
        <v>11.373</v>
      </c>
      <c r="E14" s="37" t="n">
        <f aca="false">B14/C14-1</f>
        <v>0.0589803295181692</v>
      </c>
      <c r="F14" s="1" t="s">
        <v>1107</v>
      </c>
    </row>
    <row r="15" customFormat="false" ht="17.15" hidden="false" customHeight="false" outlineLevel="0" collapsed="false">
      <c r="A15" s="1" t="s">
        <v>1108</v>
      </c>
      <c r="B15" s="6" t="n">
        <f aca="false">CF!G53</f>
        <v>224.727074053589</v>
      </c>
      <c r="C15" s="6" t="n">
        <f aca="false">cons_cx28</f>
        <v>216.787</v>
      </c>
      <c r="D15" s="6" t="n">
        <f aca="false">B15-C15</f>
        <v>7.94007405358923</v>
      </c>
      <c r="E15" s="37" t="n">
        <f aca="false">B15/C15-1</f>
        <v>0.0366261540294817</v>
      </c>
      <c r="F15" s="1" t="s">
        <v>1109</v>
      </c>
    </row>
    <row r="16" customFormat="false" ht="17.15" hidden="false" customHeight="false" outlineLevel="0" collapsed="false">
      <c r="A16" s="1" t="s">
        <v>1110</v>
      </c>
      <c r="B16" s="6" t="n">
        <f aca="false">CF!H53</f>
        <v>234.89179955449</v>
      </c>
      <c r="C16" s="6" t="n">
        <f aca="false">cons_cx29</f>
        <v>251.173</v>
      </c>
      <c r="D16" s="6" t="n">
        <f aca="false">B16-C16</f>
        <v>-16.2812004455104</v>
      </c>
      <c r="E16" s="37" t="n">
        <f aca="false">B16/C16-1</f>
        <v>-0.0648206632301658</v>
      </c>
      <c r="F16" s="1" t="s">
        <v>1109</v>
      </c>
    </row>
    <row r="17" customFormat="false" ht="17.15" hidden="false" customHeight="false" outlineLevel="0" collapsed="false">
      <c r="A17" s="9" t="s">
        <v>1111</v>
      </c>
    </row>
    <row r="18" customFormat="false" ht="17.15" hidden="false" customHeight="false" outlineLevel="0" collapsed="false">
      <c r="A18" s="0" t="s">
        <v>1112</v>
      </c>
      <c r="B18" s="6" t="n">
        <f aca="false">Seg!F48/4</f>
        <v>83.5663820628769</v>
      </c>
      <c r="C18" s="6" t="n">
        <f aca="false">g_q1_ai</f>
        <v>75.45</v>
      </c>
      <c r="D18" s="6" t="n">
        <f aca="false">B18-C18</f>
        <v>8.1163820628769</v>
      </c>
      <c r="E18" s="37" t="n">
        <f aca="false">B18/C18-1</f>
        <v>0.10757298956762</v>
      </c>
      <c r="F18" s="1" t="s">
        <v>1113</v>
      </c>
    </row>
    <row r="19" customFormat="false" ht="17.15" hidden="false" customHeight="false" outlineLevel="0" collapsed="false">
      <c r="A19" s="0" t="s">
        <v>1114</v>
      </c>
      <c r="B19" s="6" t="n">
        <f aca="false">Seg!F55/4</f>
        <v>16.2853941140782</v>
      </c>
      <c r="C19" s="6" t="n">
        <f aca="false">g_q1_dc</f>
        <v>14.95</v>
      </c>
      <c r="D19" s="6" t="n">
        <f aca="false">B19-C19</f>
        <v>1.33539411407823</v>
      </c>
      <c r="E19" s="37" t="n">
        <f aca="false">B19/C19-1</f>
        <v>0.0893240210085771</v>
      </c>
      <c r="F19" s="11" t="s">
        <v>1115</v>
      </c>
    </row>
    <row r="20" customFormat="false" ht="17.15" hidden="false" customHeight="false" outlineLevel="0" collapsed="false">
      <c r="A20" s="1" t="s">
        <v>1116</v>
      </c>
      <c r="B20" s="6" t="n">
        <f aca="false">Seg!F56/4</f>
        <v>99.8517761769551</v>
      </c>
      <c r="C20" s="6" t="n">
        <f aca="false">g_q1_rev</f>
        <v>90.4</v>
      </c>
      <c r="D20" s="6" t="n">
        <f aca="false">B20-C20</f>
        <v>9.45177617695512</v>
      </c>
      <c r="E20" s="37" t="n">
        <f aca="false">B20/C20-1</f>
        <v>0.104555046205256</v>
      </c>
      <c r="F20" s="11" t="s">
        <v>87</v>
      </c>
    </row>
    <row r="21" customFormat="false" ht="17.15" hidden="false" customHeight="false" outlineLevel="0" collapsed="false">
      <c r="A21" s="0" t="s">
        <v>1117</v>
      </c>
      <c r="B21" s="7" t="n">
        <f aca="false">Seg!F36/Seg!E36-1</f>
        <v>0.42384543852464</v>
      </c>
      <c r="C21" s="7" t="n">
        <f aca="false">g_q1_az</f>
        <v>0.445</v>
      </c>
      <c r="D21" s="7" t="n">
        <f aca="false">B21-C21</f>
        <v>-0.0211545614753596</v>
      </c>
      <c r="F21" s="1" t="s">
        <v>1118</v>
      </c>
    </row>
    <row r="22" customFormat="false" ht="17.15" hidden="false" customHeight="false" outlineLevel="0" collapsed="false">
      <c r="A22" s="1" t="s">
        <v>1119</v>
      </c>
      <c r="B22" s="7" t="n">
        <f aca="false">PL!F76-PL!E76</f>
        <v>-0.0249177454203997</v>
      </c>
      <c r="C22" s="7" t="n">
        <f aca="false">g_fy27_opm</f>
        <v>-0.01</v>
      </c>
      <c r="D22" s="7" t="n">
        <f aca="false">B22-C22</f>
        <v>-0.0149177454203997</v>
      </c>
      <c r="F22" s="1" t="s">
        <v>1120</v>
      </c>
    </row>
    <row r="23" customFormat="false" ht="17.15" hidden="false" customHeight="false" outlineLevel="0" collapsed="false">
      <c r="A23" s="1" t="s">
        <v>1121</v>
      </c>
      <c r="B23" s="6" t="n">
        <f aca="false">CF!F53/4</f>
        <v>51.05</v>
      </c>
      <c r="C23" s="6" t="n">
        <f aca="false">g_q1_cx</f>
        <v>50</v>
      </c>
      <c r="D23" s="6" t="n">
        <f aca="false">B23-C23</f>
        <v>1.05</v>
      </c>
      <c r="E23" s="37" t="n">
        <f aca="false">B23/C23-1</f>
        <v>0.0210000000000001</v>
      </c>
      <c r="F23" s="11" t="s">
        <v>87</v>
      </c>
    </row>
    <row r="24" customFormat="false" ht="17.15" hidden="false" customHeight="false" outlineLevel="0" collapsed="false">
      <c r="A24" s="9" t="s">
        <v>1122</v>
      </c>
    </row>
    <row r="25" customFormat="false" ht="17.15" hidden="false" customHeight="false" outlineLevel="0" collapsed="false">
      <c r="A25" s="0" t="s">
        <v>1123</v>
      </c>
      <c r="B25" s="6" t="n">
        <f aca="false">Thesis!E72+Seg!E38</f>
        <v>33.0595064661409</v>
      </c>
      <c r="C25" s="6" t="n">
        <f aca="false">ai_runrate</f>
        <v>37</v>
      </c>
      <c r="D25" s="6" t="n">
        <f aca="false">B25-C25</f>
        <v>-3.94049353385914</v>
      </c>
      <c r="E25" s="37" t="n">
        <f aca="false">B25/C25-1</f>
        <v>-0.106499825239436</v>
      </c>
      <c r="F25" s="1" t="s">
        <v>1124</v>
      </c>
    </row>
    <row r="26" customFormat="false" ht="17.15" hidden="false" customHeight="false" outlineLevel="0" collapsed="false">
      <c r="A26" s="0" t="s">
        <v>1125</v>
      </c>
      <c r="B26" s="7" t="n">
        <f aca="false">Thesis!E72/Seg!E36</f>
        <v>0.272808044754075</v>
      </c>
      <c r="F26" s="1" t="s">
        <v>1126</v>
      </c>
    </row>
    <row r="27" customFormat="false" ht="17.15" hidden="false" customHeight="false" outlineLevel="0" collapsed="false">
      <c r="A27" s="0" t="s">
        <v>1127</v>
      </c>
      <c r="B27" s="6" t="n">
        <f aca="false">Seg!E38</f>
        <v>5.25</v>
      </c>
      <c r="F27" s="1" t="s">
        <v>1128</v>
      </c>
    </row>
    <row r="28" customFormat="false" ht="17.15" hidden="false" customHeight="false" outlineLevel="0" collapsed="false">
      <c r="A28" s="9" t="s">
        <v>1129</v>
      </c>
    </row>
    <row r="29" customFormat="false" ht="17.15" hidden="false" customHeight="false" outlineLevel="0" collapsed="false">
      <c r="A29" s="0" t="s">
        <v>1130</v>
      </c>
      <c r="B29" s="6" t="n">
        <f aca="false">Seg!F36</f>
        <v>145.143956312325</v>
      </c>
      <c r="F29" s="1" t="s">
        <v>1131</v>
      </c>
    </row>
    <row r="30" customFormat="false" ht="17.15" hidden="false" customHeight="false" outlineLevel="0" collapsed="false">
      <c r="A30" s="0" t="s">
        <v>1132</v>
      </c>
      <c r="B30" s="6" t="n">
        <f aca="false">Seg!F41</f>
        <v>118.89238776686</v>
      </c>
      <c r="F30" s="1" t="s">
        <v>1131</v>
      </c>
    </row>
    <row r="31" customFormat="false" ht="17.15" hidden="false" customHeight="false" outlineLevel="0" collapsed="false">
      <c r="A31" s="0" t="s">
        <v>1133</v>
      </c>
      <c r="B31" s="6" t="n">
        <f aca="false">Seg!F42</f>
        <v>39.0720834331704</v>
      </c>
      <c r="F31" s="1" t="s">
        <v>1131</v>
      </c>
    </row>
    <row r="32" customFormat="false" ht="17.15" hidden="false" customHeight="false" outlineLevel="0" collapsed="false">
      <c r="A32" s="0" t="s">
        <v>1134</v>
      </c>
      <c r="B32" s="6" t="n">
        <f aca="false">Seg!F44</f>
        <v>22.3572203267814</v>
      </c>
      <c r="F32" s="1" t="s">
        <v>1131</v>
      </c>
    </row>
    <row r="33" customFormat="false" ht="17.15" hidden="false" customHeight="false" outlineLevel="0" collapsed="false">
      <c r="A33" s="0" t="s">
        <v>1135</v>
      </c>
      <c r="B33" s="6" t="n">
        <f aca="false">Seg!F46</f>
        <v>8.79988041237113</v>
      </c>
      <c r="F33" s="1" t="s">
        <v>1131</v>
      </c>
    </row>
    <row r="34" customFormat="false" ht="17.15" hidden="false" customHeight="false" outlineLevel="0" collapsed="false">
      <c r="A34" s="0" t="s">
        <v>1136</v>
      </c>
      <c r="B34" s="6" t="n">
        <f aca="false">Seg!F49</f>
        <v>27.6114901218559</v>
      </c>
      <c r="F34" s="1" t="s">
        <v>1131</v>
      </c>
    </row>
    <row r="35" customFormat="false" ht="17.15" hidden="false" customHeight="false" outlineLevel="0" collapsed="false">
      <c r="A35" s="0" t="s">
        <v>1137</v>
      </c>
      <c r="B35" s="6" t="n">
        <f aca="false">Seg!F51</f>
        <v>20.5736277908051</v>
      </c>
      <c r="F35" s="1" t="s">
        <v>1131</v>
      </c>
    </row>
    <row r="36" customFormat="false" ht="17.15" hidden="false" customHeight="false" outlineLevel="0" collapsed="false">
      <c r="A36" s="0" t="s">
        <v>1138</v>
      </c>
      <c r="B36" s="6" t="n">
        <f aca="false">Seg!F53</f>
        <v>16.9564585436519</v>
      </c>
      <c r="F36" s="1" t="s">
        <v>1131</v>
      </c>
    </row>
    <row r="37" customFormat="false" ht="17.15" hidden="false" customHeight="false" outlineLevel="0" collapsed="false">
      <c r="A37" s="9" t="s">
        <v>1139</v>
      </c>
    </row>
    <row r="38" customFormat="false" ht="17.15" hidden="false" customHeight="false" outlineLevel="0" collapsed="false">
      <c r="A38" s="0" t="s">
        <v>1140</v>
      </c>
      <c r="B38" s="6" t="n">
        <f aca="false">old_tp</f>
        <v>359.06</v>
      </c>
      <c r="F38" s="11" t="s">
        <v>682</v>
      </c>
    </row>
    <row r="39" customFormat="false" ht="17.15" hidden="false" customHeight="false" outlineLevel="0" collapsed="false">
      <c r="A39" s="1" t="s">
        <v>1141</v>
      </c>
      <c r="B39" s="6" t="n">
        <f aca="false">0.5*old_dcf+0.5*old_ev-old_tp</f>
        <v>-3.17500000000001</v>
      </c>
      <c r="F39" s="1" t="s">
        <v>1142</v>
      </c>
    </row>
    <row r="40" customFormat="false" ht="17.15" hidden="false" customHeight="false" outlineLevel="0" collapsed="false">
      <c r="A40" s="0" t="s">
        <v>1143</v>
      </c>
      <c r="B40" s="6" t="n">
        <f aca="false">0.5*(Val!$C$13-old_dcf)</f>
        <v>10.0063025735651</v>
      </c>
      <c r="F40" s="1" t="s">
        <v>1144</v>
      </c>
    </row>
    <row r="41" customFormat="false" ht="17.15" hidden="false" customHeight="false" outlineLevel="0" collapsed="false">
      <c r="A41" s="1" t="s">
        <v>1145</v>
      </c>
      <c r="B41" s="6" t="n">
        <f aca="false">0.5*(Val!$C$30-old_ev)</f>
        <v>25.0085676473188</v>
      </c>
      <c r="F41" s="1" t="s">
        <v>1146</v>
      </c>
    </row>
    <row r="42" customFormat="false" ht="17.15" hidden="false" customHeight="false" outlineLevel="0" collapsed="false">
      <c r="A42" s="1" t="s">
        <v>1147</v>
      </c>
      <c r="B42" s="6" t="n">
        <f aca="false">Val!$B$36-Val!$C$44</f>
        <v>-1.95191436149116</v>
      </c>
      <c r="F42" s="11" t="s">
        <v>1148</v>
      </c>
    </row>
    <row r="43" customFormat="false" ht="17.15" hidden="false" customHeight="false" outlineLevel="0" collapsed="false">
      <c r="A43" s="0" t="s">
        <v>1149</v>
      </c>
      <c r="B43" s="6" t="n">
        <f aca="false">Val!$B$36</f>
        <v>388.947955859393</v>
      </c>
      <c r="F43" s="11" t="s">
        <v>87</v>
      </c>
    </row>
    <row r="44" customFormat="false" ht="17.15" hidden="false" customHeight="false" outlineLevel="0" collapsed="false">
      <c r="A44" s="23" t="s">
        <v>1150</v>
      </c>
      <c r="B44" s="24" t="n">
        <f aca="false">B38+B39+B40+B41+B42-B43</f>
        <v>0</v>
      </c>
      <c r="C44" s="30"/>
      <c r="D44" s="30"/>
      <c r="E44" s="30"/>
      <c r="F44" s="3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9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50"/>
    <col collapsed="false" customWidth="true" hidden="false" outlineLevel="0" max="11" min="7" style="0" width="11"/>
    <col collapsed="false" customWidth="true" hidden="false" outlineLevel="0" max="12" min="12" style="0" width="50"/>
  </cols>
  <sheetData>
    <row r="1" customFormat="false" ht="17.15" hidden="false" customHeight="false" outlineLevel="0" collapsed="false">
      <c r="A1" s="0" t="s">
        <v>1151</v>
      </c>
    </row>
    <row r="3" customFormat="false" ht="17.15" hidden="false" customHeight="false" outlineLevel="0" collapsed="false">
      <c r="A3" s="4" t="s">
        <v>1152</v>
      </c>
      <c r="B3" s="4" t="s">
        <v>1153</v>
      </c>
      <c r="C3" s="4" t="s">
        <v>1154</v>
      </c>
      <c r="D3" s="4" t="s">
        <v>1155</v>
      </c>
      <c r="E3" s="4" t="s">
        <v>1156</v>
      </c>
      <c r="F3" s="4" t="s">
        <v>47</v>
      </c>
    </row>
    <row r="4" customFormat="false" ht="17.15" hidden="false" customHeight="false" outlineLevel="0" collapsed="false">
      <c r="A4" s="1" t="s">
        <v>1157</v>
      </c>
      <c r="B4" s="1" t="s">
        <v>1158</v>
      </c>
      <c r="C4" s="5" t="n">
        <f aca="false">w_dcf*(w_A*Sens!$C$240+w_B*Sens!$C$430+w_C*Sens!$C$620)+(1-w_dcf)*(w_A*Sens!$C$268+w_B*Sens!$C$458+w_C*Sens!$C$648)</f>
        <v>303.639132482236</v>
      </c>
      <c r="D4" s="38" t="n">
        <f aca="false">C4-Val!$B$36</f>
        <v>-85.3088233771572</v>
      </c>
      <c r="E4" s="37" t="n">
        <f aca="false">C4/Val!$B$36-1</f>
        <v>-0.219332232222855</v>
      </c>
      <c r="F4" s="11" t="s">
        <v>1159</v>
      </c>
    </row>
    <row r="5" customFormat="false" ht="17.15" hidden="false" customHeight="false" outlineLevel="0" collapsed="false">
      <c r="A5" s="0" t="s">
        <v>1160</v>
      </c>
      <c r="B5" s="1" t="s">
        <v>1161</v>
      </c>
      <c r="C5" s="5" t="n">
        <f aca="false">w_dcf*(w_A*Sens!$C$810+w_B*Sens!$C$1000+w_C*Sens!$C$1190)+(1-w_dcf)*(w_A*Sens!$C$838+w_B*Sens!$C$1028+w_C*Sens!$C$1218)</f>
        <v>358.415435948018</v>
      </c>
      <c r="D5" s="38" t="n">
        <f aca="false">C5-Val!$B$36</f>
        <v>-30.5325199113744</v>
      </c>
      <c r="E5" s="37" t="n">
        <f aca="false">C5/Val!$B$36-1</f>
        <v>-0.0785002709267666</v>
      </c>
      <c r="F5" s="1" t="s">
        <v>1162</v>
      </c>
    </row>
    <row r="6" customFormat="false" ht="17.15" hidden="false" customHeight="false" outlineLevel="0" collapsed="false">
      <c r="A6" s="0" t="s">
        <v>1163</v>
      </c>
      <c r="B6" s="1" t="s">
        <v>1161</v>
      </c>
      <c r="C6" s="5" t="n">
        <f aca="false">w_dcf*(w_A*Sens!$C$1380+w_B*Sens!$C$1570+w_C*Sens!$C$1760)+(1-w_dcf)*(w_A*Sens!$C$1408+w_B*Sens!$C$1598+w_C*Sens!$C$1788)</f>
        <v>419.478741961112</v>
      </c>
      <c r="D6" s="38" t="n">
        <f aca="false">C6-Val!$B$36</f>
        <v>30.5307861017193</v>
      </c>
      <c r="E6" s="37" t="n">
        <f aca="false">C6/Val!$B$36-1</f>
        <v>0.0784958132361451</v>
      </c>
      <c r="F6" s="1" t="s">
        <v>1164</v>
      </c>
    </row>
    <row r="7" customFormat="false" ht="17.15" hidden="false" customHeight="false" outlineLevel="0" collapsed="false">
      <c r="A7" s="1" t="s">
        <v>1165</v>
      </c>
      <c r="B7" s="1" t="s">
        <v>1166</v>
      </c>
      <c r="C7" s="5" t="n">
        <f aca="false">w_dcf*(w_A*Sens!$C$1950+w_B*Sens!$C$2140+w_C*Sens!$C$2330)+(1-w_dcf)*(w_A*Sens!$C$1978+w_B*Sens!$C$2168+w_C*Sens!$C$2358)</f>
        <v>399.830889791238</v>
      </c>
      <c r="D7" s="38" t="n">
        <f aca="false">C7-Val!$B$36</f>
        <v>10.8829339318452</v>
      </c>
      <c r="E7" s="37" t="n">
        <f aca="false">C7/Val!$B$36-1</f>
        <v>0.0279804374027342</v>
      </c>
      <c r="F7" s="1" t="s">
        <v>1167</v>
      </c>
    </row>
    <row r="8" customFormat="false" ht="17.15" hidden="false" customHeight="false" outlineLevel="0" collapsed="false">
      <c r="A8" s="1" t="s">
        <v>1168</v>
      </c>
      <c r="B8" s="1" t="s">
        <v>1166</v>
      </c>
      <c r="C8" s="5" t="n">
        <f aca="false">w_dcf*(w_A*Sens!$C$2520+w_B*Sens!$C$2710+w_C*Sens!$C$2900)+(1-w_dcf)*(w_A*Sens!$C$2548+w_B*Sens!$C$2738+w_C*Sens!$C$2928)</f>
        <v>370.846874838571</v>
      </c>
      <c r="D8" s="38" t="n">
        <f aca="false">C8-Val!$B$36</f>
        <v>-18.1010810208221</v>
      </c>
      <c r="E8" s="37" t="n">
        <f aca="false">C8/Val!$B$36-1</f>
        <v>-0.0465385683306323</v>
      </c>
      <c r="F8" s="11" t="s">
        <v>1169</v>
      </c>
    </row>
    <row r="9" customFormat="false" ht="17.15" hidden="false" customHeight="false" outlineLevel="0" collapsed="false">
      <c r="A9" s="0" t="s">
        <v>1170</v>
      </c>
      <c r="B9" s="1" t="s">
        <v>1171</v>
      </c>
      <c r="C9" s="5" t="n">
        <f aca="false">w_dcf*(w_A*Sens!$C$3090+w_B*Sens!$C$3280+w_C*Sens!$C$3470)+(1-w_dcf)*(w_A*Sens!$C$3118+w_B*Sens!$C$3308+w_C*Sens!$C$3498)</f>
        <v>340.992915022223</v>
      </c>
      <c r="D9" s="38" t="n">
        <f aca="false">C9-Val!$B$36</f>
        <v>-47.9550408371699</v>
      </c>
      <c r="E9" s="37" t="n">
        <f aca="false">C9/Val!$B$36-1</f>
        <v>-0.123294235423379</v>
      </c>
      <c r="F9" s="1" t="s">
        <v>1172</v>
      </c>
    </row>
    <row r="10" customFormat="false" ht="17.15" hidden="false" customHeight="false" outlineLevel="0" collapsed="false">
      <c r="A10" s="0" t="s">
        <v>1173</v>
      </c>
      <c r="B10" s="1" t="s">
        <v>1171</v>
      </c>
      <c r="C10" s="5" t="n">
        <f aca="false">w_dcf*(w_A*Sens!$C$3660+w_B*Sens!$C$3850+w_C*Sens!$C$4040)+(1-w_dcf)*(w_A*Sens!$C$3688+w_B*Sens!$C$3878+w_C*Sens!$C$4068)</f>
        <v>393.460114566675</v>
      </c>
      <c r="D10" s="38" t="n">
        <f aca="false">C10-Val!$B$36</f>
        <v>4.5121587072818</v>
      </c>
      <c r="E10" s="37" t="n">
        <f aca="false">C10/Val!$B$36-1</f>
        <v>0.011600931793849</v>
      </c>
      <c r="F10" s="11" t="s">
        <v>1174</v>
      </c>
    </row>
    <row r="11" customFormat="false" ht="17.15" hidden="false" customHeight="false" outlineLevel="0" collapsed="false">
      <c r="A11" s="0" t="s">
        <v>1175</v>
      </c>
      <c r="B11" s="1" t="s">
        <v>1176</v>
      </c>
      <c r="C11" s="5" t="n">
        <f aca="false">w_dcf*(w_A*Sens!$C$4230+w_B*Sens!$C$4420+w_C*Sens!$C$4610)+(1-w_dcf)*(w_A*Sens!$C$4258+w_B*Sens!$C$4448+w_C*Sens!$C$4638)</f>
        <v>369.021364417855</v>
      </c>
      <c r="D11" s="38" t="n">
        <f aca="false">C11-Val!$B$36</f>
        <v>-19.9265914415373</v>
      </c>
      <c r="E11" s="37" t="n">
        <f aca="false">C11/Val!$B$36-1</f>
        <v>-0.0512320251111974</v>
      </c>
      <c r="F11" s="1" t="s">
        <v>1177</v>
      </c>
    </row>
    <row r="12" customFormat="false" ht="17.15" hidden="false" customHeight="false" outlineLevel="0" collapsed="false">
      <c r="A12" s="0" t="s">
        <v>1178</v>
      </c>
      <c r="B12" s="1" t="s">
        <v>1176</v>
      </c>
      <c r="C12" s="5" t="n">
        <f aca="false">w_dcf*(w_A*Sens!$C$4800+w_B*Sens!$C$4990+w_C*Sens!$C$5180)+(1-w_dcf)*(w_A*Sens!$C$4828+w_B*Sens!$C$5018+w_C*Sens!$C$5208)</f>
        <v>402.892587761442</v>
      </c>
      <c r="D12" s="38" t="n">
        <f aca="false">C12-Val!$B$36</f>
        <v>13.9446319020493</v>
      </c>
      <c r="E12" s="37" t="n">
        <f aca="false">C12/Val!$B$36-1</f>
        <v>0.0358521794290916</v>
      </c>
      <c r="F12" s="11" t="s">
        <v>87</v>
      </c>
    </row>
    <row r="13" customFormat="false" ht="17.15" hidden="false" customHeight="false" outlineLevel="0" collapsed="false">
      <c r="A13" s="0" t="s">
        <v>1179</v>
      </c>
      <c r="B13" s="1" t="s">
        <v>1180</v>
      </c>
      <c r="C13" s="5" t="n">
        <f aca="false">w_dcf*(w_A*Sens!$C$5370+w_B*Sens!$C$5560+w_C*Sens!$C$5750)+(1-w_dcf)*(w_A*Sens!$C$5398+w_B*Sens!$C$5588+w_C*Sens!$C$5778)</f>
        <v>390.249946229901</v>
      </c>
      <c r="D13" s="38" t="n">
        <f aca="false">C13-Val!$B$36</f>
        <v>1.30199037050829</v>
      </c>
      <c r="E13" s="37" t="n">
        <f aca="false">C13/Val!$B$36-1</f>
        <v>0.00334746680344811</v>
      </c>
      <c r="F13" s="1" t="s">
        <v>1181</v>
      </c>
    </row>
    <row r="14" customFormat="false" ht="17.15" hidden="false" customHeight="false" outlineLevel="0" collapsed="false">
      <c r="A14" s="0" t="s">
        <v>1182</v>
      </c>
      <c r="B14" s="1" t="s">
        <v>1180</v>
      </c>
      <c r="C14" s="5" t="n">
        <f aca="false">w_dcf*(w_A*Sens!$C$5940+w_B*Sens!$C$6130+w_C*Sens!$C$6320)+(1-w_dcf)*(w_A*Sens!$C$5968+w_B*Sens!$C$6158+w_C*Sens!$C$6348)</f>
        <v>387.646518791169</v>
      </c>
      <c r="D14" s="38" t="n">
        <f aca="false">C14-Val!$B$36</f>
        <v>-1.30143706822378</v>
      </c>
      <c r="E14" s="37" t="n">
        <f aca="false">C14/Val!$B$36-1</f>
        <v>-0.00334604424221285</v>
      </c>
      <c r="F14" s="11" t="s">
        <v>87</v>
      </c>
    </row>
    <row r="15" customFormat="false" ht="17.15" hidden="false" customHeight="false" outlineLevel="0" collapsed="false">
      <c r="A15" s="0" t="s">
        <v>1183</v>
      </c>
      <c r="B15" s="1" t="s">
        <v>1184</v>
      </c>
      <c r="C15" s="5" t="n">
        <f aca="false">w_dcf*(w_A*Sens!$C$6510+w_B*Sens!$C$6700+w_C*Sens!$C$6890)+(1-w_dcf)*(w_A*Sens!$C$6538+w_B*Sens!$C$6728+w_C*Sens!$C$6918)</f>
        <v>389.355606233536</v>
      </c>
      <c r="D15" s="38" t="n">
        <f aca="false">C15-Val!$B$36</f>
        <v>0.4076503741436</v>
      </c>
      <c r="E15" s="37" t="n">
        <f aca="false">C15/Val!$B$36-1</f>
        <v>0.00104808462932504</v>
      </c>
      <c r="F15" s="1" t="s">
        <v>1185</v>
      </c>
    </row>
    <row r="16" customFormat="false" ht="17.15" hidden="false" customHeight="false" outlineLevel="0" collapsed="false">
      <c r="A16" s="0" t="s">
        <v>1186</v>
      </c>
      <c r="B16" s="1" t="s">
        <v>1184</v>
      </c>
      <c r="C16" s="5" t="n">
        <f aca="false">w_dcf*(w_A*Sens!$C$7080+w_B*Sens!$C$7270+w_C*Sens!$C$7460)+(1-w_dcf)*(w_A*Sens!$C$7108+w_B*Sens!$C$7298+w_C*Sens!$C$7488)</f>
        <v>388.657078856748</v>
      </c>
      <c r="D16" s="38" t="n">
        <f aca="false">C16-Val!$B$36</f>
        <v>-0.290877002644891</v>
      </c>
      <c r="E16" s="37" t="n">
        <f aca="false">C16/Val!$B$36-1</f>
        <v>-0.000747855846168877</v>
      </c>
      <c r="F16" s="11" t="s">
        <v>87</v>
      </c>
    </row>
    <row r="17" customFormat="false" ht="17.15" hidden="false" customHeight="false" outlineLevel="0" collapsed="false">
      <c r="A17" s="0" t="s">
        <v>1187</v>
      </c>
      <c r="B17" s="1" t="s">
        <v>1188</v>
      </c>
      <c r="C17" s="5" t="n">
        <f aca="false">w_dcf*(w_A*Sens!$C$7650+w_B*Sens!$C$7840+w_C*Sens!$C$8030)+(1-w_dcf)*(w_A*Sens!$C$7678+w_B*Sens!$C$7868+w_C*Sens!$C$8058)</f>
        <v>384.307479048749</v>
      </c>
      <c r="D17" s="38" t="n">
        <f aca="false">C17-Val!$B$36</f>
        <v>-4.64047681064392</v>
      </c>
      <c r="E17" s="37" t="n">
        <f aca="false">C17/Val!$B$36-1</f>
        <v>-0.0119308425220815</v>
      </c>
      <c r="F17" s="1" t="s">
        <v>1189</v>
      </c>
    </row>
    <row r="18" customFormat="false" ht="17.15" hidden="false" customHeight="false" outlineLevel="0" collapsed="false">
      <c r="A18" s="0" t="s">
        <v>1190</v>
      </c>
      <c r="B18" s="1" t="s">
        <v>1188</v>
      </c>
      <c r="C18" s="5" t="n">
        <f aca="false">w_dcf*(w_A*Sens!$C$8220+w_B*Sens!$C$8410+w_C*Sens!$C$8600)+(1-w_dcf)*(w_A*Sens!$C$8248+w_B*Sens!$C$8438+w_C*Sens!$C$8628)</f>
        <v>395.546602111222</v>
      </c>
      <c r="D18" s="38" t="n">
        <f aca="false">C18-Val!$B$36</f>
        <v>6.59864625182888</v>
      </c>
      <c r="E18" s="37" t="n">
        <f aca="false">C18/Val!$B$36-1</f>
        <v>0.0169653706940018</v>
      </c>
      <c r="F18" s="11" t="s">
        <v>87</v>
      </c>
    </row>
    <row r="19" customFormat="false" ht="17.15" hidden="false" customHeight="false" outlineLevel="0" collapsed="false">
      <c r="A19" s="1" t="s">
        <v>1191</v>
      </c>
      <c r="B19" s="1" t="s">
        <v>1192</v>
      </c>
      <c r="C19" s="5" t="n">
        <f aca="false">w_dcf*(w_A*Sens!$C$8790+w_B*Sens!$C$8980+w_C*Sens!$C$9170)+(1-w_dcf)*(w_A*Sens!$C$8818+w_B*Sens!$C$9008+w_C*Sens!$C$9198)</f>
        <v>388.354066126237</v>
      </c>
      <c r="D19" s="38" t="n">
        <f aca="false">C19-Val!$B$36</f>
        <v>-0.593889733155947</v>
      </c>
      <c r="E19" s="37" t="n">
        <f aca="false">C19/Val!$B$36-1</f>
        <v>-0.00152691311063391</v>
      </c>
      <c r="F19" s="1" t="s">
        <v>1193</v>
      </c>
    </row>
    <row r="20" customFormat="false" ht="17.15" hidden="false" customHeight="false" outlineLevel="0" collapsed="false">
      <c r="A20" s="1" t="s">
        <v>1194</v>
      </c>
      <c r="B20" s="1" t="s">
        <v>1192</v>
      </c>
      <c r="C20" s="5" t="n">
        <f aca="false">w_dcf*(w_A*Sens!$C$9360+w_B*Sens!$C$9550+w_C*Sens!$C$9740)+(1-w_dcf)*(w_A*Sens!$C$9388+w_B*Sens!$C$9578+w_C*Sens!$C$9768)</f>
        <v>389.578629126448</v>
      </c>
      <c r="D20" s="38" t="n">
        <f aca="false">C20-Val!$B$36</f>
        <v>0.630673267055329</v>
      </c>
      <c r="E20" s="37" t="n">
        <f aca="false">C20/Val!$B$36-1</f>
        <v>0.00162148497647152</v>
      </c>
      <c r="F20" s="11" t="s">
        <v>87</v>
      </c>
    </row>
    <row r="21" customFormat="false" ht="17.15" hidden="false" customHeight="false" outlineLevel="0" collapsed="false">
      <c r="A21" s="0" t="s">
        <v>1195</v>
      </c>
      <c r="B21" s="1" t="s">
        <v>1196</v>
      </c>
      <c r="C21" s="5" t="n">
        <f aca="false">w_dcf*(w_A*Sens!$C$9930+w_B*Sens!$C$10120+w_C*Sens!$C$10310)+(1-w_dcf)*(w_A*Sens!$C$9958+w_B*Sens!$C$10148+w_C*Sens!$C$10338)</f>
        <v>388.451537575661</v>
      </c>
      <c r="D21" s="38" t="n">
        <f aca="false">C21-Val!$B$36</f>
        <v>-0.49641828373143</v>
      </c>
      <c r="E21" s="37" t="n">
        <f aca="false">C21/Val!$B$36-1</f>
        <v>-0.00127631030386721</v>
      </c>
      <c r="F21" s="1" t="s">
        <v>1197</v>
      </c>
    </row>
    <row r="22" customFormat="false" ht="17.15" hidden="false" customHeight="false" outlineLevel="0" collapsed="false">
      <c r="A22" s="0" t="s">
        <v>1198</v>
      </c>
      <c r="B22" s="1" t="s">
        <v>1196</v>
      </c>
      <c r="C22" s="5" t="n">
        <f aca="false">w_dcf*(w_A*Sens!$C$10500+w_B*Sens!$C$10690+w_C*Sens!$C$10880)+(1-w_dcf)*(w_A*Sens!$C$10528+w_B*Sens!$C$10718+w_C*Sens!$C$10908)</f>
        <v>389.345810544212</v>
      </c>
      <c r="D22" s="38" t="n">
        <f aca="false">C22-Val!$B$36</f>
        <v>0.397854684818867</v>
      </c>
      <c r="E22" s="37" t="n">
        <f aca="false">C22/Val!$B$36-1</f>
        <v>0.00102289953919366</v>
      </c>
      <c r="F22" s="11" t="s">
        <v>87</v>
      </c>
    </row>
    <row r="23" customFormat="false" ht="17.15" hidden="false" customHeight="false" outlineLevel="0" collapsed="false">
      <c r="A23" s="1" t="s">
        <v>1199</v>
      </c>
      <c r="B23" s="1" t="s">
        <v>1200</v>
      </c>
      <c r="C23" s="5" t="n">
        <f aca="false">w_dcf*(w_A*Sens!$C$11070+w_B*Sens!$C$11260+w_C*Sens!$C$11450)+(1-w_dcf)*(w_A*Sens!$C$11098+w_B*Sens!$C$11288+w_C*Sens!$C$11478)</f>
        <v>375.885726217455</v>
      </c>
      <c r="D23" s="38" t="n">
        <f aca="false">C23-Val!$B$36</f>
        <v>-13.0622296419377</v>
      </c>
      <c r="E23" s="37" t="n">
        <f aca="false">C23/Val!$B$36-1</f>
        <v>-0.0335834896292907</v>
      </c>
      <c r="F23" s="11" t="s">
        <v>1201</v>
      </c>
    </row>
    <row r="24" customFormat="false" ht="17.15" hidden="false" customHeight="false" outlineLevel="0" collapsed="false">
      <c r="A24" s="1" t="s">
        <v>1202</v>
      </c>
      <c r="B24" s="1" t="s">
        <v>1200</v>
      </c>
      <c r="C24" s="5" t="n">
        <f aca="false">w_dcf*(w_A*Sens!$C$11640+w_B*Sens!$C$11830+w_C*Sens!$C$12020)+(1-w_dcf)*(w_A*Sens!$C$11668+w_B*Sens!$C$11858+w_C*Sens!$C$12048)</f>
        <v>402.010185501331</v>
      </c>
      <c r="D24" s="38" t="n">
        <f aca="false">C24-Val!$B$36</f>
        <v>13.0622296419377</v>
      </c>
      <c r="E24" s="37" t="n">
        <f aca="false">C24/Val!$B$36-1</f>
        <v>0.0335834896292908</v>
      </c>
      <c r="F24" s="11" t="s">
        <v>87</v>
      </c>
    </row>
    <row r="25" customFormat="false" ht="17.15" hidden="false" customHeight="false" outlineLevel="0" collapsed="false">
      <c r="A25" s="0" t="s">
        <v>1203</v>
      </c>
      <c r="B25" s="1" t="s">
        <v>1204</v>
      </c>
      <c r="C25" s="5" t="n">
        <f aca="false">w_dcf*(w_A*Sens!$C$12066+w_B*Sens!$C$12112+w_C*Sens!$C$12158)+(1-w_dcf)*(w_A*Sens!$C$12094+w_B*Sens!$C$12140+w_C*Sens!$C$12186)</f>
        <v>412.522499556877</v>
      </c>
      <c r="D25" s="38" t="n">
        <f aca="false">C25-Val!$B$36</f>
        <v>23.5745436974838</v>
      </c>
      <c r="E25" s="37" t="n">
        <f aca="false">C25/Val!$B$36-1</f>
        <v>0.0606110492222411</v>
      </c>
      <c r="F25" s="1" t="s">
        <v>1205</v>
      </c>
    </row>
    <row r="26" customFormat="false" ht="17.15" hidden="false" customHeight="false" outlineLevel="0" collapsed="false">
      <c r="A26" s="0" t="s">
        <v>1206</v>
      </c>
      <c r="B26" s="1" t="s">
        <v>1204</v>
      </c>
      <c r="C26" s="5" t="n">
        <f aca="false">w_dcf*(w_A*Sens!$C$12204+w_B*Sens!$C$12250+w_C*Sens!$C$12296)+(1-w_dcf)*(w_A*Sens!$C$12232+w_B*Sens!$C$12278+w_C*Sens!$C$12324)</f>
        <v>369.675272386716</v>
      </c>
      <c r="D26" s="38" t="n">
        <f aca="false">C26-Val!$B$36</f>
        <v>-19.2726834726767</v>
      </c>
      <c r="E26" s="37" t="n">
        <f aca="false">C26/Val!$B$36-1</f>
        <v>-0.0495508028319447</v>
      </c>
      <c r="F26" s="11" t="s">
        <v>87</v>
      </c>
    </row>
    <row r="27" customFormat="false" ht="15" hidden="false" customHeight="false" outlineLevel="0" collapsed="false">
      <c r="A27" s="0" t="s">
        <v>1207</v>
      </c>
      <c r="B27" s="1" t="s">
        <v>1208</v>
      </c>
      <c r="C27" s="5" t="n">
        <f aca="false">w_dcf*(w_A*Sens!$C$12342+w_B*Sens!$C$12388+w_C*Sens!$C$12434)+(1-w_dcf)*(w_A*Sens!$C$12370+w_B*Sens!$C$12416+w_C*Sens!$C$12462)</f>
        <v>387.552249760103</v>
      </c>
      <c r="D27" s="38" t="n">
        <f aca="false">C27-Val!$B$36</f>
        <v>-1.39570609928956</v>
      </c>
      <c r="E27" s="37" t="n">
        <f aca="false">C27/Val!$B$36-1</f>
        <v>-0.00358841350947758</v>
      </c>
      <c r="F27" s="11" t="s">
        <v>87</v>
      </c>
    </row>
    <row r="28" customFormat="false" ht="15" hidden="false" customHeight="false" outlineLevel="0" collapsed="false">
      <c r="A28" s="0" t="s">
        <v>1209</v>
      </c>
      <c r="B28" s="1" t="s">
        <v>1208</v>
      </c>
      <c r="C28" s="5" t="n">
        <f aca="false">w_dcf*(w_A*Sens!$C$12480+w_B*Sens!$C$12526+w_C*Sens!$C$12572)+(1-w_dcf)*(w_A*Sens!$C$12508+w_B*Sens!$C$12554+w_C*Sens!$C$12600)</f>
        <v>390.343661958682</v>
      </c>
      <c r="D28" s="38" t="n">
        <f aca="false">C28-Val!$B$36</f>
        <v>1.39570609928967</v>
      </c>
      <c r="E28" s="37" t="n">
        <f aca="false">C28/Val!$B$36-1</f>
        <v>0.00358841350947792</v>
      </c>
      <c r="F28" s="11" t="s">
        <v>87</v>
      </c>
    </row>
    <row r="29" customFormat="false" ht="17.15" hidden="false" customHeight="false" outlineLevel="0" collapsed="false">
      <c r="A29" s="1" t="s">
        <v>1210</v>
      </c>
      <c r="B29" s="1" t="s">
        <v>1211</v>
      </c>
      <c r="C29" s="5" t="n">
        <f aca="false">w_dcf*(w_A*Sens!$C$12618+w_B*Sens!$C$12664+w_C*Sens!$C$12710)+(1-w_dcf)*(w_A*Sens!$C$12646+w_B*Sens!$C$12692+w_C*Sens!$C$12738)</f>
        <v>408.280307468412</v>
      </c>
      <c r="D29" s="38" t="n">
        <f aca="false">C29-Val!$B$36</f>
        <v>19.3323516090187</v>
      </c>
      <c r="E29" s="37" t="n">
        <f aca="false">C29/Val!$B$36-1</f>
        <v>0.0497042118817754</v>
      </c>
      <c r="F29" s="11" t="s">
        <v>1212</v>
      </c>
    </row>
    <row r="30" customFormat="false" ht="17.15" hidden="false" customHeight="false" outlineLevel="0" collapsed="false">
      <c r="A30" s="0" t="s">
        <v>1213</v>
      </c>
      <c r="B30" s="1" t="s">
        <v>1214</v>
      </c>
      <c r="C30" s="5" t="n">
        <f aca="false">w_dcf*(w_A*Sens!$C$12756+w_B*Sens!$C$12802+w_C*Sens!$C$12848)+(1-w_dcf)*(w_A*Sens!$C$12784+w_B*Sens!$C$12830+w_C*Sens!$C$12876)</f>
        <v>348.86281999721</v>
      </c>
      <c r="D30" s="38" t="n">
        <f aca="false">C30-Val!$B$36</f>
        <v>-40.0851358621833</v>
      </c>
      <c r="E30" s="37" t="n">
        <f aca="false">C30/Val!$B$36-1</f>
        <v>-0.103060410161082</v>
      </c>
      <c r="F30" s="1" t="s">
        <v>1215</v>
      </c>
    </row>
    <row r="31" customFormat="false" ht="17.15" hidden="false" customHeight="false" outlineLevel="0" collapsed="false">
      <c r="A31" s="0" t="s">
        <v>1216</v>
      </c>
      <c r="B31" s="1" t="s">
        <v>1214</v>
      </c>
      <c r="C31" s="5" t="n">
        <f aca="false">w_dcf*(w_A*Sens!$C$12894+w_B*Sens!$C$12940+w_C*Sens!$C$12986)+(1-w_dcf)*(w_A*Sens!$C$12922+w_B*Sens!$C$12968+w_C*Sens!$C$13014)</f>
        <v>429.033091721576</v>
      </c>
      <c r="D31" s="38" t="n">
        <f aca="false">C31-Val!$B$36</f>
        <v>40.0851358621833</v>
      </c>
      <c r="E31" s="37" t="n">
        <f aca="false">C31/Val!$B$36-1</f>
        <v>0.103060410161082</v>
      </c>
      <c r="F31" s="11" t="s">
        <v>87</v>
      </c>
    </row>
    <row r="33" customFormat="false" ht="17.15" hidden="false" customHeight="false" outlineLevel="0" collapsed="false">
      <c r="A33" s="3" t="s">
        <v>1217</v>
      </c>
    </row>
    <row r="34" customFormat="false" ht="17.15" hidden="false" customHeight="false" outlineLevel="0" collapsed="false">
      <c r="A34" s="4" t="s">
        <v>1218</v>
      </c>
      <c r="B34" s="4" t="s">
        <v>1219</v>
      </c>
      <c r="C34" s="4" t="s">
        <v>1154</v>
      </c>
      <c r="D34" s="4" t="s">
        <v>1155</v>
      </c>
      <c r="E34" s="4" t="s">
        <v>1156</v>
      </c>
      <c r="F34" s="4" t="s">
        <v>47</v>
      </c>
    </row>
    <row r="35" customFormat="false" ht="17.15" hidden="false" customHeight="false" outlineLevel="0" collapsed="false">
      <c r="A35" s="0" t="s">
        <v>1220</v>
      </c>
      <c r="B35" s="0" t="s">
        <v>1221</v>
      </c>
      <c r="C35" s="5" t="n">
        <f aca="false">w_dcf*(w_A*Val!$C$86+w_B*Val!$C$132+w_C*Sens!$C$13176)+(1-w_dcf)*(w_A*Val!$C$114+w_B*Val!$C$160+w_C*Sens!$C$13204)</f>
        <v>384.381205214652</v>
      </c>
      <c r="D35" s="38" t="n">
        <f aca="false">C35-Val!$B$36</f>
        <v>-4.56675064474035</v>
      </c>
      <c r="E35" s="37" t="n">
        <f aca="false">C35/Val!$B$36-1</f>
        <v>-0.0117412897431225</v>
      </c>
    </row>
    <row r="36" customFormat="false" ht="17.15" hidden="false" customHeight="false" outlineLevel="0" collapsed="false">
      <c r="A36" s="0" t="s">
        <v>1222</v>
      </c>
      <c r="B36" s="0" t="s">
        <v>1221</v>
      </c>
      <c r="C36" s="5" t="n">
        <f aca="false">w_dcf*(w_A*Val!$C$86+w_B*Val!$C$132+w_C*Sens!$C$13366)+(1-w_dcf)*(w_A*Val!$C$114+w_B*Val!$C$160+w_C*Sens!$C$13394)</f>
        <v>370.195301445514</v>
      </c>
      <c r="D36" s="38" t="n">
        <f aca="false">C36-Val!$B$36</f>
        <v>-18.7526544138789</v>
      </c>
      <c r="E36" s="37" t="n">
        <f aca="false">C36/Val!$B$36-1</f>
        <v>-0.0482137883266266</v>
      </c>
    </row>
    <row r="37" customFormat="false" ht="17.15" hidden="false" customHeight="false" outlineLevel="0" collapsed="false">
      <c r="A37" s="1" t="s">
        <v>1223</v>
      </c>
      <c r="B37" s="1" t="s">
        <v>1224</v>
      </c>
      <c r="C37" s="5" t="n">
        <f aca="false">w_dcf*(w_A*Sens!$C$13412+w_B*Sens!$C$13458+w_C*Sens!$C$13504)+(1-w_dcf)*(w_A*Sens!$C$13440+w_B*Sens!$C$13486+w_C*Sens!$C$13532)</f>
        <v>437.616881368929</v>
      </c>
      <c r="D37" s="38" t="n">
        <f aca="false">C37-Val!$B$36</f>
        <v>48.6689255095358</v>
      </c>
      <c r="E37" s="37" t="n">
        <f aca="false">C37/Val!$B$36-1</f>
        <v>0.125129660090385</v>
      </c>
    </row>
    <row r="38" customFormat="false" ht="17.15" hidden="false" customHeight="false" outlineLevel="0" collapsed="false">
      <c r="A38" s="1" t="s">
        <v>1225</v>
      </c>
      <c r="B38" s="1" t="s">
        <v>1224</v>
      </c>
      <c r="C38" s="5" t="n">
        <f aca="false">w_dcf*(w_A*Sens!$C$13550+w_B*Sens!$C$13596+w_C*Sens!$C$13642)+(1-w_dcf)*(w_A*Sens!$C$13578+w_B*Sens!$C$13624+w_C*Sens!$C$13670)</f>
        <v>454.926029949717</v>
      </c>
      <c r="D38" s="38" t="n">
        <f aca="false">C38-Val!$B$36</f>
        <v>65.9780740903238</v>
      </c>
      <c r="E38" s="37" t="n">
        <f aca="false">C38/Val!$B$36-1</f>
        <v>0.169632139972411</v>
      </c>
    </row>
    <row r="39" customFormat="false" ht="17.15" hidden="false" customHeight="false" outlineLevel="0" collapsed="false">
      <c r="A39" s="0" t="s">
        <v>1226</v>
      </c>
      <c r="B39" s="1" t="s">
        <v>1224</v>
      </c>
      <c r="C39" s="5" t="n">
        <f aca="false">w_dcf*(w_A*Sens!$C$13688+w_B*Sens!$C$13734+w_C*Sens!$C$13780)+(1-w_dcf)*(w_A*Sens!$C$13716+w_B*Sens!$C$13762+w_C*Sens!$C$13808)</f>
        <v>390.901568482125</v>
      </c>
      <c r="D39" s="38" t="n">
        <f aca="false">C39-Val!$B$36</f>
        <v>1.95361262273264</v>
      </c>
      <c r="E39" s="37" t="n">
        <f aca="false">C39/Val!$B$36-1</f>
        <v>0.00502281241822211</v>
      </c>
    </row>
    <row r="40" customFormat="false" ht="17.15" hidden="false" customHeight="false" outlineLevel="0" collapsed="false">
      <c r="A40" s="0" t="s">
        <v>1227</v>
      </c>
      <c r="B40" s="1" t="s">
        <v>1224</v>
      </c>
      <c r="C40" s="5" t="n">
        <f aca="false">w_dcf*(w_A*Sens!$C$13826+w_B*Sens!$C$13872+w_C*Sens!$C$13918)+(1-w_dcf)*(w_A*Sens!$C$13854+w_B*Sens!$C$13900+w_C*Sens!$C$13946)</f>
        <v>397.495011083848</v>
      </c>
      <c r="D40" s="38" t="n">
        <f aca="false">C40-Val!$B$36</f>
        <v>8.54705522445499</v>
      </c>
      <c r="E40" s="37" t="n">
        <f aca="false">C40/Val!$B$36-1</f>
        <v>0.0219748043297208</v>
      </c>
    </row>
    <row r="41" customFormat="false" ht="17.15" hidden="false" customHeight="false" outlineLevel="0" collapsed="false">
      <c r="A41" s="0" t="s">
        <v>1228</v>
      </c>
      <c r="B41" s="1" t="s">
        <v>1229</v>
      </c>
      <c r="C41" s="5" t="n">
        <f aca="false">0.3*Val!$B$14+0.7*Val!$B$31</f>
        <v>407.636621844947</v>
      </c>
      <c r="D41" s="38" t="n">
        <f aca="false">C41-Val!$B$36</f>
        <v>18.6886659855545</v>
      </c>
      <c r="E41" s="37" t="n">
        <f aca="false">C41/Val!$B$36-1</f>
        <v>0.0480492716416552</v>
      </c>
    </row>
    <row r="42" customFormat="false" ht="17.15" hidden="false" customHeight="false" outlineLevel="0" collapsed="false">
      <c r="A42" s="0" t="s">
        <v>1230</v>
      </c>
      <c r="B42" s="1" t="s">
        <v>1229</v>
      </c>
      <c r="C42" s="5" t="n">
        <f aca="false">0.7*Val!$B$14+0.3*Val!$B$31</f>
        <v>370.259289873838</v>
      </c>
      <c r="D42" s="38" t="n">
        <f aca="false">C42-Val!$B$36</f>
        <v>-18.6886659855544</v>
      </c>
      <c r="E42" s="37" t="n">
        <f aca="false">C42/Val!$B$36-1</f>
        <v>-0.048049271641655</v>
      </c>
    </row>
    <row r="43" customFormat="false" ht="17.15" hidden="false" customHeight="false" outlineLevel="0" collapsed="false">
      <c r="A43" s="1" t="s">
        <v>1231</v>
      </c>
      <c r="B43" s="1" t="s">
        <v>1229</v>
      </c>
      <c r="C43" s="5" t="n">
        <f aca="false">w_dcf*(0.3*Val!$B$13+0.5*Val!$C$13+0.2*Val!$D$13)+(1-w_dcf)*(0.3*Val!$B$30+0.5*Val!$C$30+0.2*Val!$D$30)</f>
        <v>393.11225990191</v>
      </c>
      <c r="D43" s="38" t="n">
        <f aca="false">C43-Val!$B$36</f>
        <v>4.16430404251742</v>
      </c>
      <c r="E43" s="37" t="n">
        <f aca="false">C43/Val!$B$36-1</f>
        <v>0.0107065842094896</v>
      </c>
    </row>
    <row r="44" customFormat="false" ht="17.15" hidden="false" customHeight="false" outlineLevel="0" collapsed="false">
      <c r="A44" s="1" t="s">
        <v>1232</v>
      </c>
      <c r="B44" s="1" t="s">
        <v>1229</v>
      </c>
      <c r="C44" s="5" t="n">
        <f aca="false">Val!$C$44</f>
        <v>390.899870220884</v>
      </c>
      <c r="D44" s="38" t="n">
        <f aca="false">C44-Val!$B$36</f>
        <v>1.95191436149116</v>
      </c>
      <c r="E44" s="37" t="n">
        <f aca="false">C44/Val!$B$36-1</f>
        <v>0.0050184461239251</v>
      </c>
    </row>
    <row r="46" customFormat="false" ht="17.15" hidden="false" customHeight="false" outlineLevel="0" collapsed="false">
      <c r="A46" s="3" t="s">
        <v>1233</v>
      </c>
    </row>
    <row r="80" customFormat="false" ht="17.15" hidden="false" customHeight="false" outlineLevel="0" collapsed="false">
      <c r="A80" s="3" t="s">
        <v>1234</v>
      </c>
    </row>
    <row r="81" customFormat="false" ht="15" hidden="false" customHeight="false" outlineLevel="0" collapsed="false">
      <c r="A81" s="4" t="s">
        <v>43</v>
      </c>
      <c r="B81" s="4" t="s">
        <v>65</v>
      </c>
      <c r="C81" s="20" t="s">
        <v>788</v>
      </c>
      <c r="D81" s="20" t="s">
        <v>789</v>
      </c>
      <c r="E81" s="20" t="s">
        <v>790</v>
      </c>
      <c r="F81" s="20" t="s">
        <v>791</v>
      </c>
      <c r="G81" s="20" t="s">
        <v>792</v>
      </c>
      <c r="H81" s="20" t="s">
        <v>793</v>
      </c>
      <c r="I81" s="20" t="s">
        <v>794</v>
      </c>
      <c r="J81" s="20" t="s">
        <v>795</v>
      </c>
      <c r="K81" s="20" t="s">
        <v>796</v>
      </c>
      <c r="L81" s="4" t="s">
        <v>47</v>
      </c>
    </row>
    <row r="82" customFormat="false" ht="17.15" hidden="false" customHeight="false" outlineLevel="0" collapsed="false">
      <c r="A82" s="1" t="s">
        <v>797</v>
      </c>
      <c r="B82" s="1" t="s">
        <v>235</v>
      </c>
      <c r="C82" s="28" t="n">
        <v>2024</v>
      </c>
      <c r="D82" s="28" t="n">
        <v>2025</v>
      </c>
      <c r="E82" s="28" t="n">
        <v>2026</v>
      </c>
      <c r="F82" s="28" t="n">
        <v>2027</v>
      </c>
      <c r="G82" s="28" t="n">
        <v>2028</v>
      </c>
      <c r="H82" s="28" t="n">
        <v>2029</v>
      </c>
      <c r="I82" s="28" t="n">
        <v>2030</v>
      </c>
      <c r="J82" s="28" t="n">
        <v>2031</v>
      </c>
      <c r="K82" s="28" t="n">
        <v>2032</v>
      </c>
    </row>
    <row r="83" customFormat="false" ht="17.15" hidden="false" customHeight="false" outlineLevel="0" collapsed="false">
      <c r="A83" s="1" t="s">
        <v>798</v>
      </c>
      <c r="B83" s="0" t="s">
        <v>392</v>
      </c>
      <c r="F83" s="29" t="n">
        <f aca="false">pace</f>
        <v>2527.2</v>
      </c>
      <c r="G83" s="29" t="n">
        <f aca="false">pace</f>
        <v>2527.2</v>
      </c>
      <c r="H83" s="29" t="n">
        <f aca="false">pace</f>
        <v>2527.2</v>
      </c>
      <c r="I83" s="29" t="n">
        <f aca="false">pace+(g_tv*Sens!H84-pace)*MIN(1,(Sens!I82-pace_y0)/(pace_y1-pace_y0))</f>
        <v>1793.116</v>
      </c>
      <c r="J83" s="29" t="n">
        <f aca="false">pace+(g_tv*Sens!H84-pace)*MIN(1,(Sens!J82-pace_y0)/(pace_y1-pace_y0))</f>
        <v>1059.032</v>
      </c>
      <c r="K83" s="29" t="n">
        <f aca="false">pace+(g_tv*Sens!H84-pace)*MIN(1,(Sens!K82-pace_y0)/(pace_y1-pace_y0))</f>
        <v>324.948</v>
      </c>
      <c r="L83" s="11" t="s">
        <v>799</v>
      </c>
    </row>
    <row r="84" customFormat="false" ht="17.15" hidden="false" customHeight="false" outlineLevel="0" collapsed="false">
      <c r="A84" s="1" t="s">
        <v>800</v>
      </c>
      <c r="B84" s="0" t="s">
        <v>392</v>
      </c>
      <c r="C84" s="29" t="n">
        <f aca="false">mw_ext_24</f>
        <v>640</v>
      </c>
      <c r="D84" s="29" t="n">
        <f aca="false">mw_ext_25</f>
        <v>1630</v>
      </c>
      <c r="E84" s="29" t="n">
        <f aca="false">mw_ext_26</f>
        <v>3250</v>
      </c>
      <c r="F84" s="29" t="n">
        <f aca="false">Sens!E84+Sens!F83</f>
        <v>5777.2</v>
      </c>
      <c r="G84" s="29" t="n">
        <f aca="false">Sens!F84+Sens!G83</f>
        <v>8304.4</v>
      </c>
      <c r="H84" s="29" t="n">
        <f aca="false">Sens!G84+Sens!H83</f>
        <v>10831.6</v>
      </c>
      <c r="I84" s="29" t="n">
        <f aca="false">Sens!H84+Sens!I83</f>
        <v>12624.716</v>
      </c>
      <c r="J84" s="29" t="n">
        <f aca="false">Sens!I84+Sens!J83</f>
        <v>13683.748</v>
      </c>
      <c r="K84" s="29" t="n">
        <f aca="false">Sens!J84+Sens!K83</f>
        <v>14008.696</v>
      </c>
      <c r="L84" s="1" t="s">
        <v>801</v>
      </c>
    </row>
    <row r="85" customFormat="false" ht="17.15" hidden="false" customHeight="false" outlineLevel="0" collapsed="false">
      <c r="A85" s="1" t="s">
        <v>802</v>
      </c>
      <c r="B85" s="0" t="s">
        <v>392</v>
      </c>
      <c r="C85" s="29" t="n">
        <f aca="false">rent_ext_24</f>
        <v>150</v>
      </c>
      <c r="D85" s="29" t="n">
        <f aca="false">rent_ext_25</f>
        <v>400</v>
      </c>
      <c r="E85" s="29" t="n">
        <f aca="false">rent_ext_26</f>
        <v>550</v>
      </c>
      <c r="F85" s="29" t="n">
        <f aca="false">rent_ext_f</f>
        <v>756</v>
      </c>
      <c r="G85" s="29" t="n">
        <f aca="false">rent_ext_f</f>
        <v>756</v>
      </c>
      <c r="H85" s="29" t="n">
        <f aca="false">rent_ext_f</f>
        <v>756</v>
      </c>
      <c r="I85" s="29" t="n">
        <f aca="false">rent_ext_f</f>
        <v>756</v>
      </c>
      <c r="J85" s="29" t="n">
        <f aca="false">rent_ext_f</f>
        <v>756</v>
      </c>
      <c r="K85" s="29" t="n">
        <f aca="false">rent_ext_f</f>
        <v>756</v>
      </c>
      <c r="L85" s="1" t="s">
        <v>803</v>
      </c>
    </row>
    <row r="86" customFormat="false" ht="17.15" hidden="false" customHeight="false" outlineLevel="0" collapsed="false">
      <c r="A86" s="1" t="s">
        <v>804</v>
      </c>
      <c r="B86" s="0" t="s">
        <v>392</v>
      </c>
      <c r="C86" s="29" t="n">
        <f aca="false">Sens!C84-Sens!C85</f>
        <v>490</v>
      </c>
      <c r="D86" s="29" t="n">
        <f aca="false">Sens!D84-Sens!D85</f>
        <v>1230</v>
      </c>
      <c r="E86" s="29" t="n">
        <f aca="false">Sens!E84-Sens!E85</f>
        <v>2700</v>
      </c>
      <c r="F86" s="29" t="n">
        <f aca="false">Sens!F84-Sens!F85</f>
        <v>5021.2</v>
      </c>
      <c r="G86" s="29" t="n">
        <f aca="false">Sens!G84-Sens!G85</f>
        <v>7548.4</v>
      </c>
      <c r="H86" s="29" t="n">
        <f aca="false">Sens!H84-Sens!H85</f>
        <v>10075.6</v>
      </c>
      <c r="I86" s="29" t="n">
        <f aca="false">Sens!I84-Sens!I85</f>
        <v>11868.716</v>
      </c>
      <c r="J86" s="29" t="n">
        <f aca="false">Sens!J84-Sens!J85</f>
        <v>12927.748</v>
      </c>
      <c r="K86" s="29" t="n">
        <f aca="false">Sens!K84-Sens!K85</f>
        <v>13252.696</v>
      </c>
    </row>
    <row r="87" customFormat="false" ht="17.15" hidden="false" customHeight="false" outlineLevel="0" collapsed="false">
      <c r="A87" s="1" t="s">
        <v>805</v>
      </c>
      <c r="B87" s="0" t="s">
        <v>392</v>
      </c>
      <c r="C87" s="29" t="n">
        <f aca="false">Sens!C86/ext_sh</f>
        <v>816.666666666667</v>
      </c>
      <c r="D87" s="29" t="n">
        <f aca="false">Sens!D86/ext_sh</f>
        <v>2050</v>
      </c>
      <c r="E87" s="29" t="n">
        <f aca="false">Sens!E86/ext_sh</f>
        <v>4500</v>
      </c>
      <c r="F87" s="29" t="n">
        <f aca="false">Sens!F86/ext_sh</f>
        <v>8368.66666666667</v>
      </c>
      <c r="G87" s="29" t="n">
        <f aca="false">Sens!G86/ext_sh</f>
        <v>12580.6666666667</v>
      </c>
      <c r="H87" s="29" t="n">
        <f aca="false">Sens!H86/ext_sh</f>
        <v>16792.6666666667</v>
      </c>
      <c r="I87" s="29" t="n">
        <f aca="false">Sens!I86/ext_sh</f>
        <v>19781.1933333333</v>
      </c>
      <c r="J87" s="29" t="n">
        <f aca="false">Sens!J86/ext_sh</f>
        <v>21546.2466666667</v>
      </c>
      <c r="K87" s="29" t="n">
        <f aca="false">Sens!K86/ext_sh</f>
        <v>22087.8266666667</v>
      </c>
      <c r="L87" s="1" t="s">
        <v>806</v>
      </c>
    </row>
    <row r="88" customFormat="false" ht="17.15" hidden="false" customHeight="false" outlineLevel="0" collapsed="false">
      <c r="A88" s="1" t="s">
        <v>807</v>
      </c>
      <c r="B88" s="0" t="s">
        <v>392</v>
      </c>
      <c r="C88" s="29" t="n">
        <f aca="false">Sens!C87-Sens!C86</f>
        <v>326.666666666667</v>
      </c>
      <c r="D88" s="29" t="n">
        <f aca="false">Sens!D87-Sens!D86</f>
        <v>820</v>
      </c>
      <c r="E88" s="29" t="n">
        <f aca="false">Sens!E87-Sens!E86</f>
        <v>1800</v>
      </c>
      <c r="F88" s="29" t="n">
        <f aca="false">Sens!F87-Sens!F86</f>
        <v>3347.46666666667</v>
      </c>
      <c r="G88" s="29" t="n">
        <f aca="false">Sens!G87-Sens!G86</f>
        <v>5032.26666666667</v>
      </c>
      <c r="H88" s="29" t="n">
        <f aca="false">Sens!H87-Sens!H86</f>
        <v>6717.06666666667</v>
      </c>
      <c r="I88" s="29" t="n">
        <f aca="false">Sens!I87-Sens!I86</f>
        <v>7912.47733333333</v>
      </c>
      <c r="J88" s="29" t="n">
        <f aca="false">Sens!J87-Sens!J86</f>
        <v>8618.49866666667</v>
      </c>
      <c r="K88" s="29" t="n">
        <f aca="false">Sens!K87-Sens!K86</f>
        <v>8835.13066666667</v>
      </c>
    </row>
    <row r="89" customFormat="false" ht="17.15" hidden="false" customHeight="false" outlineLevel="0" collapsed="false">
      <c r="A89" s="1" t="s">
        <v>808</v>
      </c>
      <c r="B89" s="0" t="s">
        <v>392</v>
      </c>
      <c r="C89" s="29" t="n">
        <f aca="false">Sens!C87</f>
        <v>816.666666666667</v>
      </c>
      <c r="D89" s="29" t="n">
        <f aca="false">Sens!D87-Sens!C87</f>
        <v>1233.33333333333</v>
      </c>
      <c r="E89" s="29" t="n">
        <f aca="false">Sens!E87-Sens!D87</f>
        <v>2450</v>
      </c>
      <c r="F89" s="29" t="n">
        <f aca="false">Sens!F87-Sens!E87</f>
        <v>3868.66666666667</v>
      </c>
      <c r="G89" s="29" t="n">
        <f aca="false">Sens!G87-Sens!F87</f>
        <v>4212</v>
      </c>
      <c r="H89" s="29" t="n">
        <f aca="false">Sens!H87-Sens!G87</f>
        <v>4212</v>
      </c>
      <c r="I89" s="29" t="n">
        <f aca="false">Sens!I87-Sens!H87</f>
        <v>2988.52666666667</v>
      </c>
      <c r="J89" s="29" t="n">
        <f aca="false">Sens!J87-Sens!I87</f>
        <v>1765.05333333333</v>
      </c>
      <c r="K89" s="29" t="n">
        <f aca="false">Sens!K87-Sens!J87</f>
        <v>541.580000000002</v>
      </c>
    </row>
    <row r="90" customFormat="false" ht="17.15" hidden="false" customHeight="false" outlineLevel="0" collapsed="false">
      <c r="A90" s="1" t="s">
        <v>809</v>
      </c>
      <c r="B90" s="0" t="s">
        <v>392</v>
      </c>
      <c r="D90" s="29" t="n">
        <f aca="false">Sens!D84-Sens!C84</f>
        <v>990</v>
      </c>
      <c r="E90" s="29" t="n">
        <f aca="false">Sens!E84-Sens!D84</f>
        <v>1620</v>
      </c>
      <c r="F90" s="29" t="n">
        <f aca="false">Sens!F84-Sens!E84</f>
        <v>2527.2</v>
      </c>
      <c r="G90" s="29" t="n">
        <f aca="false">Sens!G84-Sens!F84</f>
        <v>2527.2</v>
      </c>
      <c r="H90" s="29" t="n">
        <f aca="false">Sens!H84-Sens!G84</f>
        <v>2527.2</v>
      </c>
      <c r="I90" s="29" t="n">
        <f aca="false">Sens!I84-Sens!H84</f>
        <v>1793.116</v>
      </c>
      <c r="J90" s="29" t="n">
        <f aca="false">Sens!J84-Sens!I84</f>
        <v>1059.032</v>
      </c>
      <c r="K90" s="29" t="n">
        <f aca="false">Sens!K84-Sens!J84</f>
        <v>324.948</v>
      </c>
    </row>
    <row r="91" customFormat="false" ht="17.15" hidden="false" customHeight="false" outlineLevel="0" collapsed="false">
      <c r="A91" s="1" t="s">
        <v>810</v>
      </c>
      <c r="B91" s="0" t="s">
        <v>392</v>
      </c>
      <c r="F91" s="29" t="n">
        <f aca="false">Sens!F108*ext_sh</f>
        <v>0</v>
      </c>
      <c r="G91" s="29" t="n">
        <f aca="false">Sens!G108*ext_sh</f>
        <v>0</v>
      </c>
      <c r="H91" s="29" t="n">
        <f aca="false">Sens!H108*ext_sh</f>
        <v>0</v>
      </c>
      <c r="I91" s="29" t="n">
        <f aca="false">Sens!I108*ext_sh</f>
        <v>490</v>
      </c>
      <c r="J91" s="29" t="n">
        <f aca="false">Sens!J108*ext_sh</f>
        <v>740</v>
      </c>
      <c r="K91" s="29" t="n">
        <f aca="false">Sens!K108*ext_sh</f>
        <v>1470</v>
      </c>
      <c r="L91" s="1" t="s">
        <v>811</v>
      </c>
    </row>
    <row r="92" customFormat="false" ht="17.15" hidden="false" customHeight="false" outlineLevel="0" collapsed="false">
      <c r="A92" s="1" t="s">
        <v>812</v>
      </c>
      <c r="B92" s="0" t="s">
        <v>392</v>
      </c>
      <c r="C92" s="29" t="n">
        <f aca="false">mix_h*Sens!C84</f>
        <v>128</v>
      </c>
      <c r="D92" s="29" t="n">
        <f aca="false">mix_h*Sens!D84</f>
        <v>326</v>
      </c>
      <c r="E92" s="29" t="n">
        <f aca="false">mix_h*Sens!E84</f>
        <v>650</v>
      </c>
      <c r="F92" s="29" t="n">
        <f aca="false">Sens!E92-Sens!F91*mix_h</f>
        <v>650</v>
      </c>
      <c r="G92" s="29" t="n">
        <f aca="false">Sens!F92-Sens!G91*mix_h</f>
        <v>650</v>
      </c>
      <c r="H92" s="29" t="n">
        <f aca="false">Sens!G92-Sens!H91*mix_h</f>
        <v>650</v>
      </c>
      <c r="I92" s="29" t="n">
        <f aca="false">Sens!H92-Sens!I91*mix_h</f>
        <v>552</v>
      </c>
      <c r="J92" s="29" t="n">
        <f aca="false">Sens!I92-Sens!J91*mix_h</f>
        <v>404</v>
      </c>
      <c r="K92" s="29" t="n">
        <f aca="false">Sens!J92-Sens!K91*mix_h</f>
        <v>110</v>
      </c>
    </row>
    <row r="93" customFormat="false" ht="17.15" hidden="false" customHeight="false" outlineLevel="0" collapsed="false">
      <c r="A93" s="1" t="s">
        <v>813</v>
      </c>
      <c r="B93" s="0" t="s">
        <v>392</v>
      </c>
      <c r="C93" s="29" t="n">
        <f aca="false">mix_g2*Sens!C84</f>
        <v>288</v>
      </c>
      <c r="D93" s="29" t="n">
        <f aca="false">mix_g2*Sens!D84</f>
        <v>733.5</v>
      </c>
      <c r="E93" s="29" t="n">
        <f aca="false">mix_g2*Sens!E84</f>
        <v>1462.5</v>
      </c>
      <c r="F93" s="29" t="n">
        <f aca="false">Sens!E93-Sens!F91*mix_g2</f>
        <v>1462.5</v>
      </c>
      <c r="G93" s="29" t="n">
        <f aca="false">Sens!F93-Sens!G91*mix_g2</f>
        <v>1462.5</v>
      </c>
      <c r="H93" s="29" t="n">
        <f aca="false">Sens!G93-Sens!H91*mix_g2</f>
        <v>1462.5</v>
      </c>
      <c r="I93" s="29" t="n">
        <f aca="false">Sens!H93-Sens!I91*mix_g2</f>
        <v>1242</v>
      </c>
      <c r="J93" s="29" t="n">
        <f aca="false">Sens!I93-Sens!J91*mix_g2</f>
        <v>909</v>
      </c>
      <c r="K93" s="29" t="n">
        <f aca="false">Sens!J93-Sens!K91*mix_g2</f>
        <v>247.5</v>
      </c>
    </row>
    <row r="94" customFormat="false" ht="17.15" hidden="false" customHeight="false" outlineLevel="0" collapsed="false">
      <c r="A94" s="1" t="s">
        <v>814</v>
      </c>
      <c r="B94" s="0" t="s">
        <v>392</v>
      </c>
      <c r="C94" s="29" t="n">
        <f aca="false">mix_g3*Sens!C84</f>
        <v>224</v>
      </c>
      <c r="D94" s="29" t="n">
        <f aca="false">mix_g3*Sens!D84</f>
        <v>570.5</v>
      </c>
      <c r="E94" s="29" t="n">
        <f aca="false">mix_g3*Sens!E84</f>
        <v>1137.5</v>
      </c>
      <c r="F94" s="29" t="n">
        <f aca="false">Sens!E94+(Sens!F90+Sens!F91)*a_g3_27-Sens!F91*mix_g3</f>
        <v>2906.54</v>
      </c>
      <c r="G94" s="29" t="n">
        <f aca="false">Sens!F94+(Sens!G90+Sens!G91)*a_g3_28-Sens!G91*mix_g3</f>
        <v>3664.7</v>
      </c>
      <c r="H94" s="29" t="n">
        <f aca="false">Sens!G94+(Sens!H90+Sens!H91)*a_g3_29-Sens!H91*mix_g3</f>
        <v>3917.42</v>
      </c>
      <c r="I94" s="29" t="n">
        <f aca="false">Sens!H94+(Sens!I90+Sens!I91)*a_g3_29-Sens!I91*mix_g3</f>
        <v>3974.2316</v>
      </c>
      <c r="J94" s="29" t="n">
        <f aca="false">Sens!I94+(Sens!J90+Sens!J91)*a_g3_29-Sens!J91*mix_g3</f>
        <v>3895.1348</v>
      </c>
      <c r="K94" s="29" t="n">
        <f aca="false">Sens!J94+(Sens!K90+Sens!K91)*a_g3_29-Sens!K91*mix_g3</f>
        <v>3560.1296</v>
      </c>
    </row>
    <row r="95" customFormat="false" ht="17.15" hidden="false" customHeight="false" outlineLevel="0" collapsed="false">
      <c r="A95" s="1" t="s">
        <v>815</v>
      </c>
      <c r="B95" s="0" t="s">
        <v>392</v>
      </c>
      <c r="C95" s="29" t="n">
        <v>0</v>
      </c>
      <c r="D95" s="29" t="n">
        <v>0</v>
      </c>
      <c r="E95" s="29" t="n">
        <v>0</v>
      </c>
      <c r="F95" s="29" t="n">
        <f aca="false">Sens!E95+(Sens!F90+Sens!F91)*(1-a_g3_27)</f>
        <v>758.16</v>
      </c>
      <c r="G95" s="29" t="n">
        <f aca="false">Sens!F95+(Sens!G90+Sens!G91)*(1-a_g3_28)</f>
        <v>2527.2</v>
      </c>
      <c r="H95" s="29" t="n">
        <f aca="false">Sens!G95+(Sens!H90+Sens!H91)*(1-a_g3_29)</f>
        <v>4801.68</v>
      </c>
      <c r="I95" s="29" t="n">
        <f aca="false">Sens!H95+(Sens!I90+Sens!I91)*(1-a_g3_29)</f>
        <v>6856.4844</v>
      </c>
      <c r="J95" s="29" t="n">
        <f aca="false">Sens!I95+(Sens!J90+Sens!J91)*(1-a_g3_29)</f>
        <v>8475.6132</v>
      </c>
      <c r="K95" s="29" t="n">
        <f aca="false">Sens!J95+(Sens!K90+Sens!K91)*(1-a_g3_29)</f>
        <v>10091.0664</v>
      </c>
    </row>
    <row r="96" customFormat="false" ht="17.15" hidden="false" customHeight="false" outlineLevel="0" collapsed="false">
      <c r="A96" s="1" t="s">
        <v>816</v>
      </c>
      <c r="B96" s="0" t="s">
        <v>339</v>
      </c>
      <c r="C96" s="14" t="n">
        <f aca="false">(Sens!C92*tk_hold_h100+Sens!C93*tk_hold_gb200+Sens!C94*tk_hold_gb300+Sens!C95*tk_hold_vr200)/Sens!C84</f>
        <v>9.7235358126469</v>
      </c>
      <c r="D96" s="14" t="n">
        <f aca="false">(Sens!D92*tk_hold_h100+Sens!D93*tk_hold_gb200+Sens!D94*tk_hold_gb300+Sens!D95*tk_hold_vr200)/Sens!D84</f>
        <v>9.7235358126469</v>
      </c>
      <c r="E96" s="14" t="n">
        <f aca="false">(Sens!E92*tk_hold_h100+Sens!E93*tk_hold_gb200+Sens!E94*tk_hold_gb300+Sens!E95*tk_hold_vr200)/Sens!E84</f>
        <v>9.7235358126469</v>
      </c>
      <c r="F96" s="14" t="n">
        <f aca="false">(Sens!F92*tk_hold_h100+Sens!F93*tk_hold_gb200+Sens!F94*tk_hold_gb300+Sens!F95*tk_hold_vr200)/Sens!F84</f>
        <v>10.4079573161931</v>
      </c>
      <c r="G96" s="14" t="n">
        <f aca="false">(Sens!G92*tk_hold_h100+Sens!G93*tk_hold_gb200+Sens!G94*tk_hold_gb300+Sens!G95*tk_hold_vr200)/Sens!G84</f>
        <v>10.8388131109316</v>
      </c>
      <c r="H96" s="14" t="n">
        <f aca="false">(Sens!H92*tk_hold_h100+Sens!H93*tk_hold_gb200+Sens!H94*tk_hold_gb300+Sens!H95*tk_hold_vr200)/Sens!H84</f>
        <v>11.1311018388216</v>
      </c>
      <c r="I96" s="14" t="n">
        <f aca="false">(Sens!I92*tk_hold_h100+Sens!I93*tk_hold_gb200+Sens!I94*tk_hold_gb300+Sens!I95*tk_hold_vr200)/Sens!I84</f>
        <v>11.3594282560989</v>
      </c>
      <c r="J96" s="14" t="n">
        <f aca="false">(Sens!J92*tk_hold_h100+Sens!J93*tk_hold_gb200+Sens!J94*tk_hold_gb300+Sens!J95*tk_hold_vr200)/Sens!J84</f>
        <v>11.5441508808221</v>
      </c>
      <c r="K96" s="14" t="n">
        <f aca="false">(Sens!K92*tk_hold_h100+Sens!K93*tk_hold_gb200+Sens!K94*tk_hold_gb300+Sens!K95*tk_hold_vr200)/Sens!K84</f>
        <v>11.8053375063575</v>
      </c>
    </row>
    <row r="97" customFormat="false" ht="17.15" hidden="false" customHeight="false" outlineLevel="0" collapsed="false">
      <c r="A97" s="0" t="s">
        <v>817</v>
      </c>
      <c r="B97" s="0" t="s">
        <v>185</v>
      </c>
      <c r="C97" s="14" t="n">
        <f aca="false">k_B</f>
        <v>1.17213932619116</v>
      </c>
      <c r="D97" s="14" t="n">
        <f aca="false">k_B</f>
        <v>1.17213932619116</v>
      </c>
      <c r="E97" s="14" t="n">
        <f aca="false">k_B</f>
        <v>1.17213932619116</v>
      </c>
      <c r="F97" s="14" t="n">
        <f aca="false">(k_B+((ls_A*k_long+(1-ls_A)*k_spot)-k_B)*MIN(1,(Sens!F82-base_fy)/k_ramp))</f>
        <v>1.25022828131298</v>
      </c>
      <c r="G97" s="14" t="n">
        <f aca="false">(k_B+((ls_A*k_long+(1-ls_A)*k_spot)-k_B)*MIN(1,(Sens!G82-base_fy)/k_ramp))</f>
        <v>1.3283172364348</v>
      </c>
      <c r="H97" s="14" t="n">
        <f aca="false">(k_B+((ls_A*k_long+(1-ls_A)*k_spot)-k_B)*MIN(1,(Sens!H82-base_fy)/k_ramp))</f>
        <v>1.40640619155662</v>
      </c>
      <c r="I97" s="14" t="n">
        <f aca="false">(k_B+((ls_A*k_long+(1-ls_A)*k_spot)-k_B)*MIN(1,(Sens!I82-base_fy)/k_ramp))</f>
        <v>1.40640619155662</v>
      </c>
      <c r="J97" s="14" t="n">
        <f aca="false">(k_B+((ls_A*k_long+(1-ls_A)*k_spot)-k_B)*MIN(1,(Sens!J82-base_fy)/k_ramp))</f>
        <v>1.40640619155662</v>
      </c>
      <c r="K97" s="14" t="n">
        <f aca="false">(k_B+((ls_A*k_long+(1-ls_A)*k_spot)-k_B)*MIN(1,(Sens!K82-base_fy)/k_ramp))</f>
        <v>1.40640619155662</v>
      </c>
      <c r="L97" s="1" t="s">
        <v>818</v>
      </c>
    </row>
    <row r="98" customFormat="false" ht="17.15" hidden="false" customHeight="false" outlineLevel="0" collapsed="false">
      <c r="A98" s="1" t="s">
        <v>819</v>
      </c>
      <c r="B98" s="0" t="s">
        <v>339</v>
      </c>
      <c r="C98" s="14" t="n">
        <f aca="false">Sens!C96*Sens!C97*chip_f</f>
        <v>11.3973387156315</v>
      </c>
      <c r="D98" s="14" t="n">
        <f aca="false">Sens!D96*Sens!D97*chip_f</f>
        <v>11.3973387156315</v>
      </c>
      <c r="E98" s="14" t="n">
        <f aca="false">Sens!E96*Sens!E97*chip_f</f>
        <v>11.3973387156315</v>
      </c>
      <c r="F98" s="14" t="n">
        <f aca="false">Sens!F96*Sens!F97*chip_f</f>
        <v>13.0123225874029</v>
      </c>
      <c r="G98" s="14" t="n">
        <f aca="false">Sens!G96*Sens!G97*chip_f</f>
        <v>14.3973822777458</v>
      </c>
      <c r="H98" s="14" t="n">
        <f aca="false">Sens!H96*Sens!H97*chip_f</f>
        <v>15.6548505449659</v>
      </c>
      <c r="I98" s="14" t="n">
        <f aca="false">Sens!I96*Sens!I97*chip_f</f>
        <v>15.9759702319207</v>
      </c>
      <c r="J98" s="14" t="n">
        <f aca="false">Sens!J96*Sens!J97*chip_f</f>
        <v>16.2357652750519</v>
      </c>
      <c r="K98" s="14" t="n">
        <f aca="false">Sens!K96*Sens!K97*chip_f</f>
        <v>16.6030997623568</v>
      </c>
      <c r="L98" s="1" t="s">
        <v>820</v>
      </c>
    </row>
    <row r="99" customFormat="false" ht="17.15" hidden="false" customHeight="false" outlineLevel="0" collapsed="false">
      <c r="A99" s="0" t="s">
        <v>821</v>
      </c>
      <c r="B99" s="0" t="s">
        <v>98</v>
      </c>
      <c r="D99" s="6" t="n">
        <f aca="false">(Sens!C84+Sens!D84)/2*Sens!D98/1000</f>
        <v>12.9359794422418</v>
      </c>
      <c r="E99" s="6" t="n">
        <f aca="false">(Sens!D84+Sens!E84)/2*Sens!E98/1000</f>
        <v>27.8095064661409</v>
      </c>
      <c r="F99" s="6" t="n">
        <f aca="false">(Sens!E84+Sens!F84)/2*Sens!F98/1000</f>
        <v>58.7324192305018</v>
      </c>
      <c r="G99" s="6" t="n">
        <f aca="false">(Sens!F84+Sens!G84)/2*Sens!G98/1000</f>
        <v>101.369089141153</v>
      </c>
      <c r="H99" s="6" t="n">
        <f aca="false">(Sens!G84+Sens!H84)/2*Sens!H98/1000</f>
        <v>149.785610014234</v>
      </c>
      <c r="I99" s="6" t="n">
        <f aca="false">(Sens!H84+Sens!I84)/2*Sens!I98/1000</f>
        <v>187.368703083263</v>
      </c>
      <c r="J99" s="6" t="n">
        <f aca="false">(Sens!I84+Sens!J84)/2*Sens!J98/1000</f>
        <v>213.569023125577</v>
      </c>
      <c r="K99" s="6" t="n">
        <f aca="false">(Sens!J84+Sens!K84)/2*Sens!K98/1000</f>
        <v>229.890205197739</v>
      </c>
      <c r="L99" s="11" t="s">
        <v>822</v>
      </c>
    </row>
    <row r="100" customFormat="false" ht="17.15" hidden="false" customHeight="false" outlineLevel="0" collapsed="false">
      <c r="A100" s="1" t="s">
        <v>823</v>
      </c>
      <c r="B100" s="0" t="s">
        <v>339</v>
      </c>
      <c r="C100" s="14" t="n">
        <f aca="false">(Sens!C92*tk_opex_h100+Sens!C93*tk_opex_gb200+Sens!C94*tk_opex_gb300+Sens!C95*tk_opex_vr200)/Sens!C84</f>
        <v>1.88636041306092</v>
      </c>
      <c r="D100" s="14" t="n">
        <f aca="false">(Sens!D92*tk_opex_h100+Sens!D93*tk_opex_gb200+Sens!D94*tk_opex_gb300+Sens!D95*tk_opex_vr200)/Sens!D84</f>
        <v>1.88636041306092</v>
      </c>
      <c r="E100" s="14" t="n">
        <f aca="false">(Sens!E92*tk_opex_h100+Sens!E93*tk_opex_gb200+Sens!E94*tk_opex_gb300+Sens!E95*tk_opex_vr200)/Sens!E84</f>
        <v>1.88636041306092</v>
      </c>
      <c r="F100" s="14" t="n">
        <f aca="false">(Sens!F92*tk_opex_h100+Sens!F93*tk_opex_gb200+Sens!F94*tk_opex_gb300+Sens!F95*tk_opex_vr200)/Sens!F84</f>
        <v>1.9430236476499</v>
      </c>
      <c r="G100" s="14" t="n">
        <f aca="false">(Sens!G92*tk_opex_h100+Sens!G93*tk_opex_gb200+Sens!G94*tk_opex_gb300+Sens!G95*tk_opex_vr200)/Sens!G84</f>
        <v>1.9786941852423</v>
      </c>
      <c r="H100" s="14" t="n">
        <f aca="false">(Sens!H92*tk_opex_h100+Sens!H93*tk_opex_gb200+Sens!H94*tk_opex_gb300+Sens!H95*tk_opex_vr200)/Sens!H84</f>
        <v>2.00289275976156</v>
      </c>
      <c r="I100" s="14" t="n">
        <f aca="false">(Sens!I92*tk_opex_h100+Sens!I93*tk_opex_gb200+Sens!I94*tk_opex_gb300+Sens!I95*tk_opex_vr200)/Sens!I84</f>
        <v>2.02179589661219</v>
      </c>
      <c r="J100" s="14" t="n">
        <f aca="false">(Sens!J92*tk_opex_h100+Sens!J93*tk_opex_gb200+Sens!J94*tk_opex_gb300+Sens!J95*tk_opex_vr200)/Sens!J84</f>
        <v>2.03708907685909</v>
      </c>
      <c r="K100" s="14" t="n">
        <f aca="false">(Sens!K92*tk_opex_h100+Sens!K93*tk_opex_gb200+Sens!K94*tk_opex_gb300+Sens!K95*tk_opex_vr200)/Sens!K84</f>
        <v>2.05871270931005</v>
      </c>
    </row>
    <row r="101" customFormat="false" ht="17.15" hidden="false" customHeight="false" outlineLevel="0" collapsed="false">
      <c r="A101" s="0" t="s">
        <v>824</v>
      </c>
      <c r="B101" s="0" t="s">
        <v>98</v>
      </c>
      <c r="D101" s="6" t="n">
        <f aca="false">(Sens!C87+Sens!D87)/2*Sens!D100/1000</f>
        <v>2.70378325872065</v>
      </c>
      <c r="E101" s="6" t="n">
        <f aca="false">(Sens!D87+Sens!E87)/2*Sens!E100/1000</f>
        <v>6.17783035277451</v>
      </c>
      <c r="F101" s="6" t="n">
        <f aca="false">(Sens!E87+Sens!F87)/2*Sens!F100/1000</f>
        <v>12.5020618235287</v>
      </c>
      <c r="G101" s="6" t="n">
        <f aca="false">(Sens!F87+Sens!G87)/2*Sens!G100/1000</f>
        <v>20.7261620256847</v>
      </c>
      <c r="H101" s="6" t="n">
        <f aca="false">(Sens!G87+Sens!H87)/2*Sens!H100/1000</f>
        <v>29.4158183316982</v>
      </c>
      <c r="I101" s="6" t="n">
        <f aca="false">(Sens!H87+Sens!I87)/2*Sens!I100/1000</f>
        <v>36.9724400356344</v>
      </c>
      <c r="J101" s="6" t="n">
        <f aca="false">(Sens!I87+Sens!J87)/2*Sens!J100/1000</f>
        <v>42.0938382992747</v>
      </c>
      <c r="K101" s="6" t="n">
        <f aca="false">(Sens!J87+Sens!K87)/2*Sens!K100/1000</f>
        <v>44.9150106651501</v>
      </c>
    </row>
    <row r="102" customFormat="false" ht="17.15" hidden="false" customHeight="false" outlineLevel="0" collapsed="false">
      <c r="A102" s="0" t="s">
        <v>825</v>
      </c>
      <c r="B102" s="0" t="s">
        <v>98</v>
      </c>
      <c r="D102" s="6" t="n">
        <f aca="false">(Sens!C85+Sens!D85)/2*rent_mw/1000</f>
        <v>2.44475</v>
      </c>
      <c r="E102" s="6" t="n">
        <f aca="false">(Sens!D85+Sens!E85)/2*rent_mw/1000</f>
        <v>4.22275</v>
      </c>
      <c r="F102" s="6" t="n">
        <f aca="false">(Sens!E85+Sens!F85)/2*rent_mw/1000</f>
        <v>5.80517</v>
      </c>
      <c r="G102" s="6" t="n">
        <f aca="false">(Sens!F85+Sens!G85)/2*rent_mw/1000</f>
        <v>6.72084</v>
      </c>
      <c r="H102" s="6" t="n">
        <f aca="false">(Sens!G85+Sens!H85)/2*rent_mw/1000</f>
        <v>6.72084</v>
      </c>
      <c r="I102" s="6" t="n">
        <f aca="false">(Sens!H85+Sens!I85)/2*rent_mw/1000</f>
        <v>6.72084</v>
      </c>
      <c r="J102" s="6" t="n">
        <f aca="false">(Sens!I85+Sens!J85)/2*rent_mw/1000</f>
        <v>6.72084</v>
      </c>
      <c r="K102" s="6" t="n">
        <f aca="false">(Sens!J85+Sens!K85)/2*rent_mw/1000</f>
        <v>6.72084</v>
      </c>
    </row>
    <row r="103" customFormat="false" ht="17.15" hidden="false" customHeight="false" outlineLevel="0" collapsed="false">
      <c r="A103" s="0" t="s">
        <v>826</v>
      </c>
      <c r="B103" s="0" t="s">
        <v>98</v>
      </c>
      <c r="D103" s="6" t="n">
        <f aca="false">(Sens!C87+Sens!D87)/2*(1-self_build)*fac_rent/1000</f>
        <v>0.853242375631075</v>
      </c>
      <c r="E103" s="6" t="n">
        <f aca="false">(Sens!D87+Sens!E87)/2*(1-self_build)*fac_rent/1000</f>
        <v>1.94955961408728</v>
      </c>
      <c r="F103" s="6" t="n">
        <f aca="false">(Sens!E87+Sens!F87)/2*(1-self_build)*fac_rent/1000</f>
        <v>3.83026455274573</v>
      </c>
      <c r="G103" s="6" t="n">
        <f aca="false">(Sens!F87+Sens!G87)/2*(1-self_build)*fac_rent/1000</f>
        <v>6.23541590972812</v>
      </c>
      <c r="H103" s="6" t="n">
        <f aca="false">(Sens!G87+Sens!H87)/2*(1-self_build)*fac_rent/1000</f>
        <v>8.74275792332679</v>
      </c>
      <c r="I103" s="6" t="n">
        <f aca="false">(Sens!H87+Sens!I87)/2*(1-self_build)*fac_rent/1000</f>
        <v>10.8859420438599</v>
      </c>
      <c r="J103" s="6" t="n">
        <f aca="false">(Sens!I87+Sens!J87)/2*(1-self_build)*fac_rent/1000</f>
        <v>12.3008103782619</v>
      </c>
      <c r="K103" s="6" t="n">
        <f aca="false">(Sens!J87+Sens!K87)/2*(1-self_build)*fac_rent/1000</f>
        <v>12.9873629265328</v>
      </c>
      <c r="L103" s="11" t="s">
        <v>827</v>
      </c>
    </row>
    <row r="104" customFormat="false" ht="17.15" hidden="false" customHeight="false" outlineLevel="0" collapsed="false">
      <c r="A104" s="1" t="s">
        <v>828</v>
      </c>
      <c r="B104" s="0" t="s">
        <v>129</v>
      </c>
      <c r="D104" s="7" t="n">
        <f aca="false">(Sens!C86+Sens!D86)/(Sens!C87+Sens!D87)</f>
        <v>0.6</v>
      </c>
      <c r="E104" s="7" t="n">
        <f aca="false">(Sens!D86+Sens!E86)/(Sens!D87+Sens!E87)</f>
        <v>0.6</v>
      </c>
      <c r="F104" s="7" t="n">
        <f aca="false">(Sens!E86+Sens!F86)/(Sens!E87+Sens!F87)</f>
        <v>0.6</v>
      </c>
      <c r="G104" s="7" t="n">
        <f aca="false">(Sens!F86+Sens!G86)/(Sens!F87+Sens!G87)</f>
        <v>0.6</v>
      </c>
      <c r="H104" s="7" t="n">
        <f aca="false">(Sens!G86+Sens!H86)/(Sens!G87+Sens!H87)</f>
        <v>0.6</v>
      </c>
      <c r="I104" s="7" t="n">
        <f aca="false">(Sens!H86+Sens!I86)/(Sens!H87+Sens!I87)</f>
        <v>0.6</v>
      </c>
      <c r="J104" s="7" t="n">
        <f aca="false">(Sens!I86+Sens!J86)/(Sens!I87+Sens!J87)</f>
        <v>0.6</v>
      </c>
      <c r="K104" s="7" t="n">
        <f aca="false">(Sens!J86+Sens!K86)/(Sens!J87+Sens!K87)</f>
        <v>0.6</v>
      </c>
    </row>
    <row r="105" customFormat="false" ht="17.15" hidden="false" customHeight="false" outlineLevel="0" collapsed="false">
      <c r="A105" s="0" t="s">
        <v>829</v>
      </c>
      <c r="B105" s="0" t="s">
        <v>98</v>
      </c>
      <c r="D105" s="6" t="n">
        <f aca="false">Sens!D99-Sens!D104*(Sens!D101+Sens!D103)-Sens!D102</f>
        <v>8.35701406163072</v>
      </c>
      <c r="E105" s="6" t="n">
        <f aca="false">Sens!E99-Sens!E104*(Sens!E101+Sens!E103)-Sens!E102</f>
        <v>18.7103224860238</v>
      </c>
      <c r="F105" s="6" t="n">
        <f aca="false">Sens!F99-Sens!F104*(Sens!F101+Sens!F103)-Sens!F102</f>
        <v>43.1278534047371</v>
      </c>
      <c r="G105" s="6" t="n">
        <f aca="false">Sens!G99-Sens!G104*(Sens!G101+Sens!G103)-Sens!G102</f>
        <v>78.4713023799053</v>
      </c>
      <c r="H105" s="6" t="n">
        <f aca="false">Sens!H99-Sens!H104*(Sens!H101+Sens!H103)-Sens!H102</f>
        <v>120.169624261219</v>
      </c>
      <c r="I105" s="6" t="n">
        <f aca="false">Sens!I99-Sens!I104*(Sens!I101+Sens!I103)-Sens!I102</f>
        <v>151.932833835566</v>
      </c>
      <c r="J105" s="6" t="n">
        <f aca="false">Sens!J99-Sens!J104*(Sens!J101+Sens!J103)-Sens!J102</f>
        <v>174.211393919055</v>
      </c>
      <c r="K105" s="6" t="n">
        <f aca="false">Sens!K99-Sens!K104*(Sens!K101+Sens!K103)-Sens!K102</f>
        <v>188.427941042729</v>
      </c>
    </row>
    <row r="106" customFormat="false" ht="17.15" hidden="false" customHeight="false" outlineLevel="0" collapsed="false">
      <c r="A106" s="1" t="s">
        <v>830</v>
      </c>
      <c r="B106" s="0" t="s">
        <v>98</v>
      </c>
      <c r="D106" s="6" t="n">
        <f aca="false">(1-Sens!D104)*(Sens!D101+Sens!D103)</f>
        <v>1.42281025374069</v>
      </c>
      <c r="E106" s="6" t="n">
        <f aca="false">(1-Sens!E104)*(Sens!E101+Sens!E103)</f>
        <v>3.25095598674472</v>
      </c>
      <c r="F106" s="6" t="n">
        <f aca="false">(1-Sens!F104)*(Sens!F101+Sens!F103)</f>
        <v>6.53293055050977</v>
      </c>
      <c r="G106" s="6" t="n">
        <f aca="false">(1-Sens!G104)*(Sens!G101+Sens!G103)</f>
        <v>10.7846311741651</v>
      </c>
      <c r="H106" s="6" t="n">
        <f aca="false">(1-Sens!H104)*(Sens!H101+Sens!H103)</f>
        <v>15.26343050201</v>
      </c>
      <c r="I106" s="6" t="n">
        <f aca="false">(1-Sens!I104)*(Sens!I101+Sens!I103)</f>
        <v>19.1433528317977</v>
      </c>
      <c r="J106" s="6" t="n">
        <f aca="false">(1-Sens!J104)*(Sens!J101+Sens!J103)</f>
        <v>21.7578594710146</v>
      </c>
      <c r="K106" s="6" t="n">
        <f aca="false">(1-Sens!K104)*(Sens!K101+Sens!K103)</f>
        <v>23.1609494366731</v>
      </c>
    </row>
    <row r="107" customFormat="false" ht="17.15" hidden="false" customHeight="false" outlineLevel="0" collapsed="false">
      <c r="A107" s="1" t="s">
        <v>831</v>
      </c>
      <c r="B107" s="0" t="s">
        <v>350</v>
      </c>
      <c r="C107" s="8" t="n">
        <f aca="false">cxit_open</f>
        <v>27.5918995</v>
      </c>
      <c r="D107" s="8" t="n">
        <f aca="false">cxit_open</f>
        <v>27.5918995</v>
      </c>
      <c r="E107" s="8" t="n">
        <f aca="false">cxit_open</f>
        <v>27.5918995</v>
      </c>
      <c r="F107" s="8" t="n">
        <f aca="false">(a_g3_27*tk_cxit_gb300+(1-a_g3_27)*tk_cxit_vr200)</f>
        <v>33.8419624</v>
      </c>
      <c r="G107" s="8" t="n">
        <f aca="false">(a_g3_28*tk_cxit_gb300+(1-a_g3_28)*tk_cxit_vr200)</f>
        <v>35.9816136</v>
      </c>
      <c r="H107" s="8" t="n">
        <f aca="false">(a_g3_29*tk_cxit_gb300+(1-a_g3_29)*tk_cxit_vr200)</f>
        <v>37.0514392</v>
      </c>
      <c r="I107" s="8" t="n">
        <f aca="false">(a_g3_29*tk_cxit_gb300+(1-a_g3_29)*tk_cxit_vr200)</f>
        <v>37.0514392</v>
      </c>
      <c r="J107" s="8" t="n">
        <f aca="false">(a_g3_29*tk_cxit_gb300+(1-a_g3_29)*tk_cxit_vr200)</f>
        <v>37.0514392</v>
      </c>
      <c r="K107" s="8" t="n">
        <f aca="false">(a_g3_29*tk_cxit_gb300+(1-a_g3_29)*tk_cxit_vr200)</f>
        <v>37.0514392</v>
      </c>
      <c r="L107" s="11" t="s">
        <v>832</v>
      </c>
    </row>
    <row r="108" customFormat="false" ht="17.15" hidden="false" customHeight="false" outlineLevel="0" collapsed="false">
      <c r="A108" s="0" t="s">
        <v>833</v>
      </c>
      <c r="B108" s="0" t="s">
        <v>392</v>
      </c>
      <c r="F108" s="29" t="n">
        <f aca="false">Sens!C89*IF(Sens!F82-Sens!C82=life_it,1,0)+Sens!D89*IF(Sens!F82-Sens!D82=life_it,1,0)+Sens!E89*IF(Sens!F82-Sens!E82=life_it,1,0)</f>
        <v>0</v>
      </c>
      <c r="G108" s="29" t="n">
        <f aca="false">Sens!C89*IF(Sens!G82-Sens!C82=life_it,1,0)+Sens!D89*IF(Sens!G82-Sens!D82=life_it,1,0)+Sens!E89*IF(Sens!G82-Sens!E82=life_it,1,0)+Sens!F89*IF(Sens!G82-Sens!F82=life_it,1,0)</f>
        <v>0</v>
      </c>
      <c r="H108" s="29" t="n">
        <f aca="false">Sens!C89*IF(Sens!H82-Sens!C82=life_it,1,0)+Sens!D89*IF(Sens!H82-Sens!D82=life_it,1,0)+Sens!E89*IF(Sens!H82-Sens!E82=life_it,1,0)+Sens!F89*IF(Sens!H82-Sens!F82=life_it,1,0)+Sens!G89*IF(Sens!H82-Sens!G82=life_it,1,0)</f>
        <v>0</v>
      </c>
      <c r="I108" s="29" t="n">
        <f aca="false">Sens!C89*IF(Sens!I82-Sens!C82=life_it,1,0)+Sens!D89*IF(Sens!I82-Sens!D82=life_it,1,0)+Sens!E89*IF(Sens!I82-Sens!E82=life_it,1,0)+Sens!F89*IF(Sens!I82-Sens!F82=life_it,1,0)+Sens!G89*IF(Sens!I82-Sens!G82=life_it,1,0)+Sens!H89*IF(Sens!I82-Sens!H82=life_it,1,0)</f>
        <v>816.666666666667</v>
      </c>
      <c r="J108" s="29" t="n">
        <f aca="false">Sens!C89*IF(Sens!J82-Sens!C82=life_it,1,0)+Sens!D89*IF(Sens!J82-Sens!D82=life_it,1,0)+Sens!E89*IF(Sens!J82-Sens!E82=life_it,1,0)+Sens!F89*IF(Sens!J82-Sens!F82=life_it,1,0)+Sens!G89*IF(Sens!J82-Sens!G82=life_it,1,0)+Sens!H89*IF(Sens!J82-Sens!H82=life_it,1,0)+Sens!I89*IF(Sens!J82-Sens!I82=life_it,1,0)</f>
        <v>1233.33333333333</v>
      </c>
      <c r="K108" s="29" t="n">
        <f aca="false">Sens!C89*IF(Sens!K82-Sens!C82=life_it,1,0)+Sens!D89*IF(Sens!K82-Sens!D82=life_it,1,0)+Sens!E89*IF(Sens!K82-Sens!E82=life_it,1,0)+Sens!F89*IF(Sens!K82-Sens!F82=life_it,1,0)+Sens!G89*IF(Sens!K82-Sens!G82=life_it,1,0)+Sens!H89*IF(Sens!K82-Sens!H82=life_it,1,0)+Sens!I89*IF(Sens!K82-Sens!I82=life_it,1,0)+Sens!J89*IF(Sens!K82-Sens!J82=life_it,1,0)</f>
        <v>2450</v>
      </c>
      <c r="L108" s="1" t="s">
        <v>834</v>
      </c>
    </row>
    <row r="109" customFormat="false" ht="17.15" hidden="false" customHeight="false" outlineLevel="0" collapsed="false">
      <c r="A109" s="0" t="s">
        <v>835</v>
      </c>
      <c r="B109" s="0" t="s">
        <v>98</v>
      </c>
      <c r="C109" s="6" t="n">
        <f aca="false">Sens!C89*Sens!C107/1000</f>
        <v>22.5333845916667</v>
      </c>
      <c r="D109" s="6" t="n">
        <f aca="false">Sens!D89*Sens!D107/1000</f>
        <v>34.0300093833333</v>
      </c>
      <c r="E109" s="6" t="n">
        <f aca="false">Sens!E89*Sens!E107/1000</f>
        <v>67.600153775</v>
      </c>
      <c r="F109" s="6" t="n">
        <f aca="false">(Sens!F89+Sens!F108)*Sens!F107/1000</f>
        <v>130.923271871467</v>
      </c>
      <c r="G109" s="6" t="n">
        <f aca="false">(Sens!G89+Sens!G108)*Sens!G107/1000</f>
        <v>151.5545564832</v>
      </c>
      <c r="H109" s="6" t="n">
        <f aca="false">(Sens!H89+Sens!H108)*Sens!H107/1000</f>
        <v>156.0606619104</v>
      </c>
      <c r="I109" s="6" t="n">
        <f aca="false">(Sens!I89+Sens!I108)*Sens!I107/1000</f>
        <v>140.987889434245</v>
      </c>
      <c r="J109" s="6" t="n">
        <f aca="false">(Sens!J89+Sens!J108)*Sens!J107/1000</f>
        <v>111.094541278091</v>
      </c>
      <c r="K109" s="6" t="n">
        <f aca="false">(Sens!K89+Sens!K108)*Sens!K107/1000</f>
        <v>110.842344481936</v>
      </c>
    </row>
    <row r="110" customFormat="false" ht="17.15" hidden="false" customHeight="false" outlineLevel="0" collapsed="false">
      <c r="A110" s="0" t="s">
        <v>836</v>
      </c>
      <c r="B110" s="0" t="s">
        <v>98</v>
      </c>
      <c r="C110" s="6" t="n">
        <f aca="false">Sens!C89*self_build*tk_cxfac/1000</f>
        <v>6.2083</v>
      </c>
      <c r="D110" s="6" t="n">
        <f aca="false">Sens!D89*self_build*tk_cxfac/1000</f>
        <v>9.3758</v>
      </c>
      <c r="E110" s="6" t="n">
        <f aca="false">Sens!E89*self_build*tk_cxfac/1000</f>
        <v>18.6249</v>
      </c>
      <c r="F110" s="6" t="n">
        <f aca="false">Sens!F89*self_build*tk_cxfac/1000</f>
        <v>29.409604</v>
      </c>
      <c r="G110" s="6" t="n">
        <f aca="false">Sens!G89*self_build*tk_cxfac/1000</f>
        <v>32.019624</v>
      </c>
      <c r="H110" s="6" t="n">
        <f aca="false">Sens!H89*self_build*tk_cxfac/1000</f>
        <v>32.019624</v>
      </c>
      <c r="I110" s="6" t="n">
        <f aca="false">Sens!I89*self_build*tk_cxfac/1000</f>
        <v>22.71877972</v>
      </c>
      <c r="J110" s="6" t="n">
        <f aca="false">Sens!J89*self_build*tk_cxfac/1000</f>
        <v>13.41793544</v>
      </c>
      <c r="K110" s="6" t="n">
        <f aca="false">Sens!K89*self_build*tk_cxfac/1000</f>
        <v>4.11709116000001</v>
      </c>
    </row>
    <row r="111" customFormat="false" ht="17.15" hidden="false" customHeight="false" outlineLevel="0" collapsed="false">
      <c r="A111" s="0" t="s">
        <v>837</v>
      </c>
      <c r="B111" s="0" t="s">
        <v>98</v>
      </c>
      <c r="F111" s="6" t="n">
        <f aca="false">MAX(0,capex_floor27-Sens!F109-Sens!F110-Sens!F204)</f>
        <v>8.13777689897088</v>
      </c>
      <c r="L111" s="1" t="s">
        <v>838</v>
      </c>
    </row>
    <row r="112" customFormat="false" ht="17.15" hidden="false" customHeight="false" outlineLevel="0" collapsed="false">
      <c r="A112" s="0" t="s">
        <v>839</v>
      </c>
      <c r="B112" s="0" t="s">
        <v>98</v>
      </c>
      <c r="C112" s="6" t="n">
        <f aca="false">Sens!C109</f>
        <v>22.5333845916667</v>
      </c>
      <c r="D112" s="6" t="n">
        <f aca="false">Sens!D109</f>
        <v>34.0300093833333</v>
      </c>
      <c r="E112" s="6" t="n">
        <f aca="false">Sens!E109</f>
        <v>67.600153775</v>
      </c>
      <c r="F112" s="6" t="n">
        <f aca="false">Sens!F109+Sens!F111</f>
        <v>139.061048770438</v>
      </c>
      <c r="G112" s="6" t="n">
        <f aca="false">Sens!G109</f>
        <v>151.5545564832</v>
      </c>
      <c r="H112" s="6" t="n">
        <f aca="false">Sens!H109</f>
        <v>156.0606619104</v>
      </c>
      <c r="I112" s="6" t="n">
        <f aca="false">Sens!I109</f>
        <v>140.987889434245</v>
      </c>
      <c r="J112" s="6" t="n">
        <f aca="false">Sens!J109</f>
        <v>111.094541278091</v>
      </c>
      <c r="K112" s="6" t="n">
        <f aca="false">Sens!K109</f>
        <v>110.842344481936</v>
      </c>
    </row>
    <row r="113" customFormat="false" ht="17.15" hidden="false" customHeight="false" outlineLevel="0" collapsed="false">
      <c r="A113" s="0" t="s">
        <v>840</v>
      </c>
      <c r="B113" s="0" t="s">
        <v>98</v>
      </c>
      <c r="C113" s="6" t="n">
        <f aca="false">Sens!C112+Sens!C110</f>
        <v>28.7416845916667</v>
      </c>
      <c r="D113" s="6" t="n">
        <f aca="false">Sens!D112+Sens!D110</f>
        <v>43.4058093833333</v>
      </c>
      <c r="E113" s="6" t="n">
        <f aca="false">Sens!E112+Sens!E110</f>
        <v>86.225053775</v>
      </c>
      <c r="F113" s="6" t="n">
        <f aca="false">Sens!F112+Sens!F110</f>
        <v>168.470652770438</v>
      </c>
      <c r="G113" s="6" t="n">
        <f aca="false">Sens!G112+Sens!G110</f>
        <v>183.5741804832</v>
      </c>
      <c r="H113" s="6" t="n">
        <f aca="false">Sens!H112+Sens!H110</f>
        <v>188.0802859104</v>
      </c>
      <c r="I113" s="6" t="n">
        <f aca="false">Sens!I112+Sens!I110</f>
        <v>163.706669154245</v>
      </c>
      <c r="J113" s="6" t="n">
        <f aca="false">Sens!J112+Sens!J110</f>
        <v>124.51247671809</v>
      </c>
      <c r="K113" s="6" t="n">
        <f aca="false">Sens!K112+Sens!K110</f>
        <v>114.959435641936</v>
      </c>
      <c r="L113" s="11" t="s">
        <v>841</v>
      </c>
    </row>
    <row r="114" customFormat="false" ht="17.15" hidden="false" customHeight="false" outlineLevel="0" collapsed="false">
      <c r="A114" s="0" t="s">
        <v>842</v>
      </c>
      <c r="B114" s="0" t="s">
        <v>98</v>
      </c>
      <c r="E114" s="6" t="n">
        <f aca="false">(Sens!C112*IF(2&lt;life_it,1,IF(2=life_it,0.5,0))+Sens!D112*IF(1&lt;life_it,1,IF(1=life_it,0.5,0))+Sens!E112*0.5)/life_it</f>
        <v>15.0605784770833</v>
      </c>
      <c r="F114" s="6" t="n">
        <f aca="false">(Sens!C112*IF(3&lt;life_it,1,IF(3=life_it,0.5,0))+Sens!D112*IF(2&lt;life_it,1,IF(2=life_it,0.5,0))+Sens!E112*IF(1&lt;life_it,1,IF(1=life_it,0.5,0))+Sens!F112*0.5)/life_it</f>
        <v>32.2823453558698</v>
      </c>
      <c r="G114" s="6" t="n">
        <f aca="false">(Sens!C112*IF(4&lt;life_it,1,IF(4=life_it,0.5,0))+Sens!D112*IF(3&lt;life_it,1,IF(3=life_it,0.5,0))+Sens!E112*IF(2&lt;life_it,1,IF(2=life_it,0.5,0))+Sens!F112*IF(1&lt;life_it,1,IF(1=life_it,0.5,0))+Sens!G112*0.5)/life_it</f>
        <v>56.5003124603396</v>
      </c>
      <c r="H114" s="6" t="n">
        <f aca="false">(Sens!C112*IF(5&lt;life_it,1,IF(5=life_it,0.5,0))+Sens!D112*IF(4&lt;life_it,1,IF(4=life_it,0.5,0))+Sens!E112*IF(3&lt;life_it,1,IF(3=life_it,0.5,0))+Sens!F112*IF(2&lt;life_it,1,IF(2=life_it,0.5,0))+Sens!G112*IF(1&lt;life_it,1,IF(1=life_it,0.5,0))+Sens!H112*0.5)/life_it</f>
        <v>82.1349139931396</v>
      </c>
      <c r="I114" s="6" t="n">
        <f aca="false">(Sens!C112*IF(6&lt;life_it,1,IF(6=life_it,0.5,0))+Sens!D112*IF(5&lt;life_it,1,IF(5=life_it,0.5,0))+Sens!E112*IF(4&lt;life_it,1,IF(4=life_it,0.5,0))+Sens!F112*IF(3&lt;life_it,1,IF(3=life_it,0.5,0))+Sens!G112*IF(2&lt;life_it,1,IF(2=life_it,0.5,0))+Sens!H112*IF(1&lt;life_it,1,IF(1=life_it,0.5,0))+Sens!I112*0.5)/life_it</f>
        <v>105.011177889221</v>
      </c>
      <c r="J114" s="6" t="n">
        <f aca="false">(Sens!C112*IF(7&lt;life_it,1,IF(7=life_it,0.5,0))+Sens!D112*IF(6&lt;life_it,1,IF(6=life_it,0.5,0))+Sens!E112*IF(5&lt;life_it,1,IF(5=life_it,0.5,0))+Sens!F112*IF(4&lt;life_it,1,IF(4=life_it,0.5,0))+Sens!G112*IF(3&lt;life_it,1,IF(3=life_it,0.5,0))+Sens!H112*IF(2&lt;life_it,1,IF(2=life_it,0.5,0))+Sens!I112*IF(1&lt;life_it,1,IF(1=life_it,0.5,0))+Sens!J112*0.5)/life_it</f>
        <v>121.304430950666</v>
      </c>
      <c r="K114" s="6" t="n">
        <f aca="false">(Sens!C112*IF(8&lt;life_it,1,IF(8=life_it,0.5,0))+Sens!D112*IF(7&lt;life_it,1,IF(7=life_it,0.5,0))+Sens!E112*IF(6&lt;life_it,1,IF(6=life_it,0.5,0))+Sens!F112*IF(5&lt;life_it,1,IF(5=life_it,0.5,0))+Sens!G112*IF(4&lt;life_it,1,IF(4=life_it,0.5,0))+Sens!H112*IF(3&lt;life_it,1,IF(3=life_it,0.5,0))+Sens!I112*IF(2&lt;life_it,1,IF(2=life_it,0.5,0))+Sens!J112*IF(1&lt;life_it,1,IF(1=life_it,0.5,0))+Sens!K112*0.5)/life_it</f>
        <v>131.329991167474</v>
      </c>
    </row>
    <row r="115" customFormat="false" ht="17.15" hidden="false" customHeight="false" outlineLevel="0" collapsed="false">
      <c r="A115" s="0" t="s">
        <v>843</v>
      </c>
      <c r="B115" s="0" t="s">
        <v>98</v>
      </c>
      <c r="E115" s="6" t="n">
        <f aca="false">(Sens!C110*IF(2&lt;life_fac,1,IF(2=life_fac,0.5,0))+Sens!D110*IF(1&lt;life_fac,1,IF(1=life_fac,0.5,0))+Sens!E110*0.5)/life_fac</f>
        <v>1.2448275</v>
      </c>
      <c r="F115" s="6" t="n">
        <f aca="false">(Sens!C110*IF(3&lt;life_fac,1,IF(3=life_fac,0.5,0))+Sens!D110*IF(2&lt;life_fac,1,IF(2=life_fac,0.5,0))+Sens!E110*IF(1&lt;life_fac,1,IF(1=life_fac,0.5,0))+Sens!F110*0.5)/life_fac</f>
        <v>2.4456901</v>
      </c>
      <c r="G115" s="6" t="n">
        <f aca="false">(Sens!C110*IF(4&lt;life_fac,1,IF(4=life_fac,0.5,0))+Sens!D110*IF(3&lt;life_fac,1,IF(3=life_fac,0.5,0))+Sens!E110*IF(2&lt;life_fac,1,IF(2=life_fac,0.5,0))+Sens!F110*IF(1&lt;life_fac,1,IF(1=life_fac,0.5,0))+Sens!G110*0.5)/life_fac</f>
        <v>3.9814208</v>
      </c>
      <c r="H115" s="6" t="n">
        <f aca="false">(Sens!C110*IF(5&lt;life_fac,1,IF(5=life_fac,0.5,0))+Sens!D110*IF(4&lt;life_fac,1,IF(4=life_fac,0.5,0))+Sens!E110*IF(3&lt;life_fac,1,IF(3=life_fac,0.5,0))+Sens!F110*IF(2&lt;life_fac,1,IF(2=life_fac,0.5,0))+Sens!G110*IF(1&lt;life_fac,1,IF(1=life_fac,0.5,0))+Sens!H110*0.5)/life_fac</f>
        <v>5.582402</v>
      </c>
      <c r="I115" s="6" t="n">
        <f aca="false">(Sens!C110*IF(6&lt;life_fac,1,IF(6=life_fac,0.5,0))+Sens!D110*IF(5&lt;life_fac,1,IF(5=life_fac,0.5,0))+Sens!E110*IF(4&lt;life_fac,1,IF(4=life_fac,0.5,0))+Sens!F110*IF(3&lt;life_fac,1,IF(3=life_fac,0.5,0))+Sens!G110*IF(2&lt;life_fac,1,IF(2=life_fac,0.5,0))+Sens!H110*IF(1&lt;life_fac,1,IF(1=life_fac,0.5,0))+Sens!I110*0.5)/life_fac</f>
        <v>6.950862093</v>
      </c>
      <c r="J115" s="6" t="n">
        <f aca="false">(Sens!C110*IF(7&lt;life_fac,1,IF(7=life_fac,0.5,0))+Sens!D110*IF(6&lt;life_fac,1,IF(6=life_fac,0.5,0))+Sens!E110*IF(5&lt;life_fac,1,IF(5=life_fac,0.5,0))+Sens!F110*IF(4&lt;life_fac,1,IF(4=life_fac,0.5,0))+Sens!G110*IF(3&lt;life_fac,1,IF(3=life_fac,0.5,0))+Sens!H110*IF(2&lt;life_fac,1,IF(2=life_fac,0.5,0))+Sens!I110*IF(1&lt;life_fac,1,IF(1=life_fac,0.5,0))+Sens!J110*0.5)/life_fac</f>
        <v>7.854279972</v>
      </c>
      <c r="K115" s="6" t="n">
        <f aca="false">(Sens!C110*IF(8&lt;life_fac,1,IF(8=life_fac,0.5,0))+Sens!D110*IF(7&lt;life_fac,1,IF(7=life_fac,0.5,0))+Sens!E110*IF(6&lt;life_fac,1,IF(6=life_fac,0.5,0))+Sens!F110*IF(5&lt;life_fac,1,IF(5=life_fac,0.5,0))+Sens!G110*IF(4&lt;life_fac,1,IF(4=life_fac,0.5,0))+Sens!H110*IF(3&lt;life_fac,1,IF(3=life_fac,0.5,0))+Sens!I110*IF(2&lt;life_fac,1,IF(2=life_fac,0.5,0))+Sens!J110*IF(1&lt;life_fac,1,IF(1=life_fac,0.5,0))+Sens!K110*0.5)/life_fac</f>
        <v>8.292655637</v>
      </c>
    </row>
    <row r="116" customFormat="false" ht="17.15" hidden="false" customHeight="false" outlineLevel="0" collapsed="false">
      <c r="A116" s="0" t="s">
        <v>844</v>
      </c>
      <c r="B116" s="0" t="s">
        <v>98</v>
      </c>
      <c r="E116" s="6" t="n">
        <f aca="false">Sens!E114+Sens!E115</f>
        <v>16.3054059770833</v>
      </c>
      <c r="F116" s="6" t="n">
        <f aca="false">Sens!F114+Sens!F115</f>
        <v>34.7280354558698</v>
      </c>
      <c r="G116" s="6" t="n">
        <f aca="false">Sens!G114+Sens!G115</f>
        <v>60.4817332603396</v>
      </c>
      <c r="H116" s="6" t="n">
        <f aca="false">Sens!H114+Sens!H115</f>
        <v>87.7173159931396</v>
      </c>
      <c r="I116" s="6" t="n">
        <f aca="false">Sens!I114+Sens!I115</f>
        <v>111.962039982221</v>
      </c>
      <c r="J116" s="6" t="n">
        <f aca="false">Sens!J114+Sens!J115</f>
        <v>129.158710922666</v>
      </c>
      <c r="K116" s="6" t="n">
        <f aca="false">Sens!K114+Sens!K115</f>
        <v>139.622646804474</v>
      </c>
    </row>
    <row r="117" customFormat="false" ht="17.15" hidden="false" customHeight="false" outlineLevel="0" collapsed="false">
      <c r="A117" s="0" t="s">
        <v>845</v>
      </c>
      <c r="B117" s="0" t="s">
        <v>98</v>
      </c>
      <c r="E117" s="6" t="n">
        <f aca="false">Sens!E105-Sens!E104*Sens!E116</f>
        <v>8.92707889977379</v>
      </c>
      <c r="F117" s="6" t="n">
        <f aca="false">Sens!F105-Sens!F104*Sens!F116</f>
        <v>22.2910321312152</v>
      </c>
      <c r="G117" s="6" t="n">
        <f aca="false">Sens!G105-Sens!G104*Sens!G116</f>
        <v>42.1822624237015</v>
      </c>
      <c r="H117" s="6" t="n">
        <f aca="false">Sens!H105-Sens!H104*Sens!H116</f>
        <v>67.5392346653351</v>
      </c>
      <c r="I117" s="6" t="n">
        <f aca="false">Sens!I105-Sens!I104*Sens!I116</f>
        <v>84.7556098462332</v>
      </c>
      <c r="J117" s="6" t="n">
        <f aca="false">Sens!J105-Sens!J104*Sens!J116</f>
        <v>96.7161673654554</v>
      </c>
      <c r="K117" s="6" t="n">
        <f aca="false">Sens!K105-Sens!K104*Sens!K116</f>
        <v>104.654352960045</v>
      </c>
    </row>
    <row r="118" customFormat="false" ht="17.15" hidden="false" customHeight="false" outlineLevel="0" collapsed="false">
      <c r="A118" s="3" t="s">
        <v>1235</v>
      </c>
    </row>
    <row r="119" customFormat="false" ht="15" hidden="false" customHeight="false" outlineLevel="0" collapsed="false">
      <c r="A119" s="4" t="s">
        <v>43</v>
      </c>
      <c r="B119" s="4" t="s">
        <v>65</v>
      </c>
      <c r="C119" s="20" t="s">
        <v>788</v>
      </c>
      <c r="D119" s="20" t="s">
        <v>789</v>
      </c>
      <c r="E119" s="20" t="s">
        <v>790</v>
      </c>
      <c r="F119" s="20" t="s">
        <v>791</v>
      </c>
      <c r="G119" s="20" t="s">
        <v>792</v>
      </c>
      <c r="H119" s="20" t="s">
        <v>793</v>
      </c>
      <c r="I119" s="20" t="s">
        <v>794</v>
      </c>
      <c r="J119" s="20" t="s">
        <v>795</v>
      </c>
      <c r="K119" s="20" t="s">
        <v>796</v>
      </c>
      <c r="L119" s="4" t="s">
        <v>47</v>
      </c>
    </row>
    <row r="120" customFormat="false" ht="17.15" hidden="false" customHeight="false" outlineLevel="0" collapsed="false">
      <c r="A120" s="0" t="s">
        <v>864</v>
      </c>
      <c r="B120" s="0" t="s">
        <v>98</v>
      </c>
      <c r="D120" s="6" t="n">
        <f aca="false">Sens!D99</f>
        <v>12.9359794422418</v>
      </c>
      <c r="E120" s="6" t="n">
        <f aca="false">Sens!E99</f>
        <v>27.8095064661409</v>
      </c>
      <c r="F120" s="6" t="n">
        <f aca="false">Sens!F99</f>
        <v>58.7324192305018</v>
      </c>
      <c r="G120" s="6" t="n">
        <f aca="false">Sens!G99</f>
        <v>101.369089141153</v>
      </c>
      <c r="H120" s="6" t="n">
        <f aca="false">Sens!H99</f>
        <v>149.785610014234</v>
      </c>
      <c r="I120" s="6" t="n">
        <f aca="false">Sens!I99</f>
        <v>187.368703083263</v>
      </c>
      <c r="J120" s="6" t="n">
        <f aca="false">Sens!J99</f>
        <v>213.569023125577</v>
      </c>
      <c r="K120" s="6" t="n">
        <f aca="false">Sens!K99</f>
        <v>229.890205197739</v>
      </c>
    </row>
    <row r="121" customFormat="false" ht="17.15" hidden="false" customHeight="false" outlineLevel="0" collapsed="false">
      <c r="A121" s="0" t="s">
        <v>865</v>
      </c>
      <c r="B121" s="0" t="s">
        <v>98</v>
      </c>
      <c r="D121" s="6" t="n">
        <f aca="false">Q!L6-Sens!D120</f>
        <v>59.6740205577583</v>
      </c>
      <c r="E121" s="6" t="n">
        <f aca="false">Q!M6-Sens!E120</f>
        <v>74.1284935338591</v>
      </c>
      <c r="F121" s="6" t="n">
        <f aca="false">Sens!E121*(1+Sens!F122)</f>
        <v>90.0799497373663</v>
      </c>
      <c r="G121" s="6" t="n">
        <f aca="false">Sens!F121*(1+Sens!G122)</f>
        <v>107.02842520331</v>
      </c>
      <c r="H121" s="6" t="n">
        <f aca="false">Sens!G121*(1+Sens!H122)</f>
        <v>124.271982585636</v>
      </c>
      <c r="I121" s="6" t="n">
        <f aca="false">Sens!H121*(1+Sens!I122)</f>
        <v>140.933702381855</v>
      </c>
      <c r="J121" s="6" t="n">
        <f aca="false">Sens!I121*(1+Sens!J122)</f>
        <v>156.018867314332</v>
      </c>
      <c r="K121" s="6" t="n">
        <f aca="false">Sens!J121*(1+Sens!K122)</f>
        <v>168.500376699478</v>
      </c>
    </row>
    <row r="122" customFormat="false" ht="15" hidden="false" customHeight="false" outlineLevel="0" collapsed="false">
      <c r="A122" s="1" t="s">
        <v>866</v>
      </c>
      <c r="B122" s="0" t="s">
        <v>129</v>
      </c>
      <c r="E122" s="7" t="n">
        <f aca="false">Sens!E121/Sens!D121-1</f>
        <v>0.242223883039864</v>
      </c>
      <c r="F122" s="7" t="n">
        <f aca="false">Sens!$E$122+(glt_azo-Sens!$E$122)*MIN(1,(Sens!F82-base_fy)/n_conv)</f>
        <v>0.215186569199887</v>
      </c>
      <c r="G122" s="7" t="n">
        <f aca="false">Sens!$E$122+(glt_azo-Sens!$E$122)*MIN(1,(Sens!G82-base_fy)/n_conv)</f>
        <v>0.18814925535991</v>
      </c>
      <c r="H122" s="7" t="n">
        <f aca="false">Sens!$E$122+(glt_azo-Sens!$E$122)*MIN(1,(Sens!H82-base_fy)/n_conv)</f>
        <v>0.161111941519932</v>
      </c>
      <c r="I122" s="7" t="n">
        <f aca="false">Sens!$E$122+(glt_azo-Sens!$E$122)*MIN(1,(Sens!I82-base_fy)/n_conv)</f>
        <v>0.134074627679955</v>
      </c>
      <c r="J122" s="7" t="n">
        <f aca="false">Sens!$E$122+(glt_azo-Sens!$E$122)*MIN(1,(Sens!J82-base_fy)/n_conv)</f>
        <v>0.107037313839977</v>
      </c>
      <c r="K122" s="7" t="n">
        <f aca="false">Sens!$E$122+(glt_azo-Sens!$E$122)*MIN(1,(Sens!K82-base_fy)/n_conv)</f>
        <v>0.08</v>
      </c>
    </row>
    <row r="123" customFormat="false" ht="15" hidden="false" customHeight="false" outlineLevel="0" collapsed="false">
      <c r="A123" s="0" t="s">
        <v>867</v>
      </c>
      <c r="B123" s="0" t="s">
        <v>98</v>
      </c>
      <c r="D123" s="6" t="n">
        <f aca="false">Sens!D120+Sens!D121</f>
        <v>72.61</v>
      </c>
      <c r="E123" s="6" t="n">
        <f aca="false">Sens!E120+Sens!E121</f>
        <v>101.938</v>
      </c>
      <c r="F123" s="6" t="n">
        <f aca="false">Sens!F120+Sens!F121</f>
        <v>148.812368967868</v>
      </c>
      <c r="G123" s="6" t="n">
        <f aca="false">Sens!G120+Sens!G121</f>
        <v>208.397514344463</v>
      </c>
      <c r="H123" s="6" t="n">
        <f aca="false">Sens!H120+Sens!H121</f>
        <v>274.05759259987</v>
      </c>
      <c r="I123" s="6" t="n">
        <f aca="false">Sens!I120+Sens!I121</f>
        <v>328.302405465117</v>
      </c>
      <c r="J123" s="6" t="n">
        <f aca="false">Sens!J120+Sens!J121</f>
        <v>369.587890439908</v>
      </c>
      <c r="K123" s="6" t="n">
        <f aca="false">Sens!K120+Sens!K121</f>
        <v>398.390581897217</v>
      </c>
    </row>
    <row r="124" customFormat="false" ht="17.15" hidden="false" customHeight="false" outlineLevel="0" collapsed="false">
      <c r="A124" s="0" t="s">
        <v>868</v>
      </c>
      <c r="B124" s="1" t="s">
        <v>521</v>
      </c>
      <c r="C124" s="29" t="n">
        <f aca="false">cop_s24</f>
        <v>1</v>
      </c>
      <c r="D124" s="29" t="n">
        <f aca="false">cop_s25</f>
        <v>5</v>
      </c>
      <c r="E124" s="29" t="n">
        <f aca="false">cop_s26</f>
        <v>30</v>
      </c>
      <c r="F124" s="29" t="n">
        <f aca="false">Sens!E124+cop_add_A</f>
        <v>60</v>
      </c>
      <c r="G124" s="29" t="n">
        <f aca="false">Sens!F124+cop_add_A</f>
        <v>90</v>
      </c>
      <c r="H124" s="29" t="n">
        <f aca="false">Sens!G124+cop_add_A</f>
        <v>120</v>
      </c>
      <c r="I124" s="29" t="n">
        <f aca="false">Sens!H124+cop_add_A*cop_tail</f>
        <v>135</v>
      </c>
      <c r="J124" s="29" t="n">
        <f aca="false">Sens!I124+cop_add_A*cop_tail</f>
        <v>150</v>
      </c>
      <c r="K124" s="29" t="n">
        <f aca="false">Sens!J124+cop_add_A*cop_tail</f>
        <v>165</v>
      </c>
      <c r="L124" s="11" t="s">
        <v>869</v>
      </c>
    </row>
    <row r="125" customFormat="false" ht="17.15" hidden="false" customHeight="false" outlineLevel="0" collapsed="false">
      <c r="A125" s="0" t="s">
        <v>870</v>
      </c>
      <c r="B125" s="0" t="s">
        <v>98</v>
      </c>
      <c r="D125" s="6" t="n">
        <f aca="false">(Sens!C124+Sens!D124)/2*cop_px*12/1000</f>
        <v>0.9</v>
      </c>
      <c r="E125" s="6" t="n">
        <f aca="false">(Sens!D124+Sens!E124)/2*cop_px*12/1000</f>
        <v>5.25</v>
      </c>
      <c r="F125" s="6" t="n">
        <f aca="false">(Sens!E124+Sens!F124)/2*cop_px*12/1000</f>
        <v>13.5</v>
      </c>
      <c r="G125" s="6" t="n">
        <f aca="false">(Sens!F124+Sens!G124)/2*cop_px*12/1000</f>
        <v>22.5</v>
      </c>
      <c r="H125" s="6" t="n">
        <f aca="false">(Sens!G124+Sens!H124)/2*cop_px*12/1000</f>
        <v>31.5</v>
      </c>
      <c r="I125" s="6" t="n">
        <f aca="false">(Sens!H124+Sens!I124)/2*cop_px*12/1000</f>
        <v>38.25</v>
      </c>
      <c r="J125" s="6" t="n">
        <f aca="false">(Sens!I124+Sens!J124)/2*cop_px*12/1000</f>
        <v>42.75</v>
      </c>
      <c r="K125" s="6" t="n">
        <f aca="false">(Sens!J124+Sens!K124)/2*cop_px*12/1000</f>
        <v>47.25</v>
      </c>
      <c r="L125" s="1" t="s">
        <v>871</v>
      </c>
    </row>
    <row r="126" customFormat="false" ht="17.15" hidden="false" customHeight="false" outlineLevel="0" collapsed="false">
      <c r="A126" s="0" t="s">
        <v>872</v>
      </c>
      <c r="B126" s="0" t="s">
        <v>98</v>
      </c>
      <c r="D126" s="6" t="n">
        <f aca="false">Q!L7-Sens!D125</f>
        <v>83.705</v>
      </c>
      <c r="E126" s="6" t="n">
        <f aca="false">Q!M7-Sens!E125</f>
        <v>95.049</v>
      </c>
      <c r="F126" s="6" t="n">
        <f aca="false">Sens!E126*(1+Sens!F127)</f>
        <v>106.89238776686</v>
      </c>
      <c r="G126" s="6" t="n">
        <f aca="false">Sens!F126*(1+Sens!G127)</f>
        <v>119.044168448684</v>
      </c>
      <c r="H126" s="6" t="n">
        <f aca="false">Sens!G126*(1+Sens!H127)</f>
        <v>131.277359388781</v>
      </c>
      <c r="I126" s="6" t="n">
        <f aca="false">Sens!H126*(1+Sens!I127)</f>
        <v>143.334028071957</v>
      </c>
      <c r="J126" s="6" t="n">
        <f aca="false">Sens!I126*(1+Sens!J127)</f>
        <v>154.932702785465</v>
      </c>
      <c r="K126" s="6" t="n">
        <f aca="false">Sens!J126*(1+Sens!K127)</f>
        <v>165.777991980448</v>
      </c>
    </row>
    <row r="127" customFormat="false" ht="15" hidden="false" customHeight="false" outlineLevel="0" collapsed="false">
      <c r="A127" s="1" t="s">
        <v>866</v>
      </c>
      <c r="B127" s="0" t="s">
        <v>129</v>
      </c>
      <c r="E127" s="7" t="n">
        <f aca="false">Sens!E126/Sens!D126-1</f>
        <v>0.135523564900544</v>
      </c>
      <c r="F127" s="7" t="n">
        <f aca="false">Sens!$E$127+(glt_m365b-Sens!$E$127)*MIN(1,(Sens!F82-base_fy)/n_conv)</f>
        <v>0.124602970750453</v>
      </c>
      <c r="G127" s="7" t="n">
        <f aca="false">Sens!$E$127+(glt_m365b-Sens!$E$127)*MIN(1,(Sens!G82-base_fy)/n_conv)</f>
        <v>0.113682376600363</v>
      </c>
      <c r="H127" s="7" t="n">
        <f aca="false">Sens!$E$127+(glt_m365b-Sens!$E$127)*MIN(1,(Sens!H82-base_fy)/n_conv)</f>
        <v>0.102761782450272</v>
      </c>
      <c r="I127" s="7" t="n">
        <f aca="false">Sens!$E$127+(glt_m365b-Sens!$E$127)*MIN(1,(Sens!I82-base_fy)/n_conv)</f>
        <v>0.0918411883001813</v>
      </c>
      <c r="J127" s="7" t="n">
        <f aca="false">Sens!$E$127+(glt_m365b-Sens!$E$127)*MIN(1,(Sens!J82-base_fy)/n_conv)</f>
        <v>0.0809205941500906</v>
      </c>
      <c r="K127" s="7" t="n">
        <f aca="false">Sens!$E$127+(glt_m365b-Sens!$E$127)*MIN(1,(Sens!K82-base_fy)/n_conv)</f>
        <v>0.07</v>
      </c>
    </row>
    <row r="128" customFormat="false" ht="15" hidden="false" customHeight="false" outlineLevel="0" collapsed="false">
      <c r="A128" s="0" t="s">
        <v>873</v>
      </c>
      <c r="B128" s="0" t="s">
        <v>98</v>
      </c>
      <c r="D128" s="6" t="n">
        <f aca="false">Sens!D126+Sens!D125</f>
        <v>84.605</v>
      </c>
      <c r="E128" s="6" t="n">
        <f aca="false">Sens!E126+Sens!E125</f>
        <v>100.299</v>
      </c>
      <c r="F128" s="6" t="n">
        <f aca="false">Sens!F126+Sens!F125</f>
        <v>120.39238776686</v>
      </c>
      <c r="G128" s="6" t="n">
        <f aca="false">Sens!G126+Sens!G125</f>
        <v>141.544168448684</v>
      </c>
      <c r="H128" s="6" t="n">
        <f aca="false">Sens!H126+Sens!H125</f>
        <v>162.777359388781</v>
      </c>
      <c r="I128" s="6" t="n">
        <f aca="false">Sens!I126+Sens!I125</f>
        <v>181.584028071957</v>
      </c>
      <c r="J128" s="6" t="n">
        <f aca="false">Sens!J126+Sens!J125</f>
        <v>197.682702785465</v>
      </c>
      <c r="K128" s="6" t="n">
        <f aca="false">Sens!K126+Sens!K125</f>
        <v>213.027991980448</v>
      </c>
    </row>
    <row r="129" customFormat="false" ht="15" hidden="false" customHeight="false" outlineLevel="0" collapsed="false">
      <c r="A129" s="0" t="s">
        <v>874</v>
      </c>
      <c r="B129" s="0" t="s">
        <v>98</v>
      </c>
      <c r="D129" s="6" t="n">
        <f aca="false">Q!L8</f>
        <v>35.391</v>
      </c>
      <c r="E129" s="6" t="n">
        <f aca="false">Q!M8</f>
        <v>37.285</v>
      </c>
      <c r="F129" s="6" t="n">
        <f aca="false">Sens!E129*(1+Sens!F130)</f>
        <v>39.0720834331704</v>
      </c>
      <c r="G129" s="6" t="n">
        <f aca="false">Sens!F129*(1+Sens!G130)</f>
        <v>40.726562953769</v>
      </c>
      <c r="H129" s="6" t="n">
        <f aca="false">Sens!G129*(1+Sens!H130)</f>
        <v>42.2235987259198</v>
      </c>
      <c r="I129" s="6" t="n">
        <f aca="false">Sens!H129*(1+Sens!I130)</f>
        <v>43.5397988077414</v>
      </c>
      <c r="J129" s="6" t="n">
        <f aca="false">Sens!I129*(1+Sens!J130)</f>
        <v>44.653811225693</v>
      </c>
      <c r="K129" s="6" t="n">
        <f aca="false">Sens!J129*(1+Sens!K130)</f>
        <v>45.5468874502068</v>
      </c>
    </row>
    <row r="130" customFormat="false" ht="15" hidden="false" customHeight="false" outlineLevel="0" collapsed="false">
      <c r="A130" s="1" t="s">
        <v>866</v>
      </c>
      <c r="B130" s="0" t="s">
        <v>129</v>
      </c>
      <c r="E130" s="7" t="n">
        <f aca="false">Sens!E129/Sens!D129-1</f>
        <v>0.0535164307309768</v>
      </c>
      <c r="F130" s="7" t="n">
        <f aca="false">Sens!$E$130+(glt_lic-Sens!$E$130)*MIN(1,(Sens!F82-base_fy)/n_conv)</f>
        <v>0.0479303589424807</v>
      </c>
      <c r="G130" s="7" t="n">
        <f aca="false">Sens!$E$130+(glt_lic-Sens!$E$130)*MIN(1,(Sens!G82-base_fy)/n_conv)</f>
        <v>0.0423442871539845</v>
      </c>
      <c r="H130" s="7" t="n">
        <f aca="false">Sens!$E$130+(glt_lic-Sens!$E$130)*MIN(1,(Sens!H82-base_fy)/n_conv)</f>
        <v>0.0367582153654884</v>
      </c>
      <c r="I130" s="7" t="n">
        <f aca="false">Sens!$E$130+(glt_lic-Sens!$E$130)*MIN(1,(Sens!I82-base_fy)/n_conv)</f>
        <v>0.0311721435769923</v>
      </c>
      <c r="J130" s="7" t="n">
        <f aca="false">Sens!$E$130+(glt_lic-Sens!$E$130)*MIN(1,(Sens!J82-base_fy)/n_conv)</f>
        <v>0.0255860717884961</v>
      </c>
      <c r="K130" s="7" t="n">
        <f aca="false">Sens!$E$130+(glt_lic-Sens!$E$130)*MIN(1,(Sens!K82-base_fy)/n_conv)</f>
        <v>0.02</v>
      </c>
    </row>
    <row r="131" customFormat="false" ht="15" hidden="false" customHeight="false" outlineLevel="0" collapsed="false">
      <c r="A131" s="0" t="s">
        <v>875</v>
      </c>
      <c r="B131" s="0" t="s">
        <v>98</v>
      </c>
      <c r="D131" s="6" t="n">
        <f aca="false">Q!L9</f>
        <v>18.417</v>
      </c>
      <c r="E131" s="6" t="n">
        <f aca="false">Q!M9</f>
        <v>20.345</v>
      </c>
      <c r="F131" s="6" t="n">
        <f aca="false">Sens!E131*(1+Sens!F132)</f>
        <v>22.3572203267814</v>
      </c>
      <c r="G131" s="6" t="n">
        <f aca="false">Sens!F131*(1+Sens!G132)</f>
        <v>24.4392124437232</v>
      </c>
      <c r="H131" s="6" t="n">
        <f aca="false">Sens!G131*(1+Sens!H132)</f>
        <v>26.5738052080665</v>
      </c>
      <c r="I131" s="6" t="n">
        <f aca="false">Sens!H131*(1+Sens!I132)</f>
        <v>28.7412169166967</v>
      </c>
      <c r="J131" s="6" t="n">
        <f aca="false">Sens!I131*(1+Sens!J132)</f>
        <v>30.9192545395413</v>
      </c>
      <c r="K131" s="6" t="n">
        <f aca="false">Sens!J131*(1+Sens!K132)</f>
        <v>33.0836023573092</v>
      </c>
    </row>
    <row r="132" customFormat="false" ht="15" hidden="false" customHeight="false" outlineLevel="0" collapsed="false">
      <c r="A132" s="1" t="s">
        <v>866</v>
      </c>
      <c r="B132" s="0" t="s">
        <v>129</v>
      </c>
      <c r="E132" s="7" t="n">
        <f aca="false">Sens!E131/Sens!D131-1</f>
        <v>0.104685888038225</v>
      </c>
      <c r="F132" s="7" t="n">
        <f aca="false">Sens!$E$132+(glt_ind-Sens!$E$132)*MIN(1,(Sens!F82-base_fy)/n_conv)</f>
        <v>0.0989049066985211</v>
      </c>
      <c r="G132" s="7" t="n">
        <f aca="false">Sens!$E$132+(glt_ind-Sens!$E$132)*MIN(1,(Sens!G82-base_fy)/n_conv)</f>
        <v>0.0931239253588169</v>
      </c>
      <c r="H132" s="7" t="n">
        <f aca="false">Sens!$E$132+(glt_ind-Sens!$E$132)*MIN(1,(Sens!H82-base_fy)/n_conv)</f>
        <v>0.0873429440191127</v>
      </c>
      <c r="I132" s="7" t="n">
        <f aca="false">Sens!$E$132+(glt_ind-Sens!$E$132)*MIN(1,(Sens!I82-base_fy)/n_conv)</f>
        <v>0.0815619626794085</v>
      </c>
      <c r="J132" s="7" t="n">
        <f aca="false">Sens!$E$132+(glt_ind-Sens!$E$132)*MIN(1,(Sens!J82-base_fy)/n_conv)</f>
        <v>0.0757809813397042</v>
      </c>
      <c r="K132" s="7" t="n">
        <f aca="false">Sens!$E$132+(glt_ind-Sens!$E$132)*MIN(1,(Sens!K82-base_fy)/n_conv)</f>
        <v>0.07</v>
      </c>
    </row>
    <row r="133" customFormat="false" ht="15" hidden="false" customHeight="false" outlineLevel="0" collapsed="false">
      <c r="A133" s="0" t="s">
        <v>876</v>
      </c>
      <c r="B133" s="0" t="s">
        <v>98</v>
      </c>
      <c r="D133" s="6" t="n">
        <f aca="false">Q!L10</f>
        <v>7.76</v>
      </c>
      <c r="E133" s="6" t="n">
        <f aca="false">Q!M10</f>
        <v>8.26</v>
      </c>
      <c r="F133" s="6" t="n">
        <f aca="false">Sens!E133*(1+Sens!F134)</f>
        <v>8.79988041237113</v>
      </c>
      <c r="G133" s="6" t="n">
        <f aca="false">Sens!F133*(1+Sens!G134)</f>
        <v>9.38321269125306</v>
      </c>
      <c r="H133" s="6" t="n">
        <f aca="false">Sens!G133*(1+Sens!H134)</f>
        <v>10.0139193587476</v>
      </c>
      <c r="I133" s="6" t="n">
        <f aca="false">Sens!H133*(1+Sens!I134)</f>
        <v>10.6963111830911</v>
      </c>
      <c r="J133" s="6" t="n">
        <f aca="false">Sens!I133*(1+Sens!J134)</f>
        <v>11.4351285534696</v>
      </c>
      <c r="K133" s="6" t="n">
        <f aca="false">Sens!J133*(1+Sens!K134)</f>
        <v>12.2355875522124</v>
      </c>
    </row>
    <row r="134" customFormat="false" ht="15" hidden="false" customHeight="false" outlineLevel="0" collapsed="false">
      <c r="A134" s="1" t="s">
        <v>866</v>
      </c>
      <c r="B134" s="0" t="s">
        <v>129</v>
      </c>
      <c r="E134" s="7" t="n">
        <f aca="false">Sens!E133/Sens!D133-1</f>
        <v>0.0644329896907216</v>
      </c>
      <c r="F134" s="7" t="n">
        <f aca="false">Sens!$E$134+(glt_fro-Sens!$E$134)*MIN(1,(Sens!F82-base_fy)/n_conv)</f>
        <v>0.065360824742268</v>
      </c>
      <c r="G134" s="7" t="n">
        <f aca="false">Sens!$E$134+(glt_fro-Sens!$E$134)*MIN(1,(Sens!G82-base_fy)/n_conv)</f>
        <v>0.0662886597938144</v>
      </c>
      <c r="H134" s="7" t="n">
        <f aca="false">Sens!$E$134+(glt_fro-Sens!$E$134)*MIN(1,(Sens!H82-base_fy)/n_conv)</f>
        <v>0.0672164948453608</v>
      </c>
      <c r="I134" s="7" t="n">
        <f aca="false">Sens!$E$134+(glt_fro-Sens!$E$134)*MIN(1,(Sens!I82-base_fy)/n_conv)</f>
        <v>0.0681443298969072</v>
      </c>
      <c r="J134" s="7" t="n">
        <f aca="false">Sens!$E$134+(glt_fro-Sens!$E$134)*MIN(1,(Sens!J82-base_fy)/n_conv)</f>
        <v>0.0690721649484536</v>
      </c>
      <c r="K134" s="7" t="n">
        <f aca="false">Sens!$E$134+(glt_fro-Sens!$E$134)*MIN(1,(Sens!K82-base_fy)/n_conv)</f>
        <v>0.07</v>
      </c>
    </row>
    <row r="135" customFormat="false" ht="15" hidden="false" customHeight="false" outlineLevel="0" collapsed="false">
      <c r="A135" s="0" t="s">
        <v>704</v>
      </c>
      <c r="B135" s="0" t="s">
        <v>98</v>
      </c>
      <c r="D135" s="6" t="n">
        <f aca="false">Sens!D123+Sens!D128+Sens!D129+Sens!D131+Sens!D133</f>
        <v>218.783</v>
      </c>
      <c r="E135" s="6" t="n">
        <f aca="false">Sens!E123+Sens!E128+Sens!E129+Sens!E131+Sens!E133</f>
        <v>268.127</v>
      </c>
      <c r="F135" s="6" t="n">
        <f aca="false">Sens!F123+Sens!F128+Sens!F129+Sens!F131+Sens!F133</f>
        <v>339.433940907051</v>
      </c>
      <c r="G135" s="6" t="n">
        <f aca="false">Sens!G123+Sens!G128+Sens!G129+Sens!G131+Sens!G133</f>
        <v>424.490670881892</v>
      </c>
      <c r="H135" s="6" t="n">
        <f aca="false">Sens!H123+Sens!H128+Sens!H129+Sens!H131+Sens!H133</f>
        <v>515.646275281385</v>
      </c>
      <c r="I135" s="6" t="n">
        <f aca="false">Sens!I123+Sens!I128+Sens!I129+Sens!I131+Sens!I133</f>
        <v>592.863760444604</v>
      </c>
      <c r="J135" s="6" t="n">
        <f aca="false">Sens!J123+Sens!J128+Sens!J129+Sens!J131+Sens!J133</f>
        <v>654.278787544077</v>
      </c>
      <c r="K135" s="6" t="n">
        <f aca="false">Sens!K123+Sens!K128+Sens!K129+Sens!K131+Sens!K133</f>
        <v>702.284651237393</v>
      </c>
    </row>
    <row r="136" customFormat="false" ht="15" hidden="false" customHeight="false" outlineLevel="0" collapsed="false">
      <c r="A136" s="0" t="s">
        <v>877</v>
      </c>
      <c r="B136" s="0" t="s">
        <v>98</v>
      </c>
      <c r="D136" s="6" t="n">
        <f aca="false">Q!L13</f>
        <v>22.171</v>
      </c>
      <c r="E136" s="6" t="n">
        <f aca="false">Q!M13</f>
        <v>24.835</v>
      </c>
      <c r="F136" s="6" t="n">
        <f aca="false">Sens!E136*(1+Sens!F137)</f>
        <v>27.6114901218559</v>
      </c>
      <c r="G136" s="6" t="n">
        <f aca="false">Sens!F136*(1+Sens!G137)</f>
        <v>30.4675667338515</v>
      </c>
      <c r="H136" s="6" t="n">
        <f aca="false">Sens!G136*(1+Sens!H137)</f>
        <v>33.3643766955789</v>
      </c>
      <c r="I136" s="6" t="n">
        <f aca="false">Sens!H136*(1+Sens!I137)</f>
        <v>36.2577016533691</v>
      </c>
      <c r="J136" s="6" t="n">
        <f aca="false">Sens!I136*(1+Sens!J137)</f>
        <v>39.0988367952171</v>
      </c>
      <c r="K136" s="6" t="n">
        <f aca="false">Sens!J136*(1+Sens!K137)</f>
        <v>41.8357553708823</v>
      </c>
    </row>
    <row r="137" customFormat="false" ht="15" hidden="false" customHeight="false" outlineLevel="0" collapsed="false">
      <c r="A137" s="1" t="s">
        <v>866</v>
      </c>
      <c r="B137" s="0" t="s">
        <v>129</v>
      </c>
      <c r="E137" s="7" t="n">
        <f aca="false">Sens!E136/Sens!D136-1</f>
        <v>0.120156961796942</v>
      </c>
      <c r="F137" s="7" t="n">
        <f aca="false">Sens!$E$137+(glt_srch-Sens!$E$137)*MIN(1,(Sens!F82-base_fy)/n_conv)</f>
        <v>0.111797468164118</v>
      </c>
      <c r="G137" s="7" t="n">
        <f aca="false">Sens!$E$137+(glt_srch-Sens!$E$137)*MIN(1,(Sens!G82-base_fy)/n_conv)</f>
        <v>0.103437974531295</v>
      </c>
      <c r="H137" s="7" t="n">
        <f aca="false">Sens!$E$137+(glt_srch-Sens!$E$137)*MIN(1,(Sens!H82-base_fy)/n_conv)</f>
        <v>0.095078480898471</v>
      </c>
      <c r="I137" s="7" t="n">
        <f aca="false">Sens!$E$137+(glt_srch-Sens!$E$137)*MIN(1,(Sens!I82-base_fy)/n_conv)</f>
        <v>0.0867189872656474</v>
      </c>
      <c r="J137" s="7" t="n">
        <f aca="false">Sens!$E$137+(glt_srch-Sens!$E$137)*MIN(1,(Sens!J82-base_fy)/n_conv)</f>
        <v>0.0783594936328237</v>
      </c>
      <c r="K137" s="7" t="n">
        <f aca="false">Sens!$E$137+(glt_srch-Sens!$E$137)*MIN(1,(Sens!K82-base_fy)/n_conv)</f>
        <v>0.07</v>
      </c>
    </row>
    <row r="138" customFormat="false" ht="15" hidden="false" customHeight="false" outlineLevel="0" collapsed="false">
      <c r="A138" s="0" t="s">
        <v>878</v>
      </c>
      <c r="B138" s="0" t="s">
        <v>98</v>
      </c>
      <c r="D138" s="6" t="n">
        <f aca="false">Q!L14</f>
        <v>23.455</v>
      </c>
      <c r="E138" s="6" t="n">
        <f aca="false">Q!M14</f>
        <v>21.79</v>
      </c>
      <c r="F138" s="6" t="n">
        <f aca="false">Sens!E138*(1+Sens!F139)</f>
        <v>20.5736277908051</v>
      </c>
      <c r="G138" s="6" t="n">
        <f aca="false">Sens!F138*(1+Sens!G139)</f>
        <v>19.7371452817919</v>
      </c>
      <c r="H138" s="6" t="n">
        <f aca="false">Sens!G138*(1+Sens!H139)</f>
        <v>19.2339764043138</v>
      </c>
      <c r="I138" s="6" t="n">
        <f aca="false">Sens!H138*(1+Sens!I139)</f>
        <v>19.0353086852681</v>
      </c>
      <c r="J138" s="6" t="n">
        <f aca="false">Sens!I138*(1+Sens!J139)</f>
        <v>19.1273539319129</v>
      </c>
      <c r="K138" s="6" t="n">
        <f aca="false">Sens!J138*(1+Sens!K139)</f>
        <v>19.5099010105511</v>
      </c>
    </row>
    <row r="139" customFormat="false" ht="15" hidden="false" customHeight="false" outlineLevel="0" collapsed="false">
      <c r="A139" s="1" t="s">
        <v>866</v>
      </c>
      <c r="B139" s="0" t="s">
        <v>129</v>
      </c>
      <c r="E139" s="7" t="n">
        <f aca="false">Sens!E138/Sens!D138-1</f>
        <v>-0.0709869963760392</v>
      </c>
      <c r="F139" s="7" t="n">
        <f aca="false">Sens!$E$139+(glt_xbox-Sens!$E$139)*MIN(1,(Sens!F82-base_fy)/n_conv)</f>
        <v>-0.0558224969800327</v>
      </c>
      <c r="G139" s="7" t="n">
        <f aca="false">Sens!$E$139+(glt_xbox-Sens!$E$139)*MIN(1,(Sens!G82-base_fy)/n_conv)</f>
        <v>-0.0406579975840262</v>
      </c>
      <c r="H139" s="7" t="n">
        <f aca="false">Sens!$E$139+(glt_xbox-Sens!$E$139)*MIN(1,(Sens!H82-base_fy)/n_conv)</f>
        <v>-0.0254934981880196</v>
      </c>
      <c r="I139" s="7" t="n">
        <f aca="false">Sens!$E$139+(glt_xbox-Sens!$E$139)*MIN(1,(Sens!I82-base_fy)/n_conv)</f>
        <v>-0.0103289987920131</v>
      </c>
      <c r="J139" s="7" t="n">
        <f aca="false">Sens!$E$139+(glt_xbox-Sens!$E$139)*MIN(1,(Sens!J82-base_fy)/n_conv)</f>
        <v>0.00483550060399347</v>
      </c>
      <c r="K139" s="7" t="n">
        <f aca="false">Sens!$E$139+(glt_xbox-Sens!$E$139)*MIN(1,(Sens!K82-base_fy)/n_conv)</f>
        <v>0.02</v>
      </c>
    </row>
    <row r="140" customFormat="false" ht="15" hidden="false" customHeight="false" outlineLevel="0" collapsed="false">
      <c r="A140" s="0" t="s">
        <v>879</v>
      </c>
      <c r="B140" s="0" t="s">
        <v>98</v>
      </c>
      <c r="D140" s="6" t="n">
        <f aca="false">Q!L15</f>
        <v>17.315</v>
      </c>
      <c r="E140" s="6" t="n">
        <f aca="false">Q!M15</f>
        <v>17.087</v>
      </c>
      <c r="F140" s="6" t="n">
        <f aca="false">Sens!E140*(1+Sens!F141)</f>
        <v>16.9564585436519</v>
      </c>
      <c r="G140" s="6" t="n">
        <f aca="false">Sens!F140*(1+Sens!G141)</f>
        <v>16.9206490624268</v>
      </c>
      <c r="H140" s="6" t="n">
        <f aca="false">Sens!G140*(1+Sens!H141)</f>
        <v>16.9784519149849</v>
      </c>
      <c r="I140" s="6" t="n">
        <f aca="false">Sens!H140*(1+Sens!I141)</f>
        <v>17.1303084701817</v>
      </c>
      <c r="J140" s="6" t="n">
        <f aca="false">Sens!I140*(1+Sens!J141)</f>
        <v>17.3782189407267</v>
      </c>
      <c r="K140" s="6" t="n">
        <f aca="false">Sens!J140*(1+Sens!K141)</f>
        <v>17.7257833195413</v>
      </c>
    </row>
    <row r="141" customFormat="false" ht="15" hidden="false" customHeight="false" outlineLevel="0" collapsed="false">
      <c r="A141" s="1" t="s">
        <v>866</v>
      </c>
      <c r="B141" s="0" t="s">
        <v>129</v>
      </c>
      <c r="E141" s="7" t="n">
        <f aca="false">Sens!E140/Sens!D140-1</f>
        <v>-0.0131677736066995</v>
      </c>
      <c r="F141" s="7" t="n">
        <f aca="false">Sens!$E$141+(glt_win-Sens!$E$141)*MIN(1,(Sens!F82-base_fy)/n_conv)</f>
        <v>-0.00763981133891627</v>
      </c>
      <c r="G141" s="7" t="n">
        <f aca="false">Sens!$E$141+(glt_win-Sens!$E$141)*MIN(1,(Sens!G82-base_fy)/n_conv)</f>
        <v>-0.00211184907113301</v>
      </c>
      <c r="H141" s="7" t="n">
        <f aca="false">Sens!$E$141+(glt_win-Sens!$E$141)*MIN(1,(Sens!H82-base_fy)/n_conv)</f>
        <v>0.00341611319665024</v>
      </c>
      <c r="I141" s="7" t="n">
        <f aca="false">Sens!$E$141+(glt_win-Sens!$E$141)*MIN(1,(Sens!I82-base_fy)/n_conv)</f>
        <v>0.00894407546443349</v>
      </c>
      <c r="J141" s="7" t="n">
        <f aca="false">Sens!$E$141+(glt_win-Sens!$E$141)*MIN(1,(Sens!J82-base_fy)/n_conv)</f>
        <v>0.0144720377322168</v>
      </c>
      <c r="K141" s="7" t="n">
        <f aca="false">Sens!$E$141+(glt_win-Sens!$E$141)*MIN(1,(Sens!K82-base_fy)/n_conv)</f>
        <v>0.02</v>
      </c>
    </row>
    <row r="142" customFormat="false" ht="15" hidden="false" customHeight="false" outlineLevel="0" collapsed="false">
      <c r="A142" s="0" t="s">
        <v>718</v>
      </c>
      <c r="B142" s="0" t="s">
        <v>98</v>
      </c>
      <c r="D142" s="6" t="n">
        <f aca="false">Sens!D136+Sens!D138+Sens!D140</f>
        <v>62.941</v>
      </c>
      <c r="E142" s="6" t="n">
        <f aca="false">Sens!E136+Sens!E138+Sens!E140</f>
        <v>63.712</v>
      </c>
      <c r="F142" s="6" t="n">
        <f aca="false">Sens!F136+Sens!F138+Sens!F140</f>
        <v>65.1415764563129</v>
      </c>
      <c r="G142" s="6" t="n">
        <f aca="false">Sens!G136+Sens!G138+Sens!G140</f>
        <v>67.1253610780702</v>
      </c>
      <c r="H142" s="6" t="n">
        <f aca="false">Sens!H136+Sens!H138+Sens!H140</f>
        <v>69.5768050148776</v>
      </c>
      <c r="I142" s="6" t="n">
        <f aca="false">Sens!I136+Sens!I138+Sens!I140</f>
        <v>72.4233188088189</v>
      </c>
      <c r="J142" s="6" t="n">
        <f aca="false">Sens!J136+Sens!J138+Sens!J140</f>
        <v>75.6044096678567</v>
      </c>
      <c r="K142" s="6" t="n">
        <f aca="false">Sens!K136+Sens!K138+Sens!K140</f>
        <v>79.0714397009747</v>
      </c>
    </row>
    <row r="143" customFormat="false" ht="15" hidden="false" customHeight="false" outlineLevel="0" collapsed="false">
      <c r="A143" s="1" t="s">
        <v>880</v>
      </c>
      <c r="B143" s="0" t="s">
        <v>98</v>
      </c>
      <c r="D143" s="6" t="n">
        <f aca="false">Sens!D135+Sens!D142</f>
        <v>281.724</v>
      </c>
      <c r="E143" s="6" t="n">
        <f aca="false">Sens!E135+Sens!E142</f>
        <v>331.839</v>
      </c>
      <c r="F143" s="6" t="n">
        <f aca="false">Sens!F135+Sens!F142</f>
        <v>404.575517363364</v>
      </c>
      <c r="G143" s="6" t="n">
        <f aca="false">Sens!G135+Sens!G142</f>
        <v>491.616031959962</v>
      </c>
      <c r="H143" s="6" t="n">
        <f aca="false">Sens!H135+Sens!H142</f>
        <v>585.223080296262</v>
      </c>
      <c r="I143" s="6" t="n">
        <f aca="false">Sens!I135+Sens!I142</f>
        <v>665.287079253422</v>
      </c>
      <c r="J143" s="6" t="n">
        <f aca="false">Sens!J135+Sens!J142</f>
        <v>729.883197211934</v>
      </c>
      <c r="K143" s="6" t="n">
        <f aca="false">Sens!K135+Sens!K142</f>
        <v>781.356090938368</v>
      </c>
    </row>
    <row r="144" customFormat="false" ht="15" hidden="false" customHeight="false" outlineLevel="0" collapsed="false">
      <c r="A144" s="23" t="s">
        <v>881</v>
      </c>
      <c r="B144" s="30" t="s">
        <v>98</v>
      </c>
      <c r="C144" s="30"/>
      <c r="D144" s="24" t="n">
        <f aca="false">(Sens!D123+Sens!D128+Sens!D129+Sens!D131+Sens!D133-Sens!D135)+(Sens!D136+Sens!D138+Sens!D140-Sens!D142)+(Sens!D135-Q!L5)+(Sens!D142-Q!L12)+(Sens!D123-Q!L6)+(Sens!D128-Q!L7)</f>
        <v>0</v>
      </c>
      <c r="E144" s="24" t="n">
        <f aca="false">(Sens!E123+Sens!E128+Sens!E129+Sens!E131+Sens!E133-Sens!E135)+(Sens!E136+Sens!E138+Sens!E140-Sens!E142)+(Sens!E135-Q!M5)+(Sens!E142-Q!M12)+(Sens!E123-Q!M6)+(Sens!E128-Q!M7)</f>
        <v>0</v>
      </c>
      <c r="F144" s="24" t="n">
        <f aca="false">(Sens!F123+Sens!F128+Sens!F129+Sens!F131+Sens!F133-Sens!F135)+(Sens!F136+Sens!F138+Sens!F140-Sens!F142)</f>
        <v>0</v>
      </c>
      <c r="G144" s="24" t="n">
        <f aca="false">(Sens!G123+Sens!G128+Sens!G129+Sens!G131+Sens!G133-Sens!G135)+(Sens!G136+Sens!G138+Sens!G140-Sens!G142)</f>
        <v>0</v>
      </c>
      <c r="H144" s="24" t="n">
        <f aca="false">(Sens!H123+Sens!H128+Sens!H129+Sens!H131+Sens!H133-Sens!H135)+(Sens!H136+Sens!H138+Sens!H140-Sens!H142)</f>
        <v>0</v>
      </c>
      <c r="I144" s="24" t="n">
        <f aca="false">(Sens!I123+Sens!I128+Sens!I129+Sens!I131+Sens!I133-Sens!I135)+(Sens!I136+Sens!I138+Sens!I140-Sens!I142)</f>
        <v>0</v>
      </c>
      <c r="J144" s="24" t="n">
        <f aca="false">(Sens!J123+Sens!J128+Sens!J129+Sens!J131+Sens!J133-Sens!J135)+(Sens!J136+Sens!J138+Sens!J140-Sens!J142)</f>
        <v>0</v>
      </c>
      <c r="K144" s="24" t="n">
        <f aca="false">(Sens!K123+Sens!K128+Sens!K129+Sens!K131+Sens!K133-Sens!K135)+(Sens!K136+Sens!K138+Sens!K140-Sens!K142)</f>
        <v>0</v>
      </c>
    </row>
    <row r="145" customFormat="false" ht="17.15" hidden="false" customHeight="false" outlineLevel="0" collapsed="false">
      <c r="A145" s="3" t="s">
        <v>1236</v>
      </c>
    </row>
    <row r="146" customFormat="false" ht="15" hidden="false" customHeight="false" outlineLevel="0" collapsed="false">
      <c r="A146" s="4" t="s">
        <v>43</v>
      </c>
      <c r="B146" s="4" t="s">
        <v>65</v>
      </c>
      <c r="C146" s="20" t="s">
        <v>788</v>
      </c>
      <c r="D146" s="20" t="s">
        <v>789</v>
      </c>
      <c r="E146" s="20" t="s">
        <v>790</v>
      </c>
      <c r="F146" s="20" t="s">
        <v>791</v>
      </c>
      <c r="G146" s="20" t="s">
        <v>792</v>
      </c>
      <c r="H146" s="20" t="s">
        <v>793</v>
      </c>
      <c r="I146" s="20" t="s">
        <v>794</v>
      </c>
      <c r="J146" s="20" t="s">
        <v>795</v>
      </c>
      <c r="K146" s="20" t="s">
        <v>796</v>
      </c>
      <c r="L146" s="4" t="s">
        <v>47</v>
      </c>
    </row>
    <row r="147" customFormat="false" ht="15" hidden="false" customHeight="false" outlineLevel="0" collapsed="false">
      <c r="A147" s="0" t="s">
        <v>867</v>
      </c>
      <c r="B147" s="0" t="s">
        <v>98</v>
      </c>
      <c r="D147" s="6" t="n">
        <f aca="false">Sens!D123</f>
        <v>72.61</v>
      </c>
      <c r="E147" s="6" t="n">
        <f aca="false">Sens!E123</f>
        <v>101.938</v>
      </c>
      <c r="F147" s="6" t="n">
        <f aca="false">Sens!F123</f>
        <v>148.812368967868</v>
      </c>
      <c r="G147" s="6" t="n">
        <f aca="false">Sens!G123</f>
        <v>208.397514344463</v>
      </c>
      <c r="H147" s="6" t="n">
        <f aca="false">Sens!H123</f>
        <v>274.05759259987</v>
      </c>
      <c r="I147" s="6" t="n">
        <f aca="false">Sens!I123</f>
        <v>328.302405465117</v>
      </c>
      <c r="J147" s="6" t="n">
        <f aca="false">Sens!J123</f>
        <v>369.587890439908</v>
      </c>
      <c r="K147" s="6" t="n">
        <f aca="false">Sens!K123</f>
        <v>398.390581897217</v>
      </c>
    </row>
    <row r="148" customFormat="false" ht="17.15" hidden="false" customHeight="false" outlineLevel="0" collapsed="false">
      <c r="A148" s="0" t="s">
        <v>864</v>
      </c>
      <c r="B148" s="0" t="s">
        <v>98</v>
      </c>
      <c r="D148" s="6" t="n">
        <f aca="false">Sens!D120</f>
        <v>12.9359794422418</v>
      </c>
      <c r="E148" s="6" t="n">
        <f aca="false">Sens!E120</f>
        <v>27.8095064661409</v>
      </c>
      <c r="F148" s="6" t="n">
        <f aca="false">Sens!F120</f>
        <v>58.7324192305018</v>
      </c>
      <c r="G148" s="6" t="n">
        <f aca="false">Sens!G120</f>
        <v>101.369089141153</v>
      </c>
      <c r="H148" s="6" t="n">
        <f aca="false">Sens!H120</f>
        <v>149.785610014234</v>
      </c>
      <c r="I148" s="6" t="n">
        <f aca="false">Sens!I120</f>
        <v>187.368703083263</v>
      </c>
      <c r="J148" s="6" t="n">
        <f aca="false">Sens!J120</f>
        <v>213.569023125577</v>
      </c>
      <c r="K148" s="6" t="n">
        <f aca="false">Sens!K120</f>
        <v>229.890205197739</v>
      </c>
    </row>
    <row r="149" customFormat="false" ht="17.15" hidden="false" customHeight="false" outlineLevel="0" collapsed="false">
      <c r="A149" s="0" t="s">
        <v>892</v>
      </c>
      <c r="B149" s="0" t="s">
        <v>98</v>
      </c>
      <c r="D149" s="6" t="n">
        <f aca="false">Sens!D121</f>
        <v>59.6740205577583</v>
      </c>
      <c r="E149" s="6" t="n">
        <f aca="false">Sens!E121</f>
        <v>74.1284935338591</v>
      </c>
      <c r="F149" s="6" t="n">
        <f aca="false">Sens!F121</f>
        <v>90.0799497373663</v>
      </c>
      <c r="G149" s="6" t="n">
        <f aca="false">Sens!G121</f>
        <v>107.02842520331</v>
      </c>
      <c r="H149" s="6" t="n">
        <f aca="false">Sens!H121</f>
        <v>124.271982585636</v>
      </c>
      <c r="I149" s="6" t="n">
        <f aca="false">Sens!I121</f>
        <v>140.933702381855</v>
      </c>
      <c r="J149" s="6" t="n">
        <f aca="false">Sens!J121</f>
        <v>156.018867314332</v>
      </c>
      <c r="K149" s="6" t="n">
        <f aca="false">Sens!K121</f>
        <v>168.500376699478</v>
      </c>
    </row>
    <row r="150" customFormat="false" ht="15" hidden="false" customHeight="false" outlineLevel="0" collapsed="false">
      <c r="A150" s="0" t="s">
        <v>873</v>
      </c>
      <c r="B150" s="0" t="s">
        <v>98</v>
      </c>
      <c r="D150" s="6" t="n">
        <f aca="false">Sens!D128</f>
        <v>84.605</v>
      </c>
      <c r="E150" s="6" t="n">
        <f aca="false">Sens!E128</f>
        <v>100.299</v>
      </c>
      <c r="F150" s="6" t="n">
        <f aca="false">Sens!F128</f>
        <v>120.39238776686</v>
      </c>
      <c r="G150" s="6" t="n">
        <f aca="false">Sens!G128</f>
        <v>141.544168448684</v>
      </c>
      <c r="H150" s="6" t="n">
        <f aca="false">Sens!H128</f>
        <v>162.777359388781</v>
      </c>
      <c r="I150" s="6" t="n">
        <f aca="false">Sens!I128</f>
        <v>181.584028071957</v>
      </c>
      <c r="J150" s="6" t="n">
        <f aca="false">Sens!J128</f>
        <v>197.682702785465</v>
      </c>
      <c r="K150" s="6" t="n">
        <f aca="false">Sens!K128</f>
        <v>213.027991980448</v>
      </c>
    </row>
    <row r="151" customFormat="false" ht="17.15" hidden="false" customHeight="false" outlineLevel="0" collapsed="false">
      <c r="A151" s="0" t="s">
        <v>893</v>
      </c>
      <c r="B151" s="0" t="s">
        <v>98</v>
      </c>
      <c r="D151" s="6" t="n">
        <f aca="false">Sens!D126</f>
        <v>83.705</v>
      </c>
      <c r="E151" s="6" t="n">
        <f aca="false">Sens!E126</f>
        <v>95.049</v>
      </c>
      <c r="F151" s="6" t="n">
        <f aca="false">Sens!F126</f>
        <v>106.89238776686</v>
      </c>
      <c r="G151" s="6" t="n">
        <f aca="false">Sens!G126</f>
        <v>119.044168448684</v>
      </c>
      <c r="H151" s="6" t="n">
        <f aca="false">Sens!H126</f>
        <v>131.277359388781</v>
      </c>
      <c r="I151" s="6" t="n">
        <f aca="false">Sens!I126</f>
        <v>143.334028071957</v>
      </c>
      <c r="J151" s="6" t="n">
        <f aca="false">Sens!J126</f>
        <v>154.932702785465</v>
      </c>
      <c r="K151" s="6" t="n">
        <f aca="false">Sens!K126</f>
        <v>165.777991980448</v>
      </c>
    </row>
    <row r="152" customFormat="false" ht="17.15" hidden="false" customHeight="false" outlineLevel="0" collapsed="false">
      <c r="A152" s="0" t="s">
        <v>894</v>
      </c>
      <c r="B152" s="0" t="s">
        <v>98</v>
      </c>
      <c r="D152" s="6" t="n">
        <f aca="false">Sens!D125</f>
        <v>0.9</v>
      </c>
      <c r="E152" s="6" t="n">
        <f aca="false">Sens!E125</f>
        <v>5.25</v>
      </c>
      <c r="F152" s="6" t="n">
        <f aca="false">Sens!F125</f>
        <v>13.5</v>
      </c>
      <c r="G152" s="6" t="n">
        <f aca="false">Sens!G125</f>
        <v>22.5</v>
      </c>
      <c r="H152" s="6" t="n">
        <f aca="false">Sens!H125</f>
        <v>31.5</v>
      </c>
      <c r="I152" s="6" t="n">
        <f aca="false">Sens!I125</f>
        <v>38.25</v>
      </c>
      <c r="J152" s="6" t="n">
        <f aca="false">Sens!J125</f>
        <v>42.75</v>
      </c>
      <c r="K152" s="6" t="n">
        <f aca="false">Sens!K125</f>
        <v>47.25</v>
      </c>
    </row>
    <row r="153" customFormat="false" ht="15" hidden="false" customHeight="false" outlineLevel="0" collapsed="false">
      <c r="A153" s="0" t="s">
        <v>874</v>
      </c>
      <c r="B153" s="0" t="s">
        <v>98</v>
      </c>
      <c r="D153" s="6" t="n">
        <f aca="false">Sens!D129</f>
        <v>35.391</v>
      </c>
      <c r="E153" s="6" t="n">
        <f aca="false">Sens!E129</f>
        <v>37.285</v>
      </c>
      <c r="F153" s="6" t="n">
        <f aca="false">Sens!F129</f>
        <v>39.0720834331704</v>
      </c>
      <c r="G153" s="6" t="n">
        <f aca="false">Sens!G129</f>
        <v>40.726562953769</v>
      </c>
      <c r="H153" s="6" t="n">
        <f aca="false">Sens!H129</f>
        <v>42.2235987259198</v>
      </c>
      <c r="I153" s="6" t="n">
        <f aca="false">Sens!I129</f>
        <v>43.5397988077414</v>
      </c>
      <c r="J153" s="6" t="n">
        <f aca="false">Sens!J129</f>
        <v>44.653811225693</v>
      </c>
      <c r="K153" s="6" t="n">
        <f aca="false">Sens!K129</f>
        <v>45.5468874502068</v>
      </c>
    </row>
    <row r="154" customFormat="false" ht="15" hidden="false" customHeight="false" outlineLevel="0" collapsed="false">
      <c r="A154" s="0" t="s">
        <v>875</v>
      </c>
      <c r="B154" s="0" t="s">
        <v>98</v>
      </c>
      <c r="D154" s="6" t="n">
        <f aca="false">Sens!D131</f>
        <v>18.417</v>
      </c>
      <c r="E154" s="6" t="n">
        <f aca="false">Sens!E131</f>
        <v>20.345</v>
      </c>
      <c r="F154" s="6" t="n">
        <f aca="false">Sens!F131</f>
        <v>22.3572203267814</v>
      </c>
      <c r="G154" s="6" t="n">
        <f aca="false">Sens!G131</f>
        <v>24.4392124437232</v>
      </c>
      <c r="H154" s="6" t="n">
        <f aca="false">Sens!H131</f>
        <v>26.5738052080665</v>
      </c>
      <c r="I154" s="6" t="n">
        <f aca="false">Sens!I131</f>
        <v>28.7412169166967</v>
      </c>
      <c r="J154" s="6" t="n">
        <f aca="false">Sens!J131</f>
        <v>30.9192545395413</v>
      </c>
      <c r="K154" s="6" t="n">
        <f aca="false">Sens!K131</f>
        <v>33.0836023573092</v>
      </c>
    </row>
    <row r="155" customFormat="false" ht="15" hidden="false" customHeight="false" outlineLevel="0" collapsed="false">
      <c r="A155" s="0" t="s">
        <v>876</v>
      </c>
      <c r="B155" s="0" t="s">
        <v>98</v>
      </c>
      <c r="D155" s="6" t="n">
        <f aca="false">Sens!D133</f>
        <v>7.76</v>
      </c>
      <c r="E155" s="6" t="n">
        <f aca="false">Sens!E133</f>
        <v>8.26</v>
      </c>
      <c r="F155" s="6" t="n">
        <f aca="false">Sens!F133</f>
        <v>8.79988041237113</v>
      </c>
      <c r="G155" s="6" t="n">
        <f aca="false">Sens!G133</f>
        <v>9.38321269125306</v>
      </c>
      <c r="H155" s="6" t="n">
        <f aca="false">Sens!H133</f>
        <v>10.0139193587476</v>
      </c>
      <c r="I155" s="6" t="n">
        <f aca="false">Sens!I133</f>
        <v>10.6963111830911</v>
      </c>
      <c r="J155" s="6" t="n">
        <f aca="false">Sens!J133</f>
        <v>11.4351285534696</v>
      </c>
      <c r="K155" s="6" t="n">
        <f aca="false">Sens!K133</f>
        <v>12.2355875522124</v>
      </c>
    </row>
    <row r="156" customFormat="false" ht="15" hidden="false" customHeight="false" outlineLevel="0" collapsed="false">
      <c r="A156" s="0" t="s">
        <v>704</v>
      </c>
      <c r="B156" s="0" t="s">
        <v>98</v>
      </c>
      <c r="D156" s="6" t="n">
        <f aca="false">Sens!D135</f>
        <v>218.783</v>
      </c>
      <c r="E156" s="6" t="n">
        <f aca="false">Sens!E135</f>
        <v>268.127</v>
      </c>
      <c r="F156" s="6" t="n">
        <f aca="false">Sens!F135</f>
        <v>339.433940907051</v>
      </c>
      <c r="G156" s="6" t="n">
        <f aca="false">Sens!G135</f>
        <v>424.490670881892</v>
      </c>
      <c r="H156" s="6" t="n">
        <f aca="false">Sens!H135</f>
        <v>515.646275281385</v>
      </c>
      <c r="I156" s="6" t="n">
        <f aca="false">Sens!I135</f>
        <v>592.863760444604</v>
      </c>
      <c r="J156" s="6" t="n">
        <f aca="false">Sens!J135</f>
        <v>654.278787544077</v>
      </c>
      <c r="K156" s="6" t="n">
        <f aca="false">Sens!K135</f>
        <v>702.284651237393</v>
      </c>
    </row>
    <row r="157" customFormat="false" ht="15" hidden="false" customHeight="false" outlineLevel="0" collapsed="false">
      <c r="A157" s="0" t="s">
        <v>877</v>
      </c>
      <c r="B157" s="0" t="s">
        <v>98</v>
      </c>
      <c r="D157" s="6" t="n">
        <f aca="false">Sens!D136</f>
        <v>22.171</v>
      </c>
      <c r="E157" s="6" t="n">
        <f aca="false">Sens!E136</f>
        <v>24.835</v>
      </c>
      <c r="F157" s="6" t="n">
        <f aca="false">Sens!F136</f>
        <v>27.6114901218559</v>
      </c>
      <c r="G157" s="6" t="n">
        <f aca="false">Sens!G136</f>
        <v>30.4675667338515</v>
      </c>
      <c r="H157" s="6" t="n">
        <f aca="false">Sens!H136</f>
        <v>33.3643766955789</v>
      </c>
      <c r="I157" s="6" t="n">
        <f aca="false">Sens!I136</f>
        <v>36.2577016533691</v>
      </c>
      <c r="J157" s="6" t="n">
        <f aca="false">Sens!J136</f>
        <v>39.0988367952171</v>
      </c>
      <c r="K157" s="6" t="n">
        <f aca="false">Sens!K136</f>
        <v>41.8357553708823</v>
      </c>
    </row>
    <row r="158" customFormat="false" ht="15" hidden="false" customHeight="false" outlineLevel="0" collapsed="false">
      <c r="A158" s="0" t="s">
        <v>878</v>
      </c>
      <c r="B158" s="0" t="s">
        <v>98</v>
      </c>
      <c r="D158" s="6" t="n">
        <f aca="false">Sens!D138</f>
        <v>23.455</v>
      </c>
      <c r="E158" s="6" t="n">
        <f aca="false">Sens!E138</f>
        <v>21.79</v>
      </c>
      <c r="F158" s="6" t="n">
        <f aca="false">Sens!F138</f>
        <v>20.5736277908051</v>
      </c>
      <c r="G158" s="6" t="n">
        <f aca="false">Sens!G138</f>
        <v>19.7371452817919</v>
      </c>
      <c r="H158" s="6" t="n">
        <f aca="false">Sens!H138</f>
        <v>19.2339764043138</v>
      </c>
      <c r="I158" s="6" t="n">
        <f aca="false">Sens!I138</f>
        <v>19.0353086852681</v>
      </c>
      <c r="J158" s="6" t="n">
        <f aca="false">Sens!J138</f>
        <v>19.1273539319129</v>
      </c>
      <c r="K158" s="6" t="n">
        <f aca="false">Sens!K138</f>
        <v>19.5099010105511</v>
      </c>
    </row>
    <row r="159" customFormat="false" ht="15" hidden="false" customHeight="false" outlineLevel="0" collapsed="false">
      <c r="A159" s="0" t="s">
        <v>879</v>
      </c>
      <c r="B159" s="0" t="s">
        <v>98</v>
      </c>
      <c r="D159" s="6" t="n">
        <f aca="false">Sens!D140</f>
        <v>17.315</v>
      </c>
      <c r="E159" s="6" t="n">
        <f aca="false">Sens!E140</f>
        <v>17.087</v>
      </c>
      <c r="F159" s="6" t="n">
        <f aca="false">Sens!F140</f>
        <v>16.9564585436519</v>
      </c>
      <c r="G159" s="6" t="n">
        <f aca="false">Sens!G140</f>
        <v>16.9206490624268</v>
      </c>
      <c r="H159" s="6" t="n">
        <f aca="false">Sens!H140</f>
        <v>16.9784519149849</v>
      </c>
      <c r="I159" s="6" t="n">
        <f aca="false">Sens!I140</f>
        <v>17.1303084701817</v>
      </c>
      <c r="J159" s="6" t="n">
        <f aca="false">Sens!J140</f>
        <v>17.3782189407267</v>
      </c>
      <c r="K159" s="6" t="n">
        <f aca="false">Sens!K140</f>
        <v>17.7257833195413</v>
      </c>
    </row>
    <row r="160" customFormat="false" ht="15" hidden="false" customHeight="false" outlineLevel="0" collapsed="false">
      <c r="A160" s="0" t="s">
        <v>718</v>
      </c>
      <c r="B160" s="0" t="s">
        <v>98</v>
      </c>
      <c r="D160" s="6" t="n">
        <f aca="false">Sens!D142</f>
        <v>62.941</v>
      </c>
      <c r="E160" s="6" t="n">
        <f aca="false">Sens!E142</f>
        <v>63.712</v>
      </c>
      <c r="F160" s="6" t="n">
        <f aca="false">Sens!F142</f>
        <v>65.1415764563129</v>
      </c>
      <c r="G160" s="6" t="n">
        <f aca="false">Sens!G142</f>
        <v>67.1253610780702</v>
      </c>
      <c r="H160" s="6" t="n">
        <f aca="false">Sens!H142</f>
        <v>69.5768050148776</v>
      </c>
      <c r="I160" s="6" t="n">
        <f aca="false">Sens!I142</f>
        <v>72.4233188088189</v>
      </c>
      <c r="J160" s="6" t="n">
        <f aca="false">Sens!J142</f>
        <v>75.6044096678567</v>
      </c>
      <c r="K160" s="6" t="n">
        <f aca="false">Sens!K142</f>
        <v>79.0714397009747</v>
      </c>
    </row>
    <row r="161" customFormat="false" ht="15" hidden="false" customHeight="false" outlineLevel="0" collapsed="false">
      <c r="A161" s="1" t="s">
        <v>895</v>
      </c>
      <c r="B161" s="0" t="s">
        <v>98</v>
      </c>
      <c r="D161" s="6" t="n">
        <f aca="false">Sens!D143</f>
        <v>281.724</v>
      </c>
      <c r="E161" s="6" t="n">
        <f aca="false">Sens!E143</f>
        <v>331.839</v>
      </c>
      <c r="F161" s="6" t="n">
        <f aca="false">Sens!F143</f>
        <v>404.575517363364</v>
      </c>
      <c r="G161" s="6" t="n">
        <f aca="false">Sens!G143</f>
        <v>491.616031959962</v>
      </c>
      <c r="H161" s="6" t="n">
        <f aca="false">Sens!H143</f>
        <v>585.223080296262</v>
      </c>
      <c r="I161" s="6" t="n">
        <f aca="false">Sens!I143</f>
        <v>665.287079253422</v>
      </c>
      <c r="J161" s="6" t="n">
        <f aca="false">Sens!J143</f>
        <v>729.883197211934</v>
      </c>
      <c r="K161" s="6" t="n">
        <f aca="false">Sens!K143</f>
        <v>781.356090938368</v>
      </c>
    </row>
    <row r="162" customFormat="false" ht="15" hidden="false" customHeight="false" outlineLevel="0" collapsed="false">
      <c r="A162" s="1" t="s">
        <v>896</v>
      </c>
      <c r="B162" s="0" t="s">
        <v>129</v>
      </c>
      <c r="E162" s="7" t="n">
        <f aca="false">Sens!E161/Sens!D161-1</f>
        <v>0.177886867998467</v>
      </c>
      <c r="F162" s="7" t="n">
        <f aca="false">Sens!F161/Sens!E161-1</f>
        <v>0.219192190680914</v>
      </c>
      <c r="G162" s="7" t="n">
        <f aca="false">Sens!G161/Sens!F161-1</f>
        <v>0.215140340581766</v>
      </c>
      <c r="H162" s="7" t="n">
        <f aca="false">Sens!H161/Sens!G161-1</f>
        <v>0.19040682616291</v>
      </c>
      <c r="I162" s="7" t="n">
        <f aca="false">Sens!I161/Sens!H161-1</f>
        <v>0.13680936663781</v>
      </c>
      <c r="J162" s="7" t="n">
        <f aca="false">Sens!J161/Sens!I161-1</f>
        <v>0.097095103712221</v>
      </c>
      <c r="K162" s="7" t="n">
        <f aca="false">Sens!K161/Sens!J161-1</f>
        <v>0.0705220971287655</v>
      </c>
    </row>
    <row r="163" customFormat="false" ht="17.15" hidden="false" customHeight="false" outlineLevel="0" collapsed="false">
      <c r="A163" s="23" t="s">
        <v>897</v>
      </c>
      <c r="B163" s="30" t="s">
        <v>98</v>
      </c>
      <c r="C163" s="30"/>
      <c r="D163" s="24" t="n">
        <f aca="false">(Sens!D156+Sens!D160-Sens!D161)+(Sens!D148+Sens!D149-Sens!D147)+(Sens!D151+Sens!D152-Sens!D150)+(Sens!D161-Q!L18)</f>
        <v>0</v>
      </c>
      <c r="E163" s="24" t="n">
        <f aca="false">(Sens!E156+Sens!E160-Sens!E161)+(Sens!E148+Sens!E149-Sens!E147)+(Sens!E151+Sens!E152-Sens!E150)+(Sens!E161-Q!M18)</f>
        <v>0</v>
      </c>
      <c r="F163" s="24" t="n">
        <f aca="false">(Sens!F156+Sens!F160-Sens!F161)+(Sens!F148+Sens!F149-Sens!F147)+(Sens!F151+Sens!F152-Sens!F150)</f>
        <v>0</v>
      </c>
      <c r="G163" s="24" t="n">
        <f aca="false">(Sens!G156+Sens!G160-Sens!G161)+(Sens!G148+Sens!G149-Sens!G147)+(Sens!G151+Sens!G152-Sens!G150)</f>
        <v>0</v>
      </c>
      <c r="H163" s="24" t="n">
        <f aca="false">(Sens!H156+Sens!H160-Sens!H161)+(Sens!H148+Sens!H149-Sens!H147)+(Sens!H151+Sens!H152-Sens!H150)</f>
        <v>0</v>
      </c>
      <c r="I163" s="24" t="n">
        <f aca="false">(Sens!I156+Sens!I160-Sens!I161)+(Sens!I148+Sens!I149-Sens!I147)+(Sens!I151+Sens!I152-Sens!I150)</f>
        <v>0</v>
      </c>
      <c r="J163" s="24" t="n">
        <f aca="false">(Sens!J156+Sens!J160-Sens!J161)+(Sens!J148+Sens!J149-Sens!J147)+(Sens!J151+Sens!J152-Sens!J150)</f>
        <v>0</v>
      </c>
      <c r="K163" s="24" t="n">
        <f aca="false">(Sens!K156+Sens!K160-Sens!K161)+(Sens!K148+Sens!K149-Sens!K147)+(Sens!K151+Sens!K152-Sens!K150)</f>
        <v>0</v>
      </c>
    </row>
    <row r="164" customFormat="false" ht="17.15" hidden="false" customHeight="false" outlineLevel="0" collapsed="false">
      <c r="A164" s="0" t="s">
        <v>898</v>
      </c>
      <c r="B164" s="0" t="s">
        <v>129</v>
      </c>
      <c r="E164" s="7" t="n">
        <f aca="false">(Q!M21+Sens!E101+Sens!E102+Sens!E103+Sens!E116-Sens!E99)/(Q!M5-Sens!E99)</f>
        <v>0.570957350878296</v>
      </c>
      <c r="F164" s="7" t="n">
        <f aca="false">Sens!$E$164+dm_seg</f>
        <v>0.570957350878296</v>
      </c>
      <c r="G164" s="7" t="n">
        <f aca="false">Sens!$E$164+dm_seg</f>
        <v>0.570957350878296</v>
      </c>
      <c r="H164" s="7" t="n">
        <f aca="false">Sens!$E$164+dm_seg</f>
        <v>0.570957350878296</v>
      </c>
      <c r="I164" s="7" t="n">
        <f aca="false">Sens!$E$164+dm_seg</f>
        <v>0.570957350878296</v>
      </c>
      <c r="J164" s="7" t="n">
        <f aca="false">Sens!$E$164+dm_seg</f>
        <v>0.570957350878296</v>
      </c>
      <c r="K164" s="7" t="n">
        <f aca="false">Sens!$E$164+dm_seg</f>
        <v>0.570957350878296</v>
      </c>
      <c r="L164" s="11" t="s">
        <v>899</v>
      </c>
    </row>
    <row r="165" customFormat="false" ht="17.15" hidden="false" customHeight="false" outlineLevel="0" collapsed="false">
      <c r="A165" s="0" t="s">
        <v>732</v>
      </c>
      <c r="B165" s="0" t="s">
        <v>98</v>
      </c>
      <c r="D165" s="6" t="n">
        <f aca="false">Q!L21</f>
        <v>110.814</v>
      </c>
      <c r="E165" s="6" t="n">
        <f aca="false">Q!M21</f>
        <v>136.365</v>
      </c>
      <c r="F165" s="6" t="n">
        <f aca="false">Sens!F164*(Sens!F135-Sens!F99)+Sens!F99-(Sens!F101+Sens!F102+Sens!F103)-Sens!F116</f>
        <v>162.135484602307</v>
      </c>
      <c r="G165" s="6" t="n">
        <f aca="false">Sens!G164*(Sens!G135-Sens!G99)+Sens!G99-(Sens!G101+Sens!G102+Sens!G103)-Sens!G116</f>
        <v>191.693580267698</v>
      </c>
      <c r="H165" s="6" t="n">
        <f aca="false">Sens!H164*(Sens!H135-Sens!H99)+Sens!H99-(Sens!H101+Sens!H102+Sens!H103)-Sens!H116</f>
        <v>226.079713997573</v>
      </c>
      <c r="I165" s="6" t="n">
        <f aca="false">Sens!I164*(Sens!I135-Sens!I99)+Sens!I99-(Sens!I101+Sens!I102+Sens!I103)-Sens!I116</f>
        <v>252.347824766821</v>
      </c>
      <c r="J165" s="6" t="n">
        <f aca="false">Sens!J164*(Sens!J135-Sens!J99)+Sens!J99-(Sens!J101+Sens!J102+Sens!J103)-Sens!J116</f>
        <v>274.921303123959</v>
      </c>
      <c r="K165" s="6" t="n">
        <f aca="false">Sens!K164*(Sens!K135-Sens!K99)+Sens!K99-(Sens!K101+Sens!K102+Sens!K103)-Sens!K116</f>
        <v>295.361426282004</v>
      </c>
      <c r="L165" s="1" t="s">
        <v>900</v>
      </c>
    </row>
    <row r="166" customFormat="false" ht="17.15" hidden="false" customHeight="false" outlineLevel="0" collapsed="false">
      <c r="A166" s="0" t="s">
        <v>901</v>
      </c>
      <c r="B166" s="0" t="s">
        <v>129</v>
      </c>
      <c r="E166" s="7" t="n">
        <f aca="false">Q!M22/Q!M12</f>
        <v>0.296207935710698</v>
      </c>
      <c r="F166" s="7" t="n">
        <f aca="false">Sens!$E$166+dm_seg</f>
        <v>0.296207935710698</v>
      </c>
      <c r="G166" s="7" t="n">
        <f aca="false">Sens!$E$166+dm_seg</f>
        <v>0.296207935710698</v>
      </c>
      <c r="H166" s="7" t="n">
        <f aca="false">Sens!$E$166+dm_seg</f>
        <v>0.296207935710698</v>
      </c>
      <c r="I166" s="7" t="n">
        <f aca="false">Sens!$E$166+dm_seg</f>
        <v>0.296207935710698</v>
      </c>
      <c r="J166" s="7" t="n">
        <f aca="false">Sens!$E$166+dm_seg</f>
        <v>0.296207935710698</v>
      </c>
      <c r="K166" s="7" t="n">
        <f aca="false">Sens!$E$166+dm_seg</f>
        <v>0.296207935710698</v>
      </c>
      <c r="L166" s="11" t="s">
        <v>902</v>
      </c>
    </row>
    <row r="167" customFormat="false" ht="17.15" hidden="false" customHeight="false" outlineLevel="0" collapsed="false">
      <c r="A167" s="0" t="s">
        <v>734</v>
      </c>
      <c r="B167" s="0" t="s">
        <v>98</v>
      </c>
      <c r="D167" s="6" t="n">
        <f aca="false">Q!L22</f>
        <v>17.714</v>
      </c>
      <c r="E167" s="6" t="n">
        <f aca="false">Q!M22</f>
        <v>18.872</v>
      </c>
      <c r="F167" s="6" t="n">
        <f aca="false">Sens!F142*Sens!F166</f>
        <v>19.2954518910651</v>
      </c>
      <c r="G167" s="6" t="n">
        <f aca="false">Sens!G142*Sens!G166</f>
        <v>19.8830646387704</v>
      </c>
      <c r="H167" s="6" t="n">
        <f aca="false">Sens!H142*Sens!H166</f>
        <v>20.6092017868026</v>
      </c>
      <c r="I167" s="6" t="n">
        <f aca="false">Sens!I142*Sens!I166</f>
        <v>21.452361761678</v>
      </c>
      <c r="J167" s="6" t="n">
        <f aca="false">Sens!J142*Sens!J166</f>
        <v>22.3946261183418</v>
      </c>
      <c r="K167" s="6" t="n">
        <f aca="false">Sens!K142*Sens!K166</f>
        <v>23.4215879274986</v>
      </c>
    </row>
    <row r="168" customFormat="false" ht="15" hidden="false" customHeight="false" outlineLevel="0" collapsed="false">
      <c r="A168" s="1" t="s">
        <v>903</v>
      </c>
      <c r="B168" s="0" t="s">
        <v>98</v>
      </c>
      <c r="D168" s="6" t="n">
        <f aca="false">Sens!D165+Sens!D167</f>
        <v>128.528</v>
      </c>
      <c r="E168" s="6" t="n">
        <f aca="false">Sens!E165+Sens!E167</f>
        <v>155.237</v>
      </c>
      <c r="F168" s="6" t="n">
        <f aca="false">Sens!F165+Sens!F167</f>
        <v>181.430936493372</v>
      </c>
      <c r="G168" s="6" t="n">
        <f aca="false">Sens!G165+Sens!G167</f>
        <v>211.576644906468</v>
      </c>
      <c r="H168" s="6" t="n">
        <f aca="false">Sens!H165+Sens!H167</f>
        <v>246.688915784375</v>
      </c>
      <c r="I168" s="6" t="n">
        <f aca="false">Sens!I165+Sens!I167</f>
        <v>273.800186528499</v>
      </c>
      <c r="J168" s="6" t="n">
        <f aca="false">Sens!J165+Sens!J167</f>
        <v>297.315929242301</v>
      </c>
      <c r="K168" s="6" t="n">
        <f aca="false">Sens!K165+Sens!K167</f>
        <v>318.783014209502</v>
      </c>
    </row>
    <row r="169" customFormat="false" ht="15" hidden="false" customHeight="false" outlineLevel="0" collapsed="false">
      <c r="A169" s="23" t="s">
        <v>904</v>
      </c>
      <c r="B169" s="30" t="s">
        <v>98</v>
      </c>
      <c r="C169" s="30"/>
      <c r="D169" s="24" t="n">
        <f aca="false">Sens!D168-Q!L23</f>
        <v>0</v>
      </c>
      <c r="E169" s="24" t="n">
        <f aca="false">Sens!E168-Q!M23</f>
        <v>0</v>
      </c>
      <c r="F169" s="30"/>
      <c r="G169" s="30"/>
      <c r="H169" s="30"/>
      <c r="I169" s="30"/>
      <c r="J169" s="30"/>
      <c r="K169" s="30"/>
    </row>
    <row r="170" customFormat="false" ht="15" hidden="false" customHeight="false" outlineLevel="0" collapsed="false">
      <c r="A170" s="1" t="s">
        <v>905</v>
      </c>
      <c r="B170" s="0" t="s">
        <v>129</v>
      </c>
      <c r="D170" s="7" t="n">
        <f aca="false">Sens!D168/Sens!D161</f>
        <v>0.456219562408598</v>
      </c>
      <c r="E170" s="7" t="n">
        <f aca="false">Sens!E168/Sens!E161</f>
        <v>0.467808184089272</v>
      </c>
      <c r="F170" s="7" t="n">
        <f aca="false">Sens!F168/Sens!F161</f>
        <v>0.448447641309996</v>
      </c>
      <c r="G170" s="7" t="n">
        <f aca="false">Sens!G168/Sens!G161</f>
        <v>0.430369701457782</v>
      </c>
      <c r="H170" s="7" t="n">
        <f aca="false">Sens!H168/Sens!H161</f>
        <v>0.421529710789076</v>
      </c>
      <c r="I170" s="7" t="n">
        <f aca="false">Sens!I168/Sens!I161</f>
        <v>0.411551937602267</v>
      </c>
      <c r="J170" s="7" t="n">
        <f aca="false">Sens!J168/Sens!J161</f>
        <v>0.407347271971751</v>
      </c>
      <c r="K170" s="7" t="n">
        <f aca="false">Sens!K168/Sens!K161</f>
        <v>0.407986855041548</v>
      </c>
    </row>
    <row r="171" customFormat="false" ht="17.15" hidden="false" customHeight="false" outlineLevel="0" collapsed="false">
      <c r="A171" s="1" t="s">
        <v>906</v>
      </c>
      <c r="B171" s="0" t="s">
        <v>98</v>
      </c>
      <c r="F171" s="6" t="n">
        <f aca="false">Sens!F186</f>
        <v>0</v>
      </c>
      <c r="G171" s="6" t="n">
        <f aca="false">Sens!G186</f>
        <v>0</v>
      </c>
      <c r="H171" s="6" t="n">
        <f aca="false">Sens!H186</f>
        <v>0</v>
      </c>
      <c r="I171" s="6" t="n">
        <f aca="false">Sens!I186</f>
        <v>0</v>
      </c>
      <c r="J171" s="6" t="n">
        <f aca="false">Sens!J186</f>
        <v>0</v>
      </c>
      <c r="K171" s="6" t="n">
        <f aca="false">Sens!K186</f>
        <v>0</v>
      </c>
      <c r="L171" s="1" t="s">
        <v>907</v>
      </c>
    </row>
    <row r="172" customFormat="false" ht="17.15" hidden="false" customHeight="false" outlineLevel="0" collapsed="false">
      <c r="A172" s="1" t="s">
        <v>908</v>
      </c>
      <c r="B172" s="0" t="s">
        <v>98</v>
      </c>
      <c r="D172" s="6" t="n">
        <f aca="false">Sens!D168</f>
        <v>128.528</v>
      </c>
      <c r="E172" s="6" t="n">
        <f aca="false">Sens!E168</f>
        <v>155.237</v>
      </c>
      <c r="F172" s="6" t="n">
        <f aca="false">Sens!F168+Sens!F171</f>
        <v>181.430936493372</v>
      </c>
      <c r="G172" s="6" t="n">
        <f aca="false">Sens!G168+Sens!G171</f>
        <v>211.576644906468</v>
      </c>
      <c r="H172" s="6" t="n">
        <f aca="false">Sens!H168+Sens!H171</f>
        <v>246.688915784375</v>
      </c>
      <c r="I172" s="6" t="n">
        <f aca="false">Sens!I168+Sens!I171</f>
        <v>273.800186528499</v>
      </c>
      <c r="J172" s="6" t="n">
        <f aca="false">Sens!J168+Sens!J171</f>
        <v>297.315929242301</v>
      </c>
      <c r="K172" s="6" t="n">
        <f aca="false">Sens!K168+Sens!K171</f>
        <v>318.783014209502</v>
      </c>
    </row>
    <row r="173" customFormat="false" ht="17.15" hidden="false" customHeight="false" outlineLevel="0" collapsed="false">
      <c r="A173" s="1" t="s">
        <v>909</v>
      </c>
      <c r="B173" s="0" t="s">
        <v>98</v>
      </c>
      <c r="E173" s="6" t="n">
        <f aca="false">Sens!E116</f>
        <v>16.3054059770833</v>
      </c>
      <c r="F173" s="6" t="n">
        <f aca="false">Sens!F116</f>
        <v>34.7280354558698</v>
      </c>
      <c r="G173" s="6" t="n">
        <f aca="false">Sens!G116</f>
        <v>60.4817332603396</v>
      </c>
      <c r="H173" s="6" t="n">
        <f aca="false">Sens!H116</f>
        <v>87.7173159931396</v>
      </c>
      <c r="I173" s="6" t="n">
        <f aca="false">Sens!I116</f>
        <v>111.962039982221</v>
      </c>
      <c r="J173" s="6" t="n">
        <f aca="false">Sens!J116</f>
        <v>129.158710922666</v>
      </c>
      <c r="K173" s="6" t="n">
        <f aca="false">Sens!K116</f>
        <v>139.622646804474</v>
      </c>
    </row>
    <row r="174" customFormat="false" ht="17.15" hidden="false" customHeight="false" outlineLevel="0" collapsed="false">
      <c r="A174" s="1" t="s">
        <v>910</v>
      </c>
      <c r="B174" s="0" t="s">
        <v>98</v>
      </c>
      <c r="E174" s="6" t="n">
        <f aca="false">Sens!E198</f>
        <v>22.2285940229167</v>
      </c>
      <c r="F174" s="6" t="n">
        <f aca="false">Sens!F198</f>
        <v>23.5786693435813</v>
      </c>
      <c r="G174" s="6" t="n">
        <f aca="false">Sens!G198</f>
        <v>25.3810917662621</v>
      </c>
      <c r="H174" s="6" t="n">
        <f aca="false">Sens!H198</f>
        <v>27.5991339540448</v>
      </c>
      <c r="I174" s="6" t="n">
        <f aca="false">Sens!I198</f>
        <v>30.1565605898047</v>
      </c>
      <c r="J174" s="6" t="n">
        <f aca="false">Sens!J198</f>
        <v>32.9614958558616</v>
      </c>
      <c r="K174" s="6" t="n">
        <f aca="false">Sens!K198</f>
        <v>35.9297165444749</v>
      </c>
    </row>
    <row r="175" customFormat="false" ht="17.15" hidden="false" customHeight="false" outlineLevel="0" collapsed="false">
      <c r="A175" s="1" t="s">
        <v>911</v>
      </c>
      <c r="B175" s="0" t="s">
        <v>98</v>
      </c>
      <c r="D175" s="6" t="n">
        <f aca="false">Q!L27</f>
        <v>-4.901</v>
      </c>
      <c r="E175" s="6" t="n">
        <f aca="false">Q!M27</f>
        <v>10.697</v>
      </c>
      <c r="F175" s="6" t="n">
        <f aca="false">oie_f</f>
        <v>-0.4</v>
      </c>
      <c r="G175" s="6" t="n">
        <f aca="false">oie_f</f>
        <v>-0.4</v>
      </c>
      <c r="H175" s="6" t="n">
        <f aca="false">oie_f</f>
        <v>-0.4</v>
      </c>
      <c r="I175" s="6" t="n">
        <f aca="false">oie_f</f>
        <v>-0.4</v>
      </c>
      <c r="J175" s="6" t="n">
        <f aca="false">oie_f</f>
        <v>-0.4</v>
      </c>
      <c r="K175" s="6" t="n">
        <f aca="false">oie_f</f>
        <v>-0.4</v>
      </c>
      <c r="L175" s="11" t="s">
        <v>912</v>
      </c>
    </row>
    <row r="176" customFormat="false" ht="15" hidden="false" customHeight="false" outlineLevel="0" collapsed="false">
      <c r="A176" s="1" t="s">
        <v>913</v>
      </c>
      <c r="B176" s="0" t="s">
        <v>98</v>
      </c>
      <c r="D176" s="6" t="n">
        <f aca="false">Sens!D168+Sens!D175</f>
        <v>123.627</v>
      </c>
      <c r="E176" s="6" t="n">
        <f aca="false">Sens!E168+Sens!E175</f>
        <v>165.934</v>
      </c>
      <c r="F176" s="6" t="n">
        <f aca="false">Sens!F168+Sens!F175</f>
        <v>181.030936493372</v>
      </c>
      <c r="G176" s="6" t="n">
        <f aca="false">Sens!G168+Sens!G175</f>
        <v>211.176644906468</v>
      </c>
      <c r="H176" s="6" t="n">
        <f aca="false">Sens!H168+Sens!H175</f>
        <v>246.288915784375</v>
      </c>
      <c r="I176" s="6" t="n">
        <f aca="false">Sens!I168+Sens!I175</f>
        <v>273.400186528499</v>
      </c>
      <c r="J176" s="6" t="n">
        <f aca="false">Sens!J168+Sens!J175</f>
        <v>296.915929242301</v>
      </c>
      <c r="K176" s="6" t="n">
        <f aca="false">Sens!K168+Sens!K175</f>
        <v>318.383014209502</v>
      </c>
    </row>
    <row r="177" customFormat="false" ht="15" hidden="false" customHeight="false" outlineLevel="0" collapsed="false">
      <c r="A177" s="1" t="s">
        <v>914</v>
      </c>
      <c r="B177" s="0" t="s">
        <v>98</v>
      </c>
      <c r="D177" s="6" t="n">
        <f aca="false">Q!L29</f>
        <v>21.795</v>
      </c>
      <c r="E177" s="6" t="n">
        <f aca="false">Q!M29</f>
        <v>32.185</v>
      </c>
      <c r="F177" s="6" t="n">
        <f aca="false">Sens!F176*tax_f</f>
        <v>36.2061872986743</v>
      </c>
      <c r="G177" s="6" t="n">
        <f aca="false">Sens!G176*tax_f</f>
        <v>42.2353289812936</v>
      </c>
      <c r="H177" s="6" t="n">
        <f aca="false">Sens!H176*tax_f</f>
        <v>49.2577831568751</v>
      </c>
      <c r="I177" s="6" t="n">
        <f aca="false">Sens!I176*tax_f</f>
        <v>54.6800373056998</v>
      </c>
      <c r="J177" s="6" t="n">
        <f aca="false">Sens!J176*tax_f</f>
        <v>59.3831858484602</v>
      </c>
      <c r="K177" s="6" t="n">
        <f aca="false">Sens!K176*tax_f</f>
        <v>63.6766028419005</v>
      </c>
    </row>
    <row r="178" customFormat="false" ht="15" hidden="false" customHeight="false" outlineLevel="0" collapsed="false">
      <c r="A178" s="1" t="s">
        <v>915</v>
      </c>
      <c r="B178" s="0" t="s">
        <v>98</v>
      </c>
      <c r="D178" s="6" t="n">
        <f aca="false">Sens!D176-Sens!D177</f>
        <v>101.832</v>
      </c>
      <c r="E178" s="6" t="n">
        <f aca="false">Sens!E176-Sens!E177</f>
        <v>133.749</v>
      </c>
      <c r="F178" s="6" t="n">
        <f aca="false">Sens!F176-Sens!F177</f>
        <v>144.824749194697</v>
      </c>
      <c r="G178" s="6" t="n">
        <f aca="false">Sens!G176-Sens!G177</f>
        <v>168.941315925174</v>
      </c>
      <c r="H178" s="6" t="n">
        <f aca="false">Sens!H176-Sens!H177</f>
        <v>197.0311326275</v>
      </c>
      <c r="I178" s="6" t="n">
        <f aca="false">Sens!I176-Sens!I177</f>
        <v>218.720149222799</v>
      </c>
      <c r="J178" s="6" t="n">
        <f aca="false">Sens!J176-Sens!J177</f>
        <v>237.532743393841</v>
      </c>
      <c r="K178" s="6" t="n">
        <f aca="false">Sens!K176-Sens!K177</f>
        <v>254.706411367602</v>
      </c>
    </row>
    <row r="179" customFormat="false" ht="17.15" hidden="false" customHeight="false" outlineLevel="0" collapsed="false">
      <c r="A179" s="1" t="s">
        <v>916</v>
      </c>
      <c r="B179" s="1" t="s">
        <v>81</v>
      </c>
      <c r="D179" s="14" t="n">
        <f aca="false">Q!L31</f>
        <v>7.465</v>
      </c>
      <c r="E179" s="14" t="n">
        <f aca="false">Q!M31</f>
        <v>7.453</v>
      </c>
      <c r="F179" s="14" t="n">
        <f aca="false">Sens!F220</f>
        <v>7.4735</v>
      </c>
      <c r="G179" s="14" t="n">
        <f aca="false">Sens!G220</f>
        <v>7.50808342626474</v>
      </c>
      <c r="H179" s="14" t="n">
        <f aca="false">Sens!H220</f>
        <v>7.52541843837942</v>
      </c>
      <c r="I179" s="14" t="n">
        <f aca="false">Sens!I220</f>
        <v>7.53719927038673</v>
      </c>
      <c r="J179" s="14" t="n">
        <f aca="false">Sens!J220</f>
        <v>7.55144078150462</v>
      </c>
      <c r="K179" s="14" t="n">
        <f aca="false">Sens!K220</f>
        <v>7.56796069920636</v>
      </c>
    </row>
    <row r="180" customFormat="false" ht="17.15" hidden="false" customHeight="false" outlineLevel="0" collapsed="false">
      <c r="A180" s="0" t="s">
        <v>917</v>
      </c>
      <c r="B180" s="0" t="s">
        <v>75</v>
      </c>
      <c r="D180" s="8" t="n">
        <f aca="false">Sens!D178/Sens!D179</f>
        <v>13.641259209645</v>
      </c>
      <c r="E180" s="8" t="n">
        <f aca="false">Sens!E178/Sens!E179</f>
        <v>17.9456594659869</v>
      </c>
      <c r="F180" s="8" t="n">
        <f aca="false">Sens!F178/Sens!F179</f>
        <v>19.3784370368231</v>
      </c>
      <c r="G180" s="8" t="n">
        <f aca="false">Sens!G178/Sens!G179</f>
        <v>22.5012571562784</v>
      </c>
      <c r="H180" s="8" t="n">
        <f aca="false">Sens!H178/Sens!H179</f>
        <v>26.1820833274396</v>
      </c>
      <c r="I180" s="8" t="n">
        <f aca="false">Sens!I178/Sens!I179</f>
        <v>29.0187563545174</v>
      </c>
      <c r="J180" s="8" t="n">
        <f aca="false">Sens!J178/Sens!J179</f>
        <v>31.4552878406487</v>
      </c>
      <c r="K180" s="8" t="n">
        <f aca="false">Sens!K178/Sens!K179</f>
        <v>33.6558845230674</v>
      </c>
      <c r="L180" s="1" t="s">
        <v>918</v>
      </c>
    </row>
    <row r="181" customFormat="false" ht="17.15" hidden="false" customHeight="false" outlineLevel="0" collapsed="false">
      <c r="A181" s="1" t="s">
        <v>919</v>
      </c>
      <c r="B181" s="0" t="s">
        <v>98</v>
      </c>
      <c r="D181" s="6" t="n">
        <f aca="false">Sens!D178</f>
        <v>101.832</v>
      </c>
      <c r="E181" s="6" t="n">
        <f aca="false">Sens!E178</f>
        <v>133.749</v>
      </c>
      <c r="F181" s="6" t="n">
        <f aca="false">Sens!F178+Sens!F171*(1-tax_f)</f>
        <v>144.824749194697</v>
      </c>
      <c r="G181" s="6" t="n">
        <f aca="false">Sens!G178+Sens!G171*(1-tax_f)</f>
        <v>168.941315925174</v>
      </c>
      <c r="H181" s="6" t="n">
        <f aca="false">Sens!H178+Sens!H171*(1-tax_f)</f>
        <v>197.0311326275</v>
      </c>
      <c r="I181" s="6" t="n">
        <f aca="false">Sens!I178+Sens!I171*(1-tax_f)</f>
        <v>218.720149222799</v>
      </c>
      <c r="J181" s="6" t="n">
        <f aca="false">Sens!J178+Sens!J171*(1-tax_f)</f>
        <v>237.532743393841</v>
      </c>
      <c r="K181" s="6" t="n">
        <f aca="false">Sens!K178+Sens!K171*(1-tax_f)</f>
        <v>254.706411367602</v>
      </c>
    </row>
    <row r="182" customFormat="false" ht="17.15" hidden="false" customHeight="false" outlineLevel="0" collapsed="false">
      <c r="A182" s="0" t="s">
        <v>920</v>
      </c>
      <c r="B182" s="0" t="s">
        <v>75</v>
      </c>
      <c r="D182" s="8" t="n">
        <f aca="false">Sens!D181/Sens!D179</f>
        <v>13.641259209645</v>
      </c>
      <c r="E182" s="8" t="n">
        <f aca="false">Sens!E181/Sens!E179</f>
        <v>17.9456594659869</v>
      </c>
      <c r="F182" s="8" t="n">
        <f aca="false">Sens!F181/Sens!F179</f>
        <v>19.3784370368231</v>
      </c>
      <c r="G182" s="8" t="n">
        <f aca="false">Sens!G181/Sens!G179</f>
        <v>22.5012571562784</v>
      </c>
      <c r="H182" s="8" t="n">
        <f aca="false">Sens!H181/Sens!H179</f>
        <v>26.1820833274396</v>
      </c>
      <c r="I182" s="8" t="n">
        <f aca="false">Sens!I181/Sens!I179</f>
        <v>29.0187563545174</v>
      </c>
      <c r="J182" s="8" t="n">
        <f aca="false">Sens!J181/Sens!J179</f>
        <v>31.4552878406487</v>
      </c>
      <c r="K182" s="8" t="n">
        <f aca="false">Sens!K181/Sens!K179</f>
        <v>33.6558845230674</v>
      </c>
      <c r="L182" s="1" t="s">
        <v>921</v>
      </c>
    </row>
    <row r="183" customFormat="false" ht="17.15" hidden="false" customHeight="false" outlineLevel="0" collapsed="false">
      <c r="A183" s="0" t="s">
        <v>922</v>
      </c>
      <c r="B183" s="0" t="s">
        <v>129</v>
      </c>
      <c r="E183" s="7" t="n">
        <f aca="false">Sens!E182/Sens!D182-1</f>
        <v>0.315542736208578</v>
      </c>
      <c r="F183" s="7" t="n">
        <f aca="false">Sens!F182/Sens!E182-1</f>
        <v>0.0798397837400089</v>
      </c>
      <c r="G183" s="7" t="n">
        <f aca="false">Sens!G182/Sens!F182-1</f>
        <v>0.161149225477849</v>
      </c>
      <c r="H183" s="7" t="n">
        <f aca="false">Sens!H182/Sens!G182-1</f>
        <v>0.163583134293196</v>
      </c>
      <c r="I183" s="7" t="n">
        <f aca="false">Sens!I182/Sens!H182-1</f>
        <v>0.108344053129833</v>
      </c>
      <c r="J183" s="7" t="n">
        <f aca="false">Sens!J182/Sens!I182-1</f>
        <v>0.0839640216267221</v>
      </c>
      <c r="K183" s="7" t="n">
        <f aca="false">Sens!K182/Sens!J182-1</f>
        <v>0.0699595150286605</v>
      </c>
    </row>
    <row r="184" customFormat="false" ht="17.15" hidden="false" customHeight="false" outlineLevel="0" collapsed="false">
      <c r="A184" s="0" t="s">
        <v>846</v>
      </c>
      <c r="B184" s="0" t="s">
        <v>98</v>
      </c>
      <c r="E184" s="6" t="n">
        <f aca="false">Sens!E125</f>
        <v>5.25</v>
      </c>
      <c r="F184" s="6" t="n">
        <f aca="false">Sens!F125</f>
        <v>13.5</v>
      </c>
      <c r="G184" s="6" t="n">
        <f aca="false">Sens!G125</f>
        <v>22.5</v>
      </c>
      <c r="H184" s="6" t="n">
        <f aca="false">Sens!H125</f>
        <v>31.5</v>
      </c>
      <c r="I184" s="6" t="n">
        <f aca="false">Sens!I125</f>
        <v>38.25</v>
      </c>
      <c r="J184" s="6" t="n">
        <f aca="false">Sens!J125</f>
        <v>42.75</v>
      </c>
      <c r="K184" s="6" t="n">
        <f aca="false">Sens!K125</f>
        <v>47.25</v>
      </c>
    </row>
    <row r="185" customFormat="false" ht="17.15" hidden="false" customHeight="false" outlineLevel="0" collapsed="false">
      <c r="A185" s="1" t="s">
        <v>847</v>
      </c>
      <c r="B185" s="0" t="s">
        <v>98</v>
      </c>
      <c r="F185" s="6" t="n">
        <f aca="false">MAX(0,(Sens!E88+Sens!F88)/2*Sens!F96/1000-Sens!F184*Sens!F164)</f>
        <v>19.0793824397397</v>
      </c>
      <c r="G185" s="6" t="n">
        <f aca="false">MAX(0,(Sens!F88+Sens!G88)/2*Sens!G96/1000-Sens!G184*Sens!G164)</f>
        <v>32.5666413649601</v>
      </c>
      <c r="H185" s="6" t="n">
        <f aca="false">MAX(0,(Sens!G88+Sens!H88)/2*Sens!H96/1000-Sens!H184*Sens!H164)</f>
        <v>47.4063563831308</v>
      </c>
      <c r="I185" s="6" t="n">
        <f aca="false">MAX(0,(Sens!H88+Sens!I88)/2*Sens!I96/1000-Sens!I184*Sens!I164)</f>
        <v>61.2525090726263</v>
      </c>
      <c r="J185" s="6" t="n">
        <f aca="false">MAX(0,(Sens!I88+Sens!J88)/2*Sens!J96/1000-Sens!J184*Sens!J164)</f>
        <v>71.009613825577</v>
      </c>
      <c r="K185" s="6" t="n">
        <f aca="false">MAX(0,(Sens!J88+Sens!K88)/2*Sens!K96/1000-Sens!K184*Sens!K164)</f>
        <v>76.0452576664312</v>
      </c>
      <c r="L185" s="1" t="s">
        <v>848</v>
      </c>
    </row>
    <row r="186" customFormat="false" ht="17.15" hidden="false" customHeight="false" outlineLevel="0" collapsed="false">
      <c r="A186" s="1" t="s">
        <v>849</v>
      </c>
      <c r="B186" s="0" t="s">
        <v>98</v>
      </c>
      <c r="F186" s="6" t="n">
        <f aca="false">IF(1=2,1,0)*Sens!F185</f>
        <v>0</v>
      </c>
      <c r="G186" s="6" t="n">
        <f aca="false">IF(1=2,1,0)*Sens!G185</f>
        <v>0</v>
      </c>
      <c r="H186" s="6" t="n">
        <f aca="false">IF(1=2,1,0)*Sens!H185</f>
        <v>0</v>
      </c>
      <c r="I186" s="6" t="n">
        <f aca="false">IF(1=2,1,0)*Sens!I185</f>
        <v>0</v>
      </c>
      <c r="J186" s="6" t="n">
        <f aca="false">IF(1=2,1,0)*Sens!J185</f>
        <v>0</v>
      </c>
      <c r="K186" s="6" t="n">
        <f aca="false">IF(1=2,1,0)*Sens!K185</f>
        <v>0</v>
      </c>
    </row>
    <row r="187" customFormat="false" ht="17.15" hidden="false" customHeight="false" outlineLevel="0" collapsed="false">
      <c r="A187" s="0" t="s">
        <v>850</v>
      </c>
      <c r="B187" s="0" t="s">
        <v>98</v>
      </c>
      <c r="F187" s="6" t="n">
        <f aca="false">Sens!F105+Sens!F184*Sens!F164+Sens!F186-Sens!F106-Sens!F116</f>
        <v>9.57481163521454</v>
      </c>
      <c r="G187" s="6" t="n">
        <f aca="false">Sens!G105+Sens!G184*Sens!G164+Sens!G186-Sens!G106-Sens!G116</f>
        <v>20.0514783401622</v>
      </c>
      <c r="H187" s="6" t="n">
        <f aca="false">Sens!H105+Sens!H184*Sens!H164+Sens!H186-Sens!H106-Sens!H116</f>
        <v>35.1740343187356</v>
      </c>
      <c r="I187" s="6" t="n">
        <f aca="false">Sens!I105+Sens!I184*Sens!I164+Sens!I186-Sens!I106-Sens!I116</f>
        <v>42.6665596926419</v>
      </c>
      <c r="J187" s="6" t="n">
        <f aca="false">Sens!J105+Sens!J184*Sens!J164+Sens!J186-Sens!J106-Sens!J116</f>
        <v>47.7032502754217</v>
      </c>
      <c r="K187" s="6" t="n">
        <f aca="false">Sens!K105+Sens!K184*Sens!K164+Sens!K186-Sens!K106-Sens!K116</f>
        <v>52.6220796305818</v>
      </c>
    </row>
    <row r="188" customFormat="false" ht="17.15" hidden="false" customHeight="false" outlineLevel="0" collapsed="false">
      <c r="A188" s="0" t="s">
        <v>851</v>
      </c>
      <c r="B188" s="0" t="s">
        <v>98</v>
      </c>
      <c r="E188" s="6" t="n">
        <f aca="false">Sens!E87*(cxit_open+self_build*tk_cxfac)/1000*ai_net_open</f>
        <v>126.6980382</v>
      </c>
      <c r="F188" s="6" t="n">
        <f aca="false">Sens!E188+Sens!F113-Sens!F116</f>
        <v>260.440655514568</v>
      </c>
      <c r="G188" s="6" t="n">
        <f aca="false">Sens!F188+Sens!G113-Sens!G116</f>
        <v>383.533102737428</v>
      </c>
      <c r="H188" s="6" t="n">
        <f aca="false">Sens!G188+Sens!H113-Sens!H116</f>
        <v>483.896072654688</v>
      </c>
      <c r="I188" s="6" t="n">
        <f aca="false">Sens!H188+Sens!I113-Sens!I116</f>
        <v>535.640701826713</v>
      </c>
      <c r="J188" s="6" t="n">
        <f aca="false">Sens!I188+Sens!J113-Sens!J116</f>
        <v>530.994467622137</v>
      </c>
      <c r="K188" s="6" t="n">
        <f aca="false">Sens!J188+Sens!K113-Sens!K116</f>
        <v>506.3312564596</v>
      </c>
      <c r="L188" s="1" t="s">
        <v>852</v>
      </c>
    </row>
    <row r="189" customFormat="false" ht="17.15" hidden="false" customHeight="false" outlineLevel="0" collapsed="false">
      <c r="A189" s="0" t="s">
        <v>853</v>
      </c>
      <c r="B189" s="0" t="s">
        <v>129</v>
      </c>
      <c r="F189" s="7" t="n">
        <f aca="false">Sens!F187*(1-tax_f)/((Sens!E188+Sens!F188)/2)</f>
        <v>0.0395716028004121</v>
      </c>
      <c r="G189" s="7" t="n">
        <f aca="false">Sens!G187*(1-tax_f)/((Sens!F188+Sens!G188)/2)</f>
        <v>0.0498193675334597</v>
      </c>
      <c r="H189" s="7" t="n">
        <f aca="false">Sens!H187*(1-tax_f)/((Sens!G188+Sens!H188)/2)</f>
        <v>0.0648795965209917</v>
      </c>
      <c r="I189" s="7" t="n">
        <f aca="false">Sens!I187*(1-tax_f)/((Sens!H188+Sens!I188)/2)</f>
        <v>0.0669583454142216</v>
      </c>
      <c r="J189" s="7" t="n">
        <f aca="false">Sens!J187*(1-tax_f)/((Sens!I188+Sens!J188)/2)</f>
        <v>0.0715569883938041</v>
      </c>
      <c r="K189" s="7" t="n">
        <f aca="false">Sens!K187*(1-tax_f)/((Sens!J188+Sens!K188)/2)</f>
        <v>0.0811657567669619</v>
      </c>
    </row>
    <row r="190" customFormat="false" ht="17.15" hidden="false" customHeight="false" outlineLevel="0" collapsed="false">
      <c r="A190" s="1" t="s">
        <v>854</v>
      </c>
      <c r="B190" s="0" t="s">
        <v>129</v>
      </c>
      <c r="F190" s="7" t="n">
        <f aca="false">(Sens!F187-Sens!F186)*(1-tax_f)/((Sens!E188+Sens!F188)/2)</f>
        <v>0.0395716028004121</v>
      </c>
      <c r="G190" s="7" t="n">
        <f aca="false">(Sens!G187-Sens!G186)*(1-tax_f)/((Sens!F188+Sens!G188)/2)</f>
        <v>0.0498193675334597</v>
      </c>
      <c r="H190" s="7" t="n">
        <f aca="false">(Sens!H187-Sens!H186)*(1-tax_f)/((Sens!G188+Sens!H188)/2)</f>
        <v>0.0648795965209917</v>
      </c>
      <c r="I190" s="7" t="n">
        <f aca="false">(Sens!I187-Sens!I186)*(1-tax_f)/((Sens!H188+Sens!I188)/2)</f>
        <v>0.0669583454142216</v>
      </c>
      <c r="J190" s="7" t="n">
        <f aca="false">(Sens!J187-Sens!J186)*(1-tax_f)/((Sens!I188+Sens!J188)/2)</f>
        <v>0.0715569883938041</v>
      </c>
      <c r="K190" s="7" t="n">
        <f aca="false">(Sens!K187-Sens!K186)*(1-tax_f)/((Sens!J188+Sens!K188)/2)</f>
        <v>0.0811657567669619</v>
      </c>
    </row>
    <row r="191" customFormat="false" ht="17.15" hidden="false" customHeight="false" outlineLevel="0" collapsed="false">
      <c r="A191" s="1" t="s">
        <v>855</v>
      </c>
      <c r="B191" s="0" t="s">
        <v>129</v>
      </c>
      <c r="F191" s="7" t="n">
        <f aca="false">(Sens!F187-Sens!F186+Sens!F185)*(1-tax_f)/((Sens!E188+Sens!F188)/2)</f>
        <v>0.118424511071293</v>
      </c>
      <c r="G191" s="7" t="n">
        <f aca="false">(Sens!G187-Sens!G186+Sens!G185)*(1-tax_f)/((Sens!F188+Sens!G188)/2)</f>
        <v>0.130733574853607</v>
      </c>
      <c r="H191" s="7" t="n">
        <f aca="false">(Sens!H187-Sens!H186+Sens!H185)*(1-tax_f)/((Sens!G188+Sens!H188)/2)</f>
        <v>0.152322090230892</v>
      </c>
      <c r="I191" s="7" t="n">
        <f aca="false">(Sens!I187-Sens!I186+Sens!I185)*(1-tax_f)/((Sens!H188+Sens!I188)/2)</f>
        <v>0.163084367514849</v>
      </c>
      <c r="J191" s="7" t="n">
        <f aca="false">(Sens!J187-Sens!J186+Sens!J185)*(1-tax_f)/((Sens!I188+Sens!J188)/2)</f>
        <v>0.178074554451213</v>
      </c>
      <c r="K191" s="7" t="n">
        <f aca="false">(Sens!K187-Sens!K186+Sens!K185)*(1-tax_f)/((Sens!J188+Sens!K188)/2)</f>
        <v>0.198460073722224</v>
      </c>
    </row>
    <row r="192" customFormat="false" ht="17.15" hidden="false" customHeight="false" outlineLevel="0" collapsed="false">
      <c r="A192" s="1" t="s">
        <v>856</v>
      </c>
      <c r="B192" s="0" t="s">
        <v>129</v>
      </c>
      <c r="F192" s="7" t="n">
        <f aca="false">Sens!F117*(1-tax_f)/(Sens!F104*(Sens!E188+Sens!F188)/2)</f>
        <v>0.153543815988938</v>
      </c>
      <c r="G192" s="7" t="n">
        <f aca="false">Sens!G117*(1-tax_f)/(Sens!G104*(Sens!F188+Sens!G188)/2)</f>
        <v>0.17467487096866</v>
      </c>
      <c r="H192" s="7" t="n">
        <f aca="false">Sens!H117*(1-tax_f)/(Sens!H104*(Sens!G188+Sens!H188)/2)</f>
        <v>0.207630352867497</v>
      </c>
      <c r="I192" s="7" t="n">
        <f aca="false">Sens!I117*(1-tax_f)/(Sens!I104*(Sens!H188+Sens!I188)/2)</f>
        <v>0.221683969864569</v>
      </c>
      <c r="J192" s="7" t="n">
        <f aca="false">Sens!J117*(1-tax_f)/(Sens!J104*(Sens!I188+Sens!J188)/2)</f>
        <v>0.241797558367104</v>
      </c>
      <c r="K192" s="7" t="n">
        <f aca="false">Sens!K117*(1-tax_f)/(Sens!K104*(Sens!J188+Sens!K188)/2)</f>
        <v>0.269036299863445</v>
      </c>
    </row>
    <row r="193" customFormat="false" ht="17.15" hidden="false" customHeight="false" outlineLevel="0" collapsed="false">
      <c r="A193" s="0" t="s">
        <v>857</v>
      </c>
      <c r="B193" s="0" t="s">
        <v>209</v>
      </c>
      <c r="F193" s="7" t="n">
        <f aca="false">Sens!F189-wacc</f>
        <v>-0.0633628172924636</v>
      </c>
      <c r="G193" s="7" t="n">
        <f aca="false">Sens!G189-wacc</f>
        <v>-0.053115052559416</v>
      </c>
      <c r="H193" s="7" t="n">
        <f aca="false">Sens!H189-wacc</f>
        <v>-0.0380548235718841</v>
      </c>
      <c r="I193" s="7" t="n">
        <f aca="false">Sens!I189-wacc</f>
        <v>-0.0359760746786541</v>
      </c>
      <c r="J193" s="7" t="n">
        <f aca="false">Sens!J189-wacc</f>
        <v>-0.0313774316990716</v>
      </c>
      <c r="K193" s="7" t="n">
        <f aca="false">Sens!K189-wacc</f>
        <v>-0.0217686633259139</v>
      </c>
    </row>
    <row r="194" customFormat="false" ht="17.15" hidden="false" customHeight="false" outlineLevel="0" collapsed="false">
      <c r="A194" s="0" t="s">
        <v>858</v>
      </c>
      <c r="B194" s="0" t="s">
        <v>98</v>
      </c>
      <c r="F194" s="6" t="n">
        <f aca="false">Sens!F187*(1-tax_f)-wacc*(Sens!E188+Sens!F188)/2</f>
        <v>-12.2650991583396</v>
      </c>
      <c r="G194" s="6" t="n">
        <f aca="false">Sens!G187*(1-tax_f)-wacc*(Sens!F188+Sens!G188)/2</f>
        <v>-17.1023500082197</v>
      </c>
      <c r="H194" s="6" t="n">
        <f aca="false">Sens!H187*(1-tax_f)-wacc*(Sens!G188+Sens!H188)/2</f>
        <v>-16.5049321153259</v>
      </c>
      <c r="I194" s="6" t="n">
        <f aca="false">Sens!I187*(1-tax_f)-wacc*(Sens!H188+Sens!I188)/2</f>
        <v>-18.3394655681885</v>
      </c>
      <c r="J194" s="6" t="n">
        <f aca="false">Sens!J187*(1-tax_f)-wacc*(Sens!I188+Sens!J188)/2</f>
        <v>-16.7341360886045</v>
      </c>
      <c r="K194" s="6" t="n">
        <f aca="false">Sens!K187*(1-tax_f)-wacc*(Sens!J188+Sens!K188)/2</f>
        <v>-11.2905972234226</v>
      </c>
    </row>
    <row r="195" customFormat="false" ht="17.15" hidden="false" customHeight="false" outlineLevel="0" collapsed="false">
      <c r="A195" s="3" t="s">
        <v>1237</v>
      </c>
    </row>
    <row r="196" customFormat="false" ht="15" hidden="false" customHeight="false" outlineLevel="0" collapsed="false">
      <c r="A196" s="4" t="s">
        <v>43</v>
      </c>
      <c r="B196" s="4" t="s">
        <v>65</v>
      </c>
      <c r="C196" s="20" t="s">
        <v>788</v>
      </c>
      <c r="D196" s="20" t="s">
        <v>789</v>
      </c>
      <c r="E196" s="20" t="s">
        <v>790</v>
      </c>
      <c r="F196" s="20" t="s">
        <v>791</v>
      </c>
      <c r="G196" s="20" t="s">
        <v>792</v>
      </c>
      <c r="H196" s="20" t="s">
        <v>793</v>
      </c>
      <c r="I196" s="20" t="s">
        <v>794</v>
      </c>
      <c r="J196" s="20" t="s">
        <v>795</v>
      </c>
      <c r="K196" s="20" t="s">
        <v>796</v>
      </c>
      <c r="L196" s="4" t="s">
        <v>47</v>
      </c>
    </row>
    <row r="197" customFormat="false" ht="15" hidden="false" customHeight="false" outlineLevel="0" collapsed="false">
      <c r="A197" s="1" t="s">
        <v>915</v>
      </c>
      <c r="B197" s="0" t="s">
        <v>98</v>
      </c>
      <c r="F197" s="6" t="n">
        <f aca="false">Sens!F178</f>
        <v>144.824749194697</v>
      </c>
      <c r="G197" s="6" t="n">
        <f aca="false">Sens!G178</f>
        <v>168.941315925174</v>
      </c>
      <c r="H197" s="6" t="n">
        <f aca="false">Sens!H178</f>
        <v>197.0311326275</v>
      </c>
      <c r="I197" s="6" t="n">
        <f aca="false">Sens!I178</f>
        <v>218.720149222799</v>
      </c>
      <c r="J197" s="6" t="n">
        <f aca="false">Sens!J178</f>
        <v>237.532743393841</v>
      </c>
      <c r="K197" s="6" t="n">
        <f aca="false">Sens!K178</f>
        <v>254.706411367602</v>
      </c>
    </row>
    <row r="198" customFormat="false" ht="17.15" hidden="false" customHeight="false" outlineLevel="0" collapsed="false">
      <c r="A198" s="1" t="s">
        <v>937</v>
      </c>
      <c r="B198" s="0" t="s">
        <v>98</v>
      </c>
      <c r="E198" s="6" t="n">
        <f aca="false">Q!M38-Sens!E116</f>
        <v>22.2285940229167</v>
      </c>
      <c r="F198" s="6" t="n">
        <f aca="false">Sens!E198*(1-1/life_nonai)+Sens!F204/life_nonai</f>
        <v>23.5786693435813</v>
      </c>
      <c r="G198" s="6" t="n">
        <f aca="false">Sens!F198*(1-1/life_nonai)+Sens!G204/life_nonai</f>
        <v>25.3810917662621</v>
      </c>
      <c r="H198" s="6" t="n">
        <f aca="false">Sens!G198*(1-1/life_nonai)+Sens!H204/life_nonai</f>
        <v>27.5991339540448</v>
      </c>
      <c r="I198" s="6" t="n">
        <f aca="false">Sens!H198*(1-1/life_nonai)+Sens!I204/life_nonai</f>
        <v>30.1565605898047</v>
      </c>
      <c r="J198" s="6" t="n">
        <f aca="false">Sens!I198*(1-1/life_nonai)+Sens!J204/life_nonai</f>
        <v>32.9614958558616</v>
      </c>
      <c r="K198" s="6" t="n">
        <f aca="false">Sens!J198*(1-1/life_nonai)+Sens!K204/life_nonai</f>
        <v>35.9297165444749</v>
      </c>
      <c r="L198" s="11" t="s">
        <v>938</v>
      </c>
    </row>
    <row r="199" customFormat="false" ht="17.15" hidden="false" customHeight="false" outlineLevel="0" collapsed="false">
      <c r="A199" s="1" t="s">
        <v>939</v>
      </c>
      <c r="B199" s="0" t="s">
        <v>98</v>
      </c>
      <c r="E199" s="6" t="n">
        <f aca="false">Sens!E116+Sens!E198</f>
        <v>38.534</v>
      </c>
      <c r="F199" s="6" t="n">
        <f aca="false">Sens!F116+Sens!F198</f>
        <v>58.306704799451</v>
      </c>
      <c r="G199" s="6" t="n">
        <f aca="false">Sens!G116+Sens!G198</f>
        <v>85.8628250266016</v>
      </c>
      <c r="H199" s="6" t="n">
        <f aca="false">Sens!H116+Sens!H198</f>
        <v>115.316449947184</v>
      </c>
      <c r="I199" s="6" t="n">
        <f aca="false">Sens!I116+Sens!I198</f>
        <v>142.118600572026</v>
      </c>
      <c r="J199" s="6" t="n">
        <f aca="false">Sens!J116+Sens!J198</f>
        <v>162.120206778527</v>
      </c>
      <c r="K199" s="6" t="n">
        <f aca="false">Sens!K116+Sens!K198</f>
        <v>175.552363348948</v>
      </c>
    </row>
    <row r="200" customFormat="false" ht="17.15" hidden="false" customHeight="false" outlineLevel="0" collapsed="false">
      <c r="A200" s="1" t="s">
        <v>940</v>
      </c>
      <c r="B200" s="0" t="s">
        <v>98</v>
      </c>
      <c r="F200" s="6" t="n">
        <f aca="false">Sens!F143*sbc_r</f>
        <v>15.1240791253967</v>
      </c>
      <c r="G200" s="6" t="n">
        <f aca="false">Sens!G143*sbc_r</f>
        <v>18.3778786594202</v>
      </c>
      <c r="H200" s="6" t="n">
        <f aca="false">Sens!H143*sbc_r</f>
        <v>21.8771522065674</v>
      </c>
      <c r="I200" s="6" t="n">
        <f aca="false">Sens!I143*sbc_r</f>
        <v>24.8701515437869</v>
      </c>
      <c r="J200" s="6" t="n">
        <f aca="false">Sens!J143*sbc_r</f>
        <v>27.2849214872696</v>
      </c>
      <c r="K200" s="6" t="n">
        <f aca="false">Sens!K143*sbc_r</f>
        <v>29.2091113705455</v>
      </c>
    </row>
    <row r="201" customFormat="false" ht="17.15" hidden="false" customHeight="false" outlineLevel="0" collapsed="false">
      <c r="A201" s="1" t="s">
        <v>941</v>
      </c>
      <c r="B201" s="0" t="s">
        <v>98</v>
      </c>
      <c r="F201" s="6" t="n">
        <f aca="false">wc27</f>
        <v>-4.895</v>
      </c>
      <c r="G201" s="6" t="n">
        <f aca="false">wc_f</f>
        <v>0</v>
      </c>
      <c r="H201" s="6" t="n">
        <f aca="false">wc_f</f>
        <v>0</v>
      </c>
      <c r="I201" s="6" t="n">
        <f aca="false">wc_f</f>
        <v>0</v>
      </c>
      <c r="J201" s="6" t="n">
        <f aca="false">wc_f</f>
        <v>0</v>
      </c>
      <c r="K201" s="6" t="n">
        <f aca="false">wc_f</f>
        <v>0</v>
      </c>
      <c r="L201" s="11" t="s">
        <v>942</v>
      </c>
    </row>
    <row r="202" customFormat="false" ht="15" hidden="false" customHeight="false" outlineLevel="0" collapsed="false">
      <c r="A202" s="1" t="s">
        <v>756</v>
      </c>
      <c r="B202" s="0" t="s">
        <v>98</v>
      </c>
      <c r="E202" s="6" t="n">
        <f aca="false">Q!M35</f>
        <v>182.935</v>
      </c>
      <c r="F202" s="6" t="n">
        <f aca="false">Sens!F197+Sens!F199+Sens!F200+Sens!F201</f>
        <v>213.360533119545</v>
      </c>
      <c r="G202" s="6" t="n">
        <f aca="false">Sens!G197+Sens!G199+Sens!G200+Sens!G201</f>
        <v>273.182019611196</v>
      </c>
      <c r="H202" s="6" t="n">
        <f aca="false">Sens!H197+Sens!H199+Sens!H200+Sens!H201</f>
        <v>334.224734781252</v>
      </c>
      <c r="I202" s="6" t="n">
        <f aca="false">Sens!I197+Sens!I199+Sens!I200+Sens!I201</f>
        <v>385.708901338612</v>
      </c>
      <c r="J202" s="6" t="n">
        <f aca="false">Sens!J197+Sens!J199+Sens!J200+Sens!J201</f>
        <v>426.937871659638</v>
      </c>
      <c r="K202" s="6" t="n">
        <f aca="false">Sens!K197+Sens!K199+Sens!K200+Sens!K201</f>
        <v>459.467886087096</v>
      </c>
    </row>
    <row r="203" customFormat="false" ht="17.15" hidden="false" customHeight="false" outlineLevel="0" collapsed="false">
      <c r="A203" s="0" t="s">
        <v>943</v>
      </c>
      <c r="B203" s="0" t="s">
        <v>98</v>
      </c>
      <c r="F203" s="6" t="n">
        <f aca="false">Sens!F113</f>
        <v>168.470652770438</v>
      </c>
      <c r="G203" s="6" t="n">
        <f aca="false">Sens!G113</f>
        <v>183.5741804832</v>
      </c>
      <c r="H203" s="6" t="n">
        <f aca="false">Sens!H113</f>
        <v>188.0802859104</v>
      </c>
      <c r="I203" s="6" t="n">
        <f aca="false">Sens!I113</f>
        <v>163.706669154245</v>
      </c>
      <c r="J203" s="6" t="n">
        <f aca="false">Sens!J113</f>
        <v>124.51247671809</v>
      </c>
      <c r="K203" s="6" t="n">
        <f aca="false">Sens!K113</f>
        <v>114.959435641936</v>
      </c>
    </row>
    <row r="204" customFormat="false" ht="17.15" hidden="false" customHeight="false" outlineLevel="0" collapsed="false">
      <c r="A204" s="1" t="s">
        <v>944</v>
      </c>
      <c r="B204" s="0" t="s">
        <v>98</v>
      </c>
      <c r="E204" s="6" t="n">
        <f aca="false">Sens!E121*cx_azo+Sens!E128*cx_m365+Sens!E129*cx_lic+(Sens!E131+Sens!E133)*cx_ind+Sens!E136*cx_srch+(Sens!E138+Sens!E140)*cx_dev</f>
        <v>30.1846587067718</v>
      </c>
      <c r="F204" s="6" t="n">
        <f aca="false">Sens!F121*cx_azo+Sens!F128*cx_m365+Sens!F129*cx_lic+(Sens!F131+Sens!F133)*cx_ind+Sens!F136*cx_srch+(Sens!F138+Sens!F140)*cx_dev</f>
        <v>35.7293472295625</v>
      </c>
      <c r="G204" s="6" t="n">
        <f aca="false">Sens!G121*cx_azo+Sens!G128*cx_m365+Sens!G129*cx_lic+(Sens!G131+Sens!G133)*cx_ind+Sens!G136*cx_srch+(Sens!G138+Sens!G140)*cx_dev</f>
        <v>41.6028935703892</v>
      </c>
      <c r="H204" s="6" t="n">
        <f aca="false">Sens!H121*cx_azo+Sens!H128*cx_m365+Sens!H129*cx_lic+(Sens!H131+Sens!H133)*cx_ind+Sens!H136*cx_srch+(Sens!H138+Sens!H140)*cx_dev</f>
        <v>47.5615136440897</v>
      </c>
      <c r="I204" s="6" t="n">
        <f aca="false">Sens!I121*cx_azo+Sens!I128*cx_m365+Sens!I129*cx_lic+(Sens!I131+Sens!I133)*cx_ind+Sens!I136*cx_srch+(Sens!I138+Sens!I140)*cx_dev</f>
        <v>53.1734003116439</v>
      </c>
      <c r="J204" s="6" t="n">
        <f aca="false">Sens!J121*cx_azo+Sens!J128*cx_m365+Sens!J129*cx_lic+(Sens!J131+Sens!J133)*cx_ind+Sens!J136*cx_srch+(Sens!J138+Sens!J140)*cx_dev</f>
        <v>58.2059132503738</v>
      </c>
      <c r="K204" s="6" t="n">
        <f aca="false">Sens!K121*cx_azo+Sens!K128*cx_m365+Sens!K129*cx_lic+(Sens!K131+Sens!K133)*cx_ind+Sens!K136*cx_srch+(Sens!K138+Sens!K140)*cx_dev</f>
        <v>62.643702741994</v>
      </c>
    </row>
    <row r="205" customFormat="false" ht="17.15" hidden="false" customHeight="false" outlineLevel="0" collapsed="false">
      <c r="A205" s="1" t="s">
        <v>945</v>
      </c>
      <c r="B205" s="0" t="s">
        <v>98</v>
      </c>
      <c r="E205" s="6" t="n">
        <f aca="false">Q!M42</f>
        <v>145.3</v>
      </c>
      <c r="F205" s="6" t="n">
        <f aca="false">Sens!F203+Sens!F204</f>
        <v>204.2</v>
      </c>
      <c r="G205" s="6" t="n">
        <f aca="false">Sens!G203+Sens!G204</f>
        <v>225.177074053589</v>
      </c>
      <c r="H205" s="6" t="n">
        <f aca="false">Sens!H203+Sens!H204</f>
        <v>235.64179955449</v>
      </c>
      <c r="I205" s="6" t="n">
        <f aca="false">Sens!I203+Sens!I204</f>
        <v>216.880069465889</v>
      </c>
      <c r="J205" s="6" t="n">
        <f aca="false">Sens!J203+Sens!J204</f>
        <v>182.718389968464</v>
      </c>
      <c r="K205" s="6" t="n">
        <f aca="false">Sens!K203+Sens!K204</f>
        <v>177.60313838393</v>
      </c>
      <c r="L205" s="1" t="s">
        <v>946</v>
      </c>
    </row>
    <row r="206" customFormat="false" ht="15" hidden="false" customHeight="false" outlineLevel="0" collapsed="false">
      <c r="A206" s="1" t="s">
        <v>947</v>
      </c>
      <c r="B206" s="0" t="s">
        <v>98</v>
      </c>
      <c r="E206" s="6" t="n">
        <f aca="false">fl_liab</f>
        <v>66.594</v>
      </c>
      <c r="F206" s="6" t="n">
        <f aca="false">Sens!E206-Sens!F207</f>
        <v>62.46973</v>
      </c>
      <c r="G206" s="6" t="n">
        <f aca="false">Sens!F206-Sens!G207</f>
        <v>57.98686785</v>
      </c>
      <c r="H206" s="6" t="n">
        <f aca="false">Sens!G206-Sens!H207</f>
        <v>53.92827690325</v>
      </c>
      <c r="I206" s="6" t="n">
        <f aca="false">Sens!H206-Sens!I207</f>
        <v>49.7850493638962</v>
      </c>
      <c r="J206" s="6" t="n">
        <f aca="false">Sens!I206-Sens!J207</f>
        <v>45.4823765852716</v>
      </c>
      <c r="K206" s="6" t="n">
        <f aca="false">Sens!J206-Sens!K207</f>
        <v>40.9860835316088</v>
      </c>
    </row>
    <row r="207" customFormat="false" ht="15" hidden="false" customHeight="false" outlineLevel="0" collapsed="false">
      <c r="A207" s="1" t="s">
        <v>948</v>
      </c>
      <c r="B207" s="0" t="s">
        <v>98</v>
      </c>
      <c r="F207" s="6" t="n">
        <f aca="false">fl_pay_27-Sens!E206*fl_rate</f>
        <v>4.12427</v>
      </c>
      <c r="G207" s="6" t="n">
        <f aca="false">fl_pay_28-Sens!F206*fl_rate</f>
        <v>4.48286215</v>
      </c>
      <c r="H207" s="6" t="n">
        <f aca="false">fl_pay_29-Sens!G206*fl_rate</f>
        <v>4.05859094675</v>
      </c>
      <c r="I207" s="6" t="n">
        <f aca="false">fl_pay_30-Sens!H206*fl_rate</f>
        <v>4.14322753935375</v>
      </c>
      <c r="J207" s="6" t="n">
        <f aca="false">fl_pay_31-Sens!I206*fl_rate</f>
        <v>4.30267277862467</v>
      </c>
      <c r="K207" s="6" t="n">
        <f aca="false">fl_pay_32-Sens!J206*fl_rate</f>
        <v>4.49629305366278</v>
      </c>
    </row>
    <row r="208" customFormat="false" ht="17.15" hidden="false" customHeight="false" outlineLevel="0" collapsed="false">
      <c r="A208" s="1" t="s">
        <v>949</v>
      </c>
      <c r="B208" s="0" t="s">
        <v>98</v>
      </c>
      <c r="E208" s="6" t="n">
        <f aca="false">Q!M35-Q!M36-Q!M43</f>
        <v>63.886</v>
      </c>
      <c r="F208" s="6" t="n">
        <f aca="false">Sens!F202-Sens!F205-Sens!F207</f>
        <v>5.03626311954508</v>
      </c>
      <c r="G208" s="6" t="n">
        <f aca="false">Sens!G202-Sens!G205-Sens!G207</f>
        <v>43.522083407607</v>
      </c>
      <c r="H208" s="6" t="n">
        <f aca="false">Sens!H202-Sens!H205-Sens!H207</f>
        <v>94.5243442800126</v>
      </c>
      <c r="I208" s="6" t="n">
        <f aca="false">Sens!I202-Sens!I205-Sens!I207</f>
        <v>164.685604333369</v>
      </c>
      <c r="J208" s="6" t="n">
        <f aca="false">Sens!J202-Sens!J205-Sens!J207</f>
        <v>239.916808912549</v>
      </c>
      <c r="K208" s="6" t="n">
        <f aca="false">Sens!K202-Sens!K205-Sens!K207</f>
        <v>277.368454649503</v>
      </c>
      <c r="L208" s="11" t="s">
        <v>950</v>
      </c>
    </row>
    <row r="209" customFormat="false" ht="15" hidden="false" customHeight="false" outlineLevel="0" collapsed="false">
      <c r="A209" s="1" t="s">
        <v>951</v>
      </c>
      <c r="B209" s="0" t="s">
        <v>75</v>
      </c>
      <c r="F209" s="8" t="n">
        <f aca="false">dps_27</f>
        <v>3.85</v>
      </c>
      <c r="G209" s="8" t="n">
        <f aca="false">Sens!F209*(1+dps_g)</f>
        <v>4.158</v>
      </c>
      <c r="H209" s="8" t="n">
        <f aca="false">Sens!G209*(1+dps_g)</f>
        <v>4.49064</v>
      </c>
      <c r="I209" s="8" t="n">
        <f aca="false">Sens!H209*(1+dps_g)</f>
        <v>4.8498912</v>
      </c>
      <c r="J209" s="8" t="n">
        <f aca="false">Sens!I209*(1+dps_g)</f>
        <v>5.237882496</v>
      </c>
      <c r="K209" s="8" t="n">
        <f aca="false">Sens!J209*(1+dps_g)</f>
        <v>5.65691309568</v>
      </c>
    </row>
    <row r="210" customFormat="false" ht="17.15" hidden="false" customHeight="false" outlineLevel="0" collapsed="false">
      <c r="A210" s="1" t="s">
        <v>952</v>
      </c>
      <c r="B210" s="0" t="s">
        <v>98</v>
      </c>
      <c r="E210" s="6" t="n">
        <f aca="false">Q!M41</f>
        <v>26.445</v>
      </c>
      <c r="F210" s="6" t="n">
        <f aca="false">Sens!F209*Sens!E219</f>
        <v>28.59395</v>
      </c>
      <c r="G210" s="6" t="n">
        <f aca="false">Sens!G209*Sens!F219</f>
        <v>31.068576</v>
      </c>
      <c r="H210" s="6" t="n">
        <f aca="false">Sens!H209*Sens!G219</f>
        <v>33.6625867146429</v>
      </c>
      <c r="I210" s="6" t="n">
        <f aca="false">Sens!I209*Sens!H219</f>
        <v>36.4065328918138</v>
      </c>
      <c r="J210" s="6" t="n">
        <f aca="false">Sens!J209*Sens!I219</f>
        <v>39.3874543714784</v>
      </c>
      <c r="K210" s="6" t="n">
        <f aca="false">Sens!K209*Sens!J219</f>
        <v>42.6257059465017</v>
      </c>
      <c r="L210" s="1" t="s">
        <v>953</v>
      </c>
    </row>
    <row r="211" customFormat="false" ht="15" hidden="false" customHeight="false" outlineLevel="0" collapsed="false">
      <c r="A211" s="1" t="s">
        <v>954</v>
      </c>
      <c r="B211" s="0" t="s">
        <v>98</v>
      </c>
      <c r="E211" s="6" t="n">
        <f aca="false">Sens!E208-Sens!E210</f>
        <v>37.441</v>
      </c>
      <c r="F211" s="6" t="n">
        <f aca="false">Sens!F208-Sens!F210</f>
        <v>-23.5576868804549</v>
      </c>
      <c r="G211" s="6" t="n">
        <f aca="false">Sens!G208-Sens!G210</f>
        <v>12.453507407607</v>
      </c>
      <c r="H211" s="6" t="n">
        <f aca="false">Sens!H208-Sens!H210</f>
        <v>60.8617575653697</v>
      </c>
      <c r="I211" s="6" t="n">
        <f aca="false">Sens!I208-Sens!I210</f>
        <v>128.279071441555</v>
      </c>
      <c r="J211" s="6" t="n">
        <f aca="false">Sens!J208-Sens!J210</f>
        <v>200.529354541071</v>
      </c>
      <c r="K211" s="6" t="n">
        <f aca="false">Sens!K208-Sens!K210</f>
        <v>234.742748703001</v>
      </c>
    </row>
    <row r="212" customFormat="false" ht="15" hidden="false" customHeight="false" outlineLevel="0" collapsed="false">
      <c r="A212" s="1" t="s">
        <v>955</v>
      </c>
      <c r="B212" s="0" t="s">
        <v>98</v>
      </c>
      <c r="F212" s="6" t="n">
        <f aca="false">debt_mat_27</f>
        <v>9.25</v>
      </c>
      <c r="G212" s="6" t="n">
        <f aca="false">debt_mat_28</f>
        <v>0</v>
      </c>
      <c r="H212" s="6" t="n">
        <f aca="false">debt_mat_29</f>
        <v>2.001</v>
      </c>
      <c r="I212" s="6" t="n">
        <f aca="false">debt_mat_30</f>
        <v>0</v>
      </c>
      <c r="J212" s="6" t="n">
        <f aca="false">debt_mat_31</f>
        <v>0.5</v>
      </c>
      <c r="K212" s="6" t="n">
        <f aca="false">debt_mat_32</f>
        <v>0</v>
      </c>
    </row>
    <row r="213" customFormat="false" ht="15" hidden="false" customHeight="false" outlineLevel="0" collapsed="false">
      <c r="A213" s="1" t="s">
        <v>956</v>
      </c>
      <c r="B213" s="0" t="s">
        <v>98</v>
      </c>
      <c r="E213" s="6" t="n">
        <f aca="false">Q!M40</f>
        <v>22.271</v>
      </c>
      <c r="F213" s="6" t="n">
        <f aca="false">MAX(0,MIN(bb_target,Sens!E215+Sens!F211-Sens!F212-min_cash))</f>
        <v>0</v>
      </c>
      <c r="G213" s="6" t="n">
        <f aca="false">MAX(0,MIN(bb_target,Sens!F215+Sens!G211-Sens!G212-min_cash))</f>
        <v>12.453507407607</v>
      </c>
      <c r="H213" s="6" t="n">
        <f aca="false">MAX(0,MIN(bb_target,Sens!G215+Sens!H211-Sens!H212-min_cash))</f>
        <v>22.271</v>
      </c>
      <c r="I213" s="6" t="n">
        <f aca="false">MAX(0,MIN(bb_target,Sens!H215+Sens!I211-Sens!I212-min_cash))</f>
        <v>22.271</v>
      </c>
      <c r="J213" s="6" t="n">
        <f aca="false">MAX(0,MIN(bb_target,Sens!I215+Sens!J211-Sens!J212-min_cash))</f>
        <v>22.271</v>
      </c>
      <c r="K213" s="6" t="n">
        <f aca="false">MAX(0,MIN(bb_target,Sens!J215+Sens!K211-Sens!K212-min_cash))</f>
        <v>22.271</v>
      </c>
    </row>
    <row r="214" customFormat="false" ht="15" hidden="false" customHeight="false" outlineLevel="0" collapsed="false">
      <c r="A214" s="1" t="s">
        <v>957</v>
      </c>
      <c r="B214" s="0" t="s">
        <v>98</v>
      </c>
      <c r="F214" s="6" t="n">
        <f aca="false">MAX(0,min_cash-(Sens!E215+Sens!F211-Sens!F212-Sens!F213))</f>
        <v>5.96468688045492</v>
      </c>
      <c r="G214" s="6" t="n">
        <f aca="false">MAX(0,min_cash-(Sens!F215+Sens!G211-Sens!G212-Sens!G213))</f>
        <v>0</v>
      </c>
      <c r="H214" s="6" t="n">
        <f aca="false">MAX(0,min_cash-(Sens!G215+Sens!H211-Sens!H212-Sens!H213))</f>
        <v>0</v>
      </c>
      <c r="I214" s="6" t="n">
        <f aca="false">MAX(0,min_cash-(Sens!H215+Sens!I211-Sens!I212-Sens!I213))</f>
        <v>0</v>
      </c>
      <c r="J214" s="6" t="n">
        <f aca="false">MAX(0,min_cash-(Sens!I215+Sens!J211-Sens!J212-Sens!J213))</f>
        <v>0</v>
      </c>
      <c r="K214" s="6" t="n">
        <f aca="false">MAX(0,min_cash-(Sens!J215+Sens!K211-Sens!K212-Sens!K213))</f>
        <v>0</v>
      </c>
    </row>
    <row r="215" customFormat="false" ht="15" hidden="false" customHeight="false" outlineLevel="0" collapsed="false">
      <c r="A215" s="1" t="s">
        <v>958</v>
      </c>
      <c r="B215" s="0" t="s">
        <v>98</v>
      </c>
      <c r="E215" s="6" t="n">
        <f aca="false">cash_open</f>
        <v>76.843</v>
      </c>
      <c r="F215" s="6" t="n">
        <f aca="false">Sens!E215+Sens!F211-Sens!F212-Sens!F213+Sens!F214</f>
        <v>50</v>
      </c>
      <c r="G215" s="6" t="n">
        <f aca="false">Sens!F215+Sens!G211-Sens!G212-Sens!G213+Sens!G214</f>
        <v>50</v>
      </c>
      <c r="H215" s="6" t="n">
        <f aca="false">Sens!G215+Sens!H211-Sens!H212-Sens!H213+Sens!H214</f>
        <v>86.5897575653697</v>
      </c>
      <c r="I215" s="6" t="n">
        <f aca="false">Sens!H215+Sens!I211-Sens!I212-Sens!I213+Sens!I214</f>
        <v>192.597829006925</v>
      </c>
      <c r="J215" s="6" t="n">
        <f aca="false">Sens!I215+Sens!J211-Sens!J212-Sens!J213+Sens!J214</f>
        <v>370.356183547995</v>
      </c>
      <c r="K215" s="6" t="n">
        <f aca="false">Sens!J215+Sens!K211-Sens!K212-Sens!K213+Sens!K214</f>
        <v>582.827932250997</v>
      </c>
    </row>
    <row r="216" customFormat="false" ht="15" hidden="false" customHeight="false" outlineLevel="0" collapsed="false">
      <c r="A216" s="1" t="s">
        <v>959</v>
      </c>
      <c r="B216" s="0" t="s">
        <v>98</v>
      </c>
      <c r="E216" s="6" t="n">
        <f aca="false">debt_face</f>
        <v>46.136</v>
      </c>
      <c r="F216" s="6" t="n">
        <f aca="false">Sens!E216-Sens!F212+Sens!F214</f>
        <v>42.8506868804549</v>
      </c>
      <c r="G216" s="6" t="n">
        <f aca="false">Sens!F216-Sens!G212+Sens!G214</f>
        <v>42.8506868804549</v>
      </c>
      <c r="H216" s="6" t="n">
        <f aca="false">Sens!G216-Sens!H212+Sens!H214</f>
        <v>40.8496868804549</v>
      </c>
      <c r="I216" s="6" t="n">
        <f aca="false">Sens!H216-Sens!I212+Sens!I214</f>
        <v>40.8496868804549</v>
      </c>
      <c r="J216" s="6" t="n">
        <f aca="false">Sens!I216-Sens!J212+Sens!J214</f>
        <v>40.3496868804549</v>
      </c>
      <c r="K216" s="6" t="n">
        <f aca="false">Sens!J216-Sens!K212+Sens!K214</f>
        <v>40.3496868804549</v>
      </c>
    </row>
    <row r="217" customFormat="false" ht="15" hidden="false" customHeight="false" outlineLevel="0" collapsed="false">
      <c r="A217" s="1" t="s">
        <v>960</v>
      </c>
      <c r="B217" s="0" t="s">
        <v>98</v>
      </c>
      <c r="E217" s="6" t="n">
        <f aca="false">Sens!E215-Sens!E216</f>
        <v>30.707</v>
      </c>
      <c r="F217" s="6" t="n">
        <f aca="false">Sens!F215-Sens!F216</f>
        <v>7.14931311954508</v>
      </c>
      <c r="G217" s="6" t="n">
        <f aca="false">Sens!G215-Sens!G216</f>
        <v>7.14931311954508</v>
      </c>
      <c r="H217" s="6" t="n">
        <f aca="false">Sens!H215-Sens!H216</f>
        <v>45.7400706849148</v>
      </c>
      <c r="I217" s="6" t="n">
        <f aca="false">Sens!I215-Sens!I216</f>
        <v>151.74814212647</v>
      </c>
      <c r="J217" s="6" t="n">
        <f aca="false">Sens!J215-Sens!J216</f>
        <v>330.00649666754</v>
      </c>
      <c r="K217" s="6" t="n">
        <f aca="false">Sens!K215-Sens!K216</f>
        <v>542.478245370542</v>
      </c>
    </row>
    <row r="218" customFormat="false" ht="15" hidden="false" customHeight="false" outlineLevel="0" collapsed="false">
      <c r="A218" s="1" t="s">
        <v>961</v>
      </c>
      <c r="B218" s="0" t="s">
        <v>75</v>
      </c>
      <c r="F218" s="29" t="n">
        <f aca="false">px*(1+bb_g)^(Sens!F82-base_fy-mid_yr)</f>
        <v>553.494156066711</v>
      </c>
      <c r="G218" s="29" t="n">
        <f aca="false">px*(1+bb_g)^(Sens!G82-base_fy-mid_yr)</f>
        <v>597.773688552047</v>
      </c>
      <c r="H218" s="29" t="n">
        <f aca="false">px*(1+bb_g)^(Sens!H82-base_fy-mid_yr)</f>
        <v>645.595583636211</v>
      </c>
      <c r="I218" s="29" t="n">
        <f aca="false">px*(1+bb_g)^(Sens!I82-base_fy-mid_yr)</f>
        <v>697.243230327108</v>
      </c>
      <c r="J218" s="29" t="n">
        <f aca="false">px*(1+bb_g)^(Sens!J82-base_fy-mid_yr)</f>
        <v>753.022688753277</v>
      </c>
      <c r="K218" s="29" t="n">
        <f aca="false">px*(1+bb_g)^(Sens!K82-base_fy-mid_yr)</f>
        <v>813.264503853539</v>
      </c>
    </row>
    <row r="219" customFormat="false" ht="15" hidden="false" customHeight="false" outlineLevel="0" collapsed="false">
      <c r="A219" s="1" t="s">
        <v>962</v>
      </c>
      <c r="B219" s="1" t="s">
        <v>81</v>
      </c>
      <c r="E219" s="14" t="n">
        <f aca="false">sh_out26</f>
        <v>7.427</v>
      </c>
      <c r="F219" s="14" t="n">
        <f aca="false">Sens!E219+sh_iss-Sens!F213/Sens!F218</f>
        <v>7.472</v>
      </c>
      <c r="G219" s="14" t="n">
        <f aca="false">Sens!F219+sh_iss-Sens!G213/Sens!G218</f>
        <v>7.49616685252947</v>
      </c>
      <c r="H219" s="14" t="n">
        <f aca="false">Sens!G219+sh_iss-Sens!H213/Sens!H218</f>
        <v>7.50667002422937</v>
      </c>
      <c r="I219" s="14" t="n">
        <f aca="false">Sens!H219+sh_iss-Sens!I213/Sens!I218</f>
        <v>7.5197285165441</v>
      </c>
      <c r="J219" s="14" t="n">
        <f aca="false">Sens!I219+sh_iss-Sens!J213/Sens!J218</f>
        <v>7.53515304646514</v>
      </c>
      <c r="K219" s="14" t="n">
        <f aca="false">Sens!J219+sh_iss-Sens!K213/Sens!K218</f>
        <v>7.55276835194758</v>
      </c>
    </row>
    <row r="220" customFormat="false" ht="15" hidden="false" customHeight="false" outlineLevel="0" collapsed="false">
      <c r="A220" s="1" t="s">
        <v>963</v>
      </c>
      <c r="B220" s="1" t="s">
        <v>81</v>
      </c>
      <c r="E220" s="14" t="n">
        <f aca="false">sh_dil26</f>
        <v>7.453</v>
      </c>
      <c r="F220" s="14" t="n">
        <f aca="false">(Sens!E219+Sens!F219)/2+dil_gap</f>
        <v>7.4735</v>
      </c>
      <c r="G220" s="14" t="n">
        <f aca="false">(Sens!F219+Sens!G219)/2+dil_gap</f>
        <v>7.50808342626474</v>
      </c>
      <c r="H220" s="14" t="n">
        <f aca="false">(Sens!G219+Sens!H219)/2+dil_gap</f>
        <v>7.52541843837942</v>
      </c>
      <c r="I220" s="14" t="n">
        <f aca="false">(Sens!H219+Sens!I219)/2+dil_gap</f>
        <v>7.53719927038673</v>
      </c>
      <c r="J220" s="14" t="n">
        <f aca="false">(Sens!I219+Sens!J219)/2+dil_gap</f>
        <v>7.55144078150462</v>
      </c>
      <c r="K220" s="14" t="n">
        <f aca="false">(Sens!J219+Sens!K219)/2+dil_gap</f>
        <v>7.56796069920636</v>
      </c>
    </row>
    <row r="221" customFormat="false" ht="17.15" hidden="false" customHeight="false" outlineLevel="0" collapsed="false">
      <c r="A221" s="1" t="s">
        <v>964</v>
      </c>
      <c r="B221" s="0" t="s">
        <v>98</v>
      </c>
      <c r="C221" s="6" t="n">
        <f aca="false">SUM(Sens!F211:J211)</f>
        <v>378.566004075148</v>
      </c>
    </row>
    <row r="222" customFormat="false" ht="15" hidden="false" customHeight="false" outlineLevel="0" collapsed="false">
      <c r="A222" s="23" t="s">
        <v>935</v>
      </c>
      <c r="B222" s="30" t="s">
        <v>98</v>
      </c>
      <c r="C222" s="24" t="n">
        <f aca="false">Sens!$C$221-(Sens!F211+Sens!G211+Sens!H211+Sens!I211+Sens!J211)</f>
        <v>0</v>
      </c>
      <c r="D222" s="30"/>
      <c r="E222" s="30"/>
      <c r="F222" s="30"/>
      <c r="G222" s="30"/>
      <c r="H222" s="30"/>
      <c r="I222" s="30"/>
      <c r="J222" s="30"/>
      <c r="K222" s="30"/>
    </row>
    <row r="223" customFormat="false" ht="17.15" hidden="false" customHeight="false" outlineLevel="0" collapsed="false">
      <c r="A223" s="1" t="s">
        <v>929</v>
      </c>
      <c r="B223" s="1" t="s">
        <v>965</v>
      </c>
      <c r="C223" s="32" t="str">
        <f aca="false">IF(SUM(Sens!F214:J214)&gt;0.05,"需要舉債 "&amp;TEXT(SUM(Sens!F214:J214),"0.0")&amp;" 十億美元","不需舉債")&amp;"；"&amp;IF(SUM(Sens!F213:J213)&lt;COUNT(Sens!F213:J213)*bb_target-0.05,"回購較每年 "&amp;TEXT(bb_target,"0.0")&amp;" 的目標少 "&amp;TEXT(COUNT(Sens!F213:J213)*bb_target-SUM(Sens!F213:J213),"0.0")&amp;" 十億美元（"&amp;TEXT(COUNTIF(Sens!F213:J213,"&lt;"&amp;(bb_target-0.05)),"0")&amp;" 年減少）","回購不減")</f>
        <v>需要舉債 6.0 十億美元；回購較每年 22.3 的目標少 32.1 十億美元（2 年減少）</v>
      </c>
    </row>
    <row r="224" customFormat="false" ht="17.15" hidden="false" customHeight="false" outlineLevel="0" collapsed="false">
      <c r="A224" s="3" t="s">
        <v>1238</v>
      </c>
    </row>
    <row r="225" customFormat="false" ht="15" hidden="false" customHeight="false" outlineLevel="0" collapsed="false">
      <c r="A225" s="4" t="s">
        <v>43</v>
      </c>
      <c r="B225" s="4" t="s">
        <v>65</v>
      </c>
      <c r="C225" s="20" t="s">
        <v>788</v>
      </c>
      <c r="D225" s="20" t="s">
        <v>789</v>
      </c>
      <c r="E225" s="20" t="s">
        <v>790</v>
      </c>
      <c r="F225" s="20" t="s">
        <v>791</v>
      </c>
      <c r="G225" s="20" t="s">
        <v>792</v>
      </c>
      <c r="H225" s="20" t="s">
        <v>793</v>
      </c>
      <c r="I225" s="20" t="s">
        <v>794</v>
      </c>
      <c r="J225" s="20" t="s">
        <v>795</v>
      </c>
      <c r="K225" s="20" t="s">
        <v>796</v>
      </c>
      <c r="L225" s="4" t="s">
        <v>47</v>
      </c>
    </row>
    <row r="226" customFormat="false" ht="15" hidden="false" customHeight="false" outlineLevel="0" collapsed="false">
      <c r="A226" s="1" t="s">
        <v>1042</v>
      </c>
      <c r="B226" s="1" t="s">
        <v>235</v>
      </c>
      <c r="F226" s="36" t="n">
        <f aca="false">Sens!F82-base_fy-mid_yr</f>
        <v>0.5</v>
      </c>
      <c r="G226" s="36" t="n">
        <f aca="false">Sens!G82-base_fy-mid_yr</f>
        <v>1.5</v>
      </c>
      <c r="H226" s="36" t="n">
        <f aca="false">Sens!H82-base_fy-mid_yr</f>
        <v>2.5</v>
      </c>
      <c r="I226" s="36" t="n">
        <f aca="false">Sens!I82-base_fy-mid_yr</f>
        <v>3.5</v>
      </c>
      <c r="J226" s="36" t="n">
        <f aca="false">Sens!J82-base_fy-mid_yr</f>
        <v>4.5</v>
      </c>
      <c r="K226" s="36" t="n">
        <f aca="false">Sens!K82-base_fy-mid_yr</f>
        <v>5.5</v>
      </c>
    </row>
    <row r="227" customFormat="false" ht="15" hidden="false" customHeight="false" outlineLevel="0" collapsed="false">
      <c r="A227" s="1" t="s">
        <v>1043</v>
      </c>
      <c r="B227" s="0" t="s">
        <v>185</v>
      </c>
      <c r="F227" s="14" t="n">
        <f aca="false">1/(1+wacc)^Sens!F226</f>
        <v>0.952193373608246</v>
      </c>
      <c r="G227" s="14" t="n">
        <f aca="false">1/(1+wacc)^Sens!G226</f>
        <v>0.863327280626589</v>
      </c>
      <c r="H227" s="14" t="n">
        <f aca="false">1/(1+wacc)^Sens!H226</f>
        <v>0.782754862754115</v>
      </c>
      <c r="I227" s="14" t="n">
        <f aca="false">1/(1+wacc)^Sens!I226</f>
        <v>0.709702089711011</v>
      </c>
      <c r="J227" s="14" t="n">
        <f aca="false">1/(1+wacc)^Sens!J226</f>
        <v>0.643467169744551</v>
      </c>
      <c r="K227" s="14" t="n">
        <f aca="false">1/(1+wacc)^Sens!K226</f>
        <v>0.583413807767797</v>
      </c>
    </row>
    <row r="228" customFormat="false" ht="17.15" hidden="false" customHeight="false" outlineLevel="0" collapsed="false">
      <c r="A228" s="1" t="s">
        <v>1044</v>
      </c>
      <c r="B228" s="0" t="s">
        <v>98</v>
      </c>
      <c r="F228" s="6" t="n">
        <f aca="false">Sens!F202-Sens!F200-Sens!F205+Sens!F186*(1-tax_f)</f>
        <v>-5.96354600585164</v>
      </c>
      <c r="G228" s="6" t="n">
        <f aca="false">Sens!G202-Sens!G200-Sens!G205+Sens!G186*(1-tax_f)</f>
        <v>29.6270668981869</v>
      </c>
      <c r="H228" s="6" t="n">
        <f aca="false">Sens!H202-Sens!H200-Sens!H205+Sens!H186*(1-tax_f)</f>
        <v>76.7057830201952</v>
      </c>
      <c r="I228" s="6" t="n">
        <f aca="false">Sens!I202-Sens!I200-Sens!I205+Sens!I186*(1-tax_f)</f>
        <v>143.958680328936</v>
      </c>
      <c r="J228" s="6" t="n">
        <f aca="false">Sens!J202-Sens!J200-Sens!J205+Sens!J186*(1-tax_f)</f>
        <v>216.934560203904</v>
      </c>
      <c r="K228" s="6" t="n">
        <f aca="false">Sens!K202-Sens!K200-Sens!K205+Sens!K186*(1-tax_f)</f>
        <v>252.65563633262</v>
      </c>
      <c r="L228" s="1" t="s">
        <v>1045</v>
      </c>
    </row>
    <row r="229" customFormat="false" ht="15" hidden="false" customHeight="false" outlineLevel="0" collapsed="false">
      <c r="A229" s="1" t="s">
        <v>1046</v>
      </c>
      <c r="B229" s="0" t="s">
        <v>98</v>
      </c>
      <c r="F229" s="6" t="n">
        <f aca="false">Sens!F228*Sens!F227</f>
        <v>-5.67844898997985</v>
      </c>
      <c r="G229" s="6" t="n">
        <f aca="false">Sens!G228*Sens!G227</f>
        <v>25.5778550981537</v>
      </c>
      <c r="H229" s="6" t="n">
        <f aca="false">Sens!H228*Sens!H227</f>
        <v>60.0418246604199</v>
      </c>
      <c r="I229" s="6" t="n">
        <f aca="false">Sens!I228*Sens!I227</f>
        <v>102.167776261485</v>
      </c>
      <c r="J229" s="6" t="n">
        <f aca="false">Sens!J228*Sens!J227</f>
        <v>139.590267474185</v>
      </c>
      <c r="K229" s="6" t="n">
        <f aca="false">Sens!K228*Sens!K227</f>
        <v>147.40278684681</v>
      </c>
    </row>
    <row r="230" customFormat="false" ht="17.15" hidden="false" customHeight="false" outlineLevel="0" collapsed="false">
      <c r="A230" s="1" t="s">
        <v>1047</v>
      </c>
      <c r="B230" s="0" t="s">
        <v>98</v>
      </c>
      <c r="C230" s="6" t="n">
        <f aca="false">SUM(Sens!F229:K229)</f>
        <v>469.102061351074</v>
      </c>
    </row>
    <row r="231" customFormat="false" ht="17.15" hidden="false" customHeight="false" outlineLevel="0" collapsed="false">
      <c r="A231" s="1" t="s">
        <v>1048</v>
      </c>
      <c r="B231" s="0" t="s">
        <v>98</v>
      </c>
      <c r="C231" s="6" t="n">
        <f aca="false">Sens!K172*(1+g_tv)*(1-tax_f)</f>
        <v>262.67720370863</v>
      </c>
    </row>
    <row r="232" customFormat="false" ht="17.15" hidden="false" customHeight="false" outlineLevel="0" collapsed="false">
      <c r="A232" s="1" t="s">
        <v>1049</v>
      </c>
      <c r="B232" s="0" t="s">
        <v>98</v>
      </c>
      <c r="C232" s="6" t="n">
        <f aca="false">Sens!$C$231*(1-g_tv/(wacc+ronic_prem))</f>
        <v>186.120536811895</v>
      </c>
    </row>
    <row r="233" customFormat="false" ht="17.15" hidden="false" customHeight="false" outlineLevel="0" collapsed="false">
      <c r="A233" s="1" t="s">
        <v>1050</v>
      </c>
      <c r="B233" s="0" t="s">
        <v>98</v>
      </c>
      <c r="C233" s="6" t="n">
        <f aca="false">Sens!$C$232/(wacc-g_tv)</f>
        <v>2551.88889655784</v>
      </c>
    </row>
    <row r="234" customFormat="false" ht="15" hidden="false" customHeight="false" outlineLevel="0" collapsed="false">
      <c r="A234" s="1" t="s">
        <v>1051</v>
      </c>
      <c r="B234" s="0" t="s">
        <v>98</v>
      </c>
      <c r="C234" s="6" t="n">
        <f aca="false">Sens!$C$233/(1+wacc)^(Sens!K226+mid_yr)</f>
        <v>1417.63236769415</v>
      </c>
    </row>
    <row r="235" customFormat="false" ht="17.15" hidden="false" customHeight="false" outlineLevel="0" collapsed="false">
      <c r="A235" s="0" t="s">
        <v>972</v>
      </c>
      <c r="B235" s="0" t="s">
        <v>98</v>
      </c>
      <c r="C235" s="6" t="n">
        <f aca="false">Sens!$C$230+Sens!$C$234</f>
        <v>1886.73442904522</v>
      </c>
    </row>
    <row r="236" customFormat="false" ht="15" hidden="false" customHeight="false" outlineLevel="0" collapsed="false">
      <c r="A236" s="1" t="s">
        <v>973</v>
      </c>
      <c r="B236" s="0" t="s">
        <v>129</v>
      </c>
      <c r="C236" s="7" t="n">
        <f aca="false">Sens!$C$234/Sens!$C$235</f>
        <v>0.751368261410027</v>
      </c>
    </row>
    <row r="237" customFormat="false" ht="17.15" hidden="false" customHeight="false" outlineLevel="0" collapsed="false">
      <c r="A237" s="1" t="s">
        <v>1052</v>
      </c>
      <c r="B237" s="0" t="s">
        <v>98</v>
      </c>
      <c r="C237" s="6" t="n">
        <f aca="false">Sens!$C$235+Sens!E217-Sens!E206+oai_v</f>
        <v>2021.24742904522</v>
      </c>
    </row>
    <row r="238" customFormat="false" ht="17.15" hidden="false" customHeight="false" outlineLevel="0" collapsed="false">
      <c r="A238" s="0" t="s">
        <v>980</v>
      </c>
      <c r="B238" s="0" t="s">
        <v>75</v>
      </c>
      <c r="C238" s="5" t="n">
        <f aca="false">Sens!$C$237/sh_dil26</f>
        <v>271.199172017338</v>
      </c>
    </row>
    <row r="239" customFormat="false" ht="15" hidden="false" customHeight="false" outlineLevel="0" collapsed="false">
      <c r="A239" s="1" t="s">
        <v>1053</v>
      </c>
      <c r="B239" s="0" t="s">
        <v>75</v>
      </c>
      <c r="C239" s="8" t="n">
        <f aca="false">dps_27+Sens!G209*roll_div_q/q_per_yr</f>
        <v>4.8895</v>
      </c>
    </row>
    <row r="240" customFormat="false" ht="17.15" hidden="false" customHeight="false" outlineLevel="0" collapsed="false">
      <c r="A240" s="0" t="s">
        <v>1054</v>
      </c>
      <c r="B240" s="0" t="s">
        <v>75</v>
      </c>
      <c r="C240" s="5" t="n">
        <f aca="false">Sens!$C$238*(1+wacc)^t_roll-Sens!$C$239</f>
        <v>303.934052387879</v>
      </c>
    </row>
    <row r="241" customFormat="false" ht="17.15" hidden="false" customHeight="false" outlineLevel="0" collapsed="false">
      <c r="A241" s="1" t="s">
        <v>1055</v>
      </c>
      <c r="B241" s="0" t="s">
        <v>129</v>
      </c>
      <c r="F241" s="7" t="n">
        <f aca="false">Sens!F198/(Sens!F143-Sens!F99)</f>
        <v>0.0681773598226415</v>
      </c>
      <c r="G241" s="7" t="n">
        <f aca="false">Sens!G198/(Sens!G143-Sens!G99)</f>
        <v>0.0650385409375172</v>
      </c>
      <c r="H241" s="7" t="n">
        <f aca="false">Sens!H198/(Sens!H143-Sens!H99)</f>
        <v>0.063382542471986</v>
      </c>
      <c r="I241" s="7" t="n">
        <f aca="false">Sens!I198/(Sens!I143-Sens!I99)</f>
        <v>0.0630998138876076</v>
      </c>
      <c r="J241" s="7" t="n">
        <f aca="false">Sens!J198/(Sens!J143-Sens!J99)</f>
        <v>0.0638399980286975</v>
      </c>
      <c r="K241" s="7" t="n">
        <f aca="false">Sens!K198/(Sens!K143-Sens!K99)</f>
        <v>0.0651531082402687</v>
      </c>
    </row>
    <row r="242" customFormat="false" ht="17.15" hidden="false" customHeight="false" outlineLevel="0" collapsed="false">
      <c r="A242" s="0" t="s">
        <v>1056</v>
      </c>
      <c r="B242" s="0" t="s">
        <v>98</v>
      </c>
      <c r="F242" s="6" t="n">
        <f aca="false">Sens!F128*(al_m365+Sens!F241+sbc_r)</f>
        <v>84.944046606333</v>
      </c>
      <c r="G242" s="6" t="n">
        <f aca="false">Sens!G128*(al_m365+Sens!G241+sbc_r)</f>
        <v>99.4236143320739</v>
      </c>
      <c r="H242" s="6" t="n">
        <f aca="false">Sens!H128*(al_m365+Sens!H241+sbc_r)</f>
        <v>114.068697186163</v>
      </c>
      <c r="I242" s="6" t="n">
        <f aca="false">Sens!I128*(al_m365+Sens!I241+sbc_r)</f>
        <v>127.196415789369</v>
      </c>
      <c r="J242" s="6" t="n">
        <f aca="false">Sens!J128*(al_m365+Sens!J241+sbc_r)</f>
        <v>138.619575691419</v>
      </c>
      <c r="K242" s="6" t="n">
        <f aca="false">Sens!K128*(al_m365+Sens!K241+sbc_r)</f>
        <v>149.659768267063</v>
      </c>
      <c r="L242" s="11" t="s">
        <v>1057</v>
      </c>
    </row>
    <row r="243" customFormat="false" ht="17.15" hidden="false" customHeight="false" outlineLevel="0" collapsed="false">
      <c r="A243" s="0" t="s">
        <v>1058</v>
      </c>
      <c r="B243" s="0" t="s">
        <v>98</v>
      </c>
      <c r="F243" s="6" t="n">
        <f aca="false">Sens!F129*(al_lic+Sens!F241+sbc_r)</f>
        <v>33.4285095904825</v>
      </c>
      <c r="G243" s="6" t="n">
        <f aca="false">Sens!G129*(al_lic+Sens!G241+sbc_r)</f>
        <v>34.7161826947861</v>
      </c>
      <c r="H243" s="6" t="n">
        <f aca="false">Sens!H129*(al_lic+Sens!H241+sbc_r)</f>
        <v>35.9223654002493</v>
      </c>
      <c r="I243" s="6" t="n">
        <f aca="false">Sens!I129*(al_lic+Sens!I241+sbc_r)</f>
        <v>37.0298325864501</v>
      </c>
      <c r="J243" s="6" t="n">
        <f aca="false">Sens!J129*(al_lic+Sens!J241+sbc_r)</f>
        <v>38.0103325842314</v>
      </c>
      <c r="K243" s="6" t="n">
        <f aca="false">Sens!K129*(al_lic+Sens!K241+sbc_r)</f>
        <v>38.8303473189322</v>
      </c>
    </row>
    <row r="244" customFormat="false" ht="17.15" hidden="false" customHeight="false" outlineLevel="0" collapsed="false">
      <c r="A244" s="0" t="s">
        <v>1059</v>
      </c>
      <c r="B244" s="0" t="s">
        <v>98</v>
      </c>
      <c r="F244" s="6" t="n">
        <f aca="false">Sens!F131*(al_ind+Sens!F241+sbc_r)</f>
        <v>9.06719306746208</v>
      </c>
      <c r="G244" s="6" t="n">
        <f aca="false">Sens!G131*(al_ind+Sens!G241+sbc_r)</f>
        <v>9.83485541633448</v>
      </c>
      <c r="H244" s="6" t="n">
        <f aca="false">Sens!H131*(al_ind+Sens!H241+sbc_r)</f>
        <v>10.6498544617516</v>
      </c>
      <c r="I244" s="6" t="n">
        <f aca="false">Sens!I131*(al_ind+Sens!I241+sbc_r)</f>
        <v>11.5103515303299</v>
      </c>
      <c r="J244" s="6" t="n">
        <f aca="false">Sens!J131*(al_ind+Sens!J241+sbc_r)</f>
        <v>12.4055032067278</v>
      </c>
      <c r="K244" s="6" t="n">
        <f aca="false">Sens!K131*(al_ind+Sens!K241+sbc_r)</f>
        <v>13.3173308472897</v>
      </c>
    </row>
    <row r="245" customFormat="false" ht="17.15" hidden="false" customHeight="false" outlineLevel="0" collapsed="false">
      <c r="A245" s="0" t="s">
        <v>1060</v>
      </c>
      <c r="B245" s="0" t="s">
        <v>98</v>
      </c>
      <c r="F245" s="6" t="n">
        <f aca="false">Sens!F133*(al_fro+Sens!F241+sbc_r)</f>
        <v>3.56887902446295</v>
      </c>
      <c r="G245" s="6" t="n">
        <f aca="false">Sens!G133*(al_fro+Sens!G241+sbc_r)</f>
        <v>3.77600302676241</v>
      </c>
      <c r="H245" s="6" t="n">
        <f aca="false">Sens!H133*(al_fro+Sens!H241+sbc_r)</f>
        <v>4.01322967965482</v>
      </c>
      <c r="I245" s="6" t="n">
        <f aca="false">Sens!I133*(al_fro+Sens!I241+sbc_r)</f>
        <v>4.28368437397841</v>
      </c>
      <c r="J245" s="6" t="n">
        <f aca="false">Sens!J133*(al_fro+Sens!J241+sbc_r)</f>
        <v>4.58803182845156</v>
      </c>
      <c r="K245" s="6" t="n">
        <f aca="false">Sens!K133*(al_fro+Sens!K241+sbc_r)</f>
        <v>4.92526073140255</v>
      </c>
    </row>
    <row r="246" customFormat="false" ht="17.15" hidden="false" customHeight="false" outlineLevel="0" collapsed="false">
      <c r="A246" s="0" t="s">
        <v>1061</v>
      </c>
      <c r="B246" s="0" t="s">
        <v>98</v>
      </c>
      <c r="F246" s="6" t="n">
        <f aca="false">Sens!F136*(al_srch+Sens!F241+sbc_r)</f>
        <v>11.1981144415922</v>
      </c>
      <c r="G246" s="6" t="n">
        <f aca="false">Sens!G136*(al_srch+Sens!G241+sbc_r)</f>
        <v>12.2607925441521</v>
      </c>
      <c r="H246" s="6" t="n">
        <f aca="false">Sens!H136*(al_srch+Sens!H241+sbc_r)</f>
        <v>13.3712787172501</v>
      </c>
      <c r="I246" s="6" t="n">
        <f aca="false">Sens!I136*(al_srch+Sens!I241+sbc_r)</f>
        <v>14.5205713773955</v>
      </c>
      <c r="J246" s="6" t="n">
        <f aca="false">Sens!J136*(al_srch+Sens!J241+sbc_r)</f>
        <v>15.6873363367184</v>
      </c>
      <c r="K246" s="6" t="n">
        <f aca="false">Sens!K136*(al_srch+Sens!K241+sbc_r)</f>
        <v>16.8403848378749</v>
      </c>
    </row>
    <row r="247" customFormat="false" ht="17.15" hidden="false" customHeight="false" outlineLevel="0" collapsed="false">
      <c r="A247" s="0" t="s">
        <v>1062</v>
      </c>
      <c r="B247" s="0" t="s">
        <v>98</v>
      </c>
      <c r="F247" s="6" t="n">
        <f aca="false">Sens!F105-Sens!F106+Sens!F186</f>
        <v>36.5949228542273</v>
      </c>
      <c r="G247" s="6" t="n">
        <f aca="false">Sens!G105-Sens!G106+Sens!G186</f>
        <v>67.6866712057401</v>
      </c>
      <c r="H247" s="6" t="n">
        <f aca="false">Sens!H105-Sens!H106+Sens!H186</f>
        <v>104.906193759209</v>
      </c>
      <c r="I247" s="6" t="n">
        <f aca="false">Sens!I105-Sens!I106+Sens!I186</f>
        <v>132.789481003768</v>
      </c>
      <c r="J247" s="6" t="n">
        <f aca="false">Sens!J105-Sens!J106+Sens!J186</f>
        <v>152.45353444804</v>
      </c>
      <c r="K247" s="6" t="n">
        <f aca="false">Sens!K105-Sens!K106+Sens!K186</f>
        <v>165.266991606056</v>
      </c>
    </row>
    <row r="248" customFormat="false" ht="17.15" hidden="false" customHeight="false" outlineLevel="0" collapsed="false">
      <c r="A248" s="0" t="s">
        <v>1063</v>
      </c>
      <c r="B248" s="0" t="s">
        <v>98</v>
      </c>
      <c r="F248" s="6" t="n">
        <f aca="false">Sens!F165+Sens!F186+Sens!F116+Sens!F241*(Sens!F135-Sens!F99)+sbc_r*Sens!F135</f>
        <v>228.689927236919</v>
      </c>
      <c r="G248" s="6" t="n">
        <f aca="false">Sens!G165+Sens!G186+Sens!G116+Sens!G241*(Sens!G135-Sens!G99)+sbc_r*Sens!G135</f>
        <v>289.059228817045</v>
      </c>
      <c r="H248" s="6" t="n">
        <f aca="false">Sens!H165+Sens!H186+Sens!H116+Sens!H241*(Sens!H135-Sens!H99)+sbc_r*Sens!H135</f>
        <v>356.262400446032</v>
      </c>
      <c r="I248" s="6" t="n">
        <f aca="false">Sens!I165+Sens!I186+Sens!I116+Sens!I241*(Sens!I135-Sens!I99)+sbc_r*Sens!I135</f>
        <v>412.05930799122</v>
      </c>
      <c r="J248" s="6" t="n">
        <f aca="false">Sens!J165+Sens!J186+Sens!J116+Sens!J241*(Sens!J135-Sens!J99)+sbc_r*Sens!J135</f>
        <v>456.673557669108</v>
      </c>
      <c r="K248" s="6" t="n">
        <f aca="false">Sens!K165+Sens!K186+Sens!K116+Sens!K241*(Sens!K135-Sens!K99)+sbc_r*Sens!K135</f>
        <v>492.015256026614</v>
      </c>
    </row>
    <row r="249" customFormat="false" ht="17.15" hidden="false" customHeight="false" outlineLevel="0" collapsed="false">
      <c r="A249" s="0" t="s">
        <v>1064</v>
      </c>
      <c r="B249" s="0" t="s">
        <v>98</v>
      </c>
      <c r="F249" s="6" t="n">
        <f aca="false">Sens!F248-Sens!F242-Sens!F243-Sens!F244-Sens!F245-Sens!F247</f>
        <v>61.0863760939514</v>
      </c>
      <c r="G249" s="6" t="n">
        <f aca="false">Sens!G248-Sens!G242-Sens!G243-Sens!G244-Sens!G245-Sens!G247</f>
        <v>73.6219021413484</v>
      </c>
      <c r="H249" s="6" t="n">
        <f aca="false">Sens!H248-Sens!H242-Sens!H243-Sens!H244-Sens!H245-Sens!H247</f>
        <v>86.7020599590046</v>
      </c>
      <c r="I249" s="6" t="n">
        <f aca="false">Sens!I248-Sens!I242-Sens!I243-Sens!I244-Sens!I245-Sens!I247</f>
        <v>99.249542707324</v>
      </c>
      <c r="J249" s="6" t="n">
        <f aca="false">Sens!J248-Sens!J242-Sens!J243-Sens!J244-Sens!J245-Sens!J247</f>
        <v>110.596579910238</v>
      </c>
      <c r="K249" s="6" t="n">
        <f aca="false">Sens!K248-Sens!K242-Sens!K243-Sens!K244-Sens!K245-Sens!K247</f>
        <v>120.015557255871</v>
      </c>
    </row>
    <row r="250" customFormat="false" ht="17.15" hidden="false" customHeight="false" outlineLevel="0" collapsed="false">
      <c r="A250" s="0" t="s">
        <v>1065</v>
      </c>
      <c r="B250" s="0" t="s">
        <v>98</v>
      </c>
      <c r="F250" s="6" t="n">
        <f aca="false">Sens!F167+Sens!F241*Sens!F142+sbc_r*Sens!F142</f>
        <v>26.1717931813002</v>
      </c>
      <c r="G250" s="6" t="n">
        <f aca="false">Sens!G167+Sens!G241*Sens!G142+sbc_r*Sens!G142</f>
        <v>26.7581197754446</v>
      </c>
      <c r="H250" s="6" t="n">
        <f aca="false">Sens!H167+Sens!H241*Sens!H142+sbc_r*Sens!H142</f>
        <v>27.6201174920951</v>
      </c>
      <c r="I250" s="6" t="n">
        <f aca="false">Sens!I167+Sens!I241*Sens!I142+sbc_r*Sens!I142</f>
        <v>28.7296306530919</v>
      </c>
      <c r="J250" s="6" t="n">
        <f aca="false">Sens!J167+Sens!J241*Sens!J142+sbc_r*Sens!J142</f>
        <v>30.04749983899</v>
      </c>
      <c r="K250" s="6" t="n">
        <f aca="false">Sens!K167+Sens!K241*Sens!K142+sbc_r*Sens!K142</f>
        <v>31.5292329023825</v>
      </c>
    </row>
    <row r="251" customFormat="false" ht="17.15" hidden="false" customHeight="false" outlineLevel="0" collapsed="false">
      <c r="A251" s="0" t="s">
        <v>1066</v>
      </c>
      <c r="B251" s="0" t="s">
        <v>98</v>
      </c>
      <c r="F251" s="6" t="n">
        <f aca="false">(Sens!F250-Sens!F246)*Sens!F138/(Sens!F138+Sens!F140)</f>
        <v>8.20842484359027</v>
      </c>
      <c r="G251" s="6" t="n">
        <f aca="false">(Sens!G250-Sens!G246)*Sens!G138/(Sens!G138+Sens!G140)</f>
        <v>7.80559384110416</v>
      </c>
      <c r="H251" s="6" t="n">
        <f aca="false">(Sens!H250-Sens!H246)*Sens!H138/(Sens!H138+Sens!H140)</f>
        <v>7.56817041839156</v>
      </c>
      <c r="I251" s="6" t="n">
        <f aca="false">(Sens!I250-Sens!I246)*Sens!I138/(Sens!I138+Sens!I140)</f>
        <v>7.47875608696462</v>
      </c>
      <c r="J251" s="6" t="n">
        <f aca="false">(Sens!J250-Sens!J246)*Sens!J138/(Sens!J138+Sens!J140)</f>
        <v>7.52410955955578</v>
      </c>
      <c r="K251" s="6" t="n">
        <f aca="false">(Sens!K250-Sens!K246)*Sens!K138/(Sens!K138+Sens!K140)</f>
        <v>7.6963261681206</v>
      </c>
    </row>
    <row r="252" customFormat="false" ht="17.15" hidden="false" customHeight="false" outlineLevel="0" collapsed="false">
      <c r="A252" s="0" t="s">
        <v>1067</v>
      </c>
      <c r="B252" s="0" t="s">
        <v>98</v>
      </c>
      <c r="F252" s="6" t="n">
        <f aca="false">Sens!F250-Sens!F246-Sens!F251</f>
        <v>6.76525389611778</v>
      </c>
      <c r="G252" s="6" t="n">
        <f aca="false">Sens!G250-Sens!G246-Sens!G251</f>
        <v>6.69173339018827</v>
      </c>
      <c r="H252" s="6" t="n">
        <f aca="false">Sens!H250-Sens!H246-Sens!H251</f>
        <v>6.68066835645346</v>
      </c>
      <c r="I252" s="6" t="n">
        <f aca="false">Sens!I250-Sens!I246-Sens!I251</f>
        <v>6.73030318873177</v>
      </c>
      <c r="J252" s="6" t="n">
        <f aca="false">Sens!J250-Sens!J246-Sens!J251</f>
        <v>6.83605394271588</v>
      </c>
      <c r="K252" s="6" t="n">
        <f aca="false">Sens!K250-Sens!K246-Sens!K251</f>
        <v>6.99252189638696</v>
      </c>
    </row>
    <row r="253" customFormat="false" ht="17.15" hidden="false" customHeight="false" outlineLevel="0" collapsed="false">
      <c r="A253" s="0" t="s">
        <v>1068</v>
      </c>
      <c r="B253" s="0" t="s">
        <v>98</v>
      </c>
      <c r="F253" s="6" t="n">
        <f aca="false">Sens!F247-tax_f*(Sens!F247-Sens!F116)-Sens!F113</f>
        <v>-132.249107395882</v>
      </c>
      <c r="G253" s="6" t="n">
        <f aca="false">Sens!G247-tax_f*(Sens!G247-Sens!G116)-Sens!G113</f>
        <v>-117.32849686654</v>
      </c>
      <c r="H253" s="6" t="n">
        <f aca="false">Sens!H247-tax_f*(Sens!H247-Sens!H116)-Sens!H113</f>
        <v>-86.6118677044049</v>
      </c>
      <c r="I253" s="6" t="n">
        <f aca="false">Sens!I247-tax_f*(Sens!I247-Sens!I116)-Sens!I113</f>
        <v>-35.0826763547867</v>
      </c>
      <c r="J253" s="6" t="n">
        <f aca="false">Sens!J247-tax_f*(Sens!J247-Sens!J116)-Sens!J113</f>
        <v>23.2820930248749</v>
      </c>
      <c r="K253" s="6" t="n">
        <f aca="false">Sens!K247-tax_f*(Sens!K247-Sens!K116)-Sens!K113</f>
        <v>45.1786870038034</v>
      </c>
    </row>
    <row r="254" customFormat="false" ht="17.15" hidden="false" customHeight="false" outlineLevel="0" collapsed="false">
      <c r="A254" s="0" t="s">
        <v>1069</v>
      </c>
      <c r="B254" s="0" t="s">
        <v>98</v>
      </c>
      <c r="F254" s="6" t="n">
        <f aca="false">Sens!F253*Sens!F227</f>
        <v>-125.926723727964</v>
      </c>
      <c r="G254" s="6" t="n">
        <f aca="false">Sens!G253*Sens!G227</f>
        <v>-101.292892139795</v>
      </c>
      <c r="H254" s="6" t="n">
        <f aca="false">Sens!H253*Sens!H227</f>
        <v>-67.795860617839</v>
      </c>
      <c r="I254" s="6" t="n">
        <f aca="false">Sens!I253*Sens!I227</f>
        <v>-24.8982487216472</v>
      </c>
      <c r="J254" s="6" t="n">
        <f aca="false">Sens!J253*Sens!J227</f>
        <v>14.9812625044456</v>
      </c>
      <c r="K254" s="6" t="n">
        <f aca="false">Sens!K253*Sens!K227</f>
        <v>26.3578698148384</v>
      </c>
    </row>
    <row r="255" customFormat="false" ht="17.15" hidden="false" customHeight="false" outlineLevel="0" collapsed="false">
      <c r="A255" s="0" t="s">
        <v>1070</v>
      </c>
      <c r="B255" s="0" t="s">
        <v>98</v>
      </c>
      <c r="C255" s="6" t="n">
        <f aca="false">(Sens!K247-Sens!K116)*(1-tax_f)*(1+g_tv)*(1-g_tv/(wacc+ronic_prem))/(wacc-g_tv)/(1+wacc)^(Sens!K226+mid_yr)</f>
        <v>114.040747525966</v>
      </c>
    </row>
    <row r="256" customFormat="false" ht="17.15" hidden="false" customHeight="false" outlineLevel="0" collapsed="false">
      <c r="A256" s="1" t="s">
        <v>1071</v>
      </c>
      <c r="B256" s="0" t="s">
        <v>98</v>
      </c>
      <c r="C256" s="6" t="n">
        <f aca="false">(SUM(Sens!F254:K254)+Sens!$C$255)*(1+wacc)^t_roll</f>
        <v>-187.360183420769</v>
      </c>
      <c r="L256" s="11" t="s">
        <v>1072</v>
      </c>
    </row>
    <row r="257" customFormat="false" ht="17.15" hidden="false" customHeight="false" outlineLevel="0" collapsed="false">
      <c r="A257" s="1" t="s">
        <v>1073</v>
      </c>
      <c r="B257" s="0" t="s">
        <v>98</v>
      </c>
      <c r="C257" s="6" t="n">
        <f aca="false">(w_ntm28*Sens!G105+(1-w_ntm28)*Sens!H105)*m_ai</f>
        <v>551.711134531404</v>
      </c>
    </row>
    <row r="258" customFormat="false" ht="17.15" hidden="false" customHeight="false" outlineLevel="0" collapsed="false">
      <c r="A258" s="1" t="s">
        <v>1074</v>
      </c>
      <c r="B258" s="0" t="s">
        <v>98</v>
      </c>
      <c r="C258" s="6" t="n">
        <f aca="false">(w_ntm28*Sens!G249+(1-w_ntm28)*Sens!H249)*m_cloud</f>
        <v>1075.89468255979</v>
      </c>
    </row>
    <row r="259" customFormat="false" ht="17.15" hidden="false" customHeight="false" outlineLevel="0" collapsed="false">
      <c r="A259" s="1" t="s">
        <v>1075</v>
      </c>
      <c r="B259" s="0" t="s">
        <v>98</v>
      </c>
      <c r="C259" s="6" t="n">
        <f aca="false">(w_ntm28*Sens!G242+(1-w_ntm28)*Sens!H242)*m_sw</f>
        <v>1124.90844188024</v>
      </c>
    </row>
    <row r="260" customFormat="false" ht="17.15" hidden="false" customHeight="false" outlineLevel="0" collapsed="false">
      <c r="A260" s="1" t="s">
        <v>1076</v>
      </c>
      <c r="B260" s="0" t="s">
        <v>98</v>
      </c>
      <c r="C260" s="6" t="n">
        <f aca="false">(w_ntm28*Sens!G243+(1-w_ntm28)*Sens!H243)*m_sw</f>
        <v>379.14616828134</v>
      </c>
    </row>
    <row r="261" customFormat="false" ht="17.15" hidden="false" customHeight="false" outlineLevel="0" collapsed="false">
      <c r="A261" s="1" t="s">
        <v>1077</v>
      </c>
      <c r="B261" s="0" t="s">
        <v>98</v>
      </c>
      <c r="C261" s="6" t="n">
        <f aca="false">(w_ntm28*Sens!G244+(1-w_ntm28)*Sens!H244)*m_sw</f>
        <v>109.062013245671</v>
      </c>
    </row>
    <row r="262" customFormat="false" ht="17.15" hidden="false" customHeight="false" outlineLevel="0" collapsed="false">
      <c r="A262" s="1" t="s">
        <v>1078</v>
      </c>
      <c r="B262" s="0" t="s">
        <v>98</v>
      </c>
      <c r="C262" s="6" t="n">
        <f aca="false">(w_ntm28*Sens!G245+(1-w_ntm28)*Sens!H245)*m_sw</f>
        <v>41.609111172448</v>
      </c>
    </row>
    <row r="263" customFormat="false" ht="17.15" hidden="false" customHeight="false" outlineLevel="0" collapsed="false">
      <c r="A263" s="1" t="s">
        <v>1079</v>
      </c>
      <c r="B263" s="0" t="s">
        <v>98</v>
      </c>
      <c r="C263" s="6" t="n">
        <f aca="false">(w_ntm28*Sens!G246+(1-w_ntm28)*Sens!H246)*m_ads</f>
        <v>114.966369190532</v>
      </c>
    </row>
    <row r="264" customFormat="false" ht="17.15" hidden="false" customHeight="false" outlineLevel="0" collapsed="false">
      <c r="A264" s="1" t="s">
        <v>1080</v>
      </c>
      <c r="B264" s="0" t="s">
        <v>98</v>
      </c>
      <c r="C264" s="6" t="n">
        <f aca="false">(w_ntm28*Sens!G251+(1-w_ntm28)*Sens!H251)*m_game</f>
        <v>97.6152211068291</v>
      </c>
    </row>
    <row r="265" customFormat="false" ht="17.15" hidden="false" customHeight="false" outlineLevel="0" collapsed="false">
      <c r="A265" s="1" t="s">
        <v>1081</v>
      </c>
      <c r="B265" s="0" t="s">
        <v>98</v>
      </c>
      <c r="C265" s="6" t="n">
        <f aca="false">(w_ntm28*Sens!G252+(1-w_ntm28)*Sens!H252)*m_pc</f>
        <v>96.7776202313644</v>
      </c>
    </row>
    <row r="266" customFormat="false" ht="17.15" hidden="false" customHeight="false" outlineLevel="0" collapsed="false">
      <c r="A266" s="1" t="s">
        <v>1082</v>
      </c>
      <c r="B266" s="0" t="s">
        <v>98</v>
      </c>
      <c r="C266" s="6" t="n">
        <f aca="false">Sens!$C$256+Sens!$C$258+Sens!$C$259+Sens!$C$260+Sens!$C$261+Sens!$C$262+Sens!$C$263+Sens!$C$264+Sens!$C$265</f>
        <v>2852.61944424745</v>
      </c>
    </row>
    <row r="267" customFormat="false" ht="17.15" hidden="false" customHeight="false" outlineLevel="0" collapsed="false">
      <c r="A267" s="1" t="s">
        <v>1000</v>
      </c>
      <c r="B267" s="0" t="s">
        <v>98</v>
      </c>
      <c r="C267" s="6" t="n">
        <f aca="false">Sens!F217+oai_v-Sens!F206</f>
        <v>115.079583119545</v>
      </c>
      <c r="L267" s="1" t="s">
        <v>1083</v>
      </c>
    </row>
    <row r="268" customFormat="false" ht="15" hidden="false" customHeight="false" outlineLevel="0" collapsed="false">
      <c r="A268" s="1" t="s">
        <v>1001</v>
      </c>
      <c r="B268" s="0" t="s">
        <v>75</v>
      </c>
      <c r="C268" s="5" t="n">
        <f aca="false">(Sens!$C$266+Sens!$C$267)/Sens!F219</f>
        <v>397.175994026632</v>
      </c>
    </row>
    <row r="269" customFormat="false" ht="17.15" hidden="false" customHeight="false" outlineLevel="0" collapsed="false">
      <c r="A269" s="1" t="s">
        <v>1084</v>
      </c>
      <c r="B269" s="0" t="s">
        <v>75</v>
      </c>
      <c r="C269" s="5" t="n">
        <f aca="false">w_dcf*Sens!$C$240+(1-w_dcf)*Sens!$C$268</f>
        <v>350.555023207255</v>
      </c>
    </row>
    <row r="270" customFormat="false" ht="17.15" hidden="false" customHeight="false" outlineLevel="0" collapsed="false">
      <c r="A270" s="3" t="s">
        <v>1239</v>
      </c>
    </row>
    <row r="271" customFormat="false" ht="15" hidden="false" customHeight="false" outlineLevel="0" collapsed="false">
      <c r="A271" s="4" t="s">
        <v>43</v>
      </c>
      <c r="B271" s="4" t="s">
        <v>65</v>
      </c>
      <c r="C271" s="20" t="s">
        <v>788</v>
      </c>
      <c r="D271" s="20" t="s">
        <v>789</v>
      </c>
      <c r="E271" s="20" t="s">
        <v>790</v>
      </c>
      <c r="F271" s="20" t="s">
        <v>791</v>
      </c>
      <c r="G271" s="20" t="s">
        <v>792</v>
      </c>
      <c r="H271" s="20" t="s">
        <v>793</v>
      </c>
      <c r="I271" s="20" t="s">
        <v>794</v>
      </c>
      <c r="J271" s="20" t="s">
        <v>795</v>
      </c>
      <c r="K271" s="20" t="s">
        <v>796</v>
      </c>
      <c r="L271" s="4" t="s">
        <v>47</v>
      </c>
    </row>
    <row r="272" customFormat="false" ht="17.15" hidden="false" customHeight="false" outlineLevel="0" collapsed="false">
      <c r="A272" s="1" t="s">
        <v>797</v>
      </c>
      <c r="B272" s="1" t="s">
        <v>235</v>
      </c>
      <c r="C272" s="28" t="n">
        <v>2024</v>
      </c>
      <c r="D272" s="28" t="n">
        <v>2025</v>
      </c>
      <c r="E272" s="28" t="n">
        <v>2026</v>
      </c>
      <c r="F272" s="28" t="n">
        <v>2027</v>
      </c>
      <c r="G272" s="28" t="n">
        <v>2028</v>
      </c>
      <c r="H272" s="28" t="n">
        <v>2029</v>
      </c>
      <c r="I272" s="28" t="n">
        <v>2030</v>
      </c>
      <c r="J272" s="28" t="n">
        <v>2031</v>
      </c>
      <c r="K272" s="28" t="n">
        <v>2032</v>
      </c>
    </row>
    <row r="273" customFormat="false" ht="17.15" hidden="false" customHeight="false" outlineLevel="0" collapsed="false">
      <c r="A273" s="1" t="s">
        <v>798</v>
      </c>
      <c r="B273" s="0" t="s">
        <v>392</v>
      </c>
      <c r="F273" s="29" t="n">
        <f aca="false">pace</f>
        <v>2527.2</v>
      </c>
      <c r="G273" s="29" t="n">
        <f aca="false">pace</f>
        <v>2527.2</v>
      </c>
      <c r="H273" s="29" t="n">
        <f aca="false">pace</f>
        <v>2527.2</v>
      </c>
      <c r="I273" s="29" t="n">
        <f aca="false">pace+(g_tv*Sens!H274-pace)*MIN(1,(Sens!I272-pace_y0)/(pace_y1-pace_y0))</f>
        <v>1793.116</v>
      </c>
      <c r="J273" s="29" t="n">
        <f aca="false">pace+(g_tv*Sens!H274-pace)*MIN(1,(Sens!J272-pace_y0)/(pace_y1-pace_y0))</f>
        <v>1059.032</v>
      </c>
      <c r="K273" s="29" t="n">
        <f aca="false">pace+(g_tv*Sens!H274-pace)*MIN(1,(Sens!K272-pace_y0)/(pace_y1-pace_y0))</f>
        <v>324.948</v>
      </c>
      <c r="L273" s="11" t="s">
        <v>799</v>
      </c>
    </row>
    <row r="274" customFormat="false" ht="17.15" hidden="false" customHeight="false" outlineLevel="0" collapsed="false">
      <c r="A274" s="1" t="s">
        <v>800</v>
      </c>
      <c r="B274" s="0" t="s">
        <v>392</v>
      </c>
      <c r="C274" s="29" t="n">
        <f aca="false">mw_ext_24</f>
        <v>640</v>
      </c>
      <c r="D274" s="29" t="n">
        <f aca="false">mw_ext_25</f>
        <v>1630</v>
      </c>
      <c r="E274" s="29" t="n">
        <f aca="false">mw_ext_26</f>
        <v>3250</v>
      </c>
      <c r="F274" s="29" t="n">
        <f aca="false">Sens!E274+Sens!F273</f>
        <v>5777.2</v>
      </c>
      <c r="G274" s="29" t="n">
        <f aca="false">Sens!F274+Sens!G273</f>
        <v>8304.4</v>
      </c>
      <c r="H274" s="29" t="n">
        <f aca="false">Sens!G274+Sens!H273</f>
        <v>10831.6</v>
      </c>
      <c r="I274" s="29" t="n">
        <f aca="false">Sens!H274+Sens!I273</f>
        <v>12624.716</v>
      </c>
      <c r="J274" s="29" t="n">
        <f aca="false">Sens!I274+Sens!J273</f>
        <v>13683.748</v>
      </c>
      <c r="K274" s="29" t="n">
        <f aca="false">Sens!J274+Sens!K273</f>
        <v>14008.696</v>
      </c>
      <c r="L274" s="1" t="s">
        <v>801</v>
      </c>
    </row>
    <row r="275" customFormat="false" ht="17.15" hidden="false" customHeight="false" outlineLevel="0" collapsed="false">
      <c r="A275" s="1" t="s">
        <v>802</v>
      </c>
      <c r="B275" s="0" t="s">
        <v>392</v>
      </c>
      <c r="C275" s="29" t="n">
        <f aca="false">rent_ext_24</f>
        <v>150</v>
      </c>
      <c r="D275" s="29" t="n">
        <f aca="false">rent_ext_25</f>
        <v>400</v>
      </c>
      <c r="E275" s="29" t="n">
        <f aca="false">rent_ext_26</f>
        <v>550</v>
      </c>
      <c r="F275" s="29" t="n">
        <f aca="false">rent_ext_f</f>
        <v>756</v>
      </c>
      <c r="G275" s="29" t="n">
        <f aca="false">rent_ext_f</f>
        <v>756</v>
      </c>
      <c r="H275" s="29" t="n">
        <f aca="false">rent_ext_f</f>
        <v>756</v>
      </c>
      <c r="I275" s="29" t="n">
        <f aca="false">rent_ext_f</f>
        <v>756</v>
      </c>
      <c r="J275" s="29" t="n">
        <f aca="false">rent_ext_f</f>
        <v>756</v>
      </c>
      <c r="K275" s="29" t="n">
        <f aca="false">rent_ext_f</f>
        <v>756</v>
      </c>
      <c r="L275" s="1" t="s">
        <v>803</v>
      </c>
    </row>
    <row r="276" customFormat="false" ht="17.15" hidden="false" customHeight="false" outlineLevel="0" collapsed="false">
      <c r="A276" s="1" t="s">
        <v>804</v>
      </c>
      <c r="B276" s="0" t="s">
        <v>392</v>
      </c>
      <c r="C276" s="29" t="n">
        <f aca="false">Sens!C274-Sens!C275</f>
        <v>490</v>
      </c>
      <c r="D276" s="29" t="n">
        <f aca="false">Sens!D274-Sens!D275</f>
        <v>1230</v>
      </c>
      <c r="E276" s="29" t="n">
        <f aca="false">Sens!E274-Sens!E275</f>
        <v>2700</v>
      </c>
      <c r="F276" s="29" t="n">
        <f aca="false">Sens!F274-Sens!F275</f>
        <v>5021.2</v>
      </c>
      <c r="G276" s="29" t="n">
        <f aca="false">Sens!G274-Sens!G275</f>
        <v>7548.4</v>
      </c>
      <c r="H276" s="29" t="n">
        <f aca="false">Sens!H274-Sens!H275</f>
        <v>10075.6</v>
      </c>
      <c r="I276" s="29" t="n">
        <f aca="false">Sens!I274-Sens!I275</f>
        <v>11868.716</v>
      </c>
      <c r="J276" s="29" t="n">
        <f aca="false">Sens!J274-Sens!J275</f>
        <v>12927.748</v>
      </c>
      <c r="K276" s="29" t="n">
        <f aca="false">Sens!K274-Sens!K275</f>
        <v>13252.696</v>
      </c>
    </row>
    <row r="277" customFormat="false" ht="17.15" hidden="false" customHeight="false" outlineLevel="0" collapsed="false">
      <c r="A277" s="1" t="s">
        <v>805</v>
      </c>
      <c r="B277" s="0" t="s">
        <v>392</v>
      </c>
      <c r="C277" s="29" t="n">
        <f aca="false">Sens!C276/ext_sh</f>
        <v>816.666666666667</v>
      </c>
      <c r="D277" s="29" t="n">
        <f aca="false">Sens!D276/ext_sh</f>
        <v>2050</v>
      </c>
      <c r="E277" s="29" t="n">
        <f aca="false">Sens!E276/ext_sh</f>
        <v>4500</v>
      </c>
      <c r="F277" s="29" t="n">
        <f aca="false">Sens!F276/ext_sh</f>
        <v>8368.66666666667</v>
      </c>
      <c r="G277" s="29" t="n">
        <f aca="false">Sens!G276/ext_sh</f>
        <v>12580.6666666667</v>
      </c>
      <c r="H277" s="29" t="n">
        <f aca="false">Sens!H276/ext_sh</f>
        <v>16792.6666666667</v>
      </c>
      <c r="I277" s="29" t="n">
        <f aca="false">Sens!I276/ext_sh</f>
        <v>19781.1933333333</v>
      </c>
      <c r="J277" s="29" t="n">
        <f aca="false">Sens!J276/ext_sh</f>
        <v>21546.2466666667</v>
      </c>
      <c r="K277" s="29" t="n">
        <f aca="false">Sens!K276/ext_sh</f>
        <v>22087.8266666667</v>
      </c>
      <c r="L277" s="1" t="s">
        <v>806</v>
      </c>
    </row>
    <row r="278" customFormat="false" ht="17.15" hidden="false" customHeight="false" outlineLevel="0" collapsed="false">
      <c r="A278" s="1" t="s">
        <v>807</v>
      </c>
      <c r="B278" s="0" t="s">
        <v>392</v>
      </c>
      <c r="C278" s="29" t="n">
        <f aca="false">Sens!C277-Sens!C276</f>
        <v>326.666666666667</v>
      </c>
      <c r="D278" s="29" t="n">
        <f aca="false">Sens!D277-Sens!D276</f>
        <v>820</v>
      </c>
      <c r="E278" s="29" t="n">
        <f aca="false">Sens!E277-Sens!E276</f>
        <v>1800</v>
      </c>
      <c r="F278" s="29" t="n">
        <f aca="false">Sens!F277-Sens!F276</f>
        <v>3347.46666666667</v>
      </c>
      <c r="G278" s="29" t="n">
        <f aca="false">Sens!G277-Sens!G276</f>
        <v>5032.26666666667</v>
      </c>
      <c r="H278" s="29" t="n">
        <f aca="false">Sens!H277-Sens!H276</f>
        <v>6717.06666666667</v>
      </c>
      <c r="I278" s="29" t="n">
        <f aca="false">Sens!I277-Sens!I276</f>
        <v>7912.47733333333</v>
      </c>
      <c r="J278" s="29" t="n">
        <f aca="false">Sens!J277-Sens!J276</f>
        <v>8618.49866666667</v>
      </c>
      <c r="K278" s="29" t="n">
        <f aca="false">Sens!K277-Sens!K276</f>
        <v>8835.13066666667</v>
      </c>
    </row>
    <row r="279" customFormat="false" ht="17.15" hidden="false" customHeight="false" outlineLevel="0" collapsed="false">
      <c r="A279" s="1" t="s">
        <v>808</v>
      </c>
      <c r="B279" s="0" t="s">
        <v>392</v>
      </c>
      <c r="C279" s="29" t="n">
        <f aca="false">Sens!C277</f>
        <v>816.666666666667</v>
      </c>
      <c r="D279" s="29" t="n">
        <f aca="false">Sens!D277-Sens!C277</f>
        <v>1233.33333333333</v>
      </c>
      <c r="E279" s="29" t="n">
        <f aca="false">Sens!E277-Sens!D277</f>
        <v>2450</v>
      </c>
      <c r="F279" s="29" t="n">
        <f aca="false">Sens!F277-Sens!E277</f>
        <v>3868.66666666667</v>
      </c>
      <c r="G279" s="29" t="n">
        <f aca="false">Sens!G277-Sens!F277</f>
        <v>4212</v>
      </c>
      <c r="H279" s="29" t="n">
        <f aca="false">Sens!H277-Sens!G277</f>
        <v>4212</v>
      </c>
      <c r="I279" s="29" t="n">
        <f aca="false">Sens!I277-Sens!H277</f>
        <v>2988.52666666667</v>
      </c>
      <c r="J279" s="29" t="n">
        <f aca="false">Sens!J277-Sens!I277</f>
        <v>1765.05333333333</v>
      </c>
      <c r="K279" s="29" t="n">
        <f aca="false">Sens!K277-Sens!J277</f>
        <v>541.580000000002</v>
      </c>
    </row>
    <row r="280" customFormat="false" ht="17.15" hidden="false" customHeight="false" outlineLevel="0" collapsed="false">
      <c r="A280" s="1" t="s">
        <v>809</v>
      </c>
      <c r="B280" s="0" t="s">
        <v>392</v>
      </c>
      <c r="D280" s="29" t="n">
        <f aca="false">Sens!D274-Sens!C274</f>
        <v>990</v>
      </c>
      <c r="E280" s="29" t="n">
        <f aca="false">Sens!E274-Sens!D274</f>
        <v>1620</v>
      </c>
      <c r="F280" s="29" t="n">
        <f aca="false">Sens!F274-Sens!E274</f>
        <v>2527.2</v>
      </c>
      <c r="G280" s="29" t="n">
        <f aca="false">Sens!G274-Sens!F274</f>
        <v>2527.2</v>
      </c>
      <c r="H280" s="29" t="n">
        <f aca="false">Sens!H274-Sens!G274</f>
        <v>2527.2</v>
      </c>
      <c r="I280" s="29" t="n">
        <f aca="false">Sens!I274-Sens!H274</f>
        <v>1793.116</v>
      </c>
      <c r="J280" s="29" t="n">
        <f aca="false">Sens!J274-Sens!I274</f>
        <v>1059.032</v>
      </c>
      <c r="K280" s="29" t="n">
        <f aca="false">Sens!K274-Sens!J274</f>
        <v>324.948</v>
      </c>
    </row>
    <row r="281" customFormat="false" ht="17.15" hidden="false" customHeight="false" outlineLevel="0" collapsed="false">
      <c r="A281" s="1" t="s">
        <v>810</v>
      </c>
      <c r="B281" s="0" t="s">
        <v>392</v>
      </c>
      <c r="F281" s="29" t="n">
        <f aca="false">Sens!F298*ext_sh</f>
        <v>0</v>
      </c>
      <c r="G281" s="29" t="n">
        <f aca="false">Sens!G298*ext_sh</f>
        <v>0</v>
      </c>
      <c r="H281" s="29" t="n">
        <f aca="false">Sens!H298*ext_sh</f>
        <v>0</v>
      </c>
      <c r="I281" s="29" t="n">
        <f aca="false">Sens!I298*ext_sh</f>
        <v>490</v>
      </c>
      <c r="J281" s="29" t="n">
        <f aca="false">Sens!J298*ext_sh</f>
        <v>740</v>
      </c>
      <c r="K281" s="29" t="n">
        <f aca="false">Sens!K298*ext_sh</f>
        <v>1470</v>
      </c>
      <c r="L281" s="1" t="s">
        <v>811</v>
      </c>
    </row>
    <row r="282" customFormat="false" ht="17.15" hidden="false" customHeight="false" outlineLevel="0" collapsed="false">
      <c r="A282" s="1" t="s">
        <v>812</v>
      </c>
      <c r="B282" s="0" t="s">
        <v>392</v>
      </c>
      <c r="C282" s="29" t="n">
        <f aca="false">mix_h*Sens!C274</f>
        <v>128</v>
      </c>
      <c r="D282" s="29" t="n">
        <f aca="false">mix_h*Sens!D274</f>
        <v>326</v>
      </c>
      <c r="E282" s="29" t="n">
        <f aca="false">mix_h*Sens!E274</f>
        <v>650</v>
      </c>
      <c r="F282" s="29" t="n">
        <f aca="false">Sens!E282-Sens!F281*mix_h</f>
        <v>650</v>
      </c>
      <c r="G282" s="29" t="n">
        <f aca="false">Sens!F282-Sens!G281*mix_h</f>
        <v>650</v>
      </c>
      <c r="H282" s="29" t="n">
        <f aca="false">Sens!G282-Sens!H281*mix_h</f>
        <v>650</v>
      </c>
      <c r="I282" s="29" t="n">
        <f aca="false">Sens!H282-Sens!I281*mix_h</f>
        <v>552</v>
      </c>
      <c r="J282" s="29" t="n">
        <f aca="false">Sens!I282-Sens!J281*mix_h</f>
        <v>404</v>
      </c>
      <c r="K282" s="29" t="n">
        <f aca="false">Sens!J282-Sens!K281*mix_h</f>
        <v>110</v>
      </c>
    </row>
    <row r="283" customFormat="false" ht="17.15" hidden="false" customHeight="false" outlineLevel="0" collapsed="false">
      <c r="A283" s="1" t="s">
        <v>813</v>
      </c>
      <c r="B283" s="0" t="s">
        <v>392</v>
      </c>
      <c r="C283" s="29" t="n">
        <f aca="false">mix_g2*Sens!C274</f>
        <v>288</v>
      </c>
      <c r="D283" s="29" t="n">
        <f aca="false">mix_g2*Sens!D274</f>
        <v>733.5</v>
      </c>
      <c r="E283" s="29" t="n">
        <f aca="false">mix_g2*Sens!E274</f>
        <v>1462.5</v>
      </c>
      <c r="F283" s="29" t="n">
        <f aca="false">Sens!E283-Sens!F281*mix_g2</f>
        <v>1462.5</v>
      </c>
      <c r="G283" s="29" t="n">
        <f aca="false">Sens!F283-Sens!G281*mix_g2</f>
        <v>1462.5</v>
      </c>
      <c r="H283" s="29" t="n">
        <f aca="false">Sens!G283-Sens!H281*mix_g2</f>
        <v>1462.5</v>
      </c>
      <c r="I283" s="29" t="n">
        <f aca="false">Sens!H283-Sens!I281*mix_g2</f>
        <v>1242</v>
      </c>
      <c r="J283" s="29" t="n">
        <f aca="false">Sens!I283-Sens!J281*mix_g2</f>
        <v>909</v>
      </c>
      <c r="K283" s="29" t="n">
        <f aca="false">Sens!J283-Sens!K281*mix_g2</f>
        <v>247.5</v>
      </c>
    </row>
    <row r="284" customFormat="false" ht="17.15" hidden="false" customHeight="false" outlineLevel="0" collapsed="false">
      <c r="A284" s="1" t="s">
        <v>814</v>
      </c>
      <c r="B284" s="0" t="s">
        <v>392</v>
      </c>
      <c r="C284" s="29" t="n">
        <f aca="false">mix_g3*Sens!C274</f>
        <v>224</v>
      </c>
      <c r="D284" s="29" t="n">
        <f aca="false">mix_g3*Sens!D274</f>
        <v>570.5</v>
      </c>
      <c r="E284" s="29" t="n">
        <f aca="false">mix_g3*Sens!E274</f>
        <v>1137.5</v>
      </c>
      <c r="F284" s="29" t="n">
        <f aca="false">Sens!E284+(Sens!F280+Sens!F281)*a_g3_27-Sens!F281*mix_g3</f>
        <v>2906.54</v>
      </c>
      <c r="G284" s="29" t="n">
        <f aca="false">Sens!F284+(Sens!G280+Sens!G281)*a_g3_28-Sens!G281*mix_g3</f>
        <v>3664.7</v>
      </c>
      <c r="H284" s="29" t="n">
        <f aca="false">Sens!G284+(Sens!H280+Sens!H281)*a_g3_29-Sens!H281*mix_g3</f>
        <v>3917.42</v>
      </c>
      <c r="I284" s="29" t="n">
        <f aca="false">Sens!H284+(Sens!I280+Sens!I281)*a_g3_29-Sens!I281*mix_g3</f>
        <v>3974.2316</v>
      </c>
      <c r="J284" s="29" t="n">
        <f aca="false">Sens!I284+(Sens!J280+Sens!J281)*a_g3_29-Sens!J281*mix_g3</f>
        <v>3895.1348</v>
      </c>
      <c r="K284" s="29" t="n">
        <f aca="false">Sens!J284+(Sens!K280+Sens!K281)*a_g3_29-Sens!K281*mix_g3</f>
        <v>3560.1296</v>
      </c>
    </row>
    <row r="285" customFormat="false" ht="17.15" hidden="false" customHeight="false" outlineLevel="0" collapsed="false">
      <c r="A285" s="1" t="s">
        <v>815</v>
      </c>
      <c r="B285" s="0" t="s">
        <v>392</v>
      </c>
      <c r="C285" s="29" t="n">
        <v>0</v>
      </c>
      <c r="D285" s="29" t="n">
        <v>0</v>
      </c>
      <c r="E285" s="29" t="n">
        <v>0</v>
      </c>
      <c r="F285" s="29" t="n">
        <f aca="false">Sens!E285+(Sens!F280+Sens!F281)*(1-a_g3_27)</f>
        <v>758.16</v>
      </c>
      <c r="G285" s="29" t="n">
        <f aca="false">Sens!F285+(Sens!G280+Sens!G281)*(1-a_g3_28)</f>
        <v>2527.2</v>
      </c>
      <c r="H285" s="29" t="n">
        <f aca="false">Sens!G285+(Sens!H280+Sens!H281)*(1-a_g3_29)</f>
        <v>4801.68</v>
      </c>
      <c r="I285" s="29" t="n">
        <f aca="false">Sens!H285+(Sens!I280+Sens!I281)*(1-a_g3_29)</f>
        <v>6856.4844</v>
      </c>
      <c r="J285" s="29" t="n">
        <f aca="false">Sens!I285+(Sens!J280+Sens!J281)*(1-a_g3_29)</f>
        <v>8475.6132</v>
      </c>
      <c r="K285" s="29" t="n">
        <f aca="false">Sens!J285+(Sens!K280+Sens!K281)*(1-a_g3_29)</f>
        <v>10091.0664</v>
      </c>
    </row>
    <row r="286" customFormat="false" ht="17.15" hidden="false" customHeight="false" outlineLevel="0" collapsed="false">
      <c r="A286" s="1" t="s">
        <v>816</v>
      </c>
      <c r="B286" s="0" t="s">
        <v>339</v>
      </c>
      <c r="C286" s="14" t="n">
        <f aca="false">(Sens!C282*tk_hold_h100+Sens!C283*tk_hold_gb200+Sens!C284*tk_hold_gb300+Sens!C285*tk_hold_vr200)/Sens!C274</f>
        <v>9.7235358126469</v>
      </c>
      <c r="D286" s="14" t="n">
        <f aca="false">(Sens!D282*tk_hold_h100+Sens!D283*tk_hold_gb200+Sens!D284*tk_hold_gb300+Sens!D285*tk_hold_vr200)/Sens!D274</f>
        <v>9.7235358126469</v>
      </c>
      <c r="E286" s="14" t="n">
        <f aca="false">(Sens!E282*tk_hold_h100+Sens!E283*tk_hold_gb200+Sens!E284*tk_hold_gb300+Sens!E285*tk_hold_vr200)/Sens!E274</f>
        <v>9.7235358126469</v>
      </c>
      <c r="F286" s="14" t="n">
        <f aca="false">(Sens!F282*tk_hold_h100+Sens!F283*tk_hold_gb200+Sens!F284*tk_hold_gb300+Sens!F285*tk_hold_vr200)/Sens!F274</f>
        <v>10.4079573161931</v>
      </c>
      <c r="G286" s="14" t="n">
        <f aca="false">(Sens!G282*tk_hold_h100+Sens!G283*tk_hold_gb200+Sens!G284*tk_hold_gb300+Sens!G285*tk_hold_vr200)/Sens!G274</f>
        <v>10.8388131109316</v>
      </c>
      <c r="H286" s="14" t="n">
        <f aca="false">(Sens!H282*tk_hold_h100+Sens!H283*tk_hold_gb200+Sens!H284*tk_hold_gb300+Sens!H285*tk_hold_vr200)/Sens!H274</f>
        <v>11.1311018388216</v>
      </c>
      <c r="I286" s="14" t="n">
        <f aca="false">(Sens!I282*tk_hold_h100+Sens!I283*tk_hold_gb200+Sens!I284*tk_hold_gb300+Sens!I285*tk_hold_vr200)/Sens!I274</f>
        <v>11.3594282560989</v>
      </c>
      <c r="J286" s="14" t="n">
        <f aca="false">(Sens!J282*tk_hold_h100+Sens!J283*tk_hold_gb200+Sens!J284*tk_hold_gb300+Sens!J285*tk_hold_vr200)/Sens!J274</f>
        <v>11.5441508808221</v>
      </c>
      <c r="K286" s="14" t="n">
        <f aca="false">(Sens!K282*tk_hold_h100+Sens!K283*tk_hold_gb200+Sens!K284*tk_hold_gb300+Sens!K285*tk_hold_vr200)/Sens!K274</f>
        <v>11.8053375063575</v>
      </c>
    </row>
    <row r="287" customFormat="false" ht="17.15" hidden="false" customHeight="false" outlineLevel="0" collapsed="false">
      <c r="A287" s="0" t="s">
        <v>817</v>
      </c>
      <c r="B287" s="0" t="s">
        <v>185</v>
      </c>
      <c r="C287" s="14" t="n">
        <f aca="false">k_B</f>
        <v>1.17213932619116</v>
      </c>
      <c r="D287" s="14" t="n">
        <f aca="false">k_B</f>
        <v>1.17213932619116</v>
      </c>
      <c r="E287" s="14" t="n">
        <f aca="false">k_B</f>
        <v>1.17213932619116</v>
      </c>
      <c r="F287" s="14" t="n">
        <f aca="false">(k_B+((ls_B*k_long+(1-ls_B)*k_spot)-k_B)*MIN(1,(Sens!F272-base_fy)/k_ramp))</f>
        <v>1.17213932619116</v>
      </c>
      <c r="G287" s="14" t="n">
        <f aca="false">(k_B+((ls_B*k_long+(1-ls_B)*k_spot)-k_B)*MIN(1,(Sens!G272-base_fy)/k_ramp))</f>
        <v>1.17213932619116</v>
      </c>
      <c r="H287" s="14" t="n">
        <f aca="false">(k_B+((ls_B*k_long+(1-ls_B)*k_spot)-k_B)*MIN(1,(Sens!H272-base_fy)/k_ramp))</f>
        <v>1.17213932619116</v>
      </c>
      <c r="I287" s="14" t="n">
        <f aca="false">(k_B+((ls_B*k_long+(1-ls_B)*k_spot)-k_B)*MIN(1,(Sens!I272-base_fy)/k_ramp))</f>
        <v>1.17213932619116</v>
      </c>
      <c r="J287" s="14" t="n">
        <f aca="false">(k_B+((ls_B*k_long+(1-ls_B)*k_spot)-k_B)*MIN(1,(Sens!J272-base_fy)/k_ramp))</f>
        <v>1.17213932619116</v>
      </c>
      <c r="K287" s="14" t="n">
        <f aca="false">(k_B+((ls_B*k_long+(1-ls_B)*k_spot)-k_B)*MIN(1,(Sens!K272-base_fy)/k_ramp))</f>
        <v>1.17213932619116</v>
      </c>
      <c r="L287" s="1" t="s">
        <v>818</v>
      </c>
    </row>
    <row r="288" customFormat="false" ht="17.15" hidden="false" customHeight="false" outlineLevel="0" collapsed="false">
      <c r="A288" s="1" t="s">
        <v>819</v>
      </c>
      <c r="B288" s="0" t="s">
        <v>339</v>
      </c>
      <c r="C288" s="14" t="n">
        <f aca="false">Sens!C286*Sens!C287*chip_f</f>
        <v>11.3973387156315</v>
      </c>
      <c r="D288" s="14" t="n">
        <f aca="false">Sens!D286*Sens!D287*chip_f</f>
        <v>11.3973387156315</v>
      </c>
      <c r="E288" s="14" t="n">
        <f aca="false">Sens!E286*Sens!E287*chip_f</f>
        <v>11.3973387156315</v>
      </c>
      <c r="F288" s="14" t="n">
        <f aca="false">Sens!F286*Sens!F287*chip_f</f>
        <v>12.1995760756289</v>
      </c>
      <c r="G288" s="14" t="n">
        <f aca="false">Sens!G286*Sens!G287*chip_f</f>
        <v>12.7045990965592</v>
      </c>
      <c r="H288" s="14" t="n">
        <f aca="false">Sens!H286*Sens!H287*chip_f</f>
        <v>13.0472022091214</v>
      </c>
      <c r="I288" s="14" t="n">
        <f aca="false">Sens!I286*Sens!I287*chip_f</f>
        <v>13.3148325820205</v>
      </c>
      <c r="J288" s="14" t="n">
        <f aca="false">Sens!J286*Sens!J287*chip_f</f>
        <v>13.5313532348958</v>
      </c>
      <c r="K288" s="14" t="n">
        <f aca="false">Sens!K286*Sens!K287*chip_f</f>
        <v>13.8375003501611</v>
      </c>
      <c r="L288" s="1" t="s">
        <v>820</v>
      </c>
    </row>
    <row r="289" customFormat="false" ht="17.15" hidden="false" customHeight="false" outlineLevel="0" collapsed="false">
      <c r="A289" s="0" t="s">
        <v>821</v>
      </c>
      <c r="B289" s="0" t="s">
        <v>98</v>
      </c>
      <c r="D289" s="6" t="n">
        <f aca="false">(Sens!C274+Sens!D274)/2*Sens!D288/1000</f>
        <v>12.9359794422418</v>
      </c>
      <c r="E289" s="6" t="n">
        <f aca="false">(Sens!D274+Sens!E274)/2*Sens!E288/1000</f>
        <v>27.8095064661409</v>
      </c>
      <c r="F289" s="6" t="n">
        <f aca="false">(Sens!E274+Sens!F274)/2*Sens!F288/1000</f>
        <v>55.0640065749585</v>
      </c>
      <c r="G289" s="6" t="n">
        <f aca="false">(Sens!F274+Sens!G274)/2*Sens!G288/1000</f>
        <v>89.4505413190538</v>
      </c>
      <c r="H289" s="6" t="n">
        <f aca="false">(Sens!G274+Sens!H274)/2*Sens!H288/1000</f>
        <v>124.835630736874</v>
      </c>
      <c r="I289" s="6" t="n">
        <f aca="false">(Sens!H274+Sens!I274)/2*Sens!I288/1000</f>
        <v>156.158460265485</v>
      </c>
      <c r="J289" s="6" t="n">
        <f aca="false">(Sens!I274+Sens!J274)/2*Sens!J288/1000</f>
        <v>177.99455972577</v>
      </c>
      <c r="K289" s="6" t="n">
        <f aca="false">(Sens!J274+Sens!K274)/2*Sens!K288/1000</f>
        <v>191.597101773408</v>
      </c>
      <c r="L289" s="11" t="s">
        <v>822</v>
      </c>
    </row>
    <row r="290" customFormat="false" ht="17.15" hidden="false" customHeight="false" outlineLevel="0" collapsed="false">
      <c r="A290" s="1" t="s">
        <v>823</v>
      </c>
      <c r="B290" s="0" t="s">
        <v>339</v>
      </c>
      <c r="C290" s="14" t="n">
        <f aca="false">(Sens!C282*tk_opex_h100+Sens!C283*tk_opex_gb200+Sens!C284*tk_opex_gb300+Sens!C285*tk_opex_vr200)/Sens!C274</f>
        <v>1.88636041306092</v>
      </c>
      <c r="D290" s="14" t="n">
        <f aca="false">(Sens!D282*tk_opex_h100+Sens!D283*tk_opex_gb200+Sens!D284*tk_opex_gb300+Sens!D285*tk_opex_vr200)/Sens!D274</f>
        <v>1.88636041306092</v>
      </c>
      <c r="E290" s="14" t="n">
        <f aca="false">(Sens!E282*tk_opex_h100+Sens!E283*tk_opex_gb200+Sens!E284*tk_opex_gb300+Sens!E285*tk_opex_vr200)/Sens!E274</f>
        <v>1.88636041306092</v>
      </c>
      <c r="F290" s="14" t="n">
        <f aca="false">(Sens!F282*tk_opex_h100+Sens!F283*tk_opex_gb200+Sens!F284*tk_opex_gb300+Sens!F285*tk_opex_vr200)/Sens!F274</f>
        <v>1.9430236476499</v>
      </c>
      <c r="G290" s="14" t="n">
        <f aca="false">(Sens!G282*tk_opex_h100+Sens!G283*tk_opex_gb200+Sens!G284*tk_opex_gb300+Sens!G285*tk_opex_vr200)/Sens!G274</f>
        <v>1.9786941852423</v>
      </c>
      <c r="H290" s="14" t="n">
        <f aca="false">(Sens!H282*tk_opex_h100+Sens!H283*tk_opex_gb200+Sens!H284*tk_opex_gb300+Sens!H285*tk_opex_vr200)/Sens!H274</f>
        <v>2.00289275976156</v>
      </c>
      <c r="I290" s="14" t="n">
        <f aca="false">(Sens!I282*tk_opex_h100+Sens!I283*tk_opex_gb200+Sens!I284*tk_opex_gb300+Sens!I285*tk_opex_vr200)/Sens!I274</f>
        <v>2.02179589661219</v>
      </c>
      <c r="J290" s="14" t="n">
        <f aca="false">(Sens!J282*tk_opex_h100+Sens!J283*tk_opex_gb200+Sens!J284*tk_opex_gb300+Sens!J285*tk_opex_vr200)/Sens!J274</f>
        <v>2.03708907685909</v>
      </c>
      <c r="K290" s="14" t="n">
        <f aca="false">(Sens!K282*tk_opex_h100+Sens!K283*tk_opex_gb200+Sens!K284*tk_opex_gb300+Sens!K285*tk_opex_vr200)/Sens!K274</f>
        <v>2.05871270931005</v>
      </c>
    </row>
    <row r="291" customFormat="false" ht="17.15" hidden="false" customHeight="false" outlineLevel="0" collapsed="false">
      <c r="A291" s="0" t="s">
        <v>824</v>
      </c>
      <c r="B291" s="0" t="s">
        <v>98</v>
      </c>
      <c r="D291" s="6" t="n">
        <f aca="false">(Sens!C277+Sens!D277)/2*Sens!D290/1000</f>
        <v>2.70378325872065</v>
      </c>
      <c r="E291" s="6" t="n">
        <f aca="false">(Sens!D277+Sens!E277)/2*Sens!E290/1000</f>
        <v>6.17783035277451</v>
      </c>
      <c r="F291" s="6" t="n">
        <f aca="false">(Sens!E277+Sens!F277)/2*Sens!F290/1000</f>
        <v>12.5020618235287</v>
      </c>
      <c r="G291" s="6" t="n">
        <f aca="false">(Sens!F277+Sens!G277)/2*Sens!G290/1000</f>
        <v>20.7261620256847</v>
      </c>
      <c r="H291" s="6" t="n">
        <f aca="false">(Sens!G277+Sens!H277)/2*Sens!H290/1000</f>
        <v>29.4158183316982</v>
      </c>
      <c r="I291" s="6" t="n">
        <f aca="false">(Sens!H277+Sens!I277)/2*Sens!I290/1000</f>
        <v>36.9724400356344</v>
      </c>
      <c r="J291" s="6" t="n">
        <f aca="false">(Sens!I277+Sens!J277)/2*Sens!J290/1000</f>
        <v>42.0938382992747</v>
      </c>
      <c r="K291" s="6" t="n">
        <f aca="false">(Sens!J277+Sens!K277)/2*Sens!K290/1000</f>
        <v>44.9150106651501</v>
      </c>
    </row>
    <row r="292" customFormat="false" ht="17.15" hidden="false" customHeight="false" outlineLevel="0" collapsed="false">
      <c r="A292" s="0" t="s">
        <v>825</v>
      </c>
      <c r="B292" s="0" t="s">
        <v>98</v>
      </c>
      <c r="D292" s="6" t="n">
        <f aca="false">(Sens!C275+Sens!D275)/2*rent_mw/1000</f>
        <v>2.44475</v>
      </c>
      <c r="E292" s="6" t="n">
        <f aca="false">(Sens!D275+Sens!E275)/2*rent_mw/1000</f>
        <v>4.22275</v>
      </c>
      <c r="F292" s="6" t="n">
        <f aca="false">(Sens!E275+Sens!F275)/2*rent_mw/1000</f>
        <v>5.80517</v>
      </c>
      <c r="G292" s="6" t="n">
        <f aca="false">(Sens!F275+Sens!G275)/2*rent_mw/1000</f>
        <v>6.72084</v>
      </c>
      <c r="H292" s="6" t="n">
        <f aca="false">(Sens!G275+Sens!H275)/2*rent_mw/1000</f>
        <v>6.72084</v>
      </c>
      <c r="I292" s="6" t="n">
        <f aca="false">(Sens!H275+Sens!I275)/2*rent_mw/1000</f>
        <v>6.72084</v>
      </c>
      <c r="J292" s="6" t="n">
        <f aca="false">(Sens!I275+Sens!J275)/2*rent_mw/1000</f>
        <v>6.72084</v>
      </c>
      <c r="K292" s="6" t="n">
        <f aca="false">(Sens!J275+Sens!K275)/2*rent_mw/1000</f>
        <v>6.72084</v>
      </c>
    </row>
    <row r="293" customFormat="false" ht="17.15" hidden="false" customHeight="false" outlineLevel="0" collapsed="false">
      <c r="A293" s="0" t="s">
        <v>826</v>
      </c>
      <c r="B293" s="0" t="s">
        <v>98</v>
      </c>
      <c r="D293" s="6" t="n">
        <f aca="false">(Sens!C277+Sens!D277)/2*(1-self_build)*fac_rent/1000</f>
        <v>0.853242375631075</v>
      </c>
      <c r="E293" s="6" t="n">
        <f aca="false">(Sens!D277+Sens!E277)/2*(1-self_build)*fac_rent/1000</f>
        <v>1.94955961408728</v>
      </c>
      <c r="F293" s="6" t="n">
        <f aca="false">(Sens!E277+Sens!F277)/2*(1-self_build)*fac_rent/1000</f>
        <v>3.83026455274573</v>
      </c>
      <c r="G293" s="6" t="n">
        <f aca="false">(Sens!F277+Sens!G277)/2*(1-self_build)*fac_rent/1000</f>
        <v>6.23541590972812</v>
      </c>
      <c r="H293" s="6" t="n">
        <f aca="false">(Sens!G277+Sens!H277)/2*(1-self_build)*fac_rent/1000</f>
        <v>8.74275792332679</v>
      </c>
      <c r="I293" s="6" t="n">
        <f aca="false">(Sens!H277+Sens!I277)/2*(1-self_build)*fac_rent/1000</f>
        <v>10.8859420438599</v>
      </c>
      <c r="J293" s="6" t="n">
        <f aca="false">(Sens!I277+Sens!J277)/2*(1-self_build)*fac_rent/1000</f>
        <v>12.3008103782619</v>
      </c>
      <c r="K293" s="6" t="n">
        <f aca="false">(Sens!J277+Sens!K277)/2*(1-self_build)*fac_rent/1000</f>
        <v>12.9873629265328</v>
      </c>
      <c r="L293" s="11" t="s">
        <v>827</v>
      </c>
    </row>
    <row r="294" customFormat="false" ht="17.15" hidden="false" customHeight="false" outlineLevel="0" collapsed="false">
      <c r="A294" s="1" t="s">
        <v>828</v>
      </c>
      <c r="B294" s="0" t="s">
        <v>129</v>
      </c>
      <c r="D294" s="7" t="n">
        <f aca="false">(Sens!C276+Sens!D276)/(Sens!C277+Sens!D277)</f>
        <v>0.6</v>
      </c>
      <c r="E294" s="7" t="n">
        <f aca="false">(Sens!D276+Sens!E276)/(Sens!D277+Sens!E277)</f>
        <v>0.6</v>
      </c>
      <c r="F294" s="7" t="n">
        <f aca="false">(Sens!E276+Sens!F276)/(Sens!E277+Sens!F277)</f>
        <v>0.6</v>
      </c>
      <c r="G294" s="7" t="n">
        <f aca="false">(Sens!F276+Sens!G276)/(Sens!F277+Sens!G277)</f>
        <v>0.6</v>
      </c>
      <c r="H294" s="7" t="n">
        <f aca="false">(Sens!G276+Sens!H276)/(Sens!G277+Sens!H277)</f>
        <v>0.6</v>
      </c>
      <c r="I294" s="7" t="n">
        <f aca="false">(Sens!H276+Sens!I276)/(Sens!H277+Sens!I277)</f>
        <v>0.6</v>
      </c>
      <c r="J294" s="7" t="n">
        <f aca="false">(Sens!I276+Sens!J276)/(Sens!I277+Sens!J277)</f>
        <v>0.6</v>
      </c>
      <c r="K294" s="7" t="n">
        <f aca="false">(Sens!J276+Sens!K276)/(Sens!J277+Sens!K277)</f>
        <v>0.6</v>
      </c>
    </row>
    <row r="295" customFormat="false" ht="17.15" hidden="false" customHeight="false" outlineLevel="0" collapsed="false">
      <c r="A295" s="0" t="s">
        <v>829</v>
      </c>
      <c r="B295" s="0" t="s">
        <v>98</v>
      </c>
      <c r="D295" s="6" t="n">
        <f aca="false">Sens!D289-Sens!D294*(Sens!D291+Sens!D293)-Sens!D292</f>
        <v>8.35701406163072</v>
      </c>
      <c r="E295" s="6" t="n">
        <f aca="false">Sens!E289-Sens!E294*(Sens!E291+Sens!E293)-Sens!E292</f>
        <v>18.7103224860238</v>
      </c>
      <c r="F295" s="6" t="n">
        <f aca="false">Sens!F289-Sens!F294*(Sens!F291+Sens!F293)-Sens!F292</f>
        <v>39.4594407491938</v>
      </c>
      <c r="G295" s="6" t="n">
        <f aca="false">Sens!G289-Sens!G294*(Sens!G291+Sens!G293)-Sens!G292</f>
        <v>66.5527545578061</v>
      </c>
      <c r="H295" s="6" t="n">
        <f aca="false">Sens!H289-Sens!H294*(Sens!H291+Sens!H293)-Sens!H292</f>
        <v>95.219644983859</v>
      </c>
      <c r="I295" s="6" t="n">
        <f aca="false">Sens!I289-Sens!I294*(Sens!I291+Sens!I293)-Sens!I292</f>
        <v>120.722591017788</v>
      </c>
      <c r="J295" s="6" t="n">
        <f aca="false">Sens!J289-Sens!J294*(Sens!J291+Sens!J293)-Sens!J292</f>
        <v>138.636930519248</v>
      </c>
      <c r="K295" s="6" t="n">
        <f aca="false">Sens!K289-Sens!K294*(Sens!K291+Sens!K293)-Sens!K292</f>
        <v>150.134837618398</v>
      </c>
    </row>
    <row r="296" customFormat="false" ht="17.15" hidden="false" customHeight="false" outlineLevel="0" collapsed="false">
      <c r="A296" s="1" t="s">
        <v>830</v>
      </c>
      <c r="B296" s="0" t="s">
        <v>98</v>
      </c>
      <c r="D296" s="6" t="n">
        <f aca="false">(1-Sens!D294)*(Sens!D291+Sens!D293)</f>
        <v>1.42281025374069</v>
      </c>
      <c r="E296" s="6" t="n">
        <f aca="false">(1-Sens!E294)*(Sens!E291+Sens!E293)</f>
        <v>3.25095598674472</v>
      </c>
      <c r="F296" s="6" t="n">
        <f aca="false">(1-Sens!F294)*(Sens!F291+Sens!F293)</f>
        <v>6.53293055050977</v>
      </c>
      <c r="G296" s="6" t="n">
        <f aca="false">(1-Sens!G294)*(Sens!G291+Sens!G293)</f>
        <v>10.7846311741651</v>
      </c>
      <c r="H296" s="6" t="n">
        <f aca="false">(1-Sens!H294)*(Sens!H291+Sens!H293)</f>
        <v>15.26343050201</v>
      </c>
      <c r="I296" s="6" t="n">
        <f aca="false">(1-Sens!I294)*(Sens!I291+Sens!I293)</f>
        <v>19.1433528317977</v>
      </c>
      <c r="J296" s="6" t="n">
        <f aca="false">(1-Sens!J294)*(Sens!J291+Sens!J293)</f>
        <v>21.7578594710146</v>
      </c>
      <c r="K296" s="6" t="n">
        <f aca="false">(1-Sens!K294)*(Sens!K291+Sens!K293)</f>
        <v>23.1609494366731</v>
      </c>
    </row>
    <row r="297" customFormat="false" ht="17.15" hidden="false" customHeight="false" outlineLevel="0" collapsed="false">
      <c r="A297" s="1" t="s">
        <v>831</v>
      </c>
      <c r="B297" s="0" t="s">
        <v>350</v>
      </c>
      <c r="C297" s="8" t="n">
        <f aca="false">cxit_open</f>
        <v>27.5918995</v>
      </c>
      <c r="D297" s="8" t="n">
        <f aca="false">cxit_open</f>
        <v>27.5918995</v>
      </c>
      <c r="E297" s="8" t="n">
        <f aca="false">cxit_open</f>
        <v>27.5918995</v>
      </c>
      <c r="F297" s="8" t="n">
        <f aca="false">(a_g3_27*tk_cxit_gb300+(1-a_g3_27)*tk_cxit_vr200)</f>
        <v>33.8419624</v>
      </c>
      <c r="G297" s="8" t="n">
        <f aca="false">(a_g3_28*tk_cxit_gb300+(1-a_g3_28)*tk_cxit_vr200)</f>
        <v>35.9816136</v>
      </c>
      <c r="H297" s="8" t="n">
        <f aca="false">(a_g3_29*tk_cxit_gb300+(1-a_g3_29)*tk_cxit_vr200)</f>
        <v>37.0514392</v>
      </c>
      <c r="I297" s="8" t="n">
        <f aca="false">(a_g3_29*tk_cxit_gb300+(1-a_g3_29)*tk_cxit_vr200)</f>
        <v>37.0514392</v>
      </c>
      <c r="J297" s="8" t="n">
        <f aca="false">(a_g3_29*tk_cxit_gb300+(1-a_g3_29)*tk_cxit_vr200)</f>
        <v>37.0514392</v>
      </c>
      <c r="K297" s="8" t="n">
        <f aca="false">(a_g3_29*tk_cxit_gb300+(1-a_g3_29)*tk_cxit_vr200)</f>
        <v>37.0514392</v>
      </c>
      <c r="L297" s="11" t="s">
        <v>832</v>
      </c>
    </row>
    <row r="298" customFormat="false" ht="17.15" hidden="false" customHeight="false" outlineLevel="0" collapsed="false">
      <c r="A298" s="0" t="s">
        <v>833</v>
      </c>
      <c r="B298" s="0" t="s">
        <v>392</v>
      </c>
      <c r="F298" s="29" t="n">
        <f aca="false">Sens!C279*IF(Sens!F272-Sens!C272=life_it,1,0)+Sens!D279*IF(Sens!F272-Sens!D272=life_it,1,0)+Sens!E279*IF(Sens!F272-Sens!E272=life_it,1,0)</f>
        <v>0</v>
      </c>
      <c r="G298" s="29" t="n">
        <f aca="false">Sens!C279*IF(Sens!G272-Sens!C272=life_it,1,0)+Sens!D279*IF(Sens!G272-Sens!D272=life_it,1,0)+Sens!E279*IF(Sens!G272-Sens!E272=life_it,1,0)+Sens!F279*IF(Sens!G272-Sens!F272=life_it,1,0)</f>
        <v>0</v>
      </c>
      <c r="H298" s="29" t="n">
        <f aca="false">Sens!C279*IF(Sens!H272-Sens!C272=life_it,1,0)+Sens!D279*IF(Sens!H272-Sens!D272=life_it,1,0)+Sens!E279*IF(Sens!H272-Sens!E272=life_it,1,0)+Sens!F279*IF(Sens!H272-Sens!F272=life_it,1,0)+Sens!G279*IF(Sens!H272-Sens!G272=life_it,1,0)</f>
        <v>0</v>
      </c>
      <c r="I298" s="29" t="n">
        <f aca="false">Sens!C279*IF(Sens!I272-Sens!C272=life_it,1,0)+Sens!D279*IF(Sens!I272-Sens!D272=life_it,1,0)+Sens!E279*IF(Sens!I272-Sens!E272=life_it,1,0)+Sens!F279*IF(Sens!I272-Sens!F272=life_it,1,0)+Sens!G279*IF(Sens!I272-Sens!G272=life_it,1,0)+Sens!H279*IF(Sens!I272-Sens!H272=life_it,1,0)</f>
        <v>816.666666666667</v>
      </c>
      <c r="J298" s="29" t="n">
        <f aca="false">Sens!C279*IF(Sens!J272-Sens!C272=life_it,1,0)+Sens!D279*IF(Sens!J272-Sens!D272=life_it,1,0)+Sens!E279*IF(Sens!J272-Sens!E272=life_it,1,0)+Sens!F279*IF(Sens!J272-Sens!F272=life_it,1,0)+Sens!G279*IF(Sens!J272-Sens!G272=life_it,1,0)+Sens!H279*IF(Sens!J272-Sens!H272=life_it,1,0)+Sens!I279*IF(Sens!J272-Sens!I272=life_it,1,0)</f>
        <v>1233.33333333333</v>
      </c>
      <c r="K298" s="29" t="n">
        <f aca="false">Sens!C279*IF(Sens!K272-Sens!C272=life_it,1,0)+Sens!D279*IF(Sens!K272-Sens!D272=life_it,1,0)+Sens!E279*IF(Sens!K272-Sens!E272=life_it,1,0)+Sens!F279*IF(Sens!K272-Sens!F272=life_it,1,0)+Sens!G279*IF(Sens!K272-Sens!G272=life_it,1,0)+Sens!H279*IF(Sens!K272-Sens!H272=life_it,1,0)+Sens!I279*IF(Sens!K272-Sens!I272=life_it,1,0)+Sens!J279*IF(Sens!K272-Sens!J272=life_it,1,0)</f>
        <v>2450</v>
      </c>
      <c r="L298" s="1" t="s">
        <v>834</v>
      </c>
    </row>
    <row r="299" customFormat="false" ht="17.15" hidden="false" customHeight="false" outlineLevel="0" collapsed="false">
      <c r="A299" s="0" t="s">
        <v>835</v>
      </c>
      <c r="B299" s="0" t="s">
        <v>98</v>
      </c>
      <c r="C299" s="6" t="n">
        <f aca="false">Sens!C279*Sens!C297/1000</f>
        <v>22.5333845916667</v>
      </c>
      <c r="D299" s="6" t="n">
        <f aca="false">Sens!D279*Sens!D297/1000</f>
        <v>34.0300093833333</v>
      </c>
      <c r="E299" s="6" t="n">
        <f aca="false">Sens!E279*Sens!E297/1000</f>
        <v>67.600153775</v>
      </c>
      <c r="F299" s="6" t="n">
        <f aca="false">(Sens!F279+Sens!F298)*Sens!F297/1000</f>
        <v>130.923271871467</v>
      </c>
      <c r="G299" s="6" t="n">
        <f aca="false">(Sens!G279+Sens!G298)*Sens!G297/1000</f>
        <v>151.5545564832</v>
      </c>
      <c r="H299" s="6" t="n">
        <f aca="false">(Sens!H279+Sens!H298)*Sens!H297/1000</f>
        <v>156.0606619104</v>
      </c>
      <c r="I299" s="6" t="n">
        <f aca="false">(Sens!I279+Sens!I298)*Sens!I297/1000</f>
        <v>140.987889434245</v>
      </c>
      <c r="J299" s="6" t="n">
        <f aca="false">(Sens!J279+Sens!J298)*Sens!J297/1000</f>
        <v>111.094541278091</v>
      </c>
      <c r="K299" s="6" t="n">
        <f aca="false">(Sens!K279+Sens!K298)*Sens!K297/1000</f>
        <v>110.842344481936</v>
      </c>
    </row>
    <row r="300" customFormat="false" ht="17.15" hidden="false" customHeight="false" outlineLevel="0" collapsed="false">
      <c r="A300" s="0" t="s">
        <v>836</v>
      </c>
      <c r="B300" s="0" t="s">
        <v>98</v>
      </c>
      <c r="C300" s="6" t="n">
        <f aca="false">Sens!C279*self_build*tk_cxfac/1000</f>
        <v>6.2083</v>
      </c>
      <c r="D300" s="6" t="n">
        <f aca="false">Sens!D279*self_build*tk_cxfac/1000</f>
        <v>9.3758</v>
      </c>
      <c r="E300" s="6" t="n">
        <f aca="false">Sens!E279*self_build*tk_cxfac/1000</f>
        <v>18.6249</v>
      </c>
      <c r="F300" s="6" t="n">
        <f aca="false">Sens!F279*self_build*tk_cxfac/1000</f>
        <v>29.409604</v>
      </c>
      <c r="G300" s="6" t="n">
        <f aca="false">Sens!G279*self_build*tk_cxfac/1000</f>
        <v>32.019624</v>
      </c>
      <c r="H300" s="6" t="n">
        <f aca="false">Sens!H279*self_build*tk_cxfac/1000</f>
        <v>32.019624</v>
      </c>
      <c r="I300" s="6" t="n">
        <f aca="false">Sens!I279*self_build*tk_cxfac/1000</f>
        <v>22.71877972</v>
      </c>
      <c r="J300" s="6" t="n">
        <f aca="false">Sens!J279*self_build*tk_cxfac/1000</f>
        <v>13.41793544</v>
      </c>
      <c r="K300" s="6" t="n">
        <f aca="false">Sens!K279*self_build*tk_cxfac/1000</f>
        <v>4.11709116000001</v>
      </c>
    </row>
    <row r="301" customFormat="false" ht="17.15" hidden="false" customHeight="false" outlineLevel="0" collapsed="false">
      <c r="A301" s="0" t="s">
        <v>837</v>
      </c>
      <c r="B301" s="0" t="s">
        <v>98</v>
      </c>
      <c r="F301" s="6" t="n">
        <f aca="false">MAX(0,capex_floor27-Sens!F299-Sens!F300-Sens!F394)</f>
        <v>8.28777689897088</v>
      </c>
      <c r="L301" s="1" t="s">
        <v>838</v>
      </c>
    </row>
    <row r="302" customFormat="false" ht="17.15" hidden="false" customHeight="false" outlineLevel="0" collapsed="false">
      <c r="A302" s="0" t="s">
        <v>839</v>
      </c>
      <c r="B302" s="0" t="s">
        <v>98</v>
      </c>
      <c r="C302" s="6" t="n">
        <f aca="false">Sens!C299</f>
        <v>22.5333845916667</v>
      </c>
      <c r="D302" s="6" t="n">
        <f aca="false">Sens!D299</f>
        <v>34.0300093833333</v>
      </c>
      <c r="E302" s="6" t="n">
        <f aca="false">Sens!E299</f>
        <v>67.600153775</v>
      </c>
      <c r="F302" s="6" t="n">
        <f aca="false">Sens!F299+Sens!F301</f>
        <v>139.211048770438</v>
      </c>
      <c r="G302" s="6" t="n">
        <f aca="false">Sens!G299</f>
        <v>151.5545564832</v>
      </c>
      <c r="H302" s="6" t="n">
        <f aca="false">Sens!H299</f>
        <v>156.0606619104</v>
      </c>
      <c r="I302" s="6" t="n">
        <f aca="false">Sens!I299</f>
        <v>140.987889434245</v>
      </c>
      <c r="J302" s="6" t="n">
        <f aca="false">Sens!J299</f>
        <v>111.094541278091</v>
      </c>
      <c r="K302" s="6" t="n">
        <f aca="false">Sens!K299</f>
        <v>110.842344481936</v>
      </c>
    </row>
    <row r="303" customFormat="false" ht="17.15" hidden="false" customHeight="false" outlineLevel="0" collapsed="false">
      <c r="A303" s="0" t="s">
        <v>840</v>
      </c>
      <c r="B303" s="0" t="s">
        <v>98</v>
      </c>
      <c r="C303" s="6" t="n">
        <f aca="false">Sens!C302+Sens!C300</f>
        <v>28.7416845916667</v>
      </c>
      <c r="D303" s="6" t="n">
        <f aca="false">Sens!D302+Sens!D300</f>
        <v>43.4058093833333</v>
      </c>
      <c r="E303" s="6" t="n">
        <f aca="false">Sens!E302+Sens!E300</f>
        <v>86.225053775</v>
      </c>
      <c r="F303" s="6" t="n">
        <f aca="false">Sens!F302+Sens!F300</f>
        <v>168.620652770438</v>
      </c>
      <c r="G303" s="6" t="n">
        <f aca="false">Sens!G302+Sens!G300</f>
        <v>183.5741804832</v>
      </c>
      <c r="H303" s="6" t="n">
        <f aca="false">Sens!H302+Sens!H300</f>
        <v>188.0802859104</v>
      </c>
      <c r="I303" s="6" t="n">
        <f aca="false">Sens!I302+Sens!I300</f>
        <v>163.706669154245</v>
      </c>
      <c r="J303" s="6" t="n">
        <f aca="false">Sens!J302+Sens!J300</f>
        <v>124.51247671809</v>
      </c>
      <c r="K303" s="6" t="n">
        <f aca="false">Sens!K302+Sens!K300</f>
        <v>114.959435641936</v>
      </c>
      <c r="L303" s="11" t="s">
        <v>841</v>
      </c>
    </row>
    <row r="304" customFormat="false" ht="17.15" hidden="false" customHeight="false" outlineLevel="0" collapsed="false">
      <c r="A304" s="0" t="s">
        <v>842</v>
      </c>
      <c r="B304" s="0" t="s">
        <v>98</v>
      </c>
      <c r="E304" s="6" t="n">
        <f aca="false">(Sens!C302*IF(2&lt;life_it,1,IF(2=life_it,0.5,0))+Sens!D302*IF(1&lt;life_it,1,IF(1=life_it,0.5,0))+Sens!E302*0.5)/life_it</f>
        <v>15.0605784770833</v>
      </c>
      <c r="F304" s="6" t="n">
        <f aca="false">(Sens!C302*IF(3&lt;life_it,1,IF(3=life_it,0.5,0))+Sens!D302*IF(2&lt;life_it,1,IF(2=life_it,0.5,0))+Sens!E302*IF(1&lt;life_it,1,IF(1=life_it,0.5,0))+Sens!F302*0.5)/life_it</f>
        <v>32.2948453558698</v>
      </c>
      <c r="G304" s="6" t="n">
        <f aca="false">(Sens!C302*IF(4&lt;life_it,1,IF(4=life_it,0.5,0))+Sens!D302*IF(3&lt;life_it,1,IF(3=life_it,0.5,0))+Sens!E302*IF(2&lt;life_it,1,IF(2=life_it,0.5,0))+Sens!F302*IF(1&lt;life_it,1,IF(1=life_it,0.5,0))+Sens!G302*0.5)/life_it</f>
        <v>56.5253124603396</v>
      </c>
      <c r="H304" s="6" t="n">
        <f aca="false">(Sens!C302*IF(5&lt;life_it,1,IF(5=life_it,0.5,0))+Sens!D302*IF(4&lt;life_it,1,IF(4=life_it,0.5,0))+Sens!E302*IF(3&lt;life_it,1,IF(3=life_it,0.5,0))+Sens!F302*IF(2&lt;life_it,1,IF(2=life_it,0.5,0))+Sens!G302*IF(1&lt;life_it,1,IF(1=life_it,0.5,0))+Sens!H302*0.5)/life_it</f>
        <v>82.1599139931396</v>
      </c>
      <c r="I304" s="6" t="n">
        <f aca="false">(Sens!C302*IF(6&lt;life_it,1,IF(6=life_it,0.5,0))+Sens!D302*IF(5&lt;life_it,1,IF(5=life_it,0.5,0))+Sens!E302*IF(4&lt;life_it,1,IF(4=life_it,0.5,0))+Sens!F302*IF(3&lt;life_it,1,IF(3=life_it,0.5,0))+Sens!G302*IF(2&lt;life_it,1,IF(2=life_it,0.5,0))+Sens!H302*IF(1&lt;life_it,1,IF(1=life_it,0.5,0))+Sens!I302*0.5)/life_it</f>
        <v>105.036177889221</v>
      </c>
      <c r="J304" s="6" t="n">
        <f aca="false">(Sens!C302*IF(7&lt;life_it,1,IF(7=life_it,0.5,0))+Sens!D302*IF(6&lt;life_it,1,IF(6=life_it,0.5,0))+Sens!E302*IF(5&lt;life_it,1,IF(5=life_it,0.5,0))+Sens!F302*IF(4&lt;life_it,1,IF(4=life_it,0.5,0))+Sens!G302*IF(3&lt;life_it,1,IF(3=life_it,0.5,0))+Sens!H302*IF(2&lt;life_it,1,IF(2=life_it,0.5,0))+Sens!I302*IF(1&lt;life_it,1,IF(1=life_it,0.5,0))+Sens!J302*0.5)/life_it</f>
        <v>121.329430950666</v>
      </c>
      <c r="K304" s="6" t="n">
        <f aca="false">(Sens!C302*IF(8&lt;life_it,1,IF(8=life_it,0.5,0))+Sens!D302*IF(7&lt;life_it,1,IF(7=life_it,0.5,0))+Sens!E302*IF(6&lt;life_it,1,IF(6=life_it,0.5,0))+Sens!F302*IF(5&lt;life_it,1,IF(5=life_it,0.5,0))+Sens!G302*IF(4&lt;life_it,1,IF(4=life_it,0.5,0))+Sens!H302*IF(3&lt;life_it,1,IF(3=life_it,0.5,0))+Sens!I302*IF(2&lt;life_it,1,IF(2=life_it,0.5,0))+Sens!J302*IF(1&lt;life_it,1,IF(1=life_it,0.5,0))+Sens!K302*0.5)/life_it</f>
        <v>131.354991167474</v>
      </c>
    </row>
    <row r="305" customFormat="false" ht="17.15" hidden="false" customHeight="false" outlineLevel="0" collapsed="false">
      <c r="A305" s="0" t="s">
        <v>843</v>
      </c>
      <c r="B305" s="0" t="s">
        <v>98</v>
      </c>
      <c r="E305" s="6" t="n">
        <f aca="false">(Sens!C300*IF(2&lt;life_fac,1,IF(2=life_fac,0.5,0))+Sens!D300*IF(1&lt;life_fac,1,IF(1=life_fac,0.5,0))+Sens!E300*0.5)/life_fac</f>
        <v>1.2448275</v>
      </c>
      <c r="F305" s="6" t="n">
        <f aca="false">(Sens!C300*IF(3&lt;life_fac,1,IF(3=life_fac,0.5,0))+Sens!D300*IF(2&lt;life_fac,1,IF(2=life_fac,0.5,0))+Sens!E300*IF(1&lt;life_fac,1,IF(1=life_fac,0.5,0))+Sens!F300*0.5)/life_fac</f>
        <v>2.4456901</v>
      </c>
      <c r="G305" s="6" t="n">
        <f aca="false">(Sens!C300*IF(4&lt;life_fac,1,IF(4=life_fac,0.5,0))+Sens!D300*IF(3&lt;life_fac,1,IF(3=life_fac,0.5,0))+Sens!E300*IF(2&lt;life_fac,1,IF(2=life_fac,0.5,0))+Sens!F300*IF(1&lt;life_fac,1,IF(1=life_fac,0.5,0))+Sens!G300*0.5)/life_fac</f>
        <v>3.9814208</v>
      </c>
      <c r="H305" s="6" t="n">
        <f aca="false">(Sens!C300*IF(5&lt;life_fac,1,IF(5=life_fac,0.5,0))+Sens!D300*IF(4&lt;life_fac,1,IF(4=life_fac,0.5,0))+Sens!E300*IF(3&lt;life_fac,1,IF(3=life_fac,0.5,0))+Sens!F300*IF(2&lt;life_fac,1,IF(2=life_fac,0.5,0))+Sens!G300*IF(1&lt;life_fac,1,IF(1=life_fac,0.5,0))+Sens!H300*0.5)/life_fac</f>
        <v>5.582402</v>
      </c>
      <c r="I305" s="6" t="n">
        <f aca="false">(Sens!C300*IF(6&lt;life_fac,1,IF(6=life_fac,0.5,0))+Sens!D300*IF(5&lt;life_fac,1,IF(5=life_fac,0.5,0))+Sens!E300*IF(4&lt;life_fac,1,IF(4=life_fac,0.5,0))+Sens!F300*IF(3&lt;life_fac,1,IF(3=life_fac,0.5,0))+Sens!G300*IF(2&lt;life_fac,1,IF(2=life_fac,0.5,0))+Sens!H300*IF(1&lt;life_fac,1,IF(1=life_fac,0.5,0))+Sens!I300*0.5)/life_fac</f>
        <v>6.950862093</v>
      </c>
      <c r="J305" s="6" t="n">
        <f aca="false">(Sens!C300*IF(7&lt;life_fac,1,IF(7=life_fac,0.5,0))+Sens!D300*IF(6&lt;life_fac,1,IF(6=life_fac,0.5,0))+Sens!E300*IF(5&lt;life_fac,1,IF(5=life_fac,0.5,0))+Sens!F300*IF(4&lt;life_fac,1,IF(4=life_fac,0.5,0))+Sens!G300*IF(3&lt;life_fac,1,IF(3=life_fac,0.5,0))+Sens!H300*IF(2&lt;life_fac,1,IF(2=life_fac,0.5,0))+Sens!I300*IF(1&lt;life_fac,1,IF(1=life_fac,0.5,0))+Sens!J300*0.5)/life_fac</f>
        <v>7.854279972</v>
      </c>
      <c r="K305" s="6" t="n">
        <f aca="false">(Sens!C300*IF(8&lt;life_fac,1,IF(8=life_fac,0.5,0))+Sens!D300*IF(7&lt;life_fac,1,IF(7=life_fac,0.5,0))+Sens!E300*IF(6&lt;life_fac,1,IF(6=life_fac,0.5,0))+Sens!F300*IF(5&lt;life_fac,1,IF(5=life_fac,0.5,0))+Sens!G300*IF(4&lt;life_fac,1,IF(4=life_fac,0.5,0))+Sens!H300*IF(3&lt;life_fac,1,IF(3=life_fac,0.5,0))+Sens!I300*IF(2&lt;life_fac,1,IF(2=life_fac,0.5,0))+Sens!J300*IF(1&lt;life_fac,1,IF(1=life_fac,0.5,0))+Sens!K300*0.5)/life_fac</f>
        <v>8.292655637</v>
      </c>
    </row>
    <row r="306" customFormat="false" ht="17.15" hidden="false" customHeight="false" outlineLevel="0" collapsed="false">
      <c r="A306" s="0" t="s">
        <v>844</v>
      </c>
      <c r="B306" s="0" t="s">
        <v>98</v>
      </c>
      <c r="E306" s="6" t="n">
        <f aca="false">Sens!E304+Sens!E305</f>
        <v>16.3054059770833</v>
      </c>
      <c r="F306" s="6" t="n">
        <f aca="false">Sens!F304+Sens!F305</f>
        <v>34.7405354558698</v>
      </c>
      <c r="G306" s="6" t="n">
        <f aca="false">Sens!G304+Sens!G305</f>
        <v>60.5067332603396</v>
      </c>
      <c r="H306" s="6" t="n">
        <f aca="false">Sens!H304+Sens!H305</f>
        <v>87.7423159931396</v>
      </c>
      <c r="I306" s="6" t="n">
        <f aca="false">Sens!I304+Sens!I305</f>
        <v>111.987039982221</v>
      </c>
      <c r="J306" s="6" t="n">
        <f aca="false">Sens!J304+Sens!J305</f>
        <v>129.183710922666</v>
      </c>
      <c r="K306" s="6" t="n">
        <f aca="false">Sens!K304+Sens!K305</f>
        <v>139.647646804474</v>
      </c>
    </row>
    <row r="307" customFormat="false" ht="17.15" hidden="false" customHeight="false" outlineLevel="0" collapsed="false">
      <c r="A307" s="0" t="s">
        <v>845</v>
      </c>
      <c r="B307" s="0" t="s">
        <v>98</v>
      </c>
      <c r="E307" s="6" t="n">
        <f aca="false">Sens!E295-Sens!E294*Sens!E306</f>
        <v>8.92707889977379</v>
      </c>
      <c r="F307" s="6" t="n">
        <f aca="false">Sens!F295-Sens!F294*Sens!F306</f>
        <v>18.615119475672</v>
      </c>
      <c r="G307" s="6" t="n">
        <f aca="false">Sens!G295-Sens!G294*Sens!G306</f>
        <v>30.2487146016024</v>
      </c>
      <c r="H307" s="6" t="n">
        <f aca="false">Sens!H295-Sens!H294*Sens!H306</f>
        <v>42.5742553879752</v>
      </c>
      <c r="I307" s="6" t="n">
        <f aca="false">Sens!I295-Sens!I294*Sens!I306</f>
        <v>53.5303670284555</v>
      </c>
      <c r="J307" s="6" t="n">
        <f aca="false">Sens!J295-Sens!J294*Sens!J306</f>
        <v>61.1267039656484</v>
      </c>
      <c r="K307" s="6" t="n">
        <f aca="false">Sens!K295-Sens!K294*Sens!K306</f>
        <v>66.3462495357137</v>
      </c>
    </row>
    <row r="308" customFormat="false" ht="17.15" hidden="false" customHeight="false" outlineLevel="0" collapsed="false">
      <c r="A308" s="3" t="s">
        <v>1240</v>
      </c>
    </row>
    <row r="309" customFormat="false" ht="15" hidden="false" customHeight="false" outlineLevel="0" collapsed="false">
      <c r="A309" s="4" t="s">
        <v>43</v>
      </c>
      <c r="B309" s="4" t="s">
        <v>65</v>
      </c>
      <c r="C309" s="20" t="s">
        <v>788</v>
      </c>
      <c r="D309" s="20" t="s">
        <v>789</v>
      </c>
      <c r="E309" s="20" t="s">
        <v>790</v>
      </c>
      <c r="F309" s="20" t="s">
        <v>791</v>
      </c>
      <c r="G309" s="20" t="s">
        <v>792</v>
      </c>
      <c r="H309" s="20" t="s">
        <v>793</v>
      </c>
      <c r="I309" s="20" t="s">
        <v>794</v>
      </c>
      <c r="J309" s="20" t="s">
        <v>795</v>
      </c>
      <c r="K309" s="20" t="s">
        <v>796</v>
      </c>
      <c r="L309" s="4" t="s">
        <v>47</v>
      </c>
    </row>
    <row r="310" customFormat="false" ht="17.15" hidden="false" customHeight="false" outlineLevel="0" collapsed="false">
      <c r="A310" s="0" t="s">
        <v>864</v>
      </c>
      <c r="B310" s="0" t="s">
        <v>98</v>
      </c>
      <c r="D310" s="6" t="n">
        <f aca="false">Sens!D289</f>
        <v>12.9359794422418</v>
      </c>
      <c r="E310" s="6" t="n">
        <f aca="false">Sens!E289</f>
        <v>27.8095064661409</v>
      </c>
      <c r="F310" s="6" t="n">
        <f aca="false">Sens!F289</f>
        <v>55.0640065749585</v>
      </c>
      <c r="G310" s="6" t="n">
        <f aca="false">Sens!G289</f>
        <v>89.4505413190538</v>
      </c>
      <c r="H310" s="6" t="n">
        <f aca="false">Sens!H289</f>
        <v>124.835630736874</v>
      </c>
      <c r="I310" s="6" t="n">
        <f aca="false">Sens!I289</f>
        <v>156.158460265485</v>
      </c>
      <c r="J310" s="6" t="n">
        <f aca="false">Sens!J289</f>
        <v>177.99455972577</v>
      </c>
      <c r="K310" s="6" t="n">
        <f aca="false">Sens!K289</f>
        <v>191.597101773408</v>
      </c>
    </row>
    <row r="311" customFormat="false" ht="17.15" hidden="false" customHeight="false" outlineLevel="0" collapsed="false">
      <c r="A311" s="0" t="s">
        <v>865</v>
      </c>
      <c r="B311" s="0" t="s">
        <v>98</v>
      </c>
      <c r="D311" s="6" t="n">
        <f aca="false">Q!L6-Sens!D310</f>
        <v>59.6740205577583</v>
      </c>
      <c r="E311" s="6" t="n">
        <f aca="false">Q!M6-Sens!E310</f>
        <v>74.1284935338591</v>
      </c>
      <c r="F311" s="6" t="n">
        <f aca="false">Sens!E311*(1+Sens!F312)</f>
        <v>90.0799497373663</v>
      </c>
      <c r="G311" s="6" t="n">
        <f aca="false">Sens!F311*(1+Sens!G312)</f>
        <v>107.02842520331</v>
      </c>
      <c r="H311" s="6" t="n">
        <f aca="false">Sens!G311*(1+Sens!H312)</f>
        <v>124.271982585636</v>
      </c>
      <c r="I311" s="6" t="n">
        <f aca="false">Sens!H311*(1+Sens!I312)</f>
        <v>140.933702381855</v>
      </c>
      <c r="J311" s="6" t="n">
        <f aca="false">Sens!I311*(1+Sens!J312)</f>
        <v>156.018867314332</v>
      </c>
      <c r="K311" s="6" t="n">
        <f aca="false">Sens!J311*(1+Sens!K312)</f>
        <v>168.500376699478</v>
      </c>
    </row>
    <row r="312" customFormat="false" ht="15" hidden="false" customHeight="false" outlineLevel="0" collapsed="false">
      <c r="A312" s="1" t="s">
        <v>866</v>
      </c>
      <c r="B312" s="0" t="s">
        <v>129</v>
      </c>
      <c r="E312" s="7" t="n">
        <f aca="false">Sens!E311/Sens!D311-1</f>
        <v>0.242223883039864</v>
      </c>
      <c r="F312" s="7" t="n">
        <f aca="false">Sens!$E$312+(glt_azo-Sens!$E$312)*MIN(1,(Sens!F272-base_fy)/n_conv)</f>
        <v>0.215186569199887</v>
      </c>
      <c r="G312" s="7" t="n">
        <f aca="false">Sens!$E$312+(glt_azo-Sens!$E$312)*MIN(1,(Sens!G272-base_fy)/n_conv)</f>
        <v>0.18814925535991</v>
      </c>
      <c r="H312" s="7" t="n">
        <f aca="false">Sens!$E$312+(glt_azo-Sens!$E$312)*MIN(1,(Sens!H272-base_fy)/n_conv)</f>
        <v>0.161111941519932</v>
      </c>
      <c r="I312" s="7" t="n">
        <f aca="false">Sens!$E$312+(glt_azo-Sens!$E$312)*MIN(1,(Sens!I272-base_fy)/n_conv)</f>
        <v>0.134074627679955</v>
      </c>
      <c r="J312" s="7" t="n">
        <f aca="false">Sens!$E$312+(glt_azo-Sens!$E$312)*MIN(1,(Sens!J272-base_fy)/n_conv)</f>
        <v>0.107037313839977</v>
      </c>
      <c r="K312" s="7" t="n">
        <f aca="false">Sens!$E$312+(glt_azo-Sens!$E$312)*MIN(1,(Sens!K272-base_fy)/n_conv)</f>
        <v>0.08</v>
      </c>
    </row>
    <row r="313" customFormat="false" ht="15" hidden="false" customHeight="false" outlineLevel="0" collapsed="false">
      <c r="A313" s="0" t="s">
        <v>867</v>
      </c>
      <c r="B313" s="0" t="s">
        <v>98</v>
      </c>
      <c r="D313" s="6" t="n">
        <f aca="false">Sens!D310+Sens!D311</f>
        <v>72.61</v>
      </c>
      <c r="E313" s="6" t="n">
        <f aca="false">Sens!E310+Sens!E311</f>
        <v>101.938</v>
      </c>
      <c r="F313" s="6" t="n">
        <f aca="false">Sens!F310+Sens!F311</f>
        <v>145.143956312325</v>
      </c>
      <c r="G313" s="6" t="n">
        <f aca="false">Sens!G310+Sens!G311</f>
        <v>196.478966522364</v>
      </c>
      <c r="H313" s="6" t="n">
        <f aca="false">Sens!H310+Sens!H311</f>
        <v>249.10761332251</v>
      </c>
      <c r="I313" s="6" t="n">
        <f aca="false">Sens!I310+Sens!I311</f>
        <v>297.09216264734</v>
      </c>
      <c r="J313" s="6" t="n">
        <f aca="false">Sens!J310+Sens!J311</f>
        <v>334.013427040101</v>
      </c>
      <c r="K313" s="6" t="n">
        <f aca="false">Sens!K310+Sens!K311</f>
        <v>360.097478472886</v>
      </c>
    </row>
    <row r="314" customFormat="false" ht="17.15" hidden="false" customHeight="false" outlineLevel="0" collapsed="false">
      <c r="A314" s="0" t="s">
        <v>868</v>
      </c>
      <c r="B314" s="1" t="s">
        <v>521</v>
      </c>
      <c r="C314" s="29" t="n">
        <f aca="false">cop_s24</f>
        <v>1</v>
      </c>
      <c r="D314" s="29" t="n">
        <f aca="false">cop_s25</f>
        <v>5</v>
      </c>
      <c r="E314" s="29" t="n">
        <f aca="false">cop_s26</f>
        <v>30</v>
      </c>
      <c r="F314" s="29" t="n">
        <f aca="false">Sens!E314+cop_add_B</f>
        <v>50</v>
      </c>
      <c r="G314" s="29" t="n">
        <f aca="false">Sens!F314+cop_add_B</f>
        <v>70</v>
      </c>
      <c r="H314" s="29" t="n">
        <f aca="false">Sens!G314+cop_add_B</f>
        <v>90</v>
      </c>
      <c r="I314" s="29" t="n">
        <f aca="false">Sens!H314+cop_add_B*cop_tail</f>
        <v>100</v>
      </c>
      <c r="J314" s="29" t="n">
        <f aca="false">Sens!I314+cop_add_B*cop_tail</f>
        <v>110</v>
      </c>
      <c r="K314" s="29" t="n">
        <f aca="false">Sens!J314+cop_add_B*cop_tail</f>
        <v>120</v>
      </c>
      <c r="L314" s="11" t="s">
        <v>869</v>
      </c>
    </row>
    <row r="315" customFormat="false" ht="17.15" hidden="false" customHeight="false" outlineLevel="0" collapsed="false">
      <c r="A315" s="0" t="s">
        <v>870</v>
      </c>
      <c r="B315" s="0" t="s">
        <v>98</v>
      </c>
      <c r="D315" s="6" t="n">
        <f aca="false">(Sens!C314+Sens!D314)/2*cop_px*12/1000</f>
        <v>0.9</v>
      </c>
      <c r="E315" s="6" t="n">
        <f aca="false">(Sens!D314+Sens!E314)/2*cop_px*12/1000</f>
        <v>5.25</v>
      </c>
      <c r="F315" s="6" t="n">
        <f aca="false">(Sens!E314+Sens!F314)/2*cop_px*12/1000</f>
        <v>12</v>
      </c>
      <c r="G315" s="6" t="n">
        <f aca="false">(Sens!F314+Sens!G314)/2*cop_px*12/1000</f>
        <v>18</v>
      </c>
      <c r="H315" s="6" t="n">
        <f aca="false">(Sens!G314+Sens!H314)/2*cop_px*12/1000</f>
        <v>24</v>
      </c>
      <c r="I315" s="6" t="n">
        <f aca="false">(Sens!H314+Sens!I314)/2*cop_px*12/1000</f>
        <v>28.5</v>
      </c>
      <c r="J315" s="6" t="n">
        <f aca="false">(Sens!I314+Sens!J314)/2*cop_px*12/1000</f>
        <v>31.5</v>
      </c>
      <c r="K315" s="6" t="n">
        <f aca="false">(Sens!J314+Sens!K314)/2*cop_px*12/1000</f>
        <v>34.5</v>
      </c>
      <c r="L315" s="1" t="s">
        <v>871</v>
      </c>
    </row>
    <row r="316" customFormat="false" ht="17.15" hidden="false" customHeight="false" outlineLevel="0" collapsed="false">
      <c r="A316" s="0" t="s">
        <v>872</v>
      </c>
      <c r="B316" s="0" t="s">
        <v>98</v>
      </c>
      <c r="D316" s="6" t="n">
        <f aca="false">Q!L7-Sens!D315</f>
        <v>83.705</v>
      </c>
      <c r="E316" s="6" t="n">
        <f aca="false">Q!M7-Sens!E315</f>
        <v>95.049</v>
      </c>
      <c r="F316" s="6" t="n">
        <f aca="false">Sens!E316*(1+Sens!F317)</f>
        <v>106.89238776686</v>
      </c>
      <c r="G316" s="6" t="n">
        <f aca="false">Sens!F316*(1+Sens!G317)</f>
        <v>119.044168448684</v>
      </c>
      <c r="H316" s="6" t="n">
        <f aca="false">Sens!G316*(1+Sens!H317)</f>
        <v>131.277359388781</v>
      </c>
      <c r="I316" s="6" t="n">
        <f aca="false">Sens!H316*(1+Sens!I317)</f>
        <v>143.334028071957</v>
      </c>
      <c r="J316" s="6" t="n">
        <f aca="false">Sens!I316*(1+Sens!J317)</f>
        <v>154.932702785465</v>
      </c>
      <c r="K316" s="6" t="n">
        <f aca="false">Sens!J316*(1+Sens!K317)</f>
        <v>165.777991980448</v>
      </c>
    </row>
    <row r="317" customFormat="false" ht="15" hidden="false" customHeight="false" outlineLevel="0" collapsed="false">
      <c r="A317" s="1" t="s">
        <v>866</v>
      </c>
      <c r="B317" s="0" t="s">
        <v>129</v>
      </c>
      <c r="E317" s="7" t="n">
        <f aca="false">Sens!E316/Sens!D316-1</f>
        <v>0.135523564900544</v>
      </c>
      <c r="F317" s="7" t="n">
        <f aca="false">Sens!$E$317+(glt_m365b-Sens!$E$317)*MIN(1,(Sens!F272-base_fy)/n_conv)</f>
        <v>0.124602970750453</v>
      </c>
      <c r="G317" s="7" t="n">
        <f aca="false">Sens!$E$317+(glt_m365b-Sens!$E$317)*MIN(1,(Sens!G272-base_fy)/n_conv)</f>
        <v>0.113682376600363</v>
      </c>
      <c r="H317" s="7" t="n">
        <f aca="false">Sens!$E$317+(glt_m365b-Sens!$E$317)*MIN(1,(Sens!H272-base_fy)/n_conv)</f>
        <v>0.102761782450272</v>
      </c>
      <c r="I317" s="7" t="n">
        <f aca="false">Sens!$E$317+(glt_m365b-Sens!$E$317)*MIN(1,(Sens!I272-base_fy)/n_conv)</f>
        <v>0.0918411883001813</v>
      </c>
      <c r="J317" s="7" t="n">
        <f aca="false">Sens!$E$317+(glt_m365b-Sens!$E$317)*MIN(1,(Sens!J272-base_fy)/n_conv)</f>
        <v>0.0809205941500906</v>
      </c>
      <c r="K317" s="7" t="n">
        <f aca="false">Sens!$E$317+(glt_m365b-Sens!$E$317)*MIN(1,(Sens!K272-base_fy)/n_conv)</f>
        <v>0.07</v>
      </c>
    </row>
    <row r="318" customFormat="false" ht="15" hidden="false" customHeight="false" outlineLevel="0" collapsed="false">
      <c r="A318" s="0" t="s">
        <v>873</v>
      </c>
      <c r="B318" s="0" t="s">
        <v>98</v>
      </c>
      <c r="D318" s="6" t="n">
        <f aca="false">Sens!D316+Sens!D315</f>
        <v>84.605</v>
      </c>
      <c r="E318" s="6" t="n">
        <f aca="false">Sens!E316+Sens!E315</f>
        <v>100.299</v>
      </c>
      <c r="F318" s="6" t="n">
        <f aca="false">Sens!F316+Sens!F315</f>
        <v>118.89238776686</v>
      </c>
      <c r="G318" s="6" t="n">
        <f aca="false">Sens!G316+Sens!G315</f>
        <v>137.044168448684</v>
      </c>
      <c r="H318" s="6" t="n">
        <f aca="false">Sens!H316+Sens!H315</f>
        <v>155.277359388781</v>
      </c>
      <c r="I318" s="6" t="n">
        <f aca="false">Sens!I316+Sens!I315</f>
        <v>171.834028071957</v>
      </c>
      <c r="J318" s="6" t="n">
        <f aca="false">Sens!J316+Sens!J315</f>
        <v>186.432702785465</v>
      </c>
      <c r="K318" s="6" t="n">
        <f aca="false">Sens!K316+Sens!K315</f>
        <v>200.277991980448</v>
      </c>
    </row>
    <row r="319" customFormat="false" ht="15" hidden="false" customHeight="false" outlineLevel="0" collapsed="false">
      <c r="A319" s="0" t="s">
        <v>874</v>
      </c>
      <c r="B319" s="0" t="s">
        <v>98</v>
      </c>
      <c r="D319" s="6" t="n">
        <f aca="false">Q!L8</f>
        <v>35.391</v>
      </c>
      <c r="E319" s="6" t="n">
        <f aca="false">Q!M8</f>
        <v>37.285</v>
      </c>
      <c r="F319" s="6" t="n">
        <f aca="false">Sens!E319*(1+Sens!F320)</f>
        <v>39.0720834331704</v>
      </c>
      <c r="G319" s="6" t="n">
        <f aca="false">Sens!F319*(1+Sens!G320)</f>
        <v>40.726562953769</v>
      </c>
      <c r="H319" s="6" t="n">
        <f aca="false">Sens!G319*(1+Sens!H320)</f>
        <v>42.2235987259198</v>
      </c>
      <c r="I319" s="6" t="n">
        <f aca="false">Sens!H319*(1+Sens!I320)</f>
        <v>43.5397988077414</v>
      </c>
      <c r="J319" s="6" t="n">
        <f aca="false">Sens!I319*(1+Sens!J320)</f>
        <v>44.653811225693</v>
      </c>
      <c r="K319" s="6" t="n">
        <f aca="false">Sens!J319*(1+Sens!K320)</f>
        <v>45.5468874502068</v>
      </c>
    </row>
    <row r="320" customFormat="false" ht="15" hidden="false" customHeight="false" outlineLevel="0" collapsed="false">
      <c r="A320" s="1" t="s">
        <v>866</v>
      </c>
      <c r="B320" s="0" t="s">
        <v>129</v>
      </c>
      <c r="E320" s="7" t="n">
        <f aca="false">Sens!E319/Sens!D319-1</f>
        <v>0.0535164307309768</v>
      </c>
      <c r="F320" s="7" t="n">
        <f aca="false">Sens!$E$320+(glt_lic-Sens!$E$320)*MIN(1,(Sens!F272-base_fy)/n_conv)</f>
        <v>0.0479303589424807</v>
      </c>
      <c r="G320" s="7" t="n">
        <f aca="false">Sens!$E$320+(glt_lic-Sens!$E$320)*MIN(1,(Sens!G272-base_fy)/n_conv)</f>
        <v>0.0423442871539845</v>
      </c>
      <c r="H320" s="7" t="n">
        <f aca="false">Sens!$E$320+(glt_lic-Sens!$E$320)*MIN(1,(Sens!H272-base_fy)/n_conv)</f>
        <v>0.0367582153654884</v>
      </c>
      <c r="I320" s="7" t="n">
        <f aca="false">Sens!$E$320+(glt_lic-Sens!$E$320)*MIN(1,(Sens!I272-base_fy)/n_conv)</f>
        <v>0.0311721435769923</v>
      </c>
      <c r="J320" s="7" t="n">
        <f aca="false">Sens!$E$320+(glt_lic-Sens!$E$320)*MIN(1,(Sens!J272-base_fy)/n_conv)</f>
        <v>0.0255860717884961</v>
      </c>
      <c r="K320" s="7" t="n">
        <f aca="false">Sens!$E$320+(glt_lic-Sens!$E$320)*MIN(1,(Sens!K272-base_fy)/n_conv)</f>
        <v>0.02</v>
      </c>
    </row>
    <row r="321" customFormat="false" ht="15" hidden="false" customHeight="false" outlineLevel="0" collapsed="false">
      <c r="A321" s="0" t="s">
        <v>875</v>
      </c>
      <c r="B321" s="0" t="s">
        <v>98</v>
      </c>
      <c r="D321" s="6" t="n">
        <f aca="false">Q!L9</f>
        <v>18.417</v>
      </c>
      <c r="E321" s="6" t="n">
        <f aca="false">Q!M9</f>
        <v>20.345</v>
      </c>
      <c r="F321" s="6" t="n">
        <f aca="false">Sens!E321*(1+Sens!F322)</f>
        <v>22.3572203267814</v>
      </c>
      <c r="G321" s="6" t="n">
        <f aca="false">Sens!F321*(1+Sens!G322)</f>
        <v>24.4392124437232</v>
      </c>
      <c r="H321" s="6" t="n">
        <f aca="false">Sens!G321*(1+Sens!H322)</f>
        <v>26.5738052080665</v>
      </c>
      <c r="I321" s="6" t="n">
        <f aca="false">Sens!H321*(1+Sens!I322)</f>
        <v>28.7412169166967</v>
      </c>
      <c r="J321" s="6" t="n">
        <f aca="false">Sens!I321*(1+Sens!J322)</f>
        <v>30.9192545395413</v>
      </c>
      <c r="K321" s="6" t="n">
        <f aca="false">Sens!J321*(1+Sens!K322)</f>
        <v>33.0836023573092</v>
      </c>
    </row>
    <row r="322" customFormat="false" ht="15" hidden="false" customHeight="false" outlineLevel="0" collapsed="false">
      <c r="A322" s="1" t="s">
        <v>866</v>
      </c>
      <c r="B322" s="0" t="s">
        <v>129</v>
      </c>
      <c r="E322" s="7" t="n">
        <f aca="false">Sens!E321/Sens!D321-1</f>
        <v>0.104685888038225</v>
      </c>
      <c r="F322" s="7" t="n">
        <f aca="false">Sens!$E$322+(glt_ind-Sens!$E$322)*MIN(1,(Sens!F272-base_fy)/n_conv)</f>
        <v>0.0989049066985211</v>
      </c>
      <c r="G322" s="7" t="n">
        <f aca="false">Sens!$E$322+(glt_ind-Sens!$E$322)*MIN(1,(Sens!G272-base_fy)/n_conv)</f>
        <v>0.0931239253588169</v>
      </c>
      <c r="H322" s="7" t="n">
        <f aca="false">Sens!$E$322+(glt_ind-Sens!$E$322)*MIN(1,(Sens!H272-base_fy)/n_conv)</f>
        <v>0.0873429440191127</v>
      </c>
      <c r="I322" s="7" t="n">
        <f aca="false">Sens!$E$322+(glt_ind-Sens!$E$322)*MIN(1,(Sens!I272-base_fy)/n_conv)</f>
        <v>0.0815619626794085</v>
      </c>
      <c r="J322" s="7" t="n">
        <f aca="false">Sens!$E$322+(glt_ind-Sens!$E$322)*MIN(1,(Sens!J272-base_fy)/n_conv)</f>
        <v>0.0757809813397042</v>
      </c>
      <c r="K322" s="7" t="n">
        <f aca="false">Sens!$E$322+(glt_ind-Sens!$E$322)*MIN(1,(Sens!K272-base_fy)/n_conv)</f>
        <v>0.07</v>
      </c>
    </row>
    <row r="323" customFormat="false" ht="15" hidden="false" customHeight="false" outlineLevel="0" collapsed="false">
      <c r="A323" s="0" t="s">
        <v>876</v>
      </c>
      <c r="B323" s="0" t="s">
        <v>98</v>
      </c>
      <c r="D323" s="6" t="n">
        <f aca="false">Q!L10</f>
        <v>7.76</v>
      </c>
      <c r="E323" s="6" t="n">
        <f aca="false">Q!M10</f>
        <v>8.26</v>
      </c>
      <c r="F323" s="6" t="n">
        <f aca="false">Sens!E323*(1+Sens!F324)</f>
        <v>8.79988041237113</v>
      </c>
      <c r="G323" s="6" t="n">
        <f aca="false">Sens!F323*(1+Sens!G324)</f>
        <v>9.38321269125306</v>
      </c>
      <c r="H323" s="6" t="n">
        <f aca="false">Sens!G323*(1+Sens!H324)</f>
        <v>10.0139193587476</v>
      </c>
      <c r="I323" s="6" t="n">
        <f aca="false">Sens!H323*(1+Sens!I324)</f>
        <v>10.6963111830911</v>
      </c>
      <c r="J323" s="6" t="n">
        <f aca="false">Sens!I323*(1+Sens!J324)</f>
        <v>11.4351285534696</v>
      </c>
      <c r="K323" s="6" t="n">
        <f aca="false">Sens!J323*(1+Sens!K324)</f>
        <v>12.2355875522124</v>
      </c>
    </row>
    <row r="324" customFormat="false" ht="15" hidden="false" customHeight="false" outlineLevel="0" collapsed="false">
      <c r="A324" s="1" t="s">
        <v>866</v>
      </c>
      <c r="B324" s="0" t="s">
        <v>129</v>
      </c>
      <c r="E324" s="7" t="n">
        <f aca="false">Sens!E323/Sens!D323-1</f>
        <v>0.0644329896907216</v>
      </c>
      <c r="F324" s="7" t="n">
        <f aca="false">Sens!$E$324+(glt_fro-Sens!$E$324)*MIN(1,(Sens!F272-base_fy)/n_conv)</f>
        <v>0.065360824742268</v>
      </c>
      <c r="G324" s="7" t="n">
        <f aca="false">Sens!$E$324+(glt_fro-Sens!$E$324)*MIN(1,(Sens!G272-base_fy)/n_conv)</f>
        <v>0.0662886597938144</v>
      </c>
      <c r="H324" s="7" t="n">
        <f aca="false">Sens!$E$324+(glt_fro-Sens!$E$324)*MIN(1,(Sens!H272-base_fy)/n_conv)</f>
        <v>0.0672164948453608</v>
      </c>
      <c r="I324" s="7" t="n">
        <f aca="false">Sens!$E$324+(glt_fro-Sens!$E$324)*MIN(1,(Sens!I272-base_fy)/n_conv)</f>
        <v>0.0681443298969072</v>
      </c>
      <c r="J324" s="7" t="n">
        <f aca="false">Sens!$E$324+(glt_fro-Sens!$E$324)*MIN(1,(Sens!J272-base_fy)/n_conv)</f>
        <v>0.0690721649484536</v>
      </c>
      <c r="K324" s="7" t="n">
        <f aca="false">Sens!$E$324+(glt_fro-Sens!$E$324)*MIN(1,(Sens!K272-base_fy)/n_conv)</f>
        <v>0.07</v>
      </c>
    </row>
    <row r="325" customFormat="false" ht="15" hidden="false" customHeight="false" outlineLevel="0" collapsed="false">
      <c r="A325" s="0" t="s">
        <v>704</v>
      </c>
      <c r="B325" s="0" t="s">
        <v>98</v>
      </c>
      <c r="D325" s="6" t="n">
        <f aca="false">Sens!D313+Sens!D318+Sens!D319+Sens!D321+Sens!D323</f>
        <v>218.783</v>
      </c>
      <c r="E325" s="6" t="n">
        <f aca="false">Sens!E313+Sens!E318+Sens!E319+Sens!E321+Sens!E323</f>
        <v>268.127</v>
      </c>
      <c r="F325" s="6" t="n">
        <f aca="false">Sens!F313+Sens!F318+Sens!F319+Sens!F321+Sens!F323</f>
        <v>334.265528251508</v>
      </c>
      <c r="G325" s="6" t="n">
        <f aca="false">Sens!G313+Sens!G318+Sens!G319+Sens!G321+Sens!G323</f>
        <v>408.072123059793</v>
      </c>
      <c r="H325" s="6" t="n">
        <f aca="false">Sens!H313+Sens!H318+Sens!H319+Sens!H321+Sens!H323</f>
        <v>483.196296004025</v>
      </c>
      <c r="I325" s="6" t="n">
        <f aca="false">Sens!I313+Sens!I318+Sens!I319+Sens!I321+Sens!I323</f>
        <v>551.903517626826</v>
      </c>
      <c r="J325" s="6" t="n">
        <f aca="false">Sens!J313+Sens!J318+Sens!J319+Sens!J321+Sens!J323</f>
        <v>607.45432414427</v>
      </c>
      <c r="K325" s="6" t="n">
        <f aca="false">Sens!K313+Sens!K318+Sens!K319+Sens!K321+Sens!K323</f>
        <v>651.241547813062</v>
      </c>
    </row>
    <row r="326" customFormat="false" ht="15" hidden="false" customHeight="false" outlineLevel="0" collapsed="false">
      <c r="A326" s="0" t="s">
        <v>877</v>
      </c>
      <c r="B326" s="0" t="s">
        <v>98</v>
      </c>
      <c r="D326" s="6" t="n">
        <f aca="false">Q!L13</f>
        <v>22.171</v>
      </c>
      <c r="E326" s="6" t="n">
        <f aca="false">Q!M13</f>
        <v>24.835</v>
      </c>
      <c r="F326" s="6" t="n">
        <f aca="false">Sens!E326*(1+Sens!F327)</f>
        <v>27.6114901218559</v>
      </c>
      <c r="G326" s="6" t="n">
        <f aca="false">Sens!F326*(1+Sens!G327)</f>
        <v>30.4675667338515</v>
      </c>
      <c r="H326" s="6" t="n">
        <f aca="false">Sens!G326*(1+Sens!H327)</f>
        <v>33.3643766955789</v>
      </c>
      <c r="I326" s="6" t="n">
        <f aca="false">Sens!H326*(1+Sens!I327)</f>
        <v>36.2577016533691</v>
      </c>
      <c r="J326" s="6" t="n">
        <f aca="false">Sens!I326*(1+Sens!J327)</f>
        <v>39.0988367952171</v>
      </c>
      <c r="K326" s="6" t="n">
        <f aca="false">Sens!J326*(1+Sens!K327)</f>
        <v>41.8357553708823</v>
      </c>
    </row>
    <row r="327" customFormat="false" ht="15" hidden="false" customHeight="false" outlineLevel="0" collapsed="false">
      <c r="A327" s="1" t="s">
        <v>866</v>
      </c>
      <c r="B327" s="0" t="s">
        <v>129</v>
      </c>
      <c r="E327" s="7" t="n">
        <f aca="false">Sens!E326/Sens!D326-1</f>
        <v>0.120156961796942</v>
      </c>
      <c r="F327" s="7" t="n">
        <f aca="false">Sens!$E$327+(glt_srch-Sens!$E$327)*MIN(1,(Sens!F272-base_fy)/n_conv)</f>
        <v>0.111797468164118</v>
      </c>
      <c r="G327" s="7" t="n">
        <f aca="false">Sens!$E$327+(glt_srch-Sens!$E$327)*MIN(1,(Sens!G272-base_fy)/n_conv)</f>
        <v>0.103437974531295</v>
      </c>
      <c r="H327" s="7" t="n">
        <f aca="false">Sens!$E$327+(glt_srch-Sens!$E$327)*MIN(1,(Sens!H272-base_fy)/n_conv)</f>
        <v>0.095078480898471</v>
      </c>
      <c r="I327" s="7" t="n">
        <f aca="false">Sens!$E$327+(glt_srch-Sens!$E$327)*MIN(1,(Sens!I272-base_fy)/n_conv)</f>
        <v>0.0867189872656474</v>
      </c>
      <c r="J327" s="7" t="n">
        <f aca="false">Sens!$E$327+(glt_srch-Sens!$E$327)*MIN(1,(Sens!J272-base_fy)/n_conv)</f>
        <v>0.0783594936328237</v>
      </c>
      <c r="K327" s="7" t="n">
        <f aca="false">Sens!$E$327+(glt_srch-Sens!$E$327)*MIN(1,(Sens!K272-base_fy)/n_conv)</f>
        <v>0.07</v>
      </c>
    </row>
    <row r="328" customFormat="false" ht="15" hidden="false" customHeight="false" outlineLevel="0" collapsed="false">
      <c r="A328" s="0" t="s">
        <v>878</v>
      </c>
      <c r="B328" s="0" t="s">
        <v>98</v>
      </c>
      <c r="D328" s="6" t="n">
        <f aca="false">Q!L14</f>
        <v>23.455</v>
      </c>
      <c r="E328" s="6" t="n">
        <f aca="false">Q!M14</f>
        <v>21.79</v>
      </c>
      <c r="F328" s="6" t="n">
        <f aca="false">Sens!E328*(1+Sens!F329)</f>
        <v>20.5736277908051</v>
      </c>
      <c r="G328" s="6" t="n">
        <f aca="false">Sens!F328*(1+Sens!G329)</f>
        <v>19.7371452817919</v>
      </c>
      <c r="H328" s="6" t="n">
        <f aca="false">Sens!G328*(1+Sens!H329)</f>
        <v>19.2339764043138</v>
      </c>
      <c r="I328" s="6" t="n">
        <f aca="false">Sens!H328*(1+Sens!I329)</f>
        <v>19.0353086852681</v>
      </c>
      <c r="J328" s="6" t="n">
        <f aca="false">Sens!I328*(1+Sens!J329)</f>
        <v>19.1273539319129</v>
      </c>
      <c r="K328" s="6" t="n">
        <f aca="false">Sens!J328*(1+Sens!K329)</f>
        <v>19.5099010105511</v>
      </c>
    </row>
    <row r="329" customFormat="false" ht="15" hidden="false" customHeight="false" outlineLevel="0" collapsed="false">
      <c r="A329" s="1" t="s">
        <v>866</v>
      </c>
      <c r="B329" s="0" t="s">
        <v>129</v>
      </c>
      <c r="E329" s="7" t="n">
        <f aca="false">Sens!E328/Sens!D328-1</f>
        <v>-0.0709869963760392</v>
      </c>
      <c r="F329" s="7" t="n">
        <f aca="false">Sens!$E$329+(glt_xbox-Sens!$E$329)*MIN(1,(Sens!F272-base_fy)/n_conv)</f>
        <v>-0.0558224969800327</v>
      </c>
      <c r="G329" s="7" t="n">
        <f aca="false">Sens!$E$329+(glt_xbox-Sens!$E$329)*MIN(1,(Sens!G272-base_fy)/n_conv)</f>
        <v>-0.0406579975840262</v>
      </c>
      <c r="H329" s="7" t="n">
        <f aca="false">Sens!$E$329+(glt_xbox-Sens!$E$329)*MIN(1,(Sens!H272-base_fy)/n_conv)</f>
        <v>-0.0254934981880196</v>
      </c>
      <c r="I329" s="7" t="n">
        <f aca="false">Sens!$E$329+(glt_xbox-Sens!$E$329)*MIN(1,(Sens!I272-base_fy)/n_conv)</f>
        <v>-0.0103289987920131</v>
      </c>
      <c r="J329" s="7" t="n">
        <f aca="false">Sens!$E$329+(glt_xbox-Sens!$E$329)*MIN(1,(Sens!J272-base_fy)/n_conv)</f>
        <v>0.00483550060399347</v>
      </c>
      <c r="K329" s="7" t="n">
        <f aca="false">Sens!$E$329+(glt_xbox-Sens!$E$329)*MIN(1,(Sens!K272-base_fy)/n_conv)</f>
        <v>0.02</v>
      </c>
    </row>
    <row r="330" customFormat="false" ht="15" hidden="false" customHeight="false" outlineLevel="0" collapsed="false">
      <c r="A330" s="0" t="s">
        <v>879</v>
      </c>
      <c r="B330" s="0" t="s">
        <v>98</v>
      </c>
      <c r="D330" s="6" t="n">
        <f aca="false">Q!L15</f>
        <v>17.315</v>
      </c>
      <c r="E330" s="6" t="n">
        <f aca="false">Q!M15</f>
        <v>17.087</v>
      </c>
      <c r="F330" s="6" t="n">
        <f aca="false">Sens!E330*(1+Sens!F331)</f>
        <v>16.9564585436519</v>
      </c>
      <c r="G330" s="6" t="n">
        <f aca="false">Sens!F330*(1+Sens!G331)</f>
        <v>16.9206490624268</v>
      </c>
      <c r="H330" s="6" t="n">
        <f aca="false">Sens!G330*(1+Sens!H331)</f>
        <v>16.9784519149849</v>
      </c>
      <c r="I330" s="6" t="n">
        <f aca="false">Sens!H330*(1+Sens!I331)</f>
        <v>17.1303084701817</v>
      </c>
      <c r="J330" s="6" t="n">
        <f aca="false">Sens!I330*(1+Sens!J331)</f>
        <v>17.3782189407267</v>
      </c>
      <c r="K330" s="6" t="n">
        <f aca="false">Sens!J330*(1+Sens!K331)</f>
        <v>17.7257833195413</v>
      </c>
    </row>
    <row r="331" customFormat="false" ht="15" hidden="false" customHeight="false" outlineLevel="0" collapsed="false">
      <c r="A331" s="1" t="s">
        <v>866</v>
      </c>
      <c r="B331" s="0" t="s">
        <v>129</v>
      </c>
      <c r="E331" s="7" t="n">
        <f aca="false">Sens!E330/Sens!D330-1</f>
        <v>-0.0131677736066995</v>
      </c>
      <c r="F331" s="7" t="n">
        <f aca="false">Sens!$E$331+(glt_win-Sens!$E$331)*MIN(1,(Sens!F272-base_fy)/n_conv)</f>
        <v>-0.00763981133891627</v>
      </c>
      <c r="G331" s="7" t="n">
        <f aca="false">Sens!$E$331+(glt_win-Sens!$E$331)*MIN(1,(Sens!G272-base_fy)/n_conv)</f>
        <v>-0.00211184907113301</v>
      </c>
      <c r="H331" s="7" t="n">
        <f aca="false">Sens!$E$331+(glt_win-Sens!$E$331)*MIN(1,(Sens!H272-base_fy)/n_conv)</f>
        <v>0.00341611319665024</v>
      </c>
      <c r="I331" s="7" t="n">
        <f aca="false">Sens!$E$331+(glt_win-Sens!$E$331)*MIN(1,(Sens!I272-base_fy)/n_conv)</f>
        <v>0.00894407546443349</v>
      </c>
      <c r="J331" s="7" t="n">
        <f aca="false">Sens!$E$331+(glt_win-Sens!$E$331)*MIN(1,(Sens!J272-base_fy)/n_conv)</f>
        <v>0.0144720377322168</v>
      </c>
      <c r="K331" s="7" t="n">
        <f aca="false">Sens!$E$331+(glt_win-Sens!$E$331)*MIN(1,(Sens!K272-base_fy)/n_conv)</f>
        <v>0.02</v>
      </c>
    </row>
    <row r="332" customFormat="false" ht="15" hidden="false" customHeight="false" outlineLevel="0" collapsed="false">
      <c r="A332" s="0" t="s">
        <v>718</v>
      </c>
      <c r="B332" s="0" t="s">
        <v>98</v>
      </c>
      <c r="D332" s="6" t="n">
        <f aca="false">Sens!D326+Sens!D328+Sens!D330</f>
        <v>62.941</v>
      </c>
      <c r="E332" s="6" t="n">
        <f aca="false">Sens!E326+Sens!E328+Sens!E330</f>
        <v>63.712</v>
      </c>
      <c r="F332" s="6" t="n">
        <f aca="false">Sens!F326+Sens!F328+Sens!F330</f>
        <v>65.1415764563129</v>
      </c>
      <c r="G332" s="6" t="n">
        <f aca="false">Sens!G326+Sens!G328+Sens!G330</f>
        <v>67.1253610780702</v>
      </c>
      <c r="H332" s="6" t="n">
        <f aca="false">Sens!H326+Sens!H328+Sens!H330</f>
        <v>69.5768050148776</v>
      </c>
      <c r="I332" s="6" t="n">
        <f aca="false">Sens!I326+Sens!I328+Sens!I330</f>
        <v>72.4233188088189</v>
      </c>
      <c r="J332" s="6" t="n">
        <f aca="false">Sens!J326+Sens!J328+Sens!J330</f>
        <v>75.6044096678567</v>
      </c>
      <c r="K332" s="6" t="n">
        <f aca="false">Sens!K326+Sens!K328+Sens!K330</f>
        <v>79.0714397009747</v>
      </c>
    </row>
    <row r="333" customFormat="false" ht="15" hidden="false" customHeight="false" outlineLevel="0" collapsed="false">
      <c r="A333" s="1" t="s">
        <v>880</v>
      </c>
      <c r="B333" s="0" t="s">
        <v>98</v>
      </c>
      <c r="D333" s="6" t="n">
        <f aca="false">Sens!D325+Sens!D332</f>
        <v>281.724</v>
      </c>
      <c r="E333" s="6" t="n">
        <f aca="false">Sens!E325+Sens!E332</f>
        <v>331.839</v>
      </c>
      <c r="F333" s="6" t="n">
        <f aca="false">Sens!F325+Sens!F332</f>
        <v>399.407104707821</v>
      </c>
      <c r="G333" s="6" t="n">
        <f aca="false">Sens!G325+Sens!G332</f>
        <v>475.197484137863</v>
      </c>
      <c r="H333" s="6" t="n">
        <f aca="false">Sens!H325+Sens!H332</f>
        <v>552.773101018903</v>
      </c>
      <c r="I333" s="6" t="n">
        <f aca="false">Sens!I325+Sens!I332</f>
        <v>624.326836435645</v>
      </c>
      <c r="J333" s="6" t="n">
        <f aca="false">Sens!J325+Sens!J332</f>
        <v>683.058733812127</v>
      </c>
      <c r="K333" s="6" t="n">
        <f aca="false">Sens!K325+Sens!K332</f>
        <v>730.312987514037</v>
      </c>
    </row>
    <row r="334" customFormat="false" ht="15" hidden="false" customHeight="false" outlineLevel="0" collapsed="false">
      <c r="A334" s="23" t="s">
        <v>881</v>
      </c>
      <c r="B334" s="30" t="s">
        <v>98</v>
      </c>
      <c r="C334" s="30"/>
      <c r="D334" s="24" t="n">
        <f aca="false">(Sens!D313+Sens!D318+Sens!D319+Sens!D321+Sens!D323-Sens!D325)+(Sens!D326+Sens!D328+Sens!D330-Sens!D332)+(Sens!D325-Q!L5)+(Sens!D332-Q!L12)+(Sens!D313-Q!L6)+(Sens!D318-Q!L7)</f>
        <v>0</v>
      </c>
      <c r="E334" s="24" t="n">
        <f aca="false">(Sens!E313+Sens!E318+Sens!E319+Sens!E321+Sens!E323-Sens!E325)+(Sens!E326+Sens!E328+Sens!E330-Sens!E332)+(Sens!E325-Q!M5)+(Sens!E332-Q!M12)+(Sens!E313-Q!M6)+(Sens!E318-Q!M7)</f>
        <v>0</v>
      </c>
      <c r="F334" s="24" t="n">
        <f aca="false">(Sens!F313+Sens!F318+Sens!F319+Sens!F321+Sens!F323-Sens!F325)+(Sens!F326+Sens!F328+Sens!F330-Sens!F332)</f>
        <v>0</v>
      </c>
      <c r="G334" s="24" t="n">
        <f aca="false">(Sens!G313+Sens!G318+Sens!G319+Sens!G321+Sens!G323-Sens!G325)+(Sens!G326+Sens!G328+Sens!G330-Sens!G332)</f>
        <v>0</v>
      </c>
      <c r="H334" s="24" t="n">
        <f aca="false">(Sens!H313+Sens!H318+Sens!H319+Sens!H321+Sens!H323-Sens!H325)+(Sens!H326+Sens!H328+Sens!H330-Sens!H332)</f>
        <v>0</v>
      </c>
      <c r="I334" s="24" t="n">
        <f aca="false">(Sens!I313+Sens!I318+Sens!I319+Sens!I321+Sens!I323-Sens!I325)+(Sens!I326+Sens!I328+Sens!I330-Sens!I332)</f>
        <v>0</v>
      </c>
      <c r="J334" s="24" t="n">
        <f aca="false">(Sens!J313+Sens!J318+Sens!J319+Sens!J321+Sens!J323-Sens!J325)+(Sens!J326+Sens!J328+Sens!J330-Sens!J332)</f>
        <v>0</v>
      </c>
      <c r="K334" s="24" t="n">
        <f aca="false">(Sens!K313+Sens!K318+Sens!K319+Sens!K321+Sens!K323-Sens!K325)+(Sens!K326+Sens!K328+Sens!K330-Sens!K332)</f>
        <v>0</v>
      </c>
    </row>
    <row r="335" customFormat="false" ht="17.15" hidden="false" customHeight="false" outlineLevel="0" collapsed="false">
      <c r="A335" s="3" t="s">
        <v>1241</v>
      </c>
    </row>
    <row r="336" customFormat="false" ht="15" hidden="false" customHeight="false" outlineLevel="0" collapsed="false">
      <c r="A336" s="4" t="s">
        <v>43</v>
      </c>
      <c r="B336" s="4" t="s">
        <v>65</v>
      </c>
      <c r="C336" s="20" t="s">
        <v>788</v>
      </c>
      <c r="D336" s="20" t="s">
        <v>789</v>
      </c>
      <c r="E336" s="20" t="s">
        <v>790</v>
      </c>
      <c r="F336" s="20" t="s">
        <v>791</v>
      </c>
      <c r="G336" s="20" t="s">
        <v>792</v>
      </c>
      <c r="H336" s="20" t="s">
        <v>793</v>
      </c>
      <c r="I336" s="20" t="s">
        <v>794</v>
      </c>
      <c r="J336" s="20" t="s">
        <v>795</v>
      </c>
      <c r="K336" s="20" t="s">
        <v>796</v>
      </c>
      <c r="L336" s="4" t="s">
        <v>47</v>
      </c>
    </row>
    <row r="337" customFormat="false" ht="15" hidden="false" customHeight="false" outlineLevel="0" collapsed="false">
      <c r="A337" s="0" t="s">
        <v>867</v>
      </c>
      <c r="B337" s="0" t="s">
        <v>98</v>
      </c>
      <c r="D337" s="6" t="n">
        <f aca="false">Sens!D313</f>
        <v>72.61</v>
      </c>
      <c r="E337" s="6" t="n">
        <f aca="false">Sens!E313</f>
        <v>101.938</v>
      </c>
      <c r="F337" s="6" t="n">
        <f aca="false">Sens!F313</f>
        <v>145.143956312325</v>
      </c>
      <c r="G337" s="6" t="n">
        <f aca="false">Sens!G313</f>
        <v>196.478966522364</v>
      </c>
      <c r="H337" s="6" t="n">
        <f aca="false">Sens!H313</f>
        <v>249.10761332251</v>
      </c>
      <c r="I337" s="6" t="n">
        <f aca="false">Sens!I313</f>
        <v>297.09216264734</v>
      </c>
      <c r="J337" s="6" t="n">
        <f aca="false">Sens!J313</f>
        <v>334.013427040101</v>
      </c>
      <c r="K337" s="6" t="n">
        <f aca="false">Sens!K313</f>
        <v>360.097478472886</v>
      </c>
    </row>
    <row r="338" customFormat="false" ht="17.15" hidden="false" customHeight="false" outlineLevel="0" collapsed="false">
      <c r="A338" s="0" t="s">
        <v>864</v>
      </c>
      <c r="B338" s="0" t="s">
        <v>98</v>
      </c>
      <c r="D338" s="6" t="n">
        <f aca="false">Sens!D310</f>
        <v>12.9359794422418</v>
      </c>
      <c r="E338" s="6" t="n">
        <f aca="false">Sens!E310</f>
        <v>27.8095064661409</v>
      </c>
      <c r="F338" s="6" t="n">
        <f aca="false">Sens!F310</f>
        <v>55.0640065749585</v>
      </c>
      <c r="G338" s="6" t="n">
        <f aca="false">Sens!G310</f>
        <v>89.4505413190538</v>
      </c>
      <c r="H338" s="6" t="n">
        <f aca="false">Sens!H310</f>
        <v>124.835630736874</v>
      </c>
      <c r="I338" s="6" t="n">
        <f aca="false">Sens!I310</f>
        <v>156.158460265485</v>
      </c>
      <c r="J338" s="6" t="n">
        <f aca="false">Sens!J310</f>
        <v>177.99455972577</v>
      </c>
      <c r="K338" s="6" t="n">
        <f aca="false">Sens!K310</f>
        <v>191.597101773408</v>
      </c>
    </row>
    <row r="339" customFormat="false" ht="17.15" hidden="false" customHeight="false" outlineLevel="0" collapsed="false">
      <c r="A339" s="0" t="s">
        <v>892</v>
      </c>
      <c r="B339" s="0" t="s">
        <v>98</v>
      </c>
      <c r="D339" s="6" t="n">
        <f aca="false">Sens!D311</f>
        <v>59.6740205577583</v>
      </c>
      <c r="E339" s="6" t="n">
        <f aca="false">Sens!E311</f>
        <v>74.1284935338591</v>
      </c>
      <c r="F339" s="6" t="n">
        <f aca="false">Sens!F311</f>
        <v>90.0799497373663</v>
      </c>
      <c r="G339" s="6" t="n">
        <f aca="false">Sens!G311</f>
        <v>107.02842520331</v>
      </c>
      <c r="H339" s="6" t="n">
        <f aca="false">Sens!H311</f>
        <v>124.271982585636</v>
      </c>
      <c r="I339" s="6" t="n">
        <f aca="false">Sens!I311</f>
        <v>140.933702381855</v>
      </c>
      <c r="J339" s="6" t="n">
        <f aca="false">Sens!J311</f>
        <v>156.018867314332</v>
      </c>
      <c r="K339" s="6" t="n">
        <f aca="false">Sens!K311</f>
        <v>168.500376699478</v>
      </c>
    </row>
    <row r="340" customFormat="false" ht="15" hidden="false" customHeight="false" outlineLevel="0" collapsed="false">
      <c r="A340" s="0" t="s">
        <v>873</v>
      </c>
      <c r="B340" s="0" t="s">
        <v>98</v>
      </c>
      <c r="D340" s="6" t="n">
        <f aca="false">Sens!D318</f>
        <v>84.605</v>
      </c>
      <c r="E340" s="6" t="n">
        <f aca="false">Sens!E318</f>
        <v>100.299</v>
      </c>
      <c r="F340" s="6" t="n">
        <f aca="false">Sens!F318</f>
        <v>118.89238776686</v>
      </c>
      <c r="G340" s="6" t="n">
        <f aca="false">Sens!G318</f>
        <v>137.044168448684</v>
      </c>
      <c r="H340" s="6" t="n">
        <f aca="false">Sens!H318</f>
        <v>155.277359388781</v>
      </c>
      <c r="I340" s="6" t="n">
        <f aca="false">Sens!I318</f>
        <v>171.834028071957</v>
      </c>
      <c r="J340" s="6" t="n">
        <f aca="false">Sens!J318</f>
        <v>186.432702785465</v>
      </c>
      <c r="K340" s="6" t="n">
        <f aca="false">Sens!K318</f>
        <v>200.277991980448</v>
      </c>
    </row>
    <row r="341" customFormat="false" ht="17.15" hidden="false" customHeight="false" outlineLevel="0" collapsed="false">
      <c r="A341" s="0" t="s">
        <v>893</v>
      </c>
      <c r="B341" s="0" t="s">
        <v>98</v>
      </c>
      <c r="D341" s="6" t="n">
        <f aca="false">Sens!D316</f>
        <v>83.705</v>
      </c>
      <c r="E341" s="6" t="n">
        <f aca="false">Sens!E316</f>
        <v>95.049</v>
      </c>
      <c r="F341" s="6" t="n">
        <f aca="false">Sens!F316</f>
        <v>106.89238776686</v>
      </c>
      <c r="G341" s="6" t="n">
        <f aca="false">Sens!G316</f>
        <v>119.044168448684</v>
      </c>
      <c r="H341" s="6" t="n">
        <f aca="false">Sens!H316</f>
        <v>131.277359388781</v>
      </c>
      <c r="I341" s="6" t="n">
        <f aca="false">Sens!I316</f>
        <v>143.334028071957</v>
      </c>
      <c r="J341" s="6" t="n">
        <f aca="false">Sens!J316</f>
        <v>154.932702785465</v>
      </c>
      <c r="K341" s="6" t="n">
        <f aca="false">Sens!K316</f>
        <v>165.777991980448</v>
      </c>
    </row>
    <row r="342" customFormat="false" ht="17.15" hidden="false" customHeight="false" outlineLevel="0" collapsed="false">
      <c r="A342" s="0" t="s">
        <v>894</v>
      </c>
      <c r="B342" s="0" t="s">
        <v>98</v>
      </c>
      <c r="D342" s="6" t="n">
        <f aca="false">Sens!D315</f>
        <v>0.9</v>
      </c>
      <c r="E342" s="6" t="n">
        <f aca="false">Sens!E315</f>
        <v>5.25</v>
      </c>
      <c r="F342" s="6" t="n">
        <f aca="false">Sens!F315</f>
        <v>12</v>
      </c>
      <c r="G342" s="6" t="n">
        <f aca="false">Sens!G315</f>
        <v>18</v>
      </c>
      <c r="H342" s="6" t="n">
        <f aca="false">Sens!H315</f>
        <v>24</v>
      </c>
      <c r="I342" s="6" t="n">
        <f aca="false">Sens!I315</f>
        <v>28.5</v>
      </c>
      <c r="J342" s="6" t="n">
        <f aca="false">Sens!J315</f>
        <v>31.5</v>
      </c>
      <c r="K342" s="6" t="n">
        <f aca="false">Sens!K315</f>
        <v>34.5</v>
      </c>
    </row>
    <row r="343" customFormat="false" ht="15" hidden="false" customHeight="false" outlineLevel="0" collapsed="false">
      <c r="A343" s="0" t="s">
        <v>874</v>
      </c>
      <c r="B343" s="0" t="s">
        <v>98</v>
      </c>
      <c r="D343" s="6" t="n">
        <f aca="false">Sens!D319</f>
        <v>35.391</v>
      </c>
      <c r="E343" s="6" t="n">
        <f aca="false">Sens!E319</f>
        <v>37.285</v>
      </c>
      <c r="F343" s="6" t="n">
        <f aca="false">Sens!F319</f>
        <v>39.0720834331704</v>
      </c>
      <c r="G343" s="6" t="n">
        <f aca="false">Sens!G319</f>
        <v>40.726562953769</v>
      </c>
      <c r="H343" s="6" t="n">
        <f aca="false">Sens!H319</f>
        <v>42.2235987259198</v>
      </c>
      <c r="I343" s="6" t="n">
        <f aca="false">Sens!I319</f>
        <v>43.5397988077414</v>
      </c>
      <c r="J343" s="6" t="n">
        <f aca="false">Sens!J319</f>
        <v>44.653811225693</v>
      </c>
      <c r="K343" s="6" t="n">
        <f aca="false">Sens!K319</f>
        <v>45.5468874502068</v>
      </c>
    </row>
    <row r="344" customFormat="false" ht="15" hidden="false" customHeight="false" outlineLevel="0" collapsed="false">
      <c r="A344" s="0" t="s">
        <v>875</v>
      </c>
      <c r="B344" s="0" t="s">
        <v>98</v>
      </c>
      <c r="D344" s="6" t="n">
        <f aca="false">Sens!D321</f>
        <v>18.417</v>
      </c>
      <c r="E344" s="6" t="n">
        <f aca="false">Sens!E321</f>
        <v>20.345</v>
      </c>
      <c r="F344" s="6" t="n">
        <f aca="false">Sens!F321</f>
        <v>22.3572203267814</v>
      </c>
      <c r="G344" s="6" t="n">
        <f aca="false">Sens!G321</f>
        <v>24.4392124437232</v>
      </c>
      <c r="H344" s="6" t="n">
        <f aca="false">Sens!H321</f>
        <v>26.5738052080665</v>
      </c>
      <c r="I344" s="6" t="n">
        <f aca="false">Sens!I321</f>
        <v>28.7412169166967</v>
      </c>
      <c r="J344" s="6" t="n">
        <f aca="false">Sens!J321</f>
        <v>30.9192545395413</v>
      </c>
      <c r="K344" s="6" t="n">
        <f aca="false">Sens!K321</f>
        <v>33.0836023573092</v>
      </c>
    </row>
    <row r="345" customFormat="false" ht="15" hidden="false" customHeight="false" outlineLevel="0" collapsed="false">
      <c r="A345" s="0" t="s">
        <v>876</v>
      </c>
      <c r="B345" s="0" t="s">
        <v>98</v>
      </c>
      <c r="D345" s="6" t="n">
        <f aca="false">Sens!D323</f>
        <v>7.76</v>
      </c>
      <c r="E345" s="6" t="n">
        <f aca="false">Sens!E323</f>
        <v>8.26</v>
      </c>
      <c r="F345" s="6" t="n">
        <f aca="false">Sens!F323</f>
        <v>8.79988041237113</v>
      </c>
      <c r="G345" s="6" t="n">
        <f aca="false">Sens!G323</f>
        <v>9.38321269125306</v>
      </c>
      <c r="H345" s="6" t="n">
        <f aca="false">Sens!H323</f>
        <v>10.0139193587476</v>
      </c>
      <c r="I345" s="6" t="n">
        <f aca="false">Sens!I323</f>
        <v>10.6963111830911</v>
      </c>
      <c r="J345" s="6" t="n">
        <f aca="false">Sens!J323</f>
        <v>11.4351285534696</v>
      </c>
      <c r="K345" s="6" t="n">
        <f aca="false">Sens!K323</f>
        <v>12.2355875522124</v>
      </c>
    </row>
    <row r="346" customFormat="false" ht="15" hidden="false" customHeight="false" outlineLevel="0" collapsed="false">
      <c r="A346" s="0" t="s">
        <v>704</v>
      </c>
      <c r="B346" s="0" t="s">
        <v>98</v>
      </c>
      <c r="D346" s="6" t="n">
        <f aca="false">Sens!D325</f>
        <v>218.783</v>
      </c>
      <c r="E346" s="6" t="n">
        <f aca="false">Sens!E325</f>
        <v>268.127</v>
      </c>
      <c r="F346" s="6" t="n">
        <f aca="false">Sens!F325</f>
        <v>334.265528251508</v>
      </c>
      <c r="G346" s="6" t="n">
        <f aca="false">Sens!G325</f>
        <v>408.072123059793</v>
      </c>
      <c r="H346" s="6" t="n">
        <f aca="false">Sens!H325</f>
        <v>483.196296004025</v>
      </c>
      <c r="I346" s="6" t="n">
        <f aca="false">Sens!I325</f>
        <v>551.903517626826</v>
      </c>
      <c r="J346" s="6" t="n">
        <f aca="false">Sens!J325</f>
        <v>607.45432414427</v>
      </c>
      <c r="K346" s="6" t="n">
        <f aca="false">Sens!K325</f>
        <v>651.241547813062</v>
      </c>
    </row>
    <row r="347" customFormat="false" ht="15" hidden="false" customHeight="false" outlineLevel="0" collapsed="false">
      <c r="A347" s="0" t="s">
        <v>877</v>
      </c>
      <c r="B347" s="0" t="s">
        <v>98</v>
      </c>
      <c r="D347" s="6" t="n">
        <f aca="false">Sens!D326</f>
        <v>22.171</v>
      </c>
      <c r="E347" s="6" t="n">
        <f aca="false">Sens!E326</f>
        <v>24.835</v>
      </c>
      <c r="F347" s="6" t="n">
        <f aca="false">Sens!F326</f>
        <v>27.6114901218559</v>
      </c>
      <c r="G347" s="6" t="n">
        <f aca="false">Sens!G326</f>
        <v>30.4675667338515</v>
      </c>
      <c r="H347" s="6" t="n">
        <f aca="false">Sens!H326</f>
        <v>33.3643766955789</v>
      </c>
      <c r="I347" s="6" t="n">
        <f aca="false">Sens!I326</f>
        <v>36.2577016533691</v>
      </c>
      <c r="J347" s="6" t="n">
        <f aca="false">Sens!J326</f>
        <v>39.0988367952171</v>
      </c>
      <c r="K347" s="6" t="n">
        <f aca="false">Sens!K326</f>
        <v>41.8357553708823</v>
      </c>
    </row>
    <row r="348" customFormat="false" ht="15" hidden="false" customHeight="false" outlineLevel="0" collapsed="false">
      <c r="A348" s="0" t="s">
        <v>878</v>
      </c>
      <c r="B348" s="0" t="s">
        <v>98</v>
      </c>
      <c r="D348" s="6" t="n">
        <f aca="false">Sens!D328</f>
        <v>23.455</v>
      </c>
      <c r="E348" s="6" t="n">
        <f aca="false">Sens!E328</f>
        <v>21.79</v>
      </c>
      <c r="F348" s="6" t="n">
        <f aca="false">Sens!F328</f>
        <v>20.5736277908051</v>
      </c>
      <c r="G348" s="6" t="n">
        <f aca="false">Sens!G328</f>
        <v>19.7371452817919</v>
      </c>
      <c r="H348" s="6" t="n">
        <f aca="false">Sens!H328</f>
        <v>19.2339764043138</v>
      </c>
      <c r="I348" s="6" t="n">
        <f aca="false">Sens!I328</f>
        <v>19.0353086852681</v>
      </c>
      <c r="J348" s="6" t="n">
        <f aca="false">Sens!J328</f>
        <v>19.1273539319129</v>
      </c>
      <c r="K348" s="6" t="n">
        <f aca="false">Sens!K328</f>
        <v>19.5099010105511</v>
      </c>
    </row>
    <row r="349" customFormat="false" ht="15" hidden="false" customHeight="false" outlineLevel="0" collapsed="false">
      <c r="A349" s="0" t="s">
        <v>879</v>
      </c>
      <c r="B349" s="0" t="s">
        <v>98</v>
      </c>
      <c r="D349" s="6" t="n">
        <f aca="false">Sens!D330</f>
        <v>17.315</v>
      </c>
      <c r="E349" s="6" t="n">
        <f aca="false">Sens!E330</f>
        <v>17.087</v>
      </c>
      <c r="F349" s="6" t="n">
        <f aca="false">Sens!F330</f>
        <v>16.9564585436519</v>
      </c>
      <c r="G349" s="6" t="n">
        <f aca="false">Sens!G330</f>
        <v>16.9206490624268</v>
      </c>
      <c r="H349" s="6" t="n">
        <f aca="false">Sens!H330</f>
        <v>16.9784519149849</v>
      </c>
      <c r="I349" s="6" t="n">
        <f aca="false">Sens!I330</f>
        <v>17.1303084701817</v>
      </c>
      <c r="J349" s="6" t="n">
        <f aca="false">Sens!J330</f>
        <v>17.3782189407267</v>
      </c>
      <c r="K349" s="6" t="n">
        <f aca="false">Sens!K330</f>
        <v>17.7257833195413</v>
      </c>
    </row>
    <row r="350" customFormat="false" ht="15" hidden="false" customHeight="false" outlineLevel="0" collapsed="false">
      <c r="A350" s="0" t="s">
        <v>718</v>
      </c>
      <c r="B350" s="0" t="s">
        <v>98</v>
      </c>
      <c r="D350" s="6" t="n">
        <f aca="false">Sens!D332</f>
        <v>62.941</v>
      </c>
      <c r="E350" s="6" t="n">
        <f aca="false">Sens!E332</f>
        <v>63.712</v>
      </c>
      <c r="F350" s="6" t="n">
        <f aca="false">Sens!F332</f>
        <v>65.1415764563129</v>
      </c>
      <c r="G350" s="6" t="n">
        <f aca="false">Sens!G332</f>
        <v>67.1253610780702</v>
      </c>
      <c r="H350" s="6" t="n">
        <f aca="false">Sens!H332</f>
        <v>69.5768050148776</v>
      </c>
      <c r="I350" s="6" t="n">
        <f aca="false">Sens!I332</f>
        <v>72.4233188088189</v>
      </c>
      <c r="J350" s="6" t="n">
        <f aca="false">Sens!J332</f>
        <v>75.6044096678567</v>
      </c>
      <c r="K350" s="6" t="n">
        <f aca="false">Sens!K332</f>
        <v>79.0714397009747</v>
      </c>
    </row>
    <row r="351" customFormat="false" ht="15" hidden="false" customHeight="false" outlineLevel="0" collapsed="false">
      <c r="A351" s="1" t="s">
        <v>895</v>
      </c>
      <c r="B351" s="0" t="s">
        <v>98</v>
      </c>
      <c r="D351" s="6" t="n">
        <f aca="false">Sens!D333</f>
        <v>281.724</v>
      </c>
      <c r="E351" s="6" t="n">
        <f aca="false">Sens!E333</f>
        <v>331.839</v>
      </c>
      <c r="F351" s="6" t="n">
        <f aca="false">Sens!F333</f>
        <v>399.407104707821</v>
      </c>
      <c r="G351" s="6" t="n">
        <f aca="false">Sens!G333</f>
        <v>475.197484137863</v>
      </c>
      <c r="H351" s="6" t="n">
        <f aca="false">Sens!H333</f>
        <v>552.773101018903</v>
      </c>
      <c r="I351" s="6" t="n">
        <f aca="false">Sens!I333</f>
        <v>624.326836435645</v>
      </c>
      <c r="J351" s="6" t="n">
        <f aca="false">Sens!J333</f>
        <v>683.058733812127</v>
      </c>
      <c r="K351" s="6" t="n">
        <f aca="false">Sens!K333</f>
        <v>730.312987514037</v>
      </c>
    </row>
    <row r="352" customFormat="false" ht="15" hidden="false" customHeight="false" outlineLevel="0" collapsed="false">
      <c r="A352" s="1" t="s">
        <v>896</v>
      </c>
      <c r="B352" s="0" t="s">
        <v>129</v>
      </c>
      <c r="E352" s="7" t="n">
        <f aca="false">Sens!E351/Sens!D351-1</f>
        <v>0.177886867998467</v>
      </c>
      <c r="F352" s="7" t="n">
        <f aca="false">Sens!F351/Sens!E351-1</f>
        <v>0.203617129715978</v>
      </c>
      <c r="G352" s="7" t="n">
        <f aca="false">Sens!G351/Sens!F351-1</f>
        <v>0.189757213972159</v>
      </c>
      <c r="H352" s="7" t="n">
        <f aca="false">Sens!H351/Sens!G351-1</f>
        <v>0.163249216316418</v>
      </c>
      <c r="I352" s="7" t="n">
        <f aca="false">Sens!I351/Sens!H351-1</f>
        <v>0.129445038633121</v>
      </c>
      <c r="J352" s="7" t="n">
        <f aca="false">Sens!J351/Sens!I351-1</f>
        <v>0.0940723575359816</v>
      </c>
      <c r="K352" s="7" t="n">
        <f aca="false">Sens!K351/Sens!J351-1</f>
        <v>0.0691803667280342</v>
      </c>
    </row>
    <row r="353" customFormat="false" ht="17.15" hidden="false" customHeight="false" outlineLevel="0" collapsed="false">
      <c r="A353" s="23" t="s">
        <v>897</v>
      </c>
      <c r="B353" s="30" t="s">
        <v>98</v>
      </c>
      <c r="C353" s="30"/>
      <c r="D353" s="24" t="n">
        <f aca="false">(Sens!D346+Sens!D350-Sens!D351)+(Sens!D338+Sens!D339-Sens!D337)+(Sens!D341+Sens!D342-Sens!D340)+(Sens!D351-Q!L18)</f>
        <v>0</v>
      </c>
      <c r="E353" s="24" t="n">
        <f aca="false">(Sens!E346+Sens!E350-Sens!E351)+(Sens!E338+Sens!E339-Sens!E337)+(Sens!E341+Sens!E342-Sens!E340)+(Sens!E351-Q!M18)</f>
        <v>0</v>
      </c>
      <c r="F353" s="24" t="n">
        <f aca="false">(Sens!F346+Sens!F350-Sens!F351)+(Sens!F338+Sens!F339-Sens!F337)+(Sens!F341+Sens!F342-Sens!F340)</f>
        <v>0</v>
      </c>
      <c r="G353" s="24" t="n">
        <f aca="false">(Sens!G346+Sens!G350-Sens!G351)+(Sens!G338+Sens!G339-Sens!G337)+(Sens!G341+Sens!G342-Sens!G340)</f>
        <v>0</v>
      </c>
      <c r="H353" s="24" t="n">
        <f aca="false">(Sens!H346+Sens!H350-Sens!H351)+(Sens!H338+Sens!H339-Sens!H337)+(Sens!H341+Sens!H342-Sens!H340)</f>
        <v>0</v>
      </c>
      <c r="I353" s="24" t="n">
        <f aca="false">(Sens!I346+Sens!I350-Sens!I351)+(Sens!I338+Sens!I339-Sens!I337)+(Sens!I341+Sens!I342-Sens!I340)</f>
        <v>0</v>
      </c>
      <c r="J353" s="24" t="n">
        <f aca="false">(Sens!J346+Sens!J350-Sens!J351)+(Sens!J338+Sens!J339-Sens!J337)+(Sens!J341+Sens!J342-Sens!J340)</f>
        <v>0</v>
      </c>
      <c r="K353" s="24" t="n">
        <f aca="false">(Sens!K346+Sens!K350-Sens!K351)+(Sens!K338+Sens!K339-Sens!K337)+(Sens!K341+Sens!K342-Sens!K340)</f>
        <v>0</v>
      </c>
    </row>
    <row r="354" customFormat="false" ht="17.15" hidden="false" customHeight="false" outlineLevel="0" collapsed="false">
      <c r="A354" s="0" t="s">
        <v>898</v>
      </c>
      <c r="B354" s="0" t="s">
        <v>129</v>
      </c>
      <c r="E354" s="7" t="n">
        <f aca="false">(Q!M21+Sens!E291+Sens!E292+Sens!E293+Sens!E306-Sens!E289)/(Q!M5-Sens!E289)</f>
        <v>0.570957350878296</v>
      </c>
      <c r="F354" s="7" t="n">
        <f aca="false">Sens!$E$354+dm_seg</f>
        <v>0.570957350878296</v>
      </c>
      <c r="G354" s="7" t="n">
        <f aca="false">Sens!$E$354+dm_seg</f>
        <v>0.570957350878296</v>
      </c>
      <c r="H354" s="7" t="n">
        <f aca="false">Sens!$E$354+dm_seg</f>
        <v>0.570957350878296</v>
      </c>
      <c r="I354" s="7" t="n">
        <f aca="false">Sens!$E$354+dm_seg</f>
        <v>0.570957350878296</v>
      </c>
      <c r="J354" s="7" t="n">
        <f aca="false">Sens!$E$354+dm_seg</f>
        <v>0.570957350878296</v>
      </c>
      <c r="K354" s="7" t="n">
        <f aca="false">Sens!$E$354+dm_seg</f>
        <v>0.570957350878296</v>
      </c>
      <c r="L354" s="11" t="s">
        <v>899</v>
      </c>
    </row>
    <row r="355" customFormat="false" ht="17.15" hidden="false" customHeight="false" outlineLevel="0" collapsed="false">
      <c r="A355" s="0" t="s">
        <v>732</v>
      </c>
      <c r="B355" s="0" t="s">
        <v>98</v>
      </c>
      <c r="D355" s="6" t="n">
        <f aca="false">Q!L21</f>
        <v>110.814</v>
      </c>
      <c r="E355" s="6" t="n">
        <f aca="false">Q!M21</f>
        <v>136.365</v>
      </c>
      <c r="F355" s="6" t="n">
        <f aca="false">Sens!F354*(Sens!F325-Sens!F289)+Sens!F289-(Sens!F291+Sens!F292+Sens!F293)-Sens!F306</f>
        <v>157.598135920446</v>
      </c>
      <c r="G355" s="6" t="n">
        <f aca="false">Sens!G354*(Sens!G325-Sens!G289)+Sens!G289-(Sens!G291+Sens!G292+Sens!G293)-Sens!G306</f>
        <v>177.180724366646</v>
      </c>
      <c r="H355" s="6" t="n">
        <f aca="false">Sens!H354*(Sens!H325-Sens!H289)+Sens!H289-(Sens!H291+Sens!H292+Sens!H293)-Sens!H306</f>
        <v>196.822554588626</v>
      </c>
      <c r="I355" s="6" t="n">
        <f aca="false">Sens!I354*(Sens!I325-Sens!I289)+Sens!I289-(Sens!I291+Sens!I292+Sens!I293)-Sens!I306</f>
        <v>215.54574777798</v>
      </c>
      <c r="J355" s="6" t="n">
        <f aca="false">Sens!J354*(Sens!J325-Sens!J289)+Sens!J289-(Sens!J291+Sens!J292+Sens!J293)-Sens!J306</f>
        <v>232.898569526772</v>
      </c>
      <c r="K355" s="6" t="n">
        <f aca="false">Sens!K354*(Sens!K325-Sens!K289)+Sens!K289-(Sens!K291+Sens!K292+Sens!K293)-Sens!K306</f>
        <v>249.763616633974</v>
      </c>
      <c r="L355" s="1" t="s">
        <v>900</v>
      </c>
    </row>
    <row r="356" customFormat="false" ht="17.15" hidden="false" customHeight="false" outlineLevel="0" collapsed="false">
      <c r="A356" s="0" t="s">
        <v>901</v>
      </c>
      <c r="B356" s="0" t="s">
        <v>129</v>
      </c>
      <c r="E356" s="7" t="n">
        <f aca="false">Q!M22/Q!M12</f>
        <v>0.296207935710698</v>
      </c>
      <c r="F356" s="7" t="n">
        <f aca="false">Sens!$E$356+dm_seg</f>
        <v>0.296207935710698</v>
      </c>
      <c r="G356" s="7" t="n">
        <f aca="false">Sens!$E$356+dm_seg</f>
        <v>0.296207935710698</v>
      </c>
      <c r="H356" s="7" t="n">
        <f aca="false">Sens!$E$356+dm_seg</f>
        <v>0.296207935710698</v>
      </c>
      <c r="I356" s="7" t="n">
        <f aca="false">Sens!$E$356+dm_seg</f>
        <v>0.296207935710698</v>
      </c>
      <c r="J356" s="7" t="n">
        <f aca="false">Sens!$E$356+dm_seg</f>
        <v>0.296207935710698</v>
      </c>
      <c r="K356" s="7" t="n">
        <f aca="false">Sens!$E$356+dm_seg</f>
        <v>0.296207935710698</v>
      </c>
      <c r="L356" s="11" t="s">
        <v>902</v>
      </c>
    </row>
    <row r="357" customFormat="false" ht="17.15" hidden="false" customHeight="false" outlineLevel="0" collapsed="false">
      <c r="A357" s="0" t="s">
        <v>734</v>
      </c>
      <c r="B357" s="0" t="s">
        <v>98</v>
      </c>
      <c r="D357" s="6" t="n">
        <f aca="false">Q!L22</f>
        <v>17.714</v>
      </c>
      <c r="E357" s="6" t="n">
        <f aca="false">Q!M22</f>
        <v>18.872</v>
      </c>
      <c r="F357" s="6" t="n">
        <f aca="false">Sens!F332*Sens!F356</f>
        <v>19.2954518910651</v>
      </c>
      <c r="G357" s="6" t="n">
        <f aca="false">Sens!G332*Sens!G356</f>
        <v>19.8830646387704</v>
      </c>
      <c r="H357" s="6" t="n">
        <f aca="false">Sens!H332*Sens!H356</f>
        <v>20.6092017868026</v>
      </c>
      <c r="I357" s="6" t="n">
        <f aca="false">Sens!I332*Sens!I356</f>
        <v>21.452361761678</v>
      </c>
      <c r="J357" s="6" t="n">
        <f aca="false">Sens!J332*Sens!J356</f>
        <v>22.3946261183418</v>
      </c>
      <c r="K357" s="6" t="n">
        <f aca="false">Sens!K332*Sens!K356</f>
        <v>23.4215879274986</v>
      </c>
    </row>
    <row r="358" customFormat="false" ht="15" hidden="false" customHeight="false" outlineLevel="0" collapsed="false">
      <c r="A358" s="1" t="s">
        <v>903</v>
      </c>
      <c r="B358" s="0" t="s">
        <v>98</v>
      </c>
      <c r="D358" s="6" t="n">
        <f aca="false">Sens!D355+Sens!D357</f>
        <v>128.528</v>
      </c>
      <c r="E358" s="6" t="n">
        <f aca="false">Sens!E355+Sens!E357</f>
        <v>155.237</v>
      </c>
      <c r="F358" s="6" t="n">
        <f aca="false">Sens!F355+Sens!F357</f>
        <v>176.893587811511</v>
      </c>
      <c r="G358" s="6" t="n">
        <f aca="false">Sens!G355+Sens!G357</f>
        <v>197.063789005417</v>
      </c>
      <c r="H358" s="6" t="n">
        <f aca="false">Sens!H355+Sens!H357</f>
        <v>217.431756375428</v>
      </c>
      <c r="I358" s="6" t="n">
        <f aca="false">Sens!I355+Sens!I357</f>
        <v>236.998109539658</v>
      </c>
      <c r="J358" s="6" t="n">
        <f aca="false">Sens!J355+Sens!J357</f>
        <v>255.293195645113</v>
      </c>
      <c r="K358" s="6" t="n">
        <f aca="false">Sens!K355+Sens!K357</f>
        <v>273.185204561473</v>
      </c>
    </row>
    <row r="359" customFormat="false" ht="15" hidden="false" customHeight="false" outlineLevel="0" collapsed="false">
      <c r="A359" s="23" t="s">
        <v>904</v>
      </c>
      <c r="B359" s="30" t="s">
        <v>98</v>
      </c>
      <c r="C359" s="30"/>
      <c r="D359" s="24" t="n">
        <f aca="false">Sens!D358-Q!L23</f>
        <v>0</v>
      </c>
      <c r="E359" s="24" t="n">
        <f aca="false">Sens!E358-Q!M23</f>
        <v>0</v>
      </c>
      <c r="F359" s="30"/>
      <c r="G359" s="30"/>
      <c r="H359" s="30"/>
      <c r="I359" s="30"/>
      <c r="J359" s="30"/>
      <c r="K359" s="30"/>
    </row>
    <row r="360" customFormat="false" ht="15" hidden="false" customHeight="false" outlineLevel="0" collapsed="false">
      <c r="A360" s="1" t="s">
        <v>905</v>
      </c>
      <c r="B360" s="0" t="s">
        <v>129</v>
      </c>
      <c r="D360" s="7" t="n">
        <f aca="false">Sens!D358/Sens!D351</f>
        <v>0.456219562408598</v>
      </c>
      <c r="E360" s="7" t="n">
        <f aca="false">Sens!E358/Sens!E351</f>
        <v>0.467808184089272</v>
      </c>
      <c r="F360" s="7" t="n">
        <f aca="false">Sens!F358/Sens!F351</f>
        <v>0.442890438668873</v>
      </c>
      <c r="G360" s="7" t="n">
        <f aca="false">Sens!G358/Sens!G351</f>
        <v>0.414698721233644</v>
      </c>
      <c r="H360" s="7" t="n">
        <f aca="false">Sens!H358/Sens!H351</f>
        <v>0.393347208781769</v>
      </c>
      <c r="I360" s="7" t="n">
        <f aca="false">Sens!I358/Sens!I351</f>
        <v>0.37960583416966</v>
      </c>
      <c r="J360" s="7" t="n">
        <f aca="false">Sens!J358/Sens!J351</f>
        <v>0.373749991044446</v>
      </c>
      <c r="K360" s="7" t="n">
        <f aca="false">Sens!K358/Sens!K351</f>
        <v>0.374065926845128</v>
      </c>
    </row>
    <row r="361" customFormat="false" ht="17.15" hidden="false" customHeight="false" outlineLevel="0" collapsed="false">
      <c r="A361" s="1" t="s">
        <v>906</v>
      </c>
      <c r="B361" s="0" t="s">
        <v>98</v>
      </c>
      <c r="F361" s="6" t="n">
        <f aca="false">Sens!F376</f>
        <v>0</v>
      </c>
      <c r="G361" s="6" t="n">
        <f aca="false">Sens!G376</f>
        <v>0</v>
      </c>
      <c r="H361" s="6" t="n">
        <f aca="false">Sens!H376</f>
        <v>0</v>
      </c>
      <c r="I361" s="6" t="n">
        <f aca="false">Sens!I376</f>
        <v>0</v>
      </c>
      <c r="J361" s="6" t="n">
        <f aca="false">Sens!J376</f>
        <v>0</v>
      </c>
      <c r="K361" s="6" t="n">
        <f aca="false">Sens!K376</f>
        <v>0</v>
      </c>
      <c r="L361" s="1" t="s">
        <v>907</v>
      </c>
    </row>
    <row r="362" customFormat="false" ht="17.15" hidden="false" customHeight="false" outlineLevel="0" collapsed="false">
      <c r="A362" s="1" t="s">
        <v>908</v>
      </c>
      <c r="B362" s="0" t="s">
        <v>98</v>
      </c>
      <c r="D362" s="6" t="n">
        <f aca="false">Sens!D358</f>
        <v>128.528</v>
      </c>
      <c r="E362" s="6" t="n">
        <f aca="false">Sens!E358</f>
        <v>155.237</v>
      </c>
      <c r="F362" s="6" t="n">
        <f aca="false">Sens!F358+Sens!F361</f>
        <v>176.893587811511</v>
      </c>
      <c r="G362" s="6" t="n">
        <f aca="false">Sens!G358+Sens!G361</f>
        <v>197.063789005417</v>
      </c>
      <c r="H362" s="6" t="n">
        <f aca="false">Sens!H358+Sens!H361</f>
        <v>217.431756375428</v>
      </c>
      <c r="I362" s="6" t="n">
        <f aca="false">Sens!I358+Sens!I361</f>
        <v>236.998109539658</v>
      </c>
      <c r="J362" s="6" t="n">
        <f aca="false">Sens!J358+Sens!J361</f>
        <v>255.293195645113</v>
      </c>
      <c r="K362" s="6" t="n">
        <f aca="false">Sens!K358+Sens!K361</f>
        <v>273.185204561473</v>
      </c>
    </row>
    <row r="363" customFormat="false" ht="17.15" hidden="false" customHeight="false" outlineLevel="0" collapsed="false">
      <c r="A363" s="1" t="s">
        <v>909</v>
      </c>
      <c r="B363" s="0" t="s">
        <v>98</v>
      </c>
      <c r="E363" s="6" t="n">
        <f aca="false">Sens!E306</f>
        <v>16.3054059770833</v>
      </c>
      <c r="F363" s="6" t="n">
        <f aca="false">Sens!F306</f>
        <v>34.7405354558698</v>
      </c>
      <c r="G363" s="6" t="n">
        <f aca="false">Sens!G306</f>
        <v>60.5067332603396</v>
      </c>
      <c r="H363" s="6" t="n">
        <f aca="false">Sens!H306</f>
        <v>87.7423159931396</v>
      </c>
      <c r="I363" s="6" t="n">
        <f aca="false">Sens!I306</f>
        <v>111.987039982221</v>
      </c>
      <c r="J363" s="6" t="n">
        <f aca="false">Sens!J306</f>
        <v>129.183710922666</v>
      </c>
      <c r="K363" s="6" t="n">
        <f aca="false">Sens!K306</f>
        <v>139.647646804474</v>
      </c>
    </row>
    <row r="364" customFormat="false" ht="17.15" hidden="false" customHeight="false" outlineLevel="0" collapsed="false">
      <c r="A364" s="1" t="s">
        <v>910</v>
      </c>
      <c r="B364" s="0" t="s">
        <v>98</v>
      </c>
      <c r="E364" s="6" t="n">
        <f aca="false">Sens!E388</f>
        <v>22.2285940229167</v>
      </c>
      <c r="F364" s="6" t="n">
        <f aca="false">Sens!F388</f>
        <v>23.5636693435813</v>
      </c>
      <c r="G364" s="6" t="n">
        <f aca="false">Sens!G388</f>
        <v>25.3225917662621</v>
      </c>
      <c r="H364" s="6" t="n">
        <f aca="false">Sens!H388</f>
        <v>27.4714839540448</v>
      </c>
      <c r="I364" s="6" t="n">
        <f aca="false">Sens!I388</f>
        <v>29.9441755898047</v>
      </c>
      <c r="J364" s="6" t="n">
        <f aca="false">Sens!J388</f>
        <v>32.6578493558616</v>
      </c>
      <c r="K364" s="6" t="n">
        <f aca="false">Sens!K388</f>
        <v>35.5289346944749</v>
      </c>
    </row>
    <row r="365" customFormat="false" ht="17.15" hidden="false" customHeight="false" outlineLevel="0" collapsed="false">
      <c r="A365" s="1" t="s">
        <v>911</v>
      </c>
      <c r="B365" s="0" t="s">
        <v>98</v>
      </c>
      <c r="D365" s="6" t="n">
        <f aca="false">Q!L27</f>
        <v>-4.901</v>
      </c>
      <c r="E365" s="6" t="n">
        <f aca="false">Q!M27</f>
        <v>10.697</v>
      </c>
      <c r="F365" s="6" t="n">
        <f aca="false">oie_f</f>
        <v>-0.4</v>
      </c>
      <c r="G365" s="6" t="n">
        <f aca="false">oie_f</f>
        <v>-0.4</v>
      </c>
      <c r="H365" s="6" t="n">
        <f aca="false">oie_f</f>
        <v>-0.4</v>
      </c>
      <c r="I365" s="6" t="n">
        <f aca="false">oie_f</f>
        <v>-0.4</v>
      </c>
      <c r="J365" s="6" t="n">
        <f aca="false">oie_f</f>
        <v>-0.4</v>
      </c>
      <c r="K365" s="6" t="n">
        <f aca="false">oie_f</f>
        <v>-0.4</v>
      </c>
      <c r="L365" s="11" t="s">
        <v>912</v>
      </c>
    </row>
    <row r="366" customFormat="false" ht="15" hidden="false" customHeight="false" outlineLevel="0" collapsed="false">
      <c r="A366" s="1" t="s">
        <v>913</v>
      </c>
      <c r="B366" s="0" t="s">
        <v>98</v>
      </c>
      <c r="D366" s="6" t="n">
        <f aca="false">Sens!D358+Sens!D365</f>
        <v>123.627</v>
      </c>
      <c r="E366" s="6" t="n">
        <f aca="false">Sens!E358+Sens!E365</f>
        <v>165.934</v>
      </c>
      <c r="F366" s="6" t="n">
        <f aca="false">Sens!F358+Sens!F365</f>
        <v>176.493587811511</v>
      </c>
      <c r="G366" s="6" t="n">
        <f aca="false">Sens!G358+Sens!G365</f>
        <v>196.663789005417</v>
      </c>
      <c r="H366" s="6" t="n">
        <f aca="false">Sens!H358+Sens!H365</f>
        <v>217.031756375428</v>
      </c>
      <c r="I366" s="6" t="n">
        <f aca="false">Sens!I358+Sens!I365</f>
        <v>236.598109539658</v>
      </c>
      <c r="J366" s="6" t="n">
        <f aca="false">Sens!J358+Sens!J365</f>
        <v>254.893195645113</v>
      </c>
      <c r="K366" s="6" t="n">
        <f aca="false">Sens!K358+Sens!K365</f>
        <v>272.785204561473</v>
      </c>
    </row>
    <row r="367" customFormat="false" ht="15" hidden="false" customHeight="false" outlineLevel="0" collapsed="false">
      <c r="A367" s="1" t="s">
        <v>914</v>
      </c>
      <c r="B367" s="0" t="s">
        <v>98</v>
      </c>
      <c r="D367" s="6" t="n">
        <f aca="false">Q!L29</f>
        <v>21.795</v>
      </c>
      <c r="E367" s="6" t="n">
        <f aca="false">Q!M29</f>
        <v>32.185</v>
      </c>
      <c r="F367" s="6" t="n">
        <f aca="false">Sens!F366*tax_f</f>
        <v>35.2987175623022</v>
      </c>
      <c r="G367" s="6" t="n">
        <f aca="false">Sens!G366*tax_f</f>
        <v>39.3327578010833</v>
      </c>
      <c r="H367" s="6" t="n">
        <f aca="false">Sens!H366*tax_f</f>
        <v>43.4063512750857</v>
      </c>
      <c r="I367" s="6" t="n">
        <f aca="false">Sens!I366*tax_f</f>
        <v>47.3196219079316</v>
      </c>
      <c r="J367" s="6" t="n">
        <f aca="false">Sens!J366*tax_f</f>
        <v>50.9786391290227</v>
      </c>
      <c r="K367" s="6" t="n">
        <f aca="false">Sens!K366*tax_f</f>
        <v>54.5570409122945</v>
      </c>
    </row>
    <row r="368" customFormat="false" ht="15" hidden="false" customHeight="false" outlineLevel="0" collapsed="false">
      <c r="A368" s="1" t="s">
        <v>915</v>
      </c>
      <c r="B368" s="0" t="s">
        <v>98</v>
      </c>
      <c r="D368" s="6" t="n">
        <f aca="false">Sens!D366-Sens!D367</f>
        <v>101.832</v>
      </c>
      <c r="E368" s="6" t="n">
        <f aca="false">Sens!E366-Sens!E367</f>
        <v>133.749</v>
      </c>
      <c r="F368" s="6" t="n">
        <f aca="false">Sens!F366-Sens!F367</f>
        <v>141.194870249209</v>
      </c>
      <c r="G368" s="6" t="n">
        <f aca="false">Sens!G366-Sens!G367</f>
        <v>157.331031204333</v>
      </c>
      <c r="H368" s="6" t="n">
        <f aca="false">Sens!H366-Sens!H367</f>
        <v>173.625405100343</v>
      </c>
      <c r="I368" s="6" t="n">
        <f aca="false">Sens!I366-Sens!I367</f>
        <v>189.278487631726</v>
      </c>
      <c r="J368" s="6" t="n">
        <f aca="false">Sens!J366-Sens!J367</f>
        <v>203.914556516091</v>
      </c>
      <c r="K368" s="6" t="n">
        <f aca="false">Sens!K366-Sens!K367</f>
        <v>218.228163649178</v>
      </c>
    </row>
    <row r="369" customFormat="false" ht="17.15" hidden="false" customHeight="false" outlineLevel="0" collapsed="false">
      <c r="A369" s="1" t="s">
        <v>916</v>
      </c>
      <c r="B369" s="1" t="s">
        <v>81</v>
      </c>
      <c r="D369" s="14" t="n">
        <f aca="false">Q!L31</f>
        <v>7.465</v>
      </c>
      <c r="E369" s="14" t="n">
        <f aca="false">Q!M31</f>
        <v>7.453</v>
      </c>
      <c r="F369" s="14" t="n">
        <f aca="false">Sens!F410</f>
        <v>7.4735</v>
      </c>
      <c r="G369" s="14" t="n">
        <f aca="false">Sens!G410</f>
        <v>7.51795969944731</v>
      </c>
      <c r="H369" s="14" t="n">
        <f aca="false">Sens!H410</f>
        <v>7.54517098474457</v>
      </c>
      <c r="I369" s="14" t="n">
        <f aca="false">Sens!I410</f>
        <v>7.55695181675188</v>
      </c>
      <c r="J369" s="14" t="n">
        <f aca="false">Sens!J410</f>
        <v>7.57119332786977</v>
      </c>
      <c r="K369" s="14" t="n">
        <f aca="false">Sens!K410</f>
        <v>7.58771324557151</v>
      </c>
    </row>
    <row r="370" customFormat="false" ht="17.15" hidden="false" customHeight="false" outlineLevel="0" collapsed="false">
      <c r="A370" s="0" t="s">
        <v>917</v>
      </c>
      <c r="B370" s="0" t="s">
        <v>75</v>
      </c>
      <c r="D370" s="8" t="n">
        <f aca="false">Sens!D368/Sens!D369</f>
        <v>13.641259209645</v>
      </c>
      <c r="E370" s="8" t="n">
        <f aca="false">Sens!E368/Sens!E369</f>
        <v>17.9456594659869</v>
      </c>
      <c r="F370" s="8" t="n">
        <f aca="false">Sens!F368/Sens!F369</f>
        <v>18.8927370374267</v>
      </c>
      <c r="G370" s="8" t="n">
        <f aca="false">Sens!G368/Sens!G369</f>
        <v>20.9273576201665</v>
      </c>
      <c r="H370" s="8" t="n">
        <f aca="false">Sens!H368/Sens!H369</f>
        <v>23.0114606350727</v>
      </c>
      <c r="I370" s="8" t="n">
        <f aca="false">Sens!I368/Sens!I369</f>
        <v>25.0469358838762</v>
      </c>
      <c r="J370" s="8" t="n">
        <f aca="false">Sens!J368/Sens!J369</f>
        <v>26.9329480420842</v>
      </c>
      <c r="K370" s="8" t="n">
        <f aca="false">Sens!K368/Sens!K369</f>
        <v>28.7607289029465</v>
      </c>
      <c r="L370" s="1" t="s">
        <v>918</v>
      </c>
    </row>
    <row r="371" customFormat="false" ht="17.15" hidden="false" customHeight="false" outlineLevel="0" collapsed="false">
      <c r="A371" s="1" t="s">
        <v>919</v>
      </c>
      <c r="B371" s="0" t="s">
        <v>98</v>
      </c>
      <c r="D371" s="6" t="n">
        <f aca="false">Sens!D368</f>
        <v>101.832</v>
      </c>
      <c r="E371" s="6" t="n">
        <f aca="false">Sens!E368</f>
        <v>133.749</v>
      </c>
      <c r="F371" s="6" t="n">
        <f aca="false">Sens!F368+Sens!F361*(1-tax_f)</f>
        <v>141.194870249209</v>
      </c>
      <c r="G371" s="6" t="n">
        <f aca="false">Sens!G368+Sens!G361*(1-tax_f)</f>
        <v>157.331031204333</v>
      </c>
      <c r="H371" s="6" t="n">
        <f aca="false">Sens!H368+Sens!H361*(1-tax_f)</f>
        <v>173.625405100343</v>
      </c>
      <c r="I371" s="6" t="n">
        <f aca="false">Sens!I368+Sens!I361*(1-tax_f)</f>
        <v>189.278487631726</v>
      </c>
      <c r="J371" s="6" t="n">
        <f aca="false">Sens!J368+Sens!J361*(1-tax_f)</f>
        <v>203.914556516091</v>
      </c>
      <c r="K371" s="6" t="n">
        <f aca="false">Sens!K368+Sens!K361*(1-tax_f)</f>
        <v>218.228163649178</v>
      </c>
    </row>
    <row r="372" customFormat="false" ht="17.15" hidden="false" customHeight="false" outlineLevel="0" collapsed="false">
      <c r="A372" s="0" t="s">
        <v>920</v>
      </c>
      <c r="B372" s="0" t="s">
        <v>75</v>
      </c>
      <c r="D372" s="8" t="n">
        <f aca="false">Sens!D371/Sens!D369</f>
        <v>13.641259209645</v>
      </c>
      <c r="E372" s="8" t="n">
        <f aca="false">Sens!E371/Sens!E369</f>
        <v>17.9456594659869</v>
      </c>
      <c r="F372" s="8" t="n">
        <f aca="false">Sens!F371/Sens!F369</f>
        <v>18.8927370374267</v>
      </c>
      <c r="G372" s="8" t="n">
        <f aca="false">Sens!G371/Sens!G369</f>
        <v>20.9273576201665</v>
      </c>
      <c r="H372" s="8" t="n">
        <f aca="false">Sens!H371/Sens!H369</f>
        <v>23.0114606350727</v>
      </c>
      <c r="I372" s="8" t="n">
        <f aca="false">Sens!I371/Sens!I369</f>
        <v>25.0469358838762</v>
      </c>
      <c r="J372" s="8" t="n">
        <f aca="false">Sens!J371/Sens!J369</f>
        <v>26.9329480420842</v>
      </c>
      <c r="K372" s="8" t="n">
        <f aca="false">Sens!K371/Sens!K369</f>
        <v>28.7607289029465</v>
      </c>
      <c r="L372" s="1" t="s">
        <v>921</v>
      </c>
    </row>
    <row r="373" customFormat="false" ht="17.15" hidden="false" customHeight="false" outlineLevel="0" collapsed="false">
      <c r="A373" s="0" t="s">
        <v>922</v>
      </c>
      <c r="B373" s="0" t="s">
        <v>129</v>
      </c>
      <c r="E373" s="7" t="n">
        <f aca="false">Sens!E372/Sens!D372-1</f>
        <v>0.315542736208578</v>
      </c>
      <c r="F373" s="7" t="n">
        <f aca="false">Sens!F372/Sens!E372-1</f>
        <v>0.0527747432873629</v>
      </c>
      <c r="G373" s="7" t="n">
        <f aca="false">Sens!G372/Sens!F372-1</f>
        <v>0.107693267455591</v>
      </c>
      <c r="H373" s="7" t="n">
        <f aca="false">Sens!H372/Sens!G372-1</f>
        <v>0.0995874898653189</v>
      </c>
      <c r="I373" s="7" t="n">
        <f aca="false">Sens!I372/Sens!H372-1</f>
        <v>0.0884548478292213</v>
      </c>
      <c r="J373" s="7" t="n">
        <f aca="false">Sens!J372/Sens!I372-1</f>
        <v>0.0752991171036634</v>
      </c>
      <c r="K373" s="7" t="n">
        <f aca="false">Sens!K372/Sens!J372-1</f>
        <v>0.0678641215958347</v>
      </c>
    </row>
    <row r="374" customFormat="false" ht="17.15" hidden="false" customHeight="false" outlineLevel="0" collapsed="false">
      <c r="A374" s="0" t="s">
        <v>846</v>
      </c>
      <c r="B374" s="0" t="s">
        <v>98</v>
      </c>
      <c r="E374" s="6" t="n">
        <f aca="false">Sens!E315</f>
        <v>5.25</v>
      </c>
      <c r="F374" s="6" t="n">
        <f aca="false">Sens!F315</f>
        <v>12</v>
      </c>
      <c r="G374" s="6" t="n">
        <f aca="false">Sens!G315</f>
        <v>18</v>
      </c>
      <c r="H374" s="6" t="n">
        <f aca="false">Sens!H315</f>
        <v>24</v>
      </c>
      <c r="I374" s="6" t="n">
        <f aca="false">Sens!I315</f>
        <v>28.5</v>
      </c>
      <c r="J374" s="6" t="n">
        <f aca="false">Sens!J315</f>
        <v>31.5</v>
      </c>
      <c r="K374" s="6" t="n">
        <f aca="false">Sens!K315</f>
        <v>34.5</v>
      </c>
    </row>
    <row r="375" customFormat="false" ht="17.15" hidden="false" customHeight="false" outlineLevel="0" collapsed="false">
      <c r="A375" s="1" t="s">
        <v>847</v>
      </c>
      <c r="B375" s="0" t="s">
        <v>98</v>
      </c>
      <c r="F375" s="6" t="n">
        <f aca="false">MAX(0,(Sens!E278+Sens!F278)/2*Sens!F286/1000-Sens!F374*Sens!F354)</f>
        <v>19.9358184660572</v>
      </c>
      <c r="G375" s="6" t="n">
        <f aca="false">MAX(0,(Sens!F278+Sens!G278)/2*Sens!G286/1000-Sens!G374*Sens!G354)</f>
        <v>35.1359494439124</v>
      </c>
      <c r="H375" s="6" t="n">
        <f aca="false">MAX(0,(Sens!G278+Sens!H278)/2*Sens!H286/1000-Sens!H374*Sens!H354)</f>
        <v>51.688536514718</v>
      </c>
      <c r="I375" s="6" t="n">
        <f aca="false">MAX(0,(Sens!H278+Sens!I278)/2*Sens!I286/1000-Sens!I374*Sens!I354)</f>
        <v>66.8193432436896</v>
      </c>
      <c r="J375" s="6" t="n">
        <f aca="false">MAX(0,(Sens!I278+Sens!J278)/2*Sens!J286/1000-Sens!J374*Sens!J354)</f>
        <v>77.4328840229578</v>
      </c>
      <c r="K375" s="6" t="n">
        <f aca="false">MAX(0,(Sens!J278+Sens!K278)/2*Sens!K286/1000-Sens!K374*Sens!K354)</f>
        <v>83.3249638901295</v>
      </c>
      <c r="L375" s="1" t="s">
        <v>848</v>
      </c>
    </row>
    <row r="376" customFormat="false" ht="17.15" hidden="false" customHeight="false" outlineLevel="0" collapsed="false">
      <c r="A376" s="1" t="s">
        <v>849</v>
      </c>
      <c r="B376" s="0" t="s">
        <v>98</v>
      </c>
      <c r="F376" s="6" t="n">
        <f aca="false">IF(1=2,1,0)*Sens!F375</f>
        <v>0</v>
      </c>
      <c r="G376" s="6" t="n">
        <f aca="false">IF(1=2,1,0)*Sens!G375</f>
        <v>0</v>
      </c>
      <c r="H376" s="6" t="n">
        <f aca="false">IF(1=2,1,0)*Sens!H375</f>
        <v>0</v>
      </c>
      <c r="I376" s="6" t="n">
        <f aca="false">IF(1=2,1,0)*Sens!I375</f>
        <v>0</v>
      </c>
      <c r="J376" s="6" t="n">
        <f aca="false">IF(1=2,1,0)*Sens!J375</f>
        <v>0</v>
      </c>
      <c r="K376" s="6" t="n">
        <f aca="false">IF(1=2,1,0)*Sens!K375</f>
        <v>0</v>
      </c>
    </row>
    <row r="377" customFormat="false" ht="17.15" hidden="false" customHeight="false" outlineLevel="0" collapsed="false">
      <c r="A377" s="0" t="s">
        <v>850</v>
      </c>
      <c r="B377" s="0" t="s">
        <v>98</v>
      </c>
      <c r="F377" s="6" t="n">
        <f aca="false">Sens!F295+Sens!F374*Sens!F354+Sens!F376-Sens!F296-Sens!F306</f>
        <v>5.03746295335383</v>
      </c>
      <c r="G377" s="6" t="n">
        <f aca="false">Sens!G295+Sens!G374*Sens!G354+Sens!G376-Sens!G296-Sens!G306</f>
        <v>5.53862243911072</v>
      </c>
      <c r="H377" s="6" t="n">
        <f aca="false">Sens!H295+Sens!H374*Sens!H354+Sens!H376-Sens!H296-Sens!H306</f>
        <v>5.9168749097885</v>
      </c>
      <c r="I377" s="6" t="n">
        <f aca="false">Sens!I295+Sens!I374*Sens!I354+Sens!I376-Sens!I296-Sens!I306</f>
        <v>5.86448270380075</v>
      </c>
      <c r="J377" s="6" t="n">
        <f aca="false">Sens!J295+Sens!J374*Sens!J354+Sens!J376-Sens!J296-Sens!J306</f>
        <v>5.68051667823377</v>
      </c>
      <c r="K377" s="6" t="n">
        <f aca="false">Sens!K295+Sens!K374*Sens!K354+Sens!K376-Sens!K296-Sens!K306</f>
        <v>7.02426998255231</v>
      </c>
    </row>
    <row r="378" customFormat="false" ht="17.15" hidden="false" customHeight="false" outlineLevel="0" collapsed="false">
      <c r="A378" s="0" t="s">
        <v>851</v>
      </c>
      <c r="B378" s="0" t="s">
        <v>98</v>
      </c>
      <c r="E378" s="6" t="n">
        <f aca="false">Sens!E277*(cxit_open+self_build*tk_cxfac)/1000*ai_net_open</f>
        <v>126.6980382</v>
      </c>
      <c r="F378" s="6" t="n">
        <f aca="false">Sens!E378+Sens!F303-Sens!F306</f>
        <v>260.578155514568</v>
      </c>
      <c r="G378" s="6" t="n">
        <f aca="false">Sens!F378+Sens!G303-Sens!G306</f>
        <v>383.645602737428</v>
      </c>
      <c r="H378" s="6" t="n">
        <f aca="false">Sens!G378+Sens!H303-Sens!H306</f>
        <v>483.983572654688</v>
      </c>
      <c r="I378" s="6" t="n">
        <f aca="false">Sens!H378+Sens!I303-Sens!I306</f>
        <v>535.703201826713</v>
      </c>
      <c r="J378" s="6" t="n">
        <f aca="false">Sens!I378+Sens!J303-Sens!J306</f>
        <v>531.031967622137</v>
      </c>
      <c r="K378" s="6" t="n">
        <f aca="false">Sens!J378+Sens!K303-Sens!K306</f>
        <v>506.3437564596</v>
      </c>
      <c r="L378" s="1" t="s">
        <v>852</v>
      </c>
    </row>
    <row r="379" customFormat="false" ht="17.15" hidden="false" customHeight="false" outlineLevel="0" collapsed="false">
      <c r="A379" s="0" t="s">
        <v>853</v>
      </c>
      <c r="B379" s="0" t="s">
        <v>129</v>
      </c>
      <c r="F379" s="7" t="n">
        <f aca="false">Sens!F377*(1-tax_f)/((Sens!E378+Sens!F378)/2)</f>
        <v>0.020811867231133</v>
      </c>
      <c r="G379" s="7" t="n">
        <f aca="false">Sens!G377*(1-tax_f)/((Sens!F378+Sens!G378)/2)</f>
        <v>0.0137557731907036</v>
      </c>
      <c r="H379" s="7" t="n">
        <f aca="false">Sens!H377*(1-tax_f)/((Sens!G378+Sens!H378)/2)</f>
        <v>0.0109113433759107</v>
      </c>
      <c r="I379" s="7" t="n">
        <f aca="false">Sens!I377*(1-tax_f)/((Sens!H378+Sens!I378)/2)</f>
        <v>0.00920201434489856</v>
      </c>
      <c r="J379" s="7" t="n">
        <f aca="false">Sens!J377*(1-tax_f)/((Sens!I378+Sens!J378)/2)</f>
        <v>0.00852022783674598</v>
      </c>
      <c r="K379" s="7" t="n">
        <f aca="false">Sens!K377*(1-tax_f)/((Sens!J378+Sens!K378)/2)</f>
        <v>0.0108339068586091</v>
      </c>
    </row>
    <row r="380" customFormat="false" ht="17.15" hidden="false" customHeight="false" outlineLevel="0" collapsed="false">
      <c r="A380" s="1" t="s">
        <v>854</v>
      </c>
      <c r="B380" s="0" t="s">
        <v>129</v>
      </c>
      <c r="F380" s="7" t="n">
        <f aca="false">(Sens!F377-Sens!F376)*(1-tax_f)/((Sens!E378+Sens!F378)/2)</f>
        <v>0.020811867231133</v>
      </c>
      <c r="G380" s="7" t="n">
        <f aca="false">(Sens!G377-Sens!G376)*(1-tax_f)/((Sens!F378+Sens!G378)/2)</f>
        <v>0.0137557731907036</v>
      </c>
      <c r="H380" s="7" t="n">
        <f aca="false">(Sens!H377-Sens!H376)*(1-tax_f)/((Sens!G378+Sens!H378)/2)</f>
        <v>0.0109113433759107</v>
      </c>
      <c r="I380" s="7" t="n">
        <f aca="false">(Sens!I377-Sens!I376)*(1-tax_f)/((Sens!H378+Sens!I378)/2)</f>
        <v>0.00920201434489856</v>
      </c>
      <c r="J380" s="7" t="n">
        <f aca="false">(Sens!J377-Sens!J376)*(1-tax_f)/((Sens!I378+Sens!J378)/2)</f>
        <v>0.00852022783674598</v>
      </c>
      <c r="K380" s="7" t="n">
        <f aca="false">(Sens!K377-Sens!K376)*(1-tax_f)/((Sens!J378+Sens!K378)/2)</f>
        <v>0.0108339068586091</v>
      </c>
    </row>
    <row r="381" customFormat="false" ht="17.15" hidden="false" customHeight="false" outlineLevel="0" collapsed="false">
      <c r="A381" s="1" t="s">
        <v>855</v>
      </c>
      <c r="B381" s="0" t="s">
        <v>129</v>
      </c>
      <c r="F381" s="7" t="n">
        <f aca="false">(Sens!F377-Sens!F376+Sens!F375)*(1-tax_f)/((Sens!E378+Sens!F378)/2)</f>
        <v>0.103175074842083</v>
      </c>
      <c r="G381" s="7" t="n">
        <f aca="false">(Sens!G377-Sens!G376+Sens!G375)*(1-tax_f)/((Sens!F378+Sens!G378)/2)</f>
        <v>0.101019737597725</v>
      </c>
      <c r="H381" s="7" t="n">
        <f aca="false">(Sens!H377-Sens!H376+Sens!H375)*(1-tax_f)/((Sens!G378+Sens!H378)/2)</f>
        <v>0.106230473678522</v>
      </c>
      <c r="I381" s="7" t="n">
        <f aca="false">(Sens!I377-Sens!I376+Sens!I375)*(1-tax_f)/((Sens!H378+Sens!I378)/2)</f>
        <v>0.114048867187799</v>
      </c>
      <c r="J381" s="7" t="n">
        <f aca="false">(Sens!J377-Sens!J376+Sens!J375)*(1-tax_f)/((Sens!I378+Sens!J378)/2)</f>
        <v>0.124662095082713</v>
      </c>
      <c r="K381" s="7" t="n">
        <f aca="false">(Sens!K377-Sens!K376+Sens!K375)*(1-tax_f)/((Sens!J378+Sens!K378)/2)</f>
        <v>0.139350450218267</v>
      </c>
    </row>
    <row r="382" customFormat="false" ht="17.15" hidden="false" customHeight="false" outlineLevel="0" collapsed="false">
      <c r="A382" s="1" t="s">
        <v>856</v>
      </c>
      <c r="B382" s="0" t="s">
        <v>129</v>
      </c>
      <c r="F382" s="7" t="n">
        <f aca="false">Sens!F307*(1-tax_f)/(Sens!F294*(Sens!E378+Sens!F378)/2)</f>
        <v>0.128178079126594</v>
      </c>
      <c r="G382" s="7" t="n">
        <f aca="false">Sens!G307*(1-tax_f)/(Sens!G294*(Sens!F378+Sens!G378)/2)</f>
        <v>0.125209972318428</v>
      </c>
      <c r="H382" s="7" t="n">
        <f aca="false">Sens!H307*(1-tax_f)/(Sens!H294*(Sens!G378+Sens!H378)/2)</f>
        <v>0.130852385928537</v>
      </c>
      <c r="I382" s="7" t="n">
        <f aca="false">Sens!I307*(1-tax_f)/(Sens!I294*(Sens!H378+Sens!I378)/2)</f>
        <v>0.139991661146938</v>
      </c>
      <c r="J382" s="7" t="n">
        <f aca="false">Sens!J307*(1-tax_f)/(Sens!J294*(Sens!I378+Sens!J378)/2)</f>
        <v>0.152806946444463</v>
      </c>
      <c r="K382" s="7" t="n">
        <f aca="false">Sens!K307*(1-tax_f)/(Sens!K294*(Sens!J378+Sens!K378)/2)</f>
        <v>0.170548941900337</v>
      </c>
    </row>
    <row r="383" customFormat="false" ht="17.15" hidden="false" customHeight="false" outlineLevel="0" collapsed="false">
      <c r="A383" s="0" t="s">
        <v>857</v>
      </c>
      <c r="B383" s="0" t="s">
        <v>209</v>
      </c>
      <c r="F383" s="7" t="n">
        <f aca="false">Sens!F379-wacc</f>
        <v>-0.0821225528617427</v>
      </c>
      <c r="G383" s="7" t="n">
        <f aca="false">Sens!G379-wacc</f>
        <v>-0.0891786469021721</v>
      </c>
      <c r="H383" s="7" t="n">
        <f aca="false">Sens!H379-wacc</f>
        <v>-0.0920230767169651</v>
      </c>
      <c r="I383" s="7" t="n">
        <f aca="false">Sens!I379-wacc</f>
        <v>-0.0937324057479772</v>
      </c>
      <c r="J383" s="7" t="n">
        <f aca="false">Sens!J379-wacc</f>
        <v>-0.0944141922561298</v>
      </c>
      <c r="K383" s="7" t="n">
        <f aca="false">Sens!K379-wacc</f>
        <v>-0.0921005132342666</v>
      </c>
    </row>
    <row r="384" customFormat="false" ht="17.15" hidden="false" customHeight="false" outlineLevel="0" collapsed="false">
      <c r="A384" s="0" t="s">
        <v>858</v>
      </c>
      <c r="B384" s="0" t="s">
        <v>98</v>
      </c>
      <c r="F384" s="6" t="n">
        <f aca="false">Sens!F377*(1-tax_f)-wacc*(Sens!E378+Sens!F378)/2</f>
        <v>-15.9020548452096</v>
      </c>
      <c r="G384" s="6" t="n">
        <f aca="false">Sens!G377*(1-tax_f)-wacc*(Sens!F378+Sens!G378)/2</f>
        <v>-28.7255015315725</v>
      </c>
      <c r="H384" s="6" t="n">
        <f aca="false">Sens!H377*(1-tax_f)-wacc*(Sens!G378+Sens!H378)/2</f>
        <v>-39.9209530844929</v>
      </c>
      <c r="I384" s="6" t="n">
        <f aca="false">Sens!I377*(1-tax_f)-wacc*(Sens!H378+Sens!I378)/2</f>
        <v>-47.7888472407684</v>
      </c>
      <c r="J384" s="6" t="n">
        <f aca="false">Sens!J377*(1-tax_f)-wacc*(Sens!I378+Sens!J378)/2</f>
        <v>-50.3574696873594</v>
      </c>
      <c r="K384" s="6" t="n">
        <f aca="false">Sens!K377*(1-tax_f)-wacc*(Sens!J378+Sens!K378)/2</f>
        <v>-47.7714183023485</v>
      </c>
    </row>
    <row r="385" customFormat="false" ht="17.15" hidden="false" customHeight="false" outlineLevel="0" collapsed="false">
      <c r="A385" s="3" t="s">
        <v>1242</v>
      </c>
    </row>
    <row r="386" customFormat="false" ht="15" hidden="false" customHeight="false" outlineLevel="0" collapsed="false">
      <c r="A386" s="4" t="s">
        <v>43</v>
      </c>
      <c r="B386" s="4" t="s">
        <v>65</v>
      </c>
      <c r="C386" s="20" t="s">
        <v>788</v>
      </c>
      <c r="D386" s="20" t="s">
        <v>789</v>
      </c>
      <c r="E386" s="20" t="s">
        <v>790</v>
      </c>
      <c r="F386" s="20" t="s">
        <v>791</v>
      </c>
      <c r="G386" s="20" t="s">
        <v>792</v>
      </c>
      <c r="H386" s="20" t="s">
        <v>793</v>
      </c>
      <c r="I386" s="20" t="s">
        <v>794</v>
      </c>
      <c r="J386" s="20" t="s">
        <v>795</v>
      </c>
      <c r="K386" s="20" t="s">
        <v>796</v>
      </c>
      <c r="L386" s="4" t="s">
        <v>47</v>
      </c>
    </row>
    <row r="387" customFormat="false" ht="15" hidden="false" customHeight="false" outlineLevel="0" collapsed="false">
      <c r="A387" s="1" t="s">
        <v>915</v>
      </c>
      <c r="B387" s="0" t="s">
        <v>98</v>
      </c>
      <c r="F387" s="6" t="n">
        <f aca="false">Sens!F368</f>
        <v>141.194870249209</v>
      </c>
      <c r="G387" s="6" t="n">
        <f aca="false">Sens!G368</f>
        <v>157.331031204333</v>
      </c>
      <c r="H387" s="6" t="n">
        <f aca="false">Sens!H368</f>
        <v>173.625405100343</v>
      </c>
      <c r="I387" s="6" t="n">
        <f aca="false">Sens!I368</f>
        <v>189.278487631726</v>
      </c>
      <c r="J387" s="6" t="n">
        <f aca="false">Sens!J368</f>
        <v>203.914556516091</v>
      </c>
      <c r="K387" s="6" t="n">
        <f aca="false">Sens!K368</f>
        <v>218.228163649178</v>
      </c>
    </row>
    <row r="388" customFormat="false" ht="17.15" hidden="false" customHeight="false" outlineLevel="0" collapsed="false">
      <c r="A388" s="1" t="s">
        <v>937</v>
      </c>
      <c r="B388" s="0" t="s">
        <v>98</v>
      </c>
      <c r="E388" s="6" t="n">
        <f aca="false">Q!M38-Sens!E306</f>
        <v>22.2285940229167</v>
      </c>
      <c r="F388" s="6" t="n">
        <f aca="false">Sens!E388*(1-1/life_nonai)+Sens!F394/life_nonai</f>
        <v>23.5636693435813</v>
      </c>
      <c r="G388" s="6" t="n">
        <f aca="false">Sens!F388*(1-1/life_nonai)+Sens!G394/life_nonai</f>
        <v>25.3225917662621</v>
      </c>
      <c r="H388" s="6" t="n">
        <f aca="false">Sens!G388*(1-1/life_nonai)+Sens!H394/life_nonai</f>
        <v>27.4714839540448</v>
      </c>
      <c r="I388" s="6" t="n">
        <f aca="false">Sens!H388*(1-1/life_nonai)+Sens!I394/life_nonai</f>
        <v>29.9441755898047</v>
      </c>
      <c r="J388" s="6" t="n">
        <f aca="false">Sens!I388*(1-1/life_nonai)+Sens!J394/life_nonai</f>
        <v>32.6578493558616</v>
      </c>
      <c r="K388" s="6" t="n">
        <f aca="false">Sens!J388*(1-1/life_nonai)+Sens!K394/life_nonai</f>
        <v>35.5289346944749</v>
      </c>
      <c r="L388" s="11" t="s">
        <v>938</v>
      </c>
    </row>
    <row r="389" customFormat="false" ht="17.15" hidden="false" customHeight="false" outlineLevel="0" collapsed="false">
      <c r="A389" s="1" t="s">
        <v>939</v>
      </c>
      <c r="B389" s="0" t="s">
        <v>98</v>
      </c>
      <c r="E389" s="6" t="n">
        <f aca="false">Sens!E306+Sens!E388</f>
        <v>38.534</v>
      </c>
      <c r="F389" s="6" t="n">
        <f aca="false">Sens!F306+Sens!F388</f>
        <v>58.304204799451</v>
      </c>
      <c r="G389" s="6" t="n">
        <f aca="false">Sens!G306+Sens!G388</f>
        <v>85.8293250266017</v>
      </c>
      <c r="H389" s="6" t="n">
        <f aca="false">Sens!H306+Sens!H388</f>
        <v>115.213799947184</v>
      </c>
      <c r="I389" s="6" t="n">
        <f aca="false">Sens!I306+Sens!I388</f>
        <v>141.931215572026</v>
      </c>
      <c r="J389" s="6" t="n">
        <f aca="false">Sens!J306+Sens!J388</f>
        <v>161.841560278527</v>
      </c>
      <c r="K389" s="6" t="n">
        <f aca="false">Sens!K306+Sens!K388</f>
        <v>175.176581498948</v>
      </c>
    </row>
    <row r="390" customFormat="false" ht="17.15" hidden="false" customHeight="false" outlineLevel="0" collapsed="false">
      <c r="A390" s="1" t="s">
        <v>940</v>
      </c>
      <c r="B390" s="0" t="s">
        <v>98</v>
      </c>
      <c r="F390" s="6" t="n">
        <f aca="false">Sens!F333*sbc_r</f>
        <v>14.9308704941267</v>
      </c>
      <c r="G390" s="6" t="n">
        <f aca="false">Sens!G333*sbc_r</f>
        <v>17.7641108812713</v>
      </c>
      <c r="H390" s="6" t="n">
        <f aca="false">Sens!H333*sbc_r</f>
        <v>20.6640880611968</v>
      </c>
      <c r="I390" s="6" t="n">
        <f aca="false">Sens!I333*sbc_r</f>
        <v>23.3389517385966</v>
      </c>
      <c r="J390" s="6" t="n">
        <f aca="false">Sens!J333*sbc_r</f>
        <v>25.5345019510649</v>
      </c>
      <c r="K390" s="6" t="n">
        <f aca="false">Sens!K333*sbc_r</f>
        <v>27.3009881602573</v>
      </c>
    </row>
    <row r="391" customFormat="false" ht="17.15" hidden="false" customHeight="false" outlineLevel="0" collapsed="false">
      <c r="A391" s="1" t="s">
        <v>941</v>
      </c>
      <c r="B391" s="0" t="s">
        <v>98</v>
      </c>
      <c r="F391" s="6" t="n">
        <f aca="false">wc27</f>
        <v>-4.895</v>
      </c>
      <c r="G391" s="6" t="n">
        <f aca="false">wc_f</f>
        <v>0</v>
      </c>
      <c r="H391" s="6" t="n">
        <f aca="false">wc_f</f>
        <v>0</v>
      </c>
      <c r="I391" s="6" t="n">
        <f aca="false">wc_f</f>
        <v>0</v>
      </c>
      <c r="J391" s="6" t="n">
        <f aca="false">wc_f</f>
        <v>0</v>
      </c>
      <c r="K391" s="6" t="n">
        <f aca="false">wc_f</f>
        <v>0</v>
      </c>
      <c r="L391" s="11" t="s">
        <v>942</v>
      </c>
    </row>
    <row r="392" customFormat="false" ht="15" hidden="false" customHeight="false" outlineLevel="0" collapsed="false">
      <c r="A392" s="1" t="s">
        <v>756</v>
      </c>
      <c r="B392" s="0" t="s">
        <v>98</v>
      </c>
      <c r="E392" s="6" t="n">
        <f aca="false">Q!M35</f>
        <v>182.935</v>
      </c>
      <c r="F392" s="6" t="n">
        <f aca="false">Sens!F387+Sens!F389+Sens!F390+Sens!F391</f>
        <v>209.534945542787</v>
      </c>
      <c r="G392" s="6" t="n">
        <f aca="false">Sens!G387+Sens!G389+Sens!G390+Sens!G391</f>
        <v>260.924467112206</v>
      </c>
      <c r="H392" s="6" t="n">
        <f aca="false">Sens!H387+Sens!H389+Sens!H390+Sens!H391</f>
        <v>309.503293108724</v>
      </c>
      <c r="I392" s="6" t="n">
        <f aca="false">Sens!I387+Sens!I389+Sens!I390+Sens!I391</f>
        <v>354.548654942349</v>
      </c>
      <c r="J392" s="6" t="n">
        <f aca="false">Sens!J387+Sens!J389+Sens!J390+Sens!J391</f>
        <v>391.290618745683</v>
      </c>
      <c r="K392" s="6" t="n">
        <f aca="false">Sens!K387+Sens!K389+Sens!K390+Sens!K391</f>
        <v>420.705733308384</v>
      </c>
    </row>
    <row r="393" customFormat="false" ht="17.15" hidden="false" customHeight="false" outlineLevel="0" collapsed="false">
      <c r="A393" s="0" t="s">
        <v>943</v>
      </c>
      <c r="B393" s="0" t="s">
        <v>98</v>
      </c>
      <c r="F393" s="6" t="n">
        <f aca="false">Sens!F303</f>
        <v>168.620652770438</v>
      </c>
      <c r="G393" s="6" t="n">
        <f aca="false">Sens!G303</f>
        <v>183.5741804832</v>
      </c>
      <c r="H393" s="6" t="n">
        <f aca="false">Sens!H303</f>
        <v>188.0802859104</v>
      </c>
      <c r="I393" s="6" t="n">
        <f aca="false">Sens!I303</f>
        <v>163.706669154245</v>
      </c>
      <c r="J393" s="6" t="n">
        <f aca="false">Sens!J303</f>
        <v>124.51247671809</v>
      </c>
      <c r="K393" s="6" t="n">
        <f aca="false">Sens!K303</f>
        <v>114.959435641936</v>
      </c>
    </row>
    <row r="394" customFormat="false" ht="17.15" hidden="false" customHeight="false" outlineLevel="0" collapsed="false">
      <c r="A394" s="1" t="s">
        <v>944</v>
      </c>
      <c r="B394" s="0" t="s">
        <v>98</v>
      </c>
      <c r="E394" s="6" t="n">
        <f aca="false">Sens!E311*cx_azo+Sens!E318*cx_m365+Sens!E319*cx_lic+(Sens!E321+Sens!E323)*cx_ind+Sens!E326*cx_srch+(Sens!E328+Sens!E330)*cx_dev</f>
        <v>30.1846587067718</v>
      </c>
      <c r="F394" s="6" t="n">
        <f aca="false">Sens!F311*cx_azo+Sens!F318*cx_m365+Sens!F319*cx_lic+(Sens!F321+Sens!F323)*cx_ind+Sens!F326*cx_srch+(Sens!F328+Sens!F330)*cx_dev</f>
        <v>35.5793472295625</v>
      </c>
      <c r="G394" s="6" t="n">
        <f aca="false">Sens!G311*cx_azo+Sens!G318*cx_m365+Sens!G319*cx_lic+(Sens!G321+Sens!G323)*cx_ind+Sens!G326*cx_srch+(Sens!G328+Sens!G330)*cx_dev</f>
        <v>41.1528935703892</v>
      </c>
      <c r="H394" s="6" t="n">
        <f aca="false">Sens!H311*cx_azo+Sens!H318*cx_m365+Sens!H319*cx_lic+(Sens!H321+Sens!H323)*cx_ind+Sens!H326*cx_srch+(Sens!H328+Sens!H330)*cx_dev</f>
        <v>46.8115136440897</v>
      </c>
      <c r="I394" s="6" t="n">
        <f aca="false">Sens!I311*cx_azo+Sens!I318*cx_m365+Sens!I319*cx_lic+(Sens!I321+Sens!I323)*cx_ind+Sens!I326*cx_srch+(Sens!I328+Sens!I330)*cx_dev</f>
        <v>52.1984003116439</v>
      </c>
      <c r="J394" s="6" t="n">
        <f aca="false">Sens!J311*cx_azo+Sens!J318*cx_m365+Sens!J319*cx_lic+(Sens!J321+Sens!J323)*cx_ind+Sens!J326*cx_srch+(Sens!J328+Sens!J330)*cx_dev</f>
        <v>57.0809132503738</v>
      </c>
      <c r="K394" s="6" t="n">
        <f aca="false">Sens!K311*cx_azo+Sens!K318*cx_m365+Sens!K319*cx_lic+(Sens!K321+Sens!K323)*cx_ind+Sens!K326*cx_srch+(Sens!K328+Sens!K330)*cx_dev</f>
        <v>61.368702741994</v>
      </c>
    </row>
    <row r="395" customFormat="false" ht="17.15" hidden="false" customHeight="false" outlineLevel="0" collapsed="false">
      <c r="A395" s="1" t="s">
        <v>945</v>
      </c>
      <c r="B395" s="0" t="s">
        <v>98</v>
      </c>
      <c r="E395" s="6" t="n">
        <f aca="false">Q!M42</f>
        <v>145.3</v>
      </c>
      <c r="F395" s="6" t="n">
        <f aca="false">Sens!F393+Sens!F394</f>
        <v>204.2</v>
      </c>
      <c r="G395" s="6" t="n">
        <f aca="false">Sens!G393+Sens!G394</f>
        <v>224.727074053589</v>
      </c>
      <c r="H395" s="6" t="n">
        <f aca="false">Sens!H393+Sens!H394</f>
        <v>234.89179955449</v>
      </c>
      <c r="I395" s="6" t="n">
        <f aca="false">Sens!I393+Sens!I394</f>
        <v>215.905069465889</v>
      </c>
      <c r="J395" s="6" t="n">
        <f aca="false">Sens!J393+Sens!J394</f>
        <v>181.593389968464</v>
      </c>
      <c r="K395" s="6" t="n">
        <f aca="false">Sens!K393+Sens!K394</f>
        <v>176.32813838393</v>
      </c>
      <c r="L395" s="1" t="s">
        <v>946</v>
      </c>
    </row>
    <row r="396" customFormat="false" ht="15" hidden="false" customHeight="false" outlineLevel="0" collapsed="false">
      <c r="A396" s="1" t="s">
        <v>947</v>
      </c>
      <c r="B396" s="0" t="s">
        <v>98</v>
      </c>
      <c r="E396" s="6" t="n">
        <f aca="false">fl_liab</f>
        <v>66.594</v>
      </c>
      <c r="F396" s="6" t="n">
        <f aca="false">Sens!E396-Sens!F397</f>
        <v>62.46973</v>
      </c>
      <c r="G396" s="6" t="n">
        <f aca="false">Sens!F396-Sens!G397</f>
        <v>57.98686785</v>
      </c>
      <c r="H396" s="6" t="n">
        <f aca="false">Sens!G396-Sens!H397</f>
        <v>53.92827690325</v>
      </c>
      <c r="I396" s="6" t="n">
        <f aca="false">Sens!H396-Sens!I397</f>
        <v>49.7850493638962</v>
      </c>
      <c r="J396" s="6" t="n">
        <f aca="false">Sens!I396-Sens!J397</f>
        <v>45.4823765852716</v>
      </c>
      <c r="K396" s="6" t="n">
        <f aca="false">Sens!J396-Sens!K397</f>
        <v>40.9860835316088</v>
      </c>
    </row>
    <row r="397" customFormat="false" ht="15" hidden="false" customHeight="false" outlineLevel="0" collapsed="false">
      <c r="A397" s="1" t="s">
        <v>948</v>
      </c>
      <c r="B397" s="0" t="s">
        <v>98</v>
      </c>
      <c r="F397" s="6" t="n">
        <f aca="false">fl_pay_27-Sens!E396*fl_rate</f>
        <v>4.12427</v>
      </c>
      <c r="G397" s="6" t="n">
        <f aca="false">fl_pay_28-Sens!F396*fl_rate</f>
        <v>4.48286215</v>
      </c>
      <c r="H397" s="6" t="n">
        <f aca="false">fl_pay_29-Sens!G396*fl_rate</f>
        <v>4.05859094675</v>
      </c>
      <c r="I397" s="6" t="n">
        <f aca="false">fl_pay_30-Sens!H396*fl_rate</f>
        <v>4.14322753935375</v>
      </c>
      <c r="J397" s="6" t="n">
        <f aca="false">fl_pay_31-Sens!I396*fl_rate</f>
        <v>4.30267277862467</v>
      </c>
      <c r="K397" s="6" t="n">
        <f aca="false">fl_pay_32-Sens!J396*fl_rate</f>
        <v>4.49629305366278</v>
      </c>
    </row>
    <row r="398" customFormat="false" ht="17.15" hidden="false" customHeight="false" outlineLevel="0" collapsed="false">
      <c r="A398" s="1" t="s">
        <v>949</v>
      </c>
      <c r="B398" s="0" t="s">
        <v>98</v>
      </c>
      <c r="E398" s="6" t="n">
        <f aca="false">Q!M35-Q!M36-Q!M43</f>
        <v>63.886</v>
      </c>
      <c r="F398" s="6" t="n">
        <f aca="false">Sens!F392-Sens!F395-Sens!F397</f>
        <v>1.2106755427865</v>
      </c>
      <c r="G398" s="6" t="n">
        <f aca="false">Sens!G392-Sens!G395-Sens!G397</f>
        <v>31.7145309086171</v>
      </c>
      <c r="H398" s="6" t="n">
        <f aca="false">Sens!H392-Sens!H395-Sens!H397</f>
        <v>70.5529026074843</v>
      </c>
      <c r="I398" s="6" t="n">
        <f aca="false">Sens!I392-Sens!I395-Sens!I397</f>
        <v>134.500357937106</v>
      </c>
      <c r="J398" s="6" t="n">
        <f aca="false">Sens!J392-Sens!J395-Sens!J397</f>
        <v>205.394555998594</v>
      </c>
      <c r="K398" s="6" t="n">
        <f aca="false">Sens!K392-Sens!K395-Sens!K397</f>
        <v>239.881301870791</v>
      </c>
      <c r="L398" s="11" t="s">
        <v>950</v>
      </c>
    </row>
    <row r="399" customFormat="false" ht="15" hidden="false" customHeight="false" outlineLevel="0" collapsed="false">
      <c r="A399" s="1" t="s">
        <v>951</v>
      </c>
      <c r="B399" s="0" t="s">
        <v>75</v>
      </c>
      <c r="F399" s="8" t="n">
        <f aca="false">dps_27</f>
        <v>3.85</v>
      </c>
      <c r="G399" s="8" t="n">
        <f aca="false">Sens!F399*(1+dps_g)</f>
        <v>4.158</v>
      </c>
      <c r="H399" s="8" t="n">
        <f aca="false">Sens!G399*(1+dps_g)</f>
        <v>4.49064</v>
      </c>
      <c r="I399" s="8" t="n">
        <f aca="false">Sens!H399*(1+dps_g)</f>
        <v>4.8498912</v>
      </c>
      <c r="J399" s="8" t="n">
        <f aca="false">Sens!I399*(1+dps_g)</f>
        <v>5.237882496</v>
      </c>
      <c r="K399" s="8" t="n">
        <f aca="false">Sens!J399*(1+dps_g)</f>
        <v>5.65691309568</v>
      </c>
    </row>
    <row r="400" customFormat="false" ht="17.15" hidden="false" customHeight="false" outlineLevel="0" collapsed="false">
      <c r="A400" s="1" t="s">
        <v>952</v>
      </c>
      <c r="B400" s="0" t="s">
        <v>98</v>
      </c>
      <c r="E400" s="6" t="n">
        <f aca="false">Q!M41</f>
        <v>26.445</v>
      </c>
      <c r="F400" s="6" t="n">
        <f aca="false">Sens!F399*Sens!E409</f>
        <v>28.59395</v>
      </c>
      <c r="G400" s="6" t="n">
        <f aca="false">Sens!G399*Sens!F409</f>
        <v>31.068576</v>
      </c>
      <c r="H400" s="6" t="n">
        <f aca="false">Sens!H399*Sens!G409</f>
        <v>33.7512882894521</v>
      </c>
      <c r="I400" s="6" t="n">
        <f aca="false">Sens!I399*Sens!H409</f>
        <v>36.5023305926078</v>
      </c>
      <c r="J400" s="6" t="n">
        <f aca="false">Sens!J399*Sens!I409</f>
        <v>39.4909158883358</v>
      </c>
      <c r="K400" s="6" t="n">
        <f aca="false">Sens!K399*Sens!J409</f>
        <v>42.7374443847077</v>
      </c>
      <c r="L400" s="1" t="s">
        <v>953</v>
      </c>
    </row>
    <row r="401" customFormat="false" ht="15" hidden="false" customHeight="false" outlineLevel="0" collapsed="false">
      <c r="A401" s="1" t="s">
        <v>954</v>
      </c>
      <c r="B401" s="0" t="s">
        <v>98</v>
      </c>
      <c r="E401" s="6" t="n">
        <f aca="false">Sens!E398-Sens!E400</f>
        <v>37.441</v>
      </c>
      <c r="F401" s="6" t="n">
        <f aca="false">Sens!F398-Sens!F400</f>
        <v>-27.3832744572135</v>
      </c>
      <c r="G401" s="6" t="n">
        <f aca="false">Sens!G398-Sens!G400</f>
        <v>0.645954908617053</v>
      </c>
      <c r="H401" s="6" t="n">
        <f aca="false">Sens!H398-Sens!H400</f>
        <v>36.8016143180322</v>
      </c>
      <c r="I401" s="6" t="n">
        <f aca="false">Sens!I398-Sens!I400</f>
        <v>97.998027344498</v>
      </c>
      <c r="J401" s="6" t="n">
        <f aca="false">Sens!J398-Sens!J400</f>
        <v>165.903640110258</v>
      </c>
      <c r="K401" s="6" t="n">
        <f aca="false">Sens!K398-Sens!K400</f>
        <v>197.143857486083</v>
      </c>
    </row>
    <row r="402" customFormat="false" ht="15" hidden="false" customHeight="false" outlineLevel="0" collapsed="false">
      <c r="A402" s="1" t="s">
        <v>955</v>
      </c>
      <c r="B402" s="0" t="s">
        <v>98</v>
      </c>
      <c r="F402" s="6" t="n">
        <f aca="false">debt_mat_27</f>
        <v>9.25</v>
      </c>
      <c r="G402" s="6" t="n">
        <f aca="false">debt_mat_28</f>
        <v>0</v>
      </c>
      <c r="H402" s="6" t="n">
        <f aca="false">debt_mat_29</f>
        <v>2.001</v>
      </c>
      <c r="I402" s="6" t="n">
        <f aca="false">debt_mat_30</f>
        <v>0</v>
      </c>
      <c r="J402" s="6" t="n">
        <f aca="false">debt_mat_31</f>
        <v>0.5</v>
      </c>
      <c r="K402" s="6" t="n">
        <f aca="false">debt_mat_32</f>
        <v>0</v>
      </c>
    </row>
    <row r="403" customFormat="false" ht="15" hidden="false" customHeight="false" outlineLevel="0" collapsed="false">
      <c r="A403" s="1" t="s">
        <v>956</v>
      </c>
      <c r="B403" s="0" t="s">
        <v>98</v>
      </c>
      <c r="E403" s="6" t="n">
        <f aca="false">Q!M40</f>
        <v>22.271</v>
      </c>
      <c r="F403" s="6" t="n">
        <f aca="false">MAX(0,MIN(bb_target,Sens!E405+Sens!F401-Sens!F402-min_cash))</f>
        <v>0</v>
      </c>
      <c r="G403" s="6" t="n">
        <f aca="false">MAX(0,MIN(bb_target,Sens!F405+Sens!G401-Sens!G402-min_cash))</f>
        <v>0.645954908617057</v>
      </c>
      <c r="H403" s="6" t="n">
        <f aca="false">MAX(0,MIN(bb_target,Sens!G405+Sens!H401-Sens!H402-min_cash))</f>
        <v>22.271</v>
      </c>
      <c r="I403" s="6" t="n">
        <f aca="false">MAX(0,MIN(bb_target,Sens!H405+Sens!I401-Sens!I402-min_cash))</f>
        <v>22.271</v>
      </c>
      <c r="J403" s="6" t="n">
        <f aca="false">MAX(0,MIN(bb_target,Sens!I405+Sens!J401-Sens!J402-min_cash))</f>
        <v>22.271</v>
      </c>
      <c r="K403" s="6" t="n">
        <f aca="false">MAX(0,MIN(bb_target,Sens!J405+Sens!K401-Sens!K402-min_cash))</f>
        <v>22.271</v>
      </c>
    </row>
    <row r="404" customFormat="false" ht="15" hidden="false" customHeight="false" outlineLevel="0" collapsed="false">
      <c r="A404" s="1" t="s">
        <v>957</v>
      </c>
      <c r="B404" s="0" t="s">
        <v>98</v>
      </c>
      <c r="F404" s="6" t="n">
        <f aca="false">MAX(0,min_cash-(Sens!E405+Sens!F401-Sens!F402-Sens!F403))</f>
        <v>9.7902744572135</v>
      </c>
      <c r="G404" s="6" t="n">
        <f aca="false">MAX(0,min_cash-(Sens!F405+Sens!G401-Sens!G402-Sens!G403))</f>
        <v>0</v>
      </c>
      <c r="H404" s="6" t="n">
        <f aca="false">MAX(0,min_cash-(Sens!G405+Sens!H401-Sens!H402-Sens!H403))</f>
        <v>0</v>
      </c>
      <c r="I404" s="6" t="n">
        <f aca="false">MAX(0,min_cash-(Sens!H405+Sens!I401-Sens!I402-Sens!I403))</f>
        <v>0</v>
      </c>
      <c r="J404" s="6" t="n">
        <f aca="false">MAX(0,min_cash-(Sens!I405+Sens!J401-Sens!J402-Sens!J403))</f>
        <v>0</v>
      </c>
      <c r="K404" s="6" t="n">
        <f aca="false">MAX(0,min_cash-(Sens!J405+Sens!K401-Sens!K402-Sens!K403))</f>
        <v>0</v>
      </c>
    </row>
    <row r="405" customFormat="false" ht="15" hidden="false" customHeight="false" outlineLevel="0" collapsed="false">
      <c r="A405" s="1" t="s">
        <v>958</v>
      </c>
      <c r="B405" s="0" t="s">
        <v>98</v>
      </c>
      <c r="E405" s="6" t="n">
        <f aca="false">cash_open</f>
        <v>76.843</v>
      </c>
      <c r="F405" s="6" t="n">
        <f aca="false">Sens!E405+Sens!F401-Sens!F402-Sens!F403+Sens!F404</f>
        <v>50</v>
      </c>
      <c r="G405" s="6" t="n">
        <f aca="false">Sens!F405+Sens!G401-Sens!G402-Sens!G403+Sens!G404</f>
        <v>50</v>
      </c>
      <c r="H405" s="6" t="n">
        <f aca="false">Sens!G405+Sens!H401-Sens!H402-Sens!H403+Sens!H404</f>
        <v>62.5296143180322</v>
      </c>
      <c r="I405" s="6" t="n">
        <f aca="false">Sens!H405+Sens!I401-Sens!I402-Sens!I403+Sens!I404</f>
        <v>138.25664166253</v>
      </c>
      <c r="J405" s="6" t="n">
        <f aca="false">Sens!I405+Sens!J401-Sens!J402-Sens!J403+Sens!J404</f>
        <v>281.389281772788</v>
      </c>
      <c r="K405" s="6" t="n">
        <f aca="false">Sens!J405+Sens!K401-Sens!K402-Sens!K403+Sens!K404</f>
        <v>456.262139258872</v>
      </c>
    </row>
    <row r="406" customFormat="false" ht="15" hidden="false" customHeight="false" outlineLevel="0" collapsed="false">
      <c r="A406" s="1" t="s">
        <v>959</v>
      </c>
      <c r="B406" s="0" t="s">
        <v>98</v>
      </c>
      <c r="E406" s="6" t="n">
        <f aca="false">debt_face</f>
        <v>46.136</v>
      </c>
      <c r="F406" s="6" t="n">
        <f aca="false">Sens!E406-Sens!F402+Sens!F404</f>
        <v>46.6762744572135</v>
      </c>
      <c r="G406" s="6" t="n">
        <f aca="false">Sens!F406-Sens!G402+Sens!G404</f>
        <v>46.6762744572135</v>
      </c>
      <c r="H406" s="6" t="n">
        <f aca="false">Sens!G406-Sens!H402+Sens!H404</f>
        <v>44.6752744572135</v>
      </c>
      <c r="I406" s="6" t="n">
        <f aca="false">Sens!H406-Sens!I402+Sens!I404</f>
        <v>44.6752744572135</v>
      </c>
      <c r="J406" s="6" t="n">
        <f aca="false">Sens!I406-Sens!J402+Sens!J404</f>
        <v>44.1752744572135</v>
      </c>
      <c r="K406" s="6" t="n">
        <f aca="false">Sens!J406-Sens!K402+Sens!K404</f>
        <v>44.1752744572135</v>
      </c>
    </row>
    <row r="407" customFormat="false" ht="15" hidden="false" customHeight="false" outlineLevel="0" collapsed="false">
      <c r="A407" s="1" t="s">
        <v>960</v>
      </c>
      <c r="B407" s="0" t="s">
        <v>98</v>
      </c>
      <c r="E407" s="6" t="n">
        <f aca="false">Sens!E405-Sens!E406</f>
        <v>30.707</v>
      </c>
      <c r="F407" s="6" t="n">
        <f aca="false">Sens!F405-Sens!F406</f>
        <v>3.3237255427865</v>
      </c>
      <c r="G407" s="6" t="n">
        <f aca="false">Sens!G405-Sens!G406</f>
        <v>3.3237255427865</v>
      </c>
      <c r="H407" s="6" t="n">
        <f aca="false">Sens!H405-Sens!H406</f>
        <v>17.8543398608187</v>
      </c>
      <c r="I407" s="6" t="n">
        <f aca="false">Sens!I405-Sens!I406</f>
        <v>93.5813672053166</v>
      </c>
      <c r="J407" s="6" t="n">
        <f aca="false">Sens!J405-Sens!J406</f>
        <v>237.214007315575</v>
      </c>
      <c r="K407" s="6" t="n">
        <f aca="false">Sens!K405-Sens!K406</f>
        <v>412.086864801658</v>
      </c>
    </row>
    <row r="408" customFormat="false" ht="15" hidden="false" customHeight="false" outlineLevel="0" collapsed="false">
      <c r="A408" s="1" t="s">
        <v>961</v>
      </c>
      <c r="B408" s="0" t="s">
        <v>75</v>
      </c>
      <c r="F408" s="29" t="n">
        <f aca="false">px*(1+bb_g)^(Sens!F272-base_fy-mid_yr)</f>
        <v>553.494156066711</v>
      </c>
      <c r="G408" s="29" t="n">
        <f aca="false">px*(1+bb_g)^(Sens!G272-base_fy-mid_yr)</f>
        <v>597.773688552047</v>
      </c>
      <c r="H408" s="29" t="n">
        <f aca="false">px*(1+bb_g)^(Sens!H272-base_fy-mid_yr)</f>
        <v>645.595583636211</v>
      </c>
      <c r="I408" s="29" t="n">
        <f aca="false">px*(1+bb_g)^(Sens!I272-base_fy-mid_yr)</f>
        <v>697.243230327108</v>
      </c>
      <c r="J408" s="29" t="n">
        <f aca="false">px*(1+bb_g)^(Sens!J272-base_fy-mid_yr)</f>
        <v>753.022688753277</v>
      </c>
      <c r="K408" s="29" t="n">
        <f aca="false">px*(1+bb_g)^(Sens!K272-base_fy-mid_yr)</f>
        <v>813.264503853539</v>
      </c>
    </row>
    <row r="409" customFormat="false" ht="15" hidden="false" customHeight="false" outlineLevel="0" collapsed="false">
      <c r="A409" s="1" t="s">
        <v>962</v>
      </c>
      <c r="B409" s="1" t="s">
        <v>81</v>
      </c>
      <c r="E409" s="14" t="n">
        <f aca="false">sh_out26</f>
        <v>7.427</v>
      </c>
      <c r="F409" s="14" t="n">
        <f aca="false">Sens!E409+sh_iss-Sens!F403/Sens!F408</f>
        <v>7.472</v>
      </c>
      <c r="G409" s="14" t="n">
        <f aca="false">Sens!F409+sh_iss-Sens!G403/Sens!G408</f>
        <v>7.51591939889462</v>
      </c>
      <c r="H409" s="14" t="n">
        <f aca="false">Sens!G409+sh_iss-Sens!H403/Sens!H408</f>
        <v>7.52642257059452</v>
      </c>
      <c r="I409" s="14" t="n">
        <f aca="false">Sens!H409+sh_iss-Sens!I403/Sens!I408</f>
        <v>7.53948106290924</v>
      </c>
      <c r="J409" s="14" t="n">
        <f aca="false">Sens!I409+sh_iss-Sens!J403/Sens!J408</f>
        <v>7.55490559283029</v>
      </c>
      <c r="K409" s="14" t="n">
        <f aca="false">Sens!J409+sh_iss-Sens!K403/Sens!K408</f>
        <v>7.57252089831273</v>
      </c>
    </row>
    <row r="410" customFormat="false" ht="15" hidden="false" customHeight="false" outlineLevel="0" collapsed="false">
      <c r="A410" s="1" t="s">
        <v>963</v>
      </c>
      <c r="B410" s="1" t="s">
        <v>81</v>
      </c>
      <c r="E410" s="14" t="n">
        <f aca="false">sh_dil26</f>
        <v>7.453</v>
      </c>
      <c r="F410" s="14" t="n">
        <f aca="false">(Sens!E409+Sens!F409)/2+dil_gap</f>
        <v>7.4735</v>
      </c>
      <c r="G410" s="14" t="n">
        <f aca="false">(Sens!F409+Sens!G409)/2+dil_gap</f>
        <v>7.51795969944731</v>
      </c>
      <c r="H410" s="14" t="n">
        <f aca="false">(Sens!G409+Sens!H409)/2+dil_gap</f>
        <v>7.54517098474457</v>
      </c>
      <c r="I410" s="14" t="n">
        <f aca="false">(Sens!H409+Sens!I409)/2+dil_gap</f>
        <v>7.55695181675188</v>
      </c>
      <c r="J410" s="14" t="n">
        <f aca="false">(Sens!I409+Sens!J409)/2+dil_gap</f>
        <v>7.57119332786977</v>
      </c>
      <c r="K410" s="14" t="n">
        <f aca="false">(Sens!J409+Sens!K409)/2+dil_gap</f>
        <v>7.58771324557151</v>
      </c>
    </row>
    <row r="411" customFormat="false" ht="17.15" hidden="false" customHeight="false" outlineLevel="0" collapsed="false">
      <c r="A411" s="1" t="s">
        <v>964</v>
      </c>
      <c r="B411" s="0" t="s">
        <v>98</v>
      </c>
      <c r="C411" s="6" t="n">
        <f aca="false">SUM(Sens!F401:J401)</f>
        <v>273.965962224192</v>
      </c>
    </row>
    <row r="412" customFormat="false" ht="15" hidden="false" customHeight="false" outlineLevel="0" collapsed="false">
      <c r="A412" s="23" t="s">
        <v>935</v>
      </c>
      <c r="B412" s="30" t="s">
        <v>98</v>
      </c>
      <c r="C412" s="24" t="n">
        <f aca="false">Sens!$C$411-(Sens!F401+Sens!G401+Sens!H401+Sens!I401+Sens!J401)</f>
        <v>0</v>
      </c>
      <c r="D412" s="30"/>
      <c r="E412" s="30"/>
      <c r="F412" s="30"/>
      <c r="G412" s="30"/>
      <c r="H412" s="30"/>
      <c r="I412" s="30"/>
      <c r="J412" s="30"/>
      <c r="K412" s="30"/>
    </row>
    <row r="413" customFormat="false" ht="17.15" hidden="false" customHeight="false" outlineLevel="0" collapsed="false">
      <c r="A413" s="1" t="s">
        <v>929</v>
      </c>
      <c r="B413" s="1" t="s">
        <v>965</v>
      </c>
      <c r="C413" s="32" t="str">
        <f aca="false">IF(SUM(Sens!F404:J404)&gt;0.05,"需要舉債 "&amp;TEXT(SUM(Sens!F404:J404),"0.0")&amp;" 十億美元","不需舉債")&amp;"；"&amp;IF(SUM(Sens!F403:J403)&lt;COUNT(Sens!F403:J403)*bb_target-0.05,"回購較每年 "&amp;TEXT(bb_target,"0.0")&amp;" 的目標少 "&amp;TEXT(COUNT(Sens!F403:J403)*bb_target-SUM(Sens!F403:J403),"0.0")&amp;" 十億美元（"&amp;TEXT(COUNTIF(Sens!F403:J403,"&lt;"&amp;(bb_target-0.05)),"0")&amp;" 年減少）","回購不減")</f>
        <v>需要舉債 9.8 十億美元；回購較每年 22.3 的目標少 43.9 十億美元（2 年減少）</v>
      </c>
    </row>
    <row r="414" customFormat="false" ht="17.15" hidden="false" customHeight="false" outlineLevel="0" collapsed="false">
      <c r="A414" s="3" t="s">
        <v>1243</v>
      </c>
    </row>
    <row r="415" customFormat="false" ht="15" hidden="false" customHeight="false" outlineLevel="0" collapsed="false">
      <c r="A415" s="4" t="s">
        <v>43</v>
      </c>
      <c r="B415" s="4" t="s">
        <v>65</v>
      </c>
      <c r="C415" s="20" t="s">
        <v>788</v>
      </c>
      <c r="D415" s="20" t="s">
        <v>789</v>
      </c>
      <c r="E415" s="20" t="s">
        <v>790</v>
      </c>
      <c r="F415" s="20" t="s">
        <v>791</v>
      </c>
      <c r="G415" s="20" t="s">
        <v>792</v>
      </c>
      <c r="H415" s="20" t="s">
        <v>793</v>
      </c>
      <c r="I415" s="20" t="s">
        <v>794</v>
      </c>
      <c r="J415" s="20" t="s">
        <v>795</v>
      </c>
      <c r="K415" s="20" t="s">
        <v>796</v>
      </c>
      <c r="L415" s="4" t="s">
        <v>47</v>
      </c>
    </row>
    <row r="416" customFormat="false" ht="15" hidden="false" customHeight="false" outlineLevel="0" collapsed="false">
      <c r="A416" s="1" t="s">
        <v>1042</v>
      </c>
      <c r="B416" s="1" t="s">
        <v>235</v>
      </c>
      <c r="F416" s="36" t="n">
        <f aca="false">Sens!F272-base_fy-mid_yr</f>
        <v>0.5</v>
      </c>
      <c r="G416" s="36" t="n">
        <f aca="false">Sens!G272-base_fy-mid_yr</f>
        <v>1.5</v>
      </c>
      <c r="H416" s="36" t="n">
        <f aca="false">Sens!H272-base_fy-mid_yr</f>
        <v>2.5</v>
      </c>
      <c r="I416" s="36" t="n">
        <f aca="false">Sens!I272-base_fy-mid_yr</f>
        <v>3.5</v>
      </c>
      <c r="J416" s="36" t="n">
        <f aca="false">Sens!J272-base_fy-mid_yr</f>
        <v>4.5</v>
      </c>
      <c r="K416" s="36" t="n">
        <f aca="false">Sens!K272-base_fy-mid_yr</f>
        <v>5.5</v>
      </c>
    </row>
    <row r="417" customFormat="false" ht="15" hidden="false" customHeight="false" outlineLevel="0" collapsed="false">
      <c r="A417" s="1" t="s">
        <v>1043</v>
      </c>
      <c r="B417" s="0" t="s">
        <v>185</v>
      </c>
      <c r="F417" s="14" t="n">
        <f aca="false">1/(1+wacc)^Sens!F416</f>
        <v>0.952193373608246</v>
      </c>
      <c r="G417" s="14" t="n">
        <f aca="false">1/(1+wacc)^Sens!G416</f>
        <v>0.863327280626589</v>
      </c>
      <c r="H417" s="14" t="n">
        <f aca="false">1/(1+wacc)^Sens!H416</f>
        <v>0.782754862754115</v>
      </c>
      <c r="I417" s="14" t="n">
        <f aca="false">1/(1+wacc)^Sens!I416</f>
        <v>0.709702089711011</v>
      </c>
      <c r="J417" s="14" t="n">
        <f aca="false">1/(1+wacc)^Sens!J416</f>
        <v>0.643467169744551</v>
      </c>
      <c r="K417" s="14" t="n">
        <f aca="false">1/(1+wacc)^Sens!K416</f>
        <v>0.583413807767797</v>
      </c>
    </row>
    <row r="418" customFormat="false" ht="17.15" hidden="false" customHeight="false" outlineLevel="0" collapsed="false">
      <c r="A418" s="1" t="s">
        <v>1044</v>
      </c>
      <c r="B418" s="0" t="s">
        <v>98</v>
      </c>
      <c r="F418" s="6" t="n">
        <f aca="false">Sens!F392-Sens!F390-Sens!F395+Sens!F376*(1-tax_f)</f>
        <v>-9.59592495134021</v>
      </c>
      <c r="G418" s="6" t="n">
        <f aca="false">Sens!G392-Sens!G390-Sens!G395+Sens!G376*(1-tax_f)</f>
        <v>18.4332821773457</v>
      </c>
      <c r="H418" s="6" t="n">
        <f aca="false">Sens!H392-Sens!H390-Sens!H395+Sens!H376*(1-tax_f)</f>
        <v>53.9474054930375</v>
      </c>
      <c r="I418" s="6" t="n">
        <f aca="false">Sens!I392-Sens!I390-Sens!I395+Sens!I376*(1-tax_f)</f>
        <v>115.304633737863</v>
      </c>
      <c r="J418" s="6" t="n">
        <f aca="false">Sens!J392-Sens!J390-Sens!J395+Sens!J376*(1-tax_f)</f>
        <v>184.162726826154</v>
      </c>
      <c r="K418" s="6" t="n">
        <f aca="false">Sens!K392-Sens!K390-Sens!K395+Sens!K376*(1-tax_f)</f>
        <v>217.076606764197</v>
      </c>
      <c r="L418" s="1" t="s">
        <v>1045</v>
      </c>
    </row>
    <row r="419" customFormat="false" ht="15" hidden="false" customHeight="false" outlineLevel="0" collapsed="false">
      <c r="A419" s="1" t="s">
        <v>1046</v>
      </c>
      <c r="B419" s="0" t="s">
        <v>98</v>
      </c>
      <c r="F419" s="6" t="n">
        <f aca="false">Sens!F418*Sens!F417</f>
        <v>-9.13717615230818</v>
      </c>
      <c r="G419" s="6" t="n">
        <f aca="false">Sens!G418*Sens!G417</f>
        <v>15.9139553751905</v>
      </c>
      <c r="H419" s="6" t="n">
        <f aca="false">Sens!H418*Sens!H417</f>
        <v>42.2275939826432</v>
      </c>
      <c r="I419" s="6" t="n">
        <f aca="false">Sens!I418*Sens!I417</f>
        <v>81.831939517124</v>
      </c>
      <c r="J419" s="6" t="n">
        <f aca="false">Sens!J418*Sens!J417</f>
        <v>118.502668603264</v>
      </c>
      <c r="K419" s="6" t="n">
        <f aca="false">Sens!K418*Sens!K417</f>
        <v>126.645489729613</v>
      </c>
    </row>
    <row r="420" customFormat="false" ht="17.15" hidden="false" customHeight="false" outlineLevel="0" collapsed="false">
      <c r="A420" s="1" t="s">
        <v>1047</v>
      </c>
      <c r="B420" s="0" t="s">
        <v>98</v>
      </c>
      <c r="C420" s="6" t="n">
        <f aca="false">SUM(Sens!F419:K419)</f>
        <v>375.984471055526</v>
      </c>
    </row>
    <row r="421" customFormat="false" ht="17.15" hidden="false" customHeight="false" outlineLevel="0" collapsed="false">
      <c r="A421" s="1" t="s">
        <v>1048</v>
      </c>
      <c r="B421" s="0" t="s">
        <v>98</v>
      </c>
      <c r="C421" s="6" t="n">
        <f aca="false">Sens!K362*(1+g_tv)*(1-tax_f)</f>
        <v>225.104608558653</v>
      </c>
    </row>
    <row r="422" customFormat="false" ht="17.15" hidden="false" customHeight="false" outlineLevel="0" collapsed="false">
      <c r="A422" s="1" t="s">
        <v>1049</v>
      </c>
      <c r="B422" s="0" t="s">
        <v>98</v>
      </c>
      <c r="C422" s="6" t="n">
        <f aca="false">Sens!$C$421*(1-g_tv/(wacc+ronic_prem))</f>
        <v>159.498388106191</v>
      </c>
    </row>
    <row r="423" customFormat="false" ht="17.15" hidden="false" customHeight="false" outlineLevel="0" collapsed="false">
      <c r="A423" s="1" t="s">
        <v>1050</v>
      </c>
      <c r="B423" s="0" t="s">
        <v>98</v>
      </c>
      <c r="C423" s="6" t="n">
        <f aca="false">Sens!$C$422/(wacc-g_tv)</f>
        <v>2186.87401508209</v>
      </c>
    </row>
    <row r="424" customFormat="false" ht="15" hidden="false" customHeight="false" outlineLevel="0" collapsed="false">
      <c r="A424" s="1" t="s">
        <v>1051</v>
      </c>
      <c r="B424" s="0" t="s">
        <v>98</v>
      </c>
      <c r="C424" s="6" t="n">
        <f aca="false">Sens!$C$423/(1+wacc)^(Sens!K416+mid_yr)</f>
        <v>1214.8582926284</v>
      </c>
    </row>
    <row r="425" customFormat="false" ht="17.15" hidden="false" customHeight="false" outlineLevel="0" collapsed="false">
      <c r="A425" s="0" t="s">
        <v>972</v>
      </c>
      <c r="B425" s="0" t="s">
        <v>98</v>
      </c>
      <c r="C425" s="6" t="n">
        <f aca="false">Sens!$C$420+Sens!$C$424</f>
        <v>1590.84276368393</v>
      </c>
    </row>
    <row r="426" customFormat="false" ht="15" hidden="false" customHeight="false" outlineLevel="0" collapsed="false">
      <c r="A426" s="1" t="s">
        <v>973</v>
      </c>
      <c r="B426" s="0" t="s">
        <v>129</v>
      </c>
      <c r="C426" s="7" t="n">
        <f aca="false">Sens!$C$424/Sens!$C$425</f>
        <v>0.763657050439821</v>
      </c>
    </row>
    <row r="427" customFormat="false" ht="17.15" hidden="false" customHeight="false" outlineLevel="0" collapsed="false">
      <c r="A427" s="1" t="s">
        <v>1052</v>
      </c>
      <c r="B427" s="0" t="s">
        <v>98</v>
      </c>
      <c r="C427" s="6" t="n">
        <f aca="false">Sens!$C$425+Sens!E407-Sens!E396+oai_v</f>
        <v>1725.35576368393</v>
      </c>
    </row>
    <row r="428" customFormat="false" ht="17.15" hidden="false" customHeight="false" outlineLevel="0" collapsed="false">
      <c r="A428" s="0" t="s">
        <v>980</v>
      </c>
      <c r="B428" s="0" t="s">
        <v>75</v>
      </c>
      <c r="C428" s="5" t="n">
        <f aca="false">Sens!$C$427/sh_dil26</f>
        <v>231.498156941356</v>
      </c>
    </row>
    <row r="429" customFormat="false" ht="15" hidden="false" customHeight="false" outlineLevel="0" collapsed="false">
      <c r="A429" s="1" t="s">
        <v>1053</v>
      </c>
      <c r="B429" s="0" t="s">
        <v>75</v>
      </c>
      <c r="C429" s="8" t="n">
        <f aca="false">dps_27+Sens!G399*roll_div_q/q_per_yr</f>
        <v>4.8895</v>
      </c>
    </row>
    <row r="430" customFormat="false" ht="17.15" hidden="false" customHeight="false" outlineLevel="0" collapsed="false">
      <c r="A430" s="0" t="s">
        <v>1054</v>
      </c>
      <c r="B430" s="0" t="s">
        <v>75</v>
      </c>
      <c r="C430" s="5" t="n">
        <f aca="false">Sens!$C$428*(1+wacc)^t_roll-Sens!$C$429</f>
        <v>258.725180922793</v>
      </c>
    </row>
    <row r="431" customFormat="false" ht="17.15" hidden="false" customHeight="false" outlineLevel="0" collapsed="false">
      <c r="A431" s="1" t="s">
        <v>1055</v>
      </c>
      <c r="B431" s="0" t="s">
        <v>129</v>
      </c>
      <c r="F431" s="7" t="n">
        <f aca="false">Sens!F388/(Sens!F333-Sens!F289)</f>
        <v>0.0684307874075333</v>
      </c>
      <c r="G431" s="7" t="n">
        <f aca="false">Sens!G388/(Sens!G333-Sens!G289)</f>
        <v>0.0656456058503526</v>
      </c>
      <c r="H431" s="7" t="n">
        <f aca="false">Sens!H388/(Sens!H333-Sens!H289)</f>
        <v>0.0641950889132003</v>
      </c>
      <c r="I431" s="7" t="n">
        <f aca="false">Sens!I388/(Sens!I333-Sens!I289)</f>
        <v>0.063960269667854</v>
      </c>
      <c r="J431" s="7" t="n">
        <f aca="false">Sens!J388/(Sens!J333-Sens!J289)</f>
        <v>0.0646607917002597</v>
      </c>
      <c r="K431" s="7" t="n">
        <f aca="false">Sens!K388/(Sens!K333-Sens!K289)</f>
        <v>0.0659511546529383</v>
      </c>
    </row>
    <row r="432" customFormat="false" ht="17.15" hidden="false" customHeight="false" outlineLevel="0" collapsed="false">
      <c r="A432" s="0" t="s">
        <v>1056</v>
      </c>
      <c r="B432" s="0" t="s">
        <v>98</v>
      </c>
      <c r="F432" s="6" t="n">
        <f aca="false">Sens!F318*(al_m365+Sens!F431+sbc_r)</f>
        <v>83.9158372980923</v>
      </c>
      <c r="G432" s="6" t="n">
        <f aca="false">Sens!G318*(al_m365+Sens!G431+sbc_r)</f>
        <v>96.3459139664276</v>
      </c>
      <c r="H432" s="6" t="n">
        <f aca="false">Sens!H318*(al_m365+Sens!H431+sbc_r)</f>
        <v>108.939128787393</v>
      </c>
      <c r="I432" s="6" t="n">
        <f aca="false">Sens!I318*(al_m365+Sens!I431+sbc_r)</f>
        <v>120.51456797186</v>
      </c>
      <c r="J432" s="6" t="n">
        <f aca="false">Sens!J318*(al_m365+Sens!J431+sbc_r)</f>
        <v>130.883844402211</v>
      </c>
      <c r="K432" s="6" t="n">
        <f aca="false">Sens!K318*(al_m365+Sens!K431+sbc_r)</f>
        <v>140.862269296832</v>
      </c>
      <c r="L432" s="11" t="s">
        <v>1057</v>
      </c>
    </row>
    <row r="433" customFormat="false" ht="17.15" hidden="false" customHeight="false" outlineLevel="0" collapsed="false">
      <c r="A433" s="0" t="s">
        <v>1058</v>
      </c>
      <c r="B433" s="0" t="s">
        <v>98</v>
      </c>
      <c r="F433" s="6" t="n">
        <f aca="false">Sens!F319*(al_lic+Sens!F431+sbc_r)</f>
        <v>33.4384115342236</v>
      </c>
      <c r="G433" s="6" t="n">
        <f aca="false">Sens!G319*(al_lic+Sens!G431+sbc_r)</f>
        <v>34.7409063621757</v>
      </c>
      <c r="H433" s="6" t="n">
        <f aca="false">Sens!H319*(al_lic+Sens!H431+sbc_r)</f>
        <v>35.9566740351293</v>
      </c>
      <c r="I433" s="6" t="n">
        <f aca="false">Sens!I319*(al_lic+Sens!I431+sbc_r)</f>
        <v>37.0672966580049</v>
      </c>
      <c r="J433" s="6" t="n">
        <f aca="false">Sens!J319*(al_lic+Sens!J431+sbc_r)</f>
        <v>38.0469841498966</v>
      </c>
      <c r="K433" s="6" t="n">
        <f aca="false">Sens!K319*(al_lic+Sens!K431+sbc_r)</f>
        <v>38.8666958490701</v>
      </c>
    </row>
    <row r="434" customFormat="false" ht="17.15" hidden="false" customHeight="false" outlineLevel="0" collapsed="false">
      <c r="A434" s="0" t="s">
        <v>1059</v>
      </c>
      <c r="B434" s="0" t="s">
        <v>98</v>
      </c>
      <c r="F434" s="6" t="n">
        <f aca="false">Sens!F321*(al_ind+Sens!F431+sbc_r)</f>
        <v>9.07285900381439</v>
      </c>
      <c r="G434" s="6" t="n">
        <f aca="false">Sens!G321*(al_ind+Sens!G431+sbc_r)</f>
        <v>9.84969160470639</v>
      </c>
      <c r="H434" s="6" t="n">
        <f aca="false">Sens!H321*(al_ind+Sens!H431+sbc_r)</f>
        <v>10.6714469126029</v>
      </c>
      <c r="I434" s="6" t="n">
        <f aca="false">Sens!I321*(al_ind+Sens!I431+sbc_r)</f>
        <v>11.5350820765572</v>
      </c>
      <c r="J434" s="6" t="n">
        <f aca="false">Sens!J321*(al_ind+Sens!J431+sbc_r)</f>
        <v>12.4308815351832</v>
      </c>
      <c r="K434" s="6" t="n">
        <f aca="false">Sens!K321*(al_ind+Sens!K431+sbc_r)</f>
        <v>13.3437330974691</v>
      </c>
    </row>
    <row r="435" customFormat="false" ht="17.15" hidden="false" customHeight="false" outlineLevel="0" collapsed="false">
      <c r="A435" s="0" t="s">
        <v>1060</v>
      </c>
      <c r="B435" s="0" t="s">
        <v>98</v>
      </c>
      <c r="F435" s="6" t="n">
        <f aca="false">Sens!F323*(al_fro+Sens!F431+sbc_r)</f>
        <v>3.5711091569032</v>
      </c>
      <c r="G435" s="6" t="n">
        <f aca="false">Sens!G323*(al_fro+Sens!G431+sbc_r)</f>
        <v>3.78169924595694</v>
      </c>
      <c r="H435" s="6" t="n">
        <f aca="false">Sens!H323*(al_fro+Sens!H431+sbc_r)</f>
        <v>4.02136645419237</v>
      </c>
      <c r="I435" s="6" t="n">
        <f aca="false">Sens!I323*(al_fro+Sens!I431+sbc_r)</f>
        <v>4.29288807676321</v>
      </c>
      <c r="J435" s="6" t="n">
        <f aca="false">Sens!J323*(al_fro+Sens!J431+sbc_r)</f>
        <v>4.59741770960175</v>
      </c>
      <c r="K435" s="6" t="n">
        <f aca="false">Sens!K323*(al_fro+Sens!K431+sbc_r)</f>
        <v>4.9350252981555</v>
      </c>
    </row>
    <row r="436" customFormat="false" ht="17.15" hidden="false" customHeight="false" outlineLevel="0" collapsed="false">
      <c r="A436" s="0" t="s">
        <v>1061</v>
      </c>
      <c r="B436" s="0" t="s">
        <v>98</v>
      </c>
      <c r="F436" s="6" t="n">
        <f aca="false">Sens!F326*(al_srch+Sens!F431+sbc_r)</f>
        <v>11.205111954849</v>
      </c>
      <c r="G436" s="6" t="n">
        <f aca="false">Sens!G326*(al_srch+Sens!G431+sbc_r)</f>
        <v>12.2792883348957</v>
      </c>
      <c r="H436" s="6" t="n">
        <f aca="false">Sens!H326*(al_srch+Sens!H431+sbc_r)</f>
        <v>13.3983888227975</v>
      </c>
      <c r="I436" s="6" t="n">
        <f aca="false">Sens!I326*(al_srch+Sens!I431+sbc_r)</f>
        <v>14.5517695263616</v>
      </c>
      <c r="J436" s="6" t="n">
        <f aca="false">Sens!J326*(al_srch+Sens!J431+sbc_r)</f>
        <v>15.7194284145253</v>
      </c>
      <c r="K436" s="6" t="n">
        <f aca="false">Sens!K326*(al_srch+Sens!K431+sbc_r)</f>
        <v>16.87377171237</v>
      </c>
    </row>
    <row r="437" customFormat="false" ht="17.15" hidden="false" customHeight="false" outlineLevel="0" collapsed="false">
      <c r="A437" s="0" t="s">
        <v>1062</v>
      </c>
      <c r="B437" s="0" t="s">
        <v>98</v>
      </c>
      <c r="F437" s="6" t="n">
        <f aca="false">Sens!F295-Sens!F296+Sens!F376</f>
        <v>32.9265101986841</v>
      </c>
      <c r="G437" s="6" t="n">
        <f aca="false">Sens!G295-Sens!G296+Sens!G376</f>
        <v>55.768123383641</v>
      </c>
      <c r="H437" s="6" t="n">
        <f aca="false">Sens!H295-Sens!H296+Sens!H376</f>
        <v>79.956214481849</v>
      </c>
      <c r="I437" s="6" t="n">
        <f aca="false">Sens!I295-Sens!I296+Sens!I376</f>
        <v>101.57923818599</v>
      </c>
      <c r="J437" s="6" t="n">
        <f aca="false">Sens!J295-Sens!J296+Sens!J376</f>
        <v>116.879071048233</v>
      </c>
      <c r="K437" s="6" t="n">
        <f aca="false">Sens!K295-Sens!K296+Sens!K376</f>
        <v>126.973888181725</v>
      </c>
    </row>
    <row r="438" customFormat="false" ht="17.15" hidden="false" customHeight="false" outlineLevel="0" collapsed="false">
      <c r="A438" s="0" t="s">
        <v>1063</v>
      </c>
      <c r="B438" s="0" t="s">
        <v>98</v>
      </c>
      <c r="F438" s="6" t="n">
        <f aca="false">Sens!F355+Sens!F376+Sens!F306+Sens!F431*(Sens!F325-Sens!F289)+sbc_r*Sens!F325</f>
        <v>223.940361251391</v>
      </c>
      <c r="G438" s="6" t="n">
        <f aca="false">Sens!G355+Sens!G376+Sens!G306+Sens!G431*(Sens!G325-Sens!G289)+sbc_r*Sens!G325</f>
        <v>273.858355686373</v>
      </c>
      <c r="H438" s="6" t="n">
        <f aca="false">Sens!H355+Sens!H376+Sens!H306+Sens!H431*(Sens!H325-Sens!H289)+sbc_r*Sens!H325</f>
        <v>325.632992506408</v>
      </c>
      <c r="I438" s="6" t="n">
        <f aca="false">Sens!I355+Sens!I376+Sens!I306+Sens!I431*(Sens!I325-Sens!I289)+sbc_r*Sens!I325</f>
        <v>373.476329133895</v>
      </c>
      <c r="J438" s="6" t="n">
        <f aca="false">Sens!J355+Sens!J376+Sens!J306+Sens!J431*(Sens!J325-Sens!J289)+sbc_r*Sens!J325</f>
        <v>412.559702414718</v>
      </c>
      <c r="K438" s="6" t="n">
        <f aca="false">Sens!K355+Sens!K376+Sens!K306+Sens!K431*(Sens!K325-Sens!K289)+sbc_r*Sens!K325</f>
        <v>444.070438639498</v>
      </c>
    </row>
    <row r="439" customFormat="false" ht="17.15" hidden="false" customHeight="false" outlineLevel="0" collapsed="false">
      <c r="A439" s="0" t="s">
        <v>1064</v>
      </c>
      <c r="B439" s="0" t="s">
        <v>98</v>
      </c>
      <c r="F439" s="6" t="n">
        <f aca="false">Sens!F438-Sens!F432-Sens!F433-Sens!F434-Sens!F435-Sens!F437</f>
        <v>61.0156340596736</v>
      </c>
      <c r="G439" s="6" t="n">
        <f aca="false">Sens!G438-Sens!G432-Sens!G433-Sens!G434-Sens!G435-Sens!G437</f>
        <v>73.3720211234655</v>
      </c>
      <c r="H439" s="6" t="n">
        <f aca="false">Sens!H438-Sens!H432-Sens!H433-Sens!H434-Sens!H435-Sens!H437</f>
        <v>86.0881618352416</v>
      </c>
      <c r="I439" s="6" t="n">
        <f aca="false">Sens!I438-Sens!I432-Sens!I433-Sens!I434-Sens!I435-Sens!I437</f>
        <v>98.4872561647193</v>
      </c>
      <c r="J439" s="6" t="n">
        <f aca="false">Sens!J438-Sens!J432-Sens!J433-Sens!J434-Sens!J435-Sens!J437</f>
        <v>109.721503569592</v>
      </c>
      <c r="K439" s="6" t="n">
        <f aca="false">Sens!K438-Sens!K432-Sens!K433-Sens!K434-Sens!K435-Sens!K437</f>
        <v>119.088826916246</v>
      </c>
    </row>
    <row r="440" customFormat="false" ht="17.15" hidden="false" customHeight="false" outlineLevel="0" collapsed="false">
      <c r="A440" s="0" t="s">
        <v>1065</v>
      </c>
      <c r="B440" s="0" t="s">
        <v>98</v>
      </c>
      <c r="F440" s="6" t="n">
        <f aca="false">Sens!F357+Sens!F431*Sens!F332+sbc_r*Sens!F332</f>
        <v>26.1883018536976</v>
      </c>
      <c r="G440" s="6" t="n">
        <f aca="false">Sens!G357+Sens!G431*Sens!G332+sbc_r*Sens!G332</f>
        <v>26.7988692269165</v>
      </c>
      <c r="H440" s="6" t="n">
        <f aca="false">Sens!H357+Sens!H431*Sens!H332+sbc_r*Sens!H332</f>
        <v>27.676651877401</v>
      </c>
      <c r="I440" s="6" t="n">
        <f aca="false">Sens!I357+Sens!I431*Sens!I332+sbc_r*Sens!I332</f>
        <v>28.7919477163856</v>
      </c>
      <c r="J440" s="6" t="n">
        <f aca="false">Sens!J357+Sens!J431*Sens!J332+sbc_r*Sens!J332</f>
        <v>30.1095554599876</v>
      </c>
      <c r="K440" s="6" t="n">
        <f aca="false">Sens!K357+Sens!K431*Sens!K332+sbc_r*Sens!K332</f>
        <v>31.5923355811805</v>
      </c>
    </row>
    <row r="441" customFormat="false" ht="17.15" hidden="false" customHeight="false" outlineLevel="0" collapsed="false">
      <c r="A441" s="0" t="s">
        <v>1066</v>
      </c>
      <c r="B441" s="0" t="s">
        <v>98</v>
      </c>
      <c r="F441" s="6" t="n">
        <f aca="false">(Sens!F440-Sens!F436)*Sens!F328/(Sens!F328+Sens!F330)</f>
        <v>8.21363876839376</v>
      </c>
      <c r="G441" s="6" t="n">
        <f aca="false">(Sens!G440-Sens!G436)*Sens!G328/(Sens!G328+Sens!G330)</f>
        <v>7.81757556948427</v>
      </c>
      <c r="H441" s="6" t="n">
        <f aca="false">(Sens!H440-Sens!H436)*Sens!H328/(Sens!H328+Sens!H330)</f>
        <v>7.58379891746928</v>
      </c>
      <c r="I441" s="6" t="n">
        <f aca="false">(Sens!I440-Sens!I436)*Sens!I328/(Sens!I328+Sens!I330)</f>
        <v>7.49513512835163</v>
      </c>
      <c r="J441" s="6" t="n">
        <f aca="false">(Sens!J440-Sens!J436)*Sens!J328/(Sens!J328+Sens!J330)</f>
        <v>7.53980917061682</v>
      </c>
      <c r="K441" s="6" t="n">
        <f aca="false">(Sens!K440-Sens!K436)*Sens!K328/(Sens!K328+Sens!K330)</f>
        <v>7.71189597463361</v>
      </c>
    </row>
    <row r="442" customFormat="false" ht="17.15" hidden="false" customHeight="false" outlineLevel="0" collapsed="false">
      <c r="A442" s="0" t="s">
        <v>1067</v>
      </c>
      <c r="B442" s="0" t="s">
        <v>98</v>
      </c>
      <c r="F442" s="6" t="n">
        <f aca="false">Sens!F440-Sens!F436-Sens!F441</f>
        <v>6.76955113045481</v>
      </c>
      <c r="G442" s="6" t="n">
        <f aca="false">Sens!G440-Sens!G436-Sens!G441</f>
        <v>6.70200532253647</v>
      </c>
      <c r="H442" s="6" t="n">
        <f aca="false">Sens!H440-Sens!H436-Sens!H441</f>
        <v>6.69446413713431</v>
      </c>
      <c r="I442" s="6" t="n">
        <f aca="false">Sens!I440-Sens!I436-Sens!I441</f>
        <v>6.74504306167234</v>
      </c>
      <c r="J442" s="6" t="n">
        <f aca="false">Sens!J440-Sens!J436-Sens!J441</f>
        <v>6.85031787484545</v>
      </c>
      <c r="K442" s="6" t="n">
        <f aca="false">Sens!K440-Sens!K436-Sens!K441</f>
        <v>7.00666789417688</v>
      </c>
    </row>
    <row r="443" customFormat="false" ht="17.15" hidden="false" customHeight="false" outlineLevel="0" collapsed="false">
      <c r="A443" s="0" t="s">
        <v>1068</v>
      </c>
      <c r="B443" s="0" t="s">
        <v>98</v>
      </c>
      <c r="F443" s="6" t="n">
        <f aca="false">Sens!F437-tax_f*(Sens!F437-Sens!F306)-Sens!F303</f>
        <v>-135.331337520316</v>
      </c>
      <c r="G443" s="6" t="n">
        <f aca="false">Sens!G437-tax_f*(Sens!G437-Sens!G306)-Sens!G303</f>
        <v>-126.858335124219</v>
      </c>
      <c r="H443" s="6" t="n">
        <f aca="false">Sens!H437-tax_f*(Sens!H437-Sens!H306)-Sens!H303</f>
        <v>-106.566851126293</v>
      </c>
      <c r="I443" s="6" t="n">
        <f aca="false">Sens!I437-tax_f*(Sens!I437-Sens!I306)-Sens!I303</f>
        <v>-60.0458706090088</v>
      </c>
      <c r="J443" s="6" t="n">
        <f aca="false">Sens!J437-tax_f*(Sens!J437-Sens!J306)-Sens!J303</f>
        <v>-5.17247769497075</v>
      </c>
      <c r="K443" s="6" t="n">
        <f aca="false">Sens!K437-tax_f*(Sens!K437-Sens!K306)-Sens!K303</f>
        <v>14.5492042643384</v>
      </c>
    </row>
    <row r="444" customFormat="false" ht="17.15" hidden="false" customHeight="false" outlineLevel="0" collapsed="false">
      <c r="A444" s="0" t="s">
        <v>1069</v>
      </c>
      <c r="B444" s="0" t="s">
        <v>98</v>
      </c>
      <c r="F444" s="6" t="n">
        <f aca="false">Sens!F443*Sens!F417</f>
        <v>-128.861602828386</v>
      </c>
      <c r="G444" s="6" t="n">
        <f aca="false">Sens!G443*Sens!G417</f>
        <v>-109.520261487609</v>
      </c>
      <c r="H444" s="6" t="n">
        <f aca="false">Sens!H443*Sens!H417</f>
        <v>-83.4157209274996</v>
      </c>
      <c r="I444" s="6" t="n">
        <f aca="false">Sens!I443*Sens!I417</f>
        <v>-42.6146798497305</v>
      </c>
      <c r="J444" s="6" t="n">
        <f aca="false">Sens!J443*Sens!J417</f>
        <v>-3.32831958294965</v>
      </c>
      <c r="K444" s="6" t="n">
        <f aca="false">Sens!K443*Sens!K417</f>
        <v>8.48820665984914</v>
      </c>
    </row>
    <row r="445" customFormat="false" ht="17.15" hidden="false" customHeight="false" outlineLevel="0" collapsed="false">
      <c r="A445" s="0" t="s">
        <v>1070</v>
      </c>
      <c r="B445" s="0" t="s">
        <v>98</v>
      </c>
      <c r="C445" s="6" t="n">
        <f aca="false">(Sens!K437-Sens!K306)*(1-tax_f)*(1+g_tv)*(1-g_tv/(wacc+ronic_prem))/(wacc-g_tv)/(1+wacc)^(Sens!K416+mid_yr)</f>
        <v>-56.3603756884739</v>
      </c>
    </row>
    <row r="446" customFormat="false" ht="17.15" hidden="false" customHeight="false" outlineLevel="0" collapsed="false">
      <c r="A446" s="1" t="s">
        <v>1071</v>
      </c>
      <c r="B446" s="0" t="s">
        <v>98</v>
      </c>
      <c r="C446" s="6" t="n">
        <f aca="false">(SUM(Sens!F444:K444)+Sens!$C$445)*(1+wacc)^t_roll</f>
        <v>-473.272119756394</v>
      </c>
      <c r="L446" s="11" t="s">
        <v>1072</v>
      </c>
    </row>
    <row r="447" customFormat="false" ht="17.15" hidden="false" customHeight="false" outlineLevel="0" collapsed="false">
      <c r="A447" s="1" t="s">
        <v>1073</v>
      </c>
      <c r="B447" s="0" t="s">
        <v>98</v>
      </c>
      <c r="C447" s="6" t="n">
        <f aca="false">(w_ntm28*Sens!G295+(1-w_ntm28)*Sens!H295)*m_ai</f>
        <v>454.922440830797</v>
      </c>
    </row>
    <row r="448" customFormat="false" ht="17.15" hidden="false" customHeight="false" outlineLevel="0" collapsed="false">
      <c r="A448" s="1" t="s">
        <v>1074</v>
      </c>
      <c r="B448" s="0" t="s">
        <v>98</v>
      </c>
      <c r="C448" s="6" t="n">
        <f aca="false">(w_ntm28*Sens!G439+(1-w_ntm28)*Sens!H439)*m_cloud</f>
        <v>1070.81495830201</v>
      </c>
    </row>
    <row r="449" customFormat="false" ht="17.15" hidden="false" customHeight="false" outlineLevel="0" collapsed="false">
      <c r="A449" s="1" t="s">
        <v>1075</v>
      </c>
      <c r="B449" s="0" t="s">
        <v>98</v>
      </c>
      <c r="C449" s="6" t="n">
        <f aca="false">(w_ntm28*Sens!G432+(1-w_ntm28)*Sens!H432)*m_sw</f>
        <v>1084.50516663972</v>
      </c>
    </row>
    <row r="450" customFormat="false" ht="17.15" hidden="false" customHeight="false" outlineLevel="0" collapsed="false">
      <c r="A450" s="1" t="s">
        <v>1076</v>
      </c>
      <c r="B450" s="0" t="s">
        <v>98</v>
      </c>
      <c r="C450" s="6" t="n">
        <f aca="false">(w_ntm28*Sens!G433+(1-w_ntm28)*Sens!H433)*m_sw</f>
        <v>379.446649868791</v>
      </c>
    </row>
    <row r="451" customFormat="false" ht="17.15" hidden="false" customHeight="false" outlineLevel="0" collapsed="false">
      <c r="A451" s="1" t="s">
        <v>1077</v>
      </c>
      <c r="B451" s="0" t="s">
        <v>98</v>
      </c>
      <c r="C451" s="6" t="n">
        <f aca="false">(w_ntm28*Sens!G434+(1-w_ntm28)*Sens!H434)*m_sw</f>
        <v>109.245833616811</v>
      </c>
    </row>
    <row r="452" customFormat="false" ht="17.15" hidden="false" customHeight="false" outlineLevel="0" collapsed="false">
      <c r="A452" s="1" t="s">
        <v>1078</v>
      </c>
      <c r="B452" s="0" t="s">
        <v>98</v>
      </c>
      <c r="C452" s="6" t="n">
        <f aca="false">(w_ntm28*Sens!G435+(1-w_ntm28)*Sens!H435)*m_sw</f>
        <v>41.6791515554452</v>
      </c>
    </row>
    <row r="453" customFormat="false" ht="17.15" hidden="false" customHeight="false" outlineLevel="0" collapsed="false">
      <c r="A453" s="1" t="s">
        <v>1079</v>
      </c>
      <c r="B453" s="0" t="s">
        <v>98</v>
      </c>
      <c r="C453" s="6" t="n">
        <f aca="false">(w_ntm28*Sens!G436+(1-w_ntm28)*Sens!H436)*m_ads</f>
        <v>115.160236299351</v>
      </c>
    </row>
    <row r="454" customFormat="false" ht="17.15" hidden="false" customHeight="false" outlineLevel="0" collapsed="false">
      <c r="A454" s="1" t="s">
        <v>1080</v>
      </c>
      <c r="B454" s="0" t="s">
        <v>98</v>
      </c>
      <c r="C454" s="6" t="n">
        <f aca="false">(w_ntm28*Sens!G441+(1-w_ntm28)*Sens!H441)*m_game</f>
        <v>97.7814405506301</v>
      </c>
    </row>
    <row r="455" customFormat="false" ht="17.15" hidden="false" customHeight="false" outlineLevel="0" collapsed="false">
      <c r="A455" s="1" t="s">
        <v>1081</v>
      </c>
      <c r="B455" s="0" t="s">
        <v>98</v>
      </c>
      <c r="C455" s="6" t="n">
        <f aca="false">(w_ntm28*Sens!G442+(1-w_ntm28)*Sens!H442)*m_pc</f>
        <v>96.9427395583992</v>
      </c>
    </row>
    <row r="456" customFormat="false" ht="17.15" hidden="false" customHeight="false" outlineLevel="0" collapsed="false">
      <c r="A456" s="1" t="s">
        <v>1082</v>
      </c>
      <c r="B456" s="0" t="s">
        <v>98</v>
      </c>
      <c r="C456" s="6" t="n">
        <f aca="false">Sens!$C$446+Sens!$C$448+Sens!$C$449+Sens!$C$450+Sens!$C$451+Sens!$C$452+Sens!$C$453+Sens!$C$454+Sens!$C$455</f>
        <v>2522.30405663476</v>
      </c>
    </row>
    <row r="457" customFormat="false" ht="17.15" hidden="false" customHeight="false" outlineLevel="0" collapsed="false">
      <c r="A457" s="1" t="s">
        <v>1000</v>
      </c>
      <c r="B457" s="0" t="s">
        <v>98</v>
      </c>
      <c r="C457" s="6" t="n">
        <f aca="false">Sens!F407+oai_v-Sens!F396</f>
        <v>111.253995542787</v>
      </c>
      <c r="L457" s="1" t="s">
        <v>1083</v>
      </c>
    </row>
    <row r="458" customFormat="false" ht="15" hidden="false" customHeight="false" outlineLevel="0" collapsed="false">
      <c r="A458" s="1" t="s">
        <v>1001</v>
      </c>
      <c r="B458" s="0" t="s">
        <v>75</v>
      </c>
      <c r="C458" s="5" t="n">
        <f aca="false">(Sens!$C$456+Sens!$C$457)/Sens!F409</f>
        <v>352.456912764661</v>
      </c>
    </row>
    <row r="459" customFormat="false" ht="17.15" hidden="false" customHeight="false" outlineLevel="0" collapsed="false">
      <c r="A459" s="1" t="s">
        <v>1084</v>
      </c>
      <c r="B459" s="0" t="s">
        <v>75</v>
      </c>
      <c r="C459" s="5" t="n">
        <f aca="false">w_dcf*Sens!$C$430+(1-w_dcf)*Sens!$C$458</f>
        <v>305.591046843727</v>
      </c>
    </row>
    <row r="460" customFormat="false" ht="17.15" hidden="false" customHeight="false" outlineLevel="0" collapsed="false">
      <c r="A460" s="3" t="s">
        <v>1244</v>
      </c>
    </row>
    <row r="461" customFormat="false" ht="15" hidden="false" customHeight="false" outlineLevel="0" collapsed="false">
      <c r="A461" s="4" t="s">
        <v>43</v>
      </c>
      <c r="B461" s="4" t="s">
        <v>65</v>
      </c>
      <c r="C461" s="20" t="s">
        <v>788</v>
      </c>
      <c r="D461" s="20" t="s">
        <v>789</v>
      </c>
      <c r="E461" s="20" t="s">
        <v>790</v>
      </c>
      <c r="F461" s="20" t="s">
        <v>791</v>
      </c>
      <c r="G461" s="20" t="s">
        <v>792</v>
      </c>
      <c r="H461" s="20" t="s">
        <v>793</v>
      </c>
      <c r="I461" s="20" t="s">
        <v>794</v>
      </c>
      <c r="J461" s="20" t="s">
        <v>795</v>
      </c>
      <c r="K461" s="20" t="s">
        <v>796</v>
      </c>
      <c r="L461" s="4" t="s">
        <v>47</v>
      </c>
    </row>
    <row r="462" customFormat="false" ht="17.15" hidden="false" customHeight="false" outlineLevel="0" collapsed="false">
      <c r="A462" s="1" t="s">
        <v>797</v>
      </c>
      <c r="B462" s="1" t="s">
        <v>235</v>
      </c>
      <c r="C462" s="28" t="n">
        <v>2024</v>
      </c>
      <c r="D462" s="28" t="n">
        <v>2025</v>
      </c>
      <c r="E462" s="28" t="n">
        <v>2026</v>
      </c>
      <c r="F462" s="28" t="n">
        <v>2027</v>
      </c>
      <c r="G462" s="28" t="n">
        <v>2028</v>
      </c>
      <c r="H462" s="28" t="n">
        <v>2029</v>
      </c>
      <c r="I462" s="28" t="n">
        <v>2030</v>
      </c>
      <c r="J462" s="28" t="n">
        <v>2031</v>
      </c>
      <c r="K462" s="28" t="n">
        <v>2032</v>
      </c>
    </row>
    <row r="463" customFormat="false" ht="17.15" hidden="false" customHeight="false" outlineLevel="0" collapsed="false">
      <c r="A463" s="1" t="s">
        <v>798</v>
      </c>
      <c r="B463" s="0" t="s">
        <v>392</v>
      </c>
      <c r="F463" s="29" t="n">
        <f aca="false">pace</f>
        <v>2527.2</v>
      </c>
      <c r="G463" s="29" t="n">
        <f aca="false">pace</f>
        <v>2527.2</v>
      </c>
      <c r="H463" s="29" t="n">
        <f aca="false">pace</f>
        <v>2527.2</v>
      </c>
      <c r="I463" s="29" t="n">
        <f aca="false">pace+(g_tv*Sens!H464-pace)*MIN(1,(Sens!I462-pace_y0)/(pace_y1-pace_y0))</f>
        <v>1793.116</v>
      </c>
      <c r="J463" s="29" t="n">
        <f aca="false">pace+(g_tv*Sens!H464-pace)*MIN(1,(Sens!J462-pace_y0)/(pace_y1-pace_y0))</f>
        <v>1059.032</v>
      </c>
      <c r="K463" s="29" t="n">
        <f aca="false">pace+(g_tv*Sens!H464-pace)*MIN(1,(Sens!K462-pace_y0)/(pace_y1-pace_y0))</f>
        <v>324.948</v>
      </c>
      <c r="L463" s="11" t="s">
        <v>799</v>
      </c>
    </row>
    <row r="464" customFormat="false" ht="17.15" hidden="false" customHeight="false" outlineLevel="0" collapsed="false">
      <c r="A464" s="1" t="s">
        <v>800</v>
      </c>
      <c r="B464" s="0" t="s">
        <v>392</v>
      </c>
      <c r="C464" s="29" t="n">
        <f aca="false">mw_ext_24</f>
        <v>640</v>
      </c>
      <c r="D464" s="29" t="n">
        <f aca="false">mw_ext_25</f>
        <v>1630</v>
      </c>
      <c r="E464" s="29" t="n">
        <f aca="false">mw_ext_26</f>
        <v>3250</v>
      </c>
      <c r="F464" s="29" t="n">
        <f aca="false">Sens!E464+Sens!F463</f>
        <v>5777.2</v>
      </c>
      <c r="G464" s="29" t="n">
        <f aca="false">Sens!F464+Sens!G463</f>
        <v>8304.4</v>
      </c>
      <c r="H464" s="29" t="n">
        <f aca="false">Sens!G464+Sens!H463</f>
        <v>10831.6</v>
      </c>
      <c r="I464" s="29" t="n">
        <f aca="false">Sens!H464+Sens!I463</f>
        <v>12624.716</v>
      </c>
      <c r="J464" s="29" t="n">
        <f aca="false">Sens!I464+Sens!J463</f>
        <v>13683.748</v>
      </c>
      <c r="K464" s="29" t="n">
        <f aca="false">Sens!J464+Sens!K463</f>
        <v>14008.696</v>
      </c>
      <c r="L464" s="1" t="s">
        <v>801</v>
      </c>
    </row>
    <row r="465" customFormat="false" ht="17.15" hidden="false" customHeight="false" outlineLevel="0" collapsed="false">
      <c r="A465" s="1" t="s">
        <v>802</v>
      </c>
      <c r="B465" s="0" t="s">
        <v>392</v>
      </c>
      <c r="C465" s="29" t="n">
        <f aca="false">rent_ext_24</f>
        <v>150</v>
      </c>
      <c r="D465" s="29" t="n">
        <f aca="false">rent_ext_25</f>
        <v>400</v>
      </c>
      <c r="E465" s="29" t="n">
        <f aca="false">rent_ext_26</f>
        <v>550</v>
      </c>
      <c r="F465" s="29" t="n">
        <f aca="false">rent_ext_f</f>
        <v>756</v>
      </c>
      <c r="G465" s="29" t="n">
        <f aca="false">rent_ext_f</f>
        <v>756</v>
      </c>
      <c r="H465" s="29" t="n">
        <f aca="false">rent_ext_f</f>
        <v>756</v>
      </c>
      <c r="I465" s="29" t="n">
        <f aca="false">rent_ext_f</f>
        <v>756</v>
      </c>
      <c r="J465" s="29" t="n">
        <f aca="false">rent_ext_f</f>
        <v>756</v>
      </c>
      <c r="K465" s="29" t="n">
        <f aca="false">rent_ext_f</f>
        <v>756</v>
      </c>
      <c r="L465" s="1" t="s">
        <v>803</v>
      </c>
    </row>
    <row r="466" customFormat="false" ht="17.15" hidden="false" customHeight="false" outlineLevel="0" collapsed="false">
      <c r="A466" s="1" t="s">
        <v>804</v>
      </c>
      <c r="B466" s="0" t="s">
        <v>392</v>
      </c>
      <c r="C466" s="29" t="n">
        <f aca="false">Sens!C464-Sens!C465</f>
        <v>490</v>
      </c>
      <c r="D466" s="29" t="n">
        <f aca="false">Sens!D464-Sens!D465</f>
        <v>1230</v>
      </c>
      <c r="E466" s="29" t="n">
        <f aca="false">Sens!E464-Sens!E465</f>
        <v>2700</v>
      </c>
      <c r="F466" s="29" t="n">
        <f aca="false">Sens!F464-Sens!F465</f>
        <v>5021.2</v>
      </c>
      <c r="G466" s="29" t="n">
        <f aca="false">Sens!G464-Sens!G465</f>
        <v>7548.4</v>
      </c>
      <c r="H466" s="29" t="n">
        <f aca="false">Sens!H464-Sens!H465</f>
        <v>10075.6</v>
      </c>
      <c r="I466" s="29" t="n">
        <f aca="false">Sens!I464-Sens!I465</f>
        <v>11868.716</v>
      </c>
      <c r="J466" s="29" t="n">
        <f aca="false">Sens!J464-Sens!J465</f>
        <v>12927.748</v>
      </c>
      <c r="K466" s="29" t="n">
        <f aca="false">Sens!K464-Sens!K465</f>
        <v>13252.696</v>
      </c>
    </row>
    <row r="467" customFormat="false" ht="17.15" hidden="false" customHeight="false" outlineLevel="0" collapsed="false">
      <c r="A467" s="1" t="s">
        <v>805</v>
      </c>
      <c r="B467" s="0" t="s">
        <v>392</v>
      </c>
      <c r="C467" s="29" t="n">
        <f aca="false">Sens!C466/ext_sh</f>
        <v>816.666666666667</v>
      </c>
      <c r="D467" s="29" t="n">
        <f aca="false">Sens!D466/ext_sh</f>
        <v>2050</v>
      </c>
      <c r="E467" s="29" t="n">
        <f aca="false">Sens!E466/ext_sh</f>
        <v>4500</v>
      </c>
      <c r="F467" s="29" t="n">
        <f aca="false">Sens!F466/ext_sh</f>
        <v>8368.66666666667</v>
      </c>
      <c r="G467" s="29" t="n">
        <f aca="false">Sens!G466/ext_sh</f>
        <v>12580.6666666667</v>
      </c>
      <c r="H467" s="29" t="n">
        <f aca="false">Sens!H466/ext_sh</f>
        <v>16792.6666666667</v>
      </c>
      <c r="I467" s="29" t="n">
        <f aca="false">Sens!I466/ext_sh</f>
        <v>19781.1933333333</v>
      </c>
      <c r="J467" s="29" t="n">
        <f aca="false">Sens!J466/ext_sh</f>
        <v>21546.2466666667</v>
      </c>
      <c r="K467" s="29" t="n">
        <f aca="false">Sens!K466/ext_sh</f>
        <v>22087.8266666667</v>
      </c>
      <c r="L467" s="1" t="s">
        <v>806</v>
      </c>
    </row>
    <row r="468" customFormat="false" ht="17.15" hidden="false" customHeight="false" outlineLevel="0" collapsed="false">
      <c r="A468" s="1" t="s">
        <v>807</v>
      </c>
      <c r="B468" s="0" t="s">
        <v>392</v>
      </c>
      <c r="C468" s="29" t="n">
        <f aca="false">Sens!C467-Sens!C466</f>
        <v>326.666666666667</v>
      </c>
      <c r="D468" s="29" t="n">
        <f aca="false">Sens!D467-Sens!D466</f>
        <v>820</v>
      </c>
      <c r="E468" s="29" t="n">
        <f aca="false">Sens!E467-Sens!E466</f>
        <v>1800</v>
      </c>
      <c r="F468" s="29" t="n">
        <f aca="false">Sens!F467-Sens!F466</f>
        <v>3347.46666666667</v>
      </c>
      <c r="G468" s="29" t="n">
        <f aca="false">Sens!G467-Sens!G466</f>
        <v>5032.26666666667</v>
      </c>
      <c r="H468" s="29" t="n">
        <f aca="false">Sens!H467-Sens!H466</f>
        <v>6717.06666666667</v>
      </c>
      <c r="I468" s="29" t="n">
        <f aca="false">Sens!I467-Sens!I466</f>
        <v>7912.47733333333</v>
      </c>
      <c r="J468" s="29" t="n">
        <f aca="false">Sens!J467-Sens!J466</f>
        <v>8618.49866666667</v>
      </c>
      <c r="K468" s="29" t="n">
        <f aca="false">Sens!K467-Sens!K466</f>
        <v>8835.13066666667</v>
      </c>
    </row>
    <row r="469" customFormat="false" ht="17.15" hidden="false" customHeight="false" outlineLevel="0" collapsed="false">
      <c r="A469" s="1" t="s">
        <v>808</v>
      </c>
      <c r="B469" s="0" t="s">
        <v>392</v>
      </c>
      <c r="C469" s="29" t="n">
        <f aca="false">Sens!C467</f>
        <v>816.666666666667</v>
      </c>
      <c r="D469" s="29" t="n">
        <f aca="false">Sens!D467-Sens!C467</f>
        <v>1233.33333333333</v>
      </c>
      <c r="E469" s="29" t="n">
        <f aca="false">Sens!E467-Sens!D467</f>
        <v>2450</v>
      </c>
      <c r="F469" s="29" t="n">
        <f aca="false">Sens!F467-Sens!E467</f>
        <v>3868.66666666667</v>
      </c>
      <c r="G469" s="29" t="n">
        <f aca="false">Sens!G467-Sens!F467</f>
        <v>4212</v>
      </c>
      <c r="H469" s="29" t="n">
        <f aca="false">Sens!H467-Sens!G467</f>
        <v>4212</v>
      </c>
      <c r="I469" s="29" t="n">
        <f aca="false">Sens!I467-Sens!H467</f>
        <v>2988.52666666667</v>
      </c>
      <c r="J469" s="29" t="n">
        <f aca="false">Sens!J467-Sens!I467</f>
        <v>1765.05333333333</v>
      </c>
      <c r="K469" s="29" t="n">
        <f aca="false">Sens!K467-Sens!J467</f>
        <v>541.580000000002</v>
      </c>
    </row>
    <row r="470" customFormat="false" ht="17.15" hidden="false" customHeight="false" outlineLevel="0" collapsed="false">
      <c r="A470" s="1" t="s">
        <v>809</v>
      </c>
      <c r="B470" s="0" t="s">
        <v>392</v>
      </c>
      <c r="D470" s="29" t="n">
        <f aca="false">Sens!D464-Sens!C464</f>
        <v>990</v>
      </c>
      <c r="E470" s="29" t="n">
        <f aca="false">Sens!E464-Sens!D464</f>
        <v>1620</v>
      </c>
      <c r="F470" s="29" t="n">
        <f aca="false">Sens!F464-Sens!E464</f>
        <v>2527.2</v>
      </c>
      <c r="G470" s="29" t="n">
        <f aca="false">Sens!G464-Sens!F464</f>
        <v>2527.2</v>
      </c>
      <c r="H470" s="29" t="n">
        <f aca="false">Sens!H464-Sens!G464</f>
        <v>2527.2</v>
      </c>
      <c r="I470" s="29" t="n">
        <f aca="false">Sens!I464-Sens!H464</f>
        <v>1793.116</v>
      </c>
      <c r="J470" s="29" t="n">
        <f aca="false">Sens!J464-Sens!I464</f>
        <v>1059.032</v>
      </c>
      <c r="K470" s="29" t="n">
        <f aca="false">Sens!K464-Sens!J464</f>
        <v>324.948</v>
      </c>
    </row>
    <row r="471" customFormat="false" ht="17.15" hidden="false" customHeight="false" outlineLevel="0" collapsed="false">
      <c r="A471" s="1" t="s">
        <v>810</v>
      </c>
      <c r="B471" s="0" t="s">
        <v>392</v>
      </c>
      <c r="F471" s="29" t="n">
        <f aca="false">Sens!F488*ext_sh</f>
        <v>0</v>
      </c>
      <c r="G471" s="29" t="n">
        <f aca="false">Sens!G488*ext_sh</f>
        <v>0</v>
      </c>
      <c r="H471" s="29" t="n">
        <f aca="false">Sens!H488*ext_sh</f>
        <v>0</v>
      </c>
      <c r="I471" s="29" t="n">
        <f aca="false">Sens!I488*ext_sh</f>
        <v>490</v>
      </c>
      <c r="J471" s="29" t="n">
        <f aca="false">Sens!J488*ext_sh</f>
        <v>740</v>
      </c>
      <c r="K471" s="29" t="n">
        <f aca="false">Sens!K488*ext_sh</f>
        <v>1470</v>
      </c>
      <c r="L471" s="1" t="s">
        <v>811</v>
      </c>
    </row>
    <row r="472" customFormat="false" ht="17.15" hidden="false" customHeight="false" outlineLevel="0" collapsed="false">
      <c r="A472" s="1" t="s">
        <v>812</v>
      </c>
      <c r="B472" s="0" t="s">
        <v>392</v>
      </c>
      <c r="C472" s="29" t="n">
        <f aca="false">mix_h*Sens!C464</f>
        <v>128</v>
      </c>
      <c r="D472" s="29" t="n">
        <f aca="false">mix_h*Sens!D464</f>
        <v>326</v>
      </c>
      <c r="E472" s="29" t="n">
        <f aca="false">mix_h*Sens!E464</f>
        <v>650</v>
      </c>
      <c r="F472" s="29" t="n">
        <f aca="false">Sens!E472-Sens!F471*mix_h</f>
        <v>650</v>
      </c>
      <c r="G472" s="29" t="n">
        <f aca="false">Sens!F472-Sens!G471*mix_h</f>
        <v>650</v>
      </c>
      <c r="H472" s="29" t="n">
        <f aca="false">Sens!G472-Sens!H471*mix_h</f>
        <v>650</v>
      </c>
      <c r="I472" s="29" t="n">
        <f aca="false">Sens!H472-Sens!I471*mix_h</f>
        <v>552</v>
      </c>
      <c r="J472" s="29" t="n">
        <f aca="false">Sens!I472-Sens!J471*mix_h</f>
        <v>404</v>
      </c>
      <c r="K472" s="29" t="n">
        <f aca="false">Sens!J472-Sens!K471*mix_h</f>
        <v>110</v>
      </c>
    </row>
    <row r="473" customFormat="false" ht="17.15" hidden="false" customHeight="false" outlineLevel="0" collapsed="false">
      <c r="A473" s="1" t="s">
        <v>813</v>
      </c>
      <c r="B473" s="0" t="s">
        <v>392</v>
      </c>
      <c r="C473" s="29" t="n">
        <f aca="false">mix_g2*Sens!C464</f>
        <v>288</v>
      </c>
      <c r="D473" s="29" t="n">
        <f aca="false">mix_g2*Sens!D464</f>
        <v>733.5</v>
      </c>
      <c r="E473" s="29" t="n">
        <f aca="false">mix_g2*Sens!E464</f>
        <v>1462.5</v>
      </c>
      <c r="F473" s="29" t="n">
        <f aca="false">Sens!E473-Sens!F471*mix_g2</f>
        <v>1462.5</v>
      </c>
      <c r="G473" s="29" t="n">
        <f aca="false">Sens!F473-Sens!G471*mix_g2</f>
        <v>1462.5</v>
      </c>
      <c r="H473" s="29" t="n">
        <f aca="false">Sens!G473-Sens!H471*mix_g2</f>
        <v>1462.5</v>
      </c>
      <c r="I473" s="29" t="n">
        <f aca="false">Sens!H473-Sens!I471*mix_g2</f>
        <v>1242</v>
      </c>
      <c r="J473" s="29" t="n">
        <f aca="false">Sens!I473-Sens!J471*mix_g2</f>
        <v>909</v>
      </c>
      <c r="K473" s="29" t="n">
        <f aca="false">Sens!J473-Sens!K471*mix_g2</f>
        <v>247.5</v>
      </c>
    </row>
    <row r="474" customFormat="false" ht="17.15" hidden="false" customHeight="false" outlineLevel="0" collapsed="false">
      <c r="A474" s="1" t="s">
        <v>814</v>
      </c>
      <c r="B474" s="0" t="s">
        <v>392</v>
      </c>
      <c r="C474" s="29" t="n">
        <f aca="false">mix_g3*Sens!C464</f>
        <v>224</v>
      </c>
      <c r="D474" s="29" t="n">
        <f aca="false">mix_g3*Sens!D464</f>
        <v>570.5</v>
      </c>
      <c r="E474" s="29" t="n">
        <f aca="false">mix_g3*Sens!E464</f>
        <v>1137.5</v>
      </c>
      <c r="F474" s="29" t="n">
        <f aca="false">Sens!E474+(Sens!F470+Sens!F471)*a_g3_27-Sens!F471*mix_g3</f>
        <v>2906.54</v>
      </c>
      <c r="G474" s="29" t="n">
        <f aca="false">Sens!F474+(Sens!G470+Sens!G471)*a_g3_28-Sens!G471*mix_g3</f>
        <v>3664.7</v>
      </c>
      <c r="H474" s="29" t="n">
        <f aca="false">Sens!G474+(Sens!H470+Sens!H471)*a_g3_29-Sens!H471*mix_g3</f>
        <v>3917.42</v>
      </c>
      <c r="I474" s="29" t="n">
        <f aca="false">Sens!H474+(Sens!I470+Sens!I471)*a_g3_29-Sens!I471*mix_g3</f>
        <v>3974.2316</v>
      </c>
      <c r="J474" s="29" t="n">
        <f aca="false">Sens!I474+(Sens!J470+Sens!J471)*a_g3_29-Sens!J471*mix_g3</f>
        <v>3895.1348</v>
      </c>
      <c r="K474" s="29" t="n">
        <f aca="false">Sens!J474+(Sens!K470+Sens!K471)*a_g3_29-Sens!K471*mix_g3</f>
        <v>3560.1296</v>
      </c>
    </row>
    <row r="475" customFormat="false" ht="17.15" hidden="false" customHeight="false" outlineLevel="0" collapsed="false">
      <c r="A475" s="1" t="s">
        <v>815</v>
      </c>
      <c r="B475" s="0" t="s">
        <v>392</v>
      </c>
      <c r="C475" s="29" t="n">
        <v>0</v>
      </c>
      <c r="D475" s="29" t="n">
        <v>0</v>
      </c>
      <c r="E475" s="29" t="n">
        <v>0</v>
      </c>
      <c r="F475" s="29" t="n">
        <f aca="false">Sens!E475+(Sens!F470+Sens!F471)*(1-a_g3_27)</f>
        <v>758.16</v>
      </c>
      <c r="G475" s="29" t="n">
        <f aca="false">Sens!F475+(Sens!G470+Sens!G471)*(1-a_g3_28)</f>
        <v>2527.2</v>
      </c>
      <c r="H475" s="29" t="n">
        <f aca="false">Sens!G475+(Sens!H470+Sens!H471)*(1-a_g3_29)</f>
        <v>4801.68</v>
      </c>
      <c r="I475" s="29" t="n">
        <f aca="false">Sens!H475+(Sens!I470+Sens!I471)*(1-a_g3_29)</f>
        <v>6856.4844</v>
      </c>
      <c r="J475" s="29" t="n">
        <f aca="false">Sens!I475+(Sens!J470+Sens!J471)*(1-a_g3_29)</f>
        <v>8475.6132</v>
      </c>
      <c r="K475" s="29" t="n">
        <f aca="false">Sens!J475+(Sens!K470+Sens!K471)*(1-a_g3_29)</f>
        <v>10091.0664</v>
      </c>
    </row>
    <row r="476" customFormat="false" ht="17.15" hidden="false" customHeight="false" outlineLevel="0" collapsed="false">
      <c r="A476" s="1" t="s">
        <v>816</v>
      </c>
      <c r="B476" s="0" t="s">
        <v>339</v>
      </c>
      <c r="C476" s="14" t="n">
        <f aca="false">(Sens!C472*tk_hold_h100+Sens!C473*tk_hold_gb200+Sens!C474*tk_hold_gb300+Sens!C475*tk_hold_vr200)/Sens!C464</f>
        <v>9.7235358126469</v>
      </c>
      <c r="D476" s="14" t="n">
        <f aca="false">(Sens!D472*tk_hold_h100+Sens!D473*tk_hold_gb200+Sens!D474*tk_hold_gb300+Sens!D475*tk_hold_vr200)/Sens!D464</f>
        <v>9.7235358126469</v>
      </c>
      <c r="E476" s="14" t="n">
        <f aca="false">(Sens!E472*tk_hold_h100+Sens!E473*tk_hold_gb200+Sens!E474*tk_hold_gb300+Sens!E475*tk_hold_vr200)/Sens!E464</f>
        <v>9.7235358126469</v>
      </c>
      <c r="F476" s="14" t="n">
        <f aca="false">(Sens!F472*tk_hold_h100+Sens!F473*tk_hold_gb200+Sens!F474*tk_hold_gb300+Sens!F475*tk_hold_vr200)/Sens!F464</f>
        <v>10.4079573161931</v>
      </c>
      <c r="G476" s="14" t="n">
        <f aca="false">(Sens!G472*tk_hold_h100+Sens!G473*tk_hold_gb200+Sens!G474*tk_hold_gb300+Sens!G475*tk_hold_vr200)/Sens!G464</f>
        <v>10.8388131109316</v>
      </c>
      <c r="H476" s="14" t="n">
        <f aca="false">(Sens!H472*tk_hold_h100+Sens!H473*tk_hold_gb200+Sens!H474*tk_hold_gb300+Sens!H475*tk_hold_vr200)/Sens!H464</f>
        <v>11.1311018388216</v>
      </c>
      <c r="I476" s="14" t="n">
        <f aca="false">(Sens!I472*tk_hold_h100+Sens!I473*tk_hold_gb200+Sens!I474*tk_hold_gb300+Sens!I475*tk_hold_vr200)/Sens!I464</f>
        <v>11.3594282560989</v>
      </c>
      <c r="J476" s="14" t="n">
        <f aca="false">(Sens!J472*tk_hold_h100+Sens!J473*tk_hold_gb200+Sens!J474*tk_hold_gb300+Sens!J475*tk_hold_vr200)/Sens!J464</f>
        <v>11.5441508808221</v>
      </c>
      <c r="K476" s="14" t="n">
        <f aca="false">(Sens!K472*tk_hold_h100+Sens!K473*tk_hold_gb200+Sens!K474*tk_hold_gb300+Sens!K475*tk_hold_vr200)/Sens!K464</f>
        <v>11.8053375063575</v>
      </c>
    </row>
    <row r="477" customFormat="false" ht="17.15" hidden="false" customHeight="false" outlineLevel="0" collapsed="false">
      <c r="A477" s="0" t="s">
        <v>817</v>
      </c>
      <c r="B477" s="0" t="s">
        <v>185</v>
      </c>
      <c r="C477" s="14" t="n">
        <f aca="false">k_B</f>
        <v>1.17213932619116</v>
      </c>
      <c r="D477" s="14" t="n">
        <f aca="false">k_B</f>
        <v>1.17213932619116</v>
      </c>
      <c r="E477" s="14" t="n">
        <f aca="false">k_B</f>
        <v>1.17213932619116</v>
      </c>
      <c r="F477" s="14" t="n">
        <f aca="false">(k_B+((ls_C*k_long+(1-ls_C)*k_spot)-k_B)*MIN(1,(Sens!F462-base_fy)/k_ramp))</f>
        <v>1.07843258004497</v>
      </c>
      <c r="G477" s="14" t="n">
        <f aca="false">(k_B+((ls_C*k_long+(1-ls_C)*k_spot)-k_B)*MIN(1,(Sens!G462-base_fy)/k_ramp))</f>
        <v>0.984725833898784</v>
      </c>
      <c r="H477" s="14" t="n">
        <f aca="false">(k_B+((ls_C*k_long+(1-ls_C)*k_spot)-k_B)*MIN(1,(Sens!H462-base_fy)/k_ramp))</f>
        <v>0.891019087752599</v>
      </c>
      <c r="I477" s="14" t="n">
        <f aca="false">(k_B+((ls_C*k_long+(1-ls_C)*k_spot)-k_B)*MIN(1,(Sens!I462-base_fy)/k_ramp))</f>
        <v>0.891019087752599</v>
      </c>
      <c r="J477" s="14" t="n">
        <f aca="false">(k_B+((ls_C*k_long+(1-ls_C)*k_spot)-k_B)*MIN(1,(Sens!J462-base_fy)/k_ramp))</f>
        <v>0.891019087752599</v>
      </c>
      <c r="K477" s="14" t="n">
        <f aca="false">(k_B+((ls_C*k_long+(1-ls_C)*k_spot)-k_B)*MIN(1,(Sens!K462-base_fy)/k_ramp))</f>
        <v>0.891019087752599</v>
      </c>
      <c r="L477" s="1" t="s">
        <v>818</v>
      </c>
    </row>
    <row r="478" customFormat="false" ht="17.15" hidden="false" customHeight="false" outlineLevel="0" collapsed="false">
      <c r="A478" s="1" t="s">
        <v>819</v>
      </c>
      <c r="B478" s="0" t="s">
        <v>339</v>
      </c>
      <c r="C478" s="14" t="n">
        <f aca="false">Sens!C476*Sens!C477*chip_f</f>
        <v>11.3973387156315</v>
      </c>
      <c r="D478" s="14" t="n">
        <f aca="false">Sens!D476*Sens!D477*chip_f</f>
        <v>11.3973387156315</v>
      </c>
      <c r="E478" s="14" t="n">
        <f aca="false">Sens!E476*Sens!E477*chip_f</f>
        <v>11.3973387156315</v>
      </c>
      <c r="F478" s="14" t="n">
        <f aca="false">Sens!F476*Sens!F477*chip_f</f>
        <v>11.2242802615</v>
      </c>
      <c r="G478" s="14" t="n">
        <f aca="false">Sens!G476*Sens!G477*chip_f</f>
        <v>10.6732592791352</v>
      </c>
      <c r="H478" s="14" t="n">
        <f aca="false">Sens!H476*Sens!H477*chip_f</f>
        <v>9.91802420610807</v>
      </c>
      <c r="I478" s="14" t="n">
        <f aca="false">Sens!I476*Sens!I477*chip_f</f>
        <v>10.1214674021403</v>
      </c>
      <c r="J478" s="14" t="n">
        <f aca="false">Sens!J476*Sens!J477*chip_f</f>
        <v>10.2860587867084</v>
      </c>
      <c r="K478" s="14" t="n">
        <f aca="false">Sens!K476*Sens!K477*chip_f</f>
        <v>10.5187810555262</v>
      </c>
      <c r="L478" s="1" t="s">
        <v>820</v>
      </c>
    </row>
    <row r="479" customFormat="false" ht="17.15" hidden="false" customHeight="false" outlineLevel="0" collapsed="false">
      <c r="A479" s="0" t="s">
        <v>821</v>
      </c>
      <c r="B479" s="0" t="s">
        <v>98</v>
      </c>
      <c r="D479" s="6" t="n">
        <f aca="false">(Sens!C464+Sens!D464)/2*Sens!D478/1000</f>
        <v>12.9359794422418</v>
      </c>
      <c r="E479" s="6" t="n">
        <f aca="false">(Sens!D464+Sens!E464)/2*Sens!E478/1000</f>
        <v>27.8095064661409</v>
      </c>
      <c r="F479" s="6" t="n">
        <f aca="false">(Sens!E464+Sens!F464)/2*Sens!F478/1000</f>
        <v>50.6619113883066</v>
      </c>
      <c r="G479" s="6" t="n">
        <f aca="false">(Sens!F464+Sens!G464)/2*Sens!G478/1000</f>
        <v>75.1482839325348</v>
      </c>
      <c r="H479" s="6" t="n">
        <f aca="false">(Sens!G464+Sens!H464)/2*Sens!H478/1000</f>
        <v>94.895655604042</v>
      </c>
      <c r="I479" s="6" t="n">
        <f aca="false">(Sens!H464+Sens!I464)/2*Sens!I478/1000</f>
        <v>118.706168884151</v>
      </c>
      <c r="J479" s="6" t="n">
        <f aca="false">(Sens!I464+Sens!J464)/2*Sens!J478/1000</f>
        <v>135.305203646001</v>
      </c>
      <c r="K479" s="6" t="n">
        <f aca="false">(Sens!J464+Sens!K464)/2*Sens!K478/1000</f>
        <v>145.64537766421</v>
      </c>
      <c r="L479" s="11" t="s">
        <v>822</v>
      </c>
    </row>
    <row r="480" customFormat="false" ht="17.15" hidden="false" customHeight="false" outlineLevel="0" collapsed="false">
      <c r="A480" s="1" t="s">
        <v>823</v>
      </c>
      <c r="B480" s="0" t="s">
        <v>339</v>
      </c>
      <c r="C480" s="14" t="n">
        <f aca="false">(Sens!C472*tk_opex_h100+Sens!C473*tk_opex_gb200+Sens!C474*tk_opex_gb300+Sens!C475*tk_opex_vr200)/Sens!C464</f>
        <v>1.88636041306092</v>
      </c>
      <c r="D480" s="14" t="n">
        <f aca="false">(Sens!D472*tk_opex_h100+Sens!D473*tk_opex_gb200+Sens!D474*tk_opex_gb300+Sens!D475*tk_opex_vr200)/Sens!D464</f>
        <v>1.88636041306092</v>
      </c>
      <c r="E480" s="14" t="n">
        <f aca="false">(Sens!E472*tk_opex_h100+Sens!E473*tk_opex_gb200+Sens!E474*tk_opex_gb300+Sens!E475*tk_opex_vr200)/Sens!E464</f>
        <v>1.88636041306092</v>
      </c>
      <c r="F480" s="14" t="n">
        <f aca="false">(Sens!F472*tk_opex_h100+Sens!F473*tk_opex_gb200+Sens!F474*tk_opex_gb300+Sens!F475*tk_opex_vr200)/Sens!F464</f>
        <v>1.9430236476499</v>
      </c>
      <c r="G480" s="14" t="n">
        <f aca="false">(Sens!G472*tk_opex_h100+Sens!G473*tk_opex_gb200+Sens!G474*tk_opex_gb300+Sens!G475*tk_opex_vr200)/Sens!G464</f>
        <v>1.9786941852423</v>
      </c>
      <c r="H480" s="14" t="n">
        <f aca="false">(Sens!H472*tk_opex_h100+Sens!H473*tk_opex_gb200+Sens!H474*tk_opex_gb300+Sens!H475*tk_opex_vr200)/Sens!H464</f>
        <v>2.00289275976156</v>
      </c>
      <c r="I480" s="14" t="n">
        <f aca="false">(Sens!I472*tk_opex_h100+Sens!I473*tk_opex_gb200+Sens!I474*tk_opex_gb300+Sens!I475*tk_opex_vr200)/Sens!I464</f>
        <v>2.02179589661219</v>
      </c>
      <c r="J480" s="14" t="n">
        <f aca="false">(Sens!J472*tk_opex_h100+Sens!J473*tk_opex_gb200+Sens!J474*tk_opex_gb300+Sens!J475*tk_opex_vr200)/Sens!J464</f>
        <v>2.03708907685909</v>
      </c>
      <c r="K480" s="14" t="n">
        <f aca="false">(Sens!K472*tk_opex_h100+Sens!K473*tk_opex_gb200+Sens!K474*tk_opex_gb300+Sens!K475*tk_opex_vr200)/Sens!K464</f>
        <v>2.05871270931005</v>
      </c>
    </row>
    <row r="481" customFormat="false" ht="17.15" hidden="false" customHeight="false" outlineLevel="0" collapsed="false">
      <c r="A481" s="0" t="s">
        <v>824</v>
      </c>
      <c r="B481" s="0" t="s">
        <v>98</v>
      </c>
      <c r="D481" s="6" t="n">
        <f aca="false">(Sens!C467+Sens!D467)/2*Sens!D480/1000</f>
        <v>2.70378325872065</v>
      </c>
      <c r="E481" s="6" t="n">
        <f aca="false">(Sens!D467+Sens!E467)/2*Sens!E480/1000</f>
        <v>6.17783035277451</v>
      </c>
      <c r="F481" s="6" t="n">
        <f aca="false">(Sens!E467+Sens!F467)/2*Sens!F480/1000</f>
        <v>12.5020618235287</v>
      </c>
      <c r="G481" s="6" t="n">
        <f aca="false">(Sens!F467+Sens!G467)/2*Sens!G480/1000</f>
        <v>20.7261620256847</v>
      </c>
      <c r="H481" s="6" t="n">
        <f aca="false">(Sens!G467+Sens!H467)/2*Sens!H480/1000</f>
        <v>29.4158183316982</v>
      </c>
      <c r="I481" s="6" t="n">
        <f aca="false">(Sens!H467+Sens!I467)/2*Sens!I480/1000</f>
        <v>36.9724400356344</v>
      </c>
      <c r="J481" s="6" t="n">
        <f aca="false">(Sens!I467+Sens!J467)/2*Sens!J480/1000</f>
        <v>42.0938382992747</v>
      </c>
      <c r="K481" s="6" t="n">
        <f aca="false">(Sens!J467+Sens!K467)/2*Sens!K480/1000</f>
        <v>44.9150106651501</v>
      </c>
    </row>
    <row r="482" customFormat="false" ht="17.15" hidden="false" customHeight="false" outlineLevel="0" collapsed="false">
      <c r="A482" s="0" t="s">
        <v>825</v>
      </c>
      <c r="B482" s="0" t="s">
        <v>98</v>
      </c>
      <c r="D482" s="6" t="n">
        <f aca="false">(Sens!C465+Sens!D465)/2*rent_mw/1000</f>
        <v>2.44475</v>
      </c>
      <c r="E482" s="6" t="n">
        <f aca="false">(Sens!D465+Sens!E465)/2*rent_mw/1000</f>
        <v>4.22275</v>
      </c>
      <c r="F482" s="6" t="n">
        <f aca="false">(Sens!E465+Sens!F465)/2*rent_mw/1000</f>
        <v>5.80517</v>
      </c>
      <c r="G482" s="6" t="n">
        <f aca="false">(Sens!F465+Sens!G465)/2*rent_mw/1000</f>
        <v>6.72084</v>
      </c>
      <c r="H482" s="6" t="n">
        <f aca="false">(Sens!G465+Sens!H465)/2*rent_mw/1000</f>
        <v>6.72084</v>
      </c>
      <c r="I482" s="6" t="n">
        <f aca="false">(Sens!H465+Sens!I465)/2*rent_mw/1000</f>
        <v>6.72084</v>
      </c>
      <c r="J482" s="6" t="n">
        <f aca="false">(Sens!I465+Sens!J465)/2*rent_mw/1000</f>
        <v>6.72084</v>
      </c>
      <c r="K482" s="6" t="n">
        <f aca="false">(Sens!J465+Sens!K465)/2*rent_mw/1000</f>
        <v>6.72084</v>
      </c>
    </row>
    <row r="483" customFormat="false" ht="17.15" hidden="false" customHeight="false" outlineLevel="0" collapsed="false">
      <c r="A483" s="0" t="s">
        <v>826</v>
      </c>
      <c r="B483" s="0" t="s">
        <v>98</v>
      </c>
      <c r="D483" s="6" t="n">
        <f aca="false">(Sens!C467+Sens!D467)/2*(1-self_build)*fac_rent/1000</f>
        <v>0.853242375631075</v>
      </c>
      <c r="E483" s="6" t="n">
        <f aca="false">(Sens!D467+Sens!E467)/2*(1-self_build)*fac_rent/1000</f>
        <v>1.94955961408728</v>
      </c>
      <c r="F483" s="6" t="n">
        <f aca="false">(Sens!E467+Sens!F467)/2*(1-self_build)*fac_rent/1000</f>
        <v>3.83026455274573</v>
      </c>
      <c r="G483" s="6" t="n">
        <f aca="false">(Sens!F467+Sens!G467)/2*(1-self_build)*fac_rent/1000</f>
        <v>6.23541590972812</v>
      </c>
      <c r="H483" s="6" t="n">
        <f aca="false">(Sens!G467+Sens!H467)/2*(1-self_build)*fac_rent/1000</f>
        <v>8.74275792332679</v>
      </c>
      <c r="I483" s="6" t="n">
        <f aca="false">(Sens!H467+Sens!I467)/2*(1-self_build)*fac_rent/1000</f>
        <v>10.8859420438599</v>
      </c>
      <c r="J483" s="6" t="n">
        <f aca="false">(Sens!I467+Sens!J467)/2*(1-self_build)*fac_rent/1000</f>
        <v>12.3008103782619</v>
      </c>
      <c r="K483" s="6" t="n">
        <f aca="false">(Sens!J467+Sens!K467)/2*(1-self_build)*fac_rent/1000</f>
        <v>12.9873629265328</v>
      </c>
      <c r="L483" s="11" t="s">
        <v>827</v>
      </c>
    </row>
    <row r="484" customFormat="false" ht="17.15" hidden="false" customHeight="false" outlineLevel="0" collapsed="false">
      <c r="A484" s="1" t="s">
        <v>828</v>
      </c>
      <c r="B484" s="0" t="s">
        <v>129</v>
      </c>
      <c r="D484" s="7" t="n">
        <f aca="false">(Sens!C466+Sens!D466)/(Sens!C467+Sens!D467)</f>
        <v>0.6</v>
      </c>
      <c r="E484" s="7" t="n">
        <f aca="false">(Sens!D466+Sens!E466)/(Sens!D467+Sens!E467)</f>
        <v>0.6</v>
      </c>
      <c r="F484" s="7" t="n">
        <f aca="false">(Sens!E466+Sens!F466)/(Sens!E467+Sens!F467)</f>
        <v>0.6</v>
      </c>
      <c r="G484" s="7" t="n">
        <f aca="false">(Sens!F466+Sens!G466)/(Sens!F467+Sens!G467)</f>
        <v>0.6</v>
      </c>
      <c r="H484" s="7" t="n">
        <f aca="false">(Sens!G466+Sens!H466)/(Sens!G467+Sens!H467)</f>
        <v>0.6</v>
      </c>
      <c r="I484" s="7" t="n">
        <f aca="false">(Sens!H466+Sens!I466)/(Sens!H467+Sens!I467)</f>
        <v>0.6</v>
      </c>
      <c r="J484" s="7" t="n">
        <f aca="false">(Sens!I466+Sens!J466)/(Sens!I467+Sens!J467)</f>
        <v>0.6</v>
      </c>
      <c r="K484" s="7" t="n">
        <f aca="false">(Sens!J466+Sens!K466)/(Sens!J467+Sens!K467)</f>
        <v>0.6</v>
      </c>
    </row>
    <row r="485" customFormat="false" ht="17.15" hidden="false" customHeight="false" outlineLevel="0" collapsed="false">
      <c r="A485" s="0" t="s">
        <v>829</v>
      </c>
      <c r="B485" s="0" t="s">
        <v>98</v>
      </c>
      <c r="D485" s="6" t="n">
        <f aca="false">Sens!D479-Sens!D484*(Sens!D481+Sens!D483)-Sens!D482</f>
        <v>8.35701406163072</v>
      </c>
      <c r="E485" s="6" t="n">
        <f aca="false">Sens!E479-Sens!E484*(Sens!E481+Sens!E483)-Sens!E482</f>
        <v>18.7103224860238</v>
      </c>
      <c r="F485" s="6" t="n">
        <f aca="false">Sens!F479-Sens!F484*(Sens!F481+Sens!F483)-Sens!F482</f>
        <v>35.0573455625419</v>
      </c>
      <c r="G485" s="6" t="n">
        <f aca="false">Sens!G479-Sens!G484*(Sens!G481+Sens!G483)-Sens!G482</f>
        <v>52.2504971712871</v>
      </c>
      <c r="H485" s="6" t="n">
        <f aca="false">Sens!H479-Sens!H484*(Sens!H481+Sens!H483)-Sens!H482</f>
        <v>65.2796698510271</v>
      </c>
      <c r="I485" s="6" t="n">
        <f aca="false">Sens!I479-Sens!I484*(Sens!I481+Sens!I483)-Sens!I482</f>
        <v>83.2702996364549</v>
      </c>
      <c r="J485" s="6" t="n">
        <f aca="false">Sens!J479-Sens!J484*(Sens!J481+Sens!J483)-Sens!J482</f>
        <v>95.9475744394793</v>
      </c>
      <c r="K485" s="6" t="n">
        <f aca="false">Sens!K479-Sens!K484*(Sens!K481+Sens!K483)-Sens!K482</f>
        <v>104.1831135092</v>
      </c>
    </row>
    <row r="486" customFormat="false" ht="17.15" hidden="false" customHeight="false" outlineLevel="0" collapsed="false">
      <c r="A486" s="1" t="s">
        <v>830</v>
      </c>
      <c r="B486" s="0" t="s">
        <v>98</v>
      </c>
      <c r="D486" s="6" t="n">
        <f aca="false">(1-Sens!D484)*(Sens!D481+Sens!D483)</f>
        <v>1.42281025374069</v>
      </c>
      <c r="E486" s="6" t="n">
        <f aca="false">(1-Sens!E484)*(Sens!E481+Sens!E483)</f>
        <v>3.25095598674472</v>
      </c>
      <c r="F486" s="6" t="n">
        <f aca="false">(1-Sens!F484)*(Sens!F481+Sens!F483)</f>
        <v>6.53293055050977</v>
      </c>
      <c r="G486" s="6" t="n">
        <f aca="false">(1-Sens!G484)*(Sens!G481+Sens!G483)</f>
        <v>10.7846311741651</v>
      </c>
      <c r="H486" s="6" t="n">
        <f aca="false">(1-Sens!H484)*(Sens!H481+Sens!H483)</f>
        <v>15.26343050201</v>
      </c>
      <c r="I486" s="6" t="n">
        <f aca="false">(1-Sens!I484)*(Sens!I481+Sens!I483)</f>
        <v>19.1433528317977</v>
      </c>
      <c r="J486" s="6" t="n">
        <f aca="false">(1-Sens!J484)*(Sens!J481+Sens!J483)</f>
        <v>21.7578594710146</v>
      </c>
      <c r="K486" s="6" t="n">
        <f aca="false">(1-Sens!K484)*(Sens!K481+Sens!K483)</f>
        <v>23.1609494366731</v>
      </c>
    </row>
    <row r="487" customFormat="false" ht="17.15" hidden="false" customHeight="false" outlineLevel="0" collapsed="false">
      <c r="A487" s="1" t="s">
        <v>831</v>
      </c>
      <c r="B487" s="0" t="s">
        <v>350</v>
      </c>
      <c r="C487" s="8" t="n">
        <f aca="false">cxit_open</f>
        <v>27.5918995</v>
      </c>
      <c r="D487" s="8" t="n">
        <f aca="false">cxit_open</f>
        <v>27.5918995</v>
      </c>
      <c r="E487" s="8" t="n">
        <f aca="false">cxit_open</f>
        <v>27.5918995</v>
      </c>
      <c r="F487" s="8" t="n">
        <f aca="false">(a_g3_27*tk_cxit_gb300+(1-a_g3_27)*tk_cxit_vr200)</f>
        <v>33.8419624</v>
      </c>
      <c r="G487" s="8" t="n">
        <f aca="false">(a_g3_28*tk_cxit_gb300+(1-a_g3_28)*tk_cxit_vr200)</f>
        <v>35.9816136</v>
      </c>
      <c r="H487" s="8" t="n">
        <f aca="false">(a_g3_29*tk_cxit_gb300+(1-a_g3_29)*tk_cxit_vr200)</f>
        <v>37.0514392</v>
      </c>
      <c r="I487" s="8" t="n">
        <f aca="false">(a_g3_29*tk_cxit_gb300+(1-a_g3_29)*tk_cxit_vr200)</f>
        <v>37.0514392</v>
      </c>
      <c r="J487" s="8" t="n">
        <f aca="false">(a_g3_29*tk_cxit_gb300+(1-a_g3_29)*tk_cxit_vr200)</f>
        <v>37.0514392</v>
      </c>
      <c r="K487" s="8" t="n">
        <f aca="false">(a_g3_29*tk_cxit_gb300+(1-a_g3_29)*tk_cxit_vr200)</f>
        <v>37.0514392</v>
      </c>
      <c r="L487" s="11" t="s">
        <v>832</v>
      </c>
    </row>
    <row r="488" customFormat="false" ht="17.15" hidden="false" customHeight="false" outlineLevel="0" collapsed="false">
      <c r="A488" s="0" t="s">
        <v>833</v>
      </c>
      <c r="B488" s="0" t="s">
        <v>392</v>
      </c>
      <c r="F488" s="29" t="n">
        <f aca="false">Sens!C469*IF(Sens!F462-Sens!C462=life_it,1,0)+Sens!D469*IF(Sens!F462-Sens!D462=life_it,1,0)+Sens!E469*IF(Sens!F462-Sens!E462=life_it,1,0)</f>
        <v>0</v>
      </c>
      <c r="G488" s="29" t="n">
        <f aca="false">Sens!C469*IF(Sens!G462-Sens!C462=life_it,1,0)+Sens!D469*IF(Sens!G462-Sens!D462=life_it,1,0)+Sens!E469*IF(Sens!G462-Sens!E462=life_it,1,0)+Sens!F469*IF(Sens!G462-Sens!F462=life_it,1,0)</f>
        <v>0</v>
      </c>
      <c r="H488" s="29" t="n">
        <f aca="false">Sens!C469*IF(Sens!H462-Sens!C462=life_it,1,0)+Sens!D469*IF(Sens!H462-Sens!D462=life_it,1,0)+Sens!E469*IF(Sens!H462-Sens!E462=life_it,1,0)+Sens!F469*IF(Sens!H462-Sens!F462=life_it,1,0)+Sens!G469*IF(Sens!H462-Sens!G462=life_it,1,0)</f>
        <v>0</v>
      </c>
      <c r="I488" s="29" t="n">
        <f aca="false">Sens!C469*IF(Sens!I462-Sens!C462=life_it,1,0)+Sens!D469*IF(Sens!I462-Sens!D462=life_it,1,0)+Sens!E469*IF(Sens!I462-Sens!E462=life_it,1,0)+Sens!F469*IF(Sens!I462-Sens!F462=life_it,1,0)+Sens!G469*IF(Sens!I462-Sens!G462=life_it,1,0)+Sens!H469*IF(Sens!I462-Sens!H462=life_it,1,0)</f>
        <v>816.666666666667</v>
      </c>
      <c r="J488" s="29" t="n">
        <f aca="false">Sens!C469*IF(Sens!J462-Sens!C462=life_it,1,0)+Sens!D469*IF(Sens!J462-Sens!D462=life_it,1,0)+Sens!E469*IF(Sens!J462-Sens!E462=life_it,1,0)+Sens!F469*IF(Sens!J462-Sens!F462=life_it,1,0)+Sens!G469*IF(Sens!J462-Sens!G462=life_it,1,0)+Sens!H469*IF(Sens!J462-Sens!H462=life_it,1,0)+Sens!I469*IF(Sens!J462-Sens!I462=life_it,1,0)</f>
        <v>1233.33333333333</v>
      </c>
      <c r="K488" s="29" t="n">
        <f aca="false">Sens!C469*IF(Sens!K462-Sens!C462=life_it,1,0)+Sens!D469*IF(Sens!K462-Sens!D462=life_it,1,0)+Sens!E469*IF(Sens!K462-Sens!E462=life_it,1,0)+Sens!F469*IF(Sens!K462-Sens!F462=life_it,1,0)+Sens!G469*IF(Sens!K462-Sens!G462=life_it,1,0)+Sens!H469*IF(Sens!K462-Sens!H462=life_it,1,0)+Sens!I469*IF(Sens!K462-Sens!I462=life_it,1,0)+Sens!J469*IF(Sens!K462-Sens!J462=life_it,1,0)</f>
        <v>2450</v>
      </c>
      <c r="L488" s="1" t="s">
        <v>834</v>
      </c>
    </row>
    <row r="489" customFormat="false" ht="17.15" hidden="false" customHeight="false" outlineLevel="0" collapsed="false">
      <c r="A489" s="0" t="s">
        <v>835</v>
      </c>
      <c r="B489" s="0" t="s">
        <v>98</v>
      </c>
      <c r="C489" s="6" t="n">
        <f aca="false">Sens!C469*Sens!C487/1000</f>
        <v>22.5333845916667</v>
      </c>
      <c r="D489" s="6" t="n">
        <f aca="false">Sens!D469*Sens!D487/1000</f>
        <v>34.0300093833333</v>
      </c>
      <c r="E489" s="6" t="n">
        <f aca="false">Sens!E469*Sens!E487/1000</f>
        <v>67.600153775</v>
      </c>
      <c r="F489" s="6" t="n">
        <f aca="false">(Sens!F469+Sens!F488)*Sens!F487/1000</f>
        <v>130.923271871467</v>
      </c>
      <c r="G489" s="6" t="n">
        <f aca="false">(Sens!G469+Sens!G488)*Sens!G487/1000</f>
        <v>151.5545564832</v>
      </c>
      <c r="H489" s="6" t="n">
        <f aca="false">(Sens!H469+Sens!H488)*Sens!H487/1000</f>
        <v>156.0606619104</v>
      </c>
      <c r="I489" s="6" t="n">
        <f aca="false">(Sens!I469+Sens!I488)*Sens!I487/1000</f>
        <v>140.987889434245</v>
      </c>
      <c r="J489" s="6" t="n">
        <f aca="false">(Sens!J469+Sens!J488)*Sens!J487/1000</f>
        <v>111.094541278091</v>
      </c>
      <c r="K489" s="6" t="n">
        <f aca="false">(Sens!K469+Sens!K488)*Sens!K487/1000</f>
        <v>110.842344481936</v>
      </c>
    </row>
    <row r="490" customFormat="false" ht="17.15" hidden="false" customHeight="false" outlineLevel="0" collapsed="false">
      <c r="A490" s="0" t="s">
        <v>836</v>
      </c>
      <c r="B490" s="0" t="s">
        <v>98</v>
      </c>
      <c r="C490" s="6" t="n">
        <f aca="false">Sens!C469*self_build*tk_cxfac/1000</f>
        <v>6.2083</v>
      </c>
      <c r="D490" s="6" t="n">
        <f aca="false">Sens!D469*self_build*tk_cxfac/1000</f>
        <v>9.3758</v>
      </c>
      <c r="E490" s="6" t="n">
        <f aca="false">Sens!E469*self_build*tk_cxfac/1000</f>
        <v>18.6249</v>
      </c>
      <c r="F490" s="6" t="n">
        <f aca="false">Sens!F469*self_build*tk_cxfac/1000</f>
        <v>29.409604</v>
      </c>
      <c r="G490" s="6" t="n">
        <f aca="false">Sens!G469*self_build*tk_cxfac/1000</f>
        <v>32.019624</v>
      </c>
      <c r="H490" s="6" t="n">
        <f aca="false">Sens!H469*self_build*tk_cxfac/1000</f>
        <v>32.019624</v>
      </c>
      <c r="I490" s="6" t="n">
        <f aca="false">Sens!I469*self_build*tk_cxfac/1000</f>
        <v>22.71877972</v>
      </c>
      <c r="J490" s="6" t="n">
        <f aca="false">Sens!J469*self_build*tk_cxfac/1000</f>
        <v>13.41793544</v>
      </c>
      <c r="K490" s="6" t="n">
        <f aca="false">Sens!K469*self_build*tk_cxfac/1000</f>
        <v>4.11709116000001</v>
      </c>
    </row>
    <row r="491" customFormat="false" ht="17.15" hidden="false" customHeight="false" outlineLevel="0" collapsed="false">
      <c r="A491" s="0" t="s">
        <v>837</v>
      </c>
      <c r="B491" s="0" t="s">
        <v>98</v>
      </c>
      <c r="F491" s="6" t="n">
        <f aca="false">MAX(0,capex_floor27-Sens!F489-Sens!F490-Sens!F584)</f>
        <v>8.43777689897088</v>
      </c>
      <c r="L491" s="1" t="s">
        <v>838</v>
      </c>
    </row>
    <row r="492" customFormat="false" ht="17.15" hidden="false" customHeight="false" outlineLevel="0" collapsed="false">
      <c r="A492" s="0" t="s">
        <v>839</v>
      </c>
      <c r="B492" s="0" t="s">
        <v>98</v>
      </c>
      <c r="C492" s="6" t="n">
        <f aca="false">Sens!C489</f>
        <v>22.5333845916667</v>
      </c>
      <c r="D492" s="6" t="n">
        <f aca="false">Sens!D489</f>
        <v>34.0300093833333</v>
      </c>
      <c r="E492" s="6" t="n">
        <f aca="false">Sens!E489</f>
        <v>67.600153775</v>
      </c>
      <c r="F492" s="6" t="n">
        <f aca="false">Sens!F489+Sens!F491</f>
        <v>139.361048770438</v>
      </c>
      <c r="G492" s="6" t="n">
        <f aca="false">Sens!G489</f>
        <v>151.5545564832</v>
      </c>
      <c r="H492" s="6" t="n">
        <f aca="false">Sens!H489</f>
        <v>156.0606619104</v>
      </c>
      <c r="I492" s="6" t="n">
        <f aca="false">Sens!I489</f>
        <v>140.987889434245</v>
      </c>
      <c r="J492" s="6" t="n">
        <f aca="false">Sens!J489</f>
        <v>111.094541278091</v>
      </c>
      <c r="K492" s="6" t="n">
        <f aca="false">Sens!K489</f>
        <v>110.842344481936</v>
      </c>
    </row>
    <row r="493" customFormat="false" ht="17.15" hidden="false" customHeight="false" outlineLevel="0" collapsed="false">
      <c r="A493" s="0" t="s">
        <v>840</v>
      </c>
      <c r="B493" s="0" t="s">
        <v>98</v>
      </c>
      <c r="C493" s="6" t="n">
        <f aca="false">Sens!C492+Sens!C490</f>
        <v>28.7416845916667</v>
      </c>
      <c r="D493" s="6" t="n">
        <f aca="false">Sens!D492+Sens!D490</f>
        <v>43.4058093833333</v>
      </c>
      <c r="E493" s="6" t="n">
        <f aca="false">Sens!E492+Sens!E490</f>
        <v>86.225053775</v>
      </c>
      <c r="F493" s="6" t="n">
        <f aca="false">Sens!F492+Sens!F490</f>
        <v>168.770652770438</v>
      </c>
      <c r="G493" s="6" t="n">
        <f aca="false">Sens!G492+Sens!G490</f>
        <v>183.5741804832</v>
      </c>
      <c r="H493" s="6" t="n">
        <f aca="false">Sens!H492+Sens!H490</f>
        <v>188.0802859104</v>
      </c>
      <c r="I493" s="6" t="n">
        <f aca="false">Sens!I492+Sens!I490</f>
        <v>163.706669154245</v>
      </c>
      <c r="J493" s="6" t="n">
        <f aca="false">Sens!J492+Sens!J490</f>
        <v>124.51247671809</v>
      </c>
      <c r="K493" s="6" t="n">
        <f aca="false">Sens!K492+Sens!K490</f>
        <v>114.959435641936</v>
      </c>
      <c r="L493" s="11" t="s">
        <v>841</v>
      </c>
    </row>
    <row r="494" customFormat="false" ht="17.15" hidden="false" customHeight="false" outlineLevel="0" collapsed="false">
      <c r="A494" s="0" t="s">
        <v>842</v>
      </c>
      <c r="B494" s="0" t="s">
        <v>98</v>
      </c>
      <c r="E494" s="6" t="n">
        <f aca="false">(Sens!C492*IF(2&lt;life_it,1,IF(2=life_it,0.5,0))+Sens!D492*IF(1&lt;life_it,1,IF(1=life_it,0.5,0))+Sens!E492*0.5)/life_it</f>
        <v>15.0605784770833</v>
      </c>
      <c r="F494" s="6" t="n">
        <f aca="false">(Sens!C492*IF(3&lt;life_it,1,IF(3=life_it,0.5,0))+Sens!D492*IF(2&lt;life_it,1,IF(2=life_it,0.5,0))+Sens!E492*IF(1&lt;life_it,1,IF(1=life_it,0.5,0))+Sens!F492*0.5)/life_it</f>
        <v>32.3073453558698</v>
      </c>
      <c r="G494" s="6" t="n">
        <f aca="false">(Sens!C492*IF(4&lt;life_it,1,IF(4=life_it,0.5,0))+Sens!D492*IF(3&lt;life_it,1,IF(3=life_it,0.5,0))+Sens!E492*IF(2&lt;life_it,1,IF(2=life_it,0.5,0))+Sens!F492*IF(1&lt;life_it,1,IF(1=life_it,0.5,0))+Sens!G492*0.5)/life_it</f>
        <v>56.5503124603396</v>
      </c>
      <c r="H494" s="6" t="n">
        <f aca="false">(Sens!C492*IF(5&lt;life_it,1,IF(5=life_it,0.5,0))+Sens!D492*IF(4&lt;life_it,1,IF(4=life_it,0.5,0))+Sens!E492*IF(3&lt;life_it,1,IF(3=life_it,0.5,0))+Sens!F492*IF(2&lt;life_it,1,IF(2=life_it,0.5,0))+Sens!G492*IF(1&lt;life_it,1,IF(1=life_it,0.5,0))+Sens!H492*0.5)/life_it</f>
        <v>82.1849139931396</v>
      </c>
      <c r="I494" s="6" t="n">
        <f aca="false">(Sens!C492*IF(6&lt;life_it,1,IF(6=life_it,0.5,0))+Sens!D492*IF(5&lt;life_it,1,IF(5=life_it,0.5,0))+Sens!E492*IF(4&lt;life_it,1,IF(4=life_it,0.5,0))+Sens!F492*IF(3&lt;life_it,1,IF(3=life_it,0.5,0))+Sens!G492*IF(2&lt;life_it,1,IF(2=life_it,0.5,0))+Sens!H492*IF(1&lt;life_it,1,IF(1=life_it,0.5,0))+Sens!I492*0.5)/life_it</f>
        <v>105.061177889221</v>
      </c>
      <c r="J494" s="6" t="n">
        <f aca="false">(Sens!C492*IF(7&lt;life_it,1,IF(7=life_it,0.5,0))+Sens!D492*IF(6&lt;life_it,1,IF(6=life_it,0.5,0))+Sens!E492*IF(5&lt;life_it,1,IF(5=life_it,0.5,0))+Sens!F492*IF(4&lt;life_it,1,IF(4=life_it,0.5,0))+Sens!G492*IF(3&lt;life_it,1,IF(3=life_it,0.5,0))+Sens!H492*IF(2&lt;life_it,1,IF(2=life_it,0.5,0))+Sens!I492*IF(1&lt;life_it,1,IF(1=life_it,0.5,0))+Sens!J492*0.5)/life_it</f>
        <v>121.354430950666</v>
      </c>
      <c r="K494" s="6" t="n">
        <f aca="false">(Sens!C492*IF(8&lt;life_it,1,IF(8=life_it,0.5,0))+Sens!D492*IF(7&lt;life_it,1,IF(7=life_it,0.5,0))+Sens!E492*IF(6&lt;life_it,1,IF(6=life_it,0.5,0))+Sens!F492*IF(5&lt;life_it,1,IF(5=life_it,0.5,0))+Sens!G492*IF(4&lt;life_it,1,IF(4=life_it,0.5,0))+Sens!H492*IF(3&lt;life_it,1,IF(3=life_it,0.5,0))+Sens!I492*IF(2&lt;life_it,1,IF(2=life_it,0.5,0))+Sens!J492*IF(1&lt;life_it,1,IF(1=life_it,0.5,0))+Sens!K492*0.5)/life_it</f>
        <v>131.379991167474</v>
      </c>
    </row>
    <row r="495" customFormat="false" ht="17.15" hidden="false" customHeight="false" outlineLevel="0" collapsed="false">
      <c r="A495" s="0" t="s">
        <v>843</v>
      </c>
      <c r="B495" s="0" t="s">
        <v>98</v>
      </c>
      <c r="E495" s="6" t="n">
        <f aca="false">(Sens!C490*IF(2&lt;life_fac,1,IF(2=life_fac,0.5,0))+Sens!D490*IF(1&lt;life_fac,1,IF(1=life_fac,0.5,0))+Sens!E490*0.5)/life_fac</f>
        <v>1.2448275</v>
      </c>
      <c r="F495" s="6" t="n">
        <f aca="false">(Sens!C490*IF(3&lt;life_fac,1,IF(3=life_fac,0.5,0))+Sens!D490*IF(2&lt;life_fac,1,IF(2=life_fac,0.5,0))+Sens!E490*IF(1&lt;life_fac,1,IF(1=life_fac,0.5,0))+Sens!F490*0.5)/life_fac</f>
        <v>2.4456901</v>
      </c>
      <c r="G495" s="6" t="n">
        <f aca="false">(Sens!C490*IF(4&lt;life_fac,1,IF(4=life_fac,0.5,0))+Sens!D490*IF(3&lt;life_fac,1,IF(3=life_fac,0.5,0))+Sens!E490*IF(2&lt;life_fac,1,IF(2=life_fac,0.5,0))+Sens!F490*IF(1&lt;life_fac,1,IF(1=life_fac,0.5,0))+Sens!G490*0.5)/life_fac</f>
        <v>3.9814208</v>
      </c>
      <c r="H495" s="6" t="n">
        <f aca="false">(Sens!C490*IF(5&lt;life_fac,1,IF(5=life_fac,0.5,0))+Sens!D490*IF(4&lt;life_fac,1,IF(4=life_fac,0.5,0))+Sens!E490*IF(3&lt;life_fac,1,IF(3=life_fac,0.5,0))+Sens!F490*IF(2&lt;life_fac,1,IF(2=life_fac,0.5,0))+Sens!G490*IF(1&lt;life_fac,1,IF(1=life_fac,0.5,0))+Sens!H490*0.5)/life_fac</f>
        <v>5.582402</v>
      </c>
      <c r="I495" s="6" t="n">
        <f aca="false">(Sens!C490*IF(6&lt;life_fac,1,IF(6=life_fac,0.5,0))+Sens!D490*IF(5&lt;life_fac,1,IF(5=life_fac,0.5,0))+Sens!E490*IF(4&lt;life_fac,1,IF(4=life_fac,0.5,0))+Sens!F490*IF(3&lt;life_fac,1,IF(3=life_fac,0.5,0))+Sens!G490*IF(2&lt;life_fac,1,IF(2=life_fac,0.5,0))+Sens!H490*IF(1&lt;life_fac,1,IF(1=life_fac,0.5,0))+Sens!I490*0.5)/life_fac</f>
        <v>6.950862093</v>
      </c>
      <c r="J495" s="6" t="n">
        <f aca="false">(Sens!C490*IF(7&lt;life_fac,1,IF(7=life_fac,0.5,0))+Sens!D490*IF(6&lt;life_fac,1,IF(6=life_fac,0.5,0))+Sens!E490*IF(5&lt;life_fac,1,IF(5=life_fac,0.5,0))+Sens!F490*IF(4&lt;life_fac,1,IF(4=life_fac,0.5,0))+Sens!G490*IF(3&lt;life_fac,1,IF(3=life_fac,0.5,0))+Sens!H490*IF(2&lt;life_fac,1,IF(2=life_fac,0.5,0))+Sens!I490*IF(1&lt;life_fac,1,IF(1=life_fac,0.5,0))+Sens!J490*0.5)/life_fac</f>
        <v>7.854279972</v>
      </c>
      <c r="K495" s="6" t="n">
        <f aca="false">(Sens!C490*IF(8&lt;life_fac,1,IF(8=life_fac,0.5,0))+Sens!D490*IF(7&lt;life_fac,1,IF(7=life_fac,0.5,0))+Sens!E490*IF(6&lt;life_fac,1,IF(6=life_fac,0.5,0))+Sens!F490*IF(5&lt;life_fac,1,IF(5=life_fac,0.5,0))+Sens!G490*IF(4&lt;life_fac,1,IF(4=life_fac,0.5,0))+Sens!H490*IF(3&lt;life_fac,1,IF(3=life_fac,0.5,0))+Sens!I490*IF(2&lt;life_fac,1,IF(2=life_fac,0.5,0))+Sens!J490*IF(1&lt;life_fac,1,IF(1=life_fac,0.5,0))+Sens!K490*0.5)/life_fac</f>
        <v>8.292655637</v>
      </c>
    </row>
    <row r="496" customFormat="false" ht="17.15" hidden="false" customHeight="false" outlineLevel="0" collapsed="false">
      <c r="A496" s="0" t="s">
        <v>844</v>
      </c>
      <c r="B496" s="0" t="s">
        <v>98</v>
      </c>
      <c r="E496" s="6" t="n">
        <f aca="false">Sens!E494+Sens!E495</f>
        <v>16.3054059770833</v>
      </c>
      <c r="F496" s="6" t="n">
        <f aca="false">Sens!F494+Sens!F495</f>
        <v>34.7530354558698</v>
      </c>
      <c r="G496" s="6" t="n">
        <f aca="false">Sens!G494+Sens!G495</f>
        <v>60.5317332603396</v>
      </c>
      <c r="H496" s="6" t="n">
        <f aca="false">Sens!H494+Sens!H495</f>
        <v>87.7673159931396</v>
      </c>
      <c r="I496" s="6" t="n">
        <f aca="false">Sens!I494+Sens!I495</f>
        <v>112.012039982221</v>
      </c>
      <c r="J496" s="6" t="n">
        <f aca="false">Sens!J494+Sens!J495</f>
        <v>129.208710922666</v>
      </c>
      <c r="K496" s="6" t="n">
        <f aca="false">Sens!K494+Sens!K495</f>
        <v>139.672646804474</v>
      </c>
    </row>
    <row r="497" customFormat="false" ht="17.15" hidden="false" customHeight="false" outlineLevel="0" collapsed="false">
      <c r="A497" s="0" t="s">
        <v>845</v>
      </c>
      <c r="B497" s="0" t="s">
        <v>98</v>
      </c>
      <c r="E497" s="6" t="n">
        <f aca="false">Sens!E485-Sens!E484*Sens!E496</f>
        <v>8.92707889977379</v>
      </c>
      <c r="F497" s="6" t="n">
        <f aca="false">Sens!F485-Sens!F484*Sens!F496</f>
        <v>14.2055242890201</v>
      </c>
      <c r="G497" s="6" t="n">
        <f aca="false">Sens!G485-Sens!G484*Sens!G496</f>
        <v>15.9314572150833</v>
      </c>
      <c r="H497" s="6" t="n">
        <f aca="false">Sens!H485-Sens!H484*Sens!H496</f>
        <v>12.6192802551433</v>
      </c>
      <c r="I497" s="6" t="n">
        <f aca="false">Sens!I485-Sens!I484*Sens!I496</f>
        <v>16.0630756471222</v>
      </c>
      <c r="J497" s="6" t="n">
        <f aca="false">Sens!J485-Sens!J484*Sens!J496</f>
        <v>18.4223478858798</v>
      </c>
      <c r="K497" s="6" t="n">
        <f aca="false">Sens!K485-Sens!K484*Sens!K496</f>
        <v>20.3795254265162</v>
      </c>
    </row>
    <row r="498" customFormat="false" ht="17.15" hidden="false" customHeight="false" outlineLevel="0" collapsed="false">
      <c r="A498" s="3" t="s">
        <v>1245</v>
      </c>
    </row>
    <row r="499" customFormat="false" ht="15" hidden="false" customHeight="false" outlineLevel="0" collapsed="false">
      <c r="A499" s="4" t="s">
        <v>43</v>
      </c>
      <c r="B499" s="4" t="s">
        <v>65</v>
      </c>
      <c r="C499" s="20" t="s">
        <v>788</v>
      </c>
      <c r="D499" s="20" t="s">
        <v>789</v>
      </c>
      <c r="E499" s="20" t="s">
        <v>790</v>
      </c>
      <c r="F499" s="20" t="s">
        <v>791</v>
      </c>
      <c r="G499" s="20" t="s">
        <v>792</v>
      </c>
      <c r="H499" s="20" t="s">
        <v>793</v>
      </c>
      <c r="I499" s="20" t="s">
        <v>794</v>
      </c>
      <c r="J499" s="20" t="s">
        <v>795</v>
      </c>
      <c r="K499" s="20" t="s">
        <v>796</v>
      </c>
      <c r="L499" s="4" t="s">
        <v>47</v>
      </c>
    </row>
    <row r="500" customFormat="false" ht="17.15" hidden="false" customHeight="false" outlineLevel="0" collapsed="false">
      <c r="A500" s="0" t="s">
        <v>864</v>
      </c>
      <c r="B500" s="0" t="s">
        <v>98</v>
      </c>
      <c r="D500" s="6" t="n">
        <f aca="false">Sens!D479</f>
        <v>12.9359794422418</v>
      </c>
      <c r="E500" s="6" t="n">
        <f aca="false">Sens!E479</f>
        <v>27.8095064661409</v>
      </c>
      <c r="F500" s="6" t="n">
        <f aca="false">Sens!F479</f>
        <v>50.6619113883066</v>
      </c>
      <c r="G500" s="6" t="n">
        <f aca="false">Sens!G479</f>
        <v>75.1482839325348</v>
      </c>
      <c r="H500" s="6" t="n">
        <f aca="false">Sens!H479</f>
        <v>94.895655604042</v>
      </c>
      <c r="I500" s="6" t="n">
        <f aca="false">Sens!I479</f>
        <v>118.706168884151</v>
      </c>
      <c r="J500" s="6" t="n">
        <f aca="false">Sens!J479</f>
        <v>135.305203646001</v>
      </c>
      <c r="K500" s="6" t="n">
        <f aca="false">Sens!K479</f>
        <v>145.64537766421</v>
      </c>
    </row>
    <row r="501" customFormat="false" ht="17.15" hidden="false" customHeight="false" outlineLevel="0" collapsed="false">
      <c r="A501" s="0" t="s">
        <v>865</v>
      </c>
      <c r="B501" s="0" t="s">
        <v>98</v>
      </c>
      <c r="D501" s="6" t="n">
        <f aca="false">Q!L6-Sens!D500</f>
        <v>59.6740205577583</v>
      </c>
      <c r="E501" s="6" t="n">
        <f aca="false">Q!M6-Sens!E500</f>
        <v>74.1284935338591</v>
      </c>
      <c r="F501" s="6" t="n">
        <f aca="false">Sens!E501*(1+Sens!F502)</f>
        <v>90.0799497373663</v>
      </c>
      <c r="G501" s="6" t="n">
        <f aca="false">Sens!F501*(1+Sens!G502)</f>
        <v>107.02842520331</v>
      </c>
      <c r="H501" s="6" t="n">
        <f aca="false">Sens!G501*(1+Sens!H502)</f>
        <v>124.271982585636</v>
      </c>
      <c r="I501" s="6" t="n">
        <f aca="false">Sens!H501*(1+Sens!I502)</f>
        <v>140.933702381855</v>
      </c>
      <c r="J501" s="6" t="n">
        <f aca="false">Sens!I501*(1+Sens!J502)</f>
        <v>156.018867314332</v>
      </c>
      <c r="K501" s="6" t="n">
        <f aca="false">Sens!J501*(1+Sens!K502)</f>
        <v>168.500376699478</v>
      </c>
    </row>
    <row r="502" customFormat="false" ht="15" hidden="false" customHeight="false" outlineLevel="0" collapsed="false">
      <c r="A502" s="1" t="s">
        <v>866</v>
      </c>
      <c r="B502" s="0" t="s">
        <v>129</v>
      </c>
      <c r="E502" s="7" t="n">
        <f aca="false">Sens!E501/Sens!D501-1</f>
        <v>0.242223883039864</v>
      </c>
      <c r="F502" s="7" t="n">
        <f aca="false">Sens!$E$502+(glt_azo-Sens!$E$502)*MIN(1,(Sens!F462-base_fy)/n_conv)</f>
        <v>0.215186569199887</v>
      </c>
      <c r="G502" s="7" t="n">
        <f aca="false">Sens!$E$502+(glt_azo-Sens!$E$502)*MIN(1,(Sens!G462-base_fy)/n_conv)</f>
        <v>0.18814925535991</v>
      </c>
      <c r="H502" s="7" t="n">
        <f aca="false">Sens!$E$502+(glt_azo-Sens!$E$502)*MIN(1,(Sens!H462-base_fy)/n_conv)</f>
        <v>0.161111941519932</v>
      </c>
      <c r="I502" s="7" t="n">
        <f aca="false">Sens!$E$502+(glt_azo-Sens!$E$502)*MIN(1,(Sens!I462-base_fy)/n_conv)</f>
        <v>0.134074627679955</v>
      </c>
      <c r="J502" s="7" t="n">
        <f aca="false">Sens!$E$502+(glt_azo-Sens!$E$502)*MIN(1,(Sens!J462-base_fy)/n_conv)</f>
        <v>0.107037313839977</v>
      </c>
      <c r="K502" s="7" t="n">
        <f aca="false">Sens!$E$502+(glt_azo-Sens!$E$502)*MIN(1,(Sens!K462-base_fy)/n_conv)</f>
        <v>0.08</v>
      </c>
    </row>
    <row r="503" customFormat="false" ht="15" hidden="false" customHeight="false" outlineLevel="0" collapsed="false">
      <c r="A503" s="0" t="s">
        <v>867</v>
      </c>
      <c r="B503" s="0" t="s">
        <v>98</v>
      </c>
      <c r="D503" s="6" t="n">
        <f aca="false">Sens!D500+Sens!D501</f>
        <v>72.61</v>
      </c>
      <c r="E503" s="6" t="n">
        <f aca="false">Sens!E500+Sens!E501</f>
        <v>101.938</v>
      </c>
      <c r="F503" s="6" t="n">
        <f aca="false">Sens!F500+Sens!F501</f>
        <v>140.741861125673</v>
      </c>
      <c r="G503" s="6" t="n">
        <f aca="false">Sens!G500+Sens!G501</f>
        <v>182.176709135845</v>
      </c>
      <c r="H503" s="6" t="n">
        <f aca="false">Sens!H500+Sens!H501</f>
        <v>219.167638189678</v>
      </c>
      <c r="I503" s="6" t="n">
        <f aca="false">Sens!I500+Sens!I501</f>
        <v>259.639871266006</v>
      </c>
      <c r="J503" s="6" t="n">
        <f aca="false">Sens!J500+Sens!J501</f>
        <v>291.324070960333</v>
      </c>
      <c r="K503" s="6" t="n">
        <f aca="false">Sens!K500+Sens!K501</f>
        <v>314.145754363688</v>
      </c>
    </row>
    <row r="504" customFormat="false" ht="17.15" hidden="false" customHeight="false" outlineLevel="0" collapsed="false">
      <c r="A504" s="0" t="s">
        <v>868</v>
      </c>
      <c r="B504" s="1" t="s">
        <v>521</v>
      </c>
      <c r="C504" s="29" t="n">
        <f aca="false">cop_s24</f>
        <v>1</v>
      </c>
      <c r="D504" s="29" t="n">
        <f aca="false">cop_s25</f>
        <v>5</v>
      </c>
      <c r="E504" s="29" t="n">
        <f aca="false">cop_s26</f>
        <v>30</v>
      </c>
      <c r="F504" s="29" t="n">
        <f aca="false">Sens!E504+cop_add_C</f>
        <v>40</v>
      </c>
      <c r="G504" s="29" t="n">
        <f aca="false">Sens!F504+cop_add_C</f>
        <v>50</v>
      </c>
      <c r="H504" s="29" t="n">
        <f aca="false">Sens!G504+cop_add_C</f>
        <v>60</v>
      </c>
      <c r="I504" s="29" t="n">
        <f aca="false">Sens!H504+cop_add_C*cop_tail</f>
        <v>65</v>
      </c>
      <c r="J504" s="29" t="n">
        <f aca="false">Sens!I504+cop_add_C*cop_tail</f>
        <v>70</v>
      </c>
      <c r="K504" s="29" t="n">
        <f aca="false">Sens!J504+cop_add_C*cop_tail</f>
        <v>75</v>
      </c>
      <c r="L504" s="11" t="s">
        <v>869</v>
      </c>
    </row>
    <row r="505" customFormat="false" ht="17.15" hidden="false" customHeight="false" outlineLevel="0" collapsed="false">
      <c r="A505" s="0" t="s">
        <v>870</v>
      </c>
      <c r="B505" s="0" t="s">
        <v>98</v>
      </c>
      <c r="D505" s="6" t="n">
        <f aca="false">(Sens!C504+Sens!D504)/2*cop_px*12/1000</f>
        <v>0.9</v>
      </c>
      <c r="E505" s="6" t="n">
        <f aca="false">(Sens!D504+Sens!E504)/2*cop_px*12/1000</f>
        <v>5.25</v>
      </c>
      <c r="F505" s="6" t="n">
        <f aca="false">(Sens!E504+Sens!F504)/2*cop_px*12/1000</f>
        <v>10.5</v>
      </c>
      <c r="G505" s="6" t="n">
        <f aca="false">(Sens!F504+Sens!G504)/2*cop_px*12/1000</f>
        <v>13.5</v>
      </c>
      <c r="H505" s="6" t="n">
        <f aca="false">(Sens!G504+Sens!H504)/2*cop_px*12/1000</f>
        <v>16.5</v>
      </c>
      <c r="I505" s="6" t="n">
        <f aca="false">(Sens!H504+Sens!I504)/2*cop_px*12/1000</f>
        <v>18.75</v>
      </c>
      <c r="J505" s="6" t="n">
        <f aca="false">(Sens!I504+Sens!J504)/2*cop_px*12/1000</f>
        <v>20.25</v>
      </c>
      <c r="K505" s="6" t="n">
        <f aca="false">(Sens!J504+Sens!K504)/2*cop_px*12/1000</f>
        <v>21.75</v>
      </c>
      <c r="L505" s="1" t="s">
        <v>871</v>
      </c>
    </row>
    <row r="506" customFormat="false" ht="17.15" hidden="false" customHeight="false" outlineLevel="0" collapsed="false">
      <c r="A506" s="0" t="s">
        <v>872</v>
      </c>
      <c r="B506" s="0" t="s">
        <v>98</v>
      </c>
      <c r="D506" s="6" t="n">
        <f aca="false">Q!L7-Sens!D505</f>
        <v>83.705</v>
      </c>
      <c r="E506" s="6" t="n">
        <f aca="false">Q!M7-Sens!E505</f>
        <v>95.049</v>
      </c>
      <c r="F506" s="6" t="n">
        <f aca="false">Sens!E506*(1+Sens!F507)</f>
        <v>106.89238776686</v>
      </c>
      <c r="G506" s="6" t="n">
        <f aca="false">Sens!F506*(1+Sens!G507)</f>
        <v>119.044168448684</v>
      </c>
      <c r="H506" s="6" t="n">
        <f aca="false">Sens!G506*(1+Sens!H507)</f>
        <v>131.277359388781</v>
      </c>
      <c r="I506" s="6" t="n">
        <f aca="false">Sens!H506*(1+Sens!I507)</f>
        <v>143.334028071957</v>
      </c>
      <c r="J506" s="6" t="n">
        <f aca="false">Sens!I506*(1+Sens!J507)</f>
        <v>154.932702785465</v>
      </c>
      <c r="K506" s="6" t="n">
        <f aca="false">Sens!J506*(1+Sens!K507)</f>
        <v>165.777991980448</v>
      </c>
    </row>
    <row r="507" customFormat="false" ht="15" hidden="false" customHeight="false" outlineLevel="0" collapsed="false">
      <c r="A507" s="1" t="s">
        <v>866</v>
      </c>
      <c r="B507" s="0" t="s">
        <v>129</v>
      </c>
      <c r="E507" s="7" t="n">
        <f aca="false">Sens!E506/Sens!D506-1</f>
        <v>0.135523564900544</v>
      </c>
      <c r="F507" s="7" t="n">
        <f aca="false">Sens!$E$507+(glt_m365b-Sens!$E$507)*MIN(1,(Sens!F462-base_fy)/n_conv)</f>
        <v>0.124602970750453</v>
      </c>
      <c r="G507" s="7" t="n">
        <f aca="false">Sens!$E$507+(glt_m365b-Sens!$E$507)*MIN(1,(Sens!G462-base_fy)/n_conv)</f>
        <v>0.113682376600363</v>
      </c>
      <c r="H507" s="7" t="n">
        <f aca="false">Sens!$E$507+(glt_m365b-Sens!$E$507)*MIN(1,(Sens!H462-base_fy)/n_conv)</f>
        <v>0.102761782450272</v>
      </c>
      <c r="I507" s="7" t="n">
        <f aca="false">Sens!$E$507+(glt_m365b-Sens!$E$507)*MIN(1,(Sens!I462-base_fy)/n_conv)</f>
        <v>0.0918411883001813</v>
      </c>
      <c r="J507" s="7" t="n">
        <f aca="false">Sens!$E$507+(glt_m365b-Sens!$E$507)*MIN(1,(Sens!J462-base_fy)/n_conv)</f>
        <v>0.0809205941500906</v>
      </c>
      <c r="K507" s="7" t="n">
        <f aca="false">Sens!$E$507+(glt_m365b-Sens!$E$507)*MIN(1,(Sens!K462-base_fy)/n_conv)</f>
        <v>0.07</v>
      </c>
    </row>
    <row r="508" customFormat="false" ht="15" hidden="false" customHeight="false" outlineLevel="0" collapsed="false">
      <c r="A508" s="0" t="s">
        <v>873</v>
      </c>
      <c r="B508" s="0" t="s">
        <v>98</v>
      </c>
      <c r="D508" s="6" t="n">
        <f aca="false">Sens!D506+Sens!D505</f>
        <v>84.605</v>
      </c>
      <c r="E508" s="6" t="n">
        <f aca="false">Sens!E506+Sens!E505</f>
        <v>100.299</v>
      </c>
      <c r="F508" s="6" t="n">
        <f aca="false">Sens!F506+Sens!F505</f>
        <v>117.39238776686</v>
      </c>
      <c r="G508" s="6" t="n">
        <f aca="false">Sens!G506+Sens!G505</f>
        <v>132.544168448684</v>
      </c>
      <c r="H508" s="6" t="n">
        <f aca="false">Sens!H506+Sens!H505</f>
        <v>147.777359388781</v>
      </c>
      <c r="I508" s="6" t="n">
        <f aca="false">Sens!I506+Sens!I505</f>
        <v>162.084028071957</v>
      </c>
      <c r="J508" s="6" t="n">
        <f aca="false">Sens!J506+Sens!J505</f>
        <v>175.182702785465</v>
      </c>
      <c r="K508" s="6" t="n">
        <f aca="false">Sens!K506+Sens!K505</f>
        <v>187.527991980448</v>
      </c>
    </row>
    <row r="509" customFormat="false" ht="15" hidden="false" customHeight="false" outlineLevel="0" collapsed="false">
      <c r="A509" s="0" t="s">
        <v>874</v>
      </c>
      <c r="B509" s="0" t="s">
        <v>98</v>
      </c>
      <c r="D509" s="6" t="n">
        <f aca="false">Q!L8</f>
        <v>35.391</v>
      </c>
      <c r="E509" s="6" t="n">
        <f aca="false">Q!M8</f>
        <v>37.285</v>
      </c>
      <c r="F509" s="6" t="n">
        <f aca="false">Sens!E509*(1+Sens!F510)</f>
        <v>39.0720834331704</v>
      </c>
      <c r="G509" s="6" t="n">
        <f aca="false">Sens!F509*(1+Sens!G510)</f>
        <v>40.726562953769</v>
      </c>
      <c r="H509" s="6" t="n">
        <f aca="false">Sens!G509*(1+Sens!H510)</f>
        <v>42.2235987259198</v>
      </c>
      <c r="I509" s="6" t="n">
        <f aca="false">Sens!H509*(1+Sens!I510)</f>
        <v>43.5397988077414</v>
      </c>
      <c r="J509" s="6" t="n">
        <f aca="false">Sens!I509*(1+Sens!J510)</f>
        <v>44.653811225693</v>
      </c>
      <c r="K509" s="6" t="n">
        <f aca="false">Sens!J509*(1+Sens!K510)</f>
        <v>45.5468874502068</v>
      </c>
    </row>
    <row r="510" customFormat="false" ht="15" hidden="false" customHeight="false" outlineLevel="0" collapsed="false">
      <c r="A510" s="1" t="s">
        <v>866</v>
      </c>
      <c r="B510" s="0" t="s">
        <v>129</v>
      </c>
      <c r="E510" s="7" t="n">
        <f aca="false">Sens!E509/Sens!D509-1</f>
        <v>0.0535164307309768</v>
      </c>
      <c r="F510" s="7" t="n">
        <f aca="false">Sens!$E$510+(glt_lic-Sens!$E$510)*MIN(1,(Sens!F462-base_fy)/n_conv)</f>
        <v>0.0479303589424807</v>
      </c>
      <c r="G510" s="7" t="n">
        <f aca="false">Sens!$E$510+(glt_lic-Sens!$E$510)*MIN(1,(Sens!G462-base_fy)/n_conv)</f>
        <v>0.0423442871539845</v>
      </c>
      <c r="H510" s="7" t="n">
        <f aca="false">Sens!$E$510+(glt_lic-Sens!$E$510)*MIN(1,(Sens!H462-base_fy)/n_conv)</f>
        <v>0.0367582153654884</v>
      </c>
      <c r="I510" s="7" t="n">
        <f aca="false">Sens!$E$510+(glt_lic-Sens!$E$510)*MIN(1,(Sens!I462-base_fy)/n_conv)</f>
        <v>0.0311721435769923</v>
      </c>
      <c r="J510" s="7" t="n">
        <f aca="false">Sens!$E$510+(glt_lic-Sens!$E$510)*MIN(1,(Sens!J462-base_fy)/n_conv)</f>
        <v>0.0255860717884961</v>
      </c>
      <c r="K510" s="7" t="n">
        <f aca="false">Sens!$E$510+(glt_lic-Sens!$E$510)*MIN(1,(Sens!K462-base_fy)/n_conv)</f>
        <v>0.02</v>
      </c>
    </row>
    <row r="511" customFormat="false" ht="15" hidden="false" customHeight="false" outlineLevel="0" collapsed="false">
      <c r="A511" s="0" t="s">
        <v>875</v>
      </c>
      <c r="B511" s="0" t="s">
        <v>98</v>
      </c>
      <c r="D511" s="6" t="n">
        <f aca="false">Q!L9</f>
        <v>18.417</v>
      </c>
      <c r="E511" s="6" t="n">
        <f aca="false">Q!M9</f>
        <v>20.345</v>
      </c>
      <c r="F511" s="6" t="n">
        <f aca="false">Sens!E511*(1+Sens!F512)</f>
        <v>22.3572203267814</v>
      </c>
      <c r="G511" s="6" t="n">
        <f aca="false">Sens!F511*(1+Sens!G512)</f>
        <v>24.4392124437232</v>
      </c>
      <c r="H511" s="6" t="n">
        <f aca="false">Sens!G511*(1+Sens!H512)</f>
        <v>26.5738052080665</v>
      </c>
      <c r="I511" s="6" t="n">
        <f aca="false">Sens!H511*(1+Sens!I512)</f>
        <v>28.7412169166967</v>
      </c>
      <c r="J511" s="6" t="n">
        <f aca="false">Sens!I511*(1+Sens!J512)</f>
        <v>30.9192545395413</v>
      </c>
      <c r="K511" s="6" t="n">
        <f aca="false">Sens!J511*(1+Sens!K512)</f>
        <v>33.0836023573092</v>
      </c>
    </row>
    <row r="512" customFormat="false" ht="15" hidden="false" customHeight="false" outlineLevel="0" collapsed="false">
      <c r="A512" s="1" t="s">
        <v>866</v>
      </c>
      <c r="B512" s="0" t="s">
        <v>129</v>
      </c>
      <c r="E512" s="7" t="n">
        <f aca="false">Sens!E511/Sens!D511-1</f>
        <v>0.104685888038225</v>
      </c>
      <c r="F512" s="7" t="n">
        <f aca="false">Sens!$E$512+(glt_ind-Sens!$E$512)*MIN(1,(Sens!F462-base_fy)/n_conv)</f>
        <v>0.0989049066985211</v>
      </c>
      <c r="G512" s="7" t="n">
        <f aca="false">Sens!$E$512+(glt_ind-Sens!$E$512)*MIN(1,(Sens!G462-base_fy)/n_conv)</f>
        <v>0.0931239253588169</v>
      </c>
      <c r="H512" s="7" t="n">
        <f aca="false">Sens!$E$512+(glt_ind-Sens!$E$512)*MIN(1,(Sens!H462-base_fy)/n_conv)</f>
        <v>0.0873429440191127</v>
      </c>
      <c r="I512" s="7" t="n">
        <f aca="false">Sens!$E$512+(glt_ind-Sens!$E$512)*MIN(1,(Sens!I462-base_fy)/n_conv)</f>
        <v>0.0815619626794085</v>
      </c>
      <c r="J512" s="7" t="n">
        <f aca="false">Sens!$E$512+(glt_ind-Sens!$E$512)*MIN(1,(Sens!J462-base_fy)/n_conv)</f>
        <v>0.0757809813397042</v>
      </c>
      <c r="K512" s="7" t="n">
        <f aca="false">Sens!$E$512+(glt_ind-Sens!$E$512)*MIN(1,(Sens!K462-base_fy)/n_conv)</f>
        <v>0.07</v>
      </c>
    </row>
    <row r="513" customFormat="false" ht="15" hidden="false" customHeight="false" outlineLevel="0" collapsed="false">
      <c r="A513" s="0" t="s">
        <v>876</v>
      </c>
      <c r="B513" s="0" t="s">
        <v>98</v>
      </c>
      <c r="D513" s="6" t="n">
        <f aca="false">Q!L10</f>
        <v>7.76</v>
      </c>
      <c r="E513" s="6" t="n">
        <f aca="false">Q!M10</f>
        <v>8.26</v>
      </c>
      <c r="F513" s="6" t="n">
        <f aca="false">Sens!E513*(1+Sens!F514)</f>
        <v>8.79988041237113</v>
      </c>
      <c r="G513" s="6" t="n">
        <f aca="false">Sens!F513*(1+Sens!G514)</f>
        <v>9.38321269125306</v>
      </c>
      <c r="H513" s="6" t="n">
        <f aca="false">Sens!G513*(1+Sens!H514)</f>
        <v>10.0139193587476</v>
      </c>
      <c r="I513" s="6" t="n">
        <f aca="false">Sens!H513*(1+Sens!I514)</f>
        <v>10.6963111830911</v>
      </c>
      <c r="J513" s="6" t="n">
        <f aca="false">Sens!I513*(1+Sens!J514)</f>
        <v>11.4351285534696</v>
      </c>
      <c r="K513" s="6" t="n">
        <f aca="false">Sens!J513*(1+Sens!K514)</f>
        <v>12.2355875522124</v>
      </c>
    </row>
    <row r="514" customFormat="false" ht="15" hidden="false" customHeight="false" outlineLevel="0" collapsed="false">
      <c r="A514" s="1" t="s">
        <v>866</v>
      </c>
      <c r="B514" s="0" t="s">
        <v>129</v>
      </c>
      <c r="E514" s="7" t="n">
        <f aca="false">Sens!E513/Sens!D513-1</f>
        <v>0.0644329896907216</v>
      </c>
      <c r="F514" s="7" t="n">
        <f aca="false">Sens!$E$514+(glt_fro-Sens!$E$514)*MIN(1,(Sens!F462-base_fy)/n_conv)</f>
        <v>0.065360824742268</v>
      </c>
      <c r="G514" s="7" t="n">
        <f aca="false">Sens!$E$514+(glt_fro-Sens!$E$514)*MIN(1,(Sens!G462-base_fy)/n_conv)</f>
        <v>0.0662886597938144</v>
      </c>
      <c r="H514" s="7" t="n">
        <f aca="false">Sens!$E$514+(glt_fro-Sens!$E$514)*MIN(1,(Sens!H462-base_fy)/n_conv)</f>
        <v>0.0672164948453608</v>
      </c>
      <c r="I514" s="7" t="n">
        <f aca="false">Sens!$E$514+(glt_fro-Sens!$E$514)*MIN(1,(Sens!I462-base_fy)/n_conv)</f>
        <v>0.0681443298969072</v>
      </c>
      <c r="J514" s="7" t="n">
        <f aca="false">Sens!$E$514+(glt_fro-Sens!$E$514)*MIN(1,(Sens!J462-base_fy)/n_conv)</f>
        <v>0.0690721649484536</v>
      </c>
      <c r="K514" s="7" t="n">
        <f aca="false">Sens!$E$514+(glt_fro-Sens!$E$514)*MIN(1,(Sens!K462-base_fy)/n_conv)</f>
        <v>0.07</v>
      </c>
    </row>
    <row r="515" customFormat="false" ht="15" hidden="false" customHeight="false" outlineLevel="0" collapsed="false">
      <c r="A515" s="0" t="s">
        <v>704</v>
      </c>
      <c r="B515" s="0" t="s">
        <v>98</v>
      </c>
      <c r="D515" s="6" t="n">
        <f aca="false">Sens!D503+Sens!D508+Sens!D509+Sens!D511+Sens!D513</f>
        <v>218.783</v>
      </c>
      <c r="E515" s="6" t="n">
        <f aca="false">Sens!E503+Sens!E508+Sens!E509+Sens!E511+Sens!E513</f>
        <v>268.127</v>
      </c>
      <c r="F515" s="6" t="n">
        <f aca="false">Sens!F503+Sens!F508+Sens!F509+Sens!F511+Sens!F513</f>
        <v>328.363433064856</v>
      </c>
      <c r="G515" s="6" t="n">
        <f aca="false">Sens!G503+Sens!G508+Sens!G509+Sens!G511+Sens!G513</f>
        <v>389.269865673274</v>
      </c>
      <c r="H515" s="6" t="n">
        <f aca="false">Sens!H503+Sens!H508+Sens!H509+Sens!H511+Sens!H513</f>
        <v>445.756320871193</v>
      </c>
      <c r="I515" s="6" t="n">
        <f aca="false">Sens!I503+Sens!I508+Sens!I509+Sens!I511+Sens!I513</f>
        <v>504.701226245492</v>
      </c>
      <c r="J515" s="6" t="n">
        <f aca="false">Sens!J503+Sens!J508+Sens!J509+Sens!J511+Sens!J513</f>
        <v>553.514968064502</v>
      </c>
      <c r="K515" s="6" t="n">
        <f aca="false">Sens!K503+Sens!K508+Sens!K509+Sens!K511+Sens!K513</f>
        <v>592.539823703865</v>
      </c>
    </row>
    <row r="516" customFormat="false" ht="15" hidden="false" customHeight="false" outlineLevel="0" collapsed="false">
      <c r="A516" s="0" t="s">
        <v>877</v>
      </c>
      <c r="B516" s="0" t="s">
        <v>98</v>
      </c>
      <c r="D516" s="6" t="n">
        <f aca="false">Q!L13</f>
        <v>22.171</v>
      </c>
      <c r="E516" s="6" t="n">
        <f aca="false">Q!M13</f>
        <v>24.835</v>
      </c>
      <c r="F516" s="6" t="n">
        <f aca="false">Sens!E516*(1+Sens!F517)</f>
        <v>27.6114901218559</v>
      </c>
      <c r="G516" s="6" t="n">
        <f aca="false">Sens!F516*(1+Sens!G517)</f>
        <v>30.4675667338515</v>
      </c>
      <c r="H516" s="6" t="n">
        <f aca="false">Sens!G516*(1+Sens!H517)</f>
        <v>33.3643766955789</v>
      </c>
      <c r="I516" s="6" t="n">
        <f aca="false">Sens!H516*(1+Sens!I517)</f>
        <v>36.2577016533691</v>
      </c>
      <c r="J516" s="6" t="n">
        <f aca="false">Sens!I516*(1+Sens!J517)</f>
        <v>39.0988367952171</v>
      </c>
      <c r="K516" s="6" t="n">
        <f aca="false">Sens!J516*(1+Sens!K517)</f>
        <v>41.8357553708823</v>
      </c>
    </row>
    <row r="517" customFormat="false" ht="15" hidden="false" customHeight="false" outlineLevel="0" collapsed="false">
      <c r="A517" s="1" t="s">
        <v>866</v>
      </c>
      <c r="B517" s="0" t="s">
        <v>129</v>
      </c>
      <c r="E517" s="7" t="n">
        <f aca="false">Sens!E516/Sens!D516-1</f>
        <v>0.120156961796942</v>
      </c>
      <c r="F517" s="7" t="n">
        <f aca="false">Sens!$E$517+(glt_srch-Sens!$E$517)*MIN(1,(Sens!F462-base_fy)/n_conv)</f>
        <v>0.111797468164118</v>
      </c>
      <c r="G517" s="7" t="n">
        <f aca="false">Sens!$E$517+(glt_srch-Sens!$E$517)*MIN(1,(Sens!G462-base_fy)/n_conv)</f>
        <v>0.103437974531295</v>
      </c>
      <c r="H517" s="7" t="n">
        <f aca="false">Sens!$E$517+(glt_srch-Sens!$E$517)*MIN(1,(Sens!H462-base_fy)/n_conv)</f>
        <v>0.095078480898471</v>
      </c>
      <c r="I517" s="7" t="n">
        <f aca="false">Sens!$E$517+(glt_srch-Sens!$E$517)*MIN(1,(Sens!I462-base_fy)/n_conv)</f>
        <v>0.0867189872656474</v>
      </c>
      <c r="J517" s="7" t="n">
        <f aca="false">Sens!$E$517+(glt_srch-Sens!$E$517)*MIN(1,(Sens!J462-base_fy)/n_conv)</f>
        <v>0.0783594936328237</v>
      </c>
      <c r="K517" s="7" t="n">
        <f aca="false">Sens!$E$517+(glt_srch-Sens!$E$517)*MIN(1,(Sens!K462-base_fy)/n_conv)</f>
        <v>0.07</v>
      </c>
    </row>
    <row r="518" customFormat="false" ht="15" hidden="false" customHeight="false" outlineLevel="0" collapsed="false">
      <c r="A518" s="0" t="s">
        <v>878</v>
      </c>
      <c r="B518" s="0" t="s">
        <v>98</v>
      </c>
      <c r="D518" s="6" t="n">
        <f aca="false">Q!L14</f>
        <v>23.455</v>
      </c>
      <c r="E518" s="6" t="n">
        <f aca="false">Q!M14</f>
        <v>21.79</v>
      </c>
      <c r="F518" s="6" t="n">
        <f aca="false">Sens!E518*(1+Sens!F519)</f>
        <v>20.5736277908051</v>
      </c>
      <c r="G518" s="6" t="n">
        <f aca="false">Sens!F518*(1+Sens!G519)</f>
        <v>19.7371452817919</v>
      </c>
      <c r="H518" s="6" t="n">
        <f aca="false">Sens!G518*(1+Sens!H519)</f>
        <v>19.2339764043138</v>
      </c>
      <c r="I518" s="6" t="n">
        <f aca="false">Sens!H518*(1+Sens!I519)</f>
        <v>19.0353086852681</v>
      </c>
      <c r="J518" s="6" t="n">
        <f aca="false">Sens!I518*(1+Sens!J519)</f>
        <v>19.1273539319129</v>
      </c>
      <c r="K518" s="6" t="n">
        <f aca="false">Sens!J518*(1+Sens!K519)</f>
        <v>19.5099010105511</v>
      </c>
    </row>
    <row r="519" customFormat="false" ht="15" hidden="false" customHeight="false" outlineLevel="0" collapsed="false">
      <c r="A519" s="1" t="s">
        <v>866</v>
      </c>
      <c r="B519" s="0" t="s">
        <v>129</v>
      </c>
      <c r="E519" s="7" t="n">
        <f aca="false">Sens!E518/Sens!D518-1</f>
        <v>-0.0709869963760392</v>
      </c>
      <c r="F519" s="7" t="n">
        <f aca="false">Sens!$E$519+(glt_xbox-Sens!$E$519)*MIN(1,(Sens!F462-base_fy)/n_conv)</f>
        <v>-0.0558224969800327</v>
      </c>
      <c r="G519" s="7" t="n">
        <f aca="false">Sens!$E$519+(glt_xbox-Sens!$E$519)*MIN(1,(Sens!G462-base_fy)/n_conv)</f>
        <v>-0.0406579975840262</v>
      </c>
      <c r="H519" s="7" t="n">
        <f aca="false">Sens!$E$519+(glt_xbox-Sens!$E$519)*MIN(1,(Sens!H462-base_fy)/n_conv)</f>
        <v>-0.0254934981880196</v>
      </c>
      <c r="I519" s="7" t="n">
        <f aca="false">Sens!$E$519+(glt_xbox-Sens!$E$519)*MIN(1,(Sens!I462-base_fy)/n_conv)</f>
        <v>-0.0103289987920131</v>
      </c>
      <c r="J519" s="7" t="n">
        <f aca="false">Sens!$E$519+(glt_xbox-Sens!$E$519)*MIN(1,(Sens!J462-base_fy)/n_conv)</f>
        <v>0.00483550060399347</v>
      </c>
      <c r="K519" s="7" t="n">
        <f aca="false">Sens!$E$519+(glt_xbox-Sens!$E$519)*MIN(1,(Sens!K462-base_fy)/n_conv)</f>
        <v>0.02</v>
      </c>
    </row>
    <row r="520" customFormat="false" ht="15" hidden="false" customHeight="false" outlineLevel="0" collapsed="false">
      <c r="A520" s="0" t="s">
        <v>879</v>
      </c>
      <c r="B520" s="0" t="s">
        <v>98</v>
      </c>
      <c r="D520" s="6" t="n">
        <f aca="false">Q!L15</f>
        <v>17.315</v>
      </c>
      <c r="E520" s="6" t="n">
        <f aca="false">Q!M15</f>
        <v>17.087</v>
      </c>
      <c r="F520" s="6" t="n">
        <f aca="false">Sens!E520*(1+Sens!F521)</f>
        <v>16.9564585436519</v>
      </c>
      <c r="G520" s="6" t="n">
        <f aca="false">Sens!F520*(1+Sens!G521)</f>
        <v>16.9206490624268</v>
      </c>
      <c r="H520" s="6" t="n">
        <f aca="false">Sens!G520*(1+Sens!H521)</f>
        <v>16.9784519149849</v>
      </c>
      <c r="I520" s="6" t="n">
        <f aca="false">Sens!H520*(1+Sens!I521)</f>
        <v>17.1303084701817</v>
      </c>
      <c r="J520" s="6" t="n">
        <f aca="false">Sens!I520*(1+Sens!J521)</f>
        <v>17.3782189407267</v>
      </c>
      <c r="K520" s="6" t="n">
        <f aca="false">Sens!J520*(1+Sens!K521)</f>
        <v>17.7257833195413</v>
      </c>
    </row>
    <row r="521" customFormat="false" ht="15" hidden="false" customHeight="false" outlineLevel="0" collapsed="false">
      <c r="A521" s="1" t="s">
        <v>866</v>
      </c>
      <c r="B521" s="0" t="s">
        <v>129</v>
      </c>
      <c r="E521" s="7" t="n">
        <f aca="false">Sens!E520/Sens!D520-1</f>
        <v>-0.0131677736066995</v>
      </c>
      <c r="F521" s="7" t="n">
        <f aca="false">Sens!$E$521+(glt_win-Sens!$E$521)*MIN(1,(Sens!F462-base_fy)/n_conv)</f>
        <v>-0.00763981133891627</v>
      </c>
      <c r="G521" s="7" t="n">
        <f aca="false">Sens!$E$521+(glt_win-Sens!$E$521)*MIN(1,(Sens!G462-base_fy)/n_conv)</f>
        <v>-0.00211184907113301</v>
      </c>
      <c r="H521" s="7" t="n">
        <f aca="false">Sens!$E$521+(glt_win-Sens!$E$521)*MIN(1,(Sens!H462-base_fy)/n_conv)</f>
        <v>0.00341611319665024</v>
      </c>
      <c r="I521" s="7" t="n">
        <f aca="false">Sens!$E$521+(glt_win-Sens!$E$521)*MIN(1,(Sens!I462-base_fy)/n_conv)</f>
        <v>0.00894407546443349</v>
      </c>
      <c r="J521" s="7" t="n">
        <f aca="false">Sens!$E$521+(glt_win-Sens!$E$521)*MIN(1,(Sens!J462-base_fy)/n_conv)</f>
        <v>0.0144720377322168</v>
      </c>
      <c r="K521" s="7" t="n">
        <f aca="false">Sens!$E$521+(glt_win-Sens!$E$521)*MIN(1,(Sens!K462-base_fy)/n_conv)</f>
        <v>0.02</v>
      </c>
    </row>
    <row r="522" customFormat="false" ht="15" hidden="false" customHeight="false" outlineLevel="0" collapsed="false">
      <c r="A522" s="0" t="s">
        <v>718</v>
      </c>
      <c r="B522" s="0" t="s">
        <v>98</v>
      </c>
      <c r="D522" s="6" t="n">
        <f aca="false">Sens!D516+Sens!D518+Sens!D520</f>
        <v>62.941</v>
      </c>
      <c r="E522" s="6" t="n">
        <f aca="false">Sens!E516+Sens!E518+Sens!E520</f>
        <v>63.712</v>
      </c>
      <c r="F522" s="6" t="n">
        <f aca="false">Sens!F516+Sens!F518+Sens!F520</f>
        <v>65.1415764563129</v>
      </c>
      <c r="G522" s="6" t="n">
        <f aca="false">Sens!G516+Sens!G518+Sens!G520</f>
        <v>67.1253610780702</v>
      </c>
      <c r="H522" s="6" t="n">
        <f aca="false">Sens!H516+Sens!H518+Sens!H520</f>
        <v>69.5768050148776</v>
      </c>
      <c r="I522" s="6" t="n">
        <f aca="false">Sens!I516+Sens!I518+Sens!I520</f>
        <v>72.4233188088189</v>
      </c>
      <c r="J522" s="6" t="n">
        <f aca="false">Sens!J516+Sens!J518+Sens!J520</f>
        <v>75.6044096678567</v>
      </c>
      <c r="K522" s="6" t="n">
        <f aca="false">Sens!K516+Sens!K518+Sens!K520</f>
        <v>79.0714397009747</v>
      </c>
    </row>
    <row r="523" customFormat="false" ht="15" hidden="false" customHeight="false" outlineLevel="0" collapsed="false">
      <c r="A523" s="1" t="s">
        <v>880</v>
      </c>
      <c r="B523" s="0" t="s">
        <v>98</v>
      </c>
      <c r="D523" s="6" t="n">
        <f aca="false">Sens!D515+Sens!D522</f>
        <v>281.724</v>
      </c>
      <c r="E523" s="6" t="n">
        <f aca="false">Sens!E515+Sens!E522</f>
        <v>331.839</v>
      </c>
      <c r="F523" s="6" t="n">
        <f aca="false">Sens!F515+Sens!F522</f>
        <v>393.505009521169</v>
      </c>
      <c r="G523" s="6" t="n">
        <f aca="false">Sens!G515+Sens!G522</f>
        <v>456.395226751344</v>
      </c>
      <c r="H523" s="6" t="n">
        <f aca="false">Sens!H515+Sens!H522</f>
        <v>515.333125886071</v>
      </c>
      <c r="I523" s="6" t="n">
        <f aca="false">Sens!I515+Sens!I522</f>
        <v>577.124545054311</v>
      </c>
      <c r="J523" s="6" t="n">
        <f aca="false">Sens!J515+Sens!J522</f>
        <v>629.119377732358</v>
      </c>
      <c r="K523" s="6" t="n">
        <f aca="false">Sens!K515+Sens!K522</f>
        <v>671.611263404839</v>
      </c>
    </row>
    <row r="524" customFormat="false" ht="15" hidden="false" customHeight="false" outlineLevel="0" collapsed="false">
      <c r="A524" s="23" t="s">
        <v>881</v>
      </c>
      <c r="B524" s="30" t="s">
        <v>98</v>
      </c>
      <c r="C524" s="30"/>
      <c r="D524" s="24" t="n">
        <f aca="false">(Sens!D503+Sens!D508+Sens!D509+Sens!D511+Sens!D513-Sens!D515)+(Sens!D516+Sens!D518+Sens!D520-Sens!D522)+(Sens!D515-Q!L5)+(Sens!D522-Q!L12)+(Sens!D503-Q!L6)+(Sens!D508-Q!L7)</f>
        <v>0</v>
      </c>
      <c r="E524" s="24" t="n">
        <f aca="false">(Sens!E503+Sens!E508+Sens!E509+Sens!E511+Sens!E513-Sens!E515)+(Sens!E516+Sens!E518+Sens!E520-Sens!E522)+(Sens!E515-Q!M5)+(Sens!E522-Q!M12)+(Sens!E503-Q!M6)+(Sens!E508-Q!M7)</f>
        <v>0</v>
      </c>
      <c r="F524" s="24" t="n">
        <f aca="false">(Sens!F503+Sens!F508+Sens!F509+Sens!F511+Sens!F513-Sens!F515)+(Sens!F516+Sens!F518+Sens!F520-Sens!F522)</f>
        <v>0</v>
      </c>
      <c r="G524" s="24" t="n">
        <f aca="false">(Sens!G503+Sens!G508+Sens!G509+Sens!G511+Sens!G513-Sens!G515)+(Sens!G516+Sens!G518+Sens!G520-Sens!G522)</f>
        <v>0</v>
      </c>
      <c r="H524" s="24" t="n">
        <f aca="false">(Sens!H503+Sens!H508+Sens!H509+Sens!H511+Sens!H513-Sens!H515)+(Sens!H516+Sens!H518+Sens!H520-Sens!H522)</f>
        <v>0</v>
      </c>
      <c r="I524" s="24" t="n">
        <f aca="false">(Sens!I503+Sens!I508+Sens!I509+Sens!I511+Sens!I513-Sens!I515)+(Sens!I516+Sens!I518+Sens!I520-Sens!I522)</f>
        <v>0</v>
      </c>
      <c r="J524" s="24" t="n">
        <f aca="false">(Sens!J503+Sens!J508+Sens!J509+Sens!J511+Sens!J513-Sens!J515)+(Sens!J516+Sens!J518+Sens!J520-Sens!J522)</f>
        <v>0</v>
      </c>
      <c r="K524" s="24" t="n">
        <f aca="false">(Sens!K503+Sens!K508+Sens!K509+Sens!K511+Sens!K513-Sens!K515)+(Sens!K516+Sens!K518+Sens!K520-Sens!K522)</f>
        <v>0</v>
      </c>
    </row>
    <row r="525" customFormat="false" ht="17.15" hidden="false" customHeight="false" outlineLevel="0" collapsed="false">
      <c r="A525" s="3" t="s">
        <v>1246</v>
      </c>
    </row>
    <row r="526" customFormat="false" ht="15" hidden="false" customHeight="false" outlineLevel="0" collapsed="false">
      <c r="A526" s="4" t="s">
        <v>43</v>
      </c>
      <c r="B526" s="4" t="s">
        <v>65</v>
      </c>
      <c r="C526" s="20" t="s">
        <v>788</v>
      </c>
      <c r="D526" s="20" t="s">
        <v>789</v>
      </c>
      <c r="E526" s="20" t="s">
        <v>790</v>
      </c>
      <c r="F526" s="20" t="s">
        <v>791</v>
      </c>
      <c r="G526" s="20" t="s">
        <v>792</v>
      </c>
      <c r="H526" s="20" t="s">
        <v>793</v>
      </c>
      <c r="I526" s="20" t="s">
        <v>794</v>
      </c>
      <c r="J526" s="20" t="s">
        <v>795</v>
      </c>
      <c r="K526" s="20" t="s">
        <v>796</v>
      </c>
      <c r="L526" s="4" t="s">
        <v>47</v>
      </c>
    </row>
    <row r="527" customFormat="false" ht="15" hidden="false" customHeight="false" outlineLevel="0" collapsed="false">
      <c r="A527" s="0" t="s">
        <v>867</v>
      </c>
      <c r="B527" s="0" t="s">
        <v>98</v>
      </c>
      <c r="D527" s="6" t="n">
        <f aca="false">Sens!D503</f>
        <v>72.61</v>
      </c>
      <c r="E527" s="6" t="n">
        <f aca="false">Sens!E503</f>
        <v>101.938</v>
      </c>
      <c r="F527" s="6" t="n">
        <f aca="false">Sens!F503</f>
        <v>140.741861125673</v>
      </c>
      <c r="G527" s="6" t="n">
        <f aca="false">Sens!G503</f>
        <v>182.176709135845</v>
      </c>
      <c r="H527" s="6" t="n">
        <f aca="false">Sens!H503</f>
        <v>219.167638189678</v>
      </c>
      <c r="I527" s="6" t="n">
        <f aca="false">Sens!I503</f>
        <v>259.639871266006</v>
      </c>
      <c r="J527" s="6" t="n">
        <f aca="false">Sens!J503</f>
        <v>291.324070960333</v>
      </c>
      <c r="K527" s="6" t="n">
        <f aca="false">Sens!K503</f>
        <v>314.145754363688</v>
      </c>
    </row>
    <row r="528" customFormat="false" ht="17.15" hidden="false" customHeight="false" outlineLevel="0" collapsed="false">
      <c r="A528" s="0" t="s">
        <v>864</v>
      </c>
      <c r="B528" s="0" t="s">
        <v>98</v>
      </c>
      <c r="D528" s="6" t="n">
        <f aca="false">Sens!D500</f>
        <v>12.9359794422418</v>
      </c>
      <c r="E528" s="6" t="n">
        <f aca="false">Sens!E500</f>
        <v>27.8095064661409</v>
      </c>
      <c r="F528" s="6" t="n">
        <f aca="false">Sens!F500</f>
        <v>50.6619113883066</v>
      </c>
      <c r="G528" s="6" t="n">
        <f aca="false">Sens!G500</f>
        <v>75.1482839325348</v>
      </c>
      <c r="H528" s="6" t="n">
        <f aca="false">Sens!H500</f>
        <v>94.895655604042</v>
      </c>
      <c r="I528" s="6" t="n">
        <f aca="false">Sens!I500</f>
        <v>118.706168884151</v>
      </c>
      <c r="J528" s="6" t="n">
        <f aca="false">Sens!J500</f>
        <v>135.305203646001</v>
      </c>
      <c r="K528" s="6" t="n">
        <f aca="false">Sens!K500</f>
        <v>145.64537766421</v>
      </c>
    </row>
    <row r="529" customFormat="false" ht="17.15" hidden="false" customHeight="false" outlineLevel="0" collapsed="false">
      <c r="A529" s="0" t="s">
        <v>892</v>
      </c>
      <c r="B529" s="0" t="s">
        <v>98</v>
      </c>
      <c r="D529" s="6" t="n">
        <f aca="false">Sens!D501</f>
        <v>59.6740205577583</v>
      </c>
      <c r="E529" s="6" t="n">
        <f aca="false">Sens!E501</f>
        <v>74.1284935338591</v>
      </c>
      <c r="F529" s="6" t="n">
        <f aca="false">Sens!F501</f>
        <v>90.0799497373663</v>
      </c>
      <c r="G529" s="6" t="n">
        <f aca="false">Sens!G501</f>
        <v>107.02842520331</v>
      </c>
      <c r="H529" s="6" t="n">
        <f aca="false">Sens!H501</f>
        <v>124.271982585636</v>
      </c>
      <c r="I529" s="6" t="n">
        <f aca="false">Sens!I501</f>
        <v>140.933702381855</v>
      </c>
      <c r="J529" s="6" t="n">
        <f aca="false">Sens!J501</f>
        <v>156.018867314332</v>
      </c>
      <c r="K529" s="6" t="n">
        <f aca="false">Sens!K501</f>
        <v>168.500376699478</v>
      </c>
    </row>
    <row r="530" customFormat="false" ht="15" hidden="false" customHeight="false" outlineLevel="0" collapsed="false">
      <c r="A530" s="0" t="s">
        <v>873</v>
      </c>
      <c r="B530" s="0" t="s">
        <v>98</v>
      </c>
      <c r="D530" s="6" t="n">
        <f aca="false">Sens!D508</f>
        <v>84.605</v>
      </c>
      <c r="E530" s="6" t="n">
        <f aca="false">Sens!E508</f>
        <v>100.299</v>
      </c>
      <c r="F530" s="6" t="n">
        <f aca="false">Sens!F508</f>
        <v>117.39238776686</v>
      </c>
      <c r="G530" s="6" t="n">
        <f aca="false">Sens!G508</f>
        <v>132.544168448684</v>
      </c>
      <c r="H530" s="6" t="n">
        <f aca="false">Sens!H508</f>
        <v>147.777359388781</v>
      </c>
      <c r="I530" s="6" t="n">
        <f aca="false">Sens!I508</f>
        <v>162.084028071957</v>
      </c>
      <c r="J530" s="6" t="n">
        <f aca="false">Sens!J508</f>
        <v>175.182702785465</v>
      </c>
      <c r="K530" s="6" t="n">
        <f aca="false">Sens!K508</f>
        <v>187.527991980448</v>
      </c>
    </row>
    <row r="531" customFormat="false" ht="17.15" hidden="false" customHeight="false" outlineLevel="0" collapsed="false">
      <c r="A531" s="0" t="s">
        <v>893</v>
      </c>
      <c r="B531" s="0" t="s">
        <v>98</v>
      </c>
      <c r="D531" s="6" t="n">
        <f aca="false">Sens!D506</f>
        <v>83.705</v>
      </c>
      <c r="E531" s="6" t="n">
        <f aca="false">Sens!E506</f>
        <v>95.049</v>
      </c>
      <c r="F531" s="6" t="n">
        <f aca="false">Sens!F506</f>
        <v>106.89238776686</v>
      </c>
      <c r="G531" s="6" t="n">
        <f aca="false">Sens!G506</f>
        <v>119.044168448684</v>
      </c>
      <c r="H531" s="6" t="n">
        <f aca="false">Sens!H506</f>
        <v>131.277359388781</v>
      </c>
      <c r="I531" s="6" t="n">
        <f aca="false">Sens!I506</f>
        <v>143.334028071957</v>
      </c>
      <c r="J531" s="6" t="n">
        <f aca="false">Sens!J506</f>
        <v>154.932702785465</v>
      </c>
      <c r="K531" s="6" t="n">
        <f aca="false">Sens!K506</f>
        <v>165.777991980448</v>
      </c>
    </row>
    <row r="532" customFormat="false" ht="17.15" hidden="false" customHeight="false" outlineLevel="0" collapsed="false">
      <c r="A532" s="0" t="s">
        <v>894</v>
      </c>
      <c r="B532" s="0" t="s">
        <v>98</v>
      </c>
      <c r="D532" s="6" t="n">
        <f aca="false">Sens!D505</f>
        <v>0.9</v>
      </c>
      <c r="E532" s="6" t="n">
        <f aca="false">Sens!E505</f>
        <v>5.25</v>
      </c>
      <c r="F532" s="6" t="n">
        <f aca="false">Sens!F505</f>
        <v>10.5</v>
      </c>
      <c r="G532" s="6" t="n">
        <f aca="false">Sens!G505</f>
        <v>13.5</v>
      </c>
      <c r="H532" s="6" t="n">
        <f aca="false">Sens!H505</f>
        <v>16.5</v>
      </c>
      <c r="I532" s="6" t="n">
        <f aca="false">Sens!I505</f>
        <v>18.75</v>
      </c>
      <c r="J532" s="6" t="n">
        <f aca="false">Sens!J505</f>
        <v>20.25</v>
      </c>
      <c r="K532" s="6" t="n">
        <f aca="false">Sens!K505</f>
        <v>21.75</v>
      </c>
    </row>
    <row r="533" customFormat="false" ht="15" hidden="false" customHeight="false" outlineLevel="0" collapsed="false">
      <c r="A533" s="0" t="s">
        <v>874</v>
      </c>
      <c r="B533" s="0" t="s">
        <v>98</v>
      </c>
      <c r="D533" s="6" t="n">
        <f aca="false">Sens!D509</f>
        <v>35.391</v>
      </c>
      <c r="E533" s="6" t="n">
        <f aca="false">Sens!E509</f>
        <v>37.285</v>
      </c>
      <c r="F533" s="6" t="n">
        <f aca="false">Sens!F509</f>
        <v>39.0720834331704</v>
      </c>
      <c r="G533" s="6" t="n">
        <f aca="false">Sens!G509</f>
        <v>40.726562953769</v>
      </c>
      <c r="H533" s="6" t="n">
        <f aca="false">Sens!H509</f>
        <v>42.2235987259198</v>
      </c>
      <c r="I533" s="6" t="n">
        <f aca="false">Sens!I509</f>
        <v>43.5397988077414</v>
      </c>
      <c r="J533" s="6" t="n">
        <f aca="false">Sens!J509</f>
        <v>44.653811225693</v>
      </c>
      <c r="K533" s="6" t="n">
        <f aca="false">Sens!K509</f>
        <v>45.5468874502068</v>
      </c>
    </row>
    <row r="534" customFormat="false" ht="15" hidden="false" customHeight="false" outlineLevel="0" collapsed="false">
      <c r="A534" s="0" t="s">
        <v>875</v>
      </c>
      <c r="B534" s="0" t="s">
        <v>98</v>
      </c>
      <c r="D534" s="6" t="n">
        <f aca="false">Sens!D511</f>
        <v>18.417</v>
      </c>
      <c r="E534" s="6" t="n">
        <f aca="false">Sens!E511</f>
        <v>20.345</v>
      </c>
      <c r="F534" s="6" t="n">
        <f aca="false">Sens!F511</f>
        <v>22.3572203267814</v>
      </c>
      <c r="G534" s="6" t="n">
        <f aca="false">Sens!G511</f>
        <v>24.4392124437232</v>
      </c>
      <c r="H534" s="6" t="n">
        <f aca="false">Sens!H511</f>
        <v>26.5738052080665</v>
      </c>
      <c r="I534" s="6" t="n">
        <f aca="false">Sens!I511</f>
        <v>28.7412169166967</v>
      </c>
      <c r="J534" s="6" t="n">
        <f aca="false">Sens!J511</f>
        <v>30.9192545395413</v>
      </c>
      <c r="K534" s="6" t="n">
        <f aca="false">Sens!K511</f>
        <v>33.0836023573092</v>
      </c>
    </row>
    <row r="535" customFormat="false" ht="15" hidden="false" customHeight="false" outlineLevel="0" collapsed="false">
      <c r="A535" s="0" t="s">
        <v>876</v>
      </c>
      <c r="B535" s="0" t="s">
        <v>98</v>
      </c>
      <c r="D535" s="6" t="n">
        <f aca="false">Sens!D513</f>
        <v>7.76</v>
      </c>
      <c r="E535" s="6" t="n">
        <f aca="false">Sens!E513</f>
        <v>8.26</v>
      </c>
      <c r="F535" s="6" t="n">
        <f aca="false">Sens!F513</f>
        <v>8.79988041237113</v>
      </c>
      <c r="G535" s="6" t="n">
        <f aca="false">Sens!G513</f>
        <v>9.38321269125306</v>
      </c>
      <c r="H535" s="6" t="n">
        <f aca="false">Sens!H513</f>
        <v>10.0139193587476</v>
      </c>
      <c r="I535" s="6" t="n">
        <f aca="false">Sens!I513</f>
        <v>10.6963111830911</v>
      </c>
      <c r="J535" s="6" t="n">
        <f aca="false">Sens!J513</f>
        <v>11.4351285534696</v>
      </c>
      <c r="K535" s="6" t="n">
        <f aca="false">Sens!K513</f>
        <v>12.2355875522124</v>
      </c>
    </row>
    <row r="536" customFormat="false" ht="15" hidden="false" customHeight="false" outlineLevel="0" collapsed="false">
      <c r="A536" s="0" t="s">
        <v>704</v>
      </c>
      <c r="B536" s="0" t="s">
        <v>98</v>
      </c>
      <c r="D536" s="6" t="n">
        <f aca="false">Sens!D515</f>
        <v>218.783</v>
      </c>
      <c r="E536" s="6" t="n">
        <f aca="false">Sens!E515</f>
        <v>268.127</v>
      </c>
      <c r="F536" s="6" t="n">
        <f aca="false">Sens!F515</f>
        <v>328.363433064856</v>
      </c>
      <c r="G536" s="6" t="n">
        <f aca="false">Sens!G515</f>
        <v>389.269865673274</v>
      </c>
      <c r="H536" s="6" t="n">
        <f aca="false">Sens!H515</f>
        <v>445.756320871193</v>
      </c>
      <c r="I536" s="6" t="n">
        <f aca="false">Sens!I515</f>
        <v>504.701226245492</v>
      </c>
      <c r="J536" s="6" t="n">
        <f aca="false">Sens!J515</f>
        <v>553.514968064502</v>
      </c>
      <c r="K536" s="6" t="n">
        <f aca="false">Sens!K515</f>
        <v>592.539823703865</v>
      </c>
    </row>
    <row r="537" customFormat="false" ht="15" hidden="false" customHeight="false" outlineLevel="0" collapsed="false">
      <c r="A537" s="0" t="s">
        <v>877</v>
      </c>
      <c r="B537" s="0" t="s">
        <v>98</v>
      </c>
      <c r="D537" s="6" t="n">
        <f aca="false">Sens!D516</f>
        <v>22.171</v>
      </c>
      <c r="E537" s="6" t="n">
        <f aca="false">Sens!E516</f>
        <v>24.835</v>
      </c>
      <c r="F537" s="6" t="n">
        <f aca="false">Sens!F516</f>
        <v>27.6114901218559</v>
      </c>
      <c r="G537" s="6" t="n">
        <f aca="false">Sens!G516</f>
        <v>30.4675667338515</v>
      </c>
      <c r="H537" s="6" t="n">
        <f aca="false">Sens!H516</f>
        <v>33.3643766955789</v>
      </c>
      <c r="I537" s="6" t="n">
        <f aca="false">Sens!I516</f>
        <v>36.2577016533691</v>
      </c>
      <c r="J537" s="6" t="n">
        <f aca="false">Sens!J516</f>
        <v>39.0988367952171</v>
      </c>
      <c r="K537" s="6" t="n">
        <f aca="false">Sens!K516</f>
        <v>41.8357553708823</v>
      </c>
    </row>
    <row r="538" customFormat="false" ht="15" hidden="false" customHeight="false" outlineLevel="0" collapsed="false">
      <c r="A538" s="0" t="s">
        <v>878</v>
      </c>
      <c r="B538" s="0" t="s">
        <v>98</v>
      </c>
      <c r="D538" s="6" t="n">
        <f aca="false">Sens!D518</f>
        <v>23.455</v>
      </c>
      <c r="E538" s="6" t="n">
        <f aca="false">Sens!E518</f>
        <v>21.79</v>
      </c>
      <c r="F538" s="6" t="n">
        <f aca="false">Sens!F518</f>
        <v>20.5736277908051</v>
      </c>
      <c r="G538" s="6" t="n">
        <f aca="false">Sens!G518</f>
        <v>19.7371452817919</v>
      </c>
      <c r="H538" s="6" t="n">
        <f aca="false">Sens!H518</f>
        <v>19.2339764043138</v>
      </c>
      <c r="I538" s="6" t="n">
        <f aca="false">Sens!I518</f>
        <v>19.0353086852681</v>
      </c>
      <c r="J538" s="6" t="n">
        <f aca="false">Sens!J518</f>
        <v>19.1273539319129</v>
      </c>
      <c r="K538" s="6" t="n">
        <f aca="false">Sens!K518</f>
        <v>19.5099010105511</v>
      </c>
    </row>
    <row r="539" customFormat="false" ht="15" hidden="false" customHeight="false" outlineLevel="0" collapsed="false">
      <c r="A539" s="0" t="s">
        <v>879</v>
      </c>
      <c r="B539" s="0" t="s">
        <v>98</v>
      </c>
      <c r="D539" s="6" t="n">
        <f aca="false">Sens!D520</f>
        <v>17.315</v>
      </c>
      <c r="E539" s="6" t="n">
        <f aca="false">Sens!E520</f>
        <v>17.087</v>
      </c>
      <c r="F539" s="6" t="n">
        <f aca="false">Sens!F520</f>
        <v>16.9564585436519</v>
      </c>
      <c r="G539" s="6" t="n">
        <f aca="false">Sens!G520</f>
        <v>16.9206490624268</v>
      </c>
      <c r="H539" s="6" t="n">
        <f aca="false">Sens!H520</f>
        <v>16.9784519149849</v>
      </c>
      <c r="I539" s="6" t="n">
        <f aca="false">Sens!I520</f>
        <v>17.1303084701817</v>
      </c>
      <c r="J539" s="6" t="n">
        <f aca="false">Sens!J520</f>
        <v>17.3782189407267</v>
      </c>
      <c r="K539" s="6" t="n">
        <f aca="false">Sens!K520</f>
        <v>17.7257833195413</v>
      </c>
    </row>
    <row r="540" customFormat="false" ht="15" hidden="false" customHeight="false" outlineLevel="0" collapsed="false">
      <c r="A540" s="0" t="s">
        <v>718</v>
      </c>
      <c r="B540" s="0" t="s">
        <v>98</v>
      </c>
      <c r="D540" s="6" t="n">
        <f aca="false">Sens!D522</f>
        <v>62.941</v>
      </c>
      <c r="E540" s="6" t="n">
        <f aca="false">Sens!E522</f>
        <v>63.712</v>
      </c>
      <c r="F540" s="6" t="n">
        <f aca="false">Sens!F522</f>
        <v>65.1415764563129</v>
      </c>
      <c r="G540" s="6" t="n">
        <f aca="false">Sens!G522</f>
        <v>67.1253610780702</v>
      </c>
      <c r="H540" s="6" t="n">
        <f aca="false">Sens!H522</f>
        <v>69.5768050148776</v>
      </c>
      <c r="I540" s="6" t="n">
        <f aca="false">Sens!I522</f>
        <v>72.4233188088189</v>
      </c>
      <c r="J540" s="6" t="n">
        <f aca="false">Sens!J522</f>
        <v>75.6044096678567</v>
      </c>
      <c r="K540" s="6" t="n">
        <f aca="false">Sens!K522</f>
        <v>79.0714397009747</v>
      </c>
    </row>
    <row r="541" customFormat="false" ht="15" hidden="false" customHeight="false" outlineLevel="0" collapsed="false">
      <c r="A541" s="1" t="s">
        <v>895</v>
      </c>
      <c r="B541" s="0" t="s">
        <v>98</v>
      </c>
      <c r="D541" s="6" t="n">
        <f aca="false">Sens!D523</f>
        <v>281.724</v>
      </c>
      <c r="E541" s="6" t="n">
        <f aca="false">Sens!E523</f>
        <v>331.839</v>
      </c>
      <c r="F541" s="6" t="n">
        <f aca="false">Sens!F523</f>
        <v>393.505009521169</v>
      </c>
      <c r="G541" s="6" t="n">
        <f aca="false">Sens!G523</f>
        <v>456.395226751344</v>
      </c>
      <c r="H541" s="6" t="n">
        <f aca="false">Sens!H523</f>
        <v>515.333125886071</v>
      </c>
      <c r="I541" s="6" t="n">
        <f aca="false">Sens!I523</f>
        <v>577.124545054311</v>
      </c>
      <c r="J541" s="6" t="n">
        <f aca="false">Sens!J523</f>
        <v>629.119377732358</v>
      </c>
      <c r="K541" s="6" t="n">
        <f aca="false">Sens!K523</f>
        <v>671.611263404839</v>
      </c>
    </row>
    <row r="542" customFormat="false" ht="15" hidden="false" customHeight="false" outlineLevel="0" collapsed="false">
      <c r="A542" s="1" t="s">
        <v>896</v>
      </c>
      <c r="B542" s="0" t="s">
        <v>129</v>
      </c>
      <c r="E542" s="7" t="n">
        <f aca="false">Sens!E541/Sens!D541-1</f>
        <v>0.177886867998467</v>
      </c>
      <c r="F542" s="7" t="n">
        <f aca="false">Sens!F541/Sens!E541-1</f>
        <v>0.185831109427067</v>
      </c>
      <c r="G542" s="7" t="n">
        <f aca="false">Sens!G541/Sens!F541-1</f>
        <v>0.159820626697237</v>
      </c>
      <c r="H542" s="7" t="n">
        <f aca="false">Sens!H541/Sens!G541-1</f>
        <v>0.129137851756801</v>
      </c>
      <c r="I542" s="7" t="n">
        <f aca="false">Sens!I541/Sens!H541-1</f>
        <v>0.119905777572508</v>
      </c>
      <c r="J542" s="7" t="n">
        <f aca="false">Sens!J541/Sens!I541-1</f>
        <v>0.090092915166438</v>
      </c>
      <c r="K542" s="7" t="n">
        <f aca="false">Sens!K541/Sens!J541-1</f>
        <v>0.0675418484575083</v>
      </c>
    </row>
    <row r="543" customFormat="false" ht="17.15" hidden="false" customHeight="false" outlineLevel="0" collapsed="false">
      <c r="A543" s="23" t="s">
        <v>897</v>
      </c>
      <c r="B543" s="30" t="s">
        <v>98</v>
      </c>
      <c r="C543" s="30"/>
      <c r="D543" s="24" t="n">
        <f aca="false">(Sens!D536+Sens!D540-Sens!D541)+(Sens!D528+Sens!D529-Sens!D527)+(Sens!D531+Sens!D532-Sens!D530)+(Sens!D541-Q!L18)</f>
        <v>0</v>
      </c>
      <c r="E543" s="24" t="n">
        <f aca="false">(Sens!E536+Sens!E540-Sens!E541)+(Sens!E528+Sens!E529-Sens!E527)+(Sens!E531+Sens!E532-Sens!E530)+(Sens!E541-Q!M18)</f>
        <v>0</v>
      </c>
      <c r="F543" s="24" t="n">
        <f aca="false">(Sens!F536+Sens!F540-Sens!F541)+(Sens!F528+Sens!F529-Sens!F527)+(Sens!F531+Sens!F532-Sens!F530)</f>
        <v>0</v>
      </c>
      <c r="G543" s="24" t="n">
        <f aca="false">(Sens!G536+Sens!G540-Sens!G541)+(Sens!G528+Sens!G529-Sens!G527)+(Sens!G531+Sens!G532-Sens!G530)</f>
        <v>0</v>
      </c>
      <c r="H543" s="24" t="n">
        <f aca="false">(Sens!H536+Sens!H540-Sens!H541)+(Sens!H528+Sens!H529-Sens!H527)+(Sens!H531+Sens!H532-Sens!H530)</f>
        <v>0</v>
      </c>
      <c r="I543" s="24" t="n">
        <f aca="false">(Sens!I536+Sens!I540-Sens!I541)+(Sens!I528+Sens!I529-Sens!I527)+(Sens!I531+Sens!I532-Sens!I530)</f>
        <v>0</v>
      </c>
      <c r="J543" s="24" t="n">
        <f aca="false">(Sens!J536+Sens!J540-Sens!J541)+(Sens!J528+Sens!J529-Sens!J527)+(Sens!J531+Sens!J532-Sens!J530)</f>
        <v>0</v>
      </c>
      <c r="K543" s="24" t="n">
        <f aca="false">(Sens!K536+Sens!K540-Sens!K541)+(Sens!K528+Sens!K529-Sens!K527)+(Sens!K531+Sens!K532-Sens!K530)</f>
        <v>0</v>
      </c>
    </row>
    <row r="544" customFormat="false" ht="17.15" hidden="false" customHeight="false" outlineLevel="0" collapsed="false">
      <c r="A544" s="0" t="s">
        <v>898</v>
      </c>
      <c r="B544" s="0" t="s">
        <v>129</v>
      </c>
      <c r="E544" s="7" t="n">
        <f aca="false">(Q!M21+Sens!E481+Sens!E482+Sens!E483+Sens!E496-Sens!E479)/(Q!M5-Sens!E479)</f>
        <v>0.570957350878296</v>
      </c>
      <c r="F544" s="7" t="n">
        <f aca="false">Sens!$E$544+dm_seg</f>
        <v>0.570957350878296</v>
      </c>
      <c r="G544" s="7" t="n">
        <f aca="false">Sens!$E$544+dm_seg</f>
        <v>0.570957350878296</v>
      </c>
      <c r="H544" s="7" t="n">
        <f aca="false">Sens!$E$544+dm_seg</f>
        <v>0.570957350878296</v>
      </c>
      <c r="I544" s="7" t="n">
        <f aca="false">Sens!$E$544+dm_seg</f>
        <v>0.570957350878296</v>
      </c>
      <c r="J544" s="7" t="n">
        <f aca="false">Sens!$E$544+dm_seg</f>
        <v>0.570957350878296</v>
      </c>
      <c r="K544" s="7" t="n">
        <f aca="false">Sens!$E$544+dm_seg</f>
        <v>0.570957350878296</v>
      </c>
      <c r="L544" s="11" t="s">
        <v>899</v>
      </c>
    </row>
    <row r="545" customFormat="false" ht="17.15" hidden="false" customHeight="false" outlineLevel="0" collapsed="false">
      <c r="A545" s="0" t="s">
        <v>732</v>
      </c>
      <c r="B545" s="0" t="s">
        <v>98</v>
      </c>
      <c r="D545" s="6" t="n">
        <f aca="false">Q!L21</f>
        <v>110.814</v>
      </c>
      <c r="E545" s="6" t="n">
        <f aca="false">Q!M21</f>
        <v>136.365</v>
      </c>
      <c r="F545" s="6" t="n">
        <f aca="false">Sens!F544*(Sens!F515-Sens!F479)+Sens!F479-(Sens!F481+Sens!F482+Sens!F483)-Sens!F496</f>
        <v>152.327104707477</v>
      </c>
      <c r="G545" s="6" t="n">
        <f aca="false">Sens!G544*(Sens!G515-Sens!G479)+Sens!G479-(Sens!G481+Sens!G482+Sens!G483)-Sens!G496</f>
        <v>160.284158901175</v>
      </c>
      <c r="H545" s="6" t="n">
        <f aca="false">Sens!H544*(Sens!H515-Sens!H479)+Sens!H479-(Sens!H481+Sens!H482+Sens!H483)-Sens!H496</f>
        <v>162.575399324207</v>
      </c>
      <c r="I545" s="6" t="n">
        <f aca="false">Sens!I544*(Sens!I515-Sens!I479)+Sens!I479-(Sens!I481+Sens!I482+Sens!I483)-Sens!I496</f>
        <v>172.501622225583</v>
      </c>
      <c r="J545" s="6" t="n">
        <f aca="false">Sens!J544*(Sens!J515-Sens!J479)+Sens!J479-(Sens!J481+Sens!J482+Sens!J483)-Sens!J496</f>
        <v>183.760943249622</v>
      </c>
      <c r="K545" s="6" t="n">
        <f aca="false">Sens!K544*(Sens!K515-Sens!K479)+Sens!K479-(Sens!K481+Sens!K482+Sens!K483)-Sens!K496</f>
        <v>196.507186301078</v>
      </c>
      <c r="L545" s="1" t="s">
        <v>900</v>
      </c>
    </row>
    <row r="546" customFormat="false" ht="17.15" hidden="false" customHeight="false" outlineLevel="0" collapsed="false">
      <c r="A546" s="0" t="s">
        <v>901</v>
      </c>
      <c r="B546" s="0" t="s">
        <v>129</v>
      </c>
      <c r="E546" s="7" t="n">
        <f aca="false">Q!M22/Q!M12</f>
        <v>0.296207935710698</v>
      </c>
      <c r="F546" s="7" t="n">
        <f aca="false">Sens!$E$546+dm_seg</f>
        <v>0.296207935710698</v>
      </c>
      <c r="G546" s="7" t="n">
        <f aca="false">Sens!$E$546+dm_seg</f>
        <v>0.296207935710698</v>
      </c>
      <c r="H546" s="7" t="n">
        <f aca="false">Sens!$E$546+dm_seg</f>
        <v>0.296207935710698</v>
      </c>
      <c r="I546" s="7" t="n">
        <f aca="false">Sens!$E$546+dm_seg</f>
        <v>0.296207935710698</v>
      </c>
      <c r="J546" s="7" t="n">
        <f aca="false">Sens!$E$546+dm_seg</f>
        <v>0.296207935710698</v>
      </c>
      <c r="K546" s="7" t="n">
        <f aca="false">Sens!$E$546+dm_seg</f>
        <v>0.296207935710698</v>
      </c>
      <c r="L546" s="11" t="s">
        <v>902</v>
      </c>
    </row>
    <row r="547" customFormat="false" ht="17.15" hidden="false" customHeight="false" outlineLevel="0" collapsed="false">
      <c r="A547" s="0" t="s">
        <v>734</v>
      </c>
      <c r="B547" s="0" t="s">
        <v>98</v>
      </c>
      <c r="D547" s="6" t="n">
        <f aca="false">Q!L22</f>
        <v>17.714</v>
      </c>
      <c r="E547" s="6" t="n">
        <f aca="false">Q!M22</f>
        <v>18.872</v>
      </c>
      <c r="F547" s="6" t="n">
        <f aca="false">Sens!F522*Sens!F546</f>
        <v>19.2954518910651</v>
      </c>
      <c r="G547" s="6" t="n">
        <f aca="false">Sens!G522*Sens!G546</f>
        <v>19.8830646387704</v>
      </c>
      <c r="H547" s="6" t="n">
        <f aca="false">Sens!H522*Sens!H546</f>
        <v>20.6092017868026</v>
      </c>
      <c r="I547" s="6" t="n">
        <f aca="false">Sens!I522*Sens!I546</f>
        <v>21.452361761678</v>
      </c>
      <c r="J547" s="6" t="n">
        <f aca="false">Sens!J522*Sens!J546</f>
        <v>22.3946261183418</v>
      </c>
      <c r="K547" s="6" t="n">
        <f aca="false">Sens!K522*Sens!K546</f>
        <v>23.4215879274986</v>
      </c>
    </row>
    <row r="548" customFormat="false" ht="15" hidden="false" customHeight="false" outlineLevel="0" collapsed="false">
      <c r="A548" s="1" t="s">
        <v>903</v>
      </c>
      <c r="B548" s="0" t="s">
        <v>98</v>
      </c>
      <c r="D548" s="6" t="n">
        <f aca="false">Sens!D545+Sens!D547</f>
        <v>128.528</v>
      </c>
      <c r="E548" s="6" t="n">
        <f aca="false">Sens!E545+Sens!E547</f>
        <v>155.237</v>
      </c>
      <c r="F548" s="6" t="n">
        <f aca="false">Sens!F545+Sens!F547</f>
        <v>171.622556598542</v>
      </c>
      <c r="G548" s="6" t="n">
        <f aca="false">Sens!G545+Sens!G547</f>
        <v>180.167223539945</v>
      </c>
      <c r="H548" s="6" t="n">
        <f aca="false">Sens!H545+Sens!H547</f>
        <v>183.184601111009</v>
      </c>
      <c r="I548" s="6" t="n">
        <f aca="false">Sens!I545+Sens!I547</f>
        <v>193.953983987261</v>
      </c>
      <c r="J548" s="6" t="n">
        <f aca="false">Sens!J545+Sens!J547</f>
        <v>206.155569367964</v>
      </c>
      <c r="K548" s="6" t="n">
        <f aca="false">Sens!K545+Sens!K547</f>
        <v>219.928774228577</v>
      </c>
    </row>
    <row r="549" customFormat="false" ht="15" hidden="false" customHeight="false" outlineLevel="0" collapsed="false">
      <c r="A549" s="23" t="s">
        <v>904</v>
      </c>
      <c r="B549" s="30" t="s">
        <v>98</v>
      </c>
      <c r="C549" s="30"/>
      <c r="D549" s="24" t="n">
        <f aca="false">Sens!D548-Q!L23</f>
        <v>0</v>
      </c>
      <c r="E549" s="24" t="n">
        <f aca="false">Sens!E548-Q!M23</f>
        <v>0</v>
      </c>
      <c r="F549" s="30"/>
      <c r="G549" s="30"/>
      <c r="H549" s="30"/>
      <c r="I549" s="30"/>
      <c r="J549" s="30"/>
      <c r="K549" s="30"/>
    </row>
    <row r="550" customFormat="false" ht="15" hidden="false" customHeight="false" outlineLevel="0" collapsed="false">
      <c r="A550" s="1" t="s">
        <v>905</v>
      </c>
      <c r="B550" s="0" t="s">
        <v>129</v>
      </c>
      <c r="D550" s="7" t="n">
        <f aca="false">Sens!D548/Sens!D541</f>
        <v>0.456219562408598</v>
      </c>
      <c r="E550" s="7" t="n">
        <f aca="false">Sens!E548/Sens!E541</f>
        <v>0.467808184089272</v>
      </c>
      <c r="F550" s="7" t="n">
        <f aca="false">Sens!F548/Sens!F541</f>
        <v>0.436138174727123</v>
      </c>
      <c r="G550" s="7" t="n">
        <f aca="false">Sens!G548/Sens!G541</f>
        <v>0.394761410679926</v>
      </c>
      <c r="H550" s="7" t="n">
        <f aca="false">Sens!H548/Sens!H541</f>
        <v>0.355468321187464</v>
      </c>
      <c r="I550" s="7" t="n">
        <f aca="false">Sens!I548/Sens!I541</f>
        <v>0.336069546251942</v>
      </c>
      <c r="J550" s="7" t="n">
        <f aca="false">Sens!J548/Sens!J541</f>
        <v>0.327689110628011</v>
      </c>
      <c r="K550" s="7" t="n">
        <f aca="false">Sens!K548/Sens!K541</f>
        <v>0.32746439229386</v>
      </c>
    </row>
    <row r="551" customFormat="false" ht="17.15" hidden="false" customHeight="false" outlineLevel="0" collapsed="false">
      <c r="A551" s="1" t="s">
        <v>906</v>
      </c>
      <c r="B551" s="0" t="s">
        <v>98</v>
      </c>
      <c r="F551" s="6" t="n">
        <f aca="false">Sens!F566</f>
        <v>0</v>
      </c>
      <c r="G551" s="6" t="n">
        <f aca="false">Sens!G566</f>
        <v>0</v>
      </c>
      <c r="H551" s="6" t="n">
        <f aca="false">Sens!H566</f>
        <v>0</v>
      </c>
      <c r="I551" s="6" t="n">
        <f aca="false">Sens!I566</f>
        <v>0</v>
      </c>
      <c r="J551" s="6" t="n">
        <f aca="false">Sens!J566</f>
        <v>0</v>
      </c>
      <c r="K551" s="6" t="n">
        <f aca="false">Sens!K566</f>
        <v>0</v>
      </c>
      <c r="L551" s="1" t="s">
        <v>907</v>
      </c>
    </row>
    <row r="552" customFormat="false" ht="17.15" hidden="false" customHeight="false" outlineLevel="0" collapsed="false">
      <c r="A552" s="1" t="s">
        <v>908</v>
      </c>
      <c r="B552" s="0" t="s">
        <v>98</v>
      </c>
      <c r="D552" s="6" t="n">
        <f aca="false">Sens!D548</f>
        <v>128.528</v>
      </c>
      <c r="E552" s="6" t="n">
        <f aca="false">Sens!E548</f>
        <v>155.237</v>
      </c>
      <c r="F552" s="6" t="n">
        <f aca="false">Sens!F548+Sens!F551</f>
        <v>171.622556598542</v>
      </c>
      <c r="G552" s="6" t="n">
        <f aca="false">Sens!G548+Sens!G551</f>
        <v>180.167223539945</v>
      </c>
      <c r="H552" s="6" t="n">
        <f aca="false">Sens!H548+Sens!H551</f>
        <v>183.184601111009</v>
      </c>
      <c r="I552" s="6" t="n">
        <f aca="false">Sens!I548+Sens!I551</f>
        <v>193.953983987261</v>
      </c>
      <c r="J552" s="6" t="n">
        <f aca="false">Sens!J548+Sens!J551</f>
        <v>206.155569367964</v>
      </c>
      <c r="K552" s="6" t="n">
        <f aca="false">Sens!K548+Sens!K551</f>
        <v>219.928774228577</v>
      </c>
    </row>
    <row r="553" customFormat="false" ht="17.15" hidden="false" customHeight="false" outlineLevel="0" collapsed="false">
      <c r="A553" s="1" t="s">
        <v>909</v>
      </c>
      <c r="B553" s="0" t="s">
        <v>98</v>
      </c>
      <c r="E553" s="6" t="n">
        <f aca="false">Sens!E496</f>
        <v>16.3054059770833</v>
      </c>
      <c r="F553" s="6" t="n">
        <f aca="false">Sens!F496</f>
        <v>34.7530354558698</v>
      </c>
      <c r="G553" s="6" t="n">
        <f aca="false">Sens!G496</f>
        <v>60.5317332603396</v>
      </c>
      <c r="H553" s="6" t="n">
        <f aca="false">Sens!H496</f>
        <v>87.7673159931396</v>
      </c>
      <c r="I553" s="6" t="n">
        <f aca="false">Sens!I496</f>
        <v>112.012039982221</v>
      </c>
      <c r="J553" s="6" t="n">
        <f aca="false">Sens!J496</f>
        <v>129.208710922666</v>
      </c>
      <c r="K553" s="6" t="n">
        <f aca="false">Sens!K496</f>
        <v>139.672646804474</v>
      </c>
    </row>
    <row r="554" customFormat="false" ht="17.15" hidden="false" customHeight="false" outlineLevel="0" collapsed="false">
      <c r="A554" s="1" t="s">
        <v>910</v>
      </c>
      <c r="B554" s="0" t="s">
        <v>98</v>
      </c>
      <c r="E554" s="6" t="n">
        <f aca="false">Sens!E578</f>
        <v>22.2285940229167</v>
      </c>
      <c r="F554" s="6" t="n">
        <f aca="false">Sens!F578</f>
        <v>23.5486693435813</v>
      </c>
      <c r="G554" s="6" t="n">
        <f aca="false">Sens!G578</f>
        <v>25.264091766262</v>
      </c>
      <c r="H554" s="6" t="n">
        <f aca="false">Sens!H578</f>
        <v>27.3438339540448</v>
      </c>
      <c r="I554" s="6" t="n">
        <f aca="false">Sens!I578</f>
        <v>29.7317905898047</v>
      </c>
      <c r="J554" s="6" t="n">
        <f aca="false">Sens!J578</f>
        <v>32.3542028558616</v>
      </c>
      <c r="K554" s="6" t="n">
        <f aca="false">Sens!K578</f>
        <v>35.1281528444749</v>
      </c>
    </row>
    <row r="555" customFormat="false" ht="17.15" hidden="false" customHeight="false" outlineLevel="0" collapsed="false">
      <c r="A555" s="1" t="s">
        <v>911</v>
      </c>
      <c r="B555" s="0" t="s">
        <v>98</v>
      </c>
      <c r="D555" s="6" t="n">
        <f aca="false">Q!L27</f>
        <v>-4.901</v>
      </c>
      <c r="E555" s="6" t="n">
        <f aca="false">Q!M27</f>
        <v>10.697</v>
      </c>
      <c r="F555" s="6" t="n">
        <f aca="false">oie_f</f>
        <v>-0.4</v>
      </c>
      <c r="G555" s="6" t="n">
        <f aca="false">oie_f</f>
        <v>-0.4</v>
      </c>
      <c r="H555" s="6" t="n">
        <f aca="false">oie_f</f>
        <v>-0.4</v>
      </c>
      <c r="I555" s="6" t="n">
        <f aca="false">oie_f</f>
        <v>-0.4</v>
      </c>
      <c r="J555" s="6" t="n">
        <f aca="false">oie_f</f>
        <v>-0.4</v>
      </c>
      <c r="K555" s="6" t="n">
        <f aca="false">oie_f</f>
        <v>-0.4</v>
      </c>
      <c r="L555" s="11" t="s">
        <v>912</v>
      </c>
    </row>
    <row r="556" customFormat="false" ht="15" hidden="false" customHeight="false" outlineLevel="0" collapsed="false">
      <c r="A556" s="1" t="s">
        <v>913</v>
      </c>
      <c r="B556" s="0" t="s">
        <v>98</v>
      </c>
      <c r="D556" s="6" t="n">
        <f aca="false">Sens!D548+Sens!D555</f>
        <v>123.627</v>
      </c>
      <c r="E556" s="6" t="n">
        <f aca="false">Sens!E548+Sens!E555</f>
        <v>165.934</v>
      </c>
      <c r="F556" s="6" t="n">
        <f aca="false">Sens!F548+Sens!F555</f>
        <v>171.222556598542</v>
      </c>
      <c r="G556" s="6" t="n">
        <f aca="false">Sens!G548+Sens!G555</f>
        <v>179.767223539945</v>
      </c>
      <c r="H556" s="6" t="n">
        <f aca="false">Sens!H548+Sens!H555</f>
        <v>182.784601111009</v>
      </c>
      <c r="I556" s="6" t="n">
        <f aca="false">Sens!I548+Sens!I555</f>
        <v>193.553983987261</v>
      </c>
      <c r="J556" s="6" t="n">
        <f aca="false">Sens!J548+Sens!J555</f>
        <v>205.755569367964</v>
      </c>
      <c r="K556" s="6" t="n">
        <f aca="false">Sens!K548+Sens!K555</f>
        <v>219.528774228577</v>
      </c>
    </row>
    <row r="557" customFormat="false" ht="15" hidden="false" customHeight="false" outlineLevel="0" collapsed="false">
      <c r="A557" s="1" t="s">
        <v>914</v>
      </c>
      <c r="B557" s="0" t="s">
        <v>98</v>
      </c>
      <c r="D557" s="6" t="n">
        <f aca="false">Q!L29</f>
        <v>21.795</v>
      </c>
      <c r="E557" s="6" t="n">
        <f aca="false">Q!M29</f>
        <v>32.185</v>
      </c>
      <c r="F557" s="6" t="n">
        <f aca="false">Sens!F556*tax_f</f>
        <v>34.2445113197083</v>
      </c>
      <c r="G557" s="6" t="n">
        <f aca="false">Sens!G556*tax_f</f>
        <v>35.9534447079891</v>
      </c>
      <c r="H557" s="6" t="n">
        <f aca="false">Sens!H556*tax_f</f>
        <v>36.5569202222019</v>
      </c>
      <c r="I557" s="6" t="n">
        <f aca="false">Sens!I556*tax_f</f>
        <v>38.7107967974522</v>
      </c>
      <c r="J557" s="6" t="n">
        <f aca="false">Sens!J556*tax_f</f>
        <v>41.1511138735928</v>
      </c>
      <c r="K557" s="6" t="n">
        <f aca="false">Sens!K556*tax_f</f>
        <v>43.9057548457154</v>
      </c>
    </row>
    <row r="558" customFormat="false" ht="15" hidden="false" customHeight="false" outlineLevel="0" collapsed="false">
      <c r="A558" s="1" t="s">
        <v>915</v>
      </c>
      <c r="B558" s="0" t="s">
        <v>98</v>
      </c>
      <c r="D558" s="6" t="n">
        <f aca="false">Sens!D556-Sens!D557</f>
        <v>101.832</v>
      </c>
      <c r="E558" s="6" t="n">
        <f aca="false">Sens!E556-Sens!E557</f>
        <v>133.749</v>
      </c>
      <c r="F558" s="6" t="n">
        <f aca="false">Sens!F556-Sens!F557</f>
        <v>136.978045278833</v>
      </c>
      <c r="G558" s="6" t="n">
        <f aca="false">Sens!G556-Sens!G557</f>
        <v>143.813778831956</v>
      </c>
      <c r="H558" s="6" t="n">
        <f aca="false">Sens!H556-Sens!H557</f>
        <v>146.227680888807</v>
      </c>
      <c r="I558" s="6" t="n">
        <f aca="false">Sens!I556-Sens!I557</f>
        <v>154.843187189809</v>
      </c>
      <c r="J558" s="6" t="n">
        <f aca="false">Sens!J556-Sens!J557</f>
        <v>164.604455494371</v>
      </c>
      <c r="K558" s="6" t="n">
        <f aca="false">Sens!K556-Sens!K557</f>
        <v>175.623019382862</v>
      </c>
    </row>
    <row r="559" customFormat="false" ht="17.15" hidden="false" customHeight="false" outlineLevel="0" collapsed="false">
      <c r="A559" s="1" t="s">
        <v>916</v>
      </c>
      <c r="B559" s="1" t="s">
        <v>81</v>
      </c>
      <c r="D559" s="14" t="n">
        <f aca="false">Q!L31</f>
        <v>7.465</v>
      </c>
      <c r="E559" s="14" t="n">
        <f aca="false">Q!M31</f>
        <v>7.453</v>
      </c>
      <c r="F559" s="14" t="n">
        <f aca="false">Sens!F600</f>
        <v>7.4735</v>
      </c>
      <c r="G559" s="14" t="n">
        <f aca="false">Sens!G600</f>
        <v>7.5185</v>
      </c>
      <c r="H559" s="14" t="n">
        <f aca="false">Sens!H600</f>
        <v>7.55835298181311</v>
      </c>
      <c r="I559" s="14" t="n">
        <f aca="false">Sens!I600</f>
        <v>7.58223520978358</v>
      </c>
      <c r="J559" s="14" t="n">
        <f aca="false">Sens!J600</f>
        <v>7.59647672090146</v>
      </c>
      <c r="K559" s="14" t="n">
        <f aca="false">Sens!K600</f>
        <v>7.6129966386032</v>
      </c>
    </row>
    <row r="560" customFormat="false" ht="17.15" hidden="false" customHeight="false" outlineLevel="0" collapsed="false">
      <c r="A560" s="0" t="s">
        <v>917</v>
      </c>
      <c r="B560" s="0" t="s">
        <v>75</v>
      </c>
      <c r="D560" s="8" t="n">
        <f aca="false">Sens!D558/Sens!D559</f>
        <v>13.641259209645</v>
      </c>
      <c r="E560" s="8" t="n">
        <f aca="false">Sens!E558/Sens!E559</f>
        <v>17.9456594659869</v>
      </c>
      <c r="F560" s="8" t="n">
        <f aca="false">Sens!F558/Sens!F559</f>
        <v>18.3285000707611</v>
      </c>
      <c r="G560" s="8" t="n">
        <f aca="false">Sens!G558/Sens!G559</f>
        <v>19.1279881401817</v>
      </c>
      <c r="H560" s="8" t="n">
        <f aca="false">Sens!H558/Sens!H559</f>
        <v>19.3465006517505</v>
      </c>
      <c r="I560" s="8" t="n">
        <f aca="false">Sens!I558/Sens!I559</f>
        <v>20.4218390627094</v>
      </c>
      <c r="J560" s="8" t="n">
        <f aca="false">Sens!J558/Sens!J559</f>
        <v>21.6685262842269</v>
      </c>
      <c r="K560" s="8" t="n">
        <f aca="false">Sens!K558/Sens!K559</f>
        <v>23.0688423652167</v>
      </c>
      <c r="L560" s="1" t="s">
        <v>918</v>
      </c>
    </row>
    <row r="561" customFormat="false" ht="17.15" hidden="false" customHeight="false" outlineLevel="0" collapsed="false">
      <c r="A561" s="1" t="s">
        <v>919</v>
      </c>
      <c r="B561" s="0" t="s">
        <v>98</v>
      </c>
      <c r="D561" s="6" t="n">
        <f aca="false">Sens!D558</f>
        <v>101.832</v>
      </c>
      <c r="E561" s="6" t="n">
        <f aca="false">Sens!E558</f>
        <v>133.749</v>
      </c>
      <c r="F561" s="6" t="n">
        <f aca="false">Sens!F558+Sens!F551*(1-tax_f)</f>
        <v>136.978045278833</v>
      </c>
      <c r="G561" s="6" t="n">
        <f aca="false">Sens!G558+Sens!G551*(1-tax_f)</f>
        <v>143.813778831956</v>
      </c>
      <c r="H561" s="6" t="n">
        <f aca="false">Sens!H558+Sens!H551*(1-tax_f)</f>
        <v>146.227680888807</v>
      </c>
      <c r="I561" s="6" t="n">
        <f aca="false">Sens!I558+Sens!I551*(1-tax_f)</f>
        <v>154.843187189809</v>
      </c>
      <c r="J561" s="6" t="n">
        <f aca="false">Sens!J558+Sens!J551*(1-tax_f)</f>
        <v>164.604455494371</v>
      </c>
      <c r="K561" s="6" t="n">
        <f aca="false">Sens!K558+Sens!K551*(1-tax_f)</f>
        <v>175.623019382862</v>
      </c>
    </row>
    <row r="562" customFormat="false" ht="17.15" hidden="false" customHeight="false" outlineLevel="0" collapsed="false">
      <c r="A562" s="0" t="s">
        <v>920</v>
      </c>
      <c r="B562" s="0" t="s">
        <v>75</v>
      </c>
      <c r="D562" s="8" t="n">
        <f aca="false">Sens!D561/Sens!D559</f>
        <v>13.641259209645</v>
      </c>
      <c r="E562" s="8" t="n">
        <f aca="false">Sens!E561/Sens!E559</f>
        <v>17.9456594659869</v>
      </c>
      <c r="F562" s="8" t="n">
        <f aca="false">Sens!F561/Sens!F559</f>
        <v>18.3285000707611</v>
      </c>
      <c r="G562" s="8" t="n">
        <f aca="false">Sens!G561/Sens!G559</f>
        <v>19.1279881401817</v>
      </c>
      <c r="H562" s="8" t="n">
        <f aca="false">Sens!H561/Sens!H559</f>
        <v>19.3465006517505</v>
      </c>
      <c r="I562" s="8" t="n">
        <f aca="false">Sens!I561/Sens!I559</f>
        <v>20.4218390627094</v>
      </c>
      <c r="J562" s="8" t="n">
        <f aca="false">Sens!J561/Sens!J559</f>
        <v>21.6685262842269</v>
      </c>
      <c r="K562" s="8" t="n">
        <f aca="false">Sens!K561/Sens!K559</f>
        <v>23.0688423652167</v>
      </c>
      <c r="L562" s="1" t="s">
        <v>921</v>
      </c>
    </row>
    <row r="563" customFormat="false" ht="17.15" hidden="false" customHeight="false" outlineLevel="0" collapsed="false">
      <c r="A563" s="0" t="s">
        <v>922</v>
      </c>
      <c r="B563" s="0" t="s">
        <v>129</v>
      </c>
      <c r="E563" s="7" t="n">
        <f aca="false">Sens!E562/Sens!D562-1</f>
        <v>0.315542736208578</v>
      </c>
      <c r="F563" s="7" t="n">
        <f aca="false">Sens!F562/Sens!E562-1</f>
        <v>0.0213333260613735</v>
      </c>
      <c r="G563" s="7" t="n">
        <f aca="false">Sens!G562/Sens!F562-1</f>
        <v>0.0436199397841612</v>
      </c>
      <c r="H563" s="7" t="n">
        <f aca="false">Sens!H562/Sens!G562-1</f>
        <v>0.0114237059311919</v>
      </c>
      <c r="I563" s="7" t="n">
        <f aca="false">Sens!I562/Sens!H562-1</f>
        <v>0.0555830964118886</v>
      </c>
      <c r="J563" s="7" t="n">
        <f aca="false">Sens!J562/Sens!I562-1</f>
        <v>0.0610467655576614</v>
      </c>
      <c r="K563" s="7" t="n">
        <f aca="false">Sens!K562/Sens!J562-1</f>
        <v>0.0646244263510007</v>
      </c>
    </row>
    <row r="564" customFormat="false" ht="17.15" hidden="false" customHeight="false" outlineLevel="0" collapsed="false">
      <c r="A564" s="0" t="s">
        <v>846</v>
      </c>
      <c r="B564" s="0" t="s">
        <v>98</v>
      </c>
      <c r="E564" s="6" t="n">
        <f aca="false">Sens!E505</f>
        <v>5.25</v>
      </c>
      <c r="F564" s="6" t="n">
        <f aca="false">Sens!F505</f>
        <v>10.5</v>
      </c>
      <c r="G564" s="6" t="n">
        <f aca="false">Sens!G505</f>
        <v>13.5</v>
      </c>
      <c r="H564" s="6" t="n">
        <f aca="false">Sens!H505</f>
        <v>16.5</v>
      </c>
      <c r="I564" s="6" t="n">
        <f aca="false">Sens!I505</f>
        <v>18.75</v>
      </c>
      <c r="J564" s="6" t="n">
        <f aca="false">Sens!J505</f>
        <v>20.25</v>
      </c>
      <c r="K564" s="6" t="n">
        <f aca="false">Sens!K505</f>
        <v>21.75</v>
      </c>
    </row>
    <row r="565" customFormat="false" ht="17.15" hidden="false" customHeight="false" outlineLevel="0" collapsed="false">
      <c r="A565" s="1" t="s">
        <v>847</v>
      </c>
      <c r="B565" s="0" t="s">
        <v>98</v>
      </c>
      <c r="F565" s="6" t="n">
        <f aca="false">MAX(0,(Sens!E468+Sens!F468)/2*Sens!F476/1000-Sens!F564*Sens!F544)</f>
        <v>20.7922544923746</v>
      </c>
      <c r="G565" s="6" t="n">
        <f aca="false">MAX(0,(Sens!F468+Sens!G468)/2*Sens!G476/1000-Sens!G564*Sens!G544)</f>
        <v>37.7052575228648</v>
      </c>
      <c r="H565" s="6" t="n">
        <f aca="false">MAX(0,(Sens!G468+Sens!H468)/2*Sens!H476/1000-Sens!H564*Sens!H544)</f>
        <v>55.9707166463052</v>
      </c>
      <c r="I565" s="6" t="n">
        <f aca="false">MAX(0,(Sens!H468+Sens!I468)/2*Sens!I476/1000-Sens!I564*Sens!I544)</f>
        <v>72.386177414753</v>
      </c>
      <c r="J565" s="6" t="n">
        <f aca="false">MAX(0,(Sens!I468+Sens!J468)/2*Sens!J476/1000-Sens!J564*Sens!J544)</f>
        <v>83.8561542203386</v>
      </c>
      <c r="K565" s="6" t="n">
        <f aca="false">MAX(0,(Sens!J468+Sens!K468)/2*Sens!K476/1000-Sens!K564*Sens!K544)</f>
        <v>90.6046701138278</v>
      </c>
      <c r="L565" s="1" t="s">
        <v>848</v>
      </c>
    </row>
    <row r="566" customFormat="false" ht="17.15" hidden="false" customHeight="false" outlineLevel="0" collapsed="false">
      <c r="A566" s="1" t="s">
        <v>849</v>
      </c>
      <c r="B566" s="0" t="s">
        <v>98</v>
      </c>
      <c r="F566" s="6" t="n">
        <f aca="false">IF(1=2,1,0)*Sens!F565</f>
        <v>0</v>
      </c>
      <c r="G566" s="6" t="n">
        <f aca="false">IF(1=2,1,0)*Sens!G565</f>
        <v>0</v>
      </c>
      <c r="H566" s="6" t="n">
        <f aca="false">IF(1=2,1,0)*Sens!H565</f>
        <v>0</v>
      </c>
      <c r="I566" s="6" t="n">
        <f aca="false">IF(1=2,1,0)*Sens!I565</f>
        <v>0</v>
      </c>
      <c r="J566" s="6" t="n">
        <f aca="false">IF(1=2,1,0)*Sens!J565</f>
        <v>0</v>
      </c>
      <c r="K566" s="6" t="n">
        <f aca="false">IF(1=2,1,0)*Sens!K565</f>
        <v>0</v>
      </c>
    </row>
    <row r="567" customFormat="false" ht="17.15" hidden="false" customHeight="false" outlineLevel="0" collapsed="false">
      <c r="A567" s="0" t="s">
        <v>850</v>
      </c>
      <c r="B567" s="0" t="s">
        <v>98</v>
      </c>
      <c r="F567" s="6" t="n">
        <f aca="false">Sens!F485+Sens!F564*Sens!F544+Sens!F566-Sens!F486-Sens!F496</f>
        <v>-0.233568259615524</v>
      </c>
      <c r="G567" s="6" t="n">
        <f aca="false">Sens!G485+Sens!G564*Sens!G544+Sens!G566-Sens!G486-Sens!G496</f>
        <v>-11.3579430263606</v>
      </c>
      <c r="H567" s="6" t="n">
        <f aca="false">Sens!H485+Sens!H564*Sens!H544+Sens!H566-Sens!H486-Sens!H496</f>
        <v>-28.3302803546306</v>
      </c>
      <c r="I567" s="6" t="n">
        <f aca="false">Sens!I485+Sens!I564*Sens!I544+Sens!I566-Sens!I486-Sens!I496</f>
        <v>-37.179642848596</v>
      </c>
      <c r="J567" s="6" t="n">
        <f aca="false">Sens!J485+Sens!J564*Sens!J544+Sens!J566-Sens!J486-Sens!J496</f>
        <v>-43.4571095989156</v>
      </c>
      <c r="K567" s="6" t="n">
        <f aca="false">Sens!K485+Sens!K564*Sens!K544+Sens!K566-Sens!K486-Sens!K496</f>
        <v>-46.2321603503434</v>
      </c>
    </row>
    <row r="568" customFormat="false" ht="17.15" hidden="false" customHeight="false" outlineLevel="0" collapsed="false">
      <c r="A568" s="0" t="s">
        <v>851</v>
      </c>
      <c r="B568" s="0" t="s">
        <v>98</v>
      </c>
      <c r="E568" s="6" t="n">
        <f aca="false">Sens!E467*(cxit_open+self_build*tk_cxfac)/1000*ai_net_open</f>
        <v>126.6980382</v>
      </c>
      <c r="F568" s="6" t="n">
        <f aca="false">Sens!E568+Sens!F493-Sens!F496</f>
        <v>260.715655514568</v>
      </c>
      <c r="G568" s="6" t="n">
        <f aca="false">Sens!F568+Sens!G493-Sens!G496</f>
        <v>383.758102737428</v>
      </c>
      <c r="H568" s="6" t="n">
        <f aca="false">Sens!G568+Sens!H493-Sens!H496</f>
        <v>484.071072654689</v>
      </c>
      <c r="I568" s="6" t="n">
        <f aca="false">Sens!H568+Sens!I493-Sens!I496</f>
        <v>535.765701826713</v>
      </c>
      <c r="J568" s="6" t="n">
        <f aca="false">Sens!I568+Sens!J493-Sens!J496</f>
        <v>531.069467622138</v>
      </c>
      <c r="K568" s="6" t="n">
        <f aca="false">Sens!J568+Sens!K493-Sens!K496</f>
        <v>506.3562564596</v>
      </c>
      <c r="L568" s="1" t="s">
        <v>852</v>
      </c>
    </row>
    <row r="569" customFormat="false" ht="17.15" hidden="false" customHeight="false" outlineLevel="0" collapsed="false">
      <c r="A569" s="0" t="s">
        <v>853</v>
      </c>
      <c r="B569" s="0" t="s">
        <v>129</v>
      </c>
      <c r="F569" s="7" t="n">
        <f aca="false">Sens!F567*(1-tax_f)/((Sens!E568+Sens!F568)/2)</f>
        <v>-0.000964625725543334</v>
      </c>
      <c r="G569" s="7" t="n">
        <f aca="false">Sens!G567*(1-tax_f)/((Sens!F568+Sens!G568)/2)</f>
        <v>-0.0281977483326346</v>
      </c>
      <c r="H569" s="7" t="n">
        <f aca="false">Sens!H567*(1-tax_f)/((Sens!G568+Sens!H568)/2)</f>
        <v>-0.0522319943287548</v>
      </c>
      <c r="I569" s="7" t="n">
        <f aca="false">Sens!I567*(1-tax_f)/((Sens!H568+Sens!I568)/2)</f>
        <v>-0.0583303427041093</v>
      </c>
      <c r="J569" s="7" t="n">
        <f aca="false">Sens!J567*(1-tax_f)/((Sens!I568+Sens!J568)/2)</f>
        <v>-0.065175368556875</v>
      </c>
      <c r="K569" s="7" t="n">
        <f aca="false">Sens!K567*(1-tax_f)/((Sens!J568+Sens!K568)/2)</f>
        <v>-0.0713028941190216</v>
      </c>
    </row>
    <row r="570" customFormat="false" ht="17.15" hidden="false" customHeight="false" outlineLevel="0" collapsed="false">
      <c r="A570" s="1" t="s">
        <v>854</v>
      </c>
      <c r="B570" s="0" t="s">
        <v>129</v>
      </c>
      <c r="F570" s="7" t="n">
        <f aca="false">(Sens!F567-Sens!F566)*(1-tax_f)/((Sens!E568+Sens!F568)/2)</f>
        <v>-0.000964625725543334</v>
      </c>
      <c r="G570" s="7" t="n">
        <f aca="false">(Sens!G567-Sens!G566)*(1-tax_f)/((Sens!F568+Sens!G568)/2)</f>
        <v>-0.0281977483326346</v>
      </c>
      <c r="H570" s="7" t="n">
        <f aca="false">(Sens!H567-Sens!H566)*(1-tax_f)/((Sens!G568+Sens!H568)/2)</f>
        <v>-0.0522319943287548</v>
      </c>
      <c r="I570" s="7" t="n">
        <f aca="false">(Sens!I567-Sens!I566)*(1-tax_f)/((Sens!H568+Sens!I568)/2)</f>
        <v>-0.0583303427041093</v>
      </c>
      <c r="J570" s="7" t="n">
        <f aca="false">(Sens!J567-Sens!J566)*(1-tax_f)/((Sens!I568+Sens!J568)/2)</f>
        <v>-0.065175368556875</v>
      </c>
      <c r="K570" s="7" t="n">
        <f aca="false">(Sens!K567-Sens!K566)*(1-tax_f)/((Sens!J568+Sens!K568)/2)</f>
        <v>-0.0713028941190216</v>
      </c>
    </row>
    <row r="571" customFormat="false" ht="17.15" hidden="false" customHeight="false" outlineLevel="0" collapsed="false">
      <c r="A571" s="1" t="s">
        <v>855</v>
      </c>
      <c r="B571" s="0" t="s">
        <v>129</v>
      </c>
      <c r="F571" s="7" t="n">
        <f aca="false">(Sens!F567-Sens!F566+Sens!F565)*(1-tax_f)/((Sens!E568+Sens!F568)/2)</f>
        <v>0.0849063894903249</v>
      </c>
      <c r="G571" s="7" t="n">
        <f aca="false">(Sens!G567-Sens!G566+Sens!G565)*(1-tax_f)/((Sens!F568+Sens!G568)/2)</f>
        <v>0.0654110468496738</v>
      </c>
      <c r="H571" s="7" t="n">
        <f aca="false">(Sens!H567-Sens!H566+Sens!H565)*(1-tax_f)/((Sens!G568+Sens!H568)/2)</f>
        <v>0.0509601420656284</v>
      </c>
      <c r="I571" s="7" t="n">
        <f aca="false">(Sens!I567-Sens!I566+Sens!I565)*(1-tax_f)/((Sens!H568+Sens!I568)/2)</f>
        <v>0.0552347755203238</v>
      </c>
      <c r="J571" s="7" t="n">
        <f aca="false">(Sens!J567-Sens!J566+Sens!J565)*(1-tax_f)/((Sens!I568+Sens!J568)/2)</f>
        <v>0.0605889956062007</v>
      </c>
      <c r="K571" s="7" t="n">
        <f aca="false">(Sens!K567-Sens!K566+Sens!K565)*(1-tax_f)/((Sens!J568+Sens!K568)/2)</f>
        <v>0.068434793907213</v>
      </c>
    </row>
    <row r="572" customFormat="false" ht="17.15" hidden="false" customHeight="false" outlineLevel="0" collapsed="false">
      <c r="A572" s="1" t="s">
        <v>856</v>
      </c>
      <c r="B572" s="0" t="s">
        <v>129</v>
      </c>
      <c r="F572" s="7" t="n">
        <f aca="false">Sens!F497*(1-tax_f)/(Sens!F484*(Sens!E568+Sens!F568)/2)</f>
        <v>0.0977802249085266</v>
      </c>
      <c r="G572" s="7" t="n">
        <f aca="false">Sens!G497*(1-tax_f)/(Sens!G484*(Sens!F568+Sens!G568)/2)</f>
        <v>0.0659202727231561</v>
      </c>
      <c r="H572" s="7" t="n">
        <f aca="false">Sens!H497*(1-tax_f)/(Sens!H484*(Sens!G568+Sens!H568)/2)</f>
        <v>0.0387765414760463</v>
      </c>
      <c r="I572" s="7" t="n">
        <f aca="false">Sens!I497*(1-tax_f)/(Sens!I484*(Sens!H568+Sens!I568)/2)</f>
        <v>0.0420016903333455</v>
      </c>
      <c r="J572" s="7" t="n">
        <f aca="false">Sens!J497*(1-tax_f)/(Sens!J484*(Sens!I568+Sens!J568)/2)</f>
        <v>0.0460485953555435</v>
      </c>
      <c r="K572" s="7" t="n">
        <f aca="false">Sens!K497*(1-tax_f)/(Sens!K484*(Sens!J568+Sens!K568)/2)</f>
        <v>0.0523848598274153</v>
      </c>
    </row>
    <row r="573" customFormat="false" ht="17.15" hidden="false" customHeight="false" outlineLevel="0" collapsed="false">
      <c r="A573" s="0" t="s">
        <v>857</v>
      </c>
      <c r="B573" s="0" t="s">
        <v>209</v>
      </c>
      <c r="F573" s="7" t="n">
        <f aca="false">Sens!F569-wacc</f>
        <v>-0.103899045818419</v>
      </c>
      <c r="G573" s="7" t="n">
        <f aca="false">Sens!G569-wacc</f>
        <v>-0.13113216842551</v>
      </c>
      <c r="H573" s="7" t="n">
        <f aca="false">Sens!H569-wacc</f>
        <v>-0.155166414421631</v>
      </c>
      <c r="I573" s="7" t="n">
        <f aca="false">Sens!I569-wacc</f>
        <v>-0.161264762796985</v>
      </c>
      <c r="J573" s="7" t="n">
        <f aca="false">Sens!J569-wacc</f>
        <v>-0.168109788649751</v>
      </c>
      <c r="K573" s="7" t="n">
        <f aca="false">Sens!K569-wacc</f>
        <v>-0.174237314211897</v>
      </c>
    </row>
    <row r="574" customFormat="false" ht="17.15" hidden="false" customHeight="false" outlineLevel="0" collapsed="false">
      <c r="A574" s="0" t="s">
        <v>858</v>
      </c>
      <c r="B574" s="0" t="s">
        <v>98</v>
      </c>
      <c r="F574" s="6" t="n">
        <f aca="false">Sens!F567*(1-tax_f)-wacc*(Sens!E568+Sens!F568)/2</f>
        <v>-20.1259565569664</v>
      </c>
      <c r="G574" s="6" t="n">
        <f aca="false">Sens!G567*(1-tax_f)-wacc*(Sens!F568+Sens!G568)/2</f>
        <v>-42.2556207064612</v>
      </c>
      <c r="H574" s="6" t="n">
        <f aca="false">Sens!H567*(1-tax_f)-wacc*(Sens!G568+Sens!H568)/2</f>
        <v>-67.3289707380375</v>
      </c>
      <c r="I574" s="6" t="n">
        <f aca="false">Sens!I567*(1-tax_f)-wacc*(Sens!H568+Sens!I568)/2</f>
        <v>-82.2318677641928</v>
      </c>
      <c r="J574" s="6" t="n">
        <f aca="false">Sens!J567*(1-tax_f)-wacc*(Sens!I568+Sens!J568)/2</f>
        <v>-89.6727174300836</v>
      </c>
      <c r="K574" s="6" t="n">
        <f aca="false">Sens!K567*(1-tax_f)-wacc*(Sens!J568+Sens!K568)/2</f>
        <v>-90.3791359291674</v>
      </c>
    </row>
    <row r="575" customFormat="false" ht="17.15" hidden="false" customHeight="false" outlineLevel="0" collapsed="false">
      <c r="A575" s="3" t="s">
        <v>1247</v>
      </c>
    </row>
    <row r="576" customFormat="false" ht="15" hidden="false" customHeight="false" outlineLevel="0" collapsed="false">
      <c r="A576" s="4" t="s">
        <v>43</v>
      </c>
      <c r="B576" s="4" t="s">
        <v>65</v>
      </c>
      <c r="C576" s="20" t="s">
        <v>788</v>
      </c>
      <c r="D576" s="20" t="s">
        <v>789</v>
      </c>
      <c r="E576" s="20" t="s">
        <v>790</v>
      </c>
      <c r="F576" s="20" t="s">
        <v>791</v>
      </c>
      <c r="G576" s="20" t="s">
        <v>792</v>
      </c>
      <c r="H576" s="20" t="s">
        <v>793</v>
      </c>
      <c r="I576" s="20" t="s">
        <v>794</v>
      </c>
      <c r="J576" s="20" t="s">
        <v>795</v>
      </c>
      <c r="K576" s="20" t="s">
        <v>796</v>
      </c>
      <c r="L576" s="4" t="s">
        <v>47</v>
      </c>
    </row>
    <row r="577" customFormat="false" ht="15" hidden="false" customHeight="false" outlineLevel="0" collapsed="false">
      <c r="A577" s="1" t="s">
        <v>915</v>
      </c>
      <c r="B577" s="0" t="s">
        <v>98</v>
      </c>
      <c r="F577" s="6" t="n">
        <f aca="false">Sens!F558</f>
        <v>136.978045278833</v>
      </c>
      <c r="G577" s="6" t="n">
        <f aca="false">Sens!G558</f>
        <v>143.813778831956</v>
      </c>
      <c r="H577" s="6" t="n">
        <f aca="false">Sens!H558</f>
        <v>146.227680888807</v>
      </c>
      <c r="I577" s="6" t="n">
        <f aca="false">Sens!I558</f>
        <v>154.843187189809</v>
      </c>
      <c r="J577" s="6" t="n">
        <f aca="false">Sens!J558</f>
        <v>164.604455494371</v>
      </c>
      <c r="K577" s="6" t="n">
        <f aca="false">Sens!K558</f>
        <v>175.623019382862</v>
      </c>
    </row>
    <row r="578" customFormat="false" ht="17.15" hidden="false" customHeight="false" outlineLevel="0" collapsed="false">
      <c r="A578" s="1" t="s">
        <v>937</v>
      </c>
      <c r="B578" s="0" t="s">
        <v>98</v>
      </c>
      <c r="E578" s="6" t="n">
        <f aca="false">Q!M38-Sens!E496</f>
        <v>22.2285940229167</v>
      </c>
      <c r="F578" s="6" t="n">
        <f aca="false">Sens!E578*(1-1/life_nonai)+Sens!F584/life_nonai</f>
        <v>23.5486693435813</v>
      </c>
      <c r="G578" s="6" t="n">
        <f aca="false">Sens!F578*(1-1/life_nonai)+Sens!G584/life_nonai</f>
        <v>25.264091766262</v>
      </c>
      <c r="H578" s="6" t="n">
        <f aca="false">Sens!G578*(1-1/life_nonai)+Sens!H584/life_nonai</f>
        <v>27.3438339540448</v>
      </c>
      <c r="I578" s="6" t="n">
        <f aca="false">Sens!H578*(1-1/life_nonai)+Sens!I584/life_nonai</f>
        <v>29.7317905898047</v>
      </c>
      <c r="J578" s="6" t="n">
        <f aca="false">Sens!I578*(1-1/life_nonai)+Sens!J584/life_nonai</f>
        <v>32.3542028558616</v>
      </c>
      <c r="K578" s="6" t="n">
        <f aca="false">Sens!J578*(1-1/life_nonai)+Sens!K584/life_nonai</f>
        <v>35.1281528444749</v>
      </c>
      <c r="L578" s="11" t="s">
        <v>938</v>
      </c>
    </row>
    <row r="579" customFormat="false" ht="17.15" hidden="false" customHeight="false" outlineLevel="0" collapsed="false">
      <c r="A579" s="1" t="s">
        <v>939</v>
      </c>
      <c r="B579" s="0" t="s">
        <v>98</v>
      </c>
      <c r="E579" s="6" t="n">
        <f aca="false">Sens!E496+Sens!E578</f>
        <v>38.534</v>
      </c>
      <c r="F579" s="6" t="n">
        <f aca="false">Sens!F496+Sens!F578</f>
        <v>58.301704799451</v>
      </c>
      <c r="G579" s="6" t="n">
        <f aca="false">Sens!G496+Sens!G578</f>
        <v>85.7958250266017</v>
      </c>
      <c r="H579" s="6" t="n">
        <f aca="false">Sens!H496+Sens!H578</f>
        <v>115.111149947184</v>
      </c>
      <c r="I579" s="6" t="n">
        <f aca="false">Sens!I496+Sens!I578</f>
        <v>141.743830572026</v>
      </c>
      <c r="J579" s="6" t="n">
        <f aca="false">Sens!J496+Sens!J578</f>
        <v>161.562913778527</v>
      </c>
      <c r="K579" s="6" t="n">
        <f aca="false">Sens!K496+Sens!K578</f>
        <v>174.800799648948</v>
      </c>
    </row>
    <row r="580" customFormat="false" ht="17.15" hidden="false" customHeight="false" outlineLevel="0" collapsed="false">
      <c r="A580" s="1" t="s">
        <v>940</v>
      </c>
      <c r="B580" s="0" t="s">
        <v>98</v>
      </c>
      <c r="F580" s="6" t="n">
        <f aca="false">Sens!F523*sbc_r</f>
        <v>14.7102349124428</v>
      </c>
      <c r="G580" s="6" t="n">
        <f aca="false">Sens!G523*sbc_r</f>
        <v>17.061233875013</v>
      </c>
      <c r="H580" s="6" t="n">
        <f aca="false">Sens!H523*sbc_r</f>
        <v>19.2644849659525</v>
      </c>
      <c r="I580" s="6" t="n">
        <f aca="false">Sens!I523*sbc_r</f>
        <v>21.5744080153289</v>
      </c>
      <c r="J580" s="6" t="n">
        <f aca="false">Sens!J523*sbc_r</f>
        <v>23.5181093264201</v>
      </c>
      <c r="K580" s="6" t="n">
        <f aca="false">Sens!K523*sbc_r</f>
        <v>25.1065659025522</v>
      </c>
    </row>
    <row r="581" customFormat="false" ht="17.15" hidden="false" customHeight="false" outlineLevel="0" collapsed="false">
      <c r="A581" s="1" t="s">
        <v>941</v>
      </c>
      <c r="B581" s="0" t="s">
        <v>98</v>
      </c>
      <c r="F581" s="6" t="n">
        <f aca="false">wc27</f>
        <v>-4.895</v>
      </c>
      <c r="G581" s="6" t="n">
        <f aca="false">wc_f</f>
        <v>0</v>
      </c>
      <c r="H581" s="6" t="n">
        <f aca="false">wc_f</f>
        <v>0</v>
      </c>
      <c r="I581" s="6" t="n">
        <f aca="false">wc_f</f>
        <v>0</v>
      </c>
      <c r="J581" s="6" t="n">
        <f aca="false">wc_f</f>
        <v>0</v>
      </c>
      <c r="K581" s="6" t="n">
        <f aca="false">wc_f</f>
        <v>0</v>
      </c>
      <c r="L581" s="11" t="s">
        <v>942</v>
      </c>
    </row>
    <row r="582" customFormat="false" ht="15" hidden="false" customHeight="false" outlineLevel="0" collapsed="false">
      <c r="A582" s="1" t="s">
        <v>756</v>
      </c>
      <c r="B582" s="0" t="s">
        <v>98</v>
      </c>
      <c r="E582" s="6" t="n">
        <f aca="false">Q!M35</f>
        <v>182.935</v>
      </c>
      <c r="F582" s="6" t="n">
        <f aca="false">Sens!F577+Sens!F579+Sens!F580+Sens!F581</f>
        <v>205.094984990727</v>
      </c>
      <c r="G582" s="6" t="n">
        <f aca="false">Sens!G577+Sens!G579+Sens!G580+Sens!G581</f>
        <v>246.670837733571</v>
      </c>
      <c r="H582" s="6" t="n">
        <f aca="false">Sens!H577+Sens!H579+Sens!H580+Sens!H581</f>
        <v>280.603315801944</v>
      </c>
      <c r="I582" s="6" t="n">
        <f aca="false">Sens!I577+Sens!I579+Sens!I580+Sens!I581</f>
        <v>318.161425777164</v>
      </c>
      <c r="J582" s="6" t="n">
        <f aca="false">Sens!J577+Sens!J579+Sens!J580+Sens!J581</f>
        <v>349.685478599319</v>
      </c>
      <c r="K582" s="6" t="n">
        <f aca="false">Sens!K577+Sens!K579+Sens!K580+Sens!K581</f>
        <v>375.530384934362</v>
      </c>
    </row>
    <row r="583" customFormat="false" ht="17.15" hidden="false" customHeight="false" outlineLevel="0" collapsed="false">
      <c r="A583" s="0" t="s">
        <v>943</v>
      </c>
      <c r="B583" s="0" t="s">
        <v>98</v>
      </c>
      <c r="F583" s="6" t="n">
        <f aca="false">Sens!F493</f>
        <v>168.770652770438</v>
      </c>
      <c r="G583" s="6" t="n">
        <f aca="false">Sens!G493</f>
        <v>183.5741804832</v>
      </c>
      <c r="H583" s="6" t="n">
        <f aca="false">Sens!H493</f>
        <v>188.0802859104</v>
      </c>
      <c r="I583" s="6" t="n">
        <f aca="false">Sens!I493</f>
        <v>163.706669154245</v>
      </c>
      <c r="J583" s="6" t="n">
        <f aca="false">Sens!J493</f>
        <v>124.51247671809</v>
      </c>
      <c r="K583" s="6" t="n">
        <f aca="false">Sens!K493</f>
        <v>114.959435641936</v>
      </c>
    </row>
    <row r="584" customFormat="false" ht="17.15" hidden="false" customHeight="false" outlineLevel="0" collapsed="false">
      <c r="A584" s="1" t="s">
        <v>944</v>
      </c>
      <c r="B584" s="0" t="s">
        <v>98</v>
      </c>
      <c r="E584" s="6" t="n">
        <f aca="false">Sens!E501*cx_azo+Sens!E508*cx_m365+Sens!E509*cx_lic+(Sens!E511+Sens!E513)*cx_ind+Sens!E516*cx_srch+(Sens!E518+Sens!E520)*cx_dev</f>
        <v>30.1846587067718</v>
      </c>
      <c r="F584" s="6" t="n">
        <f aca="false">Sens!F501*cx_azo+Sens!F508*cx_m365+Sens!F509*cx_lic+(Sens!F511+Sens!F513)*cx_ind+Sens!F516*cx_srch+(Sens!F518+Sens!F520)*cx_dev</f>
        <v>35.4293472295625</v>
      </c>
      <c r="G584" s="6" t="n">
        <f aca="false">Sens!G501*cx_azo+Sens!G508*cx_m365+Sens!G509*cx_lic+(Sens!G511+Sens!G513)*cx_ind+Sens!G516*cx_srch+(Sens!G518+Sens!G520)*cx_dev</f>
        <v>40.7028935703892</v>
      </c>
      <c r="H584" s="6" t="n">
        <f aca="false">Sens!H501*cx_azo+Sens!H508*cx_m365+Sens!H509*cx_lic+(Sens!H511+Sens!H513)*cx_ind+Sens!H516*cx_srch+(Sens!H518+Sens!H520)*cx_dev</f>
        <v>46.0615136440897</v>
      </c>
      <c r="I584" s="6" t="n">
        <f aca="false">Sens!I501*cx_azo+Sens!I508*cx_m365+Sens!I509*cx_lic+(Sens!I511+Sens!I513)*cx_ind+Sens!I516*cx_srch+(Sens!I518+Sens!I520)*cx_dev</f>
        <v>51.2234003116439</v>
      </c>
      <c r="J584" s="6" t="n">
        <f aca="false">Sens!J501*cx_azo+Sens!J508*cx_m365+Sens!J509*cx_lic+(Sens!J511+Sens!J513)*cx_ind+Sens!J516*cx_srch+(Sens!J518+Sens!J520)*cx_dev</f>
        <v>55.9559132503738</v>
      </c>
      <c r="K584" s="6" t="n">
        <f aca="false">Sens!K501*cx_azo+Sens!K508*cx_m365+Sens!K509*cx_lic+(Sens!K511+Sens!K513)*cx_ind+Sens!K516*cx_srch+(Sens!K518+Sens!K520)*cx_dev</f>
        <v>60.093702741994</v>
      </c>
    </row>
    <row r="585" customFormat="false" ht="17.15" hidden="false" customHeight="false" outlineLevel="0" collapsed="false">
      <c r="A585" s="1" t="s">
        <v>945</v>
      </c>
      <c r="B585" s="0" t="s">
        <v>98</v>
      </c>
      <c r="E585" s="6" t="n">
        <f aca="false">Q!M42</f>
        <v>145.3</v>
      </c>
      <c r="F585" s="6" t="n">
        <f aca="false">Sens!F583+Sens!F584</f>
        <v>204.2</v>
      </c>
      <c r="G585" s="6" t="n">
        <f aca="false">Sens!G583+Sens!G584</f>
        <v>224.277074053589</v>
      </c>
      <c r="H585" s="6" t="n">
        <f aca="false">Sens!H583+Sens!H584</f>
        <v>234.14179955449</v>
      </c>
      <c r="I585" s="6" t="n">
        <f aca="false">Sens!I583+Sens!I584</f>
        <v>214.930069465889</v>
      </c>
      <c r="J585" s="6" t="n">
        <f aca="false">Sens!J583+Sens!J584</f>
        <v>180.468389968464</v>
      </c>
      <c r="K585" s="6" t="n">
        <f aca="false">Sens!K583+Sens!K584</f>
        <v>175.05313838393</v>
      </c>
      <c r="L585" s="1" t="s">
        <v>946</v>
      </c>
    </row>
    <row r="586" customFormat="false" ht="15" hidden="false" customHeight="false" outlineLevel="0" collapsed="false">
      <c r="A586" s="1" t="s">
        <v>947</v>
      </c>
      <c r="B586" s="0" t="s">
        <v>98</v>
      </c>
      <c r="E586" s="6" t="n">
        <f aca="false">fl_liab</f>
        <v>66.594</v>
      </c>
      <c r="F586" s="6" t="n">
        <f aca="false">Sens!E586-Sens!F587</f>
        <v>62.46973</v>
      </c>
      <c r="G586" s="6" t="n">
        <f aca="false">Sens!F586-Sens!G587</f>
        <v>57.98686785</v>
      </c>
      <c r="H586" s="6" t="n">
        <f aca="false">Sens!G586-Sens!H587</f>
        <v>53.92827690325</v>
      </c>
      <c r="I586" s="6" t="n">
        <f aca="false">Sens!H586-Sens!I587</f>
        <v>49.7850493638962</v>
      </c>
      <c r="J586" s="6" t="n">
        <f aca="false">Sens!I586-Sens!J587</f>
        <v>45.4823765852716</v>
      </c>
      <c r="K586" s="6" t="n">
        <f aca="false">Sens!J586-Sens!K587</f>
        <v>40.9860835316088</v>
      </c>
    </row>
    <row r="587" customFormat="false" ht="15" hidden="false" customHeight="false" outlineLevel="0" collapsed="false">
      <c r="A587" s="1" t="s">
        <v>948</v>
      </c>
      <c r="B587" s="0" t="s">
        <v>98</v>
      </c>
      <c r="F587" s="6" t="n">
        <f aca="false">fl_pay_27-Sens!E586*fl_rate</f>
        <v>4.12427</v>
      </c>
      <c r="G587" s="6" t="n">
        <f aca="false">fl_pay_28-Sens!F586*fl_rate</f>
        <v>4.48286215</v>
      </c>
      <c r="H587" s="6" t="n">
        <f aca="false">fl_pay_29-Sens!G586*fl_rate</f>
        <v>4.05859094675</v>
      </c>
      <c r="I587" s="6" t="n">
        <f aca="false">fl_pay_30-Sens!H586*fl_rate</f>
        <v>4.14322753935375</v>
      </c>
      <c r="J587" s="6" t="n">
        <f aca="false">fl_pay_31-Sens!I586*fl_rate</f>
        <v>4.30267277862467</v>
      </c>
      <c r="K587" s="6" t="n">
        <f aca="false">fl_pay_32-Sens!J586*fl_rate</f>
        <v>4.49629305366278</v>
      </c>
    </row>
    <row r="588" customFormat="false" ht="17.15" hidden="false" customHeight="false" outlineLevel="0" collapsed="false">
      <c r="A588" s="1" t="s">
        <v>949</v>
      </c>
      <c r="B588" s="0" t="s">
        <v>98</v>
      </c>
      <c r="E588" s="6" t="n">
        <f aca="false">Q!M35-Q!M36-Q!M43</f>
        <v>63.886</v>
      </c>
      <c r="F588" s="6" t="n">
        <f aca="false">Sens!F582-Sens!F585-Sens!F587</f>
        <v>-3.22928500927296</v>
      </c>
      <c r="G588" s="6" t="n">
        <f aca="false">Sens!G582-Sens!G585-Sens!G587</f>
        <v>17.9109015299816</v>
      </c>
      <c r="H588" s="6" t="n">
        <f aca="false">Sens!H582-Sens!H585-Sens!H587</f>
        <v>42.4029253007048</v>
      </c>
      <c r="I588" s="6" t="n">
        <f aca="false">Sens!I582-Sens!I585-Sens!I587</f>
        <v>99.0881287719206</v>
      </c>
      <c r="J588" s="6" t="n">
        <f aca="false">Sens!J582-Sens!J585-Sens!J587</f>
        <v>164.91441585223</v>
      </c>
      <c r="K588" s="6" t="n">
        <f aca="false">Sens!K582-Sens!K585-Sens!K587</f>
        <v>195.980953496769</v>
      </c>
      <c r="L588" s="11" t="s">
        <v>950</v>
      </c>
    </row>
    <row r="589" customFormat="false" ht="15" hidden="false" customHeight="false" outlineLevel="0" collapsed="false">
      <c r="A589" s="1" t="s">
        <v>951</v>
      </c>
      <c r="B589" s="0" t="s">
        <v>75</v>
      </c>
      <c r="F589" s="8" t="n">
        <f aca="false">dps_27</f>
        <v>3.85</v>
      </c>
      <c r="G589" s="8" t="n">
        <f aca="false">Sens!F589*(1+dps_g)</f>
        <v>4.158</v>
      </c>
      <c r="H589" s="8" t="n">
        <f aca="false">Sens!G589*(1+dps_g)</f>
        <v>4.49064</v>
      </c>
      <c r="I589" s="8" t="n">
        <f aca="false">Sens!H589*(1+dps_g)</f>
        <v>4.8498912</v>
      </c>
      <c r="J589" s="8" t="n">
        <f aca="false">Sens!I589*(1+dps_g)</f>
        <v>5.237882496</v>
      </c>
      <c r="K589" s="8" t="n">
        <f aca="false">Sens!J589*(1+dps_g)</f>
        <v>5.65691309568</v>
      </c>
    </row>
    <row r="590" customFormat="false" ht="17.15" hidden="false" customHeight="false" outlineLevel="0" collapsed="false">
      <c r="A590" s="1" t="s">
        <v>952</v>
      </c>
      <c r="B590" s="0" t="s">
        <v>98</v>
      </c>
      <c r="E590" s="6" t="n">
        <f aca="false">Q!M41</f>
        <v>26.445</v>
      </c>
      <c r="F590" s="6" t="n">
        <f aca="false">Sens!F589*Sens!E599</f>
        <v>28.59395</v>
      </c>
      <c r="G590" s="6" t="n">
        <f aca="false">Sens!G589*Sens!F599</f>
        <v>31.068576</v>
      </c>
      <c r="H590" s="6" t="n">
        <f aca="false">Sens!H589*Sens!G599</f>
        <v>33.75614088</v>
      </c>
      <c r="I590" s="6" t="n">
        <f aca="false">Sens!I589*Sens!H599</f>
        <v>36.6249522979783</v>
      </c>
      <c r="J590" s="6" t="n">
        <f aca="false">Sens!J589*Sens!I599</f>
        <v>39.623347330136</v>
      </c>
      <c r="K590" s="6" t="n">
        <f aca="false">Sens!K589*Sens!J599</f>
        <v>42.880470341852</v>
      </c>
      <c r="L590" s="1" t="s">
        <v>953</v>
      </c>
    </row>
    <row r="591" customFormat="false" ht="15" hidden="false" customHeight="false" outlineLevel="0" collapsed="false">
      <c r="A591" s="1" t="s">
        <v>954</v>
      </c>
      <c r="B591" s="0" t="s">
        <v>98</v>
      </c>
      <c r="E591" s="6" t="n">
        <f aca="false">Sens!E588-Sens!E590</f>
        <v>37.441</v>
      </c>
      <c r="F591" s="6" t="n">
        <f aca="false">Sens!F588-Sens!F590</f>
        <v>-31.823235009273</v>
      </c>
      <c r="G591" s="6" t="n">
        <f aca="false">Sens!G588-Sens!G590</f>
        <v>-13.1576744700184</v>
      </c>
      <c r="H591" s="6" t="n">
        <f aca="false">Sens!H588-Sens!H590</f>
        <v>8.64678442070476</v>
      </c>
      <c r="I591" s="6" t="n">
        <f aca="false">Sens!I588-Sens!I590</f>
        <v>62.4631764739423</v>
      </c>
      <c r="J591" s="6" t="n">
        <f aca="false">Sens!J588-Sens!J590</f>
        <v>125.291068522094</v>
      </c>
      <c r="K591" s="6" t="n">
        <f aca="false">Sens!K588-Sens!K590</f>
        <v>153.100483154918</v>
      </c>
    </row>
    <row r="592" customFormat="false" ht="15" hidden="false" customHeight="false" outlineLevel="0" collapsed="false">
      <c r="A592" s="1" t="s">
        <v>955</v>
      </c>
      <c r="B592" s="0" t="s">
        <v>98</v>
      </c>
      <c r="F592" s="6" t="n">
        <f aca="false">debt_mat_27</f>
        <v>9.25</v>
      </c>
      <c r="G592" s="6" t="n">
        <f aca="false">debt_mat_28</f>
        <v>0</v>
      </c>
      <c r="H592" s="6" t="n">
        <f aca="false">debt_mat_29</f>
        <v>2.001</v>
      </c>
      <c r="I592" s="6" t="n">
        <f aca="false">debt_mat_30</f>
        <v>0</v>
      </c>
      <c r="J592" s="6" t="n">
        <f aca="false">debt_mat_31</f>
        <v>0.5</v>
      </c>
      <c r="K592" s="6" t="n">
        <f aca="false">debt_mat_32</f>
        <v>0</v>
      </c>
    </row>
    <row r="593" customFormat="false" ht="15" hidden="false" customHeight="false" outlineLevel="0" collapsed="false">
      <c r="A593" s="1" t="s">
        <v>956</v>
      </c>
      <c r="B593" s="0" t="s">
        <v>98</v>
      </c>
      <c r="E593" s="6" t="n">
        <f aca="false">Q!M40</f>
        <v>22.271</v>
      </c>
      <c r="F593" s="6" t="n">
        <f aca="false">MAX(0,MIN(bb_target,Sens!E595+Sens!F591-Sens!F592-min_cash))</f>
        <v>0</v>
      </c>
      <c r="G593" s="6" t="n">
        <f aca="false">MAX(0,MIN(bb_target,Sens!F595+Sens!G591-Sens!G592-min_cash))</f>
        <v>0</v>
      </c>
      <c r="H593" s="6" t="n">
        <f aca="false">MAX(0,MIN(bb_target,Sens!G595+Sens!H591-Sens!H592-min_cash))</f>
        <v>6.64578442070476</v>
      </c>
      <c r="I593" s="6" t="n">
        <f aca="false">MAX(0,MIN(bb_target,Sens!H595+Sens!I591-Sens!I592-min_cash))</f>
        <v>22.271</v>
      </c>
      <c r="J593" s="6" t="n">
        <f aca="false">MAX(0,MIN(bb_target,Sens!I595+Sens!J591-Sens!J592-min_cash))</f>
        <v>22.271</v>
      </c>
      <c r="K593" s="6" t="n">
        <f aca="false">MAX(0,MIN(bb_target,Sens!J595+Sens!K591-Sens!K592-min_cash))</f>
        <v>22.271</v>
      </c>
    </row>
    <row r="594" customFormat="false" ht="15" hidden="false" customHeight="false" outlineLevel="0" collapsed="false">
      <c r="A594" s="1" t="s">
        <v>957</v>
      </c>
      <c r="B594" s="0" t="s">
        <v>98</v>
      </c>
      <c r="F594" s="6" t="n">
        <f aca="false">MAX(0,min_cash-(Sens!E595+Sens!F591-Sens!F592-Sens!F593))</f>
        <v>14.230235009273</v>
      </c>
      <c r="G594" s="6" t="n">
        <f aca="false">MAX(0,min_cash-(Sens!F595+Sens!G591-Sens!G592-Sens!G593))</f>
        <v>13.1576744700184</v>
      </c>
      <c r="H594" s="6" t="n">
        <f aca="false">MAX(0,min_cash-(Sens!G595+Sens!H591-Sens!H592-Sens!H593))</f>
        <v>0</v>
      </c>
      <c r="I594" s="6" t="n">
        <f aca="false">MAX(0,min_cash-(Sens!H595+Sens!I591-Sens!I592-Sens!I593))</f>
        <v>0</v>
      </c>
      <c r="J594" s="6" t="n">
        <f aca="false">MAX(0,min_cash-(Sens!I595+Sens!J591-Sens!J592-Sens!J593))</f>
        <v>0</v>
      </c>
      <c r="K594" s="6" t="n">
        <f aca="false">MAX(0,min_cash-(Sens!J595+Sens!K591-Sens!K592-Sens!K593))</f>
        <v>0</v>
      </c>
    </row>
    <row r="595" customFormat="false" ht="15" hidden="false" customHeight="false" outlineLevel="0" collapsed="false">
      <c r="A595" s="1" t="s">
        <v>958</v>
      </c>
      <c r="B595" s="0" t="s">
        <v>98</v>
      </c>
      <c r="E595" s="6" t="n">
        <f aca="false">cash_open</f>
        <v>76.843</v>
      </c>
      <c r="F595" s="6" t="n">
        <f aca="false">Sens!E595+Sens!F591-Sens!F592-Sens!F593+Sens!F594</f>
        <v>50</v>
      </c>
      <c r="G595" s="6" t="n">
        <f aca="false">Sens!F595+Sens!G591-Sens!G592-Sens!G593+Sens!G594</f>
        <v>50</v>
      </c>
      <c r="H595" s="6" t="n">
        <f aca="false">Sens!G595+Sens!H591-Sens!H592-Sens!H593+Sens!H594</f>
        <v>50</v>
      </c>
      <c r="I595" s="6" t="n">
        <f aca="false">Sens!H595+Sens!I591-Sens!I592-Sens!I593+Sens!I594</f>
        <v>90.1921764739423</v>
      </c>
      <c r="J595" s="6" t="n">
        <f aca="false">Sens!I595+Sens!J591-Sens!J592-Sens!J593+Sens!J594</f>
        <v>192.712244996036</v>
      </c>
      <c r="K595" s="6" t="n">
        <f aca="false">Sens!J595+Sens!K591-Sens!K592-Sens!K593+Sens!K594</f>
        <v>323.541728150953</v>
      </c>
    </row>
    <row r="596" customFormat="false" ht="15" hidden="false" customHeight="false" outlineLevel="0" collapsed="false">
      <c r="A596" s="1" t="s">
        <v>959</v>
      </c>
      <c r="B596" s="0" t="s">
        <v>98</v>
      </c>
      <c r="E596" s="6" t="n">
        <f aca="false">debt_face</f>
        <v>46.136</v>
      </c>
      <c r="F596" s="6" t="n">
        <f aca="false">Sens!E596-Sens!F592+Sens!F594</f>
        <v>51.116235009273</v>
      </c>
      <c r="G596" s="6" t="n">
        <f aca="false">Sens!F596-Sens!G592+Sens!G594</f>
        <v>64.2739094792914</v>
      </c>
      <c r="H596" s="6" t="n">
        <f aca="false">Sens!G596-Sens!H592+Sens!H594</f>
        <v>62.2729094792914</v>
      </c>
      <c r="I596" s="6" t="n">
        <f aca="false">Sens!H596-Sens!I592+Sens!I594</f>
        <v>62.2729094792914</v>
      </c>
      <c r="J596" s="6" t="n">
        <f aca="false">Sens!I596-Sens!J592+Sens!J594</f>
        <v>61.7729094792914</v>
      </c>
      <c r="K596" s="6" t="n">
        <f aca="false">Sens!J596-Sens!K592+Sens!K594</f>
        <v>61.7729094792914</v>
      </c>
    </row>
    <row r="597" customFormat="false" ht="15" hidden="false" customHeight="false" outlineLevel="0" collapsed="false">
      <c r="A597" s="1" t="s">
        <v>960</v>
      </c>
      <c r="B597" s="0" t="s">
        <v>98</v>
      </c>
      <c r="E597" s="6" t="n">
        <f aca="false">Sens!E595-Sens!E596</f>
        <v>30.707</v>
      </c>
      <c r="F597" s="6" t="n">
        <f aca="false">Sens!F595-Sens!F596</f>
        <v>-1.11623500927296</v>
      </c>
      <c r="G597" s="6" t="n">
        <f aca="false">Sens!G595-Sens!G596</f>
        <v>-14.2739094792913</v>
      </c>
      <c r="H597" s="6" t="n">
        <f aca="false">Sens!H595-Sens!H596</f>
        <v>-12.2729094792914</v>
      </c>
      <c r="I597" s="6" t="n">
        <f aca="false">Sens!I595-Sens!I596</f>
        <v>27.9192669946509</v>
      </c>
      <c r="J597" s="6" t="n">
        <f aca="false">Sens!J595-Sens!J596</f>
        <v>130.939335516745</v>
      </c>
      <c r="K597" s="6" t="n">
        <f aca="false">Sens!K595-Sens!K596</f>
        <v>261.768818671662</v>
      </c>
    </row>
    <row r="598" customFormat="false" ht="15" hidden="false" customHeight="false" outlineLevel="0" collapsed="false">
      <c r="A598" s="1" t="s">
        <v>961</v>
      </c>
      <c r="B598" s="0" t="s">
        <v>75</v>
      </c>
      <c r="F598" s="29" t="n">
        <f aca="false">px*(1+bb_g)^(Sens!F462-base_fy-mid_yr)</f>
        <v>553.494156066711</v>
      </c>
      <c r="G598" s="29" t="n">
        <f aca="false">px*(1+bb_g)^(Sens!G462-base_fy-mid_yr)</f>
        <v>597.773688552047</v>
      </c>
      <c r="H598" s="29" t="n">
        <f aca="false">px*(1+bb_g)^(Sens!H462-base_fy-mid_yr)</f>
        <v>645.595583636211</v>
      </c>
      <c r="I598" s="29" t="n">
        <f aca="false">px*(1+bb_g)^(Sens!I462-base_fy-mid_yr)</f>
        <v>697.243230327108</v>
      </c>
      <c r="J598" s="29" t="n">
        <f aca="false">px*(1+bb_g)^(Sens!J462-base_fy-mid_yr)</f>
        <v>753.022688753277</v>
      </c>
      <c r="K598" s="29" t="n">
        <f aca="false">px*(1+bb_g)^(Sens!K462-base_fy-mid_yr)</f>
        <v>813.264503853539</v>
      </c>
    </row>
    <row r="599" customFormat="false" ht="15" hidden="false" customHeight="false" outlineLevel="0" collapsed="false">
      <c r="A599" s="1" t="s">
        <v>962</v>
      </c>
      <c r="B599" s="1" t="s">
        <v>81</v>
      </c>
      <c r="E599" s="14" t="n">
        <f aca="false">sh_out26</f>
        <v>7.427</v>
      </c>
      <c r="F599" s="14" t="n">
        <f aca="false">Sens!E599+sh_iss-Sens!F593/Sens!F598</f>
        <v>7.472</v>
      </c>
      <c r="G599" s="14" t="n">
        <f aca="false">Sens!F599+sh_iss-Sens!G593/Sens!G598</f>
        <v>7.517</v>
      </c>
      <c r="H599" s="14" t="n">
        <f aca="false">Sens!G599+sh_iss-Sens!H593/Sens!H598</f>
        <v>7.55170596362622</v>
      </c>
      <c r="I599" s="14" t="n">
        <f aca="false">Sens!H599+sh_iss-Sens!I593/Sens!I598</f>
        <v>7.56476445594094</v>
      </c>
      <c r="J599" s="14" t="n">
        <f aca="false">Sens!I599+sh_iss-Sens!J593/Sens!J598</f>
        <v>7.58018898586198</v>
      </c>
      <c r="K599" s="14" t="n">
        <f aca="false">Sens!J599+sh_iss-Sens!K593/Sens!K598</f>
        <v>7.59780429134443</v>
      </c>
    </row>
    <row r="600" customFormat="false" ht="15" hidden="false" customHeight="false" outlineLevel="0" collapsed="false">
      <c r="A600" s="1" t="s">
        <v>963</v>
      </c>
      <c r="B600" s="1" t="s">
        <v>81</v>
      </c>
      <c r="E600" s="14" t="n">
        <f aca="false">sh_dil26</f>
        <v>7.453</v>
      </c>
      <c r="F600" s="14" t="n">
        <f aca="false">(Sens!E599+Sens!F599)/2+dil_gap</f>
        <v>7.4735</v>
      </c>
      <c r="G600" s="14" t="n">
        <f aca="false">(Sens!F599+Sens!G599)/2+dil_gap</f>
        <v>7.5185</v>
      </c>
      <c r="H600" s="14" t="n">
        <f aca="false">(Sens!G599+Sens!H599)/2+dil_gap</f>
        <v>7.55835298181311</v>
      </c>
      <c r="I600" s="14" t="n">
        <f aca="false">(Sens!H599+Sens!I599)/2+dil_gap</f>
        <v>7.58223520978358</v>
      </c>
      <c r="J600" s="14" t="n">
        <f aca="false">(Sens!I599+Sens!J599)/2+dil_gap</f>
        <v>7.59647672090146</v>
      </c>
      <c r="K600" s="14" t="n">
        <f aca="false">(Sens!J599+Sens!K599)/2+dil_gap</f>
        <v>7.6129966386032</v>
      </c>
    </row>
    <row r="601" customFormat="false" ht="17.15" hidden="false" customHeight="false" outlineLevel="0" collapsed="false">
      <c r="A601" s="1" t="s">
        <v>964</v>
      </c>
      <c r="B601" s="0" t="s">
        <v>98</v>
      </c>
      <c r="C601" s="6" t="n">
        <f aca="false">SUM(Sens!F591:J591)</f>
        <v>151.420119937449</v>
      </c>
    </row>
    <row r="602" customFormat="false" ht="15" hidden="false" customHeight="false" outlineLevel="0" collapsed="false">
      <c r="A602" s="23" t="s">
        <v>935</v>
      </c>
      <c r="B602" s="30" t="s">
        <v>98</v>
      </c>
      <c r="C602" s="24" t="n">
        <f aca="false">Sens!$C$601-(Sens!F591+Sens!G591+Sens!H591+Sens!I591+Sens!J591)</f>
        <v>0</v>
      </c>
      <c r="D602" s="30"/>
      <c r="E602" s="30"/>
      <c r="F602" s="30"/>
      <c r="G602" s="30"/>
      <c r="H602" s="30"/>
      <c r="I602" s="30"/>
      <c r="J602" s="30"/>
      <c r="K602" s="30"/>
    </row>
    <row r="603" customFormat="false" ht="17.15" hidden="false" customHeight="false" outlineLevel="0" collapsed="false">
      <c r="A603" s="1" t="s">
        <v>929</v>
      </c>
      <c r="B603" s="1" t="s">
        <v>965</v>
      </c>
      <c r="C603" s="32" t="str">
        <f aca="false">IF(SUM(Sens!F594:J594)&gt;0.05,"需要舉債 "&amp;TEXT(SUM(Sens!F594:J594),"0.0")&amp;" 十億美元","不需舉債")&amp;"；"&amp;IF(SUM(Sens!F593:J593)&lt;COUNT(Sens!F593:J593)*bb_target-0.05,"回購較每年 "&amp;TEXT(bb_target,"0.0")&amp;" 的目標少 "&amp;TEXT(COUNT(Sens!F593:J593)*bb_target-SUM(Sens!F593:J593),"0.0")&amp;" 十億美元（"&amp;TEXT(COUNTIF(Sens!F593:J593,"&lt;"&amp;(bb_target-0.05)),"0")&amp;" 年減少）","回購不減")</f>
        <v>需要舉債 27.4 十億美元；回購較每年 22.3 的目標少 60.2 十億美元（3 年減少）</v>
      </c>
    </row>
    <row r="604" customFormat="false" ht="17.15" hidden="false" customHeight="false" outlineLevel="0" collapsed="false">
      <c r="A604" s="3" t="s">
        <v>1248</v>
      </c>
    </row>
    <row r="605" customFormat="false" ht="15" hidden="false" customHeight="false" outlineLevel="0" collapsed="false">
      <c r="A605" s="4" t="s">
        <v>43</v>
      </c>
      <c r="B605" s="4" t="s">
        <v>65</v>
      </c>
      <c r="C605" s="20" t="s">
        <v>788</v>
      </c>
      <c r="D605" s="20" t="s">
        <v>789</v>
      </c>
      <c r="E605" s="20" t="s">
        <v>790</v>
      </c>
      <c r="F605" s="20" t="s">
        <v>791</v>
      </c>
      <c r="G605" s="20" t="s">
        <v>792</v>
      </c>
      <c r="H605" s="20" t="s">
        <v>793</v>
      </c>
      <c r="I605" s="20" t="s">
        <v>794</v>
      </c>
      <c r="J605" s="20" t="s">
        <v>795</v>
      </c>
      <c r="K605" s="20" t="s">
        <v>796</v>
      </c>
      <c r="L605" s="4" t="s">
        <v>47</v>
      </c>
    </row>
    <row r="606" customFormat="false" ht="15" hidden="false" customHeight="false" outlineLevel="0" collapsed="false">
      <c r="A606" s="1" t="s">
        <v>1042</v>
      </c>
      <c r="B606" s="1" t="s">
        <v>235</v>
      </c>
      <c r="F606" s="36" t="n">
        <f aca="false">Sens!F462-base_fy-mid_yr</f>
        <v>0.5</v>
      </c>
      <c r="G606" s="36" t="n">
        <f aca="false">Sens!G462-base_fy-mid_yr</f>
        <v>1.5</v>
      </c>
      <c r="H606" s="36" t="n">
        <f aca="false">Sens!H462-base_fy-mid_yr</f>
        <v>2.5</v>
      </c>
      <c r="I606" s="36" t="n">
        <f aca="false">Sens!I462-base_fy-mid_yr</f>
        <v>3.5</v>
      </c>
      <c r="J606" s="36" t="n">
        <f aca="false">Sens!J462-base_fy-mid_yr</f>
        <v>4.5</v>
      </c>
      <c r="K606" s="36" t="n">
        <f aca="false">Sens!K462-base_fy-mid_yr</f>
        <v>5.5</v>
      </c>
    </row>
    <row r="607" customFormat="false" ht="15" hidden="false" customHeight="false" outlineLevel="0" collapsed="false">
      <c r="A607" s="1" t="s">
        <v>1043</v>
      </c>
      <c r="B607" s="0" t="s">
        <v>185</v>
      </c>
      <c r="F607" s="14" t="n">
        <f aca="false">1/(1+wacc)^Sens!F606</f>
        <v>0.952193373608246</v>
      </c>
      <c r="G607" s="14" t="n">
        <f aca="false">1/(1+wacc)^Sens!G606</f>
        <v>0.863327280626589</v>
      </c>
      <c r="H607" s="14" t="n">
        <f aca="false">1/(1+wacc)^Sens!H606</f>
        <v>0.782754862754115</v>
      </c>
      <c r="I607" s="14" t="n">
        <f aca="false">1/(1+wacc)^Sens!I606</f>
        <v>0.709702089711011</v>
      </c>
      <c r="J607" s="14" t="n">
        <f aca="false">1/(1+wacc)^Sens!J606</f>
        <v>0.643467169744551</v>
      </c>
      <c r="K607" s="14" t="n">
        <f aca="false">1/(1+wacc)^Sens!K606</f>
        <v>0.583413807767797</v>
      </c>
    </row>
    <row r="608" customFormat="false" ht="17.15" hidden="false" customHeight="false" outlineLevel="0" collapsed="false">
      <c r="A608" s="1" t="s">
        <v>1044</v>
      </c>
      <c r="B608" s="0" t="s">
        <v>98</v>
      </c>
      <c r="F608" s="6" t="n">
        <f aca="false">Sens!F582-Sens!F580-Sens!F585+Sens!F566*(1-tax_f)</f>
        <v>-13.8152499217157</v>
      </c>
      <c r="G608" s="6" t="n">
        <f aca="false">Sens!G582-Sens!G580-Sens!G585+Sens!G566*(1-tax_f)</f>
        <v>5.33252980496866</v>
      </c>
      <c r="H608" s="6" t="n">
        <f aca="false">Sens!H582-Sens!H580-Sens!H585+Sens!H566*(1-tax_f)</f>
        <v>27.1970312815023</v>
      </c>
      <c r="I608" s="6" t="n">
        <f aca="false">Sens!I582-Sens!I580-Sens!I585+Sens!I566*(1-tax_f)</f>
        <v>81.6569482959454</v>
      </c>
      <c r="J608" s="6" t="n">
        <f aca="false">Sens!J582-Sens!J580-Sens!J585+Sens!J566*(1-tax_f)</f>
        <v>145.698979304434</v>
      </c>
      <c r="K608" s="6" t="n">
        <f aca="false">Sens!K582-Sens!K580-Sens!K585+Sens!K566*(1-tax_f)</f>
        <v>175.37068064788</v>
      </c>
      <c r="L608" s="1" t="s">
        <v>1045</v>
      </c>
    </row>
    <row r="609" customFormat="false" ht="15" hidden="false" customHeight="false" outlineLevel="0" collapsed="false">
      <c r="A609" s="1" t="s">
        <v>1046</v>
      </c>
      <c r="B609" s="0" t="s">
        <v>98</v>
      </c>
      <c r="F609" s="6" t="n">
        <f aca="false">Sens!F608*Sens!F607</f>
        <v>-13.1547894301995</v>
      </c>
      <c r="G609" s="6" t="n">
        <f aca="false">Sens!G608*Sens!G607</f>
        <v>4.60371845538383</v>
      </c>
      <c r="H609" s="6" t="n">
        <f aca="false">Sens!H608*Sens!H607</f>
        <v>21.2886084880717</v>
      </c>
      <c r="I609" s="6" t="n">
        <f aca="false">Sens!I608*Sens!I607</f>
        <v>57.9521068450564</v>
      </c>
      <c r="J609" s="6" t="n">
        <f aca="false">Sens!J608*Sens!J607</f>
        <v>93.7525098476943</v>
      </c>
      <c r="K609" s="6" t="n">
        <f aca="false">Sens!K608*Sens!K607</f>
        <v>102.31367656761</v>
      </c>
    </row>
    <row r="610" customFormat="false" ht="17.15" hidden="false" customHeight="false" outlineLevel="0" collapsed="false">
      <c r="A610" s="1" t="s">
        <v>1047</v>
      </c>
      <c r="B610" s="0" t="s">
        <v>98</v>
      </c>
      <c r="C610" s="6" t="n">
        <f aca="false">SUM(Sens!F609:K609)</f>
        <v>266.755830773617</v>
      </c>
    </row>
    <row r="611" customFormat="false" ht="17.15" hidden="false" customHeight="false" outlineLevel="0" collapsed="false">
      <c r="A611" s="1" t="s">
        <v>1048</v>
      </c>
      <c r="B611" s="0" t="s">
        <v>98</v>
      </c>
      <c r="C611" s="6" t="n">
        <f aca="false">Sens!K552*(1+g_tv)*(1-tax_f)</f>
        <v>181.221309964347</v>
      </c>
    </row>
    <row r="612" customFormat="false" ht="17.15" hidden="false" customHeight="false" outlineLevel="0" collapsed="false">
      <c r="A612" s="1" t="s">
        <v>1049</v>
      </c>
      <c r="B612" s="0" t="s">
        <v>98</v>
      </c>
      <c r="C612" s="6" t="n">
        <f aca="false">Sens!$C$611*(1-g_tv/(wacc+ronic_prem))</f>
        <v>128.404775961192</v>
      </c>
    </row>
    <row r="613" customFormat="false" ht="17.15" hidden="false" customHeight="false" outlineLevel="0" collapsed="false">
      <c r="A613" s="1" t="s">
        <v>1050</v>
      </c>
      <c r="B613" s="0" t="s">
        <v>98</v>
      </c>
      <c r="C613" s="6" t="n">
        <f aca="false">Sens!$C$612/(wacc-g_tv)</f>
        <v>1760.5511334385</v>
      </c>
    </row>
    <row r="614" customFormat="false" ht="15" hidden="false" customHeight="false" outlineLevel="0" collapsed="false">
      <c r="A614" s="1" t="s">
        <v>1051</v>
      </c>
      <c r="B614" s="0" t="s">
        <v>98</v>
      </c>
      <c r="C614" s="6" t="n">
        <f aca="false">Sens!$C$613/(1+wacc)^(Sens!K606+mid_yr)</f>
        <v>978.026227987263</v>
      </c>
    </row>
    <row r="615" customFormat="false" ht="17.15" hidden="false" customHeight="false" outlineLevel="0" collapsed="false">
      <c r="A615" s="0" t="s">
        <v>972</v>
      </c>
      <c r="B615" s="0" t="s">
        <v>98</v>
      </c>
      <c r="C615" s="6" t="n">
        <f aca="false">Sens!$C$610+Sens!$C$614</f>
        <v>1244.78205876088</v>
      </c>
    </row>
    <row r="616" customFormat="false" ht="15" hidden="false" customHeight="false" outlineLevel="0" collapsed="false">
      <c r="A616" s="1" t="s">
        <v>973</v>
      </c>
      <c r="B616" s="0" t="s">
        <v>129</v>
      </c>
      <c r="C616" s="7" t="n">
        <f aca="false">Sens!$C$614/Sens!$C$615</f>
        <v>0.785700774769232</v>
      </c>
    </row>
    <row r="617" customFormat="false" ht="17.15" hidden="false" customHeight="false" outlineLevel="0" collapsed="false">
      <c r="A617" s="1" t="s">
        <v>1052</v>
      </c>
      <c r="B617" s="0" t="s">
        <v>98</v>
      </c>
      <c r="C617" s="6" t="n">
        <f aca="false">Sens!$C$615+Sens!E597-Sens!E586+oai_v</f>
        <v>1379.29505876088</v>
      </c>
    </row>
    <row r="618" customFormat="false" ht="17.15" hidden="false" customHeight="false" outlineLevel="0" collapsed="false">
      <c r="A618" s="0" t="s">
        <v>980</v>
      </c>
      <c r="B618" s="0" t="s">
        <v>75</v>
      </c>
      <c r="C618" s="5" t="n">
        <f aca="false">Sens!$C$617/sh_dil26</f>
        <v>185.06575322164</v>
      </c>
    </row>
    <row r="619" customFormat="false" ht="15" hidden="false" customHeight="false" outlineLevel="0" collapsed="false">
      <c r="A619" s="1" t="s">
        <v>1053</v>
      </c>
      <c r="B619" s="0" t="s">
        <v>75</v>
      </c>
      <c r="C619" s="8" t="n">
        <f aca="false">dps_27+Sens!G589*roll_div_q/q_per_yr</f>
        <v>4.8895</v>
      </c>
    </row>
    <row r="620" customFormat="false" ht="17.15" hidden="false" customHeight="false" outlineLevel="0" collapsed="false">
      <c r="A620" s="0" t="s">
        <v>1054</v>
      </c>
      <c r="B620" s="0" t="s">
        <v>75</v>
      </c>
      <c r="C620" s="5" t="n">
        <f aca="false">Sens!$C$618*(1+wacc)^t_roll-Sens!$C$619</f>
        <v>205.851052451212</v>
      </c>
    </row>
    <row r="621" customFormat="false" ht="17.15" hidden="false" customHeight="false" outlineLevel="0" collapsed="false">
      <c r="A621" s="1" t="s">
        <v>1055</v>
      </c>
      <c r="B621" s="0" t="s">
        <v>129</v>
      </c>
      <c r="F621" s="7" t="n">
        <f aca="false">Sens!F578/(Sens!F523-Sens!F479)</f>
        <v>0.0686864325746334</v>
      </c>
      <c r="G621" s="7" t="n">
        <f aca="false">Sens!G578/(Sens!G523-Sens!G479)</f>
        <v>0.066267001590801</v>
      </c>
      <c r="H621" s="7" t="n">
        <f aca="false">Sens!H578/(Sens!H523-Sens!H479)</f>
        <v>0.0650366246750144</v>
      </c>
      <c r="I621" s="7" t="n">
        <f aca="false">Sens!I578/(Sens!I523-Sens!I479)</f>
        <v>0.0648573271390164</v>
      </c>
      <c r="J621" s="7" t="n">
        <f aca="false">Sens!J578/(Sens!J523-Sens!J479)</f>
        <v>0.0655189837669657</v>
      </c>
      <c r="K621" s="7" t="n">
        <f aca="false">Sens!K578/(Sens!K523-Sens!K479)</f>
        <v>0.0667878921367872</v>
      </c>
    </row>
    <row r="622" customFormat="false" ht="17.15" hidden="false" customHeight="false" outlineLevel="0" collapsed="false">
      <c r="A622" s="0" t="s">
        <v>1056</v>
      </c>
      <c r="B622" s="0" t="s">
        <v>98</v>
      </c>
      <c r="F622" s="6" t="n">
        <f aca="false">Sens!F508*(al_m365+Sens!F621+sbc_r)</f>
        <v>82.8871280343675</v>
      </c>
      <c r="G622" s="6" t="n">
        <f aca="false">Sens!G508*(al_m365+Sens!G621+sbc_r)</f>
        <v>93.2646494841949</v>
      </c>
      <c r="H622" s="6" t="n">
        <f aca="false">Sens!H508*(al_m365+Sens!H621+sbc_r)</f>
        <v>103.801656157254</v>
      </c>
      <c r="I622" s="6" t="n">
        <f aca="false">Sens!I508*(al_m365+Sens!I621+sbc_r)</f>
        <v>113.821873816133</v>
      </c>
      <c r="J622" s="6" t="n">
        <f aca="false">Sens!J508*(al_m365+Sens!J621+sbc_r)</f>
        <v>123.136196807334</v>
      </c>
      <c r="K622" s="6" t="n">
        <f aca="false">Sens!K508*(al_m365+Sens!K621+sbc_r)</f>
        <v>132.051675801964</v>
      </c>
      <c r="L622" s="11" t="s">
        <v>1057</v>
      </c>
    </row>
    <row r="623" customFormat="false" ht="17.15" hidden="false" customHeight="false" outlineLevel="0" collapsed="false">
      <c r="A623" s="0" t="s">
        <v>1058</v>
      </c>
      <c r="B623" s="0" t="s">
        <v>98</v>
      </c>
      <c r="F623" s="6" t="n">
        <f aca="false">Sens!F509*(al_lic+Sens!F621+sbc_r)</f>
        <v>33.4484001235218</v>
      </c>
      <c r="G623" s="6" t="n">
        <f aca="false">Sens!G509*(al_lic+Sens!G621+sbc_r)</f>
        <v>34.7662136749183</v>
      </c>
      <c r="H623" s="6" t="n">
        <f aca="false">Sens!H509*(al_lic+Sens!H621+sbc_r)</f>
        <v>35.9922067034497</v>
      </c>
      <c r="I623" s="6" t="n">
        <f aca="false">Sens!I509*(al_lic+Sens!I621+sbc_r)</f>
        <v>37.1063543598183</v>
      </c>
      <c r="J623" s="6" t="n">
        <f aca="false">Sens!J509*(al_lic+Sens!J621+sbc_r)</f>
        <v>38.0853056964387</v>
      </c>
      <c r="K623" s="6" t="n">
        <f aca="false">Sens!K509*(al_lic+Sens!K621+sbc_r)</f>
        <v>38.9048066370724</v>
      </c>
    </row>
    <row r="624" customFormat="false" ht="17.15" hidden="false" customHeight="false" outlineLevel="0" collapsed="false">
      <c r="A624" s="0" t="s">
        <v>1059</v>
      </c>
      <c r="B624" s="0" t="s">
        <v>98</v>
      </c>
      <c r="F624" s="6" t="n">
        <f aca="false">Sens!F511*(al_ind+Sens!F621+sbc_r)</f>
        <v>9.07857451914073</v>
      </c>
      <c r="G624" s="6" t="n">
        <f aca="false">Sens!G511*(al_ind+Sens!G621+sbc_r)</f>
        <v>9.86487802721884</v>
      </c>
      <c r="H624" s="6" t="n">
        <f aca="false">Sens!H511*(al_ind+Sens!H621+sbc_r)</f>
        <v>10.693809720013</v>
      </c>
      <c r="I624" s="6" t="n">
        <f aca="false">Sens!I511*(al_ind+Sens!I621+sbc_r)</f>
        <v>11.5608645999226</v>
      </c>
      <c r="J624" s="6" t="n">
        <f aca="false">Sens!J511*(al_ind+Sens!J621+sbc_r)</f>
        <v>12.4574161941375</v>
      </c>
      <c r="K624" s="6" t="n">
        <f aca="false">Sens!K511*(al_ind+Sens!K621+sbc_r)</f>
        <v>13.3714153876622</v>
      </c>
    </row>
    <row r="625" customFormat="false" ht="17.15" hidden="false" customHeight="false" outlineLevel="0" collapsed="false">
      <c r="A625" s="0" t="s">
        <v>1060</v>
      </c>
      <c r="B625" s="0" t="s">
        <v>98</v>
      </c>
      <c r="F625" s="6" t="n">
        <f aca="false">Sens!F513*(al_fro+Sens!F621+sbc_r)</f>
        <v>3.57335880380168</v>
      </c>
      <c r="G625" s="6" t="n">
        <f aca="false">Sens!G513*(al_fro+Sens!G621+sbc_r)</f>
        <v>3.78752993435501</v>
      </c>
      <c r="H625" s="6" t="n">
        <f aca="false">Sens!H513*(al_fro+Sens!H621+sbc_r)</f>
        <v>4.02979352544868</v>
      </c>
      <c r="I625" s="6" t="n">
        <f aca="false">Sens!I513*(al_fro+Sens!I621+sbc_r)</f>
        <v>4.30248328262388</v>
      </c>
      <c r="J625" s="6" t="n">
        <f aca="false">Sens!J513*(al_fro+Sens!J621+sbc_r)</f>
        <v>4.6072312462081</v>
      </c>
      <c r="K625" s="6" t="n">
        <f aca="false">Sens!K513*(al_fro+Sens!K621+sbc_r)</f>
        <v>4.94526327289735</v>
      </c>
    </row>
    <row r="626" customFormat="false" ht="17.15" hidden="false" customHeight="false" outlineLevel="0" collapsed="false">
      <c r="A626" s="0" t="s">
        <v>1061</v>
      </c>
      <c r="B626" s="0" t="s">
        <v>98</v>
      </c>
      <c r="F626" s="6" t="n">
        <f aca="false">Sens!F516*(al_srch+Sens!F621+sbc_r)</f>
        <v>11.2121706988551</v>
      </c>
      <c r="G626" s="6" t="n">
        <f aca="false">Sens!G516*(al_srch+Sens!G621+sbc_r)</f>
        <v>12.298220751086</v>
      </c>
      <c r="H626" s="6" t="n">
        <f aca="false">Sens!H516*(al_srch+Sens!H621+sbc_r)</f>
        <v>13.4264661389574</v>
      </c>
      <c r="I626" s="6" t="n">
        <f aca="false">Sens!I516*(al_srch+Sens!I621+sbc_r)</f>
        <v>14.5842947685169</v>
      </c>
      <c r="J626" s="6" t="n">
        <f aca="false">Sens!J516*(al_srch+Sens!J621+sbc_r)</f>
        <v>15.7529827260804</v>
      </c>
      <c r="K626" s="6" t="n">
        <f aca="false">Sens!K516*(al_srch+Sens!K621+sbc_r)</f>
        <v>16.908777257054</v>
      </c>
    </row>
    <row r="627" customFormat="false" ht="17.15" hidden="false" customHeight="false" outlineLevel="0" collapsed="false">
      <c r="A627" s="0" t="s">
        <v>1062</v>
      </c>
      <c r="B627" s="0" t="s">
        <v>98</v>
      </c>
      <c r="F627" s="6" t="n">
        <f aca="false">Sens!F485-Sens!F486+Sens!F566</f>
        <v>28.5244150120322</v>
      </c>
      <c r="G627" s="6" t="n">
        <f aca="false">Sens!G485-Sens!G486+Sens!G566</f>
        <v>41.465865997122</v>
      </c>
      <c r="H627" s="6" t="n">
        <f aca="false">Sens!H485-Sens!H486+Sens!H566</f>
        <v>50.0162393490171</v>
      </c>
      <c r="I627" s="6" t="n">
        <f aca="false">Sens!I485-Sens!I486+Sens!I566</f>
        <v>64.1269468046571</v>
      </c>
      <c r="J627" s="6" t="n">
        <f aca="false">Sens!J485-Sens!J486+Sens!J566</f>
        <v>74.1897149684647</v>
      </c>
      <c r="K627" s="6" t="n">
        <f aca="false">Sens!K485-Sens!K486+Sens!K566</f>
        <v>81.0221640725272</v>
      </c>
    </row>
    <row r="628" customFormat="false" ht="17.15" hidden="false" customHeight="false" outlineLevel="0" collapsed="false">
      <c r="A628" s="0" t="s">
        <v>1063</v>
      </c>
      <c r="B628" s="0" t="s">
        <v>98</v>
      </c>
      <c r="F628" s="6" t="n">
        <f aca="false">Sens!F545+Sens!F566+Sens!F496+Sens!F621*(Sens!F515-Sens!F479)+sbc_r*Sens!F515</f>
        <v>218.429541327539</v>
      </c>
      <c r="G628" s="6" t="n">
        <f aca="false">Sens!G545+Sens!G566+Sens!G496+Sens!G621*(Sens!G515-Sens!G479)+sbc_r*Sens!G515</f>
        <v>256.183701801194</v>
      </c>
      <c r="H628" s="6" t="n">
        <f aca="false">Sens!H545+Sens!H566+Sens!H496+Sens!H621*(Sens!H515-Sens!H479)+sbc_r*Sens!H515</f>
        <v>289.825032777132</v>
      </c>
      <c r="I628" s="6" t="n">
        <f aca="false">Sens!I545+Sens!I566+Sens!I496+Sens!I621*(Sens!I515-Sens!I479)+sbc_r*Sens!I515</f>
        <v>328.415306979006</v>
      </c>
      <c r="J628" s="6" t="n">
        <f aca="false">Sens!J545+Sens!J566+Sens!J496+Sens!J621*(Sens!J515-Sens!J479)+sbc_r*Sens!J515</f>
        <v>361.062153908339</v>
      </c>
      <c r="K628" s="6" t="n">
        <f aca="false">Sens!K545+Sens!K566+Sens!K496+Sens!K621*(Sens!K515-Sens!K479)+sbc_r*Sens!K515</f>
        <v>388.177642161397</v>
      </c>
    </row>
    <row r="629" customFormat="false" ht="17.15" hidden="false" customHeight="false" outlineLevel="0" collapsed="false">
      <c r="A629" s="0" t="s">
        <v>1064</v>
      </c>
      <c r="B629" s="0" t="s">
        <v>98</v>
      </c>
      <c r="F629" s="6" t="n">
        <f aca="false">Sens!F628-Sens!F622-Sens!F623-Sens!F624-Sens!F625-Sens!F627</f>
        <v>60.9176648346756</v>
      </c>
      <c r="G629" s="6" t="n">
        <f aca="false">Sens!G628-Sens!G622-Sens!G623-Sens!G624-Sens!G625-Sens!G627</f>
        <v>73.0345646833845</v>
      </c>
      <c r="H629" s="6" t="n">
        <f aca="false">Sens!H628-Sens!H622-Sens!H623-Sens!H624-Sens!H625-Sens!H627</f>
        <v>85.2913273219498</v>
      </c>
      <c r="I629" s="6" t="n">
        <f aca="false">Sens!I628-Sens!I622-Sens!I623-Sens!I624-Sens!I625-Sens!I627</f>
        <v>97.4967841158513</v>
      </c>
      <c r="J629" s="6" t="n">
        <f aca="false">Sens!J628-Sens!J622-Sens!J623-Sens!J624-Sens!J625-Sens!J627</f>
        <v>108.586288995756</v>
      </c>
      <c r="K629" s="6" t="n">
        <f aca="false">Sens!K628-Sens!K622-Sens!K623-Sens!K624-Sens!K625-Sens!K627</f>
        <v>117.882316989274</v>
      </c>
    </row>
    <row r="630" customFormat="false" ht="17.15" hidden="false" customHeight="false" outlineLevel="0" collapsed="false">
      <c r="A630" s="0" t="s">
        <v>1065</v>
      </c>
      <c r="B630" s="0" t="s">
        <v>98</v>
      </c>
      <c r="F630" s="6" t="n">
        <f aca="false">Sens!F547+Sens!F621*Sens!F522+sbc_r*Sens!F522</f>
        <v>26.2049549828959</v>
      </c>
      <c r="G630" s="6" t="n">
        <f aca="false">Sens!G547+Sens!G621*Sens!G522+sbc_r*Sens!G522</f>
        <v>26.8405806403664</v>
      </c>
      <c r="H630" s="6" t="n">
        <f aca="false">Sens!H547+Sens!H621*Sens!H522+sbc_r*Sens!H522</f>
        <v>27.7352032470138</v>
      </c>
      <c r="I630" s="6" t="n">
        <f aca="false">Sens!I547+Sens!I621*Sens!I522+sbc_r*Sens!I522</f>
        <v>28.8569155956094</v>
      </c>
      <c r="J630" s="6" t="n">
        <f aca="false">Sens!J547+Sens!J621*Sens!J522+sbc_r*Sens!J522</f>
        <v>30.1744385645725</v>
      </c>
      <c r="K630" s="6" t="n">
        <f aca="false">Sens!K547+Sens!K621*Sens!K522+sbc_r*Sens!K522</f>
        <v>31.6584976186802</v>
      </c>
    </row>
    <row r="631" customFormat="false" ht="17.15" hidden="false" customHeight="false" outlineLevel="0" collapsed="false">
      <c r="A631" s="0" t="s">
        <v>1066</v>
      </c>
      <c r="B631" s="0" t="s">
        <v>98</v>
      </c>
      <c r="F631" s="6" t="n">
        <f aca="false">(Sens!F630-Sens!F626)*Sens!F518/(Sens!F518+Sens!F520)</f>
        <v>8.21889831690819</v>
      </c>
      <c r="G631" s="6" t="n">
        <f aca="false">(Sens!G630-Sens!G626)*Sens!G518/(Sens!G518+Sens!G520)</f>
        <v>7.82984014749099</v>
      </c>
      <c r="H631" s="6" t="n">
        <f aca="false">(Sens!H630-Sens!H626)*Sens!H518/(Sens!H518+Sens!H520)</f>
        <v>7.5999849964554</v>
      </c>
      <c r="I631" s="6" t="n">
        <f aca="false">(Sens!I630-Sens!I626)*Sens!I518/(Sens!I518+Sens!I520)</f>
        <v>7.51221089422364</v>
      </c>
      <c r="J631" s="6" t="n">
        <f aca="false">(Sens!J630-Sens!J626)*Sens!J518/(Sens!J518+Sens!J520)</f>
        <v>7.55622411401827</v>
      </c>
      <c r="K631" s="6" t="n">
        <f aca="false">(Sens!K630-Sens!K626)*Sens!K518/(Sens!K518+Sens!K520)</f>
        <v>7.72822064011532</v>
      </c>
    </row>
    <row r="632" customFormat="false" ht="17.15" hidden="false" customHeight="false" outlineLevel="0" collapsed="false">
      <c r="A632" s="0" t="s">
        <v>1067</v>
      </c>
      <c r="B632" s="0" t="s">
        <v>98</v>
      </c>
      <c r="F632" s="6" t="n">
        <f aca="false">Sens!F630-Sens!F626-Sens!F631</f>
        <v>6.77388596713263</v>
      </c>
      <c r="G632" s="6" t="n">
        <f aca="false">Sens!G630-Sens!G626-Sens!G631</f>
        <v>6.71251974178949</v>
      </c>
      <c r="H632" s="6" t="n">
        <f aca="false">Sens!H630-Sens!H626-Sens!H631</f>
        <v>6.70875211160101</v>
      </c>
      <c r="I632" s="6" t="n">
        <f aca="false">Sens!I630-Sens!I626-Sens!I631</f>
        <v>6.76040993286883</v>
      </c>
      <c r="J632" s="6" t="n">
        <f aca="false">Sens!J630-Sens!J626-Sens!J631</f>
        <v>6.86523172447386</v>
      </c>
      <c r="K632" s="6" t="n">
        <f aca="false">Sens!K630-Sens!K626-Sens!K631</f>
        <v>7.02149972151092</v>
      </c>
    </row>
    <row r="633" customFormat="false" ht="17.15" hidden="false" customHeight="false" outlineLevel="0" collapsed="false">
      <c r="A633" s="0" t="s">
        <v>1068</v>
      </c>
      <c r="B633" s="0" t="s">
        <v>98</v>
      </c>
      <c r="F633" s="6" t="n">
        <f aca="false">Sens!F627-tax_f*(Sens!F627-Sens!F496)-Sens!F493</f>
        <v>-139.000513669638</v>
      </c>
      <c r="G633" s="6" t="n">
        <f aca="false">Sens!G627-tax_f*(Sens!G627-Sens!G496)-Sens!G493</f>
        <v>-138.295141033435</v>
      </c>
      <c r="H633" s="6" t="n">
        <f aca="false">Sens!H627-tax_f*(Sens!H627-Sens!H496)-Sens!H493</f>
        <v>-130.513831232558</v>
      </c>
      <c r="I633" s="6" t="n">
        <f aca="false">Sens!I627-tax_f*(Sens!I627-Sens!I496)-Sens!I493</f>
        <v>-90.0027037140755</v>
      </c>
      <c r="J633" s="6" t="n">
        <f aca="false">Sens!J627-tax_f*(Sens!J627-Sens!J496)-Sens!J493</f>
        <v>-39.3189625587856</v>
      </c>
      <c r="K633" s="6" t="n">
        <f aca="false">Sens!K627-tax_f*(Sens!K627-Sens!K496)-Sens!K493</f>
        <v>-22.2071750230196</v>
      </c>
    </row>
    <row r="634" customFormat="false" ht="17.15" hidden="false" customHeight="false" outlineLevel="0" collapsed="false">
      <c r="A634" s="0" t="s">
        <v>1069</v>
      </c>
      <c r="B634" s="0" t="s">
        <v>98</v>
      </c>
      <c r="F634" s="6" t="n">
        <f aca="false">Sens!F633*Sens!F607</f>
        <v>-132.355368044372</v>
      </c>
      <c r="G634" s="6" t="n">
        <f aca="false">Sens!G633*Sens!G607</f>
        <v>-119.393968032266</v>
      </c>
      <c r="H634" s="6" t="n">
        <f aca="false">Sens!H633*Sens!H607</f>
        <v>-102.160336053955</v>
      </c>
      <c r="I634" s="6" t="n">
        <f aca="false">Sens!I633*Sens!I607</f>
        <v>-63.8751069055203</v>
      </c>
      <c r="J634" s="6" t="n">
        <f aca="false">Sens!J633*Sens!J607</f>
        <v>-25.3004615549937</v>
      </c>
      <c r="K634" s="6" t="n">
        <f aca="false">Sens!K633*Sens!K607</f>
        <v>-12.9559725399458</v>
      </c>
    </row>
    <row r="635" customFormat="false" ht="17.15" hidden="false" customHeight="false" outlineLevel="0" collapsed="false">
      <c r="A635" s="0" t="s">
        <v>1070</v>
      </c>
      <c r="B635" s="0" t="s">
        <v>98</v>
      </c>
      <c r="C635" s="6" t="n">
        <f aca="false">(Sens!K627-Sens!K496)*(1-tax_f)*(1+g_tv)*(1-g_tv/(wacc+ronic_prem))/(wacc-g_tv)/(1+wacc)^(Sens!K606+mid_yr)</f>
        <v>-260.819488478303</v>
      </c>
    </row>
    <row r="636" customFormat="false" ht="17.15" hidden="false" customHeight="false" outlineLevel="0" collapsed="false">
      <c r="A636" s="1" t="s">
        <v>1071</v>
      </c>
      <c r="B636" s="0" t="s">
        <v>98</v>
      </c>
      <c r="C636" s="6" t="n">
        <f aca="false">(SUM(Sens!F634:K634)+Sens!$C$635)*(1+wacc)^t_roll</f>
        <v>-816.313216561423</v>
      </c>
      <c r="L636" s="11" t="s">
        <v>1072</v>
      </c>
    </row>
    <row r="637" customFormat="false" ht="17.15" hidden="false" customHeight="false" outlineLevel="0" collapsed="false">
      <c r="A637" s="1" t="s">
        <v>1073</v>
      </c>
      <c r="B637" s="0" t="s">
        <v>98</v>
      </c>
      <c r="C637" s="6" t="n">
        <f aca="false">(w_ntm28*Sens!G485+(1-w_ntm28)*Sens!H485)*m_ai</f>
        <v>338.776008390068</v>
      </c>
    </row>
    <row r="638" customFormat="false" ht="17.15" hidden="false" customHeight="false" outlineLevel="0" collapsed="false">
      <c r="A638" s="1" t="s">
        <v>1074</v>
      </c>
      <c r="B638" s="0" t="s">
        <v>98</v>
      </c>
      <c r="C638" s="6" t="n">
        <f aca="false">(w_ntm28*Sens!G629+(1-w_ntm28)*Sens!H629)*m_cloud</f>
        <v>1064.09888458319</v>
      </c>
    </row>
    <row r="639" customFormat="false" ht="17.15" hidden="false" customHeight="false" outlineLevel="0" collapsed="false">
      <c r="A639" s="1" t="s">
        <v>1075</v>
      </c>
      <c r="B639" s="0" t="s">
        <v>98</v>
      </c>
      <c r="C639" s="6" t="n">
        <f aca="false">(w_ntm28*Sens!G622+(1-w_ntm28)*Sens!H622)*m_sw</f>
        <v>1044.04824539957</v>
      </c>
    </row>
    <row r="640" customFormat="false" ht="17.15" hidden="false" customHeight="false" outlineLevel="0" collapsed="false">
      <c r="A640" s="1" t="s">
        <v>1076</v>
      </c>
      <c r="B640" s="0" t="s">
        <v>98</v>
      </c>
      <c r="C640" s="6" t="n">
        <f aca="false">(w_ntm28*Sens!G623+(1-w_ntm28)*Sens!H623)*m_sw</f>
        <v>379.755670745447</v>
      </c>
    </row>
    <row r="641" customFormat="false" ht="17.15" hidden="false" customHeight="false" outlineLevel="0" collapsed="false">
      <c r="A641" s="1" t="s">
        <v>1077</v>
      </c>
      <c r="B641" s="0" t="s">
        <v>98</v>
      </c>
      <c r="C641" s="6" t="n">
        <f aca="false">(w_ntm28*Sens!G624+(1-w_ntm28)*Sens!H624)*m_sw</f>
        <v>109.434903376969</v>
      </c>
    </row>
    <row r="642" customFormat="false" ht="17.15" hidden="false" customHeight="false" outlineLevel="0" collapsed="false">
      <c r="A642" s="1" t="s">
        <v>1078</v>
      </c>
      <c r="B642" s="0" t="s">
        <v>98</v>
      </c>
      <c r="C642" s="6" t="n">
        <f aca="false">(w_ntm28*Sens!G625+(1-w_ntm28)*Sens!H625)*m_sw</f>
        <v>41.7511882786773</v>
      </c>
    </row>
    <row r="643" customFormat="false" ht="17.15" hidden="false" customHeight="false" outlineLevel="0" collapsed="false">
      <c r="A643" s="1" t="s">
        <v>1079</v>
      </c>
      <c r="B643" s="0" t="s">
        <v>98</v>
      </c>
      <c r="C643" s="6" t="n">
        <f aca="false">(w_ntm28*Sens!G626+(1-w_ntm28)*Sens!H626)*m_ads</f>
        <v>115.359643719254</v>
      </c>
    </row>
    <row r="644" customFormat="false" ht="17.15" hidden="false" customHeight="false" outlineLevel="0" collapsed="false">
      <c r="A644" s="1" t="s">
        <v>1080</v>
      </c>
      <c r="B644" s="0" t="s">
        <v>98</v>
      </c>
      <c r="C644" s="6" t="n">
        <f aca="false">(w_ntm28*Sens!G631+(1-w_ntm28)*Sens!H631)*m_game</f>
        <v>97.9523541428266</v>
      </c>
    </row>
    <row r="645" customFormat="false" ht="17.15" hidden="false" customHeight="false" outlineLevel="0" collapsed="false">
      <c r="A645" s="1" t="s">
        <v>1081</v>
      </c>
      <c r="B645" s="0" t="s">
        <v>98</v>
      </c>
      <c r="C645" s="6" t="n">
        <f aca="false">(w_ntm28*Sens!G632+(1-w_ntm28)*Sens!H632)*m_pc</f>
        <v>97.1125357928949</v>
      </c>
    </row>
    <row r="646" customFormat="false" ht="17.15" hidden="false" customHeight="false" outlineLevel="0" collapsed="false">
      <c r="A646" s="1" t="s">
        <v>1082</v>
      </c>
      <c r="B646" s="0" t="s">
        <v>98</v>
      </c>
      <c r="C646" s="6" t="n">
        <f aca="false">Sens!$C$636+Sens!$C$638+Sens!$C$639+Sens!$C$640+Sens!$C$641+Sens!$C$642+Sens!$C$643+Sens!$C$644+Sens!$C$645</f>
        <v>2133.2002094774</v>
      </c>
    </row>
    <row r="647" customFormat="false" ht="17.15" hidden="false" customHeight="false" outlineLevel="0" collapsed="false">
      <c r="A647" s="1" t="s">
        <v>1000</v>
      </c>
      <c r="B647" s="0" t="s">
        <v>98</v>
      </c>
      <c r="C647" s="6" t="n">
        <f aca="false">Sens!F597+oai_v-Sens!F586</f>
        <v>106.814034990727</v>
      </c>
      <c r="L647" s="1" t="s">
        <v>1083</v>
      </c>
    </row>
    <row r="648" customFormat="false" ht="15" hidden="false" customHeight="false" outlineLevel="0" collapsed="false">
      <c r="A648" s="1" t="s">
        <v>1001</v>
      </c>
      <c r="B648" s="0" t="s">
        <v>75</v>
      </c>
      <c r="C648" s="5" t="n">
        <f aca="false">(Sens!$C$646+Sens!$C$647)/Sens!F599</f>
        <v>299.787773617255</v>
      </c>
    </row>
    <row r="649" customFormat="false" ht="17.15" hidden="false" customHeight="false" outlineLevel="0" collapsed="false">
      <c r="A649" s="1" t="s">
        <v>1084</v>
      </c>
      <c r="B649" s="0" t="s">
        <v>75</v>
      </c>
      <c r="C649" s="5" t="n">
        <f aca="false">w_dcf*Sens!$C$620+(1-w_dcf)*Sens!$C$648</f>
        <v>252.819413034234</v>
      </c>
    </row>
    <row r="650" customFormat="false" ht="17.15" hidden="false" customHeight="false" outlineLevel="0" collapsed="false">
      <c r="A650" s="3" t="s">
        <v>1249</v>
      </c>
    </row>
    <row r="651" customFormat="false" ht="15" hidden="false" customHeight="false" outlineLevel="0" collapsed="false">
      <c r="A651" s="4" t="s">
        <v>43</v>
      </c>
      <c r="B651" s="4" t="s">
        <v>65</v>
      </c>
      <c r="C651" s="20" t="s">
        <v>788</v>
      </c>
      <c r="D651" s="20" t="s">
        <v>789</v>
      </c>
      <c r="E651" s="20" t="s">
        <v>790</v>
      </c>
      <c r="F651" s="20" t="s">
        <v>791</v>
      </c>
      <c r="G651" s="20" t="s">
        <v>792</v>
      </c>
      <c r="H651" s="20" t="s">
        <v>793</v>
      </c>
      <c r="I651" s="20" t="s">
        <v>794</v>
      </c>
      <c r="J651" s="20" t="s">
        <v>795</v>
      </c>
      <c r="K651" s="20" t="s">
        <v>796</v>
      </c>
      <c r="L651" s="4" t="s">
        <v>47</v>
      </c>
    </row>
    <row r="652" customFormat="false" ht="17.15" hidden="false" customHeight="false" outlineLevel="0" collapsed="false">
      <c r="A652" s="1" t="s">
        <v>797</v>
      </c>
      <c r="B652" s="1" t="s">
        <v>235</v>
      </c>
      <c r="C652" s="28" t="n">
        <v>2024</v>
      </c>
      <c r="D652" s="28" t="n">
        <v>2025</v>
      </c>
      <c r="E652" s="28" t="n">
        <v>2026</v>
      </c>
      <c r="F652" s="28" t="n">
        <v>2027</v>
      </c>
      <c r="G652" s="28" t="n">
        <v>2028</v>
      </c>
      <c r="H652" s="28" t="n">
        <v>2029</v>
      </c>
      <c r="I652" s="28" t="n">
        <v>2030</v>
      </c>
      <c r="J652" s="28" t="n">
        <v>2031</v>
      </c>
      <c r="K652" s="28" t="n">
        <v>2032</v>
      </c>
    </row>
    <row r="653" customFormat="false" ht="17.15" hidden="false" customHeight="false" outlineLevel="0" collapsed="false">
      <c r="A653" s="1" t="s">
        <v>798</v>
      </c>
      <c r="B653" s="0" t="s">
        <v>392</v>
      </c>
      <c r="F653" s="29" t="n">
        <f aca="false">pace</f>
        <v>2527.2</v>
      </c>
      <c r="G653" s="29" t="n">
        <f aca="false">pace</f>
        <v>2527.2</v>
      </c>
      <c r="H653" s="29" t="n">
        <f aca="false">pace</f>
        <v>2527.2</v>
      </c>
      <c r="I653" s="29" t="n">
        <f aca="false">pace+(g_tv*Sens!H654-pace)*MIN(1,(Sens!I652-pace_y0)/(pace_y1-pace_y0))</f>
        <v>1793.116</v>
      </c>
      <c r="J653" s="29" t="n">
        <f aca="false">pace+(g_tv*Sens!H654-pace)*MIN(1,(Sens!J652-pace_y0)/(pace_y1-pace_y0))</f>
        <v>1059.032</v>
      </c>
      <c r="K653" s="29" t="n">
        <f aca="false">pace+(g_tv*Sens!H654-pace)*MIN(1,(Sens!K652-pace_y0)/(pace_y1-pace_y0))</f>
        <v>324.948</v>
      </c>
      <c r="L653" s="11" t="s">
        <v>799</v>
      </c>
    </row>
    <row r="654" customFormat="false" ht="17.15" hidden="false" customHeight="false" outlineLevel="0" collapsed="false">
      <c r="A654" s="1" t="s">
        <v>800</v>
      </c>
      <c r="B654" s="0" t="s">
        <v>392</v>
      </c>
      <c r="C654" s="29" t="n">
        <f aca="false">mw_ext_24</f>
        <v>640</v>
      </c>
      <c r="D654" s="29" t="n">
        <f aca="false">mw_ext_25</f>
        <v>1630</v>
      </c>
      <c r="E654" s="29" t="n">
        <f aca="false">mw_ext_26</f>
        <v>3250</v>
      </c>
      <c r="F654" s="29" t="n">
        <f aca="false">Sens!E654+Sens!F653</f>
        <v>5777.2</v>
      </c>
      <c r="G654" s="29" t="n">
        <f aca="false">Sens!F654+Sens!G653</f>
        <v>8304.4</v>
      </c>
      <c r="H654" s="29" t="n">
        <f aca="false">Sens!G654+Sens!H653</f>
        <v>10831.6</v>
      </c>
      <c r="I654" s="29" t="n">
        <f aca="false">Sens!H654+Sens!I653</f>
        <v>12624.716</v>
      </c>
      <c r="J654" s="29" t="n">
        <f aca="false">Sens!I654+Sens!J653</f>
        <v>13683.748</v>
      </c>
      <c r="K654" s="29" t="n">
        <f aca="false">Sens!J654+Sens!K653</f>
        <v>14008.696</v>
      </c>
      <c r="L654" s="1" t="s">
        <v>801</v>
      </c>
    </row>
    <row r="655" customFormat="false" ht="17.15" hidden="false" customHeight="false" outlineLevel="0" collapsed="false">
      <c r="A655" s="1" t="s">
        <v>802</v>
      </c>
      <c r="B655" s="0" t="s">
        <v>392</v>
      </c>
      <c r="C655" s="29" t="n">
        <f aca="false">rent_ext_24</f>
        <v>150</v>
      </c>
      <c r="D655" s="29" t="n">
        <f aca="false">rent_ext_25</f>
        <v>400</v>
      </c>
      <c r="E655" s="29" t="n">
        <f aca="false">rent_ext_26</f>
        <v>550</v>
      </c>
      <c r="F655" s="29" t="n">
        <f aca="false">rent_ext_f</f>
        <v>756</v>
      </c>
      <c r="G655" s="29" t="n">
        <f aca="false">rent_ext_f</f>
        <v>756</v>
      </c>
      <c r="H655" s="29" t="n">
        <f aca="false">rent_ext_f</f>
        <v>756</v>
      </c>
      <c r="I655" s="29" t="n">
        <f aca="false">rent_ext_f</f>
        <v>756</v>
      </c>
      <c r="J655" s="29" t="n">
        <f aca="false">rent_ext_f</f>
        <v>756</v>
      </c>
      <c r="K655" s="29" t="n">
        <f aca="false">rent_ext_f</f>
        <v>756</v>
      </c>
      <c r="L655" s="1" t="s">
        <v>803</v>
      </c>
    </row>
    <row r="656" customFormat="false" ht="17.15" hidden="false" customHeight="false" outlineLevel="0" collapsed="false">
      <c r="A656" s="1" t="s">
        <v>804</v>
      </c>
      <c r="B656" s="0" t="s">
        <v>392</v>
      </c>
      <c r="C656" s="29" t="n">
        <f aca="false">Sens!C654-Sens!C655</f>
        <v>490</v>
      </c>
      <c r="D656" s="29" t="n">
        <f aca="false">Sens!D654-Sens!D655</f>
        <v>1230</v>
      </c>
      <c r="E656" s="29" t="n">
        <f aca="false">Sens!E654-Sens!E655</f>
        <v>2700</v>
      </c>
      <c r="F656" s="29" t="n">
        <f aca="false">Sens!F654-Sens!F655</f>
        <v>5021.2</v>
      </c>
      <c r="G656" s="29" t="n">
        <f aca="false">Sens!G654-Sens!G655</f>
        <v>7548.4</v>
      </c>
      <c r="H656" s="29" t="n">
        <f aca="false">Sens!H654-Sens!H655</f>
        <v>10075.6</v>
      </c>
      <c r="I656" s="29" t="n">
        <f aca="false">Sens!I654-Sens!I655</f>
        <v>11868.716</v>
      </c>
      <c r="J656" s="29" t="n">
        <f aca="false">Sens!J654-Sens!J655</f>
        <v>12927.748</v>
      </c>
      <c r="K656" s="29" t="n">
        <f aca="false">Sens!K654-Sens!K655</f>
        <v>13252.696</v>
      </c>
    </row>
    <row r="657" customFormat="false" ht="17.15" hidden="false" customHeight="false" outlineLevel="0" collapsed="false">
      <c r="A657" s="1" t="s">
        <v>805</v>
      </c>
      <c r="B657" s="0" t="s">
        <v>392</v>
      </c>
      <c r="C657" s="29" t="n">
        <f aca="false">Sens!C656/ext_sh</f>
        <v>816.666666666667</v>
      </c>
      <c r="D657" s="29" t="n">
        <f aca="false">Sens!D656/ext_sh</f>
        <v>2050</v>
      </c>
      <c r="E657" s="29" t="n">
        <f aca="false">Sens!E656/ext_sh</f>
        <v>4500</v>
      </c>
      <c r="F657" s="29" t="n">
        <f aca="false">Sens!F656/ext_sh</f>
        <v>8368.66666666667</v>
      </c>
      <c r="G657" s="29" t="n">
        <f aca="false">Sens!G656/ext_sh</f>
        <v>12580.6666666667</v>
      </c>
      <c r="H657" s="29" t="n">
        <f aca="false">Sens!H656/ext_sh</f>
        <v>16792.6666666667</v>
      </c>
      <c r="I657" s="29" t="n">
        <f aca="false">Sens!I656/ext_sh</f>
        <v>19781.1933333333</v>
      </c>
      <c r="J657" s="29" t="n">
        <f aca="false">Sens!J656/ext_sh</f>
        <v>21546.2466666667</v>
      </c>
      <c r="K657" s="29" t="n">
        <f aca="false">Sens!K656/ext_sh</f>
        <v>22087.8266666667</v>
      </c>
      <c r="L657" s="1" t="s">
        <v>806</v>
      </c>
    </row>
    <row r="658" customFormat="false" ht="17.15" hidden="false" customHeight="false" outlineLevel="0" collapsed="false">
      <c r="A658" s="1" t="s">
        <v>807</v>
      </c>
      <c r="B658" s="0" t="s">
        <v>392</v>
      </c>
      <c r="C658" s="29" t="n">
        <f aca="false">Sens!C657-Sens!C656</f>
        <v>326.666666666667</v>
      </c>
      <c r="D658" s="29" t="n">
        <f aca="false">Sens!D657-Sens!D656</f>
        <v>820</v>
      </c>
      <c r="E658" s="29" t="n">
        <f aca="false">Sens!E657-Sens!E656</f>
        <v>1800</v>
      </c>
      <c r="F658" s="29" t="n">
        <f aca="false">Sens!F657-Sens!F656</f>
        <v>3347.46666666667</v>
      </c>
      <c r="G658" s="29" t="n">
        <f aca="false">Sens!G657-Sens!G656</f>
        <v>5032.26666666667</v>
      </c>
      <c r="H658" s="29" t="n">
        <f aca="false">Sens!H657-Sens!H656</f>
        <v>6717.06666666667</v>
      </c>
      <c r="I658" s="29" t="n">
        <f aca="false">Sens!I657-Sens!I656</f>
        <v>7912.47733333333</v>
      </c>
      <c r="J658" s="29" t="n">
        <f aca="false">Sens!J657-Sens!J656</f>
        <v>8618.49866666667</v>
      </c>
      <c r="K658" s="29" t="n">
        <f aca="false">Sens!K657-Sens!K656</f>
        <v>8835.13066666667</v>
      </c>
    </row>
    <row r="659" customFormat="false" ht="17.15" hidden="false" customHeight="false" outlineLevel="0" collapsed="false">
      <c r="A659" s="1" t="s">
        <v>808</v>
      </c>
      <c r="B659" s="0" t="s">
        <v>392</v>
      </c>
      <c r="C659" s="29" t="n">
        <f aca="false">Sens!C657</f>
        <v>816.666666666667</v>
      </c>
      <c r="D659" s="29" t="n">
        <f aca="false">Sens!D657-Sens!C657</f>
        <v>1233.33333333333</v>
      </c>
      <c r="E659" s="29" t="n">
        <f aca="false">Sens!E657-Sens!D657</f>
        <v>2450</v>
      </c>
      <c r="F659" s="29" t="n">
        <f aca="false">Sens!F657-Sens!E657</f>
        <v>3868.66666666667</v>
      </c>
      <c r="G659" s="29" t="n">
        <f aca="false">Sens!G657-Sens!F657</f>
        <v>4212</v>
      </c>
      <c r="H659" s="29" t="n">
        <f aca="false">Sens!H657-Sens!G657</f>
        <v>4212</v>
      </c>
      <c r="I659" s="29" t="n">
        <f aca="false">Sens!I657-Sens!H657</f>
        <v>2988.52666666667</v>
      </c>
      <c r="J659" s="29" t="n">
        <f aca="false">Sens!J657-Sens!I657</f>
        <v>1765.05333333333</v>
      </c>
      <c r="K659" s="29" t="n">
        <f aca="false">Sens!K657-Sens!J657</f>
        <v>541.580000000002</v>
      </c>
    </row>
    <row r="660" customFormat="false" ht="17.15" hidden="false" customHeight="false" outlineLevel="0" collapsed="false">
      <c r="A660" s="1" t="s">
        <v>809</v>
      </c>
      <c r="B660" s="0" t="s">
        <v>392</v>
      </c>
      <c r="D660" s="29" t="n">
        <f aca="false">Sens!D654-Sens!C654</f>
        <v>990</v>
      </c>
      <c r="E660" s="29" t="n">
        <f aca="false">Sens!E654-Sens!D654</f>
        <v>1620</v>
      </c>
      <c r="F660" s="29" t="n">
        <f aca="false">Sens!F654-Sens!E654</f>
        <v>2527.2</v>
      </c>
      <c r="G660" s="29" t="n">
        <f aca="false">Sens!G654-Sens!F654</f>
        <v>2527.2</v>
      </c>
      <c r="H660" s="29" t="n">
        <f aca="false">Sens!H654-Sens!G654</f>
        <v>2527.2</v>
      </c>
      <c r="I660" s="29" t="n">
        <f aca="false">Sens!I654-Sens!H654</f>
        <v>1793.116</v>
      </c>
      <c r="J660" s="29" t="n">
        <f aca="false">Sens!J654-Sens!I654</f>
        <v>1059.032</v>
      </c>
      <c r="K660" s="29" t="n">
        <f aca="false">Sens!K654-Sens!J654</f>
        <v>324.948</v>
      </c>
    </row>
    <row r="661" customFormat="false" ht="17.15" hidden="false" customHeight="false" outlineLevel="0" collapsed="false">
      <c r="A661" s="1" t="s">
        <v>810</v>
      </c>
      <c r="B661" s="0" t="s">
        <v>392</v>
      </c>
      <c r="F661" s="29" t="n">
        <f aca="false">Sens!F678*ext_sh</f>
        <v>0</v>
      </c>
      <c r="G661" s="29" t="n">
        <f aca="false">Sens!G678*ext_sh</f>
        <v>0</v>
      </c>
      <c r="H661" s="29" t="n">
        <f aca="false">Sens!H678*ext_sh</f>
        <v>0</v>
      </c>
      <c r="I661" s="29" t="n">
        <f aca="false">Sens!I678*ext_sh</f>
        <v>490</v>
      </c>
      <c r="J661" s="29" t="n">
        <f aca="false">Sens!J678*ext_sh</f>
        <v>740</v>
      </c>
      <c r="K661" s="29" t="n">
        <f aca="false">Sens!K678*ext_sh</f>
        <v>1470</v>
      </c>
      <c r="L661" s="1" t="s">
        <v>811</v>
      </c>
    </row>
    <row r="662" customFormat="false" ht="17.15" hidden="false" customHeight="false" outlineLevel="0" collapsed="false">
      <c r="A662" s="1" t="s">
        <v>812</v>
      </c>
      <c r="B662" s="0" t="s">
        <v>392</v>
      </c>
      <c r="C662" s="29" t="n">
        <f aca="false">mix_h*Sens!C654</f>
        <v>128</v>
      </c>
      <c r="D662" s="29" t="n">
        <f aca="false">mix_h*Sens!D654</f>
        <v>326</v>
      </c>
      <c r="E662" s="29" t="n">
        <f aca="false">mix_h*Sens!E654</f>
        <v>650</v>
      </c>
      <c r="F662" s="29" t="n">
        <f aca="false">Sens!E662-Sens!F661*mix_h</f>
        <v>650</v>
      </c>
      <c r="G662" s="29" t="n">
        <f aca="false">Sens!F662-Sens!G661*mix_h</f>
        <v>650</v>
      </c>
      <c r="H662" s="29" t="n">
        <f aca="false">Sens!G662-Sens!H661*mix_h</f>
        <v>650</v>
      </c>
      <c r="I662" s="29" t="n">
        <f aca="false">Sens!H662-Sens!I661*mix_h</f>
        <v>552</v>
      </c>
      <c r="J662" s="29" t="n">
        <f aca="false">Sens!I662-Sens!J661*mix_h</f>
        <v>404</v>
      </c>
      <c r="K662" s="29" t="n">
        <f aca="false">Sens!J662-Sens!K661*mix_h</f>
        <v>110</v>
      </c>
    </row>
    <row r="663" customFormat="false" ht="17.15" hidden="false" customHeight="false" outlineLevel="0" collapsed="false">
      <c r="A663" s="1" t="s">
        <v>813</v>
      </c>
      <c r="B663" s="0" t="s">
        <v>392</v>
      </c>
      <c r="C663" s="29" t="n">
        <f aca="false">mix_g2*Sens!C654</f>
        <v>288</v>
      </c>
      <c r="D663" s="29" t="n">
        <f aca="false">mix_g2*Sens!D654</f>
        <v>733.5</v>
      </c>
      <c r="E663" s="29" t="n">
        <f aca="false">mix_g2*Sens!E654</f>
        <v>1462.5</v>
      </c>
      <c r="F663" s="29" t="n">
        <f aca="false">Sens!E663-Sens!F661*mix_g2</f>
        <v>1462.5</v>
      </c>
      <c r="G663" s="29" t="n">
        <f aca="false">Sens!F663-Sens!G661*mix_g2</f>
        <v>1462.5</v>
      </c>
      <c r="H663" s="29" t="n">
        <f aca="false">Sens!G663-Sens!H661*mix_g2</f>
        <v>1462.5</v>
      </c>
      <c r="I663" s="29" t="n">
        <f aca="false">Sens!H663-Sens!I661*mix_g2</f>
        <v>1242</v>
      </c>
      <c r="J663" s="29" t="n">
        <f aca="false">Sens!I663-Sens!J661*mix_g2</f>
        <v>909</v>
      </c>
      <c r="K663" s="29" t="n">
        <f aca="false">Sens!J663-Sens!K661*mix_g2</f>
        <v>247.5</v>
      </c>
    </row>
    <row r="664" customFormat="false" ht="17.15" hidden="false" customHeight="false" outlineLevel="0" collapsed="false">
      <c r="A664" s="1" t="s">
        <v>814</v>
      </c>
      <c r="B664" s="0" t="s">
        <v>392</v>
      </c>
      <c r="C664" s="29" t="n">
        <f aca="false">mix_g3*Sens!C654</f>
        <v>224</v>
      </c>
      <c r="D664" s="29" t="n">
        <f aca="false">mix_g3*Sens!D654</f>
        <v>570.5</v>
      </c>
      <c r="E664" s="29" t="n">
        <f aca="false">mix_g3*Sens!E654</f>
        <v>1137.5</v>
      </c>
      <c r="F664" s="29" t="n">
        <f aca="false">Sens!E664+(Sens!F660+Sens!F661)*a_g3_27-Sens!F661*mix_g3</f>
        <v>2906.54</v>
      </c>
      <c r="G664" s="29" t="n">
        <f aca="false">Sens!F664+(Sens!G660+Sens!G661)*a_g3_28-Sens!G661*mix_g3</f>
        <v>3664.7</v>
      </c>
      <c r="H664" s="29" t="n">
        <f aca="false">Sens!G664+(Sens!H660+Sens!H661)*a_g3_29-Sens!H661*mix_g3</f>
        <v>3917.42</v>
      </c>
      <c r="I664" s="29" t="n">
        <f aca="false">Sens!H664+(Sens!I660+Sens!I661)*a_g3_29-Sens!I661*mix_g3</f>
        <v>3974.2316</v>
      </c>
      <c r="J664" s="29" t="n">
        <f aca="false">Sens!I664+(Sens!J660+Sens!J661)*a_g3_29-Sens!J661*mix_g3</f>
        <v>3895.1348</v>
      </c>
      <c r="K664" s="29" t="n">
        <f aca="false">Sens!J664+(Sens!K660+Sens!K661)*a_g3_29-Sens!K661*mix_g3</f>
        <v>3560.1296</v>
      </c>
    </row>
    <row r="665" customFormat="false" ht="17.15" hidden="false" customHeight="false" outlineLevel="0" collapsed="false">
      <c r="A665" s="1" t="s">
        <v>815</v>
      </c>
      <c r="B665" s="0" t="s">
        <v>392</v>
      </c>
      <c r="C665" s="29" t="n">
        <v>0</v>
      </c>
      <c r="D665" s="29" t="n">
        <v>0</v>
      </c>
      <c r="E665" s="29" t="n">
        <v>0</v>
      </c>
      <c r="F665" s="29" t="n">
        <f aca="false">Sens!E665+(Sens!F660+Sens!F661)*(1-a_g3_27)</f>
        <v>758.16</v>
      </c>
      <c r="G665" s="29" t="n">
        <f aca="false">Sens!F665+(Sens!G660+Sens!G661)*(1-a_g3_28)</f>
        <v>2527.2</v>
      </c>
      <c r="H665" s="29" t="n">
        <f aca="false">Sens!G665+(Sens!H660+Sens!H661)*(1-a_g3_29)</f>
        <v>4801.68</v>
      </c>
      <c r="I665" s="29" t="n">
        <f aca="false">Sens!H665+(Sens!I660+Sens!I661)*(1-a_g3_29)</f>
        <v>6856.4844</v>
      </c>
      <c r="J665" s="29" t="n">
        <f aca="false">Sens!I665+(Sens!J660+Sens!J661)*(1-a_g3_29)</f>
        <v>8475.6132</v>
      </c>
      <c r="K665" s="29" t="n">
        <f aca="false">Sens!J665+(Sens!K660+Sens!K661)*(1-a_g3_29)</f>
        <v>10091.0664</v>
      </c>
    </row>
    <row r="666" customFormat="false" ht="17.15" hidden="false" customHeight="false" outlineLevel="0" collapsed="false">
      <c r="A666" s="1" t="s">
        <v>816</v>
      </c>
      <c r="B666" s="0" t="s">
        <v>339</v>
      </c>
      <c r="C666" s="14" t="n">
        <f aca="false">(Sens!C662*tk_hold_h100+Sens!C663*tk_hold_gb200+Sens!C664*tk_hold_gb300+Sens!C665*tk_hold_vr200)/Sens!C654</f>
        <v>9.7235358126469</v>
      </c>
      <c r="D666" s="14" t="n">
        <f aca="false">(Sens!D662*tk_hold_h100+Sens!D663*tk_hold_gb200+Sens!D664*tk_hold_gb300+Sens!D665*tk_hold_vr200)/Sens!D654</f>
        <v>9.7235358126469</v>
      </c>
      <c r="E666" s="14" t="n">
        <f aca="false">(Sens!E662*tk_hold_h100+Sens!E663*tk_hold_gb200+Sens!E664*tk_hold_gb300+Sens!E665*tk_hold_vr200)/Sens!E654</f>
        <v>9.7235358126469</v>
      </c>
      <c r="F666" s="14" t="n">
        <f aca="false">(Sens!F662*tk_hold_h100+Sens!F663*tk_hold_gb200+Sens!F664*tk_hold_gb300+Sens!F665*tk_hold_vr200)/Sens!F654</f>
        <v>10.4079573161931</v>
      </c>
      <c r="G666" s="14" t="n">
        <f aca="false">(Sens!G662*tk_hold_h100+Sens!G663*tk_hold_gb200+Sens!G664*tk_hold_gb300+Sens!G665*tk_hold_vr200)/Sens!G654</f>
        <v>10.8388131109316</v>
      </c>
      <c r="H666" s="14" t="n">
        <f aca="false">(Sens!H662*tk_hold_h100+Sens!H663*tk_hold_gb200+Sens!H664*tk_hold_gb300+Sens!H665*tk_hold_vr200)/Sens!H654</f>
        <v>11.1311018388216</v>
      </c>
      <c r="I666" s="14" t="n">
        <f aca="false">(Sens!I662*tk_hold_h100+Sens!I663*tk_hold_gb200+Sens!I664*tk_hold_gb300+Sens!I665*tk_hold_vr200)/Sens!I654</f>
        <v>11.3594282560989</v>
      </c>
      <c r="J666" s="14" t="n">
        <f aca="false">(Sens!J662*tk_hold_h100+Sens!J663*tk_hold_gb200+Sens!J664*tk_hold_gb300+Sens!J665*tk_hold_vr200)/Sens!J654</f>
        <v>11.5441508808221</v>
      </c>
      <c r="K666" s="14" t="n">
        <f aca="false">(Sens!K662*tk_hold_h100+Sens!K663*tk_hold_gb200+Sens!K664*tk_hold_gb300+Sens!K665*tk_hold_vr200)/Sens!K654</f>
        <v>11.8053375063575</v>
      </c>
    </row>
    <row r="667" customFormat="false" ht="17.15" hidden="false" customHeight="false" outlineLevel="0" collapsed="false">
      <c r="A667" s="0" t="s">
        <v>817</v>
      </c>
      <c r="B667" s="0" t="s">
        <v>185</v>
      </c>
      <c r="C667" s="14" t="n">
        <f aca="false">k_B</f>
        <v>1.17213932619116</v>
      </c>
      <c r="D667" s="14" t="n">
        <f aca="false">k_B</f>
        <v>1.17213932619116</v>
      </c>
      <c r="E667" s="14" t="n">
        <f aca="false">k_B</f>
        <v>1.17213932619116</v>
      </c>
      <c r="F667" s="14" t="n">
        <f aca="false">(k_B+((ls_A*k_long+(1-ls_A)*k_spot)-k_B)*MIN(1,(Sens!F652-base_fy)/k_ramp))*0.85</f>
        <v>1.06269403911603</v>
      </c>
      <c r="G667" s="14" t="n">
        <f aca="false">(k_B+((ls_A*k_long+(1-ls_A)*k_spot)-k_B)*MIN(1,(Sens!G652-base_fy)/k_ramp))*0.85</f>
        <v>1.12906965096958</v>
      </c>
      <c r="H667" s="14" t="n">
        <f aca="false">(k_B+((ls_A*k_long+(1-ls_A)*k_spot)-k_B)*MIN(1,(Sens!H652-base_fy)/k_ramp))*0.85</f>
        <v>1.19544526282313</v>
      </c>
      <c r="I667" s="14" t="n">
        <f aca="false">(k_B+((ls_A*k_long+(1-ls_A)*k_spot)-k_B)*MIN(1,(Sens!I652-base_fy)/k_ramp))*0.85</f>
        <v>1.19544526282313</v>
      </c>
      <c r="J667" s="14" t="n">
        <f aca="false">(k_B+((ls_A*k_long+(1-ls_A)*k_spot)-k_B)*MIN(1,(Sens!J652-base_fy)/k_ramp))*0.85</f>
        <v>1.19544526282313</v>
      </c>
      <c r="K667" s="14" t="n">
        <f aca="false">(k_B+((ls_A*k_long+(1-ls_A)*k_spot)-k_B)*MIN(1,(Sens!K652-base_fy)/k_ramp))*0.85</f>
        <v>1.19544526282313</v>
      </c>
      <c r="L667" s="1" t="s">
        <v>818</v>
      </c>
    </row>
    <row r="668" customFormat="false" ht="17.15" hidden="false" customHeight="false" outlineLevel="0" collapsed="false">
      <c r="A668" s="1" t="s">
        <v>819</v>
      </c>
      <c r="B668" s="0" t="s">
        <v>339</v>
      </c>
      <c r="C668" s="14" t="n">
        <f aca="false">Sens!C666*Sens!C667*chip_f</f>
        <v>11.3973387156315</v>
      </c>
      <c r="D668" s="14" t="n">
        <f aca="false">Sens!D666*Sens!D667*chip_f</f>
        <v>11.3973387156315</v>
      </c>
      <c r="E668" s="14" t="n">
        <f aca="false">Sens!E666*Sens!E667*chip_f</f>
        <v>11.3973387156315</v>
      </c>
      <c r="F668" s="14" t="n">
        <f aca="false">Sens!F666*Sens!F667*chip_f</f>
        <v>11.0604741992925</v>
      </c>
      <c r="G668" s="14" t="n">
        <f aca="false">Sens!G666*Sens!G667*chip_f</f>
        <v>12.237774936084</v>
      </c>
      <c r="H668" s="14" t="n">
        <f aca="false">Sens!H666*Sens!H667*chip_f</f>
        <v>13.306622963221</v>
      </c>
      <c r="I668" s="14" t="n">
        <f aca="false">Sens!I666*Sens!I667*chip_f</f>
        <v>13.5795746971326</v>
      </c>
      <c r="J668" s="14" t="n">
        <f aca="false">Sens!J666*Sens!J667*chip_f</f>
        <v>13.8004004837941</v>
      </c>
      <c r="K668" s="14" t="n">
        <f aca="false">Sens!K666*Sens!K667*chip_f</f>
        <v>14.1126347980032</v>
      </c>
      <c r="L668" s="1" t="s">
        <v>820</v>
      </c>
    </row>
    <row r="669" customFormat="false" ht="17.15" hidden="false" customHeight="false" outlineLevel="0" collapsed="false">
      <c r="A669" s="0" t="s">
        <v>821</v>
      </c>
      <c r="B669" s="0" t="s">
        <v>98</v>
      </c>
      <c r="D669" s="6" t="n">
        <f aca="false">(Sens!C654+Sens!D654)/2*Sens!D668/1000</f>
        <v>12.9359794422418</v>
      </c>
      <c r="E669" s="6" t="n">
        <f aca="false">(Sens!D654+Sens!E654)/2*Sens!E668/1000</f>
        <v>27.8095064661409</v>
      </c>
      <c r="F669" s="6" t="n">
        <f aca="false">(Sens!E654+Sens!F654)/2*Sens!F668/1000</f>
        <v>49.9225563459265</v>
      </c>
      <c r="G669" s="6" t="n">
        <f aca="false">(Sens!F654+Sens!G654)/2*Sens!G668/1000</f>
        <v>86.16372576998</v>
      </c>
      <c r="H669" s="6" t="n">
        <f aca="false">(Sens!G654+Sens!H654)/2*Sens!H668/1000</f>
        <v>127.317768512099</v>
      </c>
      <c r="I669" s="6" t="n">
        <f aca="false">(Sens!H654+Sens!I654)/2*Sens!I668/1000</f>
        <v>159.263397620773</v>
      </c>
      <c r="J669" s="6" t="n">
        <f aca="false">(Sens!I654+Sens!J654)/2*Sens!J668/1000</f>
        <v>181.53366965674</v>
      </c>
      <c r="K669" s="6" t="n">
        <f aca="false">(Sens!J654+Sens!K654)/2*Sens!K668/1000</f>
        <v>195.406674418078</v>
      </c>
      <c r="L669" s="11" t="s">
        <v>822</v>
      </c>
    </row>
    <row r="670" customFormat="false" ht="17.15" hidden="false" customHeight="false" outlineLevel="0" collapsed="false">
      <c r="A670" s="1" t="s">
        <v>823</v>
      </c>
      <c r="B670" s="0" t="s">
        <v>339</v>
      </c>
      <c r="C670" s="14" t="n">
        <f aca="false">(Sens!C662*tk_opex_h100+Sens!C663*tk_opex_gb200+Sens!C664*tk_opex_gb300+Sens!C665*tk_opex_vr200)/Sens!C654</f>
        <v>1.88636041306092</v>
      </c>
      <c r="D670" s="14" t="n">
        <f aca="false">(Sens!D662*tk_opex_h100+Sens!D663*tk_opex_gb200+Sens!D664*tk_opex_gb300+Sens!D665*tk_opex_vr200)/Sens!D654</f>
        <v>1.88636041306092</v>
      </c>
      <c r="E670" s="14" t="n">
        <f aca="false">(Sens!E662*tk_opex_h100+Sens!E663*tk_opex_gb200+Sens!E664*tk_opex_gb300+Sens!E665*tk_opex_vr200)/Sens!E654</f>
        <v>1.88636041306092</v>
      </c>
      <c r="F670" s="14" t="n">
        <f aca="false">(Sens!F662*tk_opex_h100+Sens!F663*tk_opex_gb200+Sens!F664*tk_opex_gb300+Sens!F665*tk_opex_vr200)/Sens!F654</f>
        <v>1.9430236476499</v>
      </c>
      <c r="G670" s="14" t="n">
        <f aca="false">(Sens!G662*tk_opex_h100+Sens!G663*tk_opex_gb200+Sens!G664*tk_opex_gb300+Sens!G665*tk_opex_vr200)/Sens!G654</f>
        <v>1.9786941852423</v>
      </c>
      <c r="H670" s="14" t="n">
        <f aca="false">(Sens!H662*tk_opex_h100+Sens!H663*tk_opex_gb200+Sens!H664*tk_opex_gb300+Sens!H665*tk_opex_vr200)/Sens!H654</f>
        <v>2.00289275976156</v>
      </c>
      <c r="I670" s="14" t="n">
        <f aca="false">(Sens!I662*tk_opex_h100+Sens!I663*tk_opex_gb200+Sens!I664*tk_opex_gb300+Sens!I665*tk_opex_vr200)/Sens!I654</f>
        <v>2.02179589661219</v>
      </c>
      <c r="J670" s="14" t="n">
        <f aca="false">(Sens!J662*tk_opex_h100+Sens!J663*tk_opex_gb200+Sens!J664*tk_opex_gb300+Sens!J665*tk_opex_vr200)/Sens!J654</f>
        <v>2.03708907685909</v>
      </c>
      <c r="K670" s="14" t="n">
        <f aca="false">(Sens!K662*tk_opex_h100+Sens!K663*tk_opex_gb200+Sens!K664*tk_opex_gb300+Sens!K665*tk_opex_vr200)/Sens!K654</f>
        <v>2.05871270931005</v>
      </c>
    </row>
    <row r="671" customFormat="false" ht="17.15" hidden="false" customHeight="false" outlineLevel="0" collapsed="false">
      <c r="A671" s="0" t="s">
        <v>824</v>
      </c>
      <c r="B671" s="0" t="s">
        <v>98</v>
      </c>
      <c r="D671" s="6" t="n">
        <f aca="false">(Sens!C657+Sens!D657)/2*Sens!D670/1000</f>
        <v>2.70378325872065</v>
      </c>
      <c r="E671" s="6" t="n">
        <f aca="false">(Sens!D657+Sens!E657)/2*Sens!E670/1000</f>
        <v>6.17783035277451</v>
      </c>
      <c r="F671" s="6" t="n">
        <f aca="false">(Sens!E657+Sens!F657)/2*Sens!F670/1000</f>
        <v>12.5020618235287</v>
      </c>
      <c r="G671" s="6" t="n">
        <f aca="false">(Sens!F657+Sens!G657)/2*Sens!G670/1000</f>
        <v>20.7261620256847</v>
      </c>
      <c r="H671" s="6" t="n">
        <f aca="false">(Sens!G657+Sens!H657)/2*Sens!H670/1000</f>
        <v>29.4158183316982</v>
      </c>
      <c r="I671" s="6" t="n">
        <f aca="false">(Sens!H657+Sens!I657)/2*Sens!I670/1000</f>
        <v>36.9724400356344</v>
      </c>
      <c r="J671" s="6" t="n">
        <f aca="false">(Sens!I657+Sens!J657)/2*Sens!J670/1000</f>
        <v>42.0938382992747</v>
      </c>
      <c r="K671" s="6" t="n">
        <f aca="false">(Sens!J657+Sens!K657)/2*Sens!K670/1000</f>
        <v>44.9150106651501</v>
      </c>
    </row>
    <row r="672" customFormat="false" ht="17.15" hidden="false" customHeight="false" outlineLevel="0" collapsed="false">
      <c r="A672" s="0" t="s">
        <v>825</v>
      </c>
      <c r="B672" s="0" t="s">
        <v>98</v>
      </c>
      <c r="D672" s="6" t="n">
        <f aca="false">(Sens!C655+Sens!D655)/2*rent_mw/1000</f>
        <v>2.44475</v>
      </c>
      <c r="E672" s="6" t="n">
        <f aca="false">(Sens!D655+Sens!E655)/2*rent_mw/1000</f>
        <v>4.22275</v>
      </c>
      <c r="F672" s="6" t="n">
        <f aca="false">(Sens!E655+Sens!F655)/2*rent_mw/1000</f>
        <v>5.80517</v>
      </c>
      <c r="G672" s="6" t="n">
        <f aca="false">(Sens!F655+Sens!G655)/2*rent_mw/1000</f>
        <v>6.72084</v>
      </c>
      <c r="H672" s="6" t="n">
        <f aca="false">(Sens!G655+Sens!H655)/2*rent_mw/1000</f>
        <v>6.72084</v>
      </c>
      <c r="I672" s="6" t="n">
        <f aca="false">(Sens!H655+Sens!I655)/2*rent_mw/1000</f>
        <v>6.72084</v>
      </c>
      <c r="J672" s="6" t="n">
        <f aca="false">(Sens!I655+Sens!J655)/2*rent_mw/1000</f>
        <v>6.72084</v>
      </c>
      <c r="K672" s="6" t="n">
        <f aca="false">(Sens!J655+Sens!K655)/2*rent_mw/1000</f>
        <v>6.72084</v>
      </c>
    </row>
    <row r="673" customFormat="false" ht="17.15" hidden="false" customHeight="false" outlineLevel="0" collapsed="false">
      <c r="A673" s="0" t="s">
        <v>826</v>
      </c>
      <c r="B673" s="0" t="s">
        <v>98</v>
      </c>
      <c r="D673" s="6" t="n">
        <f aca="false">(Sens!C657+Sens!D657)/2*(1-self_build)*fac_rent/1000</f>
        <v>0.853242375631075</v>
      </c>
      <c r="E673" s="6" t="n">
        <f aca="false">(Sens!D657+Sens!E657)/2*(1-self_build)*fac_rent/1000</f>
        <v>1.94955961408728</v>
      </c>
      <c r="F673" s="6" t="n">
        <f aca="false">(Sens!E657+Sens!F657)/2*(1-self_build)*fac_rent/1000</f>
        <v>3.83026455274573</v>
      </c>
      <c r="G673" s="6" t="n">
        <f aca="false">(Sens!F657+Sens!G657)/2*(1-self_build)*fac_rent/1000</f>
        <v>6.23541590972812</v>
      </c>
      <c r="H673" s="6" t="n">
        <f aca="false">(Sens!G657+Sens!H657)/2*(1-self_build)*fac_rent/1000</f>
        <v>8.74275792332679</v>
      </c>
      <c r="I673" s="6" t="n">
        <f aca="false">(Sens!H657+Sens!I657)/2*(1-self_build)*fac_rent/1000</f>
        <v>10.8859420438599</v>
      </c>
      <c r="J673" s="6" t="n">
        <f aca="false">(Sens!I657+Sens!J657)/2*(1-self_build)*fac_rent/1000</f>
        <v>12.3008103782619</v>
      </c>
      <c r="K673" s="6" t="n">
        <f aca="false">(Sens!J657+Sens!K657)/2*(1-self_build)*fac_rent/1000</f>
        <v>12.9873629265328</v>
      </c>
      <c r="L673" s="11" t="s">
        <v>827</v>
      </c>
    </row>
    <row r="674" customFormat="false" ht="17.15" hidden="false" customHeight="false" outlineLevel="0" collapsed="false">
      <c r="A674" s="1" t="s">
        <v>828</v>
      </c>
      <c r="B674" s="0" t="s">
        <v>129</v>
      </c>
      <c r="D674" s="7" t="n">
        <f aca="false">(Sens!C656+Sens!D656)/(Sens!C657+Sens!D657)</f>
        <v>0.6</v>
      </c>
      <c r="E674" s="7" t="n">
        <f aca="false">(Sens!D656+Sens!E656)/(Sens!D657+Sens!E657)</f>
        <v>0.6</v>
      </c>
      <c r="F674" s="7" t="n">
        <f aca="false">(Sens!E656+Sens!F656)/(Sens!E657+Sens!F657)</f>
        <v>0.6</v>
      </c>
      <c r="G674" s="7" t="n">
        <f aca="false">(Sens!F656+Sens!G656)/(Sens!F657+Sens!G657)</f>
        <v>0.6</v>
      </c>
      <c r="H674" s="7" t="n">
        <f aca="false">(Sens!G656+Sens!H656)/(Sens!G657+Sens!H657)</f>
        <v>0.6</v>
      </c>
      <c r="I674" s="7" t="n">
        <f aca="false">(Sens!H656+Sens!I656)/(Sens!H657+Sens!I657)</f>
        <v>0.6</v>
      </c>
      <c r="J674" s="7" t="n">
        <f aca="false">(Sens!I656+Sens!J656)/(Sens!I657+Sens!J657)</f>
        <v>0.6</v>
      </c>
      <c r="K674" s="7" t="n">
        <f aca="false">(Sens!J656+Sens!K656)/(Sens!J657+Sens!K657)</f>
        <v>0.6</v>
      </c>
    </row>
    <row r="675" customFormat="false" ht="17.15" hidden="false" customHeight="false" outlineLevel="0" collapsed="false">
      <c r="A675" s="0" t="s">
        <v>829</v>
      </c>
      <c r="B675" s="0" t="s">
        <v>98</v>
      </c>
      <c r="D675" s="6" t="n">
        <f aca="false">Sens!D669-Sens!D674*(Sens!D671+Sens!D673)-Sens!D672</f>
        <v>8.35701406163072</v>
      </c>
      <c r="E675" s="6" t="n">
        <f aca="false">Sens!E669-Sens!E674*(Sens!E671+Sens!E673)-Sens!E672</f>
        <v>18.7103224860238</v>
      </c>
      <c r="F675" s="6" t="n">
        <f aca="false">Sens!F669-Sens!F674*(Sens!F671+Sens!F673)-Sens!F672</f>
        <v>34.3179905201618</v>
      </c>
      <c r="G675" s="6" t="n">
        <f aca="false">Sens!G669-Sens!G674*(Sens!G671+Sens!G673)-Sens!G672</f>
        <v>63.2659390087323</v>
      </c>
      <c r="H675" s="6" t="n">
        <f aca="false">Sens!H669-Sens!H674*(Sens!H671+Sens!H673)-Sens!H672</f>
        <v>97.7017827590837</v>
      </c>
      <c r="I675" s="6" t="n">
        <f aca="false">Sens!I669-Sens!I674*(Sens!I671+Sens!I673)-Sens!I672</f>
        <v>123.827528373077</v>
      </c>
      <c r="J675" s="6" t="n">
        <f aca="false">Sens!J669-Sens!J674*(Sens!J671+Sens!J673)-Sens!J672</f>
        <v>142.176040450218</v>
      </c>
      <c r="K675" s="6" t="n">
        <f aca="false">Sens!K669-Sens!K674*(Sens!K671+Sens!K673)-Sens!K672</f>
        <v>153.944410263068</v>
      </c>
    </row>
    <row r="676" customFormat="false" ht="17.15" hidden="false" customHeight="false" outlineLevel="0" collapsed="false">
      <c r="A676" s="1" t="s">
        <v>830</v>
      </c>
      <c r="B676" s="0" t="s">
        <v>98</v>
      </c>
      <c r="D676" s="6" t="n">
        <f aca="false">(1-Sens!D674)*(Sens!D671+Sens!D673)</f>
        <v>1.42281025374069</v>
      </c>
      <c r="E676" s="6" t="n">
        <f aca="false">(1-Sens!E674)*(Sens!E671+Sens!E673)</f>
        <v>3.25095598674472</v>
      </c>
      <c r="F676" s="6" t="n">
        <f aca="false">(1-Sens!F674)*(Sens!F671+Sens!F673)</f>
        <v>6.53293055050977</v>
      </c>
      <c r="G676" s="6" t="n">
        <f aca="false">(1-Sens!G674)*(Sens!G671+Sens!G673)</f>
        <v>10.7846311741651</v>
      </c>
      <c r="H676" s="6" t="n">
        <f aca="false">(1-Sens!H674)*(Sens!H671+Sens!H673)</f>
        <v>15.26343050201</v>
      </c>
      <c r="I676" s="6" t="n">
        <f aca="false">(1-Sens!I674)*(Sens!I671+Sens!I673)</f>
        <v>19.1433528317977</v>
      </c>
      <c r="J676" s="6" t="n">
        <f aca="false">(1-Sens!J674)*(Sens!J671+Sens!J673)</f>
        <v>21.7578594710146</v>
      </c>
      <c r="K676" s="6" t="n">
        <f aca="false">(1-Sens!K674)*(Sens!K671+Sens!K673)</f>
        <v>23.1609494366731</v>
      </c>
    </row>
    <row r="677" customFormat="false" ht="17.15" hidden="false" customHeight="false" outlineLevel="0" collapsed="false">
      <c r="A677" s="1" t="s">
        <v>831</v>
      </c>
      <c r="B677" s="0" t="s">
        <v>350</v>
      </c>
      <c r="C677" s="8" t="n">
        <f aca="false">cxit_open</f>
        <v>27.5918995</v>
      </c>
      <c r="D677" s="8" t="n">
        <f aca="false">cxit_open</f>
        <v>27.5918995</v>
      </c>
      <c r="E677" s="8" t="n">
        <f aca="false">cxit_open</f>
        <v>27.5918995</v>
      </c>
      <c r="F677" s="8" t="n">
        <f aca="false">(a_g3_27*tk_cxit_gb300+(1-a_g3_27)*tk_cxit_vr200)</f>
        <v>33.8419624</v>
      </c>
      <c r="G677" s="8" t="n">
        <f aca="false">(a_g3_28*tk_cxit_gb300+(1-a_g3_28)*tk_cxit_vr200)</f>
        <v>35.9816136</v>
      </c>
      <c r="H677" s="8" t="n">
        <f aca="false">(a_g3_29*tk_cxit_gb300+(1-a_g3_29)*tk_cxit_vr200)</f>
        <v>37.0514392</v>
      </c>
      <c r="I677" s="8" t="n">
        <f aca="false">(a_g3_29*tk_cxit_gb300+(1-a_g3_29)*tk_cxit_vr200)</f>
        <v>37.0514392</v>
      </c>
      <c r="J677" s="8" t="n">
        <f aca="false">(a_g3_29*tk_cxit_gb300+(1-a_g3_29)*tk_cxit_vr200)</f>
        <v>37.0514392</v>
      </c>
      <c r="K677" s="8" t="n">
        <f aca="false">(a_g3_29*tk_cxit_gb300+(1-a_g3_29)*tk_cxit_vr200)</f>
        <v>37.0514392</v>
      </c>
      <c r="L677" s="11" t="s">
        <v>832</v>
      </c>
    </row>
    <row r="678" customFormat="false" ht="17.15" hidden="false" customHeight="false" outlineLevel="0" collapsed="false">
      <c r="A678" s="0" t="s">
        <v>833</v>
      </c>
      <c r="B678" s="0" t="s">
        <v>392</v>
      </c>
      <c r="F678" s="29" t="n">
        <f aca="false">Sens!C659*IF(Sens!F652-Sens!C652=life_it,1,0)+Sens!D659*IF(Sens!F652-Sens!D652=life_it,1,0)+Sens!E659*IF(Sens!F652-Sens!E652=life_it,1,0)</f>
        <v>0</v>
      </c>
      <c r="G678" s="29" t="n">
        <f aca="false">Sens!C659*IF(Sens!G652-Sens!C652=life_it,1,0)+Sens!D659*IF(Sens!G652-Sens!D652=life_it,1,0)+Sens!E659*IF(Sens!G652-Sens!E652=life_it,1,0)+Sens!F659*IF(Sens!G652-Sens!F652=life_it,1,0)</f>
        <v>0</v>
      </c>
      <c r="H678" s="29" t="n">
        <f aca="false">Sens!C659*IF(Sens!H652-Sens!C652=life_it,1,0)+Sens!D659*IF(Sens!H652-Sens!D652=life_it,1,0)+Sens!E659*IF(Sens!H652-Sens!E652=life_it,1,0)+Sens!F659*IF(Sens!H652-Sens!F652=life_it,1,0)+Sens!G659*IF(Sens!H652-Sens!G652=life_it,1,0)</f>
        <v>0</v>
      </c>
      <c r="I678" s="29" t="n">
        <f aca="false">Sens!C659*IF(Sens!I652-Sens!C652=life_it,1,0)+Sens!D659*IF(Sens!I652-Sens!D652=life_it,1,0)+Sens!E659*IF(Sens!I652-Sens!E652=life_it,1,0)+Sens!F659*IF(Sens!I652-Sens!F652=life_it,1,0)+Sens!G659*IF(Sens!I652-Sens!G652=life_it,1,0)+Sens!H659*IF(Sens!I652-Sens!H652=life_it,1,0)</f>
        <v>816.666666666667</v>
      </c>
      <c r="J678" s="29" t="n">
        <f aca="false">Sens!C659*IF(Sens!J652-Sens!C652=life_it,1,0)+Sens!D659*IF(Sens!J652-Sens!D652=life_it,1,0)+Sens!E659*IF(Sens!J652-Sens!E652=life_it,1,0)+Sens!F659*IF(Sens!J652-Sens!F652=life_it,1,0)+Sens!G659*IF(Sens!J652-Sens!G652=life_it,1,0)+Sens!H659*IF(Sens!J652-Sens!H652=life_it,1,0)+Sens!I659*IF(Sens!J652-Sens!I652=life_it,1,0)</f>
        <v>1233.33333333333</v>
      </c>
      <c r="K678" s="29" t="n">
        <f aca="false">Sens!C659*IF(Sens!K652-Sens!C652=life_it,1,0)+Sens!D659*IF(Sens!K652-Sens!D652=life_it,1,0)+Sens!E659*IF(Sens!K652-Sens!E652=life_it,1,0)+Sens!F659*IF(Sens!K652-Sens!F652=life_it,1,0)+Sens!G659*IF(Sens!K652-Sens!G652=life_it,1,0)+Sens!H659*IF(Sens!K652-Sens!H652=life_it,1,0)+Sens!I659*IF(Sens!K652-Sens!I652=life_it,1,0)+Sens!J659*IF(Sens!K652-Sens!J652=life_it,1,0)</f>
        <v>2450</v>
      </c>
      <c r="L678" s="1" t="s">
        <v>834</v>
      </c>
    </row>
    <row r="679" customFormat="false" ht="17.15" hidden="false" customHeight="false" outlineLevel="0" collapsed="false">
      <c r="A679" s="0" t="s">
        <v>835</v>
      </c>
      <c r="B679" s="0" t="s">
        <v>98</v>
      </c>
      <c r="C679" s="6" t="n">
        <f aca="false">Sens!C659*Sens!C677/1000</f>
        <v>22.5333845916667</v>
      </c>
      <c r="D679" s="6" t="n">
        <f aca="false">Sens!D659*Sens!D677/1000</f>
        <v>34.0300093833333</v>
      </c>
      <c r="E679" s="6" t="n">
        <f aca="false">Sens!E659*Sens!E677/1000</f>
        <v>67.600153775</v>
      </c>
      <c r="F679" s="6" t="n">
        <f aca="false">(Sens!F659+Sens!F678)*Sens!F677/1000</f>
        <v>130.923271871467</v>
      </c>
      <c r="G679" s="6" t="n">
        <f aca="false">(Sens!G659+Sens!G678)*Sens!G677/1000</f>
        <v>151.5545564832</v>
      </c>
      <c r="H679" s="6" t="n">
        <f aca="false">(Sens!H659+Sens!H678)*Sens!H677/1000</f>
        <v>156.0606619104</v>
      </c>
      <c r="I679" s="6" t="n">
        <f aca="false">(Sens!I659+Sens!I678)*Sens!I677/1000</f>
        <v>140.987889434245</v>
      </c>
      <c r="J679" s="6" t="n">
        <f aca="false">(Sens!J659+Sens!J678)*Sens!J677/1000</f>
        <v>111.094541278091</v>
      </c>
      <c r="K679" s="6" t="n">
        <f aca="false">(Sens!K659+Sens!K678)*Sens!K677/1000</f>
        <v>110.842344481936</v>
      </c>
    </row>
    <row r="680" customFormat="false" ht="17.15" hidden="false" customHeight="false" outlineLevel="0" collapsed="false">
      <c r="A680" s="0" t="s">
        <v>836</v>
      </c>
      <c r="B680" s="0" t="s">
        <v>98</v>
      </c>
      <c r="C680" s="6" t="n">
        <f aca="false">Sens!C659*self_build*tk_cxfac/1000</f>
        <v>6.2083</v>
      </c>
      <c r="D680" s="6" t="n">
        <f aca="false">Sens!D659*self_build*tk_cxfac/1000</f>
        <v>9.3758</v>
      </c>
      <c r="E680" s="6" t="n">
        <f aca="false">Sens!E659*self_build*tk_cxfac/1000</f>
        <v>18.6249</v>
      </c>
      <c r="F680" s="6" t="n">
        <f aca="false">Sens!F659*self_build*tk_cxfac/1000</f>
        <v>29.409604</v>
      </c>
      <c r="G680" s="6" t="n">
        <f aca="false">Sens!G659*self_build*tk_cxfac/1000</f>
        <v>32.019624</v>
      </c>
      <c r="H680" s="6" t="n">
        <f aca="false">Sens!H659*self_build*tk_cxfac/1000</f>
        <v>32.019624</v>
      </c>
      <c r="I680" s="6" t="n">
        <f aca="false">Sens!I659*self_build*tk_cxfac/1000</f>
        <v>22.71877972</v>
      </c>
      <c r="J680" s="6" t="n">
        <f aca="false">Sens!J659*self_build*tk_cxfac/1000</f>
        <v>13.41793544</v>
      </c>
      <c r="K680" s="6" t="n">
        <f aca="false">Sens!K659*self_build*tk_cxfac/1000</f>
        <v>4.11709116000001</v>
      </c>
    </row>
    <row r="681" customFormat="false" ht="17.15" hidden="false" customHeight="false" outlineLevel="0" collapsed="false">
      <c r="A681" s="0" t="s">
        <v>837</v>
      </c>
      <c r="B681" s="0" t="s">
        <v>98</v>
      </c>
      <c r="F681" s="6" t="n">
        <f aca="false">MAX(0,capex_floor27-Sens!F679-Sens!F680-Sens!F774)</f>
        <v>8.13777689897088</v>
      </c>
      <c r="L681" s="1" t="s">
        <v>838</v>
      </c>
    </row>
    <row r="682" customFormat="false" ht="17.15" hidden="false" customHeight="false" outlineLevel="0" collapsed="false">
      <c r="A682" s="0" t="s">
        <v>839</v>
      </c>
      <c r="B682" s="0" t="s">
        <v>98</v>
      </c>
      <c r="C682" s="6" t="n">
        <f aca="false">Sens!C679</f>
        <v>22.5333845916667</v>
      </c>
      <c r="D682" s="6" t="n">
        <f aca="false">Sens!D679</f>
        <v>34.0300093833333</v>
      </c>
      <c r="E682" s="6" t="n">
        <f aca="false">Sens!E679</f>
        <v>67.600153775</v>
      </c>
      <c r="F682" s="6" t="n">
        <f aca="false">Sens!F679+Sens!F681</f>
        <v>139.061048770438</v>
      </c>
      <c r="G682" s="6" t="n">
        <f aca="false">Sens!G679</f>
        <v>151.5545564832</v>
      </c>
      <c r="H682" s="6" t="n">
        <f aca="false">Sens!H679</f>
        <v>156.0606619104</v>
      </c>
      <c r="I682" s="6" t="n">
        <f aca="false">Sens!I679</f>
        <v>140.987889434245</v>
      </c>
      <c r="J682" s="6" t="n">
        <f aca="false">Sens!J679</f>
        <v>111.094541278091</v>
      </c>
      <c r="K682" s="6" t="n">
        <f aca="false">Sens!K679</f>
        <v>110.842344481936</v>
      </c>
    </row>
    <row r="683" customFormat="false" ht="17.15" hidden="false" customHeight="false" outlineLevel="0" collapsed="false">
      <c r="A683" s="0" t="s">
        <v>840</v>
      </c>
      <c r="B683" s="0" t="s">
        <v>98</v>
      </c>
      <c r="C683" s="6" t="n">
        <f aca="false">Sens!C682+Sens!C680</f>
        <v>28.7416845916667</v>
      </c>
      <c r="D683" s="6" t="n">
        <f aca="false">Sens!D682+Sens!D680</f>
        <v>43.4058093833333</v>
      </c>
      <c r="E683" s="6" t="n">
        <f aca="false">Sens!E682+Sens!E680</f>
        <v>86.225053775</v>
      </c>
      <c r="F683" s="6" t="n">
        <f aca="false">Sens!F682+Sens!F680</f>
        <v>168.470652770438</v>
      </c>
      <c r="G683" s="6" t="n">
        <f aca="false">Sens!G682+Sens!G680</f>
        <v>183.5741804832</v>
      </c>
      <c r="H683" s="6" t="n">
        <f aca="false">Sens!H682+Sens!H680</f>
        <v>188.0802859104</v>
      </c>
      <c r="I683" s="6" t="n">
        <f aca="false">Sens!I682+Sens!I680</f>
        <v>163.706669154245</v>
      </c>
      <c r="J683" s="6" t="n">
        <f aca="false">Sens!J682+Sens!J680</f>
        <v>124.51247671809</v>
      </c>
      <c r="K683" s="6" t="n">
        <f aca="false">Sens!K682+Sens!K680</f>
        <v>114.959435641936</v>
      </c>
      <c r="L683" s="11" t="s">
        <v>841</v>
      </c>
    </row>
    <row r="684" customFormat="false" ht="17.15" hidden="false" customHeight="false" outlineLevel="0" collapsed="false">
      <c r="A684" s="0" t="s">
        <v>842</v>
      </c>
      <c r="B684" s="0" t="s">
        <v>98</v>
      </c>
      <c r="E684" s="6" t="n">
        <f aca="false">(Sens!C682*IF(2&lt;life_it,1,IF(2=life_it,0.5,0))+Sens!D682*IF(1&lt;life_it,1,IF(1=life_it,0.5,0))+Sens!E682*0.5)/life_it</f>
        <v>15.0605784770833</v>
      </c>
      <c r="F684" s="6" t="n">
        <f aca="false">(Sens!C682*IF(3&lt;life_it,1,IF(3=life_it,0.5,0))+Sens!D682*IF(2&lt;life_it,1,IF(2=life_it,0.5,0))+Sens!E682*IF(1&lt;life_it,1,IF(1=life_it,0.5,0))+Sens!F682*0.5)/life_it</f>
        <v>32.2823453558698</v>
      </c>
      <c r="G684" s="6" t="n">
        <f aca="false">(Sens!C682*IF(4&lt;life_it,1,IF(4=life_it,0.5,0))+Sens!D682*IF(3&lt;life_it,1,IF(3=life_it,0.5,0))+Sens!E682*IF(2&lt;life_it,1,IF(2=life_it,0.5,0))+Sens!F682*IF(1&lt;life_it,1,IF(1=life_it,0.5,0))+Sens!G682*0.5)/life_it</f>
        <v>56.5003124603396</v>
      </c>
      <c r="H684" s="6" t="n">
        <f aca="false">(Sens!C682*IF(5&lt;life_it,1,IF(5=life_it,0.5,0))+Sens!D682*IF(4&lt;life_it,1,IF(4=life_it,0.5,0))+Sens!E682*IF(3&lt;life_it,1,IF(3=life_it,0.5,0))+Sens!F682*IF(2&lt;life_it,1,IF(2=life_it,0.5,0))+Sens!G682*IF(1&lt;life_it,1,IF(1=life_it,0.5,0))+Sens!H682*0.5)/life_it</f>
        <v>82.1349139931396</v>
      </c>
      <c r="I684" s="6" t="n">
        <f aca="false">(Sens!C682*IF(6&lt;life_it,1,IF(6=life_it,0.5,0))+Sens!D682*IF(5&lt;life_it,1,IF(5=life_it,0.5,0))+Sens!E682*IF(4&lt;life_it,1,IF(4=life_it,0.5,0))+Sens!F682*IF(3&lt;life_it,1,IF(3=life_it,0.5,0))+Sens!G682*IF(2&lt;life_it,1,IF(2=life_it,0.5,0))+Sens!H682*IF(1&lt;life_it,1,IF(1=life_it,0.5,0))+Sens!I682*0.5)/life_it</f>
        <v>105.011177889221</v>
      </c>
      <c r="J684" s="6" t="n">
        <f aca="false">(Sens!C682*IF(7&lt;life_it,1,IF(7=life_it,0.5,0))+Sens!D682*IF(6&lt;life_it,1,IF(6=life_it,0.5,0))+Sens!E682*IF(5&lt;life_it,1,IF(5=life_it,0.5,0))+Sens!F682*IF(4&lt;life_it,1,IF(4=life_it,0.5,0))+Sens!G682*IF(3&lt;life_it,1,IF(3=life_it,0.5,0))+Sens!H682*IF(2&lt;life_it,1,IF(2=life_it,0.5,0))+Sens!I682*IF(1&lt;life_it,1,IF(1=life_it,0.5,0))+Sens!J682*0.5)/life_it</f>
        <v>121.304430950666</v>
      </c>
      <c r="K684" s="6" t="n">
        <f aca="false">(Sens!C682*IF(8&lt;life_it,1,IF(8=life_it,0.5,0))+Sens!D682*IF(7&lt;life_it,1,IF(7=life_it,0.5,0))+Sens!E682*IF(6&lt;life_it,1,IF(6=life_it,0.5,0))+Sens!F682*IF(5&lt;life_it,1,IF(5=life_it,0.5,0))+Sens!G682*IF(4&lt;life_it,1,IF(4=life_it,0.5,0))+Sens!H682*IF(3&lt;life_it,1,IF(3=life_it,0.5,0))+Sens!I682*IF(2&lt;life_it,1,IF(2=life_it,0.5,0))+Sens!J682*IF(1&lt;life_it,1,IF(1=life_it,0.5,0))+Sens!K682*0.5)/life_it</f>
        <v>131.329991167474</v>
      </c>
    </row>
    <row r="685" customFormat="false" ht="17.15" hidden="false" customHeight="false" outlineLevel="0" collapsed="false">
      <c r="A685" s="0" t="s">
        <v>843</v>
      </c>
      <c r="B685" s="0" t="s">
        <v>98</v>
      </c>
      <c r="E685" s="6" t="n">
        <f aca="false">(Sens!C680*IF(2&lt;life_fac,1,IF(2=life_fac,0.5,0))+Sens!D680*IF(1&lt;life_fac,1,IF(1=life_fac,0.5,0))+Sens!E680*0.5)/life_fac</f>
        <v>1.2448275</v>
      </c>
      <c r="F685" s="6" t="n">
        <f aca="false">(Sens!C680*IF(3&lt;life_fac,1,IF(3=life_fac,0.5,0))+Sens!D680*IF(2&lt;life_fac,1,IF(2=life_fac,0.5,0))+Sens!E680*IF(1&lt;life_fac,1,IF(1=life_fac,0.5,0))+Sens!F680*0.5)/life_fac</f>
        <v>2.4456901</v>
      </c>
      <c r="G685" s="6" t="n">
        <f aca="false">(Sens!C680*IF(4&lt;life_fac,1,IF(4=life_fac,0.5,0))+Sens!D680*IF(3&lt;life_fac,1,IF(3=life_fac,0.5,0))+Sens!E680*IF(2&lt;life_fac,1,IF(2=life_fac,0.5,0))+Sens!F680*IF(1&lt;life_fac,1,IF(1=life_fac,0.5,0))+Sens!G680*0.5)/life_fac</f>
        <v>3.9814208</v>
      </c>
      <c r="H685" s="6" t="n">
        <f aca="false">(Sens!C680*IF(5&lt;life_fac,1,IF(5=life_fac,0.5,0))+Sens!D680*IF(4&lt;life_fac,1,IF(4=life_fac,0.5,0))+Sens!E680*IF(3&lt;life_fac,1,IF(3=life_fac,0.5,0))+Sens!F680*IF(2&lt;life_fac,1,IF(2=life_fac,0.5,0))+Sens!G680*IF(1&lt;life_fac,1,IF(1=life_fac,0.5,0))+Sens!H680*0.5)/life_fac</f>
        <v>5.582402</v>
      </c>
      <c r="I685" s="6" t="n">
        <f aca="false">(Sens!C680*IF(6&lt;life_fac,1,IF(6=life_fac,0.5,0))+Sens!D680*IF(5&lt;life_fac,1,IF(5=life_fac,0.5,0))+Sens!E680*IF(4&lt;life_fac,1,IF(4=life_fac,0.5,0))+Sens!F680*IF(3&lt;life_fac,1,IF(3=life_fac,0.5,0))+Sens!G680*IF(2&lt;life_fac,1,IF(2=life_fac,0.5,0))+Sens!H680*IF(1&lt;life_fac,1,IF(1=life_fac,0.5,0))+Sens!I680*0.5)/life_fac</f>
        <v>6.950862093</v>
      </c>
      <c r="J685" s="6" t="n">
        <f aca="false">(Sens!C680*IF(7&lt;life_fac,1,IF(7=life_fac,0.5,0))+Sens!D680*IF(6&lt;life_fac,1,IF(6=life_fac,0.5,0))+Sens!E680*IF(5&lt;life_fac,1,IF(5=life_fac,0.5,0))+Sens!F680*IF(4&lt;life_fac,1,IF(4=life_fac,0.5,0))+Sens!G680*IF(3&lt;life_fac,1,IF(3=life_fac,0.5,0))+Sens!H680*IF(2&lt;life_fac,1,IF(2=life_fac,0.5,0))+Sens!I680*IF(1&lt;life_fac,1,IF(1=life_fac,0.5,0))+Sens!J680*0.5)/life_fac</f>
        <v>7.854279972</v>
      </c>
      <c r="K685" s="6" t="n">
        <f aca="false">(Sens!C680*IF(8&lt;life_fac,1,IF(8=life_fac,0.5,0))+Sens!D680*IF(7&lt;life_fac,1,IF(7=life_fac,0.5,0))+Sens!E680*IF(6&lt;life_fac,1,IF(6=life_fac,0.5,0))+Sens!F680*IF(5&lt;life_fac,1,IF(5=life_fac,0.5,0))+Sens!G680*IF(4&lt;life_fac,1,IF(4=life_fac,0.5,0))+Sens!H680*IF(3&lt;life_fac,1,IF(3=life_fac,0.5,0))+Sens!I680*IF(2&lt;life_fac,1,IF(2=life_fac,0.5,0))+Sens!J680*IF(1&lt;life_fac,1,IF(1=life_fac,0.5,0))+Sens!K680*0.5)/life_fac</f>
        <v>8.292655637</v>
      </c>
    </row>
    <row r="686" customFormat="false" ht="17.15" hidden="false" customHeight="false" outlineLevel="0" collapsed="false">
      <c r="A686" s="0" t="s">
        <v>844</v>
      </c>
      <c r="B686" s="0" t="s">
        <v>98</v>
      </c>
      <c r="E686" s="6" t="n">
        <f aca="false">Sens!E684+Sens!E685</f>
        <v>16.3054059770833</v>
      </c>
      <c r="F686" s="6" t="n">
        <f aca="false">Sens!F684+Sens!F685</f>
        <v>34.7280354558698</v>
      </c>
      <c r="G686" s="6" t="n">
        <f aca="false">Sens!G684+Sens!G685</f>
        <v>60.4817332603396</v>
      </c>
      <c r="H686" s="6" t="n">
        <f aca="false">Sens!H684+Sens!H685</f>
        <v>87.7173159931396</v>
      </c>
      <c r="I686" s="6" t="n">
        <f aca="false">Sens!I684+Sens!I685</f>
        <v>111.962039982221</v>
      </c>
      <c r="J686" s="6" t="n">
        <f aca="false">Sens!J684+Sens!J685</f>
        <v>129.158710922666</v>
      </c>
      <c r="K686" s="6" t="n">
        <f aca="false">Sens!K684+Sens!K685</f>
        <v>139.622646804474</v>
      </c>
    </row>
    <row r="687" customFormat="false" ht="17.15" hidden="false" customHeight="false" outlineLevel="0" collapsed="false">
      <c r="A687" s="0" t="s">
        <v>845</v>
      </c>
      <c r="B687" s="0" t="s">
        <v>98</v>
      </c>
      <c r="E687" s="6" t="n">
        <f aca="false">Sens!E675-Sens!E674*Sens!E686</f>
        <v>8.92707889977379</v>
      </c>
      <c r="F687" s="6" t="n">
        <f aca="false">Sens!F675-Sens!F674*Sens!F686</f>
        <v>13.48116924664</v>
      </c>
      <c r="G687" s="6" t="n">
        <f aca="false">Sens!G675-Sens!G674*Sens!G686</f>
        <v>26.9768990525286</v>
      </c>
      <c r="H687" s="6" t="n">
        <f aca="false">Sens!H675-Sens!H674*Sens!H686</f>
        <v>45.0713931632</v>
      </c>
      <c r="I687" s="6" t="n">
        <f aca="false">Sens!I675-Sens!I674*Sens!I686</f>
        <v>56.6503043837438</v>
      </c>
      <c r="J687" s="6" t="n">
        <f aca="false">Sens!J675-Sens!J674*Sens!J686</f>
        <v>64.6808138966189</v>
      </c>
      <c r="K687" s="6" t="n">
        <f aca="false">Sens!K675-Sens!K674*Sens!K686</f>
        <v>70.1708221803841</v>
      </c>
    </row>
    <row r="688" customFormat="false" ht="17.15" hidden="false" customHeight="false" outlineLevel="0" collapsed="false">
      <c r="A688" s="3" t="s">
        <v>1250</v>
      </c>
    </row>
    <row r="689" customFormat="false" ht="15" hidden="false" customHeight="false" outlineLevel="0" collapsed="false">
      <c r="A689" s="4" t="s">
        <v>43</v>
      </c>
      <c r="B689" s="4" t="s">
        <v>65</v>
      </c>
      <c r="C689" s="20" t="s">
        <v>788</v>
      </c>
      <c r="D689" s="20" t="s">
        <v>789</v>
      </c>
      <c r="E689" s="20" t="s">
        <v>790</v>
      </c>
      <c r="F689" s="20" t="s">
        <v>791</v>
      </c>
      <c r="G689" s="20" t="s">
        <v>792</v>
      </c>
      <c r="H689" s="20" t="s">
        <v>793</v>
      </c>
      <c r="I689" s="20" t="s">
        <v>794</v>
      </c>
      <c r="J689" s="20" t="s">
        <v>795</v>
      </c>
      <c r="K689" s="20" t="s">
        <v>796</v>
      </c>
      <c r="L689" s="4" t="s">
        <v>47</v>
      </c>
    </row>
    <row r="690" customFormat="false" ht="17.15" hidden="false" customHeight="false" outlineLevel="0" collapsed="false">
      <c r="A690" s="0" t="s">
        <v>864</v>
      </c>
      <c r="B690" s="0" t="s">
        <v>98</v>
      </c>
      <c r="D690" s="6" t="n">
        <f aca="false">Sens!D669</f>
        <v>12.9359794422418</v>
      </c>
      <c r="E690" s="6" t="n">
        <f aca="false">Sens!E669</f>
        <v>27.8095064661409</v>
      </c>
      <c r="F690" s="6" t="n">
        <f aca="false">Sens!F669</f>
        <v>49.9225563459265</v>
      </c>
      <c r="G690" s="6" t="n">
        <f aca="false">Sens!G669</f>
        <v>86.16372576998</v>
      </c>
      <c r="H690" s="6" t="n">
        <f aca="false">Sens!H669</f>
        <v>127.317768512099</v>
      </c>
      <c r="I690" s="6" t="n">
        <f aca="false">Sens!I669</f>
        <v>159.263397620773</v>
      </c>
      <c r="J690" s="6" t="n">
        <f aca="false">Sens!J669</f>
        <v>181.53366965674</v>
      </c>
      <c r="K690" s="6" t="n">
        <f aca="false">Sens!K669</f>
        <v>195.406674418078</v>
      </c>
    </row>
    <row r="691" customFormat="false" ht="17.15" hidden="false" customHeight="false" outlineLevel="0" collapsed="false">
      <c r="A691" s="0" t="s">
        <v>865</v>
      </c>
      <c r="B691" s="0" t="s">
        <v>98</v>
      </c>
      <c r="D691" s="6" t="n">
        <f aca="false">Q!L6-Sens!D690</f>
        <v>59.6740205577583</v>
      </c>
      <c r="E691" s="6" t="n">
        <f aca="false">Q!M6-Sens!E690</f>
        <v>74.1284935338591</v>
      </c>
      <c r="F691" s="6" t="n">
        <f aca="false">Sens!E691*(1+Sens!F692)</f>
        <v>90.0799497373663</v>
      </c>
      <c r="G691" s="6" t="n">
        <f aca="false">Sens!F691*(1+Sens!G692)</f>
        <v>107.02842520331</v>
      </c>
      <c r="H691" s="6" t="n">
        <f aca="false">Sens!G691*(1+Sens!H692)</f>
        <v>124.271982585636</v>
      </c>
      <c r="I691" s="6" t="n">
        <f aca="false">Sens!H691*(1+Sens!I692)</f>
        <v>140.933702381855</v>
      </c>
      <c r="J691" s="6" t="n">
        <f aca="false">Sens!I691*(1+Sens!J692)</f>
        <v>156.018867314332</v>
      </c>
      <c r="K691" s="6" t="n">
        <f aca="false">Sens!J691*(1+Sens!K692)</f>
        <v>168.500376699478</v>
      </c>
    </row>
    <row r="692" customFormat="false" ht="15" hidden="false" customHeight="false" outlineLevel="0" collapsed="false">
      <c r="A692" s="1" t="s">
        <v>866</v>
      </c>
      <c r="B692" s="0" t="s">
        <v>129</v>
      </c>
      <c r="E692" s="7" t="n">
        <f aca="false">Sens!E691/Sens!D691-1</f>
        <v>0.242223883039864</v>
      </c>
      <c r="F692" s="7" t="n">
        <f aca="false">Sens!$E$692+(glt_azo-Sens!$E$692)*MIN(1,(Sens!F652-base_fy)/n_conv)</f>
        <v>0.215186569199887</v>
      </c>
      <c r="G692" s="7" t="n">
        <f aca="false">Sens!$E$692+(glt_azo-Sens!$E$692)*MIN(1,(Sens!G652-base_fy)/n_conv)</f>
        <v>0.18814925535991</v>
      </c>
      <c r="H692" s="7" t="n">
        <f aca="false">Sens!$E$692+(glt_azo-Sens!$E$692)*MIN(1,(Sens!H652-base_fy)/n_conv)</f>
        <v>0.161111941519932</v>
      </c>
      <c r="I692" s="7" t="n">
        <f aca="false">Sens!$E$692+(glt_azo-Sens!$E$692)*MIN(1,(Sens!I652-base_fy)/n_conv)</f>
        <v>0.134074627679955</v>
      </c>
      <c r="J692" s="7" t="n">
        <f aca="false">Sens!$E$692+(glt_azo-Sens!$E$692)*MIN(1,(Sens!J652-base_fy)/n_conv)</f>
        <v>0.107037313839977</v>
      </c>
      <c r="K692" s="7" t="n">
        <f aca="false">Sens!$E$692+(glt_azo-Sens!$E$692)*MIN(1,(Sens!K652-base_fy)/n_conv)</f>
        <v>0.08</v>
      </c>
    </row>
    <row r="693" customFormat="false" ht="15" hidden="false" customHeight="false" outlineLevel="0" collapsed="false">
      <c r="A693" s="0" t="s">
        <v>867</v>
      </c>
      <c r="B693" s="0" t="s">
        <v>98</v>
      </c>
      <c r="D693" s="6" t="n">
        <f aca="false">Sens!D690+Sens!D691</f>
        <v>72.61</v>
      </c>
      <c r="E693" s="6" t="n">
        <f aca="false">Sens!E690+Sens!E691</f>
        <v>101.938</v>
      </c>
      <c r="F693" s="6" t="n">
        <f aca="false">Sens!F690+Sens!F691</f>
        <v>140.002506083293</v>
      </c>
      <c r="G693" s="6" t="n">
        <f aca="false">Sens!G690+Sens!G691</f>
        <v>193.19215097329</v>
      </c>
      <c r="H693" s="6" t="n">
        <f aca="false">Sens!H690+Sens!H691</f>
        <v>251.589751097735</v>
      </c>
      <c r="I693" s="6" t="n">
        <f aca="false">Sens!I690+Sens!I691</f>
        <v>300.197100002628</v>
      </c>
      <c r="J693" s="6" t="n">
        <f aca="false">Sens!J690+Sens!J691</f>
        <v>337.552536971072</v>
      </c>
      <c r="K693" s="6" t="n">
        <f aca="false">Sens!K690+Sens!K691</f>
        <v>363.907051117556</v>
      </c>
    </row>
    <row r="694" customFormat="false" ht="17.15" hidden="false" customHeight="false" outlineLevel="0" collapsed="false">
      <c r="A694" s="0" t="s">
        <v>868</v>
      </c>
      <c r="B694" s="1" t="s">
        <v>521</v>
      </c>
      <c r="C694" s="29" t="n">
        <f aca="false">cop_s24</f>
        <v>1</v>
      </c>
      <c r="D694" s="29" t="n">
        <f aca="false">cop_s25</f>
        <v>5</v>
      </c>
      <c r="E694" s="29" t="n">
        <f aca="false">cop_s26</f>
        <v>30</v>
      </c>
      <c r="F694" s="29" t="n">
        <f aca="false">Sens!E694+cop_add_A</f>
        <v>60</v>
      </c>
      <c r="G694" s="29" t="n">
        <f aca="false">Sens!F694+cop_add_A</f>
        <v>90</v>
      </c>
      <c r="H694" s="29" t="n">
        <f aca="false">Sens!G694+cop_add_A</f>
        <v>120</v>
      </c>
      <c r="I694" s="29" t="n">
        <f aca="false">Sens!H694+cop_add_A*cop_tail</f>
        <v>135</v>
      </c>
      <c r="J694" s="29" t="n">
        <f aca="false">Sens!I694+cop_add_A*cop_tail</f>
        <v>150</v>
      </c>
      <c r="K694" s="29" t="n">
        <f aca="false">Sens!J694+cop_add_A*cop_tail</f>
        <v>165</v>
      </c>
      <c r="L694" s="11" t="s">
        <v>869</v>
      </c>
    </row>
    <row r="695" customFormat="false" ht="17.15" hidden="false" customHeight="false" outlineLevel="0" collapsed="false">
      <c r="A695" s="0" t="s">
        <v>870</v>
      </c>
      <c r="B695" s="0" t="s">
        <v>98</v>
      </c>
      <c r="D695" s="6" t="n">
        <f aca="false">(Sens!C694+Sens!D694)/2*cop_px*12/1000</f>
        <v>0.9</v>
      </c>
      <c r="E695" s="6" t="n">
        <f aca="false">(Sens!D694+Sens!E694)/2*cop_px*12/1000</f>
        <v>5.25</v>
      </c>
      <c r="F695" s="6" t="n">
        <f aca="false">(Sens!E694+Sens!F694)/2*cop_px*12/1000</f>
        <v>13.5</v>
      </c>
      <c r="G695" s="6" t="n">
        <f aca="false">(Sens!F694+Sens!G694)/2*cop_px*12/1000</f>
        <v>22.5</v>
      </c>
      <c r="H695" s="6" t="n">
        <f aca="false">(Sens!G694+Sens!H694)/2*cop_px*12/1000</f>
        <v>31.5</v>
      </c>
      <c r="I695" s="6" t="n">
        <f aca="false">(Sens!H694+Sens!I694)/2*cop_px*12/1000</f>
        <v>38.25</v>
      </c>
      <c r="J695" s="6" t="n">
        <f aca="false">(Sens!I694+Sens!J694)/2*cop_px*12/1000</f>
        <v>42.75</v>
      </c>
      <c r="K695" s="6" t="n">
        <f aca="false">(Sens!J694+Sens!K694)/2*cop_px*12/1000</f>
        <v>47.25</v>
      </c>
      <c r="L695" s="1" t="s">
        <v>871</v>
      </c>
    </row>
    <row r="696" customFormat="false" ht="17.15" hidden="false" customHeight="false" outlineLevel="0" collapsed="false">
      <c r="A696" s="0" t="s">
        <v>872</v>
      </c>
      <c r="B696" s="0" t="s">
        <v>98</v>
      </c>
      <c r="D696" s="6" t="n">
        <f aca="false">Q!L7-Sens!D695</f>
        <v>83.705</v>
      </c>
      <c r="E696" s="6" t="n">
        <f aca="false">Q!M7-Sens!E695</f>
        <v>95.049</v>
      </c>
      <c r="F696" s="6" t="n">
        <f aca="false">Sens!E696*(1+Sens!F697)</f>
        <v>106.89238776686</v>
      </c>
      <c r="G696" s="6" t="n">
        <f aca="false">Sens!F696*(1+Sens!G697)</f>
        <v>119.044168448684</v>
      </c>
      <c r="H696" s="6" t="n">
        <f aca="false">Sens!G696*(1+Sens!H697)</f>
        <v>131.277359388781</v>
      </c>
      <c r="I696" s="6" t="n">
        <f aca="false">Sens!H696*(1+Sens!I697)</f>
        <v>143.334028071957</v>
      </c>
      <c r="J696" s="6" t="n">
        <f aca="false">Sens!I696*(1+Sens!J697)</f>
        <v>154.932702785465</v>
      </c>
      <c r="K696" s="6" t="n">
        <f aca="false">Sens!J696*(1+Sens!K697)</f>
        <v>165.777991980448</v>
      </c>
    </row>
    <row r="697" customFormat="false" ht="15" hidden="false" customHeight="false" outlineLevel="0" collapsed="false">
      <c r="A697" s="1" t="s">
        <v>866</v>
      </c>
      <c r="B697" s="0" t="s">
        <v>129</v>
      </c>
      <c r="E697" s="7" t="n">
        <f aca="false">Sens!E696/Sens!D696-1</f>
        <v>0.135523564900544</v>
      </c>
      <c r="F697" s="7" t="n">
        <f aca="false">Sens!$E$697+(glt_m365b-Sens!$E$697)*MIN(1,(Sens!F652-base_fy)/n_conv)</f>
        <v>0.124602970750453</v>
      </c>
      <c r="G697" s="7" t="n">
        <f aca="false">Sens!$E$697+(glt_m365b-Sens!$E$697)*MIN(1,(Sens!G652-base_fy)/n_conv)</f>
        <v>0.113682376600363</v>
      </c>
      <c r="H697" s="7" t="n">
        <f aca="false">Sens!$E$697+(glt_m365b-Sens!$E$697)*MIN(1,(Sens!H652-base_fy)/n_conv)</f>
        <v>0.102761782450272</v>
      </c>
      <c r="I697" s="7" t="n">
        <f aca="false">Sens!$E$697+(glt_m365b-Sens!$E$697)*MIN(1,(Sens!I652-base_fy)/n_conv)</f>
        <v>0.0918411883001813</v>
      </c>
      <c r="J697" s="7" t="n">
        <f aca="false">Sens!$E$697+(glt_m365b-Sens!$E$697)*MIN(1,(Sens!J652-base_fy)/n_conv)</f>
        <v>0.0809205941500906</v>
      </c>
      <c r="K697" s="7" t="n">
        <f aca="false">Sens!$E$697+(glt_m365b-Sens!$E$697)*MIN(1,(Sens!K652-base_fy)/n_conv)</f>
        <v>0.07</v>
      </c>
    </row>
    <row r="698" customFormat="false" ht="15" hidden="false" customHeight="false" outlineLevel="0" collapsed="false">
      <c r="A698" s="0" t="s">
        <v>873</v>
      </c>
      <c r="B698" s="0" t="s">
        <v>98</v>
      </c>
      <c r="D698" s="6" t="n">
        <f aca="false">Sens!D696+Sens!D695</f>
        <v>84.605</v>
      </c>
      <c r="E698" s="6" t="n">
        <f aca="false">Sens!E696+Sens!E695</f>
        <v>100.299</v>
      </c>
      <c r="F698" s="6" t="n">
        <f aca="false">Sens!F696+Sens!F695</f>
        <v>120.39238776686</v>
      </c>
      <c r="G698" s="6" t="n">
        <f aca="false">Sens!G696+Sens!G695</f>
        <v>141.544168448684</v>
      </c>
      <c r="H698" s="6" t="n">
        <f aca="false">Sens!H696+Sens!H695</f>
        <v>162.777359388781</v>
      </c>
      <c r="I698" s="6" t="n">
        <f aca="false">Sens!I696+Sens!I695</f>
        <v>181.584028071957</v>
      </c>
      <c r="J698" s="6" t="n">
        <f aca="false">Sens!J696+Sens!J695</f>
        <v>197.682702785465</v>
      </c>
      <c r="K698" s="6" t="n">
        <f aca="false">Sens!K696+Sens!K695</f>
        <v>213.027991980448</v>
      </c>
    </row>
    <row r="699" customFormat="false" ht="15" hidden="false" customHeight="false" outlineLevel="0" collapsed="false">
      <c r="A699" s="0" t="s">
        <v>874</v>
      </c>
      <c r="B699" s="0" t="s">
        <v>98</v>
      </c>
      <c r="D699" s="6" t="n">
        <f aca="false">Q!L8</f>
        <v>35.391</v>
      </c>
      <c r="E699" s="6" t="n">
        <f aca="false">Q!M8</f>
        <v>37.285</v>
      </c>
      <c r="F699" s="6" t="n">
        <f aca="false">Sens!E699*(1+Sens!F700)</f>
        <v>39.0720834331704</v>
      </c>
      <c r="G699" s="6" t="n">
        <f aca="false">Sens!F699*(1+Sens!G700)</f>
        <v>40.726562953769</v>
      </c>
      <c r="H699" s="6" t="n">
        <f aca="false">Sens!G699*(1+Sens!H700)</f>
        <v>42.2235987259198</v>
      </c>
      <c r="I699" s="6" t="n">
        <f aca="false">Sens!H699*(1+Sens!I700)</f>
        <v>43.5397988077414</v>
      </c>
      <c r="J699" s="6" t="n">
        <f aca="false">Sens!I699*(1+Sens!J700)</f>
        <v>44.653811225693</v>
      </c>
      <c r="K699" s="6" t="n">
        <f aca="false">Sens!J699*(1+Sens!K700)</f>
        <v>45.5468874502068</v>
      </c>
    </row>
    <row r="700" customFormat="false" ht="15" hidden="false" customHeight="false" outlineLevel="0" collapsed="false">
      <c r="A700" s="1" t="s">
        <v>866</v>
      </c>
      <c r="B700" s="0" t="s">
        <v>129</v>
      </c>
      <c r="E700" s="7" t="n">
        <f aca="false">Sens!E699/Sens!D699-1</f>
        <v>0.0535164307309768</v>
      </c>
      <c r="F700" s="7" t="n">
        <f aca="false">Sens!$E$700+(glt_lic-Sens!$E$700)*MIN(1,(Sens!F652-base_fy)/n_conv)</f>
        <v>0.0479303589424807</v>
      </c>
      <c r="G700" s="7" t="n">
        <f aca="false">Sens!$E$700+(glt_lic-Sens!$E$700)*MIN(1,(Sens!G652-base_fy)/n_conv)</f>
        <v>0.0423442871539845</v>
      </c>
      <c r="H700" s="7" t="n">
        <f aca="false">Sens!$E$700+(glt_lic-Sens!$E$700)*MIN(1,(Sens!H652-base_fy)/n_conv)</f>
        <v>0.0367582153654884</v>
      </c>
      <c r="I700" s="7" t="n">
        <f aca="false">Sens!$E$700+(glt_lic-Sens!$E$700)*MIN(1,(Sens!I652-base_fy)/n_conv)</f>
        <v>0.0311721435769923</v>
      </c>
      <c r="J700" s="7" t="n">
        <f aca="false">Sens!$E$700+(glt_lic-Sens!$E$700)*MIN(1,(Sens!J652-base_fy)/n_conv)</f>
        <v>0.0255860717884961</v>
      </c>
      <c r="K700" s="7" t="n">
        <f aca="false">Sens!$E$700+(glt_lic-Sens!$E$700)*MIN(1,(Sens!K652-base_fy)/n_conv)</f>
        <v>0.02</v>
      </c>
    </row>
    <row r="701" customFormat="false" ht="15" hidden="false" customHeight="false" outlineLevel="0" collapsed="false">
      <c r="A701" s="0" t="s">
        <v>875</v>
      </c>
      <c r="B701" s="0" t="s">
        <v>98</v>
      </c>
      <c r="D701" s="6" t="n">
        <f aca="false">Q!L9</f>
        <v>18.417</v>
      </c>
      <c r="E701" s="6" t="n">
        <f aca="false">Q!M9</f>
        <v>20.345</v>
      </c>
      <c r="F701" s="6" t="n">
        <f aca="false">Sens!E701*(1+Sens!F702)</f>
        <v>22.3572203267814</v>
      </c>
      <c r="G701" s="6" t="n">
        <f aca="false">Sens!F701*(1+Sens!G702)</f>
        <v>24.4392124437232</v>
      </c>
      <c r="H701" s="6" t="n">
        <f aca="false">Sens!G701*(1+Sens!H702)</f>
        <v>26.5738052080665</v>
      </c>
      <c r="I701" s="6" t="n">
        <f aca="false">Sens!H701*(1+Sens!I702)</f>
        <v>28.7412169166967</v>
      </c>
      <c r="J701" s="6" t="n">
        <f aca="false">Sens!I701*(1+Sens!J702)</f>
        <v>30.9192545395413</v>
      </c>
      <c r="K701" s="6" t="n">
        <f aca="false">Sens!J701*(1+Sens!K702)</f>
        <v>33.0836023573092</v>
      </c>
    </row>
    <row r="702" customFormat="false" ht="15" hidden="false" customHeight="false" outlineLevel="0" collapsed="false">
      <c r="A702" s="1" t="s">
        <v>866</v>
      </c>
      <c r="B702" s="0" t="s">
        <v>129</v>
      </c>
      <c r="E702" s="7" t="n">
        <f aca="false">Sens!E701/Sens!D701-1</f>
        <v>0.104685888038225</v>
      </c>
      <c r="F702" s="7" t="n">
        <f aca="false">Sens!$E$702+(glt_ind-Sens!$E$702)*MIN(1,(Sens!F652-base_fy)/n_conv)</f>
        <v>0.0989049066985211</v>
      </c>
      <c r="G702" s="7" t="n">
        <f aca="false">Sens!$E$702+(glt_ind-Sens!$E$702)*MIN(1,(Sens!G652-base_fy)/n_conv)</f>
        <v>0.0931239253588169</v>
      </c>
      <c r="H702" s="7" t="n">
        <f aca="false">Sens!$E$702+(glt_ind-Sens!$E$702)*MIN(1,(Sens!H652-base_fy)/n_conv)</f>
        <v>0.0873429440191127</v>
      </c>
      <c r="I702" s="7" t="n">
        <f aca="false">Sens!$E$702+(glt_ind-Sens!$E$702)*MIN(1,(Sens!I652-base_fy)/n_conv)</f>
        <v>0.0815619626794085</v>
      </c>
      <c r="J702" s="7" t="n">
        <f aca="false">Sens!$E$702+(glt_ind-Sens!$E$702)*MIN(1,(Sens!J652-base_fy)/n_conv)</f>
        <v>0.0757809813397042</v>
      </c>
      <c r="K702" s="7" t="n">
        <f aca="false">Sens!$E$702+(glt_ind-Sens!$E$702)*MIN(1,(Sens!K652-base_fy)/n_conv)</f>
        <v>0.07</v>
      </c>
    </row>
    <row r="703" customFormat="false" ht="15" hidden="false" customHeight="false" outlineLevel="0" collapsed="false">
      <c r="A703" s="0" t="s">
        <v>876</v>
      </c>
      <c r="B703" s="0" t="s">
        <v>98</v>
      </c>
      <c r="D703" s="6" t="n">
        <f aca="false">Q!L10</f>
        <v>7.76</v>
      </c>
      <c r="E703" s="6" t="n">
        <f aca="false">Q!M10</f>
        <v>8.26</v>
      </c>
      <c r="F703" s="6" t="n">
        <f aca="false">Sens!E703*(1+Sens!F704)</f>
        <v>8.79988041237113</v>
      </c>
      <c r="G703" s="6" t="n">
        <f aca="false">Sens!F703*(1+Sens!G704)</f>
        <v>9.38321269125306</v>
      </c>
      <c r="H703" s="6" t="n">
        <f aca="false">Sens!G703*(1+Sens!H704)</f>
        <v>10.0139193587476</v>
      </c>
      <c r="I703" s="6" t="n">
        <f aca="false">Sens!H703*(1+Sens!I704)</f>
        <v>10.6963111830911</v>
      </c>
      <c r="J703" s="6" t="n">
        <f aca="false">Sens!I703*(1+Sens!J704)</f>
        <v>11.4351285534696</v>
      </c>
      <c r="K703" s="6" t="n">
        <f aca="false">Sens!J703*(1+Sens!K704)</f>
        <v>12.2355875522124</v>
      </c>
    </row>
    <row r="704" customFormat="false" ht="15" hidden="false" customHeight="false" outlineLevel="0" collapsed="false">
      <c r="A704" s="1" t="s">
        <v>866</v>
      </c>
      <c r="B704" s="0" t="s">
        <v>129</v>
      </c>
      <c r="E704" s="7" t="n">
        <f aca="false">Sens!E703/Sens!D703-1</f>
        <v>0.0644329896907216</v>
      </c>
      <c r="F704" s="7" t="n">
        <f aca="false">Sens!$E$704+(glt_fro-Sens!$E$704)*MIN(1,(Sens!F652-base_fy)/n_conv)</f>
        <v>0.065360824742268</v>
      </c>
      <c r="G704" s="7" t="n">
        <f aca="false">Sens!$E$704+(glt_fro-Sens!$E$704)*MIN(1,(Sens!G652-base_fy)/n_conv)</f>
        <v>0.0662886597938144</v>
      </c>
      <c r="H704" s="7" t="n">
        <f aca="false">Sens!$E$704+(glt_fro-Sens!$E$704)*MIN(1,(Sens!H652-base_fy)/n_conv)</f>
        <v>0.0672164948453608</v>
      </c>
      <c r="I704" s="7" t="n">
        <f aca="false">Sens!$E$704+(glt_fro-Sens!$E$704)*MIN(1,(Sens!I652-base_fy)/n_conv)</f>
        <v>0.0681443298969072</v>
      </c>
      <c r="J704" s="7" t="n">
        <f aca="false">Sens!$E$704+(glt_fro-Sens!$E$704)*MIN(1,(Sens!J652-base_fy)/n_conv)</f>
        <v>0.0690721649484536</v>
      </c>
      <c r="K704" s="7" t="n">
        <f aca="false">Sens!$E$704+(glt_fro-Sens!$E$704)*MIN(1,(Sens!K652-base_fy)/n_conv)</f>
        <v>0.07</v>
      </c>
    </row>
    <row r="705" customFormat="false" ht="15" hidden="false" customHeight="false" outlineLevel="0" collapsed="false">
      <c r="A705" s="0" t="s">
        <v>704</v>
      </c>
      <c r="B705" s="0" t="s">
        <v>98</v>
      </c>
      <c r="D705" s="6" t="n">
        <f aca="false">Sens!D693+Sens!D698+Sens!D699+Sens!D701+Sens!D703</f>
        <v>218.783</v>
      </c>
      <c r="E705" s="6" t="n">
        <f aca="false">Sens!E693+Sens!E698+Sens!E699+Sens!E701+Sens!E703</f>
        <v>268.127</v>
      </c>
      <c r="F705" s="6" t="n">
        <f aca="false">Sens!F693+Sens!F698+Sens!F699+Sens!F701+Sens!F703</f>
        <v>330.624078022476</v>
      </c>
      <c r="G705" s="6" t="n">
        <f aca="false">Sens!G693+Sens!G698+Sens!G699+Sens!G701+Sens!G703</f>
        <v>409.285307510719</v>
      </c>
      <c r="H705" s="6" t="n">
        <f aca="false">Sens!H693+Sens!H698+Sens!H699+Sens!H701+Sens!H703</f>
        <v>493.17843377925</v>
      </c>
      <c r="I705" s="6" t="n">
        <f aca="false">Sens!I693+Sens!I698+Sens!I699+Sens!I701+Sens!I703</f>
        <v>564.758454982114</v>
      </c>
      <c r="J705" s="6" t="n">
        <f aca="false">Sens!J693+Sens!J698+Sens!J699+Sens!J701+Sens!J703</f>
        <v>622.243434075241</v>
      </c>
      <c r="K705" s="6" t="n">
        <f aca="false">Sens!K693+Sens!K698+Sens!K699+Sens!K701+Sens!K703</f>
        <v>667.801120457732</v>
      </c>
    </row>
    <row r="706" customFormat="false" ht="15" hidden="false" customHeight="false" outlineLevel="0" collapsed="false">
      <c r="A706" s="0" t="s">
        <v>877</v>
      </c>
      <c r="B706" s="0" t="s">
        <v>98</v>
      </c>
      <c r="D706" s="6" t="n">
        <f aca="false">Q!L13</f>
        <v>22.171</v>
      </c>
      <c r="E706" s="6" t="n">
        <f aca="false">Q!M13</f>
        <v>24.835</v>
      </c>
      <c r="F706" s="6" t="n">
        <f aca="false">Sens!E706*(1+Sens!F707)</f>
        <v>27.6114901218559</v>
      </c>
      <c r="G706" s="6" t="n">
        <f aca="false">Sens!F706*(1+Sens!G707)</f>
        <v>30.4675667338515</v>
      </c>
      <c r="H706" s="6" t="n">
        <f aca="false">Sens!G706*(1+Sens!H707)</f>
        <v>33.3643766955789</v>
      </c>
      <c r="I706" s="6" t="n">
        <f aca="false">Sens!H706*(1+Sens!I707)</f>
        <v>36.2577016533691</v>
      </c>
      <c r="J706" s="6" t="n">
        <f aca="false">Sens!I706*(1+Sens!J707)</f>
        <v>39.0988367952171</v>
      </c>
      <c r="K706" s="6" t="n">
        <f aca="false">Sens!J706*(1+Sens!K707)</f>
        <v>41.8357553708823</v>
      </c>
    </row>
    <row r="707" customFormat="false" ht="15" hidden="false" customHeight="false" outlineLevel="0" collapsed="false">
      <c r="A707" s="1" t="s">
        <v>866</v>
      </c>
      <c r="B707" s="0" t="s">
        <v>129</v>
      </c>
      <c r="E707" s="7" t="n">
        <f aca="false">Sens!E706/Sens!D706-1</f>
        <v>0.120156961796942</v>
      </c>
      <c r="F707" s="7" t="n">
        <f aca="false">Sens!$E$707+(glt_srch-Sens!$E$707)*MIN(1,(Sens!F652-base_fy)/n_conv)</f>
        <v>0.111797468164118</v>
      </c>
      <c r="G707" s="7" t="n">
        <f aca="false">Sens!$E$707+(glt_srch-Sens!$E$707)*MIN(1,(Sens!G652-base_fy)/n_conv)</f>
        <v>0.103437974531295</v>
      </c>
      <c r="H707" s="7" t="n">
        <f aca="false">Sens!$E$707+(glt_srch-Sens!$E$707)*MIN(1,(Sens!H652-base_fy)/n_conv)</f>
        <v>0.095078480898471</v>
      </c>
      <c r="I707" s="7" t="n">
        <f aca="false">Sens!$E$707+(glt_srch-Sens!$E$707)*MIN(1,(Sens!I652-base_fy)/n_conv)</f>
        <v>0.0867189872656474</v>
      </c>
      <c r="J707" s="7" t="n">
        <f aca="false">Sens!$E$707+(glt_srch-Sens!$E$707)*MIN(1,(Sens!J652-base_fy)/n_conv)</f>
        <v>0.0783594936328237</v>
      </c>
      <c r="K707" s="7" t="n">
        <f aca="false">Sens!$E$707+(glt_srch-Sens!$E$707)*MIN(1,(Sens!K652-base_fy)/n_conv)</f>
        <v>0.07</v>
      </c>
    </row>
    <row r="708" customFormat="false" ht="15" hidden="false" customHeight="false" outlineLevel="0" collapsed="false">
      <c r="A708" s="0" t="s">
        <v>878</v>
      </c>
      <c r="B708" s="0" t="s">
        <v>98</v>
      </c>
      <c r="D708" s="6" t="n">
        <f aca="false">Q!L14</f>
        <v>23.455</v>
      </c>
      <c r="E708" s="6" t="n">
        <f aca="false">Q!M14</f>
        <v>21.79</v>
      </c>
      <c r="F708" s="6" t="n">
        <f aca="false">Sens!E708*(1+Sens!F709)</f>
        <v>20.5736277908051</v>
      </c>
      <c r="G708" s="6" t="n">
        <f aca="false">Sens!F708*(1+Sens!G709)</f>
        <v>19.7371452817919</v>
      </c>
      <c r="H708" s="6" t="n">
        <f aca="false">Sens!G708*(1+Sens!H709)</f>
        <v>19.2339764043138</v>
      </c>
      <c r="I708" s="6" t="n">
        <f aca="false">Sens!H708*(1+Sens!I709)</f>
        <v>19.0353086852681</v>
      </c>
      <c r="J708" s="6" t="n">
        <f aca="false">Sens!I708*(1+Sens!J709)</f>
        <v>19.1273539319129</v>
      </c>
      <c r="K708" s="6" t="n">
        <f aca="false">Sens!J708*(1+Sens!K709)</f>
        <v>19.5099010105511</v>
      </c>
    </row>
    <row r="709" customFormat="false" ht="15" hidden="false" customHeight="false" outlineLevel="0" collapsed="false">
      <c r="A709" s="1" t="s">
        <v>866</v>
      </c>
      <c r="B709" s="0" t="s">
        <v>129</v>
      </c>
      <c r="E709" s="7" t="n">
        <f aca="false">Sens!E708/Sens!D708-1</f>
        <v>-0.0709869963760392</v>
      </c>
      <c r="F709" s="7" t="n">
        <f aca="false">Sens!$E$709+(glt_xbox-Sens!$E$709)*MIN(1,(Sens!F652-base_fy)/n_conv)</f>
        <v>-0.0558224969800327</v>
      </c>
      <c r="G709" s="7" t="n">
        <f aca="false">Sens!$E$709+(glt_xbox-Sens!$E$709)*MIN(1,(Sens!G652-base_fy)/n_conv)</f>
        <v>-0.0406579975840262</v>
      </c>
      <c r="H709" s="7" t="n">
        <f aca="false">Sens!$E$709+(glt_xbox-Sens!$E$709)*MIN(1,(Sens!H652-base_fy)/n_conv)</f>
        <v>-0.0254934981880196</v>
      </c>
      <c r="I709" s="7" t="n">
        <f aca="false">Sens!$E$709+(glt_xbox-Sens!$E$709)*MIN(1,(Sens!I652-base_fy)/n_conv)</f>
        <v>-0.0103289987920131</v>
      </c>
      <c r="J709" s="7" t="n">
        <f aca="false">Sens!$E$709+(glt_xbox-Sens!$E$709)*MIN(1,(Sens!J652-base_fy)/n_conv)</f>
        <v>0.00483550060399347</v>
      </c>
      <c r="K709" s="7" t="n">
        <f aca="false">Sens!$E$709+(glt_xbox-Sens!$E$709)*MIN(1,(Sens!K652-base_fy)/n_conv)</f>
        <v>0.02</v>
      </c>
    </row>
    <row r="710" customFormat="false" ht="15" hidden="false" customHeight="false" outlineLevel="0" collapsed="false">
      <c r="A710" s="0" t="s">
        <v>879</v>
      </c>
      <c r="B710" s="0" t="s">
        <v>98</v>
      </c>
      <c r="D710" s="6" t="n">
        <f aca="false">Q!L15</f>
        <v>17.315</v>
      </c>
      <c r="E710" s="6" t="n">
        <f aca="false">Q!M15</f>
        <v>17.087</v>
      </c>
      <c r="F710" s="6" t="n">
        <f aca="false">Sens!E710*(1+Sens!F711)</f>
        <v>16.9564585436519</v>
      </c>
      <c r="G710" s="6" t="n">
        <f aca="false">Sens!F710*(1+Sens!G711)</f>
        <v>16.9206490624268</v>
      </c>
      <c r="H710" s="6" t="n">
        <f aca="false">Sens!G710*(1+Sens!H711)</f>
        <v>16.9784519149849</v>
      </c>
      <c r="I710" s="6" t="n">
        <f aca="false">Sens!H710*(1+Sens!I711)</f>
        <v>17.1303084701817</v>
      </c>
      <c r="J710" s="6" t="n">
        <f aca="false">Sens!I710*(1+Sens!J711)</f>
        <v>17.3782189407267</v>
      </c>
      <c r="K710" s="6" t="n">
        <f aca="false">Sens!J710*(1+Sens!K711)</f>
        <v>17.7257833195413</v>
      </c>
    </row>
    <row r="711" customFormat="false" ht="15" hidden="false" customHeight="false" outlineLevel="0" collapsed="false">
      <c r="A711" s="1" t="s">
        <v>866</v>
      </c>
      <c r="B711" s="0" t="s">
        <v>129</v>
      </c>
      <c r="E711" s="7" t="n">
        <f aca="false">Sens!E710/Sens!D710-1</f>
        <v>-0.0131677736066995</v>
      </c>
      <c r="F711" s="7" t="n">
        <f aca="false">Sens!$E$711+(glt_win-Sens!$E$711)*MIN(1,(Sens!F652-base_fy)/n_conv)</f>
        <v>-0.00763981133891627</v>
      </c>
      <c r="G711" s="7" t="n">
        <f aca="false">Sens!$E$711+(glt_win-Sens!$E$711)*MIN(1,(Sens!G652-base_fy)/n_conv)</f>
        <v>-0.00211184907113301</v>
      </c>
      <c r="H711" s="7" t="n">
        <f aca="false">Sens!$E$711+(glt_win-Sens!$E$711)*MIN(1,(Sens!H652-base_fy)/n_conv)</f>
        <v>0.00341611319665024</v>
      </c>
      <c r="I711" s="7" t="n">
        <f aca="false">Sens!$E$711+(glt_win-Sens!$E$711)*MIN(1,(Sens!I652-base_fy)/n_conv)</f>
        <v>0.00894407546443349</v>
      </c>
      <c r="J711" s="7" t="n">
        <f aca="false">Sens!$E$711+(glt_win-Sens!$E$711)*MIN(1,(Sens!J652-base_fy)/n_conv)</f>
        <v>0.0144720377322168</v>
      </c>
      <c r="K711" s="7" t="n">
        <f aca="false">Sens!$E$711+(glt_win-Sens!$E$711)*MIN(1,(Sens!K652-base_fy)/n_conv)</f>
        <v>0.02</v>
      </c>
    </row>
    <row r="712" customFormat="false" ht="15" hidden="false" customHeight="false" outlineLevel="0" collapsed="false">
      <c r="A712" s="0" t="s">
        <v>718</v>
      </c>
      <c r="B712" s="0" t="s">
        <v>98</v>
      </c>
      <c r="D712" s="6" t="n">
        <f aca="false">Sens!D706+Sens!D708+Sens!D710</f>
        <v>62.941</v>
      </c>
      <c r="E712" s="6" t="n">
        <f aca="false">Sens!E706+Sens!E708+Sens!E710</f>
        <v>63.712</v>
      </c>
      <c r="F712" s="6" t="n">
        <f aca="false">Sens!F706+Sens!F708+Sens!F710</f>
        <v>65.1415764563129</v>
      </c>
      <c r="G712" s="6" t="n">
        <f aca="false">Sens!G706+Sens!G708+Sens!G710</f>
        <v>67.1253610780702</v>
      </c>
      <c r="H712" s="6" t="n">
        <f aca="false">Sens!H706+Sens!H708+Sens!H710</f>
        <v>69.5768050148776</v>
      </c>
      <c r="I712" s="6" t="n">
        <f aca="false">Sens!I706+Sens!I708+Sens!I710</f>
        <v>72.4233188088189</v>
      </c>
      <c r="J712" s="6" t="n">
        <f aca="false">Sens!J706+Sens!J708+Sens!J710</f>
        <v>75.6044096678567</v>
      </c>
      <c r="K712" s="6" t="n">
        <f aca="false">Sens!K706+Sens!K708+Sens!K710</f>
        <v>79.0714397009747</v>
      </c>
    </row>
    <row r="713" customFormat="false" ht="15" hidden="false" customHeight="false" outlineLevel="0" collapsed="false">
      <c r="A713" s="1" t="s">
        <v>880</v>
      </c>
      <c r="B713" s="0" t="s">
        <v>98</v>
      </c>
      <c r="D713" s="6" t="n">
        <f aca="false">Sens!D705+Sens!D712</f>
        <v>281.724</v>
      </c>
      <c r="E713" s="6" t="n">
        <f aca="false">Sens!E705+Sens!E712</f>
        <v>331.839</v>
      </c>
      <c r="F713" s="6" t="n">
        <f aca="false">Sens!F705+Sens!F712</f>
        <v>395.765654478789</v>
      </c>
      <c r="G713" s="6" t="n">
        <f aca="false">Sens!G705+Sens!G712</f>
        <v>476.410668588789</v>
      </c>
      <c r="H713" s="6" t="n">
        <f aca="false">Sens!H705+Sens!H712</f>
        <v>562.755238794127</v>
      </c>
      <c r="I713" s="6" t="n">
        <f aca="false">Sens!I705+Sens!I712</f>
        <v>637.181773790933</v>
      </c>
      <c r="J713" s="6" t="n">
        <f aca="false">Sens!J705+Sens!J712</f>
        <v>697.847843743097</v>
      </c>
      <c r="K713" s="6" t="n">
        <f aca="false">Sens!K705+Sens!K712</f>
        <v>746.872560158707</v>
      </c>
    </row>
    <row r="714" customFormat="false" ht="15" hidden="false" customHeight="false" outlineLevel="0" collapsed="false">
      <c r="A714" s="23" t="s">
        <v>881</v>
      </c>
      <c r="B714" s="30" t="s">
        <v>98</v>
      </c>
      <c r="C714" s="30"/>
      <c r="D714" s="24" t="n">
        <f aca="false">(Sens!D693+Sens!D698+Sens!D699+Sens!D701+Sens!D703-Sens!D705)+(Sens!D706+Sens!D708+Sens!D710-Sens!D712)+(Sens!D705-Q!L5)+(Sens!D712-Q!L12)+(Sens!D693-Q!L6)+(Sens!D698-Q!L7)</f>
        <v>0</v>
      </c>
      <c r="E714" s="24" t="n">
        <f aca="false">(Sens!E693+Sens!E698+Sens!E699+Sens!E701+Sens!E703-Sens!E705)+(Sens!E706+Sens!E708+Sens!E710-Sens!E712)+(Sens!E705-Q!M5)+(Sens!E712-Q!M12)+(Sens!E693-Q!M6)+(Sens!E698-Q!M7)</f>
        <v>0</v>
      </c>
      <c r="F714" s="24" t="n">
        <f aca="false">(Sens!F693+Sens!F698+Sens!F699+Sens!F701+Sens!F703-Sens!F705)+(Sens!F706+Sens!F708+Sens!F710-Sens!F712)</f>
        <v>0</v>
      </c>
      <c r="G714" s="24" t="n">
        <f aca="false">(Sens!G693+Sens!G698+Sens!G699+Sens!G701+Sens!G703-Sens!G705)+(Sens!G706+Sens!G708+Sens!G710-Sens!G712)</f>
        <v>0</v>
      </c>
      <c r="H714" s="24" t="n">
        <f aca="false">(Sens!H693+Sens!H698+Sens!H699+Sens!H701+Sens!H703-Sens!H705)+(Sens!H706+Sens!H708+Sens!H710-Sens!H712)</f>
        <v>0</v>
      </c>
      <c r="I714" s="24" t="n">
        <f aca="false">(Sens!I693+Sens!I698+Sens!I699+Sens!I701+Sens!I703-Sens!I705)+(Sens!I706+Sens!I708+Sens!I710-Sens!I712)</f>
        <v>0</v>
      </c>
      <c r="J714" s="24" t="n">
        <f aca="false">(Sens!J693+Sens!J698+Sens!J699+Sens!J701+Sens!J703-Sens!J705)+(Sens!J706+Sens!J708+Sens!J710-Sens!J712)</f>
        <v>0</v>
      </c>
      <c r="K714" s="24" t="n">
        <f aca="false">(Sens!K693+Sens!K698+Sens!K699+Sens!K701+Sens!K703-Sens!K705)+(Sens!K706+Sens!K708+Sens!K710-Sens!K712)</f>
        <v>0</v>
      </c>
    </row>
    <row r="715" customFormat="false" ht="17.15" hidden="false" customHeight="false" outlineLevel="0" collapsed="false">
      <c r="A715" s="3" t="s">
        <v>1251</v>
      </c>
    </row>
    <row r="716" customFormat="false" ht="15" hidden="false" customHeight="false" outlineLevel="0" collapsed="false">
      <c r="A716" s="4" t="s">
        <v>43</v>
      </c>
      <c r="B716" s="4" t="s">
        <v>65</v>
      </c>
      <c r="C716" s="20" t="s">
        <v>788</v>
      </c>
      <c r="D716" s="20" t="s">
        <v>789</v>
      </c>
      <c r="E716" s="20" t="s">
        <v>790</v>
      </c>
      <c r="F716" s="20" t="s">
        <v>791</v>
      </c>
      <c r="G716" s="20" t="s">
        <v>792</v>
      </c>
      <c r="H716" s="20" t="s">
        <v>793</v>
      </c>
      <c r="I716" s="20" t="s">
        <v>794</v>
      </c>
      <c r="J716" s="20" t="s">
        <v>795</v>
      </c>
      <c r="K716" s="20" t="s">
        <v>796</v>
      </c>
      <c r="L716" s="4" t="s">
        <v>47</v>
      </c>
    </row>
    <row r="717" customFormat="false" ht="15" hidden="false" customHeight="false" outlineLevel="0" collapsed="false">
      <c r="A717" s="0" t="s">
        <v>867</v>
      </c>
      <c r="B717" s="0" t="s">
        <v>98</v>
      </c>
      <c r="D717" s="6" t="n">
        <f aca="false">Sens!D693</f>
        <v>72.61</v>
      </c>
      <c r="E717" s="6" t="n">
        <f aca="false">Sens!E693</f>
        <v>101.938</v>
      </c>
      <c r="F717" s="6" t="n">
        <f aca="false">Sens!F693</f>
        <v>140.002506083293</v>
      </c>
      <c r="G717" s="6" t="n">
        <f aca="false">Sens!G693</f>
        <v>193.19215097329</v>
      </c>
      <c r="H717" s="6" t="n">
        <f aca="false">Sens!H693</f>
        <v>251.589751097735</v>
      </c>
      <c r="I717" s="6" t="n">
        <f aca="false">Sens!I693</f>
        <v>300.197100002628</v>
      </c>
      <c r="J717" s="6" t="n">
        <f aca="false">Sens!J693</f>
        <v>337.552536971072</v>
      </c>
      <c r="K717" s="6" t="n">
        <f aca="false">Sens!K693</f>
        <v>363.907051117556</v>
      </c>
    </row>
    <row r="718" customFormat="false" ht="17.15" hidden="false" customHeight="false" outlineLevel="0" collapsed="false">
      <c r="A718" s="0" t="s">
        <v>864</v>
      </c>
      <c r="B718" s="0" t="s">
        <v>98</v>
      </c>
      <c r="D718" s="6" t="n">
        <f aca="false">Sens!D690</f>
        <v>12.9359794422418</v>
      </c>
      <c r="E718" s="6" t="n">
        <f aca="false">Sens!E690</f>
        <v>27.8095064661409</v>
      </c>
      <c r="F718" s="6" t="n">
        <f aca="false">Sens!F690</f>
        <v>49.9225563459265</v>
      </c>
      <c r="G718" s="6" t="n">
        <f aca="false">Sens!G690</f>
        <v>86.16372576998</v>
      </c>
      <c r="H718" s="6" t="n">
        <f aca="false">Sens!H690</f>
        <v>127.317768512099</v>
      </c>
      <c r="I718" s="6" t="n">
        <f aca="false">Sens!I690</f>
        <v>159.263397620773</v>
      </c>
      <c r="J718" s="6" t="n">
        <f aca="false">Sens!J690</f>
        <v>181.53366965674</v>
      </c>
      <c r="K718" s="6" t="n">
        <f aca="false">Sens!K690</f>
        <v>195.406674418078</v>
      </c>
    </row>
    <row r="719" customFormat="false" ht="17.15" hidden="false" customHeight="false" outlineLevel="0" collapsed="false">
      <c r="A719" s="0" t="s">
        <v>892</v>
      </c>
      <c r="B719" s="0" t="s">
        <v>98</v>
      </c>
      <c r="D719" s="6" t="n">
        <f aca="false">Sens!D691</f>
        <v>59.6740205577583</v>
      </c>
      <c r="E719" s="6" t="n">
        <f aca="false">Sens!E691</f>
        <v>74.1284935338591</v>
      </c>
      <c r="F719" s="6" t="n">
        <f aca="false">Sens!F691</f>
        <v>90.0799497373663</v>
      </c>
      <c r="G719" s="6" t="n">
        <f aca="false">Sens!G691</f>
        <v>107.02842520331</v>
      </c>
      <c r="H719" s="6" t="n">
        <f aca="false">Sens!H691</f>
        <v>124.271982585636</v>
      </c>
      <c r="I719" s="6" t="n">
        <f aca="false">Sens!I691</f>
        <v>140.933702381855</v>
      </c>
      <c r="J719" s="6" t="n">
        <f aca="false">Sens!J691</f>
        <v>156.018867314332</v>
      </c>
      <c r="K719" s="6" t="n">
        <f aca="false">Sens!K691</f>
        <v>168.500376699478</v>
      </c>
    </row>
    <row r="720" customFormat="false" ht="15" hidden="false" customHeight="false" outlineLevel="0" collapsed="false">
      <c r="A720" s="0" t="s">
        <v>873</v>
      </c>
      <c r="B720" s="0" t="s">
        <v>98</v>
      </c>
      <c r="D720" s="6" t="n">
        <f aca="false">Sens!D698</f>
        <v>84.605</v>
      </c>
      <c r="E720" s="6" t="n">
        <f aca="false">Sens!E698</f>
        <v>100.299</v>
      </c>
      <c r="F720" s="6" t="n">
        <f aca="false">Sens!F698</f>
        <v>120.39238776686</v>
      </c>
      <c r="G720" s="6" t="n">
        <f aca="false">Sens!G698</f>
        <v>141.544168448684</v>
      </c>
      <c r="H720" s="6" t="n">
        <f aca="false">Sens!H698</f>
        <v>162.777359388781</v>
      </c>
      <c r="I720" s="6" t="n">
        <f aca="false">Sens!I698</f>
        <v>181.584028071957</v>
      </c>
      <c r="J720" s="6" t="n">
        <f aca="false">Sens!J698</f>
        <v>197.682702785465</v>
      </c>
      <c r="K720" s="6" t="n">
        <f aca="false">Sens!K698</f>
        <v>213.027991980448</v>
      </c>
    </row>
    <row r="721" customFormat="false" ht="17.15" hidden="false" customHeight="false" outlineLevel="0" collapsed="false">
      <c r="A721" s="0" t="s">
        <v>893</v>
      </c>
      <c r="B721" s="0" t="s">
        <v>98</v>
      </c>
      <c r="D721" s="6" t="n">
        <f aca="false">Sens!D696</f>
        <v>83.705</v>
      </c>
      <c r="E721" s="6" t="n">
        <f aca="false">Sens!E696</f>
        <v>95.049</v>
      </c>
      <c r="F721" s="6" t="n">
        <f aca="false">Sens!F696</f>
        <v>106.89238776686</v>
      </c>
      <c r="G721" s="6" t="n">
        <f aca="false">Sens!G696</f>
        <v>119.044168448684</v>
      </c>
      <c r="H721" s="6" t="n">
        <f aca="false">Sens!H696</f>
        <v>131.277359388781</v>
      </c>
      <c r="I721" s="6" t="n">
        <f aca="false">Sens!I696</f>
        <v>143.334028071957</v>
      </c>
      <c r="J721" s="6" t="n">
        <f aca="false">Sens!J696</f>
        <v>154.932702785465</v>
      </c>
      <c r="K721" s="6" t="n">
        <f aca="false">Sens!K696</f>
        <v>165.777991980448</v>
      </c>
    </row>
    <row r="722" customFormat="false" ht="17.15" hidden="false" customHeight="false" outlineLevel="0" collapsed="false">
      <c r="A722" s="0" t="s">
        <v>894</v>
      </c>
      <c r="B722" s="0" t="s">
        <v>98</v>
      </c>
      <c r="D722" s="6" t="n">
        <f aca="false">Sens!D695</f>
        <v>0.9</v>
      </c>
      <c r="E722" s="6" t="n">
        <f aca="false">Sens!E695</f>
        <v>5.25</v>
      </c>
      <c r="F722" s="6" t="n">
        <f aca="false">Sens!F695</f>
        <v>13.5</v>
      </c>
      <c r="G722" s="6" t="n">
        <f aca="false">Sens!G695</f>
        <v>22.5</v>
      </c>
      <c r="H722" s="6" t="n">
        <f aca="false">Sens!H695</f>
        <v>31.5</v>
      </c>
      <c r="I722" s="6" t="n">
        <f aca="false">Sens!I695</f>
        <v>38.25</v>
      </c>
      <c r="J722" s="6" t="n">
        <f aca="false">Sens!J695</f>
        <v>42.75</v>
      </c>
      <c r="K722" s="6" t="n">
        <f aca="false">Sens!K695</f>
        <v>47.25</v>
      </c>
    </row>
    <row r="723" customFormat="false" ht="15" hidden="false" customHeight="false" outlineLevel="0" collapsed="false">
      <c r="A723" s="0" t="s">
        <v>874</v>
      </c>
      <c r="B723" s="0" t="s">
        <v>98</v>
      </c>
      <c r="D723" s="6" t="n">
        <f aca="false">Sens!D699</f>
        <v>35.391</v>
      </c>
      <c r="E723" s="6" t="n">
        <f aca="false">Sens!E699</f>
        <v>37.285</v>
      </c>
      <c r="F723" s="6" t="n">
        <f aca="false">Sens!F699</f>
        <v>39.0720834331704</v>
      </c>
      <c r="G723" s="6" t="n">
        <f aca="false">Sens!G699</f>
        <v>40.726562953769</v>
      </c>
      <c r="H723" s="6" t="n">
        <f aca="false">Sens!H699</f>
        <v>42.2235987259198</v>
      </c>
      <c r="I723" s="6" t="n">
        <f aca="false">Sens!I699</f>
        <v>43.5397988077414</v>
      </c>
      <c r="J723" s="6" t="n">
        <f aca="false">Sens!J699</f>
        <v>44.653811225693</v>
      </c>
      <c r="K723" s="6" t="n">
        <f aca="false">Sens!K699</f>
        <v>45.5468874502068</v>
      </c>
    </row>
    <row r="724" customFormat="false" ht="15" hidden="false" customHeight="false" outlineLevel="0" collapsed="false">
      <c r="A724" s="0" t="s">
        <v>875</v>
      </c>
      <c r="B724" s="0" t="s">
        <v>98</v>
      </c>
      <c r="D724" s="6" t="n">
        <f aca="false">Sens!D701</f>
        <v>18.417</v>
      </c>
      <c r="E724" s="6" t="n">
        <f aca="false">Sens!E701</f>
        <v>20.345</v>
      </c>
      <c r="F724" s="6" t="n">
        <f aca="false">Sens!F701</f>
        <v>22.3572203267814</v>
      </c>
      <c r="G724" s="6" t="n">
        <f aca="false">Sens!G701</f>
        <v>24.4392124437232</v>
      </c>
      <c r="H724" s="6" t="n">
        <f aca="false">Sens!H701</f>
        <v>26.5738052080665</v>
      </c>
      <c r="I724" s="6" t="n">
        <f aca="false">Sens!I701</f>
        <v>28.7412169166967</v>
      </c>
      <c r="J724" s="6" t="n">
        <f aca="false">Sens!J701</f>
        <v>30.9192545395413</v>
      </c>
      <c r="K724" s="6" t="n">
        <f aca="false">Sens!K701</f>
        <v>33.0836023573092</v>
      </c>
    </row>
    <row r="725" customFormat="false" ht="15" hidden="false" customHeight="false" outlineLevel="0" collapsed="false">
      <c r="A725" s="0" t="s">
        <v>876</v>
      </c>
      <c r="B725" s="0" t="s">
        <v>98</v>
      </c>
      <c r="D725" s="6" t="n">
        <f aca="false">Sens!D703</f>
        <v>7.76</v>
      </c>
      <c r="E725" s="6" t="n">
        <f aca="false">Sens!E703</f>
        <v>8.26</v>
      </c>
      <c r="F725" s="6" t="n">
        <f aca="false">Sens!F703</f>
        <v>8.79988041237113</v>
      </c>
      <c r="G725" s="6" t="n">
        <f aca="false">Sens!G703</f>
        <v>9.38321269125306</v>
      </c>
      <c r="H725" s="6" t="n">
        <f aca="false">Sens!H703</f>
        <v>10.0139193587476</v>
      </c>
      <c r="I725" s="6" t="n">
        <f aca="false">Sens!I703</f>
        <v>10.6963111830911</v>
      </c>
      <c r="J725" s="6" t="n">
        <f aca="false">Sens!J703</f>
        <v>11.4351285534696</v>
      </c>
      <c r="K725" s="6" t="n">
        <f aca="false">Sens!K703</f>
        <v>12.2355875522124</v>
      </c>
    </row>
    <row r="726" customFormat="false" ht="15" hidden="false" customHeight="false" outlineLevel="0" collapsed="false">
      <c r="A726" s="0" t="s">
        <v>704</v>
      </c>
      <c r="B726" s="0" t="s">
        <v>98</v>
      </c>
      <c r="D726" s="6" t="n">
        <f aca="false">Sens!D705</f>
        <v>218.783</v>
      </c>
      <c r="E726" s="6" t="n">
        <f aca="false">Sens!E705</f>
        <v>268.127</v>
      </c>
      <c r="F726" s="6" t="n">
        <f aca="false">Sens!F705</f>
        <v>330.624078022476</v>
      </c>
      <c r="G726" s="6" t="n">
        <f aca="false">Sens!G705</f>
        <v>409.285307510719</v>
      </c>
      <c r="H726" s="6" t="n">
        <f aca="false">Sens!H705</f>
        <v>493.17843377925</v>
      </c>
      <c r="I726" s="6" t="n">
        <f aca="false">Sens!I705</f>
        <v>564.758454982114</v>
      </c>
      <c r="J726" s="6" t="n">
        <f aca="false">Sens!J705</f>
        <v>622.243434075241</v>
      </c>
      <c r="K726" s="6" t="n">
        <f aca="false">Sens!K705</f>
        <v>667.801120457732</v>
      </c>
    </row>
    <row r="727" customFormat="false" ht="15" hidden="false" customHeight="false" outlineLevel="0" collapsed="false">
      <c r="A727" s="0" t="s">
        <v>877</v>
      </c>
      <c r="B727" s="0" t="s">
        <v>98</v>
      </c>
      <c r="D727" s="6" t="n">
        <f aca="false">Sens!D706</f>
        <v>22.171</v>
      </c>
      <c r="E727" s="6" t="n">
        <f aca="false">Sens!E706</f>
        <v>24.835</v>
      </c>
      <c r="F727" s="6" t="n">
        <f aca="false">Sens!F706</f>
        <v>27.6114901218559</v>
      </c>
      <c r="G727" s="6" t="n">
        <f aca="false">Sens!G706</f>
        <v>30.4675667338515</v>
      </c>
      <c r="H727" s="6" t="n">
        <f aca="false">Sens!H706</f>
        <v>33.3643766955789</v>
      </c>
      <c r="I727" s="6" t="n">
        <f aca="false">Sens!I706</f>
        <v>36.2577016533691</v>
      </c>
      <c r="J727" s="6" t="n">
        <f aca="false">Sens!J706</f>
        <v>39.0988367952171</v>
      </c>
      <c r="K727" s="6" t="n">
        <f aca="false">Sens!K706</f>
        <v>41.8357553708823</v>
      </c>
    </row>
    <row r="728" customFormat="false" ht="15" hidden="false" customHeight="false" outlineLevel="0" collapsed="false">
      <c r="A728" s="0" t="s">
        <v>878</v>
      </c>
      <c r="B728" s="0" t="s">
        <v>98</v>
      </c>
      <c r="D728" s="6" t="n">
        <f aca="false">Sens!D708</f>
        <v>23.455</v>
      </c>
      <c r="E728" s="6" t="n">
        <f aca="false">Sens!E708</f>
        <v>21.79</v>
      </c>
      <c r="F728" s="6" t="n">
        <f aca="false">Sens!F708</f>
        <v>20.5736277908051</v>
      </c>
      <c r="G728" s="6" t="n">
        <f aca="false">Sens!G708</f>
        <v>19.7371452817919</v>
      </c>
      <c r="H728" s="6" t="n">
        <f aca="false">Sens!H708</f>
        <v>19.2339764043138</v>
      </c>
      <c r="I728" s="6" t="n">
        <f aca="false">Sens!I708</f>
        <v>19.0353086852681</v>
      </c>
      <c r="J728" s="6" t="n">
        <f aca="false">Sens!J708</f>
        <v>19.1273539319129</v>
      </c>
      <c r="K728" s="6" t="n">
        <f aca="false">Sens!K708</f>
        <v>19.5099010105511</v>
      </c>
    </row>
    <row r="729" customFormat="false" ht="15" hidden="false" customHeight="false" outlineLevel="0" collapsed="false">
      <c r="A729" s="0" t="s">
        <v>879</v>
      </c>
      <c r="B729" s="0" t="s">
        <v>98</v>
      </c>
      <c r="D729" s="6" t="n">
        <f aca="false">Sens!D710</f>
        <v>17.315</v>
      </c>
      <c r="E729" s="6" t="n">
        <f aca="false">Sens!E710</f>
        <v>17.087</v>
      </c>
      <c r="F729" s="6" t="n">
        <f aca="false">Sens!F710</f>
        <v>16.9564585436519</v>
      </c>
      <c r="G729" s="6" t="n">
        <f aca="false">Sens!G710</f>
        <v>16.9206490624268</v>
      </c>
      <c r="H729" s="6" t="n">
        <f aca="false">Sens!H710</f>
        <v>16.9784519149849</v>
      </c>
      <c r="I729" s="6" t="n">
        <f aca="false">Sens!I710</f>
        <v>17.1303084701817</v>
      </c>
      <c r="J729" s="6" t="n">
        <f aca="false">Sens!J710</f>
        <v>17.3782189407267</v>
      </c>
      <c r="K729" s="6" t="n">
        <f aca="false">Sens!K710</f>
        <v>17.7257833195413</v>
      </c>
    </row>
    <row r="730" customFormat="false" ht="15" hidden="false" customHeight="false" outlineLevel="0" collapsed="false">
      <c r="A730" s="0" t="s">
        <v>718</v>
      </c>
      <c r="B730" s="0" t="s">
        <v>98</v>
      </c>
      <c r="D730" s="6" t="n">
        <f aca="false">Sens!D712</f>
        <v>62.941</v>
      </c>
      <c r="E730" s="6" t="n">
        <f aca="false">Sens!E712</f>
        <v>63.712</v>
      </c>
      <c r="F730" s="6" t="n">
        <f aca="false">Sens!F712</f>
        <v>65.1415764563129</v>
      </c>
      <c r="G730" s="6" t="n">
        <f aca="false">Sens!G712</f>
        <v>67.1253610780702</v>
      </c>
      <c r="H730" s="6" t="n">
        <f aca="false">Sens!H712</f>
        <v>69.5768050148776</v>
      </c>
      <c r="I730" s="6" t="n">
        <f aca="false">Sens!I712</f>
        <v>72.4233188088189</v>
      </c>
      <c r="J730" s="6" t="n">
        <f aca="false">Sens!J712</f>
        <v>75.6044096678567</v>
      </c>
      <c r="K730" s="6" t="n">
        <f aca="false">Sens!K712</f>
        <v>79.0714397009747</v>
      </c>
    </row>
    <row r="731" customFormat="false" ht="15" hidden="false" customHeight="false" outlineLevel="0" collapsed="false">
      <c r="A731" s="1" t="s">
        <v>895</v>
      </c>
      <c r="B731" s="0" t="s">
        <v>98</v>
      </c>
      <c r="D731" s="6" t="n">
        <f aca="false">Sens!D713</f>
        <v>281.724</v>
      </c>
      <c r="E731" s="6" t="n">
        <f aca="false">Sens!E713</f>
        <v>331.839</v>
      </c>
      <c r="F731" s="6" t="n">
        <f aca="false">Sens!F713</f>
        <v>395.765654478789</v>
      </c>
      <c r="G731" s="6" t="n">
        <f aca="false">Sens!G713</f>
        <v>476.410668588789</v>
      </c>
      <c r="H731" s="6" t="n">
        <f aca="false">Sens!H713</f>
        <v>562.755238794127</v>
      </c>
      <c r="I731" s="6" t="n">
        <f aca="false">Sens!I713</f>
        <v>637.181773790933</v>
      </c>
      <c r="J731" s="6" t="n">
        <f aca="false">Sens!J713</f>
        <v>697.847843743097</v>
      </c>
      <c r="K731" s="6" t="n">
        <f aca="false">Sens!K713</f>
        <v>746.872560158707</v>
      </c>
    </row>
    <row r="732" customFormat="false" ht="15" hidden="false" customHeight="false" outlineLevel="0" collapsed="false">
      <c r="A732" s="1" t="s">
        <v>896</v>
      </c>
      <c r="B732" s="0" t="s">
        <v>129</v>
      </c>
      <c r="E732" s="7" t="n">
        <f aca="false">Sens!E731/Sens!D731-1</f>
        <v>0.177886867998467</v>
      </c>
      <c r="F732" s="7" t="n">
        <f aca="false">Sens!F731/Sens!E731-1</f>
        <v>0.192643584626245</v>
      </c>
      <c r="G732" s="7" t="n">
        <f aca="false">Sens!G731/Sens!F731-1</f>
        <v>0.203769612641622</v>
      </c>
      <c r="H732" s="7" t="n">
        <f aca="false">Sens!H731/Sens!G731-1</f>
        <v>0.181239791420091</v>
      </c>
      <c r="I732" s="7" t="n">
        <f aca="false">Sens!I731/Sens!H731-1</f>
        <v>0.132253828780496</v>
      </c>
      <c r="J732" s="7" t="n">
        <f aca="false">Sens!J731/Sens!I731-1</f>
        <v>0.0952099894371268</v>
      </c>
      <c r="K732" s="7" t="n">
        <f aca="false">Sens!K731/Sens!J731-1</f>
        <v>0.0702512974069707</v>
      </c>
    </row>
    <row r="733" customFormat="false" ht="17.15" hidden="false" customHeight="false" outlineLevel="0" collapsed="false">
      <c r="A733" s="23" t="s">
        <v>897</v>
      </c>
      <c r="B733" s="30" t="s">
        <v>98</v>
      </c>
      <c r="C733" s="30"/>
      <c r="D733" s="24" t="n">
        <f aca="false">(Sens!D726+Sens!D730-Sens!D731)+(Sens!D718+Sens!D719-Sens!D717)+(Sens!D721+Sens!D722-Sens!D720)+(Sens!D731-Q!L18)</f>
        <v>0</v>
      </c>
      <c r="E733" s="24" t="n">
        <f aca="false">(Sens!E726+Sens!E730-Sens!E731)+(Sens!E718+Sens!E719-Sens!E717)+(Sens!E721+Sens!E722-Sens!E720)+(Sens!E731-Q!M18)</f>
        <v>0</v>
      </c>
      <c r="F733" s="24" t="n">
        <f aca="false">(Sens!F726+Sens!F730-Sens!F731)+(Sens!F718+Sens!F719-Sens!F717)+(Sens!F721+Sens!F722-Sens!F720)</f>
        <v>0</v>
      </c>
      <c r="G733" s="24" t="n">
        <f aca="false">(Sens!G726+Sens!G730-Sens!G731)+(Sens!G718+Sens!G719-Sens!G717)+(Sens!G721+Sens!G722-Sens!G720)</f>
        <v>0</v>
      </c>
      <c r="H733" s="24" t="n">
        <f aca="false">(Sens!H726+Sens!H730-Sens!H731)+(Sens!H718+Sens!H719-Sens!H717)+(Sens!H721+Sens!H722-Sens!H720)</f>
        <v>0</v>
      </c>
      <c r="I733" s="24" t="n">
        <f aca="false">(Sens!I726+Sens!I730-Sens!I731)+(Sens!I718+Sens!I719-Sens!I717)+(Sens!I721+Sens!I722-Sens!I720)</f>
        <v>0</v>
      </c>
      <c r="J733" s="24" t="n">
        <f aca="false">(Sens!J726+Sens!J730-Sens!J731)+(Sens!J718+Sens!J719-Sens!J717)+(Sens!J721+Sens!J722-Sens!J720)</f>
        <v>0</v>
      </c>
      <c r="K733" s="24" t="n">
        <f aca="false">(Sens!K726+Sens!K730-Sens!K731)+(Sens!K718+Sens!K719-Sens!K717)+(Sens!K721+Sens!K722-Sens!K720)</f>
        <v>0</v>
      </c>
    </row>
    <row r="734" customFormat="false" ht="17.15" hidden="false" customHeight="false" outlineLevel="0" collapsed="false">
      <c r="A734" s="0" t="s">
        <v>898</v>
      </c>
      <c r="B734" s="0" t="s">
        <v>129</v>
      </c>
      <c r="E734" s="7" t="n">
        <f aca="false">(Q!M21+Sens!E671+Sens!E672+Sens!E673+Sens!E686-Sens!E669)/(Q!M5-Sens!E669)</f>
        <v>0.570957350878296</v>
      </c>
      <c r="F734" s="7" t="n">
        <f aca="false">Sens!$E$734+dm_seg</f>
        <v>0.570957350878296</v>
      </c>
      <c r="G734" s="7" t="n">
        <f aca="false">Sens!$E$734+dm_seg</f>
        <v>0.570957350878296</v>
      </c>
      <c r="H734" s="7" t="n">
        <f aca="false">Sens!$E$734+dm_seg</f>
        <v>0.570957350878296</v>
      </c>
      <c r="I734" s="7" t="n">
        <f aca="false">Sens!$E$734+dm_seg</f>
        <v>0.570957350878296</v>
      </c>
      <c r="J734" s="7" t="n">
        <f aca="false">Sens!$E$734+dm_seg</f>
        <v>0.570957350878296</v>
      </c>
      <c r="K734" s="7" t="n">
        <f aca="false">Sens!$E$734+dm_seg</f>
        <v>0.570957350878296</v>
      </c>
      <c r="L734" s="11" t="s">
        <v>899</v>
      </c>
    </row>
    <row r="735" customFormat="false" ht="17.15" hidden="false" customHeight="false" outlineLevel="0" collapsed="false">
      <c r="A735" s="0" t="s">
        <v>732</v>
      </c>
      <c r="B735" s="0" t="s">
        <v>98</v>
      </c>
      <c r="D735" s="6" t="n">
        <f aca="false">Q!L21</f>
        <v>110.814</v>
      </c>
      <c r="E735" s="6" t="n">
        <f aca="false">Q!M21</f>
        <v>136.365</v>
      </c>
      <c r="F735" s="6" t="n">
        <f aca="false">Sens!F734*(Sens!F705-Sens!F669)+Sens!F669-(Sens!F671+Sens!F672+Sens!F673)-Sens!F686</f>
        <v>153.325621717731</v>
      </c>
      <c r="G735" s="6" t="n">
        <f aca="false">Sens!G734*(Sens!G705-Sens!G669)+Sens!G669-(Sens!G671+Sens!G672+Sens!G673)-Sens!G686</f>
        <v>176.488216896525</v>
      </c>
      <c r="H735" s="6" t="n">
        <f aca="false">Sens!H734*(Sens!H705-Sens!H669)+Sens!H669-(Sens!H671+Sens!H672+Sens!H673)-Sens!H686</f>
        <v>203.611872495438</v>
      </c>
      <c r="I735" s="6" t="n">
        <f aca="false">Sens!I734*(Sens!I705-Sens!I669)+Sens!I669-(Sens!I671+Sens!I672+Sens!I673)-Sens!I686</f>
        <v>224.242519304332</v>
      </c>
      <c r="J735" s="6" t="n">
        <f aca="false">Sens!J734*(Sens!J705-Sens!J669)+Sens!J669-(Sens!J671+Sens!J672+Sens!J673)-Sens!J686</f>
        <v>242.885949655123</v>
      </c>
      <c r="K735" s="6" t="n">
        <f aca="false">Sens!K734*(Sens!K705-Sens!K669)+Sens!K669-(Sens!K671+Sens!K672+Sens!K673)-Sens!K686</f>
        <v>260.877895502343</v>
      </c>
      <c r="L735" s="1" t="s">
        <v>900</v>
      </c>
    </row>
    <row r="736" customFormat="false" ht="17.15" hidden="false" customHeight="false" outlineLevel="0" collapsed="false">
      <c r="A736" s="0" t="s">
        <v>901</v>
      </c>
      <c r="B736" s="0" t="s">
        <v>129</v>
      </c>
      <c r="E736" s="7" t="n">
        <f aca="false">Q!M22/Q!M12</f>
        <v>0.296207935710698</v>
      </c>
      <c r="F736" s="7" t="n">
        <f aca="false">Sens!$E$736+dm_seg</f>
        <v>0.296207935710698</v>
      </c>
      <c r="G736" s="7" t="n">
        <f aca="false">Sens!$E$736+dm_seg</f>
        <v>0.296207935710698</v>
      </c>
      <c r="H736" s="7" t="n">
        <f aca="false">Sens!$E$736+dm_seg</f>
        <v>0.296207935710698</v>
      </c>
      <c r="I736" s="7" t="n">
        <f aca="false">Sens!$E$736+dm_seg</f>
        <v>0.296207935710698</v>
      </c>
      <c r="J736" s="7" t="n">
        <f aca="false">Sens!$E$736+dm_seg</f>
        <v>0.296207935710698</v>
      </c>
      <c r="K736" s="7" t="n">
        <f aca="false">Sens!$E$736+dm_seg</f>
        <v>0.296207935710698</v>
      </c>
      <c r="L736" s="11" t="s">
        <v>902</v>
      </c>
    </row>
    <row r="737" customFormat="false" ht="17.15" hidden="false" customHeight="false" outlineLevel="0" collapsed="false">
      <c r="A737" s="0" t="s">
        <v>734</v>
      </c>
      <c r="B737" s="0" t="s">
        <v>98</v>
      </c>
      <c r="D737" s="6" t="n">
        <f aca="false">Q!L22</f>
        <v>17.714</v>
      </c>
      <c r="E737" s="6" t="n">
        <f aca="false">Q!M22</f>
        <v>18.872</v>
      </c>
      <c r="F737" s="6" t="n">
        <f aca="false">Sens!F712*Sens!F736</f>
        <v>19.2954518910651</v>
      </c>
      <c r="G737" s="6" t="n">
        <f aca="false">Sens!G712*Sens!G736</f>
        <v>19.8830646387704</v>
      </c>
      <c r="H737" s="6" t="n">
        <f aca="false">Sens!H712*Sens!H736</f>
        <v>20.6092017868026</v>
      </c>
      <c r="I737" s="6" t="n">
        <f aca="false">Sens!I712*Sens!I736</f>
        <v>21.452361761678</v>
      </c>
      <c r="J737" s="6" t="n">
        <f aca="false">Sens!J712*Sens!J736</f>
        <v>22.3946261183418</v>
      </c>
      <c r="K737" s="6" t="n">
        <f aca="false">Sens!K712*Sens!K736</f>
        <v>23.4215879274986</v>
      </c>
    </row>
    <row r="738" customFormat="false" ht="15" hidden="false" customHeight="false" outlineLevel="0" collapsed="false">
      <c r="A738" s="1" t="s">
        <v>903</v>
      </c>
      <c r="B738" s="0" t="s">
        <v>98</v>
      </c>
      <c r="D738" s="6" t="n">
        <f aca="false">Sens!D735+Sens!D737</f>
        <v>128.528</v>
      </c>
      <c r="E738" s="6" t="n">
        <f aca="false">Sens!E735+Sens!E737</f>
        <v>155.237</v>
      </c>
      <c r="F738" s="6" t="n">
        <f aca="false">Sens!F735+Sens!F737</f>
        <v>172.621073608796</v>
      </c>
      <c r="G738" s="6" t="n">
        <f aca="false">Sens!G735+Sens!G737</f>
        <v>196.371281535295</v>
      </c>
      <c r="H738" s="6" t="n">
        <f aca="false">Sens!H735+Sens!H737</f>
        <v>224.22107428224</v>
      </c>
      <c r="I738" s="6" t="n">
        <f aca="false">Sens!I735+Sens!I737</f>
        <v>245.69488106601</v>
      </c>
      <c r="J738" s="6" t="n">
        <f aca="false">Sens!J735+Sens!J737</f>
        <v>265.280575773465</v>
      </c>
      <c r="K738" s="6" t="n">
        <f aca="false">Sens!K735+Sens!K737</f>
        <v>284.299483429841</v>
      </c>
    </row>
    <row r="739" customFormat="false" ht="15" hidden="false" customHeight="false" outlineLevel="0" collapsed="false">
      <c r="A739" s="23" t="s">
        <v>904</v>
      </c>
      <c r="B739" s="30" t="s">
        <v>98</v>
      </c>
      <c r="C739" s="30"/>
      <c r="D739" s="24" t="n">
        <f aca="false">Sens!D738-Q!L23</f>
        <v>0</v>
      </c>
      <c r="E739" s="24" t="n">
        <f aca="false">Sens!E738-Q!M23</f>
        <v>0</v>
      </c>
      <c r="F739" s="30"/>
      <c r="G739" s="30"/>
      <c r="H739" s="30"/>
      <c r="I739" s="30"/>
      <c r="J739" s="30"/>
      <c r="K739" s="30"/>
    </row>
    <row r="740" customFormat="false" ht="15" hidden="false" customHeight="false" outlineLevel="0" collapsed="false">
      <c r="A740" s="1" t="s">
        <v>905</v>
      </c>
      <c r="B740" s="0" t="s">
        <v>129</v>
      </c>
      <c r="D740" s="7" t="n">
        <f aca="false">Sens!D738/Sens!D731</f>
        <v>0.456219562408598</v>
      </c>
      <c r="E740" s="7" t="n">
        <f aca="false">Sens!E738/Sens!E731</f>
        <v>0.467808184089272</v>
      </c>
      <c r="F740" s="7" t="n">
        <f aca="false">Sens!F738/Sens!F731</f>
        <v>0.436169919383563</v>
      </c>
      <c r="G740" s="7" t="n">
        <f aca="false">Sens!G738/Sens!G731</f>
        <v>0.412189093323583</v>
      </c>
      <c r="H740" s="7" t="n">
        <f aca="false">Sens!H738/Sens!H731</f>
        <v>0.398434450406364</v>
      </c>
      <c r="I740" s="7" t="n">
        <f aca="false">Sens!I738/Sens!I731</f>
        <v>0.38559621629514</v>
      </c>
      <c r="J740" s="7" t="n">
        <f aca="false">Sens!J738/Sens!J731</f>
        <v>0.380140998001169</v>
      </c>
      <c r="K740" s="7" t="n">
        <f aca="false">Sens!K738/Sens!K731</f>
        <v>0.380653271515865</v>
      </c>
    </row>
    <row r="741" customFormat="false" ht="17.15" hidden="false" customHeight="false" outlineLevel="0" collapsed="false">
      <c r="A741" s="1" t="s">
        <v>906</v>
      </c>
      <c r="B741" s="0" t="s">
        <v>98</v>
      </c>
      <c r="F741" s="6" t="n">
        <f aca="false">Sens!F756</f>
        <v>19.0793824397397</v>
      </c>
      <c r="G741" s="6" t="n">
        <f aca="false">Sens!G756</f>
        <v>32.5666413649601</v>
      </c>
      <c r="H741" s="6" t="n">
        <f aca="false">Sens!H756</f>
        <v>47.4063563831308</v>
      </c>
      <c r="I741" s="6" t="n">
        <f aca="false">Sens!I756</f>
        <v>61.2525090726263</v>
      </c>
      <c r="J741" s="6" t="n">
        <f aca="false">Sens!J756</f>
        <v>71.009613825577</v>
      </c>
      <c r="K741" s="6" t="n">
        <f aca="false">Sens!K756</f>
        <v>76.0452576664312</v>
      </c>
      <c r="L741" s="1" t="s">
        <v>907</v>
      </c>
    </row>
    <row r="742" customFormat="false" ht="17.15" hidden="false" customHeight="false" outlineLevel="0" collapsed="false">
      <c r="A742" s="1" t="s">
        <v>908</v>
      </c>
      <c r="B742" s="0" t="s">
        <v>98</v>
      </c>
      <c r="D742" s="6" t="n">
        <f aca="false">Sens!D738</f>
        <v>128.528</v>
      </c>
      <c r="E742" s="6" t="n">
        <f aca="false">Sens!E738</f>
        <v>155.237</v>
      </c>
      <c r="F742" s="6" t="n">
        <f aca="false">Sens!F738+Sens!F741</f>
        <v>191.700456048536</v>
      </c>
      <c r="G742" s="6" t="n">
        <f aca="false">Sens!G738+Sens!G741</f>
        <v>228.937922900255</v>
      </c>
      <c r="H742" s="6" t="n">
        <f aca="false">Sens!H738+Sens!H741</f>
        <v>271.627430665371</v>
      </c>
      <c r="I742" s="6" t="n">
        <f aca="false">Sens!I738+Sens!I741</f>
        <v>306.947390138636</v>
      </c>
      <c r="J742" s="6" t="n">
        <f aca="false">Sens!J738+Sens!J741</f>
        <v>336.290189599042</v>
      </c>
      <c r="K742" s="6" t="n">
        <f aca="false">Sens!K738+Sens!K741</f>
        <v>360.344741096273</v>
      </c>
    </row>
    <row r="743" customFormat="false" ht="17.15" hidden="false" customHeight="false" outlineLevel="0" collapsed="false">
      <c r="A743" s="1" t="s">
        <v>909</v>
      </c>
      <c r="B743" s="0" t="s">
        <v>98</v>
      </c>
      <c r="E743" s="6" t="n">
        <f aca="false">Sens!E686</f>
        <v>16.3054059770833</v>
      </c>
      <c r="F743" s="6" t="n">
        <f aca="false">Sens!F686</f>
        <v>34.7280354558698</v>
      </c>
      <c r="G743" s="6" t="n">
        <f aca="false">Sens!G686</f>
        <v>60.4817332603396</v>
      </c>
      <c r="H743" s="6" t="n">
        <f aca="false">Sens!H686</f>
        <v>87.7173159931396</v>
      </c>
      <c r="I743" s="6" t="n">
        <f aca="false">Sens!I686</f>
        <v>111.962039982221</v>
      </c>
      <c r="J743" s="6" t="n">
        <f aca="false">Sens!J686</f>
        <v>129.158710922666</v>
      </c>
      <c r="K743" s="6" t="n">
        <f aca="false">Sens!K686</f>
        <v>139.622646804474</v>
      </c>
    </row>
    <row r="744" customFormat="false" ht="17.15" hidden="false" customHeight="false" outlineLevel="0" collapsed="false">
      <c r="A744" s="1" t="s">
        <v>910</v>
      </c>
      <c r="B744" s="0" t="s">
        <v>98</v>
      </c>
      <c r="E744" s="6" t="n">
        <f aca="false">Sens!E768</f>
        <v>22.2285940229167</v>
      </c>
      <c r="F744" s="6" t="n">
        <f aca="false">Sens!F768</f>
        <v>23.5786693435813</v>
      </c>
      <c r="G744" s="6" t="n">
        <f aca="false">Sens!G768</f>
        <v>25.3810917662621</v>
      </c>
      <c r="H744" s="6" t="n">
        <f aca="false">Sens!H768</f>
        <v>27.5991339540448</v>
      </c>
      <c r="I744" s="6" t="n">
        <f aca="false">Sens!I768</f>
        <v>30.1565605898047</v>
      </c>
      <c r="J744" s="6" t="n">
        <f aca="false">Sens!J768</f>
        <v>32.9614958558616</v>
      </c>
      <c r="K744" s="6" t="n">
        <f aca="false">Sens!K768</f>
        <v>35.9297165444749</v>
      </c>
    </row>
    <row r="745" customFormat="false" ht="17.15" hidden="false" customHeight="false" outlineLevel="0" collapsed="false">
      <c r="A745" s="1" t="s">
        <v>911</v>
      </c>
      <c r="B745" s="0" t="s">
        <v>98</v>
      </c>
      <c r="D745" s="6" t="n">
        <f aca="false">Q!L27</f>
        <v>-4.901</v>
      </c>
      <c r="E745" s="6" t="n">
        <f aca="false">Q!M27</f>
        <v>10.697</v>
      </c>
      <c r="F745" s="6" t="n">
        <f aca="false">oie_f</f>
        <v>-0.4</v>
      </c>
      <c r="G745" s="6" t="n">
        <f aca="false">oie_f</f>
        <v>-0.4</v>
      </c>
      <c r="H745" s="6" t="n">
        <f aca="false">oie_f</f>
        <v>-0.4</v>
      </c>
      <c r="I745" s="6" t="n">
        <f aca="false">oie_f</f>
        <v>-0.4</v>
      </c>
      <c r="J745" s="6" t="n">
        <f aca="false">oie_f</f>
        <v>-0.4</v>
      </c>
      <c r="K745" s="6" t="n">
        <f aca="false">oie_f</f>
        <v>-0.4</v>
      </c>
      <c r="L745" s="11" t="s">
        <v>912</v>
      </c>
    </row>
    <row r="746" customFormat="false" ht="15" hidden="false" customHeight="false" outlineLevel="0" collapsed="false">
      <c r="A746" s="1" t="s">
        <v>913</v>
      </c>
      <c r="B746" s="0" t="s">
        <v>98</v>
      </c>
      <c r="D746" s="6" t="n">
        <f aca="false">Sens!D738+Sens!D745</f>
        <v>123.627</v>
      </c>
      <c r="E746" s="6" t="n">
        <f aca="false">Sens!E738+Sens!E745</f>
        <v>165.934</v>
      </c>
      <c r="F746" s="6" t="n">
        <f aca="false">Sens!F738+Sens!F745</f>
        <v>172.221073608796</v>
      </c>
      <c r="G746" s="6" t="n">
        <f aca="false">Sens!G738+Sens!G745</f>
        <v>195.971281535295</v>
      </c>
      <c r="H746" s="6" t="n">
        <f aca="false">Sens!H738+Sens!H745</f>
        <v>223.82107428224</v>
      </c>
      <c r="I746" s="6" t="n">
        <f aca="false">Sens!I738+Sens!I745</f>
        <v>245.29488106601</v>
      </c>
      <c r="J746" s="6" t="n">
        <f aca="false">Sens!J738+Sens!J745</f>
        <v>264.880575773465</v>
      </c>
      <c r="K746" s="6" t="n">
        <f aca="false">Sens!K738+Sens!K745</f>
        <v>283.899483429841</v>
      </c>
    </row>
    <row r="747" customFormat="false" ht="15" hidden="false" customHeight="false" outlineLevel="0" collapsed="false">
      <c r="A747" s="1" t="s">
        <v>914</v>
      </c>
      <c r="B747" s="0" t="s">
        <v>98</v>
      </c>
      <c r="D747" s="6" t="n">
        <f aca="false">Q!L29</f>
        <v>21.795</v>
      </c>
      <c r="E747" s="6" t="n">
        <f aca="false">Q!M29</f>
        <v>32.185</v>
      </c>
      <c r="F747" s="6" t="n">
        <f aca="false">Sens!F746*tax_f</f>
        <v>34.4442147217593</v>
      </c>
      <c r="G747" s="6" t="n">
        <f aca="false">Sens!G746*tax_f</f>
        <v>39.1942563070591</v>
      </c>
      <c r="H747" s="6" t="n">
        <f aca="false">Sens!H746*tax_f</f>
        <v>44.7642148564481</v>
      </c>
      <c r="I747" s="6" t="n">
        <f aca="false">Sens!I746*tax_f</f>
        <v>49.0589762132019</v>
      </c>
      <c r="J747" s="6" t="n">
        <f aca="false">Sens!J746*tax_f</f>
        <v>52.976115154693</v>
      </c>
      <c r="K747" s="6" t="n">
        <f aca="false">Sens!K746*tax_f</f>
        <v>56.7798966859683</v>
      </c>
    </row>
    <row r="748" customFormat="false" ht="15" hidden="false" customHeight="false" outlineLevel="0" collapsed="false">
      <c r="A748" s="1" t="s">
        <v>915</v>
      </c>
      <c r="B748" s="0" t="s">
        <v>98</v>
      </c>
      <c r="D748" s="6" t="n">
        <f aca="false">Sens!D746-Sens!D747</f>
        <v>101.832</v>
      </c>
      <c r="E748" s="6" t="n">
        <f aca="false">Sens!E746-Sens!E747</f>
        <v>133.749</v>
      </c>
      <c r="F748" s="6" t="n">
        <f aca="false">Sens!F746-Sens!F747</f>
        <v>137.776858887037</v>
      </c>
      <c r="G748" s="6" t="n">
        <f aca="false">Sens!G746-Sens!G747</f>
        <v>156.777025228236</v>
      </c>
      <c r="H748" s="6" t="n">
        <f aca="false">Sens!H746-Sens!H747</f>
        <v>179.056859425792</v>
      </c>
      <c r="I748" s="6" t="n">
        <f aca="false">Sens!I746-Sens!I747</f>
        <v>196.235904852808</v>
      </c>
      <c r="J748" s="6" t="n">
        <f aca="false">Sens!J746-Sens!J747</f>
        <v>211.904460618772</v>
      </c>
      <c r="K748" s="6" t="n">
        <f aca="false">Sens!K746-Sens!K747</f>
        <v>227.119586743873</v>
      </c>
    </row>
    <row r="749" customFormat="false" ht="17.15" hidden="false" customHeight="false" outlineLevel="0" collapsed="false">
      <c r="A749" s="1" t="s">
        <v>916</v>
      </c>
      <c r="B749" s="1" t="s">
        <v>81</v>
      </c>
      <c r="D749" s="14" t="n">
        <f aca="false">Q!L31</f>
        <v>7.465</v>
      </c>
      <c r="E749" s="14" t="n">
        <f aca="false">Q!M31</f>
        <v>7.453</v>
      </c>
      <c r="F749" s="14" t="n">
        <f aca="false">Sens!F790</f>
        <v>7.4735</v>
      </c>
      <c r="G749" s="14" t="n">
        <f aca="false">Sens!G790</f>
        <v>7.5185</v>
      </c>
      <c r="H749" s="14" t="n">
        <f aca="false">Sens!H790</f>
        <v>7.54625158584995</v>
      </c>
      <c r="I749" s="14" t="n">
        <f aca="false">Sens!I790</f>
        <v>7.55803241785726</v>
      </c>
      <c r="J749" s="14" t="n">
        <f aca="false">Sens!J790</f>
        <v>7.57227392897515</v>
      </c>
      <c r="K749" s="14" t="n">
        <f aca="false">Sens!K790</f>
        <v>7.58879384667689</v>
      </c>
    </row>
    <row r="750" customFormat="false" ht="17.15" hidden="false" customHeight="false" outlineLevel="0" collapsed="false">
      <c r="A750" s="0" t="s">
        <v>917</v>
      </c>
      <c r="B750" s="0" t="s">
        <v>75</v>
      </c>
      <c r="D750" s="8" t="n">
        <f aca="false">Sens!D748/Sens!D749</f>
        <v>13.641259209645</v>
      </c>
      <c r="E750" s="8" t="n">
        <f aca="false">Sens!E748/Sens!E749</f>
        <v>17.9456594659869</v>
      </c>
      <c r="F750" s="8" t="n">
        <f aca="false">Sens!F748/Sens!F749</f>
        <v>18.4353862162357</v>
      </c>
      <c r="G750" s="8" t="n">
        <f aca="false">Sens!G748/Sens!G749</f>
        <v>20.852168015992</v>
      </c>
      <c r="H750" s="8" t="n">
        <f aca="false">Sens!H748/Sens!H749</f>
        <v>23.7279207284241</v>
      </c>
      <c r="I750" s="8" t="n">
        <f aca="false">Sens!I748/Sens!I749</f>
        <v>25.9638876897595</v>
      </c>
      <c r="J750" s="8" t="n">
        <f aca="false">Sens!J748/Sens!J749</f>
        <v>27.9842571209586</v>
      </c>
      <c r="K750" s="8" t="n">
        <f aca="false">Sens!K748/Sens!K749</f>
        <v>29.9282852232609</v>
      </c>
      <c r="L750" s="1" t="s">
        <v>918</v>
      </c>
    </row>
    <row r="751" customFormat="false" ht="17.15" hidden="false" customHeight="false" outlineLevel="0" collapsed="false">
      <c r="A751" s="1" t="s">
        <v>919</v>
      </c>
      <c r="B751" s="0" t="s">
        <v>98</v>
      </c>
      <c r="D751" s="6" t="n">
        <f aca="false">Sens!D748</f>
        <v>101.832</v>
      </c>
      <c r="E751" s="6" t="n">
        <f aca="false">Sens!E748</f>
        <v>133.749</v>
      </c>
      <c r="F751" s="6" t="n">
        <f aca="false">Sens!F748+Sens!F741*(1-tax_f)</f>
        <v>153.040364838829</v>
      </c>
      <c r="G751" s="6" t="n">
        <f aca="false">Sens!G748+Sens!G741*(1-tax_f)</f>
        <v>182.830338320204</v>
      </c>
      <c r="H751" s="6" t="n">
        <f aca="false">Sens!H748+Sens!H741*(1-tax_f)</f>
        <v>216.981944532297</v>
      </c>
      <c r="I751" s="6" t="n">
        <f aca="false">Sens!I748+Sens!I741*(1-tax_f)</f>
        <v>245.237912110909</v>
      </c>
      <c r="J751" s="6" t="n">
        <f aca="false">Sens!J748+Sens!J741*(1-tax_f)</f>
        <v>268.712151679233</v>
      </c>
      <c r="K751" s="6" t="n">
        <f aca="false">Sens!K748+Sens!K741*(1-tax_f)</f>
        <v>287.955792877018</v>
      </c>
    </row>
    <row r="752" customFormat="false" ht="17.15" hidden="false" customHeight="false" outlineLevel="0" collapsed="false">
      <c r="A752" s="0" t="s">
        <v>920</v>
      </c>
      <c r="B752" s="0" t="s">
        <v>75</v>
      </c>
      <c r="D752" s="8" t="n">
        <f aca="false">Sens!D751/Sens!D749</f>
        <v>13.641259209645</v>
      </c>
      <c r="E752" s="8" t="n">
        <f aca="false">Sens!E751/Sens!E749</f>
        <v>17.9456594659869</v>
      </c>
      <c r="F752" s="8" t="n">
        <f aca="false">Sens!F751/Sens!F749</f>
        <v>20.4777366480001</v>
      </c>
      <c r="G752" s="8" t="n">
        <f aca="false">Sens!G751/Sens!G749</f>
        <v>24.3173955337107</v>
      </c>
      <c r="H752" s="8" t="n">
        <f aca="false">Sens!H751/Sens!H749</f>
        <v>28.7536059544002</v>
      </c>
      <c r="I752" s="8" t="n">
        <f aca="false">Sens!I751/Sens!I749</f>
        <v>32.4473220743918</v>
      </c>
      <c r="J752" s="8" t="n">
        <f aca="false">Sens!J751/Sens!J749</f>
        <v>35.4863221008173</v>
      </c>
      <c r="K752" s="8" t="n">
        <f aca="false">Sens!K751/Sens!K749</f>
        <v>37.9448695925655</v>
      </c>
      <c r="L752" s="1" t="s">
        <v>921</v>
      </c>
    </row>
    <row r="753" customFormat="false" ht="17.15" hidden="false" customHeight="false" outlineLevel="0" collapsed="false">
      <c r="A753" s="0" t="s">
        <v>922</v>
      </c>
      <c r="B753" s="0" t="s">
        <v>129</v>
      </c>
      <c r="E753" s="7" t="n">
        <f aca="false">Sens!E752/Sens!D752-1</f>
        <v>0.315542736208578</v>
      </c>
      <c r="F753" s="7" t="n">
        <f aca="false">Sens!F752/Sens!E752-1</f>
        <v>0.141096914650165</v>
      </c>
      <c r="G753" s="7" t="n">
        <f aca="false">Sens!G752/Sens!F752-1</f>
        <v>0.187504066084648</v>
      </c>
      <c r="H753" s="7" t="n">
        <f aca="false">Sens!H752/Sens!G752-1</f>
        <v>0.182429504612844</v>
      </c>
      <c r="I753" s="7" t="n">
        <f aca="false">Sens!I752/Sens!H752-1</f>
        <v>0.128460970281411</v>
      </c>
      <c r="J753" s="7" t="n">
        <f aca="false">Sens!J752/Sens!I752-1</f>
        <v>0.0936595019908895</v>
      </c>
      <c r="K753" s="7" t="n">
        <f aca="false">Sens!K752/Sens!J752-1</f>
        <v>0.069281552615214</v>
      </c>
    </row>
    <row r="754" customFormat="false" ht="17.15" hidden="false" customHeight="false" outlineLevel="0" collapsed="false">
      <c r="A754" s="0" t="s">
        <v>846</v>
      </c>
      <c r="B754" s="0" t="s">
        <v>98</v>
      </c>
      <c r="E754" s="6" t="n">
        <f aca="false">Sens!E695</f>
        <v>5.25</v>
      </c>
      <c r="F754" s="6" t="n">
        <f aca="false">Sens!F695</f>
        <v>13.5</v>
      </c>
      <c r="G754" s="6" t="n">
        <f aca="false">Sens!G695</f>
        <v>22.5</v>
      </c>
      <c r="H754" s="6" t="n">
        <f aca="false">Sens!H695</f>
        <v>31.5</v>
      </c>
      <c r="I754" s="6" t="n">
        <f aca="false">Sens!I695</f>
        <v>38.25</v>
      </c>
      <c r="J754" s="6" t="n">
        <f aca="false">Sens!J695</f>
        <v>42.75</v>
      </c>
      <c r="K754" s="6" t="n">
        <f aca="false">Sens!K695</f>
        <v>47.25</v>
      </c>
    </row>
    <row r="755" customFormat="false" ht="17.15" hidden="false" customHeight="false" outlineLevel="0" collapsed="false">
      <c r="A755" s="1" t="s">
        <v>847</v>
      </c>
      <c r="B755" s="0" t="s">
        <v>98</v>
      </c>
      <c r="F755" s="6" t="n">
        <f aca="false">MAX(0,(Sens!E658+Sens!F658)/2*Sens!F666/1000-Sens!F754*Sens!F734)</f>
        <v>19.0793824397397</v>
      </c>
      <c r="G755" s="6" t="n">
        <f aca="false">MAX(0,(Sens!F658+Sens!G658)/2*Sens!G666/1000-Sens!G754*Sens!G734)</f>
        <v>32.5666413649601</v>
      </c>
      <c r="H755" s="6" t="n">
        <f aca="false">MAX(0,(Sens!G658+Sens!H658)/2*Sens!H666/1000-Sens!H754*Sens!H734)</f>
        <v>47.4063563831308</v>
      </c>
      <c r="I755" s="6" t="n">
        <f aca="false">MAX(0,(Sens!H658+Sens!I658)/2*Sens!I666/1000-Sens!I754*Sens!I734)</f>
        <v>61.2525090726263</v>
      </c>
      <c r="J755" s="6" t="n">
        <f aca="false">MAX(0,(Sens!I658+Sens!J658)/2*Sens!J666/1000-Sens!J754*Sens!J734)</f>
        <v>71.009613825577</v>
      </c>
      <c r="K755" s="6" t="n">
        <f aca="false">MAX(0,(Sens!J658+Sens!K658)/2*Sens!K666/1000-Sens!K754*Sens!K734)</f>
        <v>76.0452576664312</v>
      </c>
      <c r="L755" s="1" t="s">
        <v>848</v>
      </c>
    </row>
    <row r="756" customFormat="false" ht="17.15" hidden="false" customHeight="false" outlineLevel="0" collapsed="false">
      <c r="A756" s="1" t="s">
        <v>849</v>
      </c>
      <c r="B756" s="0" t="s">
        <v>98</v>
      </c>
      <c r="F756" s="6" t="n">
        <f aca="false">IF(internal_ai_reading=2,1,0)*Sens!F755</f>
        <v>19.0793824397397</v>
      </c>
      <c r="G756" s="6" t="n">
        <f aca="false">IF(internal_ai_reading=2,1,0)*Sens!G755</f>
        <v>32.5666413649601</v>
      </c>
      <c r="H756" s="6" t="n">
        <f aca="false">IF(internal_ai_reading=2,1,0)*Sens!H755</f>
        <v>47.4063563831308</v>
      </c>
      <c r="I756" s="6" t="n">
        <f aca="false">IF(internal_ai_reading=2,1,0)*Sens!I755</f>
        <v>61.2525090726263</v>
      </c>
      <c r="J756" s="6" t="n">
        <f aca="false">IF(internal_ai_reading=2,1,0)*Sens!J755</f>
        <v>71.009613825577</v>
      </c>
      <c r="K756" s="6" t="n">
        <f aca="false">IF(internal_ai_reading=2,1,0)*Sens!K755</f>
        <v>76.0452576664312</v>
      </c>
    </row>
    <row r="757" customFormat="false" ht="17.15" hidden="false" customHeight="false" outlineLevel="0" collapsed="false">
      <c r="A757" s="0" t="s">
        <v>850</v>
      </c>
      <c r="B757" s="0" t="s">
        <v>98</v>
      </c>
      <c r="F757" s="6" t="n">
        <f aca="false">Sens!F675+Sens!F754*Sens!F734+Sens!F756-Sens!F676-Sens!F686</f>
        <v>19.844331190379</v>
      </c>
      <c r="G757" s="6" t="n">
        <f aca="false">Sens!G675+Sens!G754*Sens!G734+Sens!G756-Sens!G676-Sens!G686</f>
        <v>37.4127563339494</v>
      </c>
      <c r="H757" s="6" t="n">
        <f aca="false">Sens!H675+Sens!H754*Sens!H734+Sens!H756-Sens!H676-Sens!H686</f>
        <v>60.1125491997313</v>
      </c>
      <c r="I757" s="6" t="n">
        <f aca="false">Sens!I675+Sens!I754*Sens!I734+Sens!I756-Sens!I676-Sens!I686</f>
        <v>75.8137633027787</v>
      </c>
      <c r="J757" s="6" t="n">
        <f aca="false">Sens!J675+Sens!J754*Sens!J734+Sens!J756-Sens!J676-Sens!J686</f>
        <v>86.6775106321621</v>
      </c>
      <c r="K757" s="6" t="n">
        <f aca="false">Sens!K675+Sens!K754*Sens!K734+Sens!K756-Sens!K676-Sens!K686</f>
        <v>94.1838065173522</v>
      </c>
    </row>
    <row r="758" customFormat="false" ht="17.15" hidden="false" customHeight="false" outlineLevel="0" collapsed="false">
      <c r="A758" s="0" t="s">
        <v>851</v>
      </c>
      <c r="B758" s="0" t="s">
        <v>98</v>
      </c>
      <c r="E758" s="6" t="n">
        <f aca="false">Sens!E657*(cxit_open+self_build*tk_cxfac)/1000*ai_net_open</f>
        <v>126.6980382</v>
      </c>
      <c r="F758" s="6" t="n">
        <f aca="false">Sens!E758+Sens!F683-Sens!F686</f>
        <v>260.440655514568</v>
      </c>
      <c r="G758" s="6" t="n">
        <f aca="false">Sens!F758+Sens!G683-Sens!G686</f>
        <v>383.533102737428</v>
      </c>
      <c r="H758" s="6" t="n">
        <f aca="false">Sens!G758+Sens!H683-Sens!H686</f>
        <v>483.896072654688</v>
      </c>
      <c r="I758" s="6" t="n">
        <f aca="false">Sens!H758+Sens!I683-Sens!I686</f>
        <v>535.640701826713</v>
      </c>
      <c r="J758" s="6" t="n">
        <f aca="false">Sens!I758+Sens!J683-Sens!J686</f>
        <v>530.994467622137</v>
      </c>
      <c r="K758" s="6" t="n">
        <f aca="false">Sens!J758+Sens!K683-Sens!K686</f>
        <v>506.3312564596</v>
      </c>
      <c r="L758" s="1" t="s">
        <v>852</v>
      </c>
    </row>
    <row r="759" customFormat="false" ht="17.15" hidden="false" customHeight="false" outlineLevel="0" collapsed="false">
      <c r="A759" s="0" t="s">
        <v>853</v>
      </c>
      <c r="B759" s="0" t="s">
        <v>129</v>
      </c>
      <c r="F759" s="7" t="n">
        <f aca="false">Sens!F757*(1-tax_f)/((Sens!E758+Sens!F758)/2)</f>
        <v>0.0820143540805971</v>
      </c>
      <c r="G759" s="7" t="n">
        <f aca="false">Sens!G757*(1-tax_f)/((Sens!F758+Sens!G758)/2)</f>
        <v>0.092954735138283</v>
      </c>
      <c r="H759" s="7" t="n">
        <f aca="false">Sens!H757*(1-tax_f)/((Sens!G758+Sens!H758)/2)</f>
        <v>0.110879460188888</v>
      </c>
      <c r="I759" s="7" t="n">
        <f aca="false">Sens!I757*(1-tax_f)/((Sens!H758+Sens!I758)/2)</f>
        <v>0.118977583075557</v>
      </c>
      <c r="J759" s="7" t="n">
        <f aca="false">Sens!J757*(1-tax_f)/((Sens!I758+Sens!J758)/2)</f>
        <v>0.130020105265346</v>
      </c>
      <c r="K759" s="7" t="n">
        <f aca="false">Sens!K757*(1-tax_f)/((Sens!J758+Sens!K758)/2)</f>
        <v>0.145271718351689</v>
      </c>
    </row>
    <row r="760" customFormat="false" ht="17.15" hidden="false" customHeight="false" outlineLevel="0" collapsed="false">
      <c r="A760" s="1" t="s">
        <v>854</v>
      </c>
      <c r="B760" s="0" t="s">
        <v>129</v>
      </c>
      <c r="F760" s="7" t="n">
        <f aca="false">(Sens!F757-Sens!F756)*(1-tax_f)/((Sens!E758+Sens!F758)/2)</f>
        <v>0.00316144580971601</v>
      </c>
      <c r="G760" s="7" t="n">
        <f aca="false">(Sens!G757-Sens!G756)*(1-tax_f)/((Sens!F758+Sens!G758)/2)</f>
        <v>0.0120405278181361</v>
      </c>
      <c r="H760" s="7" t="n">
        <f aca="false">(Sens!H757-Sens!H756)*(1-tax_f)/((Sens!G758+Sens!H758)/2)</f>
        <v>0.0234369664789875</v>
      </c>
      <c r="I760" s="7" t="n">
        <f aca="false">(Sens!I757-Sens!I756)*(1-tax_f)/((Sens!H758+Sens!I758)/2)</f>
        <v>0.0228515609749288</v>
      </c>
      <c r="J760" s="7" t="n">
        <f aca="false">(Sens!J757-Sens!J756)*(1-tax_f)/((Sens!I758+Sens!J758)/2)</f>
        <v>0.0235025392079371</v>
      </c>
      <c r="K760" s="7" t="n">
        <f aca="false">(Sens!K757-Sens!K756)*(1-tax_f)/((Sens!J758+Sens!K758)/2)</f>
        <v>0.0279774013964266</v>
      </c>
    </row>
    <row r="761" customFormat="false" ht="17.15" hidden="false" customHeight="false" outlineLevel="0" collapsed="false">
      <c r="A761" s="1" t="s">
        <v>855</v>
      </c>
      <c r="B761" s="0" t="s">
        <v>129</v>
      </c>
      <c r="F761" s="7" t="n">
        <f aca="false">(Sens!F757-Sens!F756+Sens!F755)*(1-tax_f)/((Sens!E758+Sens!F758)/2)</f>
        <v>0.0820143540805971</v>
      </c>
      <c r="G761" s="7" t="n">
        <f aca="false">(Sens!G757-Sens!G756+Sens!G755)*(1-tax_f)/((Sens!F758+Sens!G758)/2)</f>
        <v>0.092954735138283</v>
      </c>
      <c r="H761" s="7" t="n">
        <f aca="false">(Sens!H757-Sens!H756+Sens!H755)*(1-tax_f)/((Sens!G758+Sens!H758)/2)</f>
        <v>0.110879460188888</v>
      </c>
      <c r="I761" s="7" t="n">
        <f aca="false">(Sens!I757-Sens!I756+Sens!I755)*(1-tax_f)/((Sens!H758+Sens!I758)/2)</f>
        <v>0.118977583075557</v>
      </c>
      <c r="J761" s="7" t="n">
        <f aca="false">(Sens!J757-Sens!J756+Sens!J755)*(1-tax_f)/((Sens!I758+Sens!J758)/2)</f>
        <v>0.130020105265346</v>
      </c>
      <c r="K761" s="7" t="n">
        <f aca="false">(Sens!K757-Sens!K756+Sens!K755)*(1-tax_f)/((Sens!J758+Sens!K758)/2)</f>
        <v>0.145271718351689</v>
      </c>
    </row>
    <row r="762" customFormat="false" ht="17.15" hidden="false" customHeight="false" outlineLevel="0" collapsed="false">
      <c r="A762" s="1" t="s">
        <v>856</v>
      </c>
      <c r="B762" s="0" t="s">
        <v>129</v>
      </c>
      <c r="F762" s="7" t="n">
        <f aca="false">Sens!F687*(1-tax_f)/(Sens!F674*(Sens!E758+Sens!F758)/2)</f>
        <v>0.0928602210044442</v>
      </c>
      <c r="G762" s="7" t="n">
        <f aca="false">Sens!G687*(1-tax_f)/(Sens!G674*(Sens!F758+Sens!G758)/2)</f>
        <v>0.111710138109788</v>
      </c>
      <c r="H762" s="7" t="n">
        <f aca="false">Sens!H687*(1-tax_f)/(Sens!H674*(Sens!G758+Sens!H758)/2)</f>
        <v>0.13855930279749</v>
      </c>
      <c r="I762" s="7" t="n">
        <f aca="false">Sens!I687*(1-tax_f)/(Sens!I674*(Sens!H758+Sens!I758)/2)</f>
        <v>0.148172662465748</v>
      </c>
      <c r="J762" s="7" t="n">
        <f aca="false">Sens!J687*(1-tax_f)/(Sens!J674*(Sens!I758+Sens!J758)/2)</f>
        <v>0.161706809723992</v>
      </c>
      <c r="K762" s="7" t="n">
        <f aca="false">Sens!K687*(1-tax_f)/(Sens!K674*(Sens!J758+Sens!K758)/2)</f>
        <v>0.180389040912553</v>
      </c>
    </row>
    <row r="763" customFormat="false" ht="17.15" hidden="false" customHeight="false" outlineLevel="0" collapsed="false">
      <c r="A763" s="0" t="s">
        <v>857</v>
      </c>
      <c r="B763" s="0" t="s">
        <v>209</v>
      </c>
      <c r="F763" s="7" t="n">
        <f aca="false">Sens!F759-wacc</f>
        <v>-0.0209200660122786</v>
      </c>
      <c r="G763" s="7" t="n">
        <f aca="false">Sens!G759-wacc</f>
        <v>-0.0099796849545927</v>
      </c>
      <c r="H763" s="7" t="n">
        <f aca="false">Sens!H759-wacc</f>
        <v>0.00794504009601217</v>
      </c>
      <c r="I763" s="7" t="n">
        <f aca="false">Sens!I759-wacc</f>
        <v>0.0160431629826809</v>
      </c>
      <c r="J763" s="7" t="n">
        <f aca="false">Sens!J759-wacc</f>
        <v>0.02708568517247</v>
      </c>
      <c r="K763" s="7" t="n">
        <f aca="false">Sens!K759-wacc</f>
        <v>0.0423372982588128</v>
      </c>
    </row>
    <row r="764" customFormat="false" ht="17.15" hidden="false" customHeight="false" outlineLevel="0" collapsed="false">
      <c r="A764" s="0" t="s">
        <v>858</v>
      </c>
      <c r="B764" s="0" t="s">
        <v>98</v>
      </c>
      <c r="F764" s="6" t="n">
        <f aca="false">Sens!F757*(1-tax_f)-wacc*(Sens!E758+Sens!F758)/2</f>
        <v>-4.04948351420804</v>
      </c>
      <c r="G764" s="6" t="n">
        <f aca="false">Sens!G757*(1-tax_f)-wacc*(Sens!F758+Sens!G758)/2</f>
        <v>-3.21332761318998</v>
      </c>
      <c r="H764" s="6" t="n">
        <f aca="false">Sens!H757*(1-tax_f)-wacc*(Sens!G758+Sens!H758)/2</f>
        <v>3.44587978947057</v>
      </c>
      <c r="I764" s="6" t="n">
        <f aca="false">Sens!I757*(1-tax_f)-wacc*(Sens!H758+Sens!I758)/2</f>
        <v>8.17829731992096</v>
      </c>
      <c r="J764" s="6" t="n">
        <f aca="false">Sens!J757*(1-tax_f)-wacc*(Sens!I758+Sens!J758)/2</f>
        <v>14.4452721967879</v>
      </c>
      <c r="K764" s="6" t="n">
        <f aca="false">Sens!K757*(1-tax_f)-wacc*(Sens!J758+Sens!K758)/2</f>
        <v>21.9587842859938</v>
      </c>
    </row>
    <row r="765" customFormat="false" ht="17.15" hidden="false" customHeight="false" outlineLevel="0" collapsed="false">
      <c r="A765" s="3" t="s">
        <v>1252</v>
      </c>
    </row>
    <row r="766" customFormat="false" ht="15" hidden="false" customHeight="false" outlineLevel="0" collapsed="false">
      <c r="A766" s="4" t="s">
        <v>43</v>
      </c>
      <c r="B766" s="4" t="s">
        <v>65</v>
      </c>
      <c r="C766" s="20" t="s">
        <v>788</v>
      </c>
      <c r="D766" s="20" t="s">
        <v>789</v>
      </c>
      <c r="E766" s="20" t="s">
        <v>790</v>
      </c>
      <c r="F766" s="20" t="s">
        <v>791</v>
      </c>
      <c r="G766" s="20" t="s">
        <v>792</v>
      </c>
      <c r="H766" s="20" t="s">
        <v>793</v>
      </c>
      <c r="I766" s="20" t="s">
        <v>794</v>
      </c>
      <c r="J766" s="20" t="s">
        <v>795</v>
      </c>
      <c r="K766" s="20" t="s">
        <v>796</v>
      </c>
      <c r="L766" s="4" t="s">
        <v>47</v>
      </c>
    </row>
    <row r="767" customFormat="false" ht="15" hidden="false" customHeight="false" outlineLevel="0" collapsed="false">
      <c r="A767" s="1" t="s">
        <v>915</v>
      </c>
      <c r="B767" s="0" t="s">
        <v>98</v>
      </c>
      <c r="F767" s="6" t="n">
        <f aca="false">Sens!F748</f>
        <v>137.776858887037</v>
      </c>
      <c r="G767" s="6" t="n">
        <f aca="false">Sens!G748</f>
        <v>156.777025228236</v>
      </c>
      <c r="H767" s="6" t="n">
        <f aca="false">Sens!H748</f>
        <v>179.056859425792</v>
      </c>
      <c r="I767" s="6" t="n">
        <f aca="false">Sens!I748</f>
        <v>196.235904852808</v>
      </c>
      <c r="J767" s="6" t="n">
        <f aca="false">Sens!J748</f>
        <v>211.904460618772</v>
      </c>
      <c r="K767" s="6" t="n">
        <f aca="false">Sens!K748</f>
        <v>227.119586743873</v>
      </c>
    </row>
    <row r="768" customFormat="false" ht="17.15" hidden="false" customHeight="false" outlineLevel="0" collapsed="false">
      <c r="A768" s="1" t="s">
        <v>937</v>
      </c>
      <c r="B768" s="0" t="s">
        <v>98</v>
      </c>
      <c r="E768" s="6" t="n">
        <f aca="false">Q!M38-Sens!E686</f>
        <v>22.2285940229167</v>
      </c>
      <c r="F768" s="6" t="n">
        <f aca="false">Sens!E768*(1-1/life_nonai)+Sens!F774/life_nonai</f>
        <v>23.5786693435813</v>
      </c>
      <c r="G768" s="6" t="n">
        <f aca="false">Sens!F768*(1-1/life_nonai)+Sens!G774/life_nonai</f>
        <v>25.3810917662621</v>
      </c>
      <c r="H768" s="6" t="n">
        <f aca="false">Sens!G768*(1-1/life_nonai)+Sens!H774/life_nonai</f>
        <v>27.5991339540448</v>
      </c>
      <c r="I768" s="6" t="n">
        <f aca="false">Sens!H768*(1-1/life_nonai)+Sens!I774/life_nonai</f>
        <v>30.1565605898047</v>
      </c>
      <c r="J768" s="6" t="n">
        <f aca="false">Sens!I768*(1-1/life_nonai)+Sens!J774/life_nonai</f>
        <v>32.9614958558616</v>
      </c>
      <c r="K768" s="6" t="n">
        <f aca="false">Sens!J768*(1-1/life_nonai)+Sens!K774/life_nonai</f>
        <v>35.9297165444749</v>
      </c>
      <c r="L768" s="11" t="s">
        <v>938</v>
      </c>
    </row>
    <row r="769" customFormat="false" ht="17.15" hidden="false" customHeight="false" outlineLevel="0" collapsed="false">
      <c r="A769" s="1" t="s">
        <v>939</v>
      </c>
      <c r="B769" s="0" t="s">
        <v>98</v>
      </c>
      <c r="E769" s="6" t="n">
        <f aca="false">Sens!E686+Sens!E768</f>
        <v>38.534</v>
      </c>
      <c r="F769" s="6" t="n">
        <f aca="false">Sens!F686+Sens!F768</f>
        <v>58.306704799451</v>
      </c>
      <c r="G769" s="6" t="n">
        <f aca="false">Sens!G686+Sens!G768</f>
        <v>85.8628250266016</v>
      </c>
      <c r="H769" s="6" t="n">
        <f aca="false">Sens!H686+Sens!H768</f>
        <v>115.316449947184</v>
      </c>
      <c r="I769" s="6" t="n">
        <f aca="false">Sens!I686+Sens!I768</f>
        <v>142.118600572026</v>
      </c>
      <c r="J769" s="6" t="n">
        <f aca="false">Sens!J686+Sens!J768</f>
        <v>162.120206778527</v>
      </c>
      <c r="K769" s="6" t="n">
        <f aca="false">Sens!K686+Sens!K768</f>
        <v>175.552363348948</v>
      </c>
    </row>
    <row r="770" customFormat="false" ht="17.15" hidden="false" customHeight="false" outlineLevel="0" collapsed="false">
      <c r="A770" s="1" t="s">
        <v>940</v>
      </c>
      <c r="B770" s="0" t="s">
        <v>98</v>
      </c>
      <c r="F770" s="6" t="n">
        <f aca="false">Sens!F713*sbc_r</f>
        <v>14.7947436672886</v>
      </c>
      <c r="G770" s="6" t="n">
        <f aca="false">Sens!G713*sbc_r</f>
        <v>17.809462853504</v>
      </c>
      <c r="H770" s="6" t="n">
        <f aca="false">Sens!H713*sbc_r</f>
        <v>21.037246186377</v>
      </c>
      <c r="I770" s="6" t="n">
        <f aca="false">Sens!I713*sbc_r</f>
        <v>23.8195025415232</v>
      </c>
      <c r="J770" s="6" t="n">
        <f aca="false">Sens!J713*sbc_r</f>
        <v>26.0873571268993</v>
      </c>
      <c r="K770" s="6" t="n">
        <f aca="false">Sens!K713*sbc_r</f>
        <v>27.9200278109829</v>
      </c>
    </row>
    <row r="771" customFormat="false" ht="17.15" hidden="false" customHeight="false" outlineLevel="0" collapsed="false">
      <c r="A771" s="1" t="s">
        <v>941</v>
      </c>
      <c r="B771" s="0" t="s">
        <v>98</v>
      </c>
      <c r="F771" s="6" t="n">
        <f aca="false">wc27</f>
        <v>-4.895</v>
      </c>
      <c r="G771" s="6" t="n">
        <f aca="false">wc_f</f>
        <v>0</v>
      </c>
      <c r="H771" s="6" t="n">
        <f aca="false">wc_f</f>
        <v>0</v>
      </c>
      <c r="I771" s="6" t="n">
        <f aca="false">wc_f</f>
        <v>0</v>
      </c>
      <c r="J771" s="6" t="n">
        <f aca="false">wc_f</f>
        <v>0</v>
      </c>
      <c r="K771" s="6" t="n">
        <f aca="false">wc_f</f>
        <v>0</v>
      </c>
      <c r="L771" s="11" t="s">
        <v>942</v>
      </c>
    </row>
    <row r="772" customFormat="false" ht="15" hidden="false" customHeight="false" outlineLevel="0" collapsed="false">
      <c r="A772" s="1" t="s">
        <v>756</v>
      </c>
      <c r="B772" s="0" t="s">
        <v>98</v>
      </c>
      <c r="E772" s="6" t="n">
        <f aca="false">Q!M35</f>
        <v>182.935</v>
      </c>
      <c r="F772" s="6" t="n">
        <f aca="false">Sens!F767+Sens!F769+Sens!F770+Sens!F771</f>
        <v>205.983307353777</v>
      </c>
      <c r="G772" s="6" t="n">
        <f aca="false">Sens!G767+Sens!G769+Sens!G770+Sens!G771</f>
        <v>260.449313108342</v>
      </c>
      <c r="H772" s="6" t="n">
        <f aca="false">Sens!H767+Sens!H769+Sens!H770+Sens!H771</f>
        <v>315.410555559354</v>
      </c>
      <c r="I772" s="6" t="n">
        <f aca="false">Sens!I767+Sens!I769+Sens!I770+Sens!I771</f>
        <v>362.174007966357</v>
      </c>
      <c r="J772" s="6" t="n">
        <f aca="false">Sens!J767+Sens!J769+Sens!J770+Sens!J771</f>
        <v>400.112024524198</v>
      </c>
      <c r="K772" s="6" t="n">
        <f aca="false">Sens!K767+Sens!K769+Sens!K770+Sens!K771</f>
        <v>430.591977903805</v>
      </c>
    </row>
    <row r="773" customFormat="false" ht="17.15" hidden="false" customHeight="false" outlineLevel="0" collapsed="false">
      <c r="A773" s="0" t="s">
        <v>943</v>
      </c>
      <c r="B773" s="0" t="s">
        <v>98</v>
      </c>
      <c r="F773" s="6" t="n">
        <f aca="false">Sens!F683</f>
        <v>168.470652770438</v>
      </c>
      <c r="G773" s="6" t="n">
        <f aca="false">Sens!G683</f>
        <v>183.5741804832</v>
      </c>
      <c r="H773" s="6" t="n">
        <f aca="false">Sens!H683</f>
        <v>188.0802859104</v>
      </c>
      <c r="I773" s="6" t="n">
        <f aca="false">Sens!I683</f>
        <v>163.706669154245</v>
      </c>
      <c r="J773" s="6" t="n">
        <f aca="false">Sens!J683</f>
        <v>124.51247671809</v>
      </c>
      <c r="K773" s="6" t="n">
        <f aca="false">Sens!K683</f>
        <v>114.959435641936</v>
      </c>
    </row>
    <row r="774" customFormat="false" ht="17.15" hidden="false" customHeight="false" outlineLevel="0" collapsed="false">
      <c r="A774" s="1" t="s">
        <v>944</v>
      </c>
      <c r="B774" s="0" t="s">
        <v>98</v>
      </c>
      <c r="E774" s="6" t="n">
        <f aca="false">Sens!E691*cx_azo+Sens!E698*cx_m365+Sens!E699*cx_lic+(Sens!E701+Sens!E703)*cx_ind+Sens!E706*cx_srch+(Sens!E708+Sens!E710)*cx_dev</f>
        <v>30.1846587067718</v>
      </c>
      <c r="F774" s="6" t="n">
        <f aca="false">Sens!F691*cx_azo+Sens!F698*cx_m365+Sens!F699*cx_lic+(Sens!F701+Sens!F703)*cx_ind+Sens!F706*cx_srch+(Sens!F708+Sens!F710)*cx_dev</f>
        <v>35.7293472295625</v>
      </c>
      <c r="G774" s="6" t="n">
        <f aca="false">Sens!G691*cx_azo+Sens!G698*cx_m365+Sens!G699*cx_lic+(Sens!G701+Sens!G703)*cx_ind+Sens!G706*cx_srch+(Sens!G708+Sens!G710)*cx_dev</f>
        <v>41.6028935703892</v>
      </c>
      <c r="H774" s="6" t="n">
        <f aca="false">Sens!H691*cx_azo+Sens!H698*cx_m365+Sens!H699*cx_lic+(Sens!H701+Sens!H703)*cx_ind+Sens!H706*cx_srch+(Sens!H708+Sens!H710)*cx_dev</f>
        <v>47.5615136440897</v>
      </c>
      <c r="I774" s="6" t="n">
        <f aca="false">Sens!I691*cx_azo+Sens!I698*cx_m365+Sens!I699*cx_lic+(Sens!I701+Sens!I703)*cx_ind+Sens!I706*cx_srch+(Sens!I708+Sens!I710)*cx_dev</f>
        <v>53.1734003116439</v>
      </c>
      <c r="J774" s="6" t="n">
        <f aca="false">Sens!J691*cx_azo+Sens!J698*cx_m365+Sens!J699*cx_lic+(Sens!J701+Sens!J703)*cx_ind+Sens!J706*cx_srch+(Sens!J708+Sens!J710)*cx_dev</f>
        <v>58.2059132503738</v>
      </c>
      <c r="K774" s="6" t="n">
        <f aca="false">Sens!K691*cx_azo+Sens!K698*cx_m365+Sens!K699*cx_lic+(Sens!K701+Sens!K703)*cx_ind+Sens!K706*cx_srch+(Sens!K708+Sens!K710)*cx_dev</f>
        <v>62.643702741994</v>
      </c>
    </row>
    <row r="775" customFormat="false" ht="17.15" hidden="false" customHeight="false" outlineLevel="0" collapsed="false">
      <c r="A775" s="1" t="s">
        <v>945</v>
      </c>
      <c r="B775" s="0" t="s">
        <v>98</v>
      </c>
      <c r="E775" s="6" t="n">
        <f aca="false">Q!M42</f>
        <v>145.3</v>
      </c>
      <c r="F775" s="6" t="n">
        <f aca="false">Sens!F773+Sens!F774</f>
        <v>204.2</v>
      </c>
      <c r="G775" s="6" t="n">
        <f aca="false">Sens!G773+Sens!G774</f>
        <v>225.177074053589</v>
      </c>
      <c r="H775" s="6" t="n">
        <f aca="false">Sens!H773+Sens!H774</f>
        <v>235.64179955449</v>
      </c>
      <c r="I775" s="6" t="n">
        <f aca="false">Sens!I773+Sens!I774</f>
        <v>216.880069465889</v>
      </c>
      <c r="J775" s="6" t="n">
        <f aca="false">Sens!J773+Sens!J774</f>
        <v>182.718389968464</v>
      </c>
      <c r="K775" s="6" t="n">
        <f aca="false">Sens!K773+Sens!K774</f>
        <v>177.60313838393</v>
      </c>
      <c r="L775" s="1" t="s">
        <v>946</v>
      </c>
    </row>
    <row r="776" customFormat="false" ht="15" hidden="false" customHeight="false" outlineLevel="0" collapsed="false">
      <c r="A776" s="1" t="s">
        <v>947</v>
      </c>
      <c r="B776" s="0" t="s">
        <v>98</v>
      </c>
      <c r="E776" s="6" t="n">
        <f aca="false">fl_liab</f>
        <v>66.594</v>
      </c>
      <c r="F776" s="6" t="n">
        <f aca="false">Sens!E776-Sens!F777</f>
        <v>62.46973</v>
      </c>
      <c r="G776" s="6" t="n">
        <f aca="false">Sens!F776-Sens!G777</f>
        <v>57.98686785</v>
      </c>
      <c r="H776" s="6" t="n">
        <f aca="false">Sens!G776-Sens!H777</f>
        <v>53.92827690325</v>
      </c>
      <c r="I776" s="6" t="n">
        <f aca="false">Sens!H776-Sens!I777</f>
        <v>49.7850493638962</v>
      </c>
      <c r="J776" s="6" t="n">
        <f aca="false">Sens!I776-Sens!J777</f>
        <v>45.4823765852716</v>
      </c>
      <c r="K776" s="6" t="n">
        <f aca="false">Sens!J776-Sens!K777</f>
        <v>40.9860835316088</v>
      </c>
    </row>
    <row r="777" customFormat="false" ht="15" hidden="false" customHeight="false" outlineLevel="0" collapsed="false">
      <c r="A777" s="1" t="s">
        <v>948</v>
      </c>
      <c r="B777" s="0" t="s">
        <v>98</v>
      </c>
      <c r="F777" s="6" t="n">
        <f aca="false">fl_pay_27-Sens!E776*fl_rate</f>
        <v>4.12427</v>
      </c>
      <c r="G777" s="6" t="n">
        <f aca="false">fl_pay_28-Sens!F776*fl_rate</f>
        <v>4.48286215</v>
      </c>
      <c r="H777" s="6" t="n">
        <f aca="false">fl_pay_29-Sens!G776*fl_rate</f>
        <v>4.05859094675</v>
      </c>
      <c r="I777" s="6" t="n">
        <f aca="false">fl_pay_30-Sens!H776*fl_rate</f>
        <v>4.14322753935375</v>
      </c>
      <c r="J777" s="6" t="n">
        <f aca="false">fl_pay_31-Sens!I776*fl_rate</f>
        <v>4.30267277862467</v>
      </c>
      <c r="K777" s="6" t="n">
        <f aca="false">fl_pay_32-Sens!J776*fl_rate</f>
        <v>4.49629305366278</v>
      </c>
    </row>
    <row r="778" customFormat="false" ht="17.15" hidden="false" customHeight="false" outlineLevel="0" collapsed="false">
      <c r="A778" s="1" t="s">
        <v>949</v>
      </c>
      <c r="B778" s="0" t="s">
        <v>98</v>
      </c>
      <c r="E778" s="6" t="n">
        <f aca="false">Q!M35-Q!M36-Q!M43</f>
        <v>63.886</v>
      </c>
      <c r="F778" s="6" t="n">
        <f aca="false">Sens!F772-Sens!F775-Sens!F777</f>
        <v>-2.34096264622327</v>
      </c>
      <c r="G778" s="6" t="n">
        <f aca="false">Sens!G772-Sens!G775-Sens!G777</f>
        <v>30.7893769047526</v>
      </c>
      <c r="H778" s="6" t="n">
        <f aca="false">Sens!H772-Sens!H775-Sens!H777</f>
        <v>75.7101650581141</v>
      </c>
      <c r="I778" s="6" t="n">
        <f aca="false">Sens!I772-Sens!I775-Sens!I777</f>
        <v>141.150710961114</v>
      </c>
      <c r="J778" s="6" t="n">
        <f aca="false">Sens!J772-Sens!J775-Sens!J777</f>
        <v>213.09096177711</v>
      </c>
      <c r="K778" s="6" t="n">
        <f aca="false">Sens!K772-Sens!K775-Sens!K777</f>
        <v>248.492546466212</v>
      </c>
      <c r="L778" s="11" t="s">
        <v>950</v>
      </c>
    </row>
    <row r="779" customFormat="false" ht="15" hidden="false" customHeight="false" outlineLevel="0" collapsed="false">
      <c r="A779" s="1" t="s">
        <v>951</v>
      </c>
      <c r="B779" s="0" t="s">
        <v>75</v>
      </c>
      <c r="F779" s="8" t="n">
        <f aca="false">dps_27</f>
        <v>3.85</v>
      </c>
      <c r="G779" s="8" t="n">
        <f aca="false">Sens!F779*(1+dps_g)</f>
        <v>4.158</v>
      </c>
      <c r="H779" s="8" t="n">
        <f aca="false">Sens!G779*(1+dps_g)</f>
        <v>4.49064</v>
      </c>
      <c r="I779" s="8" t="n">
        <f aca="false">Sens!H779*(1+dps_g)</f>
        <v>4.8498912</v>
      </c>
      <c r="J779" s="8" t="n">
        <f aca="false">Sens!I779*(1+dps_g)</f>
        <v>5.237882496</v>
      </c>
      <c r="K779" s="8" t="n">
        <f aca="false">Sens!J779*(1+dps_g)</f>
        <v>5.65691309568</v>
      </c>
    </row>
    <row r="780" customFormat="false" ht="17.15" hidden="false" customHeight="false" outlineLevel="0" collapsed="false">
      <c r="A780" s="1" t="s">
        <v>952</v>
      </c>
      <c r="B780" s="0" t="s">
        <v>98</v>
      </c>
      <c r="E780" s="6" t="n">
        <f aca="false">Q!M41</f>
        <v>26.445</v>
      </c>
      <c r="F780" s="6" t="n">
        <f aca="false">Sens!F779*Sens!E789</f>
        <v>28.59395</v>
      </c>
      <c r="G780" s="6" t="n">
        <f aca="false">Sens!G779*Sens!F789</f>
        <v>31.068576</v>
      </c>
      <c r="H780" s="6" t="n">
        <f aca="false">Sens!H779*Sens!G789</f>
        <v>33.75614088</v>
      </c>
      <c r="I780" s="6" t="n">
        <f aca="false">Sens!I779*Sens!H789</f>
        <v>36.5075713903995</v>
      </c>
      <c r="J780" s="6" t="n">
        <f aca="false">Sens!J779*Sens!I789</f>
        <v>39.4965759499509</v>
      </c>
      <c r="K780" s="6" t="n">
        <f aca="false">Sens!K779*Sens!J789</f>
        <v>42.743557251252</v>
      </c>
      <c r="L780" s="1" t="s">
        <v>953</v>
      </c>
    </row>
    <row r="781" customFormat="false" ht="15" hidden="false" customHeight="false" outlineLevel="0" collapsed="false">
      <c r="A781" s="1" t="s">
        <v>954</v>
      </c>
      <c r="B781" s="0" t="s">
        <v>98</v>
      </c>
      <c r="E781" s="6" t="n">
        <f aca="false">Sens!E778-Sens!E780</f>
        <v>37.441</v>
      </c>
      <c r="F781" s="6" t="n">
        <f aca="false">Sens!F778-Sens!F780</f>
        <v>-30.9349126462233</v>
      </c>
      <c r="G781" s="6" t="n">
        <f aca="false">Sens!G778-Sens!G780</f>
        <v>-0.279199095247382</v>
      </c>
      <c r="H781" s="6" t="n">
        <f aca="false">Sens!H778-Sens!H780</f>
        <v>41.9540241781141</v>
      </c>
      <c r="I781" s="6" t="n">
        <f aca="false">Sens!I778-Sens!I780</f>
        <v>104.643139570714</v>
      </c>
      <c r="J781" s="6" t="n">
        <f aca="false">Sens!J778-Sens!J780</f>
        <v>173.594385827159</v>
      </c>
      <c r="K781" s="6" t="n">
        <f aca="false">Sens!K778-Sens!K780</f>
        <v>205.74898921496</v>
      </c>
    </row>
    <row r="782" customFormat="false" ht="15" hidden="false" customHeight="false" outlineLevel="0" collapsed="false">
      <c r="A782" s="1" t="s">
        <v>955</v>
      </c>
      <c r="B782" s="0" t="s">
        <v>98</v>
      </c>
      <c r="F782" s="6" t="n">
        <f aca="false">debt_mat_27</f>
        <v>9.25</v>
      </c>
      <c r="G782" s="6" t="n">
        <f aca="false">debt_mat_28</f>
        <v>0</v>
      </c>
      <c r="H782" s="6" t="n">
        <f aca="false">debt_mat_29</f>
        <v>2.001</v>
      </c>
      <c r="I782" s="6" t="n">
        <f aca="false">debt_mat_30</f>
        <v>0</v>
      </c>
      <c r="J782" s="6" t="n">
        <f aca="false">debt_mat_31</f>
        <v>0.5</v>
      </c>
      <c r="K782" s="6" t="n">
        <f aca="false">debt_mat_32</f>
        <v>0</v>
      </c>
    </row>
    <row r="783" customFormat="false" ht="15" hidden="false" customHeight="false" outlineLevel="0" collapsed="false">
      <c r="A783" s="1" t="s">
        <v>956</v>
      </c>
      <c r="B783" s="0" t="s">
        <v>98</v>
      </c>
      <c r="E783" s="6" t="n">
        <f aca="false">Q!M40</f>
        <v>22.271</v>
      </c>
      <c r="F783" s="6" t="n">
        <f aca="false">MAX(0,MIN(bb_target,Sens!E785+Sens!F781-Sens!F782-min_cash))</f>
        <v>0</v>
      </c>
      <c r="G783" s="6" t="n">
        <f aca="false">MAX(0,MIN(bb_target,Sens!F785+Sens!G781-Sens!G782-min_cash))</f>
        <v>0</v>
      </c>
      <c r="H783" s="6" t="n">
        <f aca="false">MAX(0,MIN(bb_target,Sens!G785+Sens!H781-Sens!H782-min_cash))</f>
        <v>22.271</v>
      </c>
      <c r="I783" s="6" t="n">
        <f aca="false">MAX(0,MIN(bb_target,Sens!H785+Sens!I781-Sens!I782-min_cash))</f>
        <v>22.271</v>
      </c>
      <c r="J783" s="6" t="n">
        <f aca="false">MAX(0,MIN(bb_target,Sens!I785+Sens!J781-Sens!J782-min_cash))</f>
        <v>22.271</v>
      </c>
      <c r="K783" s="6" t="n">
        <f aca="false">MAX(0,MIN(bb_target,Sens!J785+Sens!K781-Sens!K782-min_cash))</f>
        <v>22.271</v>
      </c>
    </row>
    <row r="784" customFormat="false" ht="15" hidden="false" customHeight="false" outlineLevel="0" collapsed="false">
      <c r="A784" s="1" t="s">
        <v>957</v>
      </c>
      <c r="B784" s="0" t="s">
        <v>98</v>
      </c>
      <c r="F784" s="6" t="n">
        <f aca="false">MAX(0,min_cash-(Sens!E785+Sens!F781-Sens!F782-Sens!F783))</f>
        <v>13.3419126462233</v>
      </c>
      <c r="G784" s="6" t="n">
        <f aca="false">MAX(0,min_cash-(Sens!F785+Sens!G781-Sens!G782-Sens!G783))</f>
        <v>0.279199095247378</v>
      </c>
      <c r="H784" s="6" t="n">
        <f aca="false">MAX(0,min_cash-(Sens!G785+Sens!H781-Sens!H782-Sens!H783))</f>
        <v>0</v>
      </c>
      <c r="I784" s="6" t="n">
        <f aca="false">MAX(0,min_cash-(Sens!H785+Sens!I781-Sens!I782-Sens!I783))</f>
        <v>0</v>
      </c>
      <c r="J784" s="6" t="n">
        <f aca="false">MAX(0,min_cash-(Sens!I785+Sens!J781-Sens!J782-Sens!J783))</f>
        <v>0</v>
      </c>
      <c r="K784" s="6" t="n">
        <f aca="false">MAX(0,min_cash-(Sens!J785+Sens!K781-Sens!K782-Sens!K783))</f>
        <v>0</v>
      </c>
    </row>
    <row r="785" customFormat="false" ht="15" hidden="false" customHeight="false" outlineLevel="0" collapsed="false">
      <c r="A785" s="1" t="s">
        <v>958</v>
      </c>
      <c r="B785" s="0" t="s">
        <v>98</v>
      </c>
      <c r="E785" s="6" t="n">
        <f aca="false">cash_open</f>
        <v>76.843</v>
      </c>
      <c r="F785" s="6" t="n">
        <f aca="false">Sens!E785+Sens!F781-Sens!F782-Sens!F783+Sens!F784</f>
        <v>50</v>
      </c>
      <c r="G785" s="6" t="n">
        <f aca="false">Sens!F785+Sens!G781-Sens!G782-Sens!G783+Sens!G784</f>
        <v>50</v>
      </c>
      <c r="H785" s="6" t="n">
        <f aca="false">Sens!G785+Sens!H781-Sens!H782-Sens!H783+Sens!H784</f>
        <v>67.6820241781141</v>
      </c>
      <c r="I785" s="6" t="n">
        <f aca="false">Sens!H785+Sens!I781-Sens!I782-Sens!I783+Sens!I784</f>
        <v>150.054163748828</v>
      </c>
      <c r="J785" s="6" t="n">
        <f aca="false">Sens!I785+Sens!J781-Sens!J782-Sens!J783+Sens!J784</f>
        <v>300.877549575987</v>
      </c>
      <c r="K785" s="6" t="n">
        <f aca="false">Sens!J785+Sens!K781-Sens!K782-Sens!K783+Sens!K784</f>
        <v>484.355538790947</v>
      </c>
    </row>
    <row r="786" customFormat="false" ht="15" hidden="false" customHeight="false" outlineLevel="0" collapsed="false">
      <c r="A786" s="1" t="s">
        <v>959</v>
      </c>
      <c r="B786" s="0" t="s">
        <v>98</v>
      </c>
      <c r="E786" s="6" t="n">
        <f aca="false">debt_face</f>
        <v>46.136</v>
      </c>
      <c r="F786" s="6" t="n">
        <f aca="false">Sens!E786-Sens!F782+Sens!F784</f>
        <v>50.2279126462233</v>
      </c>
      <c r="G786" s="6" t="n">
        <f aca="false">Sens!F786-Sens!G782+Sens!G784</f>
        <v>50.5071117414706</v>
      </c>
      <c r="H786" s="6" t="n">
        <f aca="false">Sens!G786-Sens!H782+Sens!H784</f>
        <v>48.5061117414707</v>
      </c>
      <c r="I786" s="6" t="n">
        <f aca="false">Sens!H786-Sens!I782+Sens!I784</f>
        <v>48.5061117414707</v>
      </c>
      <c r="J786" s="6" t="n">
        <f aca="false">Sens!I786-Sens!J782+Sens!J784</f>
        <v>48.0061117414707</v>
      </c>
      <c r="K786" s="6" t="n">
        <f aca="false">Sens!J786-Sens!K782+Sens!K784</f>
        <v>48.0061117414707</v>
      </c>
    </row>
    <row r="787" customFormat="false" ht="15" hidden="false" customHeight="false" outlineLevel="0" collapsed="false">
      <c r="A787" s="1" t="s">
        <v>960</v>
      </c>
      <c r="B787" s="0" t="s">
        <v>98</v>
      </c>
      <c r="E787" s="6" t="n">
        <f aca="false">Sens!E785-Sens!E786</f>
        <v>30.707</v>
      </c>
      <c r="F787" s="6" t="n">
        <f aca="false">Sens!F785-Sens!F786</f>
        <v>-0.227912646223267</v>
      </c>
      <c r="G787" s="6" t="n">
        <f aca="false">Sens!G785-Sens!G786</f>
        <v>-0.507111741470645</v>
      </c>
      <c r="H787" s="6" t="n">
        <f aca="false">Sens!H785-Sens!H786</f>
        <v>19.1759124366434</v>
      </c>
      <c r="I787" s="6" t="n">
        <f aca="false">Sens!I785-Sens!I786</f>
        <v>101.548052007358</v>
      </c>
      <c r="J787" s="6" t="n">
        <f aca="false">Sens!J785-Sens!J786</f>
        <v>252.871437834516</v>
      </c>
      <c r="K787" s="6" t="n">
        <f aca="false">Sens!K785-Sens!K786</f>
        <v>436.349427049476</v>
      </c>
    </row>
    <row r="788" customFormat="false" ht="15" hidden="false" customHeight="false" outlineLevel="0" collapsed="false">
      <c r="A788" s="1" t="s">
        <v>961</v>
      </c>
      <c r="B788" s="0" t="s">
        <v>75</v>
      </c>
      <c r="F788" s="29" t="n">
        <f aca="false">px*(1+bb_g)^(Sens!F652-base_fy-mid_yr)</f>
        <v>553.494156066711</v>
      </c>
      <c r="G788" s="29" t="n">
        <f aca="false">px*(1+bb_g)^(Sens!G652-base_fy-mid_yr)</f>
        <v>597.773688552047</v>
      </c>
      <c r="H788" s="29" t="n">
        <f aca="false">px*(1+bb_g)^(Sens!H652-base_fy-mid_yr)</f>
        <v>645.595583636211</v>
      </c>
      <c r="I788" s="29" t="n">
        <f aca="false">px*(1+bb_g)^(Sens!I652-base_fy-mid_yr)</f>
        <v>697.243230327108</v>
      </c>
      <c r="J788" s="29" t="n">
        <f aca="false">px*(1+bb_g)^(Sens!J652-base_fy-mid_yr)</f>
        <v>753.022688753277</v>
      </c>
      <c r="K788" s="29" t="n">
        <f aca="false">px*(1+bb_g)^(Sens!K652-base_fy-mid_yr)</f>
        <v>813.264503853539</v>
      </c>
    </row>
    <row r="789" customFormat="false" ht="15" hidden="false" customHeight="false" outlineLevel="0" collapsed="false">
      <c r="A789" s="1" t="s">
        <v>962</v>
      </c>
      <c r="B789" s="1" t="s">
        <v>81</v>
      </c>
      <c r="E789" s="14" t="n">
        <f aca="false">sh_out26</f>
        <v>7.427</v>
      </c>
      <c r="F789" s="14" t="n">
        <f aca="false">Sens!E789+sh_iss-Sens!F783/Sens!F788</f>
        <v>7.472</v>
      </c>
      <c r="G789" s="14" t="n">
        <f aca="false">Sens!F789+sh_iss-Sens!G783/Sens!G788</f>
        <v>7.517</v>
      </c>
      <c r="H789" s="14" t="n">
        <f aca="false">Sens!G789+sh_iss-Sens!H783/Sens!H788</f>
        <v>7.5275031716999</v>
      </c>
      <c r="I789" s="14" t="n">
        <f aca="false">Sens!H789+sh_iss-Sens!I783/Sens!I788</f>
        <v>7.54056166401463</v>
      </c>
      <c r="J789" s="14" t="n">
        <f aca="false">Sens!I789+sh_iss-Sens!J783/Sens!J788</f>
        <v>7.55598619393567</v>
      </c>
      <c r="K789" s="14" t="n">
        <f aca="false">Sens!J789+sh_iss-Sens!K783/Sens!K788</f>
        <v>7.57360149941811</v>
      </c>
    </row>
    <row r="790" customFormat="false" ht="15" hidden="false" customHeight="false" outlineLevel="0" collapsed="false">
      <c r="A790" s="1" t="s">
        <v>963</v>
      </c>
      <c r="B790" s="1" t="s">
        <v>81</v>
      </c>
      <c r="E790" s="14" t="n">
        <f aca="false">sh_dil26</f>
        <v>7.453</v>
      </c>
      <c r="F790" s="14" t="n">
        <f aca="false">(Sens!E789+Sens!F789)/2+dil_gap</f>
        <v>7.4735</v>
      </c>
      <c r="G790" s="14" t="n">
        <f aca="false">(Sens!F789+Sens!G789)/2+dil_gap</f>
        <v>7.5185</v>
      </c>
      <c r="H790" s="14" t="n">
        <f aca="false">(Sens!G789+Sens!H789)/2+dil_gap</f>
        <v>7.54625158584995</v>
      </c>
      <c r="I790" s="14" t="n">
        <f aca="false">(Sens!H789+Sens!I789)/2+dil_gap</f>
        <v>7.55803241785726</v>
      </c>
      <c r="J790" s="14" t="n">
        <f aca="false">(Sens!I789+Sens!J789)/2+dil_gap</f>
        <v>7.57227392897515</v>
      </c>
      <c r="K790" s="14" t="n">
        <f aca="false">(Sens!J789+Sens!K789)/2+dil_gap</f>
        <v>7.58879384667689</v>
      </c>
    </row>
    <row r="791" customFormat="false" ht="17.15" hidden="false" customHeight="false" outlineLevel="0" collapsed="false">
      <c r="A791" s="1" t="s">
        <v>964</v>
      </c>
      <c r="B791" s="0" t="s">
        <v>98</v>
      </c>
      <c r="C791" s="6" t="n">
        <f aca="false">SUM(Sens!F781:J781)</f>
        <v>288.977437834516</v>
      </c>
    </row>
    <row r="792" customFormat="false" ht="15" hidden="false" customHeight="false" outlineLevel="0" collapsed="false">
      <c r="A792" s="23" t="s">
        <v>935</v>
      </c>
      <c r="B792" s="30" t="s">
        <v>98</v>
      </c>
      <c r="C792" s="24" t="n">
        <f aca="false">Sens!$C$791-(Sens!F781+Sens!G781+Sens!H781+Sens!I781+Sens!J781)</f>
        <v>0</v>
      </c>
      <c r="D792" s="30"/>
      <c r="E792" s="30"/>
      <c r="F792" s="30"/>
      <c r="G792" s="30"/>
      <c r="H792" s="30"/>
      <c r="I792" s="30"/>
      <c r="J792" s="30"/>
      <c r="K792" s="30"/>
    </row>
    <row r="793" customFormat="false" ht="17.15" hidden="false" customHeight="false" outlineLevel="0" collapsed="false">
      <c r="A793" s="1" t="s">
        <v>929</v>
      </c>
      <c r="B793" s="1" t="s">
        <v>965</v>
      </c>
      <c r="C793" s="32" t="str">
        <f aca="false">IF(SUM(Sens!F784:J784)&gt;0.05,"需要舉債 "&amp;TEXT(SUM(Sens!F784:J784),"0.0")&amp;" 十億美元","不需舉債")&amp;"；"&amp;IF(SUM(Sens!F783:J783)&lt;COUNT(Sens!F783:J783)*bb_target-0.05,"回購較每年 "&amp;TEXT(bb_target,"0.0")&amp;" 的目標少 "&amp;TEXT(COUNT(Sens!F783:J783)*bb_target-SUM(Sens!F783:J783),"0.0")&amp;" 十億美元（"&amp;TEXT(COUNTIF(Sens!F783:J783,"&lt;"&amp;(bb_target-0.05)),"0")&amp;" 年減少）","回購不減")</f>
        <v>需要舉債 13.6 十億美元；回購較每年 22.3 的目標少 44.5 十億美元（2 年減少）</v>
      </c>
    </row>
    <row r="794" customFormat="false" ht="17.15" hidden="false" customHeight="false" outlineLevel="0" collapsed="false">
      <c r="A794" s="3" t="s">
        <v>1253</v>
      </c>
    </row>
    <row r="795" customFormat="false" ht="15" hidden="false" customHeight="false" outlineLevel="0" collapsed="false">
      <c r="A795" s="4" t="s">
        <v>43</v>
      </c>
      <c r="B795" s="4" t="s">
        <v>65</v>
      </c>
      <c r="C795" s="20" t="s">
        <v>788</v>
      </c>
      <c r="D795" s="20" t="s">
        <v>789</v>
      </c>
      <c r="E795" s="20" t="s">
        <v>790</v>
      </c>
      <c r="F795" s="20" t="s">
        <v>791</v>
      </c>
      <c r="G795" s="20" t="s">
        <v>792</v>
      </c>
      <c r="H795" s="20" t="s">
        <v>793</v>
      </c>
      <c r="I795" s="20" t="s">
        <v>794</v>
      </c>
      <c r="J795" s="20" t="s">
        <v>795</v>
      </c>
      <c r="K795" s="20" t="s">
        <v>796</v>
      </c>
      <c r="L795" s="4" t="s">
        <v>47</v>
      </c>
    </row>
    <row r="796" customFormat="false" ht="15" hidden="false" customHeight="false" outlineLevel="0" collapsed="false">
      <c r="A796" s="1" t="s">
        <v>1042</v>
      </c>
      <c r="B796" s="1" t="s">
        <v>235</v>
      </c>
      <c r="F796" s="36" t="n">
        <f aca="false">Sens!F652-base_fy-mid_yr</f>
        <v>0.5</v>
      </c>
      <c r="G796" s="36" t="n">
        <f aca="false">Sens!G652-base_fy-mid_yr</f>
        <v>1.5</v>
      </c>
      <c r="H796" s="36" t="n">
        <f aca="false">Sens!H652-base_fy-mid_yr</f>
        <v>2.5</v>
      </c>
      <c r="I796" s="36" t="n">
        <f aca="false">Sens!I652-base_fy-mid_yr</f>
        <v>3.5</v>
      </c>
      <c r="J796" s="36" t="n">
        <f aca="false">Sens!J652-base_fy-mid_yr</f>
        <v>4.5</v>
      </c>
      <c r="K796" s="36" t="n">
        <f aca="false">Sens!K652-base_fy-mid_yr</f>
        <v>5.5</v>
      </c>
    </row>
    <row r="797" customFormat="false" ht="15" hidden="false" customHeight="false" outlineLevel="0" collapsed="false">
      <c r="A797" s="1" t="s">
        <v>1043</v>
      </c>
      <c r="B797" s="0" t="s">
        <v>185</v>
      </c>
      <c r="F797" s="14" t="n">
        <f aca="false">1/(1+wacc)^Sens!F796</f>
        <v>0.952193373608246</v>
      </c>
      <c r="G797" s="14" t="n">
        <f aca="false">1/(1+wacc)^Sens!G796</f>
        <v>0.863327280626589</v>
      </c>
      <c r="H797" s="14" t="n">
        <f aca="false">1/(1+wacc)^Sens!H796</f>
        <v>0.782754862754115</v>
      </c>
      <c r="I797" s="14" t="n">
        <f aca="false">1/(1+wacc)^Sens!I796</f>
        <v>0.709702089711011</v>
      </c>
      <c r="J797" s="14" t="n">
        <f aca="false">1/(1+wacc)^Sens!J796</f>
        <v>0.643467169744551</v>
      </c>
      <c r="K797" s="14" t="n">
        <f aca="false">1/(1+wacc)^Sens!K796</f>
        <v>0.583413807767797</v>
      </c>
    </row>
    <row r="798" customFormat="false" ht="17.15" hidden="false" customHeight="false" outlineLevel="0" collapsed="false">
      <c r="A798" s="1" t="s">
        <v>1044</v>
      </c>
      <c r="B798" s="0" t="s">
        <v>98</v>
      </c>
      <c r="F798" s="6" t="n">
        <f aca="false">Sens!F772-Sens!F770-Sens!F775+Sens!F756*(1-tax_f)</f>
        <v>2.25206963827993</v>
      </c>
      <c r="G798" s="6" t="n">
        <f aca="false">Sens!G772-Sens!G770-Sens!G775+Sens!G756*(1-tax_f)</f>
        <v>43.5160892932167</v>
      </c>
      <c r="H798" s="6" t="n">
        <f aca="false">Sens!H772-Sens!H770-Sens!H775+Sens!H756*(1-tax_f)</f>
        <v>96.6565949249917</v>
      </c>
      <c r="I798" s="6" t="n">
        <f aca="false">Sens!I772-Sens!I770-Sens!I775+Sens!I756*(1-tax_f)</f>
        <v>170.476443217045</v>
      </c>
      <c r="J798" s="6" t="n">
        <f aca="false">Sens!J772-Sens!J770-Sens!J775+Sens!J756*(1-tax_f)</f>
        <v>248.113968489297</v>
      </c>
      <c r="K798" s="6" t="n">
        <f aca="false">Sens!K772-Sens!K770-Sens!K775+Sens!K756*(1-tax_f)</f>
        <v>285.905017842037</v>
      </c>
      <c r="L798" s="1" t="s">
        <v>1045</v>
      </c>
    </row>
    <row r="799" customFormat="false" ht="15" hidden="false" customHeight="false" outlineLevel="0" collapsed="false">
      <c r="A799" s="1" t="s">
        <v>1046</v>
      </c>
      <c r="B799" s="0" t="s">
        <v>98</v>
      </c>
      <c r="F799" s="6" t="n">
        <f aca="false">Sens!F798*Sens!F797</f>
        <v>2.14440578647447</v>
      </c>
      <c r="G799" s="6" t="n">
        <f aca="false">Sens!G798*Sens!G797</f>
        <v>37.5686270330166</v>
      </c>
      <c r="H799" s="6" t="n">
        <f aca="false">Sens!H798*Sens!H797</f>
        <v>75.658419694792</v>
      </c>
      <c r="I799" s="6" t="n">
        <f aca="false">Sens!I798*Sens!I797</f>
        <v>120.987487997637</v>
      </c>
      <c r="J799" s="6" t="n">
        <f aca="false">Sens!J798*Sens!J797</f>
        <v>159.653193077896</v>
      </c>
      <c r="K799" s="6" t="n">
        <f aca="false">Sens!K798*Sens!K797</f>
        <v>166.800935119142</v>
      </c>
    </row>
    <row r="800" customFormat="false" ht="17.15" hidden="false" customHeight="false" outlineLevel="0" collapsed="false">
      <c r="A800" s="1" t="s">
        <v>1047</v>
      </c>
      <c r="B800" s="0" t="s">
        <v>98</v>
      </c>
      <c r="C800" s="6" t="n">
        <f aca="false">SUM(Sens!F799:K799)</f>
        <v>562.813068708959</v>
      </c>
    </row>
    <row r="801" customFormat="false" ht="17.15" hidden="false" customHeight="false" outlineLevel="0" collapsed="false">
      <c r="A801" s="1" t="s">
        <v>1048</v>
      </c>
      <c r="B801" s="0" t="s">
        <v>98</v>
      </c>
      <c r="C801" s="6" t="n">
        <f aca="false">Sens!K742*(1+g_tv)*(1-tax_f)</f>
        <v>296.924066663329</v>
      </c>
    </row>
    <row r="802" customFormat="false" ht="17.15" hidden="false" customHeight="false" outlineLevel="0" collapsed="false">
      <c r="A802" s="1" t="s">
        <v>1049</v>
      </c>
      <c r="B802" s="0" t="s">
        <v>98</v>
      </c>
      <c r="C802" s="6" t="n">
        <f aca="false">Sens!$C$801*(1-g_tv/(wacc+ronic_prem))</f>
        <v>210.386230321874</v>
      </c>
    </row>
    <row r="803" customFormat="false" ht="17.15" hidden="false" customHeight="false" outlineLevel="0" collapsed="false">
      <c r="A803" s="1" t="s">
        <v>1050</v>
      </c>
      <c r="B803" s="0" t="s">
        <v>98</v>
      </c>
      <c r="C803" s="6" t="n">
        <f aca="false">Sens!$C$802/(wacc-g_tv)</f>
        <v>2884.59454471517</v>
      </c>
    </row>
    <row r="804" customFormat="false" ht="15" hidden="false" customHeight="false" outlineLevel="0" collapsed="false">
      <c r="A804" s="1" t="s">
        <v>1051</v>
      </c>
      <c r="B804" s="0" t="s">
        <v>98</v>
      </c>
      <c r="C804" s="6" t="n">
        <f aca="false">Sens!$C$803/(1+wacc)^(Sens!K796+mid_yr)</f>
        <v>1602.4579282343</v>
      </c>
    </row>
    <row r="805" customFormat="false" ht="17.15" hidden="false" customHeight="false" outlineLevel="0" collapsed="false">
      <c r="A805" s="0" t="s">
        <v>972</v>
      </c>
      <c r="B805" s="0" t="s">
        <v>98</v>
      </c>
      <c r="C805" s="6" t="n">
        <f aca="false">Sens!$C$800+Sens!$C$804</f>
        <v>2165.27099694326</v>
      </c>
    </row>
    <row r="806" customFormat="false" ht="15" hidden="false" customHeight="false" outlineLevel="0" collapsed="false">
      <c r="A806" s="1" t="s">
        <v>973</v>
      </c>
      <c r="B806" s="0" t="s">
        <v>129</v>
      </c>
      <c r="C806" s="7" t="n">
        <f aca="false">Sens!$C$804/Sens!$C$805</f>
        <v>0.740072688590255</v>
      </c>
    </row>
    <row r="807" customFormat="false" ht="17.15" hidden="false" customHeight="false" outlineLevel="0" collapsed="false">
      <c r="A807" s="1" t="s">
        <v>1052</v>
      </c>
      <c r="B807" s="0" t="s">
        <v>98</v>
      </c>
      <c r="C807" s="6" t="n">
        <f aca="false">Sens!$C$805+Sens!E787-Sens!E776+oai_v</f>
        <v>2299.78399694326</v>
      </c>
    </row>
    <row r="808" customFormat="false" ht="17.15" hidden="false" customHeight="false" outlineLevel="0" collapsed="false">
      <c r="A808" s="0" t="s">
        <v>980</v>
      </c>
      <c r="B808" s="0" t="s">
        <v>75</v>
      </c>
      <c r="C808" s="5" t="n">
        <f aca="false">Sens!$C$807/sh_dil26</f>
        <v>308.571581503188</v>
      </c>
    </row>
    <row r="809" customFormat="false" ht="15" hidden="false" customHeight="false" outlineLevel="0" collapsed="false">
      <c r="A809" s="1" t="s">
        <v>1053</v>
      </c>
      <c r="B809" s="0" t="s">
        <v>75</v>
      </c>
      <c r="C809" s="8" t="n">
        <f aca="false">dps_27+Sens!G779*roll_div_q/q_per_yr</f>
        <v>4.8895</v>
      </c>
    </row>
    <row r="810" customFormat="false" ht="17.15" hidden="false" customHeight="false" outlineLevel="0" collapsed="false">
      <c r="A810" s="0" t="s">
        <v>1054</v>
      </c>
      <c r="B810" s="0" t="s">
        <v>75</v>
      </c>
      <c r="C810" s="5" t="n">
        <f aca="false">Sens!$C$808*(1+wacc)^t_roll-Sens!$C$809</f>
        <v>346.491262916444</v>
      </c>
    </row>
    <row r="811" customFormat="false" ht="17.15" hidden="false" customHeight="false" outlineLevel="0" collapsed="false">
      <c r="A811" s="1" t="s">
        <v>1055</v>
      </c>
      <c r="B811" s="0" t="s">
        <v>129</v>
      </c>
      <c r="F811" s="7" t="n">
        <f aca="false">Sens!F768/(Sens!F713-Sens!F669)</f>
        <v>0.0681773598226415</v>
      </c>
      <c r="G811" s="7" t="n">
        <f aca="false">Sens!G768/(Sens!G713-Sens!G669)</f>
        <v>0.0650385409375172</v>
      </c>
      <c r="H811" s="7" t="n">
        <f aca="false">Sens!H768/(Sens!H713-Sens!H669)</f>
        <v>0.063382542471986</v>
      </c>
      <c r="I811" s="7" t="n">
        <f aca="false">Sens!I768/(Sens!I713-Sens!I669)</f>
        <v>0.0630998138876076</v>
      </c>
      <c r="J811" s="7" t="n">
        <f aca="false">Sens!J768/(Sens!J713-Sens!J669)</f>
        <v>0.0638399980286975</v>
      </c>
      <c r="K811" s="7" t="n">
        <f aca="false">Sens!K768/(Sens!K713-Sens!K669)</f>
        <v>0.0651531082402687</v>
      </c>
    </row>
    <row r="812" customFormat="false" ht="17.15" hidden="false" customHeight="false" outlineLevel="0" collapsed="false">
      <c r="A812" s="0" t="s">
        <v>1056</v>
      </c>
      <c r="B812" s="0" t="s">
        <v>98</v>
      </c>
      <c r="F812" s="6" t="n">
        <f aca="false">Sens!F698*(al_m365+Sens!F811+sbc_r)</f>
        <v>84.944046606333</v>
      </c>
      <c r="G812" s="6" t="n">
        <f aca="false">Sens!G698*(al_m365+Sens!G811+sbc_r)</f>
        <v>99.4236143320739</v>
      </c>
      <c r="H812" s="6" t="n">
        <f aca="false">Sens!H698*(al_m365+Sens!H811+sbc_r)</f>
        <v>114.068697186163</v>
      </c>
      <c r="I812" s="6" t="n">
        <f aca="false">Sens!I698*(al_m365+Sens!I811+sbc_r)</f>
        <v>127.196415789369</v>
      </c>
      <c r="J812" s="6" t="n">
        <f aca="false">Sens!J698*(al_m365+Sens!J811+sbc_r)</f>
        <v>138.619575691419</v>
      </c>
      <c r="K812" s="6" t="n">
        <f aca="false">Sens!K698*(al_m365+Sens!K811+sbc_r)</f>
        <v>149.659768267063</v>
      </c>
      <c r="L812" s="11" t="s">
        <v>1057</v>
      </c>
    </row>
    <row r="813" customFormat="false" ht="17.15" hidden="false" customHeight="false" outlineLevel="0" collapsed="false">
      <c r="A813" s="0" t="s">
        <v>1058</v>
      </c>
      <c r="B813" s="0" t="s">
        <v>98</v>
      </c>
      <c r="F813" s="6" t="n">
        <f aca="false">Sens!F699*(al_lic+Sens!F811+sbc_r)</f>
        <v>33.4285095904825</v>
      </c>
      <c r="G813" s="6" t="n">
        <f aca="false">Sens!G699*(al_lic+Sens!G811+sbc_r)</f>
        <v>34.7161826947861</v>
      </c>
      <c r="H813" s="6" t="n">
        <f aca="false">Sens!H699*(al_lic+Sens!H811+sbc_r)</f>
        <v>35.9223654002493</v>
      </c>
      <c r="I813" s="6" t="n">
        <f aca="false">Sens!I699*(al_lic+Sens!I811+sbc_r)</f>
        <v>37.0298325864501</v>
      </c>
      <c r="J813" s="6" t="n">
        <f aca="false">Sens!J699*(al_lic+Sens!J811+sbc_r)</f>
        <v>38.0103325842314</v>
      </c>
      <c r="K813" s="6" t="n">
        <f aca="false">Sens!K699*(al_lic+Sens!K811+sbc_r)</f>
        <v>38.8303473189322</v>
      </c>
    </row>
    <row r="814" customFormat="false" ht="17.15" hidden="false" customHeight="false" outlineLevel="0" collapsed="false">
      <c r="A814" s="0" t="s">
        <v>1059</v>
      </c>
      <c r="B814" s="0" t="s">
        <v>98</v>
      </c>
      <c r="F814" s="6" t="n">
        <f aca="false">Sens!F701*(al_ind+Sens!F811+sbc_r)</f>
        <v>9.06719306746208</v>
      </c>
      <c r="G814" s="6" t="n">
        <f aca="false">Sens!G701*(al_ind+Sens!G811+sbc_r)</f>
        <v>9.83485541633448</v>
      </c>
      <c r="H814" s="6" t="n">
        <f aca="false">Sens!H701*(al_ind+Sens!H811+sbc_r)</f>
        <v>10.6498544617516</v>
      </c>
      <c r="I814" s="6" t="n">
        <f aca="false">Sens!I701*(al_ind+Sens!I811+sbc_r)</f>
        <v>11.5103515303299</v>
      </c>
      <c r="J814" s="6" t="n">
        <f aca="false">Sens!J701*(al_ind+Sens!J811+sbc_r)</f>
        <v>12.4055032067278</v>
      </c>
      <c r="K814" s="6" t="n">
        <f aca="false">Sens!K701*(al_ind+Sens!K811+sbc_r)</f>
        <v>13.3173308472897</v>
      </c>
    </row>
    <row r="815" customFormat="false" ht="17.15" hidden="false" customHeight="false" outlineLevel="0" collapsed="false">
      <c r="A815" s="0" t="s">
        <v>1060</v>
      </c>
      <c r="B815" s="0" t="s">
        <v>98</v>
      </c>
      <c r="F815" s="6" t="n">
        <f aca="false">Sens!F703*(al_fro+Sens!F811+sbc_r)</f>
        <v>3.56887902446295</v>
      </c>
      <c r="G815" s="6" t="n">
        <f aca="false">Sens!G703*(al_fro+Sens!G811+sbc_r)</f>
        <v>3.77600302676241</v>
      </c>
      <c r="H815" s="6" t="n">
        <f aca="false">Sens!H703*(al_fro+Sens!H811+sbc_r)</f>
        <v>4.01322967965482</v>
      </c>
      <c r="I815" s="6" t="n">
        <f aca="false">Sens!I703*(al_fro+Sens!I811+sbc_r)</f>
        <v>4.28368437397841</v>
      </c>
      <c r="J815" s="6" t="n">
        <f aca="false">Sens!J703*(al_fro+Sens!J811+sbc_r)</f>
        <v>4.58803182845156</v>
      </c>
      <c r="K815" s="6" t="n">
        <f aca="false">Sens!K703*(al_fro+Sens!K811+sbc_r)</f>
        <v>4.92526073140255</v>
      </c>
    </row>
    <row r="816" customFormat="false" ht="17.15" hidden="false" customHeight="false" outlineLevel="0" collapsed="false">
      <c r="A816" s="0" t="s">
        <v>1061</v>
      </c>
      <c r="B816" s="0" t="s">
        <v>98</v>
      </c>
      <c r="F816" s="6" t="n">
        <f aca="false">Sens!F706*(al_srch+Sens!F811+sbc_r)</f>
        <v>11.1981144415922</v>
      </c>
      <c r="G816" s="6" t="n">
        <f aca="false">Sens!G706*(al_srch+Sens!G811+sbc_r)</f>
        <v>12.2607925441521</v>
      </c>
      <c r="H816" s="6" t="n">
        <f aca="false">Sens!H706*(al_srch+Sens!H811+sbc_r)</f>
        <v>13.3712787172501</v>
      </c>
      <c r="I816" s="6" t="n">
        <f aca="false">Sens!I706*(al_srch+Sens!I811+sbc_r)</f>
        <v>14.5205713773955</v>
      </c>
      <c r="J816" s="6" t="n">
        <f aca="false">Sens!J706*(al_srch+Sens!J811+sbc_r)</f>
        <v>15.6873363367184</v>
      </c>
      <c r="K816" s="6" t="n">
        <f aca="false">Sens!K706*(al_srch+Sens!K811+sbc_r)</f>
        <v>16.8403848378749</v>
      </c>
    </row>
    <row r="817" customFormat="false" ht="17.15" hidden="false" customHeight="false" outlineLevel="0" collapsed="false">
      <c r="A817" s="0" t="s">
        <v>1062</v>
      </c>
      <c r="B817" s="0" t="s">
        <v>98</v>
      </c>
      <c r="F817" s="6" t="n">
        <f aca="false">Sens!F675-Sens!F676+Sens!F756</f>
        <v>46.8644424093918</v>
      </c>
      <c r="G817" s="6" t="n">
        <f aca="false">Sens!G675-Sens!G676+Sens!G756</f>
        <v>85.0479491995273</v>
      </c>
      <c r="H817" s="6" t="n">
        <f aca="false">Sens!H675-Sens!H676+Sens!H756</f>
        <v>129.844708640205</v>
      </c>
      <c r="I817" s="6" t="n">
        <f aca="false">Sens!I675-Sens!I676+Sens!I756</f>
        <v>165.936684613905</v>
      </c>
      <c r="J817" s="6" t="n">
        <f aca="false">Sens!J675-Sens!J676+Sens!J756</f>
        <v>191.427794804781</v>
      </c>
      <c r="K817" s="6" t="n">
        <f aca="false">Sens!K675-Sens!K676+Sens!K756</f>
        <v>206.828718492826</v>
      </c>
    </row>
    <row r="818" customFormat="false" ht="17.15" hidden="false" customHeight="false" outlineLevel="0" collapsed="false">
      <c r="A818" s="0" t="s">
        <v>1063</v>
      </c>
      <c r="B818" s="0" t="s">
        <v>98</v>
      </c>
      <c r="F818" s="6" t="n">
        <f aca="false">Sens!F735+Sens!F756+Sens!F686+Sens!F811*(Sens!F705-Sens!F669)+sbc_r*Sens!F705</f>
        <v>238.630111333975</v>
      </c>
      <c r="G818" s="6" t="n">
        <f aca="false">Sens!G735+Sens!G756+Sens!G686+Sens!G811*(Sens!G705-Sens!G669)+sbc_r*Sens!G705</f>
        <v>305.852091004917</v>
      </c>
      <c r="H818" s="6" t="n">
        <f aca="false">Sens!H735+Sens!H756+Sens!H686+Sens!H811*(Sens!H705-Sens!H669)+sbc_r*Sens!H705</f>
        <v>380.361009306837</v>
      </c>
      <c r="I818" s="6" t="n">
        <f aca="false">Sens!I735+Sens!I756+Sens!I686+Sens!I811*(Sens!I705-Sens!I669)+sbc_r*Sens!I705</f>
        <v>444.155862599093</v>
      </c>
      <c r="J818" s="6" t="n">
        <f aca="false">Sens!J735+Sens!J756+Sens!J686+Sens!J811*(Sens!J705-Sens!J669)+sbc_r*Sens!J705</f>
        <v>494.450253665478</v>
      </c>
      <c r="K818" s="6" t="n">
        <f aca="false">Sens!K735+Sens!K756+Sens!K686+Sens!K811*(Sens!K705-Sens!K669)+sbc_r*Sens!K705</f>
        <v>532.287899353821</v>
      </c>
    </row>
    <row r="819" customFormat="false" ht="17.15" hidden="false" customHeight="false" outlineLevel="0" collapsed="false">
      <c r="A819" s="0" t="s">
        <v>1064</v>
      </c>
      <c r="B819" s="0" t="s">
        <v>98</v>
      </c>
      <c r="F819" s="6" t="n">
        <f aca="false">Sens!F818-Sens!F812-Sens!F813-Sens!F814-Sens!F815-Sens!F817</f>
        <v>60.7570406358432</v>
      </c>
      <c r="G819" s="6" t="n">
        <f aca="false">Sens!G818-Sens!G812-Sens!G813-Sens!G814-Sens!G815-Sens!G817</f>
        <v>73.0534863354323</v>
      </c>
      <c r="H819" s="6" t="n">
        <f aca="false">Sens!H818-Sens!H812-Sens!H813-Sens!H814-Sens!H815-Sens!H817</f>
        <v>85.8621539388142</v>
      </c>
      <c r="I819" s="6" t="n">
        <f aca="false">Sens!I818-Sens!I812-Sens!I813-Sens!I814-Sens!I815-Sens!I817</f>
        <v>98.1988937050602</v>
      </c>
      <c r="J819" s="6" t="n">
        <f aca="false">Sens!J818-Sens!J812-Sens!J813-Sens!J814-Sens!J815-Sens!J817</f>
        <v>109.399015549868</v>
      </c>
      <c r="K819" s="6" t="n">
        <f aca="false">Sens!K818-Sens!K812-Sens!K813-Sens!K814-Sens!K815-Sens!K817</f>
        <v>118.726473696308</v>
      </c>
    </row>
    <row r="820" customFormat="false" ht="17.15" hidden="false" customHeight="false" outlineLevel="0" collapsed="false">
      <c r="A820" s="0" t="s">
        <v>1065</v>
      </c>
      <c r="B820" s="0" t="s">
        <v>98</v>
      </c>
      <c r="F820" s="6" t="n">
        <f aca="false">Sens!F737+Sens!F811*Sens!F712+sbc_r*Sens!F712</f>
        <v>26.1717931813002</v>
      </c>
      <c r="G820" s="6" t="n">
        <f aca="false">Sens!G737+Sens!G811*Sens!G712+sbc_r*Sens!G712</f>
        <v>26.7581197754446</v>
      </c>
      <c r="H820" s="6" t="n">
        <f aca="false">Sens!H737+Sens!H811*Sens!H712+sbc_r*Sens!H712</f>
        <v>27.6201174920951</v>
      </c>
      <c r="I820" s="6" t="n">
        <f aca="false">Sens!I737+Sens!I811*Sens!I712+sbc_r*Sens!I712</f>
        <v>28.7296306530919</v>
      </c>
      <c r="J820" s="6" t="n">
        <f aca="false">Sens!J737+Sens!J811*Sens!J712+sbc_r*Sens!J712</f>
        <v>30.04749983899</v>
      </c>
      <c r="K820" s="6" t="n">
        <f aca="false">Sens!K737+Sens!K811*Sens!K712+sbc_r*Sens!K712</f>
        <v>31.5292329023825</v>
      </c>
    </row>
    <row r="821" customFormat="false" ht="17.15" hidden="false" customHeight="false" outlineLevel="0" collapsed="false">
      <c r="A821" s="0" t="s">
        <v>1066</v>
      </c>
      <c r="B821" s="0" t="s">
        <v>98</v>
      </c>
      <c r="F821" s="6" t="n">
        <f aca="false">(Sens!F820-Sens!F816)*Sens!F708/(Sens!F708+Sens!F710)</f>
        <v>8.20842484359027</v>
      </c>
      <c r="G821" s="6" t="n">
        <f aca="false">(Sens!G820-Sens!G816)*Sens!G708/(Sens!G708+Sens!G710)</f>
        <v>7.80559384110416</v>
      </c>
      <c r="H821" s="6" t="n">
        <f aca="false">(Sens!H820-Sens!H816)*Sens!H708/(Sens!H708+Sens!H710)</f>
        <v>7.56817041839156</v>
      </c>
      <c r="I821" s="6" t="n">
        <f aca="false">(Sens!I820-Sens!I816)*Sens!I708/(Sens!I708+Sens!I710)</f>
        <v>7.47875608696462</v>
      </c>
      <c r="J821" s="6" t="n">
        <f aca="false">(Sens!J820-Sens!J816)*Sens!J708/(Sens!J708+Sens!J710)</f>
        <v>7.52410955955578</v>
      </c>
      <c r="K821" s="6" t="n">
        <f aca="false">(Sens!K820-Sens!K816)*Sens!K708/(Sens!K708+Sens!K710)</f>
        <v>7.6963261681206</v>
      </c>
    </row>
    <row r="822" customFormat="false" ht="17.15" hidden="false" customHeight="false" outlineLevel="0" collapsed="false">
      <c r="A822" s="0" t="s">
        <v>1067</v>
      </c>
      <c r="B822" s="0" t="s">
        <v>98</v>
      </c>
      <c r="F822" s="6" t="n">
        <f aca="false">Sens!F820-Sens!F816-Sens!F821</f>
        <v>6.76525389611778</v>
      </c>
      <c r="G822" s="6" t="n">
        <f aca="false">Sens!G820-Sens!G816-Sens!G821</f>
        <v>6.69173339018827</v>
      </c>
      <c r="H822" s="6" t="n">
        <f aca="false">Sens!H820-Sens!H816-Sens!H821</f>
        <v>6.68066835645346</v>
      </c>
      <c r="I822" s="6" t="n">
        <f aca="false">Sens!I820-Sens!I816-Sens!I821</f>
        <v>6.73030318873177</v>
      </c>
      <c r="J822" s="6" t="n">
        <f aca="false">Sens!J820-Sens!J816-Sens!J821</f>
        <v>6.83605394271588</v>
      </c>
      <c r="K822" s="6" t="n">
        <f aca="false">Sens!K820-Sens!K816-Sens!K821</f>
        <v>6.99252189638696</v>
      </c>
    </row>
    <row r="823" customFormat="false" ht="17.15" hidden="false" customHeight="false" outlineLevel="0" collapsed="false">
      <c r="A823" s="0" t="s">
        <v>1068</v>
      </c>
      <c r="B823" s="0" t="s">
        <v>98</v>
      </c>
      <c r="F823" s="6" t="n">
        <f aca="false">Sens!F817-tax_f*(Sens!F817-Sens!F686)-Sens!F683</f>
        <v>-124.03349175175</v>
      </c>
      <c r="G823" s="6" t="n">
        <f aca="false">Sens!G817-tax_f*(Sens!G817-Sens!G686)-Sens!G683</f>
        <v>-103.43947447151</v>
      </c>
      <c r="H823" s="6" t="n">
        <f aca="false">Sens!H817-tax_f*(Sens!H817-Sens!H686)-Sens!H683</f>
        <v>-66.6610557996084</v>
      </c>
      <c r="I823" s="6" t="n">
        <f aca="false">Sens!I817-tax_f*(Sens!I817-Sens!I686)-Sens!I683</f>
        <v>-8.56491346667718</v>
      </c>
      <c r="J823" s="6" t="n">
        <f aca="false">Sens!J817-tax_f*(Sens!J817-Sens!J686)-Sens!J683</f>
        <v>54.4615013102672</v>
      </c>
      <c r="K823" s="6" t="n">
        <f aca="false">Sens!K817-tax_f*(Sens!K817-Sens!K686)-Sens!K683</f>
        <v>78.4280685132197</v>
      </c>
    </row>
    <row r="824" customFormat="false" ht="17.15" hidden="false" customHeight="false" outlineLevel="0" collapsed="false">
      <c r="A824" s="0" t="s">
        <v>1069</v>
      </c>
      <c r="B824" s="0" t="s">
        <v>98</v>
      </c>
      <c r="F824" s="6" t="n">
        <f aca="false">Sens!F823*Sens!F797</f>
        <v>-118.10386895151</v>
      </c>
      <c r="G824" s="6" t="n">
        <f aca="false">Sens!G823*Sens!G797</f>
        <v>-89.3021202049324</v>
      </c>
      <c r="H824" s="6" t="n">
        <f aca="false">Sens!H823*Sens!H797</f>
        <v>-52.1792655834669</v>
      </c>
      <c r="I824" s="6" t="n">
        <f aca="false">Sens!I823*Sens!I797</f>
        <v>-6.07853698549477</v>
      </c>
      <c r="J824" s="6" t="n">
        <f aca="false">Sens!J823*Sens!J797</f>
        <v>35.0441881081568</v>
      </c>
      <c r="K824" s="6" t="n">
        <f aca="false">Sens!K823*Sens!K797</f>
        <v>45.7560180871711</v>
      </c>
    </row>
    <row r="825" customFormat="false" ht="17.15" hidden="false" customHeight="false" outlineLevel="0" collapsed="false">
      <c r="A825" s="0" t="s">
        <v>1070</v>
      </c>
      <c r="B825" s="0" t="s">
        <v>98</v>
      </c>
      <c r="C825" s="6" t="n">
        <f aca="false">(Sens!K817-Sens!K686)*(1-tax_f)*(1+g_tv)*(1-g_tv/(wacc+ronic_prem))/(wacc-g_tv)/(1+wacc)^(Sens!K796+mid_yr)</f>
        <v>298.866308066116</v>
      </c>
    </row>
    <row r="826" customFormat="false" ht="17.15" hidden="false" customHeight="false" outlineLevel="0" collapsed="false">
      <c r="A826" s="1" t="s">
        <v>1071</v>
      </c>
      <c r="B826" s="0" t="s">
        <v>98</v>
      </c>
      <c r="C826" s="6" t="n">
        <f aca="false">(SUM(Sens!F824:K824)+Sens!$C$825)*(1+wacc)^t_roll</f>
        <v>129.818706648628</v>
      </c>
      <c r="L826" s="11" t="s">
        <v>1072</v>
      </c>
    </row>
    <row r="827" customFormat="false" ht="17.15" hidden="false" customHeight="false" outlineLevel="0" collapsed="false">
      <c r="A827" s="1" t="s">
        <v>1073</v>
      </c>
      <c r="B827" s="0" t="s">
        <v>98</v>
      </c>
      <c r="C827" s="6" t="n">
        <f aca="false">(w_ntm28*Sens!G675+(1-w_ntm28)*Sens!H675)*m_ai</f>
        <v>446.391736450336</v>
      </c>
    </row>
    <row r="828" customFormat="false" ht="17.15" hidden="false" customHeight="false" outlineLevel="0" collapsed="false">
      <c r="A828" s="1" t="s">
        <v>1074</v>
      </c>
      <c r="B828" s="0" t="s">
        <v>98</v>
      </c>
      <c r="C828" s="6" t="n">
        <f aca="false">(w_ntm28*Sens!G819+(1-w_ntm28)*Sens!H819)*m_cloud</f>
        <v>1066.82620247318</v>
      </c>
    </row>
    <row r="829" customFormat="false" ht="17.15" hidden="false" customHeight="false" outlineLevel="0" collapsed="false">
      <c r="A829" s="1" t="s">
        <v>1075</v>
      </c>
      <c r="B829" s="0" t="s">
        <v>98</v>
      </c>
      <c r="C829" s="6" t="n">
        <f aca="false">(w_ntm28*Sens!G812+(1-w_ntm28)*Sens!H812)*m_sw</f>
        <v>1124.90844188024</v>
      </c>
    </row>
    <row r="830" customFormat="false" ht="17.15" hidden="false" customHeight="false" outlineLevel="0" collapsed="false">
      <c r="A830" s="1" t="s">
        <v>1076</v>
      </c>
      <c r="B830" s="0" t="s">
        <v>98</v>
      </c>
      <c r="C830" s="6" t="n">
        <f aca="false">(w_ntm28*Sens!G813+(1-w_ntm28)*Sens!H813)*m_sw</f>
        <v>379.14616828134</v>
      </c>
    </row>
    <row r="831" customFormat="false" ht="17.15" hidden="false" customHeight="false" outlineLevel="0" collapsed="false">
      <c r="A831" s="1" t="s">
        <v>1077</v>
      </c>
      <c r="B831" s="0" t="s">
        <v>98</v>
      </c>
      <c r="C831" s="6" t="n">
        <f aca="false">(w_ntm28*Sens!G814+(1-w_ntm28)*Sens!H814)*m_sw</f>
        <v>109.062013245671</v>
      </c>
    </row>
    <row r="832" customFormat="false" ht="17.15" hidden="false" customHeight="false" outlineLevel="0" collapsed="false">
      <c r="A832" s="1" t="s">
        <v>1078</v>
      </c>
      <c r="B832" s="0" t="s">
        <v>98</v>
      </c>
      <c r="C832" s="6" t="n">
        <f aca="false">(w_ntm28*Sens!G815+(1-w_ntm28)*Sens!H815)*m_sw</f>
        <v>41.609111172448</v>
      </c>
    </row>
    <row r="833" customFormat="false" ht="17.15" hidden="false" customHeight="false" outlineLevel="0" collapsed="false">
      <c r="A833" s="1" t="s">
        <v>1079</v>
      </c>
      <c r="B833" s="0" t="s">
        <v>98</v>
      </c>
      <c r="C833" s="6" t="n">
        <f aca="false">(w_ntm28*Sens!G816+(1-w_ntm28)*Sens!H816)*m_ads</f>
        <v>114.966369190532</v>
      </c>
    </row>
    <row r="834" customFormat="false" ht="17.15" hidden="false" customHeight="false" outlineLevel="0" collapsed="false">
      <c r="A834" s="1" t="s">
        <v>1080</v>
      </c>
      <c r="B834" s="0" t="s">
        <v>98</v>
      </c>
      <c r="C834" s="6" t="n">
        <f aca="false">(w_ntm28*Sens!G821+(1-w_ntm28)*Sens!H821)*m_game</f>
        <v>97.6152211068291</v>
      </c>
    </row>
    <row r="835" customFormat="false" ht="17.15" hidden="false" customHeight="false" outlineLevel="0" collapsed="false">
      <c r="A835" s="1" t="s">
        <v>1081</v>
      </c>
      <c r="B835" s="0" t="s">
        <v>98</v>
      </c>
      <c r="C835" s="6" t="n">
        <f aca="false">(w_ntm28*Sens!G822+(1-w_ntm28)*Sens!H822)*m_pc</f>
        <v>96.7776202313644</v>
      </c>
    </row>
    <row r="836" customFormat="false" ht="17.15" hidden="false" customHeight="false" outlineLevel="0" collapsed="false">
      <c r="A836" s="1" t="s">
        <v>1082</v>
      </c>
      <c r="B836" s="0" t="s">
        <v>98</v>
      </c>
      <c r="C836" s="6" t="n">
        <f aca="false">Sens!$C$826+Sens!$C$828+Sens!$C$829+Sens!$C$830+Sens!$C$831+Sens!$C$832+Sens!$C$833+Sens!$C$834+Sens!$C$835</f>
        <v>3160.72985423023</v>
      </c>
    </row>
    <row r="837" customFormat="false" ht="17.15" hidden="false" customHeight="false" outlineLevel="0" collapsed="false">
      <c r="A837" s="1" t="s">
        <v>1000</v>
      </c>
      <c r="B837" s="0" t="s">
        <v>98</v>
      </c>
      <c r="C837" s="6" t="n">
        <f aca="false">Sens!F787+oai_v-Sens!F776</f>
        <v>107.702357353777</v>
      </c>
      <c r="L837" s="1" t="s">
        <v>1083</v>
      </c>
    </row>
    <row r="838" customFormat="false" ht="15" hidden="false" customHeight="false" outlineLevel="0" collapsed="false">
      <c r="A838" s="1" t="s">
        <v>1001</v>
      </c>
      <c r="B838" s="0" t="s">
        <v>75</v>
      </c>
      <c r="C838" s="5" t="n">
        <f aca="false">(Sens!$C$836+Sens!$C$837)/Sens!F789</f>
        <v>437.424011186297</v>
      </c>
    </row>
    <row r="839" customFormat="false" ht="17.15" hidden="false" customHeight="false" outlineLevel="0" collapsed="false">
      <c r="A839" s="1" t="s">
        <v>1084</v>
      </c>
      <c r="B839" s="0" t="s">
        <v>75</v>
      </c>
      <c r="C839" s="5" t="n">
        <f aca="false">w_dcf*Sens!$C$810+(1-w_dcf)*Sens!$C$838</f>
        <v>391.957637051371</v>
      </c>
    </row>
    <row r="840" customFormat="false" ht="17.15" hidden="false" customHeight="false" outlineLevel="0" collapsed="false">
      <c r="A840" s="3" t="s">
        <v>1254</v>
      </c>
    </row>
    <row r="841" customFormat="false" ht="15" hidden="false" customHeight="false" outlineLevel="0" collapsed="false">
      <c r="A841" s="4" t="s">
        <v>43</v>
      </c>
      <c r="B841" s="4" t="s">
        <v>65</v>
      </c>
      <c r="C841" s="20" t="s">
        <v>788</v>
      </c>
      <c r="D841" s="20" t="s">
        <v>789</v>
      </c>
      <c r="E841" s="20" t="s">
        <v>790</v>
      </c>
      <c r="F841" s="20" t="s">
        <v>791</v>
      </c>
      <c r="G841" s="20" t="s">
        <v>792</v>
      </c>
      <c r="H841" s="20" t="s">
        <v>793</v>
      </c>
      <c r="I841" s="20" t="s">
        <v>794</v>
      </c>
      <c r="J841" s="20" t="s">
        <v>795</v>
      </c>
      <c r="K841" s="20" t="s">
        <v>796</v>
      </c>
      <c r="L841" s="4" t="s">
        <v>47</v>
      </c>
    </row>
    <row r="842" customFormat="false" ht="17.15" hidden="false" customHeight="false" outlineLevel="0" collapsed="false">
      <c r="A842" s="1" t="s">
        <v>797</v>
      </c>
      <c r="B842" s="1" t="s">
        <v>235</v>
      </c>
      <c r="C842" s="28" t="n">
        <v>2024</v>
      </c>
      <c r="D842" s="28" t="n">
        <v>2025</v>
      </c>
      <c r="E842" s="28" t="n">
        <v>2026</v>
      </c>
      <c r="F842" s="28" t="n">
        <v>2027</v>
      </c>
      <c r="G842" s="28" t="n">
        <v>2028</v>
      </c>
      <c r="H842" s="28" t="n">
        <v>2029</v>
      </c>
      <c r="I842" s="28" t="n">
        <v>2030</v>
      </c>
      <c r="J842" s="28" t="n">
        <v>2031</v>
      </c>
      <c r="K842" s="28" t="n">
        <v>2032</v>
      </c>
    </row>
    <row r="843" customFormat="false" ht="17.15" hidden="false" customHeight="false" outlineLevel="0" collapsed="false">
      <c r="A843" s="1" t="s">
        <v>798</v>
      </c>
      <c r="B843" s="0" t="s">
        <v>392</v>
      </c>
      <c r="F843" s="29" t="n">
        <f aca="false">pace</f>
        <v>2527.2</v>
      </c>
      <c r="G843" s="29" t="n">
        <f aca="false">pace</f>
        <v>2527.2</v>
      </c>
      <c r="H843" s="29" t="n">
        <f aca="false">pace</f>
        <v>2527.2</v>
      </c>
      <c r="I843" s="29" t="n">
        <f aca="false">pace+(g_tv*Sens!H844-pace)*MIN(1,(Sens!I842-pace_y0)/(pace_y1-pace_y0))</f>
        <v>1793.116</v>
      </c>
      <c r="J843" s="29" t="n">
        <f aca="false">pace+(g_tv*Sens!H844-pace)*MIN(1,(Sens!J842-pace_y0)/(pace_y1-pace_y0))</f>
        <v>1059.032</v>
      </c>
      <c r="K843" s="29" t="n">
        <f aca="false">pace+(g_tv*Sens!H844-pace)*MIN(1,(Sens!K842-pace_y0)/(pace_y1-pace_y0))</f>
        <v>324.948</v>
      </c>
      <c r="L843" s="11" t="s">
        <v>799</v>
      </c>
    </row>
    <row r="844" customFormat="false" ht="17.15" hidden="false" customHeight="false" outlineLevel="0" collapsed="false">
      <c r="A844" s="1" t="s">
        <v>800</v>
      </c>
      <c r="B844" s="0" t="s">
        <v>392</v>
      </c>
      <c r="C844" s="29" t="n">
        <f aca="false">mw_ext_24</f>
        <v>640</v>
      </c>
      <c r="D844" s="29" t="n">
        <f aca="false">mw_ext_25</f>
        <v>1630</v>
      </c>
      <c r="E844" s="29" t="n">
        <f aca="false">mw_ext_26</f>
        <v>3250</v>
      </c>
      <c r="F844" s="29" t="n">
        <f aca="false">Sens!E844+Sens!F843</f>
        <v>5777.2</v>
      </c>
      <c r="G844" s="29" t="n">
        <f aca="false">Sens!F844+Sens!G843</f>
        <v>8304.4</v>
      </c>
      <c r="H844" s="29" t="n">
        <f aca="false">Sens!G844+Sens!H843</f>
        <v>10831.6</v>
      </c>
      <c r="I844" s="29" t="n">
        <f aca="false">Sens!H844+Sens!I843</f>
        <v>12624.716</v>
      </c>
      <c r="J844" s="29" t="n">
        <f aca="false">Sens!I844+Sens!J843</f>
        <v>13683.748</v>
      </c>
      <c r="K844" s="29" t="n">
        <f aca="false">Sens!J844+Sens!K843</f>
        <v>14008.696</v>
      </c>
      <c r="L844" s="1" t="s">
        <v>801</v>
      </c>
    </row>
    <row r="845" customFormat="false" ht="17.15" hidden="false" customHeight="false" outlineLevel="0" collapsed="false">
      <c r="A845" s="1" t="s">
        <v>802</v>
      </c>
      <c r="B845" s="0" t="s">
        <v>392</v>
      </c>
      <c r="C845" s="29" t="n">
        <f aca="false">rent_ext_24</f>
        <v>150</v>
      </c>
      <c r="D845" s="29" t="n">
        <f aca="false">rent_ext_25</f>
        <v>400</v>
      </c>
      <c r="E845" s="29" t="n">
        <f aca="false">rent_ext_26</f>
        <v>550</v>
      </c>
      <c r="F845" s="29" t="n">
        <f aca="false">rent_ext_f</f>
        <v>756</v>
      </c>
      <c r="G845" s="29" t="n">
        <f aca="false">rent_ext_f</f>
        <v>756</v>
      </c>
      <c r="H845" s="29" t="n">
        <f aca="false">rent_ext_f</f>
        <v>756</v>
      </c>
      <c r="I845" s="29" t="n">
        <f aca="false">rent_ext_f</f>
        <v>756</v>
      </c>
      <c r="J845" s="29" t="n">
        <f aca="false">rent_ext_f</f>
        <v>756</v>
      </c>
      <c r="K845" s="29" t="n">
        <f aca="false">rent_ext_f</f>
        <v>756</v>
      </c>
      <c r="L845" s="1" t="s">
        <v>803</v>
      </c>
    </row>
    <row r="846" customFormat="false" ht="17.15" hidden="false" customHeight="false" outlineLevel="0" collapsed="false">
      <c r="A846" s="1" t="s">
        <v>804</v>
      </c>
      <c r="B846" s="0" t="s">
        <v>392</v>
      </c>
      <c r="C846" s="29" t="n">
        <f aca="false">Sens!C844-Sens!C845</f>
        <v>490</v>
      </c>
      <c r="D846" s="29" t="n">
        <f aca="false">Sens!D844-Sens!D845</f>
        <v>1230</v>
      </c>
      <c r="E846" s="29" t="n">
        <f aca="false">Sens!E844-Sens!E845</f>
        <v>2700</v>
      </c>
      <c r="F846" s="29" t="n">
        <f aca="false">Sens!F844-Sens!F845</f>
        <v>5021.2</v>
      </c>
      <c r="G846" s="29" t="n">
        <f aca="false">Sens!G844-Sens!G845</f>
        <v>7548.4</v>
      </c>
      <c r="H846" s="29" t="n">
        <f aca="false">Sens!H844-Sens!H845</f>
        <v>10075.6</v>
      </c>
      <c r="I846" s="29" t="n">
        <f aca="false">Sens!I844-Sens!I845</f>
        <v>11868.716</v>
      </c>
      <c r="J846" s="29" t="n">
        <f aca="false">Sens!J844-Sens!J845</f>
        <v>12927.748</v>
      </c>
      <c r="K846" s="29" t="n">
        <f aca="false">Sens!K844-Sens!K845</f>
        <v>13252.696</v>
      </c>
    </row>
    <row r="847" customFormat="false" ht="17.15" hidden="false" customHeight="false" outlineLevel="0" collapsed="false">
      <c r="A847" s="1" t="s">
        <v>805</v>
      </c>
      <c r="B847" s="0" t="s">
        <v>392</v>
      </c>
      <c r="C847" s="29" t="n">
        <f aca="false">Sens!C846/ext_sh</f>
        <v>816.666666666667</v>
      </c>
      <c r="D847" s="29" t="n">
        <f aca="false">Sens!D846/ext_sh</f>
        <v>2050</v>
      </c>
      <c r="E847" s="29" t="n">
        <f aca="false">Sens!E846/ext_sh</f>
        <v>4500</v>
      </c>
      <c r="F847" s="29" t="n">
        <f aca="false">Sens!F846/ext_sh</f>
        <v>8368.66666666667</v>
      </c>
      <c r="G847" s="29" t="n">
        <f aca="false">Sens!G846/ext_sh</f>
        <v>12580.6666666667</v>
      </c>
      <c r="H847" s="29" t="n">
        <f aca="false">Sens!H846/ext_sh</f>
        <v>16792.6666666667</v>
      </c>
      <c r="I847" s="29" t="n">
        <f aca="false">Sens!I846/ext_sh</f>
        <v>19781.1933333333</v>
      </c>
      <c r="J847" s="29" t="n">
        <f aca="false">Sens!J846/ext_sh</f>
        <v>21546.2466666667</v>
      </c>
      <c r="K847" s="29" t="n">
        <f aca="false">Sens!K846/ext_sh</f>
        <v>22087.8266666667</v>
      </c>
      <c r="L847" s="1" t="s">
        <v>806</v>
      </c>
    </row>
    <row r="848" customFormat="false" ht="17.15" hidden="false" customHeight="false" outlineLevel="0" collapsed="false">
      <c r="A848" s="1" t="s">
        <v>807</v>
      </c>
      <c r="B848" s="0" t="s">
        <v>392</v>
      </c>
      <c r="C848" s="29" t="n">
        <f aca="false">Sens!C847-Sens!C846</f>
        <v>326.666666666667</v>
      </c>
      <c r="D848" s="29" t="n">
        <f aca="false">Sens!D847-Sens!D846</f>
        <v>820</v>
      </c>
      <c r="E848" s="29" t="n">
        <f aca="false">Sens!E847-Sens!E846</f>
        <v>1800</v>
      </c>
      <c r="F848" s="29" t="n">
        <f aca="false">Sens!F847-Sens!F846</f>
        <v>3347.46666666667</v>
      </c>
      <c r="G848" s="29" t="n">
        <f aca="false">Sens!G847-Sens!G846</f>
        <v>5032.26666666667</v>
      </c>
      <c r="H848" s="29" t="n">
        <f aca="false">Sens!H847-Sens!H846</f>
        <v>6717.06666666667</v>
      </c>
      <c r="I848" s="29" t="n">
        <f aca="false">Sens!I847-Sens!I846</f>
        <v>7912.47733333333</v>
      </c>
      <c r="J848" s="29" t="n">
        <f aca="false">Sens!J847-Sens!J846</f>
        <v>8618.49866666667</v>
      </c>
      <c r="K848" s="29" t="n">
        <f aca="false">Sens!K847-Sens!K846</f>
        <v>8835.13066666667</v>
      </c>
    </row>
    <row r="849" customFormat="false" ht="17.15" hidden="false" customHeight="false" outlineLevel="0" collapsed="false">
      <c r="A849" s="1" t="s">
        <v>808</v>
      </c>
      <c r="B849" s="0" t="s">
        <v>392</v>
      </c>
      <c r="C849" s="29" t="n">
        <f aca="false">Sens!C847</f>
        <v>816.666666666667</v>
      </c>
      <c r="D849" s="29" t="n">
        <f aca="false">Sens!D847-Sens!C847</f>
        <v>1233.33333333333</v>
      </c>
      <c r="E849" s="29" t="n">
        <f aca="false">Sens!E847-Sens!D847</f>
        <v>2450</v>
      </c>
      <c r="F849" s="29" t="n">
        <f aca="false">Sens!F847-Sens!E847</f>
        <v>3868.66666666667</v>
      </c>
      <c r="G849" s="29" t="n">
        <f aca="false">Sens!G847-Sens!F847</f>
        <v>4212</v>
      </c>
      <c r="H849" s="29" t="n">
        <f aca="false">Sens!H847-Sens!G847</f>
        <v>4212</v>
      </c>
      <c r="I849" s="29" t="n">
        <f aca="false">Sens!I847-Sens!H847</f>
        <v>2988.52666666667</v>
      </c>
      <c r="J849" s="29" t="n">
        <f aca="false">Sens!J847-Sens!I847</f>
        <v>1765.05333333333</v>
      </c>
      <c r="K849" s="29" t="n">
        <f aca="false">Sens!K847-Sens!J847</f>
        <v>541.580000000002</v>
      </c>
    </row>
    <row r="850" customFormat="false" ht="17.15" hidden="false" customHeight="false" outlineLevel="0" collapsed="false">
      <c r="A850" s="1" t="s">
        <v>809</v>
      </c>
      <c r="B850" s="0" t="s">
        <v>392</v>
      </c>
      <c r="D850" s="29" t="n">
        <f aca="false">Sens!D844-Sens!C844</f>
        <v>990</v>
      </c>
      <c r="E850" s="29" t="n">
        <f aca="false">Sens!E844-Sens!D844</f>
        <v>1620</v>
      </c>
      <c r="F850" s="29" t="n">
        <f aca="false">Sens!F844-Sens!E844</f>
        <v>2527.2</v>
      </c>
      <c r="G850" s="29" t="n">
        <f aca="false">Sens!G844-Sens!F844</f>
        <v>2527.2</v>
      </c>
      <c r="H850" s="29" t="n">
        <f aca="false">Sens!H844-Sens!G844</f>
        <v>2527.2</v>
      </c>
      <c r="I850" s="29" t="n">
        <f aca="false">Sens!I844-Sens!H844</f>
        <v>1793.116</v>
      </c>
      <c r="J850" s="29" t="n">
        <f aca="false">Sens!J844-Sens!I844</f>
        <v>1059.032</v>
      </c>
      <c r="K850" s="29" t="n">
        <f aca="false">Sens!K844-Sens!J844</f>
        <v>324.948</v>
      </c>
    </row>
    <row r="851" customFormat="false" ht="17.15" hidden="false" customHeight="false" outlineLevel="0" collapsed="false">
      <c r="A851" s="1" t="s">
        <v>810</v>
      </c>
      <c r="B851" s="0" t="s">
        <v>392</v>
      </c>
      <c r="F851" s="29" t="n">
        <f aca="false">Sens!F868*ext_sh</f>
        <v>0</v>
      </c>
      <c r="G851" s="29" t="n">
        <f aca="false">Sens!G868*ext_sh</f>
        <v>0</v>
      </c>
      <c r="H851" s="29" t="n">
        <f aca="false">Sens!H868*ext_sh</f>
        <v>0</v>
      </c>
      <c r="I851" s="29" t="n">
        <f aca="false">Sens!I868*ext_sh</f>
        <v>490</v>
      </c>
      <c r="J851" s="29" t="n">
        <f aca="false">Sens!J868*ext_sh</f>
        <v>740</v>
      </c>
      <c r="K851" s="29" t="n">
        <f aca="false">Sens!K868*ext_sh</f>
        <v>1470</v>
      </c>
      <c r="L851" s="1" t="s">
        <v>811</v>
      </c>
    </row>
    <row r="852" customFormat="false" ht="17.15" hidden="false" customHeight="false" outlineLevel="0" collapsed="false">
      <c r="A852" s="1" t="s">
        <v>812</v>
      </c>
      <c r="B852" s="0" t="s">
        <v>392</v>
      </c>
      <c r="C852" s="29" t="n">
        <f aca="false">mix_h*Sens!C844</f>
        <v>128</v>
      </c>
      <c r="D852" s="29" t="n">
        <f aca="false">mix_h*Sens!D844</f>
        <v>326</v>
      </c>
      <c r="E852" s="29" t="n">
        <f aca="false">mix_h*Sens!E844</f>
        <v>650</v>
      </c>
      <c r="F852" s="29" t="n">
        <f aca="false">Sens!E852-Sens!F851*mix_h</f>
        <v>650</v>
      </c>
      <c r="G852" s="29" t="n">
        <f aca="false">Sens!F852-Sens!G851*mix_h</f>
        <v>650</v>
      </c>
      <c r="H852" s="29" t="n">
        <f aca="false">Sens!G852-Sens!H851*mix_h</f>
        <v>650</v>
      </c>
      <c r="I852" s="29" t="n">
        <f aca="false">Sens!H852-Sens!I851*mix_h</f>
        <v>552</v>
      </c>
      <c r="J852" s="29" t="n">
        <f aca="false">Sens!I852-Sens!J851*mix_h</f>
        <v>404</v>
      </c>
      <c r="K852" s="29" t="n">
        <f aca="false">Sens!J852-Sens!K851*mix_h</f>
        <v>110</v>
      </c>
    </row>
    <row r="853" customFormat="false" ht="17.15" hidden="false" customHeight="false" outlineLevel="0" collapsed="false">
      <c r="A853" s="1" t="s">
        <v>813</v>
      </c>
      <c r="B853" s="0" t="s">
        <v>392</v>
      </c>
      <c r="C853" s="29" t="n">
        <f aca="false">mix_g2*Sens!C844</f>
        <v>288</v>
      </c>
      <c r="D853" s="29" t="n">
        <f aca="false">mix_g2*Sens!D844</f>
        <v>733.5</v>
      </c>
      <c r="E853" s="29" t="n">
        <f aca="false">mix_g2*Sens!E844</f>
        <v>1462.5</v>
      </c>
      <c r="F853" s="29" t="n">
        <f aca="false">Sens!E853-Sens!F851*mix_g2</f>
        <v>1462.5</v>
      </c>
      <c r="G853" s="29" t="n">
        <f aca="false">Sens!F853-Sens!G851*mix_g2</f>
        <v>1462.5</v>
      </c>
      <c r="H853" s="29" t="n">
        <f aca="false">Sens!G853-Sens!H851*mix_g2</f>
        <v>1462.5</v>
      </c>
      <c r="I853" s="29" t="n">
        <f aca="false">Sens!H853-Sens!I851*mix_g2</f>
        <v>1242</v>
      </c>
      <c r="J853" s="29" t="n">
        <f aca="false">Sens!I853-Sens!J851*mix_g2</f>
        <v>909</v>
      </c>
      <c r="K853" s="29" t="n">
        <f aca="false">Sens!J853-Sens!K851*mix_g2</f>
        <v>247.5</v>
      </c>
    </row>
    <row r="854" customFormat="false" ht="17.15" hidden="false" customHeight="false" outlineLevel="0" collapsed="false">
      <c r="A854" s="1" t="s">
        <v>814</v>
      </c>
      <c r="B854" s="0" t="s">
        <v>392</v>
      </c>
      <c r="C854" s="29" t="n">
        <f aca="false">mix_g3*Sens!C844</f>
        <v>224</v>
      </c>
      <c r="D854" s="29" t="n">
        <f aca="false">mix_g3*Sens!D844</f>
        <v>570.5</v>
      </c>
      <c r="E854" s="29" t="n">
        <f aca="false">mix_g3*Sens!E844</f>
        <v>1137.5</v>
      </c>
      <c r="F854" s="29" t="n">
        <f aca="false">Sens!E854+(Sens!F850+Sens!F851)*a_g3_27-Sens!F851*mix_g3</f>
        <v>2906.54</v>
      </c>
      <c r="G854" s="29" t="n">
        <f aca="false">Sens!F854+(Sens!G850+Sens!G851)*a_g3_28-Sens!G851*mix_g3</f>
        <v>3664.7</v>
      </c>
      <c r="H854" s="29" t="n">
        <f aca="false">Sens!G854+(Sens!H850+Sens!H851)*a_g3_29-Sens!H851*mix_g3</f>
        <v>3917.42</v>
      </c>
      <c r="I854" s="29" t="n">
        <f aca="false">Sens!H854+(Sens!I850+Sens!I851)*a_g3_29-Sens!I851*mix_g3</f>
        <v>3974.2316</v>
      </c>
      <c r="J854" s="29" t="n">
        <f aca="false">Sens!I854+(Sens!J850+Sens!J851)*a_g3_29-Sens!J851*mix_g3</f>
        <v>3895.1348</v>
      </c>
      <c r="K854" s="29" t="n">
        <f aca="false">Sens!J854+(Sens!K850+Sens!K851)*a_g3_29-Sens!K851*mix_g3</f>
        <v>3560.1296</v>
      </c>
    </row>
    <row r="855" customFormat="false" ht="17.15" hidden="false" customHeight="false" outlineLevel="0" collapsed="false">
      <c r="A855" s="1" t="s">
        <v>815</v>
      </c>
      <c r="B855" s="0" t="s">
        <v>392</v>
      </c>
      <c r="C855" s="29" t="n">
        <v>0</v>
      </c>
      <c r="D855" s="29" t="n">
        <v>0</v>
      </c>
      <c r="E855" s="29" t="n">
        <v>0</v>
      </c>
      <c r="F855" s="29" t="n">
        <f aca="false">Sens!E855+(Sens!F850+Sens!F851)*(1-a_g3_27)</f>
        <v>758.16</v>
      </c>
      <c r="G855" s="29" t="n">
        <f aca="false">Sens!F855+(Sens!G850+Sens!G851)*(1-a_g3_28)</f>
        <v>2527.2</v>
      </c>
      <c r="H855" s="29" t="n">
        <f aca="false">Sens!G855+(Sens!H850+Sens!H851)*(1-a_g3_29)</f>
        <v>4801.68</v>
      </c>
      <c r="I855" s="29" t="n">
        <f aca="false">Sens!H855+(Sens!I850+Sens!I851)*(1-a_g3_29)</f>
        <v>6856.4844</v>
      </c>
      <c r="J855" s="29" t="n">
        <f aca="false">Sens!I855+(Sens!J850+Sens!J851)*(1-a_g3_29)</f>
        <v>8475.6132</v>
      </c>
      <c r="K855" s="29" t="n">
        <f aca="false">Sens!J855+(Sens!K850+Sens!K851)*(1-a_g3_29)</f>
        <v>10091.0664</v>
      </c>
    </row>
    <row r="856" customFormat="false" ht="17.15" hidden="false" customHeight="false" outlineLevel="0" collapsed="false">
      <c r="A856" s="1" t="s">
        <v>816</v>
      </c>
      <c r="B856" s="0" t="s">
        <v>339</v>
      </c>
      <c r="C856" s="14" t="n">
        <f aca="false">(Sens!C852*tk_hold_h100+Sens!C853*tk_hold_gb200+Sens!C854*tk_hold_gb300+Sens!C855*tk_hold_vr200)/Sens!C844</f>
        <v>9.7235358126469</v>
      </c>
      <c r="D856" s="14" t="n">
        <f aca="false">(Sens!D852*tk_hold_h100+Sens!D853*tk_hold_gb200+Sens!D854*tk_hold_gb300+Sens!D855*tk_hold_vr200)/Sens!D844</f>
        <v>9.7235358126469</v>
      </c>
      <c r="E856" s="14" t="n">
        <f aca="false">(Sens!E852*tk_hold_h100+Sens!E853*tk_hold_gb200+Sens!E854*tk_hold_gb300+Sens!E855*tk_hold_vr200)/Sens!E844</f>
        <v>9.7235358126469</v>
      </c>
      <c r="F856" s="14" t="n">
        <f aca="false">(Sens!F852*tk_hold_h100+Sens!F853*tk_hold_gb200+Sens!F854*tk_hold_gb300+Sens!F855*tk_hold_vr200)/Sens!F844</f>
        <v>10.4079573161931</v>
      </c>
      <c r="G856" s="14" t="n">
        <f aca="false">(Sens!G852*tk_hold_h100+Sens!G853*tk_hold_gb200+Sens!G854*tk_hold_gb300+Sens!G855*tk_hold_vr200)/Sens!G844</f>
        <v>10.8388131109316</v>
      </c>
      <c r="H856" s="14" t="n">
        <f aca="false">(Sens!H852*tk_hold_h100+Sens!H853*tk_hold_gb200+Sens!H854*tk_hold_gb300+Sens!H855*tk_hold_vr200)/Sens!H844</f>
        <v>11.1311018388216</v>
      </c>
      <c r="I856" s="14" t="n">
        <f aca="false">(Sens!I852*tk_hold_h100+Sens!I853*tk_hold_gb200+Sens!I854*tk_hold_gb300+Sens!I855*tk_hold_vr200)/Sens!I844</f>
        <v>11.3594282560989</v>
      </c>
      <c r="J856" s="14" t="n">
        <f aca="false">(Sens!J852*tk_hold_h100+Sens!J853*tk_hold_gb200+Sens!J854*tk_hold_gb300+Sens!J855*tk_hold_vr200)/Sens!J844</f>
        <v>11.5441508808221</v>
      </c>
      <c r="K856" s="14" t="n">
        <f aca="false">(Sens!K852*tk_hold_h100+Sens!K853*tk_hold_gb200+Sens!K854*tk_hold_gb300+Sens!K855*tk_hold_vr200)/Sens!K844</f>
        <v>11.8053375063575</v>
      </c>
    </row>
    <row r="857" customFormat="false" ht="17.15" hidden="false" customHeight="false" outlineLevel="0" collapsed="false">
      <c r="A857" s="0" t="s">
        <v>817</v>
      </c>
      <c r="B857" s="0" t="s">
        <v>185</v>
      </c>
      <c r="C857" s="14" t="n">
        <f aca="false">k_B</f>
        <v>1.17213932619116</v>
      </c>
      <c r="D857" s="14" t="n">
        <f aca="false">k_B</f>
        <v>1.17213932619116</v>
      </c>
      <c r="E857" s="14" t="n">
        <f aca="false">k_B</f>
        <v>1.17213932619116</v>
      </c>
      <c r="F857" s="14" t="n">
        <f aca="false">(k_B+((ls_B*k_long+(1-ls_B)*k_spot)-k_B)*MIN(1,(Sens!F842-base_fy)/k_ramp))*0.85</f>
        <v>0.996318427262482</v>
      </c>
      <c r="G857" s="14" t="n">
        <f aca="false">(k_B+((ls_B*k_long+(1-ls_B)*k_spot)-k_B)*MIN(1,(Sens!G842-base_fy)/k_ramp))*0.85</f>
        <v>0.996318427262482</v>
      </c>
      <c r="H857" s="14" t="n">
        <f aca="false">(k_B+((ls_B*k_long+(1-ls_B)*k_spot)-k_B)*MIN(1,(Sens!H842-base_fy)/k_ramp))*0.85</f>
        <v>0.996318427262482</v>
      </c>
      <c r="I857" s="14" t="n">
        <f aca="false">(k_B+((ls_B*k_long+(1-ls_B)*k_spot)-k_B)*MIN(1,(Sens!I842-base_fy)/k_ramp))*0.85</f>
        <v>0.996318427262482</v>
      </c>
      <c r="J857" s="14" t="n">
        <f aca="false">(k_B+((ls_B*k_long+(1-ls_B)*k_spot)-k_B)*MIN(1,(Sens!J842-base_fy)/k_ramp))*0.85</f>
        <v>0.996318427262482</v>
      </c>
      <c r="K857" s="14" t="n">
        <f aca="false">(k_B+((ls_B*k_long+(1-ls_B)*k_spot)-k_B)*MIN(1,(Sens!K842-base_fy)/k_ramp))*0.85</f>
        <v>0.996318427262482</v>
      </c>
      <c r="L857" s="1" t="s">
        <v>818</v>
      </c>
    </row>
    <row r="858" customFormat="false" ht="17.15" hidden="false" customHeight="false" outlineLevel="0" collapsed="false">
      <c r="A858" s="1" t="s">
        <v>819</v>
      </c>
      <c r="B858" s="0" t="s">
        <v>339</v>
      </c>
      <c r="C858" s="14" t="n">
        <f aca="false">Sens!C856*Sens!C857*chip_f</f>
        <v>11.3973387156315</v>
      </c>
      <c r="D858" s="14" t="n">
        <f aca="false">Sens!D856*Sens!D857*chip_f</f>
        <v>11.3973387156315</v>
      </c>
      <c r="E858" s="14" t="n">
        <f aca="false">Sens!E856*Sens!E857*chip_f</f>
        <v>11.3973387156315</v>
      </c>
      <c r="F858" s="14" t="n">
        <f aca="false">Sens!F856*Sens!F857*chip_f</f>
        <v>10.3696396642845</v>
      </c>
      <c r="G858" s="14" t="n">
        <f aca="false">Sens!G856*Sens!G857*chip_f</f>
        <v>10.7989092320753</v>
      </c>
      <c r="H858" s="14" t="n">
        <f aca="false">Sens!H856*Sens!H857*chip_f</f>
        <v>11.0901218777532</v>
      </c>
      <c r="I858" s="14" t="n">
        <f aca="false">Sens!I856*Sens!I857*chip_f</f>
        <v>11.3176076947175</v>
      </c>
      <c r="J858" s="14" t="n">
        <f aca="false">Sens!J856*Sens!J857*chip_f</f>
        <v>11.5016502496614</v>
      </c>
      <c r="K858" s="14" t="n">
        <f aca="false">Sens!K856*Sens!K857*chip_f</f>
        <v>11.7618752976369</v>
      </c>
      <c r="L858" s="1" t="s">
        <v>820</v>
      </c>
    </row>
    <row r="859" customFormat="false" ht="17.15" hidden="false" customHeight="false" outlineLevel="0" collapsed="false">
      <c r="A859" s="0" t="s">
        <v>821</v>
      </c>
      <c r="B859" s="0" t="s">
        <v>98</v>
      </c>
      <c r="D859" s="6" t="n">
        <f aca="false">(Sens!C844+Sens!D844)/2*Sens!D858/1000</f>
        <v>12.9359794422418</v>
      </c>
      <c r="E859" s="6" t="n">
        <f aca="false">(Sens!D844+Sens!E844)/2*Sens!E858/1000</f>
        <v>27.8095064661409</v>
      </c>
      <c r="F859" s="6" t="n">
        <f aca="false">(Sens!E844+Sens!F844)/2*Sens!F858/1000</f>
        <v>46.8044055887147</v>
      </c>
      <c r="G859" s="6" t="n">
        <f aca="false">(Sens!F844+Sens!G844)/2*Sens!G858/1000</f>
        <v>76.0329601211957</v>
      </c>
      <c r="H859" s="6" t="n">
        <f aca="false">(Sens!G844+Sens!H844)/2*Sens!H858/1000</f>
        <v>106.110286126343</v>
      </c>
      <c r="I859" s="6" t="n">
        <f aca="false">(Sens!H844+Sens!I844)/2*Sens!I858/1000</f>
        <v>132.734691225662</v>
      </c>
      <c r="J859" s="6" t="n">
        <f aca="false">(Sens!I844+Sens!J844)/2*Sens!J858/1000</f>
        <v>151.295375766904</v>
      </c>
      <c r="K859" s="6" t="n">
        <f aca="false">(Sens!J844+Sens!K844)/2*Sens!K858/1000</f>
        <v>162.857536507396</v>
      </c>
      <c r="L859" s="11" t="s">
        <v>822</v>
      </c>
    </row>
    <row r="860" customFormat="false" ht="17.15" hidden="false" customHeight="false" outlineLevel="0" collapsed="false">
      <c r="A860" s="1" t="s">
        <v>823</v>
      </c>
      <c r="B860" s="0" t="s">
        <v>339</v>
      </c>
      <c r="C860" s="14" t="n">
        <f aca="false">(Sens!C852*tk_opex_h100+Sens!C853*tk_opex_gb200+Sens!C854*tk_opex_gb300+Sens!C855*tk_opex_vr200)/Sens!C844</f>
        <v>1.88636041306092</v>
      </c>
      <c r="D860" s="14" t="n">
        <f aca="false">(Sens!D852*tk_opex_h100+Sens!D853*tk_opex_gb200+Sens!D854*tk_opex_gb300+Sens!D855*tk_opex_vr200)/Sens!D844</f>
        <v>1.88636041306092</v>
      </c>
      <c r="E860" s="14" t="n">
        <f aca="false">(Sens!E852*tk_opex_h100+Sens!E853*tk_opex_gb200+Sens!E854*tk_opex_gb300+Sens!E855*tk_opex_vr200)/Sens!E844</f>
        <v>1.88636041306092</v>
      </c>
      <c r="F860" s="14" t="n">
        <f aca="false">(Sens!F852*tk_opex_h100+Sens!F853*tk_opex_gb200+Sens!F854*tk_opex_gb300+Sens!F855*tk_opex_vr200)/Sens!F844</f>
        <v>1.9430236476499</v>
      </c>
      <c r="G860" s="14" t="n">
        <f aca="false">(Sens!G852*tk_opex_h100+Sens!G853*tk_opex_gb200+Sens!G854*tk_opex_gb300+Sens!G855*tk_opex_vr200)/Sens!G844</f>
        <v>1.9786941852423</v>
      </c>
      <c r="H860" s="14" t="n">
        <f aca="false">(Sens!H852*tk_opex_h100+Sens!H853*tk_opex_gb200+Sens!H854*tk_opex_gb300+Sens!H855*tk_opex_vr200)/Sens!H844</f>
        <v>2.00289275976156</v>
      </c>
      <c r="I860" s="14" t="n">
        <f aca="false">(Sens!I852*tk_opex_h100+Sens!I853*tk_opex_gb200+Sens!I854*tk_opex_gb300+Sens!I855*tk_opex_vr200)/Sens!I844</f>
        <v>2.02179589661219</v>
      </c>
      <c r="J860" s="14" t="n">
        <f aca="false">(Sens!J852*tk_opex_h100+Sens!J853*tk_opex_gb200+Sens!J854*tk_opex_gb300+Sens!J855*tk_opex_vr200)/Sens!J844</f>
        <v>2.03708907685909</v>
      </c>
      <c r="K860" s="14" t="n">
        <f aca="false">(Sens!K852*tk_opex_h100+Sens!K853*tk_opex_gb200+Sens!K854*tk_opex_gb300+Sens!K855*tk_opex_vr200)/Sens!K844</f>
        <v>2.05871270931005</v>
      </c>
    </row>
    <row r="861" customFormat="false" ht="17.15" hidden="false" customHeight="false" outlineLevel="0" collapsed="false">
      <c r="A861" s="0" t="s">
        <v>824</v>
      </c>
      <c r="B861" s="0" t="s">
        <v>98</v>
      </c>
      <c r="D861" s="6" t="n">
        <f aca="false">(Sens!C847+Sens!D847)/2*Sens!D860/1000</f>
        <v>2.70378325872065</v>
      </c>
      <c r="E861" s="6" t="n">
        <f aca="false">(Sens!D847+Sens!E847)/2*Sens!E860/1000</f>
        <v>6.17783035277451</v>
      </c>
      <c r="F861" s="6" t="n">
        <f aca="false">(Sens!E847+Sens!F847)/2*Sens!F860/1000</f>
        <v>12.5020618235287</v>
      </c>
      <c r="G861" s="6" t="n">
        <f aca="false">(Sens!F847+Sens!G847)/2*Sens!G860/1000</f>
        <v>20.7261620256847</v>
      </c>
      <c r="H861" s="6" t="n">
        <f aca="false">(Sens!G847+Sens!H847)/2*Sens!H860/1000</f>
        <v>29.4158183316982</v>
      </c>
      <c r="I861" s="6" t="n">
        <f aca="false">(Sens!H847+Sens!I847)/2*Sens!I860/1000</f>
        <v>36.9724400356344</v>
      </c>
      <c r="J861" s="6" t="n">
        <f aca="false">(Sens!I847+Sens!J847)/2*Sens!J860/1000</f>
        <v>42.0938382992747</v>
      </c>
      <c r="K861" s="6" t="n">
        <f aca="false">(Sens!J847+Sens!K847)/2*Sens!K860/1000</f>
        <v>44.9150106651501</v>
      </c>
    </row>
    <row r="862" customFormat="false" ht="17.15" hidden="false" customHeight="false" outlineLevel="0" collapsed="false">
      <c r="A862" s="0" t="s">
        <v>825</v>
      </c>
      <c r="B862" s="0" t="s">
        <v>98</v>
      </c>
      <c r="D862" s="6" t="n">
        <f aca="false">(Sens!C845+Sens!D845)/2*rent_mw/1000</f>
        <v>2.44475</v>
      </c>
      <c r="E862" s="6" t="n">
        <f aca="false">(Sens!D845+Sens!E845)/2*rent_mw/1000</f>
        <v>4.22275</v>
      </c>
      <c r="F862" s="6" t="n">
        <f aca="false">(Sens!E845+Sens!F845)/2*rent_mw/1000</f>
        <v>5.80517</v>
      </c>
      <c r="G862" s="6" t="n">
        <f aca="false">(Sens!F845+Sens!G845)/2*rent_mw/1000</f>
        <v>6.72084</v>
      </c>
      <c r="H862" s="6" t="n">
        <f aca="false">(Sens!G845+Sens!H845)/2*rent_mw/1000</f>
        <v>6.72084</v>
      </c>
      <c r="I862" s="6" t="n">
        <f aca="false">(Sens!H845+Sens!I845)/2*rent_mw/1000</f>
        <v>6.72084</v>
      </c>
      <c r="J862" s="6" t="n">
        <f aca="false">(Sens!I845+Sens!J845)/2*rent_mw/1000</f>
        <v>6.72084</v>
      </c>
      <c r="K862" s="6" t="n">
        <f aca="false">(Sens!J845+Sens!K845)/2*rent_mw/1000</f>
        <v>6.72084</v>
      </c>
    </row>
    <row r="863" customFormat="false" ht="17.15" hidden="false" customHeight="false" outlineLevel="0" collapsed="false">
      <c r="A863" s="0" t="s">
        <v>826</v>
      </c>
      <c r="B863" s="0" t="s">
        <v>98</v>
      </c>
      <c r="D863" s="6" t="n">
        <f aca="false">(Sens!C847+Sens!D847)/2*(1-self_build)*fac_rent/1000</f>
        <v>0.853242375631075</v>
      </c>
      <c r="E863" s="6" t="n">
        <f aca="false">(Sens!D847+Sens!E847)/2*(1-self_build)*fac_rent/1000</f>
        <v>1.94955961408728</v>
      </c>
      <c r="F863" s="6" t="n">
        <f aca="false">(Sens!E847+Sens!F847)/2*(1-self_build)*fac_rent/1000</f>
        <v>3.83026455274573</v>
      </c>
      <c r="G863" s="6" t="n">
        <f aca="false">(Sens!F847+Sens!G847)/2*(1-self_build)*fac_rent/1000</f>
        <v>6.23541590972812</v>
      </c>
      <c r="H863" s="6" t="n">
        <f aca="false">(Sens!G847+Sens!H847)/2*(1-self_build)*fac_rent/1000</f>
        <v>8.74275792332679</v>
      </c>
      <c r="I863" s="6" t="n">
        <f aca="false">(Sens!H847+Sens!I847)/2*(1-self_build)*fac_rent/1000</f>
        <v>10.8859420438599</v>
      </c>
      <c r="J863" s="6" t="n">
        <f aca="false">(Sens!I847+Sens!J847)/2*(1-self_build)*fac_rent/1000</f>
        <v>12.3008103782619</v>
      </c>
      <c r="K863" s="6" t="n">
        <f aca="false">(Sens!J847+Sens!K847)/2*(1-self_build)*fac_rent/1000</f>
        <v>12.9873629265328</v>
      </c>
      <c r="L863" s="11" t="s">
        <v>827</v>
      </c>
    </row>
    <row r="864" customFormat="false" ht="17.15" hidden="false" customHeight="false" outlineLevel="0" collapsed="false">
      <c r="A864" s="1" t="s">
        <v>828</v>
      </c>
      <c r="B864" s="0" t="s">
        <v>129</v>
      </c>
      <c r="D864" s="7" t="n">
        <f aca="false">(Sens!C846+Sens!D846)/(Sens!C847+Sens!D847)</f>
        <v>0.6</v>
      </c>
      <c r="E864" s="7" t="n">
        <f aca="false">(Sens!D846+Sens!E846)/(Sens!D847+Sens!E847)</f>
        <v>0.6</v>
      </c>
      <c r="F864" s="7" t="n">
        <f aca="false">(Sens!E846+Sens!F846)/(Sens!E847+Sens!F847)</f>
        <v>0.6</v>
      </c>
      <c r="G864" s="7" t="n">
        <f aca="false">(Sens!F846+Sens!G846)/(Sens!F847+Sens!G847)</f>
        <v>0.6</v>
      </c>
      <c r="H864" s="7" t="n">
        <f aca="false">(Sens!G846+Sens!H846)/(Sens!G847+Sens!H847)</f>
        <v>0.6</v>
      </c>
      <c r="I864" s="7" t="n">
        <f aca="false">(Sens!H846+Sens!I846)/(Sens!H847+Sens!I847)</f>
        <v>0.6</v>
      </c>
      <c r="J864" s="7" t="n">
        <f aca="false">(Sens!I846+Sens!J846)/(Sens!I847+Sens!J847)</f>
        <v>0.6</v>
      </c>
      <c r="K864" s="7" t="n">
        <f aca="false">(Sens!J846+Sens!K846)/(Sens!J847+Sens!K847)</f>
        <v>0.6</v>
      </c>
    </row>
    <row r="865" customFormat="false" ht="17.15" hidden="false" customHeight="false" outlineLevel="0" collapsed="false">
      <c r="A865" s="0" t="s">
        <v>829</v>
      </c>
      <c r="B865" s="0" t="s">
        <v>98</v>
      </c>
      <c r="D865" s="6" t="n">
        <f aca="false">Sens!D859-Sens!D864*(Sens!D861+Sens!D863)-Sens!D862</f>
        <v>8.35701406163072</v>
      </c>
      <c r="E865" s="6" t="n">
        <f aca="false">Sens!E859-Sens!E864*(Sens!E861+Sens!E863)-Sens!E862</f>
        <v>18.7103224860238</v>
      </c>
      <c r="F865" s="6" t="n">
        <f aca="false">Sens!F859-Sens!F864*(Sens!F861+Sens!F863)-Sens!F862</f>
        <v>31.1998397629501</v>
      </c>
      <c r="G865" s="6" t="n">
        <f aca="false">Sens!G859-Sens!G864*(Sens!G861+Sens!G863)-Sens!G862</f>
        <v>53.135173359948</v>
      </c>
      <c r="H865" s="6" t="n">
        <f aca="false">Sens!H859-Sens!H864*(Sens!H861+Sens!H863)-Sens!H862</f>
        <v>76.4943003733279</v>
      </c>
      <c r="I865" s="6" t="n">
        <f aca="false">Sens!I859-Sens!I864*(Sens!I861+Sens!I863)-Sens!I862</f>
        <v>97.2988219779655</v>
      </c>
      <c r="J865" s="6" t="n">
        <f aca="false">Sens!J859-Sens!J864*(Sens!J861+Sens!J863)-Sens!J862</f>
        <v>111.937746560382</v>
      </c>
      <c r="K865" s="6" t="n">
        <f aca="false">Sens!K859-Sens!K864*(Sens!K861+Sens!K863)-Sens!K862</f>
        <v>121.395272352387</v>
      </c>
    </row>
    <row r="866" customFormat="false" ht="17.15" hidden="false" customHeight="false" outlineLevel="0" collapsed="false">
      <c r="A866" s="1" t="s">
        <v>830</v>
      </c>
      <c r="B866" s="0" t="s">
        <v>98</v>
      </c>
      <c r="D866" s="6" t="n">
        <f aca="false">(1-Sens!D864)*(Sens!D861+Sens!D863)</f>
        <v>1.42281025374069</v>
      </c>
      <c r="E866" s="6" t="n">
        <f aca="false">(1-Sens!E864)*(Sens!E861+Sens!E863)</f>
        <v>3.25095598674472</v>
      </c>
      <c r="F866" s="6" t="n">
        <f aca="false">(1-Sens!F864)*(Sens!F861+Sens!F863)</f>
        <v>6.53293055050977</v>
      </c>
      <c r="G866" s="6" t="n">
        <f aca="false">(1-Sens!G864)*(Sens!G861+Sens!G863)</f>
        <v>10.7846311741651</v>
      </c>
      <c r="H866" s="6" t="n">
        <f aca="false">(1-Sens!H864)*(Sens!H861+Sens!H863)</f>
        <v>15.26343050201</v>
      </c>
      <c r="I866" s="6" t="n">
        <f aca="false">(1-Sens!I864)*(Sens!I861+Sens!I863)</f>
        <v>19.1433528317977</v>
      </c>
      <c r="J866" s="6" t="n">
        <f aca="false">(1-Sens!J864)*(Sens!J861+Sens!J863)</f>
        <v>21.7578594710146</v>
      </c>
      <c r="K866" s="6" t="n">
        <f aca="false">(1-Sens!K864)*(Sens!K861+Sens!K863)</f>
        <v>23.1609494366731</v>
      </c>
    </row>
    <row r="867" customFormat="false" ht="17.15" hidden="false" customHeight="false" outlineLevel="0" collapsed="false">
      <c r="A867" s="1" t="s">
        <v>831</v>
      </c>
      <c r="B867" s="0" t="s">
        <v>350</v>
      </c>
      <c r="C867" s="8" t="n">
        <f aca="false">cxit_open</f>
        <v>27.5918995</v>
      </c>
      <c r="D867" s="8" t="n">
        <f aca="false">cxit_open</f>
        <v>27.5918995</v>
      </c>
      <c r="E867" s="8" t="n">
        <f aca="false">cxit_open</f>
        <v>27.5918995</v>
      </c>
      <c r="F867" s="8" t="n">
        <f aca="false">(a_g3_27*tk_cxit_gb300+(1-a_g3_27)*tk_cxit_vr200)</f>
        <v>33.8419624</v>
      </c>
      <c r="G867" s="8" t="n">
        <f aca="false">(a_g3_28*tk_cxit_gb300+(1-a_g3_28)*tk_cxit_vr200)</f>
        <v>35.9816136</v>
      </c>
      <c r="H867" s="8" t="n">
        <f aca="false">(a_g3_29*tk_cxit_gb300+(1-a_g3_29)*tk_cxit_vr200)</f>
        <v>37.0514392</v>
      </c>
      <c r="I867" s="8" t="n">
        <f aca="false">(a_g3_29*tk_cxit_gb300+(1-a_g3_29)*tk_cxit_vr200)</f>
        <v>37.0514392</v>
      </c>
      <c r="J867" s="8" t="n">
        <f aca="false">(a_g3_29*tk_cxit_gb300+(1-a_g3_29)*tk_cxit_vr200)</f>
        <v>37.0514392</v>
      </c>
      <c r="K867" s="8" t="n">
        <f aca="false">(a_g3_29*tk_cxit_gb300+(1-a_g3_29)*tk_cxit_vr200)</f>
        <v>37.0514392</v>
      </c>
      <c r="L867" s="11" t="s">
        <v>832</v>
      </c>
    </row>
    <row r="868" customFormat="false" ht="17.15" hidden="false" customHeight="false" outlineLevel="0" collapsed="false">
      <c r="A868" s="0" t="s">
        <v>833</v>
      </c>
      <c r="B868" s="0" t="s">
        <v>392</v>
      </c>
      <c r="F868" s="29" t="n">
        <f aca="false">Sens!C849*IF(Sens!F842-Sens!C842=life_it,1,0)+Sens!D849*IF(Sens!F842-Sens!D842=life_it,1,0)+Sens!E849*IF(Sens!F842-Sens!E842=life_it,1,0)</f>
        <v>0</v>
      </c>
      <c r="G868" s="29" t="n">
        <f aca="false">Sens!C849*IF(Sens!G842-Sens!C842=life_it,1,0)+Sens!D849*IF(Sens!G842-Sens!D842=life_it,1,0)+Sens!E849*IF(Sens!G842-Sens!E842=life_it,1,0)+Sens!F849*IF(Sens!G842-Sens!F842=life_it,1,0)</f>
        <v>0</v>
      </c>
      <c r="H868" s="29" t="n">
        <f aca="false">Sens!C849*IF(Sens!H842-Sens!C842=life_it,1,0)+Sens!D849*IF(Sens!H842-Sens!D842=life_it,1,0)+Sens!E849*IF(Sens!H842-Sens!E842=life_it,1,0)+Sens!F849*IF(Sens!H842-Sens!F842=life_it,1,0)+Sens!G849*IF(Sens!H842-Sens!G842=life_it,1,0)</f>
        <v>0</v>
      </c>
      <c r="I868" s="29" t="n">
        <f aca="false">Sens!C849*IF(Sens!I842-Sens!C842=life_it,1,0)+Sens!D849*IF(Sens!I842-Sens!D842=life_it,1,0)+Sens!E849*IF(Sens!I842-Sens!E842=life_it,1,0)+Sens!F849*IF(Sens!I842-Sens!F842=life_it,1,0)+Sens!G849*IF(Sens!I842-Sens!G842=life_it,1,0)+Sens!H849*IF(Sens!I842-Sens!H842=life_it,1,0)</f>
        <v>816.666666666667</v>
      </c>
      <c r="J868" s="29" t="n">
        <f aca="false">Sens!C849*IF(Sens!J842-Sens!C842=life_it,1,0)+Sens!D849*IF(Sens!J842-Sens!D842=life_it,1,0)+Sens!E849*IF(Sens!J842-Sens!E842=life_it,1,0)+Sens!F849*IF(Sens!J842-Sens!F842=life_it,1,0)+Sens!G849*IF(Sens!J842-Sens!G842=life_it,1,0)+Sens!H849*IF(Sens!J842-Sens!H842=life_it,1,0)+Sens!I849*IF(Sens!J842-Sens!I842=life_it,1,0)</f>
        <v>1233.33333333333</v>
      </c>
      <c r="K868" s="29" t="n">
        <f aca="false">Sens!C849*IF(Sens!K842-Sens!C842=life_it,1,0)+Sens!D849*IF(Sens!K842-Sens!D842=life_it,1,0)+Sens!E849*IF(Sens!K842-Sens!E842=life_it,1,0)+Sens!F849*IF(Sens!K842-Sens!F842=life_it,1,0)+Sens!G849*IF(Sens!K842-Sens!G842=life_it,1,0)+Sens!H849*IF(Sens!K842-Sens!H842=life_it,1,0)+Sens!I849*IF(Sens!K842-Sens!I842=life_it,1,0)+Sens!J849*IF(Sens!K842-Sens!J842=life_it,1,0)</f>
        <v>2450</v>
      </c>
      <c r="L868" s="1" t="s">
        <v>834</v>
      </c>
    </row>
    <row r="869" customFormat="false" ht="17.15" hidden="false" customHeight="false" outlineLevel="0" collapsed="false">
      <c r="A869" s="0" t="s">
        <v>835</v>
      </c>
      <c r="B869" s="0" t="s">
        <v>98</v>
      </c>
      <c r="C869" s="6" t="n">
        <f aca="false">Sens!C849*Sens!C867/1000</f>
        <v>22.5333845916667</v>
      </c>
      <c r="D869" s="6" t="n">
        <f aca="false">Sens!D849*Sens!D867/1000</f>
        <v>34.0300093833333</v>
      </c>
      <c r="E869" s="6" t="n">
        <f aca="false">Sens!E849*Sens!E867/1000</f>
        <v>67.600153775</v>
      </c>
      <c r="F869" s="6" t="n">
        <f aca="false">(Sens!F849+Sens!F868)*Sens!F867/1000</f>
        <v>130.923271871467</v>
      </c>
      <c r="G869" s="6" t="n">
        <f aca="false">(Sens!G849+Sens!G868)*Sens!G867/1000</f>
        <v>151.5545564832</v>
      </c>
      <c r="H869" s="6" t="n">
        <f aca="false">(Sens!H849+Sens!H868)*Sens!H867/1000</f>
        <v>156.0606619104</v>
      </c>
      <c r="I869" s="6" t="n">
        <f aca="false">(Sens!I849+Sens!I868)*Sens!I867/1000</f>
        <v>140.987889434245</v>
      </c>
      <c r="J869" s="6" t="n">
        <f aca="false">(Sens!J849+Sens!J868)*Sens!J867/1000</f>
        <v>111.094541278091</v>
      </c>
      <c r="K869" s="6" t="n">
        <f aca="false">(Sens!K849+Sens!K868)*Sens!K867/1000</f>
        <v>110.842344481936</v>
      </c>
    </row>
    <row r="870" customFormat="false" ht="17.15" hidden="false" customHeight="false" outlineLevel="0" collapsed="false">
      <c r="A870" s="0" t="s">
        <v>836</v>
      </c>
      <c r="B870" s="0" t="s">
        <v>98</v>
      </c>
      <c r="C870" s="6" t="n">
        <f aca="false">Sens!C849*self_build*tk_cxfac/1000</f>
        <v>6.2083</v>
      </c>
      <c r="D870" s="6" t="n">
        <f aca="false">Sens!D849*self_build*tk_cxfac/1000</f>
        <v>9.3758</v>
      </c>
      <c r="E870" s="6" t="n">
        <f aca="false">Sens!E849*self_build*tk_cxfac/1000</f>
        <v>18.6249</v>
      </c>
      <c r="F870" s="6" t="n">
        <f aca="false">Sens!F849*self_build*tk_cxfac/1000</f>
        <v>29.409604</v>
      </c>
      <c r="G870" s="6" t="n">
        <f aca="false">Sens!G849*self_build*tk_cxfac/1000</f>
        <v>32.019624</v>
      </c>
      <c r="H870" s="6" t="n">
        <f aca="false">Sens!H849*self_build*tk_cxfac/1000</f>
        <v>32.019624</v>
      </c>
      <c r="I870" s="6" t="n">
        <f aca="false">Sens!I849*self_build*tk_cxfac/1000</f>
        <v>22.71877972</v>
      </c>
      <c r="J870" s="6" t="n">
        <f aca="false">Sens!J849*self_build*tk_cxfac/1000</f>
        <v>13.41793544</v>
      </c>
      <c r="K870" s="6" t="n">
        <f aca="false">Sens!K849*self_build*tk_cxfac/1000</f>
        <v>4.11709116000001</v>
      </c>
    </row>
    <row r="871" customFormat="false" ht="17.15" hidden="false" customHeight="false" outlineLevel="0" collapsed="false">
      <c r="A871" s="0" t="s">
        <v>837</v>
      </c>
      <c r="B871" s="0" t="s">
        <v>98</v>
      </c>
      <c r="F871" s="6" t="n">
        <f aca="false">MAX(0,capex_floor27-Sens!F869-Sens!F870-Sens!F964)</f>
        <v>8.28777689897088</v>
      </c>
      <c r="L871" s="1" t="s">
        <v>838</v>
      </c>
    </row>
    <row r="872" customFormat="false" ht="17.15" hidden="false" customHeight="false" outlineLevel="0" collapsed="false">
      <c r="A872" s="0" t="s">
        <v>839</v>
      </c>
      <c r="B872" s="0" t="s">
        <v>98</v>
      </c>
      <c r="C872" s="6" t="n">
        <f aca="false">Sens!C869</f>
        <v>22.5333845916667</v>
      </c>
      <c r="D872" s="6" t="n">
        <f aca="false">Sens!D869</f>
        <v>34.0300093833333</v>
      </c>
      <c r="E872" s="6" t="n">
        <f aca="false">Sens!E869</f>
        <v>67.600153775</v>
      </c>
      <c r="F872" s="6" t="n">
        <f aca="false">Sens!F869+Sens!F871</f>
        <v>139.211048770438</v>
      </c>
      <c r="G872" s="6" t="n">
        <f aca="false">Sens!G869</f>
        <v>151.5545564832</v>
      </c>
      <c r="H872" s="6" t="n">
        <f aca="false">Sens!H869</f>
        <v>156.0606619104</v>
      </c>
      <c r="I872" s="6" t="n">
        <f aca="false">Sens!I869</f>
        <v>140.987889434245</v>
      </c>
      <c r="J872" s="6" t="n">
        <f aca="false">Sens!J869</f>
        <v>111.094541278091</v>
      </c>
      <c r="K872" s="6" t="n">
        <f aca="false">Sens!K869</f>
        <v>110.842344481936</v>
      </c>
    </row>
    <row r="873" customFormat="false" ht="17.15" hidden="false" customHeight="false" outlineLevel="0" collapsed="false">
      <c r="A873" s="0" t="s">
        <v>840</v>
      </c>
      <c r="B873" s="0" t="s">
        <v>98</v>
      </c>
      <c r="C873" s="6" t="n">
        <f aca="false">Sens!C872+Sens!C870</f>
        <v>28.7416845916667</v>
      </c>
      <c r="D873" s="6" t="n">
        <f aca="false">Sens!D872+Sens!D870</f>
        <v>43.4058093833333</v>
      </c>
      <c r="E873" s="6" t="n">
        <f aca="false">Sens!E872+Sens!E870</f>
        <v>86.225053775</v>
      </c>
      <c r="F873" s="6" t="n">
        <f aca="false">Sens!F872+Sens!F870</f>
        <v>168.620652770438</v>
      </c>
      <c r="G873" s="6" t="n">
        <f aca="false">Sens!G872+Sens!G870</f>
        <v>183.5741804832</v>
      </c>
      <c r="H873" s="6" t="n">
        <f aca="false">Sens!H872+Sens!H870</f>
        <v>188.0802859104</v>
      </c>
      <c r="I873" s="6" t="n">
        <f aca="false">Sens!I872+Sens!I870</f>
        <v>163.706669154245</v>
      </c>
      <c r="J873" s="6" t="n">
        <f aca="false">Sens!J872+Sens!J870</f>
        <v>124.51247671809</v>
      </c>
      <c r="K873" s="6" t="n">
        <f aca="false">Sens!K872+Sens!K870</f>
        <v>114.959435641936</v>
      </c>
      <c r="L873" s="11" t="s">
        <v>841</v>
      </c>
    </row>
    <row r="874" customFormat="false" ht="17.15" hidden="false" customHeight="false" outlineLevel="0" collapsed="false">
      <c r="A874" s="0" t="s">
        <v>842</v>
      </c>
      <c r="B874" s="0" t="s">
        <v>98</v>
      </c>
      <c r="E874" s="6" t="n">
        <f aca="false">(Sens!C872*IF(2&lt;life_it,1,IF(2=life_it,0.5,0))+Sens!D872*IF(1&lt;life_it,1,IF(1=life_it,0.5,0))+Sens!E872*0.5)/life_it</f>
        <v>15.0605784770833</v>
      </c>
      <c r="F874" s="6" t="n">
        <f aca="false">(Sens!C872*IF(3&lt;life_it,1,IF(3=life_it,0.5,0))+Sens!D872*IF(2&lt;life_it,1,IF(2=life_it,0.5,0))+Sens!E872*IF(1&lt;life_it,1,IF(1=life_it,0.5,0))+Sens!F872*0.5)/life_it</f>
        <v>32.2948453558698</v>
      </c>
      <c r="G874" s="6" t="n">
        <f aca="false">(Sens!C872*IF(4&lt;life_it,1,IF(4=life_it,0.5,0))+Sens!D872*IF(3&lt;life_it,1,IF(3=life_it,0.5,0))+Sens!E872*IF(2&lt;life_it,1,IF(2=life_it,0.5,0))+Sens!F872*IF(1&lt;life_it,1,IF(1=life_it,0.5,0))+Sens!G872*0.5)/life_it</f>
        <v>56.5253124603396</v>
      </c>
      <c r="H874" s="6" t="n">
        <f aca="false">(Sens!C872*IF(5&lt;life_it,1,IF(5=life_it,0.5,0))+Sens!D872*IF(4&lt;life_it,1,IF(4=life_it,0.5,0))+Sens!E872*IF(3&lt;life_it,1,IF(3=life_it,0.5,0))+Sens!F872*IF(2&lt;life_it,1,IF(2=life_it,0.5,0))+Sens!G872*IF(1&lt;life_it,1,IF(1=life_it,0.5,0))+Sens!H872*0.5)/life_it</f>
        <v>82.1599139931396</v>
      </c>
      <c r="I874" s="6" t="n">
        <f aca="false">(Sens!C872*IF(6&lt;life_it,1,IF(6=life_it,0.5,0))+Sens!D872*IF(5&lt;life_it,1,IF(5=life_it,0.5,0))+Sens!E872*IF(4&lt;life_it,1,IF(4=life_it,0.5,0))+Sens!F872*IF(3&lt;life_it,1,IF(3=life_it,0.5,0))+Sens!G872*IF(2&lt;life_it,1,IF(2=life_it,0.5,0))+Sens!H872*IF(1&lt;life_it,1,IF(1=life_it,0.5,0))+Sens!I872*0.5)/life_it</f>
        <v>105.036177889221</v>
      </c>
      <c r="J874" s="6" t="n">
        <f aca="false">(Sens!C872*IF(7&lt;life_it,1,IF(7=life_it,0.5,0))+Sens!D872*IF(6&lt;life_it,1,IF(6=life_it,0.5,0))+Sens!E872*IF(5&lt;life_it,1,IF(5=life_it,0.5,0))+Sens!F872*IF(4&lt;life_it,1,IF(4=life_it,0.5,0))+Sens!G872*IF(3&lt;life_it,1,IF(3=life_it,0.5,0))+Sens!H872*IF(2&lt;life_it,1,IF(2=life_it,0.5,0))+Sens!I872*IF(1&lt;life_it,1,IF(1=life_it,0.5,0))+Sens!J872*0.5)/life_it</f>
        <v>121.329430950666</v>
      </c>
      <c r="K874" s="6" t="n">
        <f aca="false">(Sens!C872*IF(8&lt;life_it,1,IF(8=life_it,0.5,0))+Sens!D872*IF(7&lt;life_it,1,IF(7=life_it,0.5,0))+Sens!E872*IF(6&lt;life_it,1,IF(6=life_it,0.5,0))+Sens!F872*IF(5&lt;life_it,1,IF(5=life_it,0.5,0))+Sens!G872*IF(4&lt;life_it,1,IF(4=life_it,0.5,0))+Sens!H872*IF(3&lt;life_it,1,IF(3=life_it,0.5,0))+Sens!I872*IF(2&lt;life_it,1,IF(2=life_it,0.5,0))+Sens!J872*IF(1&lt;life_it,1,IF(1=life_it,0.5,0))+Sens!K872*0.5)/life_it</f>
        <v>131.354991167474</v>
      </c>
    </row>
    <row r="875" customFormat="false" ht="17.15" hidden="false" customHeight="false" outlineLevel="0" collapsed="false">
      <c r="A875" s="0" t="s">
        <v>843</v>
      </c>
      <c r="B875" s="0" t="s">
        <v>98</v>
      </c>
      <c r="E875" s="6" t="n">
        <f aca="false">(Sens!C870*IF(2&lt;life_fac,1,IF(2=life_fac,0.5,0))+Sens!D870*IF(1&lt;life_fac,1,IF(1=life_fac,0.5,0))+Sens!E870*0.5)/life_fac</f>
        <v>1.2448275</v>
      </c>
      <c r="F875" s="6" t="n">
        <f aca="false">(Sens!C870*IF(3&lt;life_fac,1,IF(3=life_fac,0.5,0))+Sens!D870*IF(2&lt;life_fac,1,IF(2=life_fac,0.5,0))+Sens!E870*IF(1&lt;life_fac,1,IF(1=life_fac,0.5,0))+Sens!F870*0.5)/life_fac</f>
        <v>2.4456901</v>
      </c>
      <c r="G875" s="6" t="n">
        <f aca="false">(Sens!C870*IF(4&lt;life_fac,1,IF(4=life_fac,0.5,0))+Sens!D870*IF(3&lt;life_fac,1,IF(3=life_fac,0.5,0))+Sens!E870*IF(2&lt;life_fac,1,IF(2=life_fac,0.5,0))+Sens!F870*IF(1&lt;life_fac,1,IF(1=life_fac,0.5,0))+Sens!G870*0.5)/life_fac</f>
        <v>3.9814208</v>
      </c>
      <c r="H875" s="6" t="n">
        <f aca="false">(Sens!C870*IF(5&lt;life_fac,1,IF(5=life_fac,0.5,0))+Sens!D870*IF(4&lt;life_fac,1,IF(4=life_fac,0.5,0))+Sens!E870*IF(3&lt;life_fac,1,IF(3=life_fac,0.5,0))+Sens!F870*IF(2&lt;life_fac,1,IF(2=life_fac,0.5,0))+Sens!G870*IF(1&lt;life_fac,1,IF(1=life_fac,0.5,0))+Sens!H870*0.5)/life_fac</f>
        <v>5.582402</v>
      </c>
      <c r="I875" s="6" t="n">
        <f aca="false">(Sens!C870*IF(6&lt;life_fac,1,IF(6=life_fac,0.5,0))+Sens!D870*IF(5&lt;life_fac,1,IF(5=life_fac,0.5,0))+Sens!E870*IF(4&lt;life_fac,1,IF(4=life_fac,0.5,0))+Sens!F870*IF(3&lt;life_fac,1,IF(3=life_fac,0.5,0))+Sens!G870*IF(2&lt;life_fac,1,IF(2=life_fac,0.5,0))+Sens!H870*IF(1&lt;life_fac,1,IF(1=life_fac,0.5,0))+Sens!I870*0.5)/life_fac</f>
        <v>6.950862093</v>
      </c>
      <c r="J875" s="6" t="n">
        <f aca="false">(Sens!C870*IF(7&lt;life_fac,1,IF(7=life_fac,0.5,0))+Sens!D870*IF(6&lt;life_fac,1,IF(6=life_fac,0.5,0))+Sens!E870*IF(5&lt;life_fac,1,IF(5=life_fac,0.5,0))+Sens!F870*IF(4&lt;life_fac,1,IF(4=life_fac,0.5,0))+Sens!G870*IF(3&lt;life_fac,1,IF(3=life_fac,0.5,0))+Sens!H870*IF(2&lt;life_fac,1,IF(2=life_fac,0.5,0))+Sens!I870*IF(1&lt;life_fac,1,IF(1=life_fac,0.5,0))+Sens!J870*0.5)/life_fac</f>
        <v>7.854279972</v>
      </c>
      <c r="K875" s="6" t="n">
        <f aca="false">(Sens!C870*IF(8&lt;life_fac,1,IF(8=life_fac,0.5,0))+Sens!D870*IF(7&lt;life_fac,1,IF(7=life_fac,0.5,0))+Sens!E870*IF(6&lt;life_fac,1,IF(6=life_fac,0.5,0))+Sens!F870*IF(5&lt;life_fac,1,IF(5=life_fac,0.5,0))+Sens!G870*IF(4&lt;life_fac,1,IF(4=life_fac,0.5,0))+Sens!H870*IF(3&lt;life_fac,1,IF(3=life_fac,0.5,0))+Sens!I870*IF(2&lt;life_fac,1,IF(2=life_fac,0.5,0))+Sens!J870*IF(1&lt;life_fac,1,IF(1=life_fac,0.5,0))+Sens!K870*0.5)/life_fac</f>
        <v>8.292655637</v>
      </c>
    </row>
    <row r="876" customFormat="false" ht="17.15" hidden="false" customHeight="false" outlineLevel="0" collapsed="false">
      <c r="A876" s="0" t="s">
        <v>844</v>
      </c>
      <c r="B876" s="0" t="s">
        <v>98</v>
      </c>
      <c r="E876" s="6" t="n">
        <f aca="false">Sens!E874+Sens!E875</f>
        <v>16.3054059770833</v>
      </c>
      <c r="F876" s="6" t="n">
        <f aca="false">Sens!F874+Sens!F875</f>
        <v>34.7405354558698</v>
      </c>
      <c r="G876" s="6" t="n">
        <f aca="false">Sens!G874+Sens!G875</f>
        <v>60.5067332603396</v>
      </c>
      <c r="H876" s="6" t="n">
        <f aca="false">Sens!H874+Sens!H875</f>
        <v>87.7423159931396</v>
      </c>
      <c r="I876" s="6" t="n">
        <f aca="false">Sens!I874+Sens!I875</f>
        <v>111.987039982221</v>
      </c>
      <c r="J876" s="6" t="n">
        <f aca="false">Sens!J874+Sens!J875</f>
        <v>129.183710922666</v>
      </c>
      <c r="K876" s="6" t="n">
        <f aca="false">Sens!K874+Sens!K875</f>
        <v>139.647646804474</v>
      </c>
    </row>
    <row r="877" customFormat="false" ht="17.15" hidden="false" customHeight="false" outlineLevel="0" collapsed="false">
      <c r="A877" s="0" t="s">
        <v>845</v>
      </c>
      <c r="B877" s="0" t="s">
        <v>98</v>
      </c>
      <c r="E877" s="6" t="n">
        <f aca="false">Sens!E865-Sens!E864*Sens!E876</f>
        <v>8.92707889977379</v>
      </c>
      <c r="F877" s="6" t="n">
        <f aca="false">Sens!F865-Sens!F864*Sens!F876</f>
        <v>10.3555184894282</v>
      </c>
      <c r="G877" s="6" t="n">
        <f aca="false">Sens!G865-Sens!G864*Sens!G876</f>
        <v>16.8311334037443</v>
      </c>
      <c r="H877" s="6" t="n">
        <f aca="false">Sens!H865-Sens!H864*Sens!H876</f>
        <v>23.8489107774441</v>
      </c>
      <c r="I877" s="6" t="n">
        <f aca="false">Sens!I865-Sens!I864*Sens!I876</f>
        <v>30.1065979886328</v>
      </c>
      <c r="J877" s="6" t="n">
        <f aca="false">Sens!J865-Sens!J864*Sens!J876</f>
        <v>34.4275200067829</v>
      </c>
      <c r="K877" s="6" t="n">
        <f aca="false">Sens!K865-Sens!K864*Sens!K876</f>
        <v>37.6066842697026</v>
      </c>
    </row>
    <row r="878" customFormat="false" ht="17.15" hidden="false" customHeight="false" outlineLevel="0" collapsed="false">
      <c r="A878" s="3" t="s">
        <v>1255</v>
      </c>
    </row>
    <row r="879" customFormat="false" ht="15" hidden="false" customHeight="false" outlineLevel="0" collapsed="false">
      <c r="A879" s="4" t="s">
        <v>43</v>
      </c>
      <c r="B879" s="4" t="s">
        <v>65</v>
      </c>
      <c r="C879" s="20" t="s">
        <v>788</v>
      </c>
      <c r="D879" s="20" t="s">
        <v>789</v>
      </c>
      <c r="E879" s="20" t="s">
        <v>790</v>
      </c>
      <c r="F879" s="20" t="s">
        <v>791</v>
      </c>
      <c r="G879" s="20" t="s">
        <v>792</v>
      </c>
      <c r="H879" s="20" t="s">
        <v>793</v>
      </c>
      <c r="I879" s="20" t="s">
        <v>794</v>
      </c>
      <c r="J879" s="20" t="s">
        <v>795</v>
      </c>
      <c r="K879" s="20" t="s">
        <v>796</v>
      </c>
      <c r="L879" s="4" t="s">
        <v>47</v>
      </c>
    </row>
    <row r="880" customFormat="false" ht="17.15" hidden="false" customHeight="false" outlineLevel="0" collapsed="false">
      <c r="A880" s="0" t="s">
        <v>864</v>
      </c>
      <c r="B880" s="0" t="s">
        <v>98</v>
      </c>
      <c r="D880" s="6" t="n">
        <f aca="false">Sens!D859</f>
        <v>12.9359794422418</v>
      </c>
      <c r="E880" s="6" t="n">
        <f aca="false">Sens!E859</f>
        <v>27.8095064661409</v>
      </c>
      <c r="F880" s="6" t="n">
        <f aca="false">Sens!F859</f>
        <v>46.8044055887147</v>
      </c>
      <c r="G880" s="6" t="n">
        <f aca="false">Sens!G859</f>
        <v>76.0329601211957</v>
      </c>
      <c r="H880" s="6" t="n">
        <f aca="false">Sens!H859</f>
        <v>106.110286126343</v>
      </c>
      <c r="I880" s="6" t="n">
        <f aca="false">Sens!I859</f>
        <v>132.734691225662</v>
      </c>
      <c r="J880" s="6" t="n">
        <f aca="false">Sens!J859</f>
        <v>151.295375766904</v>
      </c>
      <c r="K880" s="6" t="n">
        <f aca="false">Sens!K859</f>
        <v>162.857536507396</v>
      </c>
    </row>
    <row r="881" customFormat="false" ht="17.15" hidden="false" customHeight="false" outlineLevel="0" collapsed="false">
      <c r="A881" s="0" t="s">
        <v>865</v>
      </c>
      <c r="B881" s="0" t="s">
        <v>98</v>
      </c>
      <c r="D881" s="6" t="n">
        <f aca="false">Q!L6-Sens!D880</f>
        <v>59.6740205577583</v>
      </c>
      <c r="E881" s="6" t="n">
        <f aca="false">Q!M6-Sens!E880</f>
        <v>74.1284935338591</v>
      </c>
      <c r="F881" s="6" t="n">
        <f aca="false">Sens!E881*(1+Sens!F882)</f>
        <v>90.0799497373663</v>
      </c>
      <c r="G881" s="6" t="n">
        <f aca="false">Sens!F881*(1+Sens!G882)</f>
        <v>107.02842520331</v>
      </c>
      <c r="H881" s="6" t="n">
        <f aca="false">Sens!G881*(1+Sens!H882)</f>
        <v>124.271982585636</v>
      </c>
      <c r="I881" s="6" t="n">
        <f aca="false">Sens!H881*(1+Sens!I882)</f>
        <v>140.933702381855</v>
      </c>
      <c r="J881" s="6" t="n">
        <f aca="false">Sens!I881*(1+Sens!J882)</f>
        <v>156.018867314332</v>
      </c>
      <c r="K881" s="6" t="n">
        <f aca="false">Sens!J881*(1+Sens!K882)</f>
        <v>168.500376699478</v>
      </c>
    </row>
    <row r="882" customFormat="false" ht="15" hidden="false" customHeight="false" outlineLevel="0" collapsed="false">
      <c r="A882" s="1" t="s">
        <v>866</v>
      </c>
      <c r="B882" s="0" t="s">
        <v>129</v>
      </c>
      <c r="E882" s="7" t="n">
        <f aca="false">Sens!E881/Sens!D881-1</f>
        <v>0.242223883039864</v>
      </c>
      <c r="F882" s="7" t="n">
        <f aca="false">Sens!$E$882+(glt_azo-Sens!$E$882)*MIN(1,(Sens!F842-base_fy)/n_conv)</f>
        <v>0.215186569199887</v>
      </c>
      <c r="G882" s="7" t="n">
        <f aca="false">Sens!$E$882+(glt_azo-Sens!$E$882)*MIN(1,(Sens!G842-base_fy)/n_conv)</f>
        <v>0.18814925535991</v>
      </c>
      <c r="H882" s="7" t="n">
        <f aca="false">Sens!$E$882+(glt_azo-Sens!$E$882)*MIN(1,(Sens!H842-base_fy)/n_conv)</f>
        <v>0.161111941519932</v>
      </c>
      <c r="I882" s="7" t="n">
        <f aca="false">Sens!$E$882+(glt_azo-Sens!$E$882)*MIN(1,(Sens!I842-base_fy)/n_conv)</f>
        <v>0.134074627679955</v>
      </c>
      <c r="J882" s="7" t="n">
        <f aca="false">Sens!$E$882+(glt_azo-Sens!$E$882)*MIN(1,(Sens!J842-base_fy)/n_conv)</f>
        <v>0.107037313839977</v>
      </c>
      <c r="K882" s="7" t="n">
        <f aca="false">Sens!$E$882+(glt_azo-Sens!$E$882)*MIN(1,(Sens!K842-base_fy)/n_conv)</f>
        <v>0.08</v>
      </c>
    </row>
    <row r="883" customFormat="false" ht="15" hidden="false" customHeight="false" outlineLevel="0" collapsed="false">
      <c r="A883" s="0" t="s">
        <v>867</v>
      </c>
      <c r="B883" s="0" t="s">
        <v>98</v>
      </c>
      <c r="D883" s="6" t="n">
        <f aca="false">Sens!D880+Sens!D881</f>
        <v>72.61</v>
      </c>
      <c r="E883" s="6" t="n">
        <f aca="false">Sens!E880+Sens!E881</f>
        <v>101.938</v>
      </c>
      <c r="F883" s="6" t="n">
        <f aca="false">Sens!F880+Sens!F881</f>
        <v>136.884355326081</v>
      </c>
      <c r="G883" s="6" t="n">
        <f aca="false">Sens!G880+Sens!G881</f>
        <v>183.061385324506</v>
      </c>
      <c r="H883" s="6" t="n">
        <f aca="false">Sens!H880+Sens!H881</f>
        <v>230.382268711979</v>
      </c>
      <c r="I883" s="6" t="n">
        <f aca="false">Sens!I880+Sens!I881</f>
        <v>273.668393607517</v>
      </c>
      <c r="J883" s="6" t="n">
        <f aca="false">Sens!J880+Sens!J881</f>
        <v>307.314243081236</v>
      </c>
      <c r="K883" s="6" t="n">
        <f aca="false">Sens!K880+Sens!K881</f>
        <v>331.357913206875</v>
      </c>
    </row>
    <row r="884" customFormat="false" ht="17.15" hidden="false" customHeight="false" outlineLevel="0" collapsed="false">
      <c r="A884" s="0" t="s">
        <v>868</v>
      </c>
      <c r="B884" s="1" t="s">
        <v>521</v>
      </c>
      <c r="C884" s="29" t="n">
        <f aca="false">cop_s24</f>
        <v>1</v>
      </c>
      <c r="D884" s="29" t="n">
        <f aca="false">cop_s25</f>
        <v>5</v>
      </c>
      <c r="E884" s="29" t="n">
        <f aca="false">cop_s26</f>
        <v>30</v>
      </c>
      <c r="F884" s="29" t="n">
        <f aca="false">Sens!E884+cop_add_B</f>
        <v>50</v>
      </c>
      <c r="G884" s="29" t="n">
        <f aca="false">Sens!F884+cop_add_B</f>
        <v>70</v>
      </c>
      <c r="H884" s="29" t="n">
        <f aca="false">Sens!G884+cop_add_B</f>
        <v>90</v>
      </c>
      <c r="I884" s="29" t="n">
        <f aca="false">Sens!H884+cop_add_B*cop_tail</f>
        <v>100</v>
      </c>
      <c r="J884" s="29" t="n">
        <f aca="false">Sens!I884+cop_add_B*cop_tail</f>
        <v>110</v>
      </c>
      <c r="K884" s="29" t="n">
        <f aca="false">Sens!J884+cop_add_B*cop_tail</f>
        <v>120</v>
      </c>
      <c r="L884" s="11" t="s">
        <v>869</v>
      </c>
    </row>
    <row r="885" customFormat="false" ht="17.15" hidden="false" customHeight="false" outlineLevel="0" collapsed="false">
      <c r="A885" s="0" t="s">
        <v>870</v>
      </c>
      <c r="B885" s="0" t="s">
        <v>98</v>
      </c>
      <c r="D885" s="6" t="n">
        <f aca="false">(Sens!C884+Sens!D884)/2*cop_px*12/1000</f>
        <v>0.9</v>
      </c>
      <c r="E885" s="6" t="n">
        <f aca="false">(Sens!D884+Sens!E884)/2*cop_px*12/1000</f>
        <v>5.25</v>
      </c>
      <c r="F885" s="6" t="n">
        <f aca="false">(Sens!E884+Sens!F884)/2*cop_px*12/1000</f>
        <v>12</v>
      </c>
      <c r="G885" s="6" t="n">
        <f aca="false">(Sens!F884+Sens!G884)/2*cop_px*12/1000</f>
        <v>18</v>
      </c>
      <c r="H885" s="6" t="n">
        <f aca="false">(Sens!G884+Sens!H884)/2*cop_px*12/1000</f>
        <v>24</v>
      </c>
      <c r="I885" s="6" t="n">
        <f aca="false">(Sens!H884+Sens!I884)/2*cop_px*12/1000</f>
        <v>28.5</v>
      </c>
      <c r="J885" s="6" t="n">
        <f aca="false">(Sens!I884+Sens!J884)/2*cop_px*12/1000</f>
        <v>31.5</v>
      </c>
      <c r="K885" s="6" t="n">
        <f aca="false">(Sens!J884+Sens!K884)/2*cop_px*12/1000</f>
        <v>34.5</v>
      </c>
      <c r="L885" s="1" t="s">
        <v>871</v>
      </c>
    </row>
    <row r="886" customFormat="false" ht="17.15" hidden="false" customHeight="false" outlineLevel="0" collapsed="false">
      <c r="A886" s="0" t="s">
        <v>872</v>
      </c>
      <c r="B886" s="0" t="s">
        <v>98</v>
      </c>
      <c r="D886" s="6" t="n">
        <f aca="false">Q!L7-Sens!D885</f>
        <v>83.705</v>
      </c>
      <c r="E886" s="6" t="n">
        <f aca="false">Q!M7-Sens!E885</f>
        <v>95.049</v>
      </c>
      <c r="F886" s="6" t="n">
        <f aca="false">Sens!E886*(1+Sens!F887)</f>
        <v>106.89238776686</v>
      </c>
      <c r="G886" s="6" t="n">
        <f aca="false">Sens!F886*(1+Sens!G887)</f>
        <v>119.044168448684</v>
      </c>
      <c r="H886" s="6" t="n">
        <f aca="false">Sens!G886*(1+Sens!H887)</f>
        <v>131.277359388781</v>
      </c>
      <c r="I886" s="6" t="n">
        <f aca="false">Sens!H886*(1+Sens!I887)</f>
        <v>143.334028071957</v>
      </c>
      <c r="J886" s="6" t="n">
        <f aca="false">Sens!I886*(1+Sens!J887)</f>
        <v>154.932702785465</v>
      </c>
      <c r="K886" s="6" t="n">
        <f aca="false">Sens!J886*(1+Sens!K887)</f>
        <v>165.777991980448</v>
      </c>
    </row>
    <row r="887" customFormat="false" ht="15" hidden="false" customHeight="false" outlineLevel="0" collapsed="false">
      <c r="A887" s="1" t="s">
        <v>866</v>
      </c>
      <c r="B887" s="0" t="s">
        <v>129</v>
      </c>
      <c r="E887" s="7" t="n">
        <f aca="false">Sens!E886/Sens!D886-1</f>
        <v>0.135523564900544</v>
      </c>
      <c r="F887" s="7" t="n">
        <f aca="false">Sens!$E$887+(glt_m365b-Sens!$E$887)*MIN(1,(Sens!F842-base_fy)/n_conv)</f>
        <v>0.124602970750453</v>
      </c>
      <c r="G887" s="7" t="n">
        <f aca="false">Sens!$E$887+(glt_m365b-Sens!$E$887)*MIN(1,(Sens!G842-base_fy)/n_conv)</f>
        <v>0.113682376600363</v>
      </c>
      <c r="H887" s="7" t="n">
        <f aca="false">Sens!$E$887+(glt_m365b-Sens!$E$887)*MIN(1,(Sens!H842-base_fy)/n_conv)</f>
        <v>0.102761782450272</v>
      </c>
      <c r="I887" s="7" t="n">
        <f aca="false">Sens!$E$887+(glt_m365b-Sens!$E$887)*MIN(1,(Sens!I842-base_fy)/n_conv)</f>
        <v>0.0918411883001813</v>
      </c>
      <c r="J887" s="7" t="n">
        <f aca="false">Sens!$E$887+(glt_m365b-Sens!$E$887)*MIN(1,(Sens!J842-base_fy)/n_conv)</f>
        <v>0.0809205941500906</v>
      </c>
      <c r="K887" s="7" t="n">
        <f aca="false">Sens!$E$887+(glt_m365b-Sens!$E$887)*MIN(1,(Sens!K842-base_fy)/n_conv)</f>
        <v>0.07</v>
      </c>
    </row>
    <row r="888" customFormat="false" ht="15" hidden="false" customHeight="false" outlineLevel="0" collapsed="false">
      <c r="A888" s="0" t="s">
        <v>873</v>
      </c>
      <c r="B888" s="0" t="s">
        <v>98</v>
      </c>
      <c r="D888" s="6" t="n">
        <f aca="false">Sens!D886+Sens!D885</f>
        <v>84.605</v>
      </c>
      <c r="E888" s="6" t="n">
        <f aca="false">Sens!E886+Sens!E885</f>
        <v>100.299</v>
      </c>
      <c r="F888" s="6" t="n">
        <f aca="false">Sens!F886+Sens!F885</f>
        <v>118.89238776686</v>
      </c>
      <c r="G888" s="6" t="n">
        <f aca="false">Sens!G886+Sens!G885</f>
        <v>137.044168448684</v>
      </c>
      <c r="H888" s="6" t="n">
        <f aca="false">Sens!H886+Sens!H885</f>
        <v>155.277359388781</v>
      </c>
      <c r="I888" s="6" t="n">
        <f aca="false">Sens!I886+Sens!I885</f>
        <v>171.834028071957</v>
      </c>
      <c r="J888" s="6" t="n">
        <f aca="false">Sens!J886+Sens!J885</f>
        <v>186.432702785465</v>
      </c>
      <c r="K888" s="6" t="n">
        <f aca="false">Sens!K886+Sens!K885</f>
        <v>200.277991980448</v>
      </c>
    </row>
    <row r="889" customFormat="false" ht="15" hidden="false" customHeight="false" outlineLevel="0" collapsed="false">
      <c r="A889" s="0" t="s">
        <v>874</v>
      </c>
      <c r="B889" s="0" t="s">
        <v>98</v>
      </c>
      <c r="D889" s="6" t="n">
        <f aca="false">Q!L8</f>
        <v>35.391</v>
      </c>
      <c r="E889" s="6" t="n">
        <f aca="false">Q!M8</f>
        <v>37.285</v>
      </c>
      <c r="F889" s="6" t="n">
        <f aca="false">Sens!E889*(1+Sens!F890)</f>
        <v>39.0720834331704</v>
      </c>
      <c r="G889" s="6" t="n">
        <f aca="false">Sens!F889*(1+Sens!G890)</f>
        <v>40.726562953769</v>
      </c>
      <c r="H889" s="6" t="n">
        <f aca="false">Sens!G889*(1+Sens!H890)</f>
        <v>42.2235987259198</v>
      </c>
      <c r="I889" s="6" t="n">
        <f aca="false">Sens!H889*(1+Sens!I890)</f>
        <v>43.5397988077414</v>
      </c>
      <c r="J889" s="6" t="n">
        <f aca="false">Sens!I889*(1+Sens!J890)</f>
        <v>44.653811225693</v>
      </c>
      <c r="K889" s="6" t="n">
        <f aca="false">Sens!J889*(1+Sens!K890)</f>
        <v>45.5468874502068</v>
      </c>
    </row>
    <row r="890" customFormat="false" ht="15" hidden="false" customHeight="false" outlineLevel="0" collapsed="false">
      <c r="A890" s="1" t="s">
        <v>866</v>
      </c>
      <c r="B890" s="0" t="s">
        <v>129</v>
      </c>
      <c r="E890" s="7" t="n">
        <f aca="false">Sens!E889/Sens!D889-1</f>
        <v>0.0535164307309768</v>
      </c>
      <c r="F890" s="7" t="n">
        <f aca="false">Sens!$E$890+(glt_lic-Sens!$E$890)*MIN(1,(Sens!F842-base_fy)/n_conv)</f>
        <v>0.0479303589424807</v>
      </c>
      <c r="G890" s="7" t="n">
        <f aca="false">Sens!$E$890+(glt_lic-Sens!$E$890)*MIN(1,(Sens!G842-base_fy)/n_conv)</f>
        <v>0.0423442871539845</v>
      </c>
      <c r="H890" s="7" t="n">
        <f aca="false">Sens!$E$890+(glt_lic-Sens!$E$890)*MIN(1,(Sens!H842-base_fy)/n_conv)</f>
        <v>0.0367582153654884</v>
      </c>
      <c r="I890" s="7" t="n">
        <f aca="false">Sens!$E$890+(glt_lic-Sens!$E$890)*MIN(1,(Sens!I842-base_fy)/n_conv)</f>
        <v>0.0311721435769923</v>
      </c>
      <c r="J890" s="7" t="n">
        <f aca="false">Sens!$E$890+(glt_lic-Sens!$E$890)*MIN(1,(Sens!J842-base_fy)/n_conv)</f>
        <v>0.0255860717884961</v>
      </c>
      <c r="K890" s="7" t="n">
        <f aca="false">Sens!$E$890+(glt_lic-Sens!$E$890)*MIN(1,(Sens!K842-base_fy)/n_conv)</f>
        <v>0.02</v>
      </c>
    </row>
    <row r="891" customFormat="false" ht="15" hidden="false" customHeight="false" outlineLevel="0" collapsed="false">
      <c r="A891" s="0" t="s">
        <v>875</v>
      </c>
      <c r="B891" s="0" t="s">
        <v>98</v>
      </c>
      <c r="D891" s="6" t="n">
        <f aca="false">Q!L9</f>
        <v>18.417</v>
      </c>
      <c r="E891" s="6" t="n">
        <f aca="false">Q!M9</f>
        <v>20.345</v>
      </c>
      <c r="F891" s="6" t="n">
        <f aca="false">Sens!E891*(1+Sens!F892)</f>
        <v>22.3572203267814</v>
      </c>
      <c r="G891" s="6" t="n">
        <f aca="false">Sens!F891*(1+Sens!G892)</f>
        <v>24.4392124437232</v>
      </c>
      <c r="H891" s="6" t="n">
        <f aca="false">Sens!G891*(1+Sens!H892)</f>
        <v>26.5738052080665</v>
      </c>
      <c r="I891" s="6" t="n">
        <f aca="false">Sens!H891*(1+Sens!I892)</f>
        <v>28.7412169166967</v>
      </c>
      <c r="J891" s="6" t="n">
        <f aca="false">Sens!I891*(1+Sens!J892)</f>
        <v>30.9192545395413</v>
      </c>
      <c r="K891" s="6" t="n">
        <f aca="false">Sens!J891*(1+Sens!K892)</f>
        <v>33.0836023573092</v>
      </c>
    </row>
    <row r="892" customFormat="false" ht="15" hidden="false" customHeight="false" outlineLevel="0" collapsed="false">
      <c r="A892" s="1" t="s">
        <v>866</v>
      </c>
      <c r="B892" s="0" t="s">
        <v>129</v>
      </c>
      <c r="E892" s="7" t="n">
        <f aca="false">Sens!E891/Sens!D891-1</f>
        <v>0.104685888038225</v>
      </c>
      <c r="F892" s="7" t="n">
        <f aca="false">Sens!$E$892+(glt_ind-Sens!$E$892)*MIN(1,(Sens!F842-base_fy)/n_conv)</f>
        <v>0.0989049066985211</v>
      </c>
      <c r="G892" s="7" t="n">
        <f aca="false">Sens!$E$892+(glt_ind-Sens!$E$892)*MIN(1,(Sens!G842-base_fy)/n_conv)</f>
        <v>0.0931239253588169</v>
      </c>
      <c r="H892" s="7" t="n">
        <f aca="false">Sens!$E$892+(glt_ind-Sens!$E$892)*MIN(1,(Sens!H842-base_fy)/n_conv)</f>
        <v>0.0873429440191127</v>
      </c>
      <c r="I892" s="7" t="n">
        <f aca="false">Sens!$E$892+(glt_ind-Sens!$E$892)*MIN(1,(Sens!I842-base_fy)/n_conv)</f>
        <v>0.0815619626794085</v>
      </c>
      <c r="J892" s="7" t="n">
        <f aca="false">Sens!$E$892+(glt_ind-Sens!$E$892)*MIN(1,(Sens!J842-base_fy)/n_conv)</f>
        <v>0.0757809813397042</v>
      </c>
      <c r="K892" s="7" t="n">
        <f aca="false">Sens!$E$892+(glt_ind-Sens!$E$892)*MIN(1,(Sens!K842-base_fy)/n_conv)</f>
        <v>0.07</v>
      </c>
    </row>
    <row r="893" customFormat="false" ht="15" hidden="false" customHeight="false" outlineLevel="0" collapsed="false">
      <c r="A893" s="0" t="s">
        <v>876</v>
      </c>
      <c r="B893" s="0" t="s">
        <v>98</v>
      </c>
      <c r="D893" s="6" t="n">
        <f aca="false">Q!L10</f>
        <v>7.76</v>
      </c>
      <c r="E893" s="6" t="n">
        <f aca="false">Q!M10</f>
        <v>8.26</v>
      </c>
      <c r="F893" s="6" t="n">
        <f aca="false">Sens!E893*(1+Sens!F894)</f>
        <v>8.79988041237113</v>
      </c>
      <c r="G893" s="6" t="n">
        <f aca="false">Sens!F893*(1+Sens!G894)</f>
        <v>9.38321269125306</v>
      </c>
      <c r="H893" s="6" t="n">
        <f aca="false">Sens!G893*(1+Sens!H894)</f>
        <v>10.0139193587476</v>
      </c>
      <c r="I893" s="6" t="n">
        <f aca="false">Sens!H893*(1+Sens!I894)</f>
        <v>10.6963111830911</v>
      </c>
      <c r="J893" s="6" t="n">
        <f aca="false">Sens!I893*(1+Sens!J894)</f>
        <v>11.4351285534696</v>
      </c>
      <c r="K893" s="6" t="n">
        <f aca="false">Sens!J893*(1+Sens!K894)</f>
        <v>12.2355875522124</v>
      </c>
    </row>
    <row r="894" customFormat="false" ht="15" hidden="false" customHeight="false" outlineLevel="0" collapsed="false">
      <c r="A894" s="1" t="s">
        <v>866</v>
      </c>
      <c r="B894" s="0" t="s">
        <v>129</v>
      </c>
      <c r="E894" s="7" t="n">
        <f aca="false">Sens!E893/Sens!D893-1</f>
        <v>0.0644329896907216</v>
      </c>
      <c r="F894" s="7" t="n">
        <f aca="false">Sens!$E$894+(glt_fro-Sens!$E$894)*MIN(1,(Sens!F842-base_fy)/n_conv)</f>
        <v>0.065360824742268</v>
      </c>
      <c r="G894" s="7" t="n">
        <f aca="false">Sens!$E$894+(glt_fro-Sens!$E$894)*MIN(1,(Sens!G842-base_fy)/n_conv)</f>
        <v>0.0662886597938144</v>
      </c>
      <c r="H894" s="7" t="n">
        <f aca="false">Sens!$E$894+(glt_fro-Sens!$E$894)*MIN(1,(Sens!H842-base_fy)/n_conv)</f>
        <v>0.0672164948453608</v>
      </c>
      <c r="I894" s="7" t="n">
        <f aca="false">Sens!$E$894+(glt_fro-Sens!$E$894)*MIN(1,(Sens!I842-base_fy)/n_conv)</f>
        <v>0.0681443298969072</v>
      </c>
      <c r="J894" s="7" t="n">
        <f aca="false">Sens!$E$894+(glt_fro-Sens!$E$894)*MIN(1,(Sens!J842-base_fy)/n_conv)</f>
        <v>0.0690721649484536</v>
      </c>
      <c r="K894" s="7" t="n">
        <f aca="false">Sens!$E$894+(glt_fro-Sens!$E$894)*MIN(1,(Sens!K842-base_fy)/n_conv)</f>
        <v>0.07</v>
      </c>
    </row>
    <row r="895" customFormat="false" ht="15" hidden="false" customHeight="false" outlineLevel="0" collapsed="false">
      <c r="A895" s="0" t="s">
        <v>704</v>
      </c>
      <c r="B895" s="0" t="s">
        <v>98</v>
      </c>
      <c r="D895" s="6" t="n">
        <f aca="false">Sens!D883+Sens!D888+Sens!D889+Sens!D891+Sens!D893</f>
        <v>218.783</v>
      </c>
      <c r="E895" s="6" t="n">
        <f aca="false">Sens!E883+Sens!E888+Sens!E889+Sens!E891+Sens!E893</f>
        <v>268.127</v>
      </c>
      <c r="F895" s="6" t="n">
        <f aca="false">Sens!F883+Sens!F888+Sens!F889+Sens!F891+Sens!F893</f>
        <v>326.005927265264</v>
      </c>
      <c r="G895" s="6" t="n">
        <f aca="false">Sens!G883+Sens!G888+Sens!G889+Sens!G891+Sens!G893</f>
        <v>394.654541861935</v>
      </c>
      <c r="H895" s="6" t="n">
        <f aca="false">Sens!H883+Sens!H888+Sens!H889+Sens!H891+Sens!H893</f>
        <v>464.470951393494</v>
      </c>
      <c r="I895" s="6" t="n">
        <f aca="false">Sens!I883+Sens!I888+Sens!I889+Sens!I891+Sens!I893</f>
        <v>528.479748587003</v>
      </c>
      <c r="J895" s="6" t="n">
        <f aca="false">Sens!J883+Sens!J888+Sens!J889+Sens!J891+Sens!J893</f>
        <v>580.755140185405</v>
      </c>
      <c r="K895" s="6" t="n">
        <f aca="false">Sens!K883+Sens!K888+Sens!K889+Sens!K891+Sens!K893</f>
        <v>622.501982547051</v>
      </c>
    </row>
    <row r="896" customFormat="false" ht="15" hidden="false" customHeight="false" outlineLevel="0" collapsed="false">
      <c r="A896" s="0" t="s">
        <v>877</v>
      </c>
      <c r="B896" s="0" t="s">
        <v>98</v>
      </c>
      <c r="D896" s="6" t="n">
        <f aca="false">Q!L13</f>
        <v>22.171</v>
      </c>
      <c r="E896" s="6" t="n">
        <f aca="false">Q!M13</f>
        <v>24.835</v>
      </c>
      <c r="F896" s="6" t="n">
        <f aca="false">Sens!E896*(1+Sens!F897)</f>
        <v>27.6114901218559</v>
      </c>
      <c r="G896" s="6" t="n">
        <f aca="false">Sens!F896*(1+Sens!G897)</f>
        <v>30.4675667338515</v>
      </c>
      <c r="H896" s="6" t="n">
        <f aca="false">Sens!G896*(1+Sens!H897)</f>
        <v>33.3643766955789</v>
      </c>
      <c r="I896" s="6" t="n">
        <f aca="false">Sens!H896*(1+Sens!I897)</f>
        <v>36.2577016533691</v>
      </c>
      <c r="J896" s="6" t="n">
        <f aca="false">Sens!I896*(1+Sens!J897)</f>
        <v>39.0988367952171</v>
      </c>
      <c r="K896" s="6" t="n">
        <f aca="false">Sens!J896*(1+Sens!K897)</f>
        <v>41.8357553708823</v>
      </c>
    </row>
    <row r="897" customFormat="false" ht="15" hidden="false" customHeight="false" outlineLevel="0" collapsed="false">
      <c r="A897" s="1" t="s">
        <v>866</v>
      </c>
      <c r="B897" s="0" t="s">
        <v>129</v>
      </c>
      <c r="E897" s="7" t="n">
        <f aca="false">Sens!E896/Sens!D896-1</f>
        <v>0.120156961796942</v>
      </c>
      <c r="F897" s="7" t="n">
        <f aca="false">Sens!$E$897+(glt_srch-Sens!$E$897)*MIN(1,(Sens!F842-base_fy)/n_conv)</f>
        <v>0.111797468164118</v>
      </c>
      <c r="G897" s="7" t="n">
        <f aca="false">Sens!$E$897+(glt_srch-Sens!$E$897)*MIN(1,(Sens!G842-base_fy)/n_conv)</f>
        <v>0.103437974531295</v>
      </c>
      <c r="H897" s="7" t="n">
        <f aca="false">Sens!$E$897+(glt_srch-Sens!$E$897)*MIN(1,(Sens!H842-base_fy)/n_conv)</f>
        <v>0.095078480898471</v>
      </c>
      <c r="I897" s="7" t="n">
        <f aca="false">Sens!$E$897+(glt_srch-Sens!$E$897)*MIN(1,(Sens!I842-base_fy)/n_conv)</f>
        <v>0.0867189872656474</v>
      </c>
      <c r="J897" s="7" t="n">
        <f aca="false">Sens!$E$897+(glt_srch-Sens!$E$897)*MIN(1,(Sens!J842-base_fy)/n_conv)</f>
        <v>0.0783594936328237</v>
      </c>
      <c r="K897" s="7" t="n">
        <f aca="false">Sens!$E$897+(glt_srch-Sens!$E$897)*MIN(1,(Sens!K842-base_fy)/n_conv)</f>
        <v>0.07</v>
      </c>
    </row>
    <row r="898" customFormat="false" ht="15" hidden="false" customHeight="false" outlineLevel="0" collapsed="false">
      <c r="A898" s="0" t="s">
        <v>878</v>
      </c>
      <c r="B898" s="0" t="s">
        <v>98</v>
      </c>
      <c r="D898" s="6" t="n">
        <f aca="false">Q!L14</f>
        <v>23.455</v>
      </c>
      <c r="E898" s="6" t="n">
        <f aca="false">Q!M14</f>
        <v>21.79</v>
      </c>
      <c r="F898" s="6" t="n">
        <f aca="false">Sens!E898*(1+Sens!F899)</f>
        <v>20.5736277908051</v>
      </c>
      <c r="G898" s="6" t="n">
        <f aca="false">Sens!F898*(1+Sens!G899)</f>
        <v>19.7371452817919</v>
      </c>
      <c r="H898" s="6" t="n">
        <f aca="false">Sens!G898*(1+Sens!H899)</f>
        <v>19.2339764043138</v>
      </c>
      <c r="I898" s="6" t="n">
        <f aca="false">Sens!H898*(1+Sens!I899)</f>
        <v>19.0353086852681</v>
      </c>
      <c r="J898" s="6" t="n">
        <f aca="false">Sens!I898*(1+Sens!J899)</f>
        <v>19.1273539319129</v>
      </c>
      <c r="K898" s="6" t="n">
        <f aca="false">Sens!J898*(1+Sens!K899)</f>
        <v>19.5099010105511</v>
      </c>
    </row>
    <row r="899" customFormat="false" ht="15" hidden="false" customHeight="false" outlineLevel="0" collapsed="false">
      <c r="A899" s="1" t="s">
        <v>866</v>
      </c>
      <c r="B899" s="0" t="s">
        <v>129</v>
      </c>
      <c r="E899" s="7" t="n">
        <f aca="false">Sens!E898/Sens!D898-1</f>
        <v>-0.0709869963760392</v>
      </c>
      <c r="F899" s="7" t="n">
        <f aca="false">Sens!$E$899+(glt_xbox-Sens!$E$899)*MIN(1,(Sens!F842-base_fy)/n_conv)</f>
        <v>-0.0558224969800327</v>
      </c>
      <c r="G899" s="7" t="n">
        <f aca="false">Sens!$E$899+(glt_xbox-Sens!$E$899)*MIN(1,(Sens!G842-base_fy)/n_conv)</f>
        <v>-0.0406579975840262</v>
      </c>
      <c r="H899" s="7" t="n">
        <f aca="false">Sens!$E$899+(glt_xbox-Sens!$E$899)*MIN(1,(Sens!H842-base_fy)/n_conv)</f>
        <v>-0.0254934981880196</v>
      </c>
      <c r="I899" s="7" t="n">
        <f aca="false">Sens!$E$899+(glt_xbox-Sens!$E$899)*MIN(1,(Sens!I842-base_fy)/n_conv)</f>
        <v>-0.0103289987920131</v>
      </c>
      <c r="J899" s="7" t="n">
        <f aca="false">Sens!$E$899+(glt_xbox-Sens!$E$899)*MIN(1,(Sens!J842-base_fy)/n_conv)</f>
        <v>0.00483550060399347</v>
      </c>
      <c r="K899" s="7" t="n">
        <f aca="false">Sens!$E$899+(glt_xbox-Sens!$E$899)*MIN(1,(Sens!K842-base_fy)/n_conv)</f>
        <v>0.02</v>
      </c>
    </row>
    <row r="900" customFormat="false" ht="15" hidden="false" customHeight="false" outlineLevel="0" collapsed="false">
      <c r="A900" s="0" t="s">
        <v>879</v>
      </c>
      <c r="B900" s="0" t="s">
        <v>98</v>
      </c>
      <c r="D900" s="6" t="n">
        <f aca="false">Q!L15</f>
        <v>17.315</v>
      </c>
      <c r="E900" s="6" t="n">
        <f aca="false">Q!M15</f>
        <v>17.087</v>
      </c>
      <c r="F900" s="6" t="n">
        <f aca="false">Sens!E900*(1+Sens!F901)</f>
        <v>16.9564585436519</v>
      </c>
      <c r="G900" s="6" t="n">
        <f aca="false">Sens!F900*(1+Sens!G901)</f>
        <v>16.9206490624268</v>
      </c>
      <c r="H900" s="6" t="n">
        <f aca="false">Sens!G900*(1+Sens!H901)</f>
        <v>16.9784519149849</v>
      </c>
      <c r="I900" s="6" t="n">
        <f aca="false">Sens!H900*(1+Sens!I901)</f>
        <v>17.1303084701817</v>
      </c>
      <c r="J900" s="6" t="n">
        <f aca="false">Sens!I900*(1+Sens!J901)</f>
        <v>17.3782189407267</v>
      </c>
      <c r="K900" s="6" t="n">
        <f aca="false">Sens!J900*(1+Sens!K901)</f>
        <v>17.7257833195413</v>
      </c>
    </row>
    <row r="901" customFormat="false" ht="15" hidden="false" customHeight="false" outlineLevel="0" collapsed="false">
      <c r="A901" s="1" t="s">
        <v>866</v>
      </c>
      <c r="B901" s="0" t="s">
        <v>129</v>
      </c>
      <c r="E901" s="7" t="n">
        <f aca="false">Sens!E900/Sens!D900-1</f>
        <v>-0.0131677736066995</v>
      </c>
      <c r="F901" s="7" t="n">
        <f aca="false">Sens!$E$901+(glt_win-Sens!$E$901)*MIN(1,(Sens!F842-base_fy)/n_conv)</f>
        <v>-0.00763981133891627</v>
      </c>
      <c r="G901" s="7" t="n">
        <f aca="false">Sens!$E$901+(glt_win-Sens!$E$901)*MIN(1,(Sens!G842-base_fy)/n_conv)</f>
        <v>-0.00211184907113301</v>
      </c>
      <c r="H901" s="7" t="n">
        <f aca="false">Sens!$E$901+(glt_win-Sens!$E$901)*MIN(1,(Sens!H842-base_fy)/n_conv)</f>
        <v>0.00341611319665024</v>
      </c>
      <c r="I901" s="7" t="n">
        <f aca="false">Sens!$E$901+(glt_win-Sens!$E$901)*MIN(1,(Sens!I842-base_fy)/n_conv)</f>
        <v>0.00894407546443349</v>
      </c>
      <c r="J901" s="7" t="n">
        <f aca="false">Sens!$E$901+(glt_win-Sens!$E$901)*MIN(1,(Sens!J842-base_fy)/n_conv)</f>
        <v>0.0144720377322168</v>
      </c>
      <c r="K901" s="7" t="n">
        <f aca="false">Sens!$E$901+(glt_win-Sens!$E$901)*MIN(1,(Sens!K842-base_fy)/n_conv)</f>
        <v>0.02</v>
      </c>
    </row>
    <row r="902" customFormat="false" ht="15" hidden="false" customHeight="false" outlineLevel="0" collapsed="false">
      <c r="A902" s="0" t="s">
        <v>718</v>
      </c>
      <c r="B902" s="0" t="s">
        <v>98</v>
      </c>
      <c r="D902" s="6" t="n">
        <f aca="false">Sens!D896+Sens!D898+Sens!D900</f>
        <v>62.941</v>
      </c>
      <c r="E902" s="6" t="n">
        <f aca="false">Sens!E896+Sens!E898+Sens!E900</f>
        <v>63.712</v>
      </c>
      <c r="F902" s="6" t="n">
        <f aca="false">Sens!F896+Sens!F898+Sens!F900</f>
        <v>65.1415764563129</v>
      </c>
      <c r="G902" s="6" t="n">
        <f aca="false">Sens!G896+Sens!G898+Sens!G900</f>
        <v>67.1253610780702</v>
      </c>
      <c r="H902" s="6" t="n">
        <f aca="false">Sens!H896+Sens!H898+Sens!H900</f>
        <v>69.5768050148776</v>
      </c>
      <c r="I902" s="6" t="n">
        <f aca="false">Sens!I896+Sens!I898+Sens!I900</f>
        <v>72.4233188088189</v>
      </c>
      <c r="J902" s="6" t="n">
        <f aca="false">Sens!J896+Sens!J898+Sens!J900</f>
        <v>75.6044096678567</v>
      </c>
      <c r="K902" s="6" t="n">
        <f aca="false">Sens!K896+Sens!K898+Sens!K900</f>
        <v>79.0714397009747</v>
      </c>
    </row>
    <row r="903" customFormat="false" ht="15" hidden="false" customHeight="false" outlineLevel="0" collapsed="false">
      <c r="A903" s="1" t="s">
        <v>880</v>
      </c>
      <c r="B903" s="0" t="s">
        <v>98</v>
      </c>
      <c r="D903" s="6" t="n">
        <f aca="false">Sens!D895+Sens!D902</f>
        <v>281.724</v>
      </c>
      <c r="E903" s="6" t="n">
        <f aca="false">Sens!E895+Sens!E902</f>
        <v>331.839</v>
      </c>
      <c r="F903" s="6" t="n">
        <f aca="false">Sens!F895+Sens!F902</f>
        <v>391.147503721577</v>
      </c>
      <c r="G903" s="6" t="n">
        <f aca="false">Sens!G895+Sens!G902</f>
        <v>461.779902940005</v>
      </c>
      <c r="H903" s="6" t="n">
        <f aca="false">Sens!H895+Sens!H902</f>
        <v>534.047756408372</v>
      </c>
      <c r="I903" s="6" t="n">
        <f aca="false">Sens!I895+Sens!I902</f>
        <v>600.903067395822</v>
      </c>
      <c r="J903" s="6" t="n">
        <f aca="false">Sens!J895+Sens!J902</f>
        <v>656.359549853262</v>
      </c>
      <c r="K903" s="6" t="n">
        <f aca="false">Sens!K895+Sens!K902</f>
        <v>701.573422248026</v>
      </c>
    </row>
    <row r="904" customFormat="false" ht="15" hidden="false" customHeight="false" outlineLevel="0" collapsed="false">
      <c r="A904" s="23" t="s">
        <v>881</v>
      </c>
      <c r="B904" s="30" t="s">
        <v>98</v>
      </c>
      <c r="C904" s="30"/>
      <c r="D904" s="24" t="n">
        <f aca="false">(Sens!D883+Sens!D888+Sens!D889+Sens!D891+Sens!D893-Sens!D895)+(Sens!D896+Sens!D898+Sens!D900-Sens!D902)+(Sens!D895-Q!L5)+(Sens!D902-Q!L12)+(Sens!D883-Q!L6)+(Sens!D888-Q!L7)</f>
        <v>0</v>
      </c>
      <c r="E904" s="24" t="n">
        <f aca="false">(Sens!E883+Sens!E888+Sens!E889+Sens!E891+Sens!E893-Sens!E895)+(Sens!E896+Sens!E898+Sens!E900-Sens!E902)+(Sens!E895-Q!M5)+(Sens!E902-Q!M12)+(Sens!E883-Q!M6)+(Sens!E888-Q!M7)</f>
        <v>0</v>
      </c>
      <c r="F904" s="24" t="n">
        <f aca="false">(Sens!F883+Sens!F888+Sens!F889+Sens!F891+Sens!F893-Sens!F895)+(Sens!F896+Sens!F898+Sens!F900-Sens!F902)</f>
        <v>0</v>
      </c>
      <c r="G904" s="24" t="n">
        <f aca="false">(Sens!G883+Sens!G888+Sens!G889+Sens!G891+Sens!G893-Sens!G895)+(Sens!G896+Sens!G898+Sens!G900-Sens!G902)</f>
        <v>0</v>
      </c>
      <c r="H904" s="24" t="n">
        <f aca="false">(Sens!H883+Sens!H888+Sens!H889+Sens!H891+Sens!H893-Sens!H895)+(Sens!H896+Sens!H898+Sens!H900-Sens!H902)</f>
        <v>0</v>
      </c>
      <c r="I904" s="24" t="n">
        <f aca="false">(Sens!I883+Sens!I888+Sens!I889+Sens!I891+Sens!I893-Sens!I895)+(Sens!I896+Sens!I898+Sens!I900-Sens!I902)</f>
        <v>0</v>
      </c>
      <c r="J904" s="24" t="n">
        <f aca="false">(Sens!J883+Sens!J888+Sens!J889+Sens!J891+Sens!J893-Sens!J895)+(Sens!J896+Sens!J898+Sens!J900-Sens!J902)</f>
        <v>0</v>
      </c>
      <c r="K904" s="24" t="n">
        <f aca="false">(Sens!K883+Sens!K888+Sens!K889+Sens!K891+Sens!K893-Sens!K895)+(Sens!K896+Sens!K898+Sens!K900-Sens!K902)</f>
        <v>0</v>
      </c>
    </row>
    <row r="905" customFormat="false" ht="17.15" hidden="false" customHeight="false" outlineLevel="0" collapsed="false">
      <c r="A905" s="3" t="s">
        <v>1256</v>
      </c>
    </row>
    <row r="906" customFormat="false" ht="15" hidden="false" customHeight="false" outlineLevel="0" collapsed="false">
      <c r="A906" s="4" t="s">
        <v>43</v>
      </c>
      <c r="B906" s="4" t="s">
        <v>65</v>
      </c>
      <c r="C906" s="20" t="s">
        <v>788</v>
      </c>
      <c r="D906" s="20" t="s">
        <v>789</v>
      </c>
      <c r="E906" s="20" t="s">
        <v>790</v>
      </c>
      <c r="F906" s="20" t="s">
        <v>791</v>
      </c>
      <c r="G906" s="20" t="s">
        <v>792</v>
      </c>
      <c r="H906" s="20" t="s">
        <v>793</v>
      </c>
      <c r="I906" s="20" t="s">
        <v>794</v>
      </c>
      <c r="J906" s="20" t="s">
        <v>795</v>
      </c>
      <c r="K906" s="20" t="s">
        <v>796</v>
      </c>
      <c r="L906" s="4" t="s">
        <v>47</v>
      </c>
    </row>
    <row r="907" customFormat="false" ht="15" hidden="false" customHeight="false" outlineLevel="0" collapsed="false">
      <c r="A907" s="0" t="s">
        <v>867</v>
      </c>
      <c r="B907" s="0" t="s">
        <v>98</v>
      </c>
      <c r="D907" s="6" t="n">
        <f aca="false">Sens!D883</f>
        <v>72.61</v>
      </c>
      <c r="E907" s="6" t="n">
        <f aca="false">Sens!E883</f>
        <v>101.938</v>
      </c>
      <c r="F907" s="6" t="n">
        <f aca="false">Sens!F883</f>
        <v>136.884355326081</v>
      </c>
      <c r="G907" s="6" t="n">
        <f aca="false">Sens!G883</f>
        <v>183.061385324506</v>
      </c>
      <c r="H907" s="6" t="n">
        <f aca="false">Sens!H883</f>
        <v>230.382268711979</v>
      </c>
      <c r="I907" s="6" t="n">
        <f aca="false">Sens!I883</f>
        <v>273.668393607517</v>
      </c>
      <c r="J907" s="6" t="n">
        <f aca="false">Sens!J883</f>
        <v>307.314243081236</v>
      </c>
      <c r="K907" s="6" t="n">
        <f aca="false">Sens!K883</f>
        <v>331.357913206875</v>
      </c>
    </row>
    <row r="908" customFormat="false" ht="17.15" hidden="false" customHeight="false" outlineLevel="0" collapsed="false">
      <c r="A908" s="0" t="s">
        <v>864</v>
      </c>
      <c r="B908" s="0" t="s">
        <v>98</v>
      </c>
      <c r="D908" s="6" t="n">
        <f aca="false">Sens!D880</f>
        <v>12.9359794422418</v>
      </c>
      <c r="E908" s="6" t="n">
        <f aca="false">Sens!E880</f>
        <v>27.8095064661409</v>
      </c>
      <c r="F908" s="6" t="n">
        <f aca="false">Sens!F880</f>
        <v>46.8044055887147</v>
      </c>
      <c r="G908" s="6" t="n">
        <f aca="false">Sens!G880</f>
        <v>76.0329601211957</v>
      </c>
      <c r="H908" s="6" t="n">
        <f aca="false">Sens!H880</f>
        <v>106.110286126343</v>
      </c>
      <c r="I908" s="6" t="n">
        <f aca="false">Sens!I880</f>
        <v>132.734691225662</v>
      </c>
      <c r="J908" s="6" t="n">
        <f aca="false">Sens!J880</f>
        <v>151.295375766904</v>
      </c>
      <c r="K908" s="6" t="n">
        <f aca="false">Sens!K880</f>
        <v>162.857536507396</v>
      </c>
    </row>
    <row r="909" customFormat="false" ht="17.15" hidden="false" customHeight="false" outlineLevel="0" collapsed="false">
      <c r="A909" s="0" t="s">
        <v>892</v>
      </c>
      <c r="B909" s="0" t="s">
        <v>98</v>
      </c>
      <c r="D909" s="6" t="n">
        <f aca="false">Sens!D881</f>
        <v>59.6740205577583</v>
      </c>
      <c r="E909" s="6" t="n">
        <f aca="false">Sens!E881</f>
        <v>74.1284935338591</v>
      </c>
      <c r="F909" s="6" t="n">
        <f aca="false">Sens!F881</f>
        <v>90.0799497373663</v>
      </c>
      <c r="G909" s="6" t="n">
        <f aca="false">Sens!G881</f>
        <v>107.02842520331</v>
      </c>
      <c r="H909" s="6" t="n">
        <f aca="false">Sens!H881</f>
        <v>124.271982585636</v>
      </c>
      <c r="I909" s="6" t="n">
        <f aca="false">Sens!I881</f>
        <v>140.933702381855</v>
      </c>
      <c r="J909" s="6" t="n">
        <f aca="false">Sens!J881</f>
        <v>156.018867314332</v>
      </c>
      <c r="K909" s="6" t="n">
        <f aca="false">Sens!K881</f>
        <v>168.500376699478</v>
      </c>
    </row>
    <row r="910" customFormat="false" ht="15" hidden="false" customHeight="false" outlineLevel="0" collapsed="false">
      <c r="A910" s="0" t="s">
        <v>873</v>
      </c>
      <c r="B910" s="0" t="s">
        <v>98</v>
      </c>
      <c r="D910" s="6" t="n">
        <f aca="false">Sens!D888</f>
        <v>84.605</v>
      </c>
      <c r="E910" s="6" t="n">
        <f aca="false">Sens!E888</f>
        <v>100.299</v>
      </c>
      <c r="F910" s="6" t="n">
        <f aca="false">Sens!F888</f>
        <v>118.89238776686</v>
      </c>
      <c r="G910" s="6" t="n">
        <f aca="false">Sens!G888</f>
        <v>137.044168448684</v>
      </c>
      <c r="H910" s="6" t="n">
        <f aca="false">Sens!H888</f>
        <v>155.277359388781</v>
      </c>
      <c r="I910" s="6" t="n">
        <f aca="false">Sens!I888</f>
        <v>171.834028071957</v>
      </c>
      <c r="J910" s="6" t="n">
        <f aca="false">Sens!J888</f>
        <v>186.432702785465</v>
      </c>
      <c r="K910" s="6" t="n">
        <f aca="false">Sens!K888</f>
        <v>200.277991980448</v>
      </c>
    </row>
    <row r="911" customFormat="false" ht="17.15" hidden="false" customHeight="false" outlineLevel="0" collapsed="false">
      <c r="A911" s="0" t="s">
        <v>893</v>
      </c>
      <c r="B911" s="0" t="s">
        <v>98</v>
      </c>
      <c r="D911" s="6" t="n">
        <f aca="false">Sens!D886</f>
        <v>83.705</v>
      </c>
      <c r="E911" s="6" t="n">
        <f aca="false">Sens!E886</f>
        <v>95.049</v>
      </c>
      <c r="F911" s="6" t="n">
        <f aca="false">Sens!F886</f>
        <v>106.89238776686</v>
      </c>
      <c r="G911" s="6" t="n">
        <f aca="false">Sens!G886</f>
        <v>119.044168448684</v>
      </c>
      <c r="H911" s="6" t="n">
        <f aca="false">Sens!H886</f>
        <v>131.277359388781</v>
      </c>
      <c r="I911" s="6" t="n">
        <f aca="false">Sens!I886</f>
        <v>143.334028071957</v>
      </c>
      <c r="J911" s="6" t="n">
        <f aca="false">Sens!J886</f>
        <v>154.932702785465</v>
      </c>
      <c r="K911" s="6" t="n">
        <f aca="false">Sens!K886</f>
        <v>165.777991980448</v>
      </c>
    </row>
    <row r="912" customFormat="false" ht="17.15" hidden="false" customHeight="false" outlineLevel="0" collapsed="false">
      <c r="A912" s="0" t="s">
        <v>894</v>
      </c>
      <c r="B912" s="0" t="s">
        <v>98</v>
      </c>
      <c r="D912" s="6" t="n">
        <f aca="false">Sens!D885</f>
        <v>0.9</v>
      </c>
      <c r="E912" s="6" t="n">
        <f aca="false">Sens!E885</f>
        <v>5.25</v>
      </c>
      <c r="F912" s="6" t="n">
        <f aca="false">Sens!F885</f>
        <v>12</v>
      </c>
      <c r="G912" s="6" t="n">
        <f aca="false">Sens!G885</f>
        <v>18</v>
      </c>
      <c r="H912" s="6" t="n">
        <f aca="false">Sens!H885</f>
        <v>24</v>
      </c>
      <c r="I912" s="6" t="n">
        <f aca="false">Sens!I885</f>
        <v>28.5</v>
      </c>
      <c r="J912" s="6" t="n">
        <f aca="false">Sens!J885</f>
        <v>31.5</v>
      </c>
      <c r="K912" s="6" t="n">
        <f aca="false">Sens!K885</f>
        <v>34.5</v>
      </c>
    </row>
    <row r="913" customFormat="false" ht="15" hidden="false" customHeight="false" outlineLevel="0" collapsed="false">
      <c r="A913" s="0" t="s">
        <v>874</v>
      </c>
      <c r="B913" s="0" t="s">
        <v>98</v>
      </c>
      <c r="D913" s="6" t="n">
        <f aca="false">Sens!D889</f>
        <v>35.391</v>
      </c>
      <c r="E913" s="6" t="n">
        <f aca="false">Sens!E889</f>
        <v>37.285</v>
      </c>
      <c r="F913" s="6" t="n">
        <f aca="false">Sens!F889</f>
        <v>39.0720834331704</v>
      </c>
      <c r="G913" s="6" t="n">
        <f aca="false">Sens!G889</f>
        <v>40.726562953769</v>
      </c>
      <c r="H913" s="6" t="n">
        <f aca="false">Sens!H889</f>
        <v>42.2235987259198</v>
      </c>
      <c r="I913" s="6" t="n">
        <f aca="false">Sens!I889</f>
        <v>43.5397988077414</v>
      </c>
      <c r="J913" s="6" t="n">
        <f aca="false">Sens!J889</f>
        <v>44.653811225693</v>
      </c>
      <c r="K913" s="6" t="n">
        <f aca="false">Sens!K889</f>
        <v>45.5468874502068</v>
      </c>
    </row>
    <row r="914" customFormat="false" ht="15" hidden="false" customHeight="false" outlineLevel="0" collapsed="false">
      <c r="A914" s="0" t="s">
        <v>875</v>
      </c>
      <c r="B914" s="0" t="s">
        <v>98</v>
      </c>
      <c r="D914" s="6" t="n">
        <f aca="false">Sens!D891</f>
        <v>18.417</v>
      </c>
      <c r="E914" s="6" t="n">
        <f aca="false">Sens!E891</f>
        <v>20.345</v>
      </c>
      <c r="F914" s="6" t="n">
        <f aca="false">Sens!F891</f>
        <v>22.3572203267814</v>
      </c>
      <c r="G914" s="6" t="n">
        <f aca="false">Sens!G891</f>
        <v>24.4392124437232</v>
      </c>
      <c r="H914" s="6" t="n">
        <f aca="false">Sens!H891</f>
        <v>26.5738052080665</v>
      </c>
      <c r="I914" s="6" t="n">
        <f aca="false">Sens!I891</f>
        <v>28.7412169166967</v>
      </c>
      <c r="J914" s="6" t="n">
        <f aca="false">Sens!J891</f>
        <v>30.9192545395413</v>
      </c>
      <c r="K914" s="6" t="n">
        <f aca="false">Sens!K891</f>
        <v>33.0836023573092</v>
      </c>
    </row>
    <row r="915" customFormat="false" ht="15" hidden="false" customHeight="false" outlineLevel="0" collapsed="false">
      <c r="A915" s="0" t="s">
        <v>876</v>
      </c>
      <c r="B915" s="0" t="s">
        <v>98</v>
      </c>
      <c r="D915" s="6" t="n">
        <f aca="false">Sens!D893</f>
        <v>7.76</v>
      </c>
      <c r="E915" s="6" t="n">
        <f aca="false">Sens!E893</f>
        <v>8.26</v>
      </c>
      <c r="F915" s="6" t="n">
        <f aca="false">Sens!F893</f>
        <v>8.79988041237113</v>
      </c>
      <c r="G915" s="6" t="n">
        <f aca="false">Sens!G893</f>
        <v>9.38321269125306</v>
      </c>
      <c r="H915" s="6" t="n">
        <f aca="false">Sens!H893</f>
        <v>10.0139193587476</v>
      </c>
      <c r="I915" s="6" t="n">
        <f aca="false">Sens!I893</f>
        <v>10.6963111830911</v>
      </c>
      <c r="J915" s="6" t="n">
        <f aca="false">Sens!J893</f>
        <v>11.4351285534696</v>
      </c>
      <c r="K915" s="6" t="n">
        <f aca="false">Sens!K893</f>
        <v>12.2355875522124</v>
      </c>
    </row>
    <row r="916" customFormat="false" ht="15" hidden="false" customHeight="false" outlineLevel="0" collapsed="false">
      <c r="A916" s="0" t="s">
        <v>704</v>
      </c>
      <c r="B916" s="0" t="s">
        <v>98</v>
      </c>
      <c r="D916" s="6" t="n">
        <f aca="false">Sens!D895</f>
        <v>218.783</v>
      </c>
      <c r="E916" s="6" t="n">
        <f aca="false">Sens!E895</f>
        <v>268.127</v>
      </c>
      <c r="F916" s="6" t="n">
        <f aca="false">Sens!F895</f>
        <v>326.005927265264</v>
      </c>
      <c r="G916" s="6" t="n">
        <f aca="false">Sens!G895</f>
        <v>394.654541861935</v>
      </c>
      <c r="H916" s="6" t="n">
        <f aca="false">Sens!H895</f>
        <v>464.470951393494</v>
      </c>
      <c r="I916" s="6" t="n">
        <f aca="false">Sens!I895</f>
        <v>528.479748587003</v>
      </c>
      <c r="J916" s="6" t="n">
        <f aca="false">Sens!J895</f>
        <v>580.755140185405</v>
      </c>
      <c r="K916" s="6" t="n">
        <f aca="false">Sens!K895</f>
        <v>622.501982547051</v>
      </c>
    </row>
    <row r="917" customFormat="false" ht="15" hidden="false" customHeight="false" outlineLevel="0" collapsed="false">
      <c r="A917" s="0" t="s">
        <v>877</v>
      </c>
      <c r="B917" s="0" t="s">
        <v>98</v>
      </c>
      <c r="D917" s="6" t="n">
        <f aca="false">Sens!D896</f>
        <v>22.171</v>
      </c>
      <c r="E917" s="6" t="n">
        <f aca="false">Sens!E896</f>
        <v>24.835</v>
      </c>
      <c r="F917" s="6" t="n">
        <f aca="false">Sens!F896</f>
        <v>27.6114901218559</v>
      </c>
      <c r="G917" s="6" t="n">
        <f aca="false">Sens!G896</f>
        <v>30.4675667338515</v>
      </c>
      <c r="H917" s="6" t="n">
        <f aca="false">Sens!H896</f>
        <v>33.3643766955789</v>
      </c>
      <c r="I917" s="6" t="n">
        <f aca="false">Sens!I896</f>
        <v>36.2577016533691</v>
      </c>
      <c r="J917" s="6" t="n">
        <f aca="false">Sens!J896</f>
        <v>39.0988367952171</v>
      </c>
      <c r="K917" s="6" t="n">
        <f aca="false">Sens!K896</f>
        <v>41.8357553708823</v>
      </c>
    </row>
    <row r="918" customFormat="false" ht="15" hidden="false" customHeight="false" outlineLevel="0" collapsed="false">
      <c r="A918" s="0" t="s">
        <v>878</v>
      </c>
      <c r="B918" s="0" t="s">
        <v>98</v>
      </c>
      <c r="D918" s="6" t="n">
        <f aca="false">Sens!D898</f>
        <v>23.455</v>
      </c>
      <c r="E918" s="6" t="n">
        <f aca="false">Sens!E898</f>
        <v>21.79</v>
      </c>
      <c r="F918" s="6" t="n">
        <f aca="false">Sens!F898</f>
        <v>20.5736277908051</v>
      </c>
      <c r="G918" s="6" t="n">
        <f aca="false">Sens!G898</f>
        <v>19.7371452817919</v>
      </c>
      <c r="H918" s="6" t="n">
        <f aca="false">Sens!H898</f>
        <v>19.2339764043138</v>
      </c>
      <c r="I918" s="6" t="n">
        <f aca="false">Sens!I898</f>
        <v>19.0353086852681</v>
      </c>
      <c r="J918" s="6" t="n">
        <f aca="false">Sens!J898</f>
        <v>19.1273539319129</v>
      </c>
      <c r="K918" s="6" t="n">
        <f aca="false">Sens!K898</f>
        <v>19.5099010105511</v>
      </c>
    </row>
    <row r="919" customFormat="false" ht="15" hidden="false" customHeight="false" outlineLevel="0" collapsed="false">
      <c r="A919" s="0" t="s">
        <v>879</v>
      </c>
      <c r="B919" s="0" t="s">
        <v>98</v>
      </c>
      <c r="D919" s="6" t="n">
        <f aca="false">Sens!D900</f>
        <v>17.315</v>
      </c>
      <c r="E919" s="6" t="n">
        <f aca="false">Sens!E900</f>
        <v>17.087</v>
      </c>
      <c r="F919" s="6" t="n">
        <f aca="false">Sens!F900</f>
        <v>16.9564585436519</v>
      </c>
      <c r="G919" s="6" t="n">
        <f aca="false">Sens!G900</f>
        <v>16.9206490624268</v>
      </c>
      <c r="H919" s="6" t="n">
        <f aca="false">Sens!H900</f>
        <v>16.9784519149849</v>
      </c>
      <c r="I919" s="6" t="n">
        <f aca="false">Sens!I900</f>
        <v>17.1303084701817</v>
      </c>
      <c r="J919" s="6" t="n">
        <f aca="false">Sens!J900</f>
        <v>17.3782189407267</v>
      </c>
      <c r="K919" s="6" t="n">
        <f aca="false">Sens!K900</f>
        <v>17.7257833195413</v>
      </c>
    </row>
    <row r="920" customFormat="false" ht="15" hidden="false" customHeight="false" outlineLevel="0" collapsed="false">
      <c r="A920" s="0" t="s">
        <v>718</v>
      </c>
      <c r="B920" s="0" t="s">
        <v>98</v>
      </c>
      <c r="D920" s="6" t="n">
        <f aca="false">Sens!D902</f>
        <v>62.941</v>
      </c>
      <c r="E920" s="6" t="n">
        <f aca="false">Sens!E902</f>
        <v>63.712</v>
      </c>
      <c r="F920" s="6" t="n">
        <f aca="false">Sens!F902</f>
        <v>65.1415764563129</v>
      </c>
      <c r="G920" s="6" t="n">
        <f aca="false">Sens!G902</f>
        <v>67.1253610780702</v>
      </c>
      <c r="H920" s="6" t="n">
        <f aca="false">Sens!H902</f>
        <v>69.5768050148776</v>
      </c>
      <c r="I920" s="6" t="n">
        <f aca="false">Sens!I902</f>
        <v>72.4233188088189</v>
      </c>
      <c r="J920" s="6" t="n">
        <f aca="false">Sens!J902</f>
        <v>75.6044096678567</v>
      </c>
      <c r="K920" s="6" t="n">
        <f aca="false">Sens!K902</f>
        <v>79.0714397009747</v>
      </c>
    </row>
    <row r="921" customFormat="false" ht="15" hidden="false" customHeight="false" outlineLevel="0" collapsed="false">
      <c r="A921" s="1" t="s">
        <v>895</v>
      </c>
      <c r="B921" s="0" t="s">
        <v>98</v>
      </c>
      <c r="D921" s="6" t="n">
        <f aca="false">Sens!D903</f>
        <v>281.724</v>
      </c>
      <c r="E921" s="6" t="n">
        <f aca="false">Sens!E903</f>
        <v>331.839</v>
      </c>
      <c r="F921" s="6" t="n">
        <f aca="false">Sens!F903</f>
        <v>391.147503721577</v>
      </c>
      <c r="G921" s="6" t="n">
        <f aca="false">Sens!G903</f>
        <v>461.779902940005</v>
      </c>
      <c r="H921" s="6" t="n">
        <f aca="false">Sens!H903</f>
        <v>534.047756408372</v>
      </c>
      <c r="I921" s="6" t="n">
        <f aca="false">Sens!I903</f>
        <v>600.903067395822</v>
      </c>
      <c r="J921" s="6" t="n">
        <f aca="false">Sens!J903</f>
        <v>656.359549853262</v>
      </c>
      <c r="K921" s="6" t="n">
        <f aca="false">Sens!K903</f>
        <v>701.573422248026</v>
      </c>
    </row>
    <row r="922" customFormat="false" ht="15" hidden="false" customHeight="false" outlineLevel="0" collapsed="false">
      <c r="A922" s="1" t="s">
        <v>896</v>
      </c>
      <c r="B922" s="0" t="s">
        <v>129</v>
      </c>
      <c r="E922" s="7" t="n">
        <f aca="false">Sens!E921/Sens!D921-1</f>
        <v>0.177886867998467</v>
      </c>
      <c r="F922" s="7" t="n">
        <f aca="false">Sens!F921/Sens!E921-1</f>
        <v>0.178726743154291</v>
      </c>
      <c r="G922" s="7" t="n">
        <f aca="false">Sens!G921/Sens!F921-1</f>
        <v>0.180577399948601</v>
      </c>
      <c r="H922" s="7" t="n">
        <f aca="false">Sens!H921/Sens!G921-1</f>
        <v>0.156498481220729</v>
      </c>
      <c r="I922" s="7" t="n">
        <f aca="false">Sens!I921/Sens!H921-1</f>
        <v>0.125186016016755</v>
      </c>
      <c r="J922" s="7" t="n">
        <f aca="false">Sens!J921/Sens!I921-1</f>
        <v>0.0922885661039732</v>
      </c>
      <c r="K922" s="7" t="n">
        <f aca="false">Sens!K921/Sens!J921-1</f>
        <v>0.0688858300376256</v>
      </c>
    </row>
    <row r="923" customFormat="false" ht="17.15" hidden="false" customHeight="false" outlineLevel="0" collapsed="false">
      <c r="A923" s="23" t="s">
        <v>897</v>
      </c>
      <c r="B923" s="30" t="s">
        <v>98</v>
      </c>
      <c r="C923" s="30"/>
      <c r="D923" s="24" t="n">
        <f aca="false">(Sens!D916+Sens!D920-Sens!D921)+(Sens!D908+Sens!D909-Sens!D907)+(Sens!D911+Sens!D912-Sens!D910)+(Sens!D921-Q!L18)</f>
        <v>0</v>
      </c>
      <c r="E923" s="24" t="n">
        <f aca="false">(Sens!E916+Sens!E920-Sens!E921)+(Sens!E908+Sens!E909-Sens!E907)+(Sens!E911+Sens!E912-Sens!E910)+(Sens!E921-Q!M18)</f>
        <v>0</v>
      </c>
      <c r="F923" s="24" t="n">
        <f aca="false">(Sens!F916+Sens!F920-Sens!F921)+(Sens!F908+Sens!F909-Sens!F907)+(Sens!F911+Sens!F912-Sens!F910)</f>
        <v>0</v>
      </c>
      <c r="G923" s="24" t="n">
        <f aca="false">(Sens!G916+Sens!G920-Sens!G921)+(Sens!G908+Sens!G909-Sens!G907)+(Sens!G911+Sens!G912-Sens!G910)</f>
        <v>0</v>
      </c>
      <c r="H923" s="24" t="n">
        <f aca="false">(Sens!H916+Sens!H920-Sens!H921)+(Sens!H908+Sens!H909-Sens!H907)+(Sens!H911+Sens!H912-Sens!H910)</f>
        <v>0</v>
      </c>
      <c r="I923" s="24" t="n">
        <f aca="false">(Sens!I916+Sens!I920-Sens!I921)+(Sens!I908+Sens!I909-Sens!I907)+(Sens!I911+Sens!I912-Sens!I910)</f>
        <v>0</v>
      </c>
      <c r="J923" s="24" t="n">
        <f aca="false">(Sens!J916+Sens!J920-Sens!J921)+(Sens!J908+Sens!J909-Sens!J907)+(Sens!J911+Sens!J912-Sens!J910)</f>
        <v>0</v>
      </c>
      <c r="K923" s="24" t="n">
        <f aca="false">(Sens!K916+Sens!K920-Sens!K921)+(Sens!K908+Sens!K909-Sens!K907)+(Sens!K911+Sens!K912-Sens!K910)</f>
        <v>0</v>
      </c>
    </row>
    <row r="924" customFormat="false" ht="17.15" hidden="false" customHeight="false" outlineLevel="0" collapsed="false">
      <c r="A924" s="0" t="s">
        <v>898</v>
      </c>
      <c r="B924" s="0" t="s">
        <v>129</v>
      </c>
      <c r="E924" s="7" t="n">
        <f aca="false">(Q!M21+Sens!E861+Sens!E862+Sens!E863+Sens!E876-Sens!E859)/(Q!M5-Sens!E859)</f>
        <v>0.570957350878296</v>
      </c>
      <c r="F924" s="7" t="n">
        <f aca="false">Sens!$E$924+dm_seg</f>
        <v>0.570957350878296</v>
      </c>
      <c r="G924" s="7" t="n">
        <f aca="false">Sens!$E$924+dm_seg</f>
        <v>0.570957350878296</v>
      </c>
      <c r="H924" s="7" t="n">
        <f aca="false">Sens!$E$924+dm_seg</f>
        <v>0.570957350878296</v>
      </c>
      <c r="I924" s="7" t="n">
        <f aca="false">Sens!$E$924+dm_seg</f>
        <v>0.570957350878296</v>
      </c>
      <c r="J924" s="7" t="n">
        <f aca="false">Sens!$E$924+dm_seg</f>
        <v>0.570957350878296</v>
      </c>
      <c r="K924" s="7" t="n">
        <f aca="false">Sens!$E$924+dm_seg</f>
        <v>0.570957350878296</v>
      </c>
      <c r="L924" s="11" t="s">
        <v>899</v>
      </c>
    </row>
    <row r="925" customFormat="false" ht="17.15" hidden="false" customHeight="false" outlineLevel="0" collapsed="false">
      <c r="A925" s="0" t="s">
        <v>732</v>
      </c>
      <c r="B925" s="0" t="s">
        <v>98</v>
      </c>
      <c r="D925" s="6" t="n">
        <f aca="false">Q!L21</f>
        <v>110.814</v>
      </c>
      <c r="E925" s="6" t="n">
        <f aca="false">Q!M21</f>
        <v>136.365</v>
      </c>
      <c r="F925" s="6" t="n">
        <f aca="false">Sens!F924*(Sens!F895-Sens!F859)+Sens!F859-(Sens!F861+Sens!F862+Sens!F863)-Sens!F876</f>
        <v>149.338534934202</v>
      </c>
      <c r="G925" s="6" t="n">
        <f aca="false">Sens!G924*(Sens!G895-Sens!G859)+Sens!G859-(Sens!G861+Sens!G862+Sens!G863)-Sens!G876</f>
        <v>163.763143168788</v>
      </c>
      <c r="H925" s="6" t="n">
        <f aca="false">Sens!H924*(Sens!H895-Sens!H859)+Sens!H859-(Sens!H861+Sens!H862+Sens!H863)-Sens!H876</f>
        <v>178.097209978095</v>
      </c>
      <c r="I925" s="6" t="n">
        <f aca="false">Sens!I924*(Sens!I895-Sens!I859)+Sens!I859-(Sens!I861+Sens!I862+Sens!I863)-Sens!I876</f>
        <v>192.121978738157</v>
      </c>
      <c r="J925" s="6" t="n">
        <f aca="false">Sens!J924*(Sens!J895-Sens!J859)+Sens!J859-(Sens!J861+Sens!J862+Sens!J863)-Sens!J876</f>
        <v>206.199385567906</v>
      </c>
      <c r="K925" s="6" t="n">
        <f aca="false">Sens!K924*(Sens!K895-Sens!K859)+Sens!K859-(Sens!K861+Sens!K862+Sens!K863)-Sens!K876</f>
        <v>221.024051367963</v>
      </c>
      <c r="L925" s="1" t="s">
        <v>900</v>
      </c>
    </row>
    <row r="926" customFormat="false" ht="17.15" hidden="false" customHeight="false" outlineLevel="0" collapsed="false">
      <c r="A926" s="0" t="s">
        <v>901</v>
      </c>
      <c r="B926" s="0" t="s">
        <v>129</v>
      </c>
      <c r="E926" s="7" t="n">
        <f aca="false">Q!M22/Q!M12</f>
        <v>0.296207935710698</v>
      </c>
      <c r="F926" s="7" t="n">
        <f aca="false">Sens!$E$926+dm_seg</f>
        <v>0.296207935710698</v>
      </c>
      <c r="G926" s="7" t="n">
        <f aca="false">Sens!$E$926+dm_seg</f>
        <v>0.296207935710698</v>
      </c>
      <c r="H926" s="7" t="n">
        <f aca="false">Sens!$E$926+dm_seg</f>
        <v>0.296207935710698</v>
      </c>
      <c r="I926" s="7" t="n">
        <f aca="false">Sens!$E$926+dm_seg</f>
        <v>0.296207935710698</v>
      </c>
      <c r="J926" s="7" t="n">
        <f aca="false">Sens!$E$926+dm_seg</f>
        <v>0.296207935710698</v>
      </c>
      <c r="K926" s="7" t="n">
        <f aca="false">Sens!$E$926+dm_seg</f>
        <v>0.296207935710698</v>
      </c>
      <c r="L926" s="11" t="s">
        <v>902</v>
      </c>
    </row>
    <row r="927" customFormat="false" ht="17.15" hidden="false" customHeight="false" outlineLevel="0" collapsed="false">
      <c r="A927" s="0" t="s">
        <v>734</v>
      </c>
      <c r="B927" s="0" t="s">
        <v>98</v>
      </c>
      <c r="D927" s="6" t="n">
        <f aca="false">Q!L22</f>
        <v>17.714</v>
      </c>
      <c r="E927" s="6" t="n">
        <f aca="false">Q!M22</f>
        <v>18.872</v>
      </c>
      <c r="F927" s="6" t="n">
        <f aca="false">Sens!F902*Sens!F926</f>
        <v>19.2954518910651</v>
      </c>
      <c r="G927" s="6" t="n">
        <f aca="false">Sens!G902*Sens!G926</f>
        <v>19.8830646387704</v>
      </c>
      <c r="H927" s="6" t="n">
        <f aca="false">Sens!H902*Sens!H926</f>
        <v>20.6092017868026</v>
      </c>
      <c r="I927" s="6" t="n">
        <f aca="false">Sens!I902*Sens!I926</f>
        <v>21.452361761678</v>
      </c>
      <c r="J927" s="6" t="n">
        <f aca="false">Sens!J902*Sens!J926</f>
        <v>22.3946261183418</v>
      </c>
      <c r="K927" s="6" t="n">
        <f aca="false">Sens!K902*Sens!K926</f>
        <v>23.4215879274986</v>
      </c>
    </row>
    <row r="928" customFormat="false" ht="15" hidden="false" customHeight="false" outlineLevel="0" collapsed="false">
      <c r="A928" s="1" t="s">
        <v>903</v>
      </c>
      <c r="B928" s="0" t="s">
        <v>98</v>
      </c>
      <c r="D928" s="6" t="n">
        <f aca="false">Sens!D925+Sens!D927</f>
        <v>128.528</v>
      </c>
      <c r="E928" s="6" t="n">
        <f aca="false">Sens!E925+Sens!E927</f>
        <v>155.237</v>
      </c>
      <c r="F928" s="6" t="n">
        <f aca="false">Sens!F925+Sens!F927</f>
        <v>168.633986825267</v>
      </c>
      <c r="G928" s="6" t="n">
        <f aca="false">Sens!G925+Sens!G927</f>
        <v>183.646207807559</v>
      </c>
      <c r="H928" s="6" t="n">
        <f aca="false">Sens!H925+Sens!H927</f>
        <v>198.706411764897</v>
      </c>
      <c r="I928" s="6" t="n">
        <f aca="false">Sens!I925+Sens!I927</f>
        <v>213.574340499835</v>
      </c>
      <c r="J928" s="6" t="n">
        <f aca="false">Sens!J925+Sens!J927</f>
        <v>228.594011686248</v>
      </c>
      <c r="K928" s="6" t="n">
        <f aca="false">Sens!K925+Sens!K927</f>
        <v>244.445639295462</v>
      </c>
    </row>
    <row r="929" customFormat="false" ht="15" hidden="false" customHeight="false" outlineLevel="0" collapsed="false">
      <c r="A929" s="23" t="s">
        <v>904</v>
      </c>
      <c r="B929" s="30" t="s">
        <v>98</v>
      </c>
      <c r="C929" s="30"/>
      <c r="D929" s="24" t="n">
        <f aca="false">Sens!D928-Q!L23</f>
        <v>0</v>
      </c>
      <c r="E929" s="24" t="n">
        <f aca="false">Sens!E928-Q!M23</f>
        <v>0</v>
      </c>
      <c r="F929" s="30"/>
      <c r="G929" s="30"/>
      <c r="H929" s="30"/>
      <c r="I929" s="30"/>
      <c r="J929" s="30"/>
      <c r="K929" s="30"/>
    </row>
    <row r="930" customFormat="false" ht="15" hidden="false" customHeight="false" outlineLevel="0" collapsed="false">
      <c r="A930" s="1" t="s">
        <v>905</v>
      </c>
      <c r="B930" s="0" t="s">
        <v>129</v>
      </c>
      <c r="D930" s="7" t="n">
        <f aca="false">Sens!D928/Sens!D921</f>
        <v>0.456219562408598</v>
      </c>
      <c r="E930" s="7" t="n">
        <f aca="false">Sens!E928/Sens!E921</f>
        <v>0.467808184089272</v>
      </c>
      <c r="F930" s="7" t="n">
        <f aca="false">Sens!F928/Sens!F921</f>
        <v>0.431126327589458</v>
      </c>
      <c r="G930" s="7" t="n">
        <f aca="false">Sens!G928/Sens!G921</f>
        <v>0.397692075030425</v>
      </c>
      <c r="H930" s="7" t="n">
        <f aca="false">Sens!H928/Sens!H921</f>
        <v>0.37207611001169</v>
      </c>
      <c r="I930" s="7" t="n">
        <f aca="false">Sens!I928/Sens!I921</f>
        <v>0.355422283706119</v>
      </c>
      <c r="J930" s="7" t="n">
        <f aca="false">Sens!J928/Sens!J921</f>
        <v>0.348275593365486</v>
      </c>
      <c r="K930" s="7" t="n">
        <f aca="false">Sens!K928/Sens!K921</f>
        <v>0.348424885469854</v>
      </c>
    </row>
    <row r="931" customFormat="false" ht="17.15" hidden="false" customHeight="false" outlineLevel="0" collapsed="false">
      <c r="A931" s="1" t="s">
        <v>906</v>
      </c>
      <c r="B931" s="0" t="s">
        <v>98</v>
      </c>
      <c r="F931" s="6" t="n">
        <f aca="false">Sens!F946</f>
        <v>19.9358184660572</v>
      </c>
      <c r="G931" s="6" t="n">
        <f aca="false">Sens!G946</f>
        <v>35.1359494439124</v>
      </c>
      <c r="H931" s="6" t="n">
        <f aca="false">Sens!H946</f>
        <v>51.688536514718</v>
      </c>
      <c r="I931" s="6" t="n">
        <f aca="false">Sens!I946</f>
        <v>66.8193432436896</v>
      </c>
      <c r="J931" s="6" t="n">
        <f aca="false">Sens!J946</f>
        <v>77.4328840229578</v>
      </c>
      <c r="K931" s="6" t="n">
        <f aca="false">Sens!K946</f>
        <v>83.3249638901295</v>
      </c>
      <c r="L931" s="1" t="s">
        <v>907</v>
      </c>
    </row>
    <row r="932" customFormat="false" ht="17.15" hidden="false" customHeight="false" outlineLevel="0" collapsed="false">
      <c r="A932" s="1" t="s">
        <v>908</v>
      </c>
      <c r="B932" s="0" t="s">
        <v>98</v>
      </c>
      <c r="D932" s="6" t="n">
        <f aca="false">Sens!D928</f>
        <v>128.528</v>
      </c>
      <c r="E932" s="6" t="n">
        <f aca="false">Sens!E928</f>
        <v>155.237</v>
      </c>
      <c r="F932" s="6" t="n">
        <f aca="false">Sens!F928+Sens!F931</f>
        <v>188.569805291324</v>
      </c>
      <c r="G932" s="6" t="n">
        <f aca="false">Sens!G928+Sens!G931</f>
        <v>218.782157251471</v>
      </c>
      <c r="H932" s="6" t="n">
        <f aca="false">Sens!H928+Sens!H931</f>
        <v>250.394948279615</v>
      </c>
      <c r="I932" s="6" t="n">
        <f aca="false">Sens!I928+Sens!I931</f>
        <v>280.393683743525</v>
      </c>
      <c r="J932" s="6" t="n">
        <f aca="false">Sens!J928+Sens!J931</f>
        <v>306.026895709206</v>
      </c>
      <c r="K932" s="6" t="n">
        <f aca="false">Sens!K928+Sens!K931</f>
        <v>327.770603185591</v>
      </c>
    </row>
    <row r="933" customFormat="false" ht="17.15" hidden="false" customHeight="false" outlineLevel="0" collapsed="false">
      <c r="A933" s="1" t="s">
        <v>909</v>
      </c>
      <c r="B933" s="0" t="s">
        <v>98</v>
      </c>
      <c r="E933" s="6" t="n">
        <f aca="false">Sens!E876</f>
        <v>16.3054059770833</v>
      </c>
      <c r="F933" s="6" t="n">
        <f aca="false">Sens!F876</f>
        <v>34.7405354558698</v>
      </c>
      <c r="G933" s="6" t="n">
        <f aca="false">Sens!G876</f>
        <v>60.5067332603396</v>
      </c>
      <c r="H933" s="6" t="n">
        <f aca="false">Sens!H876</f>
        <v>87.7423159931396</v>
      </c>
      <c r="I933" s="6" t="n">
        <f aca="false">Sens!I876</f>
        <v>111.987039982221</v>
      </c>
      <c r="J933" s="6" t="n">
        <f aca="false">Sens!J876</f>
        <v>129.183710922666</v>
      </c>
      <c r="K933" s="6" t="n">
        <f aca="false">Sens!K876</f>
        <v>139.647646804474</v>
      </c>
    </row>
    <row r="934" customFormat="false" ht="17.15" hidden="false" customHeight="false" outlineLevel="0" collapsed="false">
      <c r="A934" s="1" t="s">
        <v>910</v>
      </c>
      <c r="B934" s="0" t="s">
        <v>98</v>
      </c>
      <c r="E934" s="6" t="n">
        <f aca="false">Sens!E958</f>
        <v>22.2285940229167</v>
      </c>
      <c r="F934" s="6" t="n">
        <f aca="false">Sens!F958</f>
        <v>23.5636693435813</v>
      </c>
      <c r="G934" s="6" t="n">
        <f aca="false">Sens!G958</f>
        <v>25.3225917662621</v>
      </c>
      <c r="H934" s="6" t="n">
        <f aca="false">Sens!H958</f>
        <v>27.4714839540448</v>
      </c>
      <c r="I934" s="6" t="n">
        <f aca="false">Sens!I958</f>
        <v>29.9441755898047</v>
      </c>
      <c r="J934" s="6" t="n">
        <f aca="false">Sens!J958</f>
        <v>32.6578493558616</v>
      </c>
      <c r="K934" s="6" t="n">
        <f aca="false">Sens!K958</f>
        <v>35.5289346944749</v>
      </c>
    </row>
    <row r="935" customFormat="false" ht="17.15" hidden="false" customHeight="false" outlineLevel="0" collapsed="false">
      <c r="A935" s="1" t="s">
        <v>911</v>
      </c>
      <c r="B935" s="0" t="s">
        <v>98</v>
      </c>
      <c r="D935" s="6" t="n">
        <f aca="false">Q!L27</f>
        <v>-4.901</v>
      </c>
      <c r="E935" s="6" t="n">
        <f aca="false">Q!M27</f>
        <v>10.697</v>
      </c>
      <c r="F935" s="6" t="n">
        <f aca="false">oie_f</f>
        <v>-0.4</v>
      </c>
      <c r="G935" s="6" t="n">
        <f aca="false">oie_f</f>
        <v>-0.4</v>
      </c>
      <c r="H935" s="6" t="n">
        <f aca="false">oie_f</f>
        <v>-0.4</v>
      </c>
      <c r="I935" s="6" t="n">
        <f aca="false">oie_f</f>
        <v>-0.4</v>
      </c>
      <c r="J935" s="6" t="n">
        <f aca="false">oie_f</f>
        <v>-0.4</v>
      </c>
      <c r="K935" s="6" t="n">
        <f aca="false">oie_f</f>
        <v>-0.4</v>
      </c>
      <c r="L935" s="11" t="s">
        <v>912</v>
      </c>
    </row>
    <row r="936" customFormat="false" ht="15" hidden="false" customHeight="false" outlineLevel="0" collapsed="false">
      <c r="A936" s="1" t="s">
        <v>913</v>
      </c>
      <c r="B936" s="0" t="s">
        <v>98</v>
      </c>
      <c r="D936" s="6" t="n">
        <f aca="false">Sens!D928+Sens!D935</f>
        <v>123.627</v>
      </c>
      <c r="E936" s="6" t="n">
        <f aca="false">Sens!E928+Sens!E935</f>
        <v>165.934</v>
      </c>
      <c r="F936" s="6" t="n">
        <f aca="false">Sens!F928+Sens!F935</f>
        <v>168.233986825267</v>
      </c>
      <c r="G936" s="6" t="n">
        <f aca="false">Sens!G928+Sens!G935</f>
        <v>183.246207807559</v>
      </c>
      <c r="H936" s="6" t="n">
        <f aca="false">Sens!H928+Sens!H935</f>
        <v>198.306411764897</v>
      </c>
      <c r="I936" s="6" t="n">
        <f aca="false">Sens!I928+Sens!I935</f>
        <v>213.174340499835</v>
      </c>
      <c r="J936" s="6" t="n">
        <f aca="false">Sens!J928+Sens!J935</f>
        <v>228.194011686248</v>
      </c>
      <c r="K936" s="6" t="n">
        <f aca="false">Sens!K928+Sens!K935</f>
        <v>244.045639295462</v>
      </c>
    </row>
    <row r="937" customFormat="false" ht="15" hidden="false" customHeight="false" outlineLevel="0" collapsed="false">
      <c r="A937" s="1" t="s">
        <v>914</v>
      </c>
      <c r="B937" s="0" t="s">
        <v>98</v>
      </c>
      <c r="D937" s="6" t="n">
        <f aca="false">Q!L29</f>
        <v>21.795</v>
      </c>
      <c r="E937" s="6" t="n">
        <f aca="false">Q!M29</f>
        <v>32.185</v>
      </c>
      <c r="F937" s="6" t="n">
        <f aca="false">Sens!F936*tax_f</f>
        <v>33.6467973650534</v>
      </c>
      <c r="G937" s="6" t="n">
        <f aca="false">Sens!G936*tax_f</f>
        <v>36.6492415615117</v>
      </c>
      <c r="H937" s="6" t="n">
        <f aca="false">Sens!H936*tax_f</f>
        <v>39.6612823529795</v>
      </c>
      <c r="I937" s="6" t="n">
        <f aca="false">Sens!I936*tax_f</f>
        <v>42.634868099967</v>
      </c>
      <c r="J937" s="6" t="n">
        <f aca="false">Sens!J936*tax_f</f>
        <v>45.6388023372496</v>
      </c>
      <c r="K937" s="6" t="n">
        <f aca="false">Sens!K936*tax_f</f>
        <v>48.8091278590923</v>
      </c>
    </row>
    <row r="938" customFormat="false" ht="15" hidden="false" customHeight="false" outlineLevel="0" collapsed="false">
      <c r="A938" s="1" t="s">
        <v>915</v>
      </c>
      <c r="B938" s="0" t="s">
        <v>98</v>
      </c>
      <c r="D938" s="6" t="n">
        <f aca="false">Sens!D936-Sens!D937</f>
        <v>101.832</v>
      </c>
      <c r="E938" s="6" t="n">
        <f aca="false">Sens!E936-Sens!E937</f>
        <v>133.749</v>
      </c>
      <c r="F938" s="6" t="n">
        <f aca="false">Sens!F936-Sens!F937</f>
        <v>134.587189460214</v>
      </c>
      <c r="G938" s="6" t="n">
        <f aca="false">Sens!G936-Sens!G937</f>
        <v>146.596966246047</v>
      </c>
      <c r="H938" s="6" t="n">
        <f aca="false">Sens!H936-Sens!H937</f>
        <v>158.645129411918</v>
      </c>
      <c r="I938" s="6" t="n">
        <f aca="false">Sens!I936-Sens!I937</f>
        <v>170.539472399868</v>
      </c>
      <c r="J938" s="6" t="n">
        <f aca="false">Sens!J936-Sens!J937</f>
        <v>182.555209348998</v>
      </c>
      <c r="K938" s="6" t="n">
        <f aca="false">Sens!K936-Sens!K937</f>
        <v>195.236511436369</v>
      </c>
    </row>
    <row r="939" customFormat="false" ht="17.15" hidden="false" customHeight="false" outlineLevel="0" collapsed="false">
      <c r="A939" s="1" t="s">
        <v>916</v>
      </c>
      <c r="B939" s="1" t="s">
        <v>81</v>
      </c>
      <c r="D939" s="14" t="n">
        <f aca="false">Q!L31</f>
        <v>7.465</v>
      </c>
      <c r="E939" s="14" t="n">
        <f aca="false">Q!M31</f>
        <v>7.453</v>
      </c>
      <c r="F939" s="14" t="n">
        <f aca="false">Sens!F980</f>
        <v>7.4735</v>
      </c>
      <c r="G939" s="14" t="n">
        <f aca="false">Sens!G980</f>
        <v>7.5185</v>
      </c>
      <c r="H939" s="14" t="n">
        <f aca="false">Sens!H980</f>
        <v>7.54869546546182</v>
      </c>
      <c r="I939" s="14" t="n">
        <f aca="false">Sens!I980</f>
        <v>7.56292017708101</v>
      </c>
      <c r="J939" s="14" t="n">
        <f aca="false">Sens!J980</f>
        <v>7.57716168819889</v>
      </c>
      <c r="K939" s="14" t="n">
        <f aca="false">Sens!K980</f>
        <v>7.59368160590063</v>
      </c>
    </row>
    <row r="940" customFormat="false" ht="17.15" hidden="false" customHeight="false" outlineLevel="0" collapsed="false">
      <c r="A940" s="0" t="s">
        <v>917</v>
      </c>
      <c r="B940" s="0" t="s">
        <v>75</v>
      </c>
      <c r="D940" s="8" t="n">
        <f aca="false">Sens!D938/Sens!D939</f>
        <v>13.641259209645</v>
      </c>
      <c r="E940" s="8" t="n">
        <f aca="false">Sens!E938/Sens!E939</f>
        <v>17.9456594659869</v>
      </c>
      <c r="F940" s="8" t="n">
        <f aca="false">Sens!F938/Sens!F939</f>
        <v>18.0085889422913</v>
      </c>
      <c r="G940" s="8" t="n">
        <f aca="false">Sens!G938/Sens!G939</f>
        <v>19.4981666883084</v>
      </c>
      <c r="H940" s="8" t="n">
        <f aca="false">Sens!H938/Sens!H939</f>
        <v>21.0162312333012</v>
      </c>
      <c r="I940" s="8" t="n">
        <f aca="false">Sens!I938/Sens!I939</f>
        <v>22.5494211768462</v>
      </c>
      <c r="J940" s="8" t="n">
        <f aca="false">Sens!J938/Sens!J939</f>
        <v>24.092822201923</v>
      </c>
      <c r="K940" s="8" t="n">
        <f aca="false">Sens!K938/Sens!K939</f>
        <v>25.7103894485992</v>
      </c>
      <c r="L940" s="1" t="s">
        <v>918</v>
      </c>
    </row>
    <row r="941" customFormat="false" ht="17.15" hidden="false" customHeight="false" outlineLevel="0" collapsed="false">
      <c r="A941" s="1" t="s">
        <v>919</v>
      </c>
      <c r="B941" s="0" t="s">
        <v>98</v>
      </c>
      <c r="D941" s="6" t="n">
        <f aca="false">Sens!D938</f>
        <v>101.832</v>
      </c>
      <c r="E941" s="6" t="n">
        <f aca="false">Sens!E938</f>
        <v>133.749</v>
      </c>
      <c r="F941" s="6" t="n">
        <f aca="false">Sens!F938+Sens!F931*(1-tax_f)</f>
        <v>150.535844233059</v>
      </c>
      <c r="G941" s="6" t="n">
        <f aca="false">Sens!G938+Sens!G931*(1-tax_f)</f>
        <v>174.705725801177</v>
      </c>
      <c r="H941" s="6" t="n">
        <f aca="false">Sens!H938+Sens!H931*(1-tax_f)</f>
        <v>199.995958623692</v>
      </c>
      <c r="I941" s="6" t="n">
        <f aca="false">Sens!I938+Sens!I931*(1-tax_f)</f>
        <v>223.99494699482</v>
      </c>
      <c r="J941" s="6" t="n">
        <f aca="false">Sens!J938+Sens!J931*(1-tax_f)</f>
        <v>244.501516567365</v>
      </c>
      <c r="K941" s="6" t="n">
        <f aca="false">Sens!K938+Sens!K931*(1-tax_f)</f>
        <v>261.896482548473</v>
      </c>
    </row>
    <row r="942" customFormat="false" ht="17.15" hidden="false" customHeight="false" outlineLevel="0" collapsed="false">
      <c r="A942" s="0" t="s">
        <v>920</v>
      </c>
      <c r="B942" s="0" t="s">
        <v>75</v>
      </c>
      <c r="D942" s="8" t="n">
        <f aca="false">Sens!D941/Sens!D939</f>
        <v>13.641259209645</v>
      </c>
      <c r="E942" s="8" t="n">
        <f aca="false">Sens!E941/Sens!E939</f>
        <v>17.9456594659869</v>
      </c>
      <c r="F942" s="8" t="n">
        <f aca="false">Sens!F941/Sens!F939</f>
        <v>20.1426164759563</v>
      </c>
      <c r="G942" s="8" t="n">
        <f aca="false">Sens!G941/Sens!G939</f>
        <v>23.2367793843422</v>
      </c>
      <c r="H942" s="8" t="n">
        <f aca="false">Sens!H941/Sens!H939</f>
        <v>26.4941087554466</v>
      </c>
      <c r="I942" s="8" t="n">
        <f aca="false">Sens!I941/Sens!I939</f>
        <v>29.6175209773632</v>
      </c>
      <c r="J942" s="8" t="n">
        <f aca="false">Sens!J941/Sens!J939</f>
        <v>32.2682195033749</v>
      </c>
      <c r="K942" s="8" t="n">
        <f aca="false">Sens!K941/Sens!K939</f>
        <v>34.4887363126955</v>
      </c>
      <c r="L942" s="1" t="s">
        <v>921</v>
      </c>
    </row>
    <row r="943" customFormat="false" ht="17.15" hidden="false" customHeight="false" outlineLevel="0" collapsed="false">
      <c r="A943" s="0" t="s">
        <v>922</v>
      </c>
      <c r="B943" s="0" t="s">
        <v>129</v>
      </c>
      <c r="E943" s="7" t="n">
        <f aca="false">Sens!E942/Sens!D942-1</f>
        <v>0.315542736208578</v>
      </c>
      <c r="F943" s="7" t="n">
        <f aca="false">Sens!F942/Sens!E942-1</f>
        <v>0.122422751536851</v>
      </c>
      <c r="G943" s="7" t="n">
        <f aca="false">Sens!G942/Sens!F942-1</f>
        <v>0.153612759895384</v>
      </c>
      <c r="H943" s="7" t="n">
        <f aca="false">Sens!H942/Sens!G942-1</f>
        <v>0.140179898308082</v>
      </c>
      <c r="I943" s="7" t="n">
        <f aca="false">Sens!I942/Sens!H942-1</f>
        <v>0.117890820587593</v>
      </c>
      <c r="J943" s="7" t="n">
        <f aca="false">Sens!J942/Sens!I942-1</f>
        <v>0.0894976499902778</v>
      </c>
      <c r="K943" s="7" t="n">
        <f aca="false">Sens!K942/Sens!J942-1</f>
        <v>0.0688143580121712</v>
      </c>
    </row>
    <row r="944" customFormat="false" ht="17.15" hidden="false" customHeight="false" outlineLevel="0" collapsed="false">
      <c r="A944" s="0" t="s">
        <v>846</v>
      </c>
      <c r="B944" s="0" t="s">
        <v>98</v>
      </c>
      <c r="E944" s="6" t="n">
        <f aca="false">Sens!E885</f>
        <v>5.25</v>
      </c>
      <c r="F944" s="6" t="n">
        <f aca="false">Sens!F885</f>
        <v>12</v>
      </c>
      <c r="G944" s="6" t="n">
        <f aca="false">Sens!G885</f>
        <v>18</v>
      </c>
      <c r="H944" s="6" t="n">
        <f aca="false">Sens!H885</f>
        <v>24</v>
      </c>
      <c r="I944" s="6" t="n">
        <f aca="false">Sens!I885</f>
        <v>28.5</v>
      </c>
      <c r="J944" s="6" t="n">
        <f aca="false">Sens!J885</f>
        <v>31.5</v>
      </c>
      <c r="K944" s="6" t="n">
        <f aca="false">Sens!K885</f>
        <v>34.5</v>
      </c>
    </row>
    <row r="945" customFormat="false" ht="17.15" hidden="false" customHeight="false" outlineLevel="0" collapsed="false">
      <c r="A945" s="1" t="s">
        <v>847</v>
      </c>
      <c r="B945" s="0" t="s">
        <v>98</v>
      </c>
      <c r="F945" s="6" t="n">
        <f aca="false">MAX(0,(Sens!E848+Sens!F848)/2*Sens!F856/1000-Sens!F944*Sens!F924)</f>
        <v>19.9358184660572</v>
      </c>
      <c r="G945" s="6" t="n">
        <f aca="false">MAX(0,(Sens!F848+Sens!G848)/2*Sens!G856/1000-Sens!G944*Sens!G924)</f>
        <v>35.1359494439124</v>
      </c>
      <c r="H945" s="6" t="n">
        <f aca="false">MAX(0,(Sens!G848+Sens!H848)/2*Sens!H856/1000-Sens!H944*Sens!H924)</f>
        <v>51.688536514718</v>
      </c>
      <c r="I945" s="6" t="n">
        <f aca="false">MAX(0,(Sens!H848+Sens!I848)/2*Sens!I856/1000-Sens!I944*Sens!I924)</f>
        <v>66.8193432436896</v>
      </c>
      <c r="J945" s="6" t="n">
        <f aca="false">MAX(0,(Sens!I848+Sens!J848)/2*Sens!J856/1000-Sens!J944*Sens!J924)</f>
        <v>77.4328840229578</v>
      </c>
      <c r="K945" s="6" t="n">
        <f aca="false">MAX(0,(Sens!J848+Sens!K848)/2*Sens!K856/1000-Sens!K944*Sens!K924)</f>
        <v>83.3249638901295</v>
      </c>
      <c r="L945" s="1" t="s">
        <v>848</v>
      </c>
    </row>
    <row r="946" customFormat="false" ht="17.15" hidden="false" customHeight="false" outlineLevel="0" collapsed="false">
      <c r="A946" s="1" t="s">
        <v>849</v>
      </c>
      <c r="B946" s="0" t="s">
        <v>98</v>
      </c>
      <c r="F946" s="6" t="n">
        <f aca="false">IF(internal_ai_reading=2,1,0)*Sens!F945</f>
        <v>19.9358184660572</v>
      </c>
      <c r="G946" s="6" t="n">
        <f aca="false">IF(internal_ai_reading=2,1,0)*Sens!G945</f>
        <v>35.1359494439124</v>
      </c>
      <c r="H946" s="6" t="n">
        <f aca="false">IF(internal_ai_reading=2,1,0)*Sens!H945</f>
        <v>51.688536514718</v>
      </c>
      <c r="I946" s="6" t="n">
        <f aca="false">IF(internal_ai_reading=2,1,0)*Sens!I945</f>
        <v>66.8193432436896</v>
      </c>
      <c r="J946" s="6" t="n">
        <f aca="false">IF(internal_ai_reading=2,1,0)*Sens!J945</f>
        <v>77.4328840229578</v>
      </c>
      <c r="K946" s="6" t="n">
        <f aca="false">IF(internal_ai_reading=2,1,0)*Sens!K945</f>
        <v>83.3249638901295</v>
      </c>
    </row>
    <row r="947" customFormat="false" ht="17.15" hidden="false" customHeight="false" outlineLevel="0" collapsed="false">
      <c r="A947" s="0" t="s">
        <v>850</v>
      </c>
      <c r="B947" s="0" t="s">
        <v>98</v>
      </c>
      <c r="F947" s="6" t="n">
        <f aca="false">Sens!F865+Sens!F944*Sens!F924+Sens!F946-Sens!F866-Sens!F876</f>
        <v>16.7136804331672</v>
      </c>
      <c r="G947" s="6" t="n">
        <f aca="false">Sens!G865+Sens!G944*Sens!G924+Sens!G946-Sens!G866-Sens!G876</f>
        <v>27.256990685165</v>
      </c>
      <c r="H947" s="6" t="n">
        <f aca="false">Sens!H865+Sens!H944*Sens!H924+Sens!H946-Sens!H866-Sens!H876</f>
        <v>38.8800668139754</v>
      </c>
      <c r="I947" s="6" t="n">
        <f aca="false">Sens!I865+Sens!I944*Sens!I924+Sens!I946-Sens!I866-Sens!I876</f>
        <v>49.2600569076677</v>
      </c>
      <c r="J947" s="6" t="n">
        <f aca="false">Sens!J865+Sens!J944*Sens!J924+Sens!J946-Sens!J866-Sens!J876</f>
        <v>56.4142167423262</v>
      </c>
      <c r="K947" s="6" t="n">
        <f aca="false">Sens!K865+Sens!K944*Sens!K924+Sens!K946-Sens!K866-Sens!K876</f>
        <v>61.6096686066707</v>
      </c>
    </row>
    <row r="948" customFormat="false" ht="17.15" hidden="false" customHeight="false" outlineLevel="0" collapsed="false">
      <c r="A948" s="0" t="s">
        <v>851</v>
      </c>
      <c r="B948" s="0" t="s">
        <v>98</v>
      </c>
      <c r="E948" s="6" t="n">
        <f aca="false">Sens!E847*(cxit_open+self_build*tk_cxfac)/1000*ai_net_open</f>
        <v>126.6980382</v>
      </c>
      <c r="F948" s="6" t="n">
        <f aca="false">Sens!E948+Sens!F873-Sens!F876</f>
        <v>260.578155514568</v>
      </c>
      <c r="G948" s="6" t="n">
        <f aca="false">Sens!F948+Sens!G873-Sens!G876</f>
        <v>383.645602737428</v>
      </c>
      <c r="H948" s="6" t="n">
        <f aca="false">Sens!G948+Sens!H873-Sens!H876</f>
        <v>483.983572654688</v>
      </c>
      <c r="I948" s="6" t="n">
        <f aca="false">Sens!H948+Sens!I873-Sens!I876</f>
        <v>535.703201826713</v>
      </c>
      <c r="J948" s="6" t="n">
        <f aca="false">Sens!I948+Sens!J873-Sens!J876</f>
        <v>531.031967622137</v>
      </c>
      <c r="K948" s="6" t="n">
        <f aca="false">Sens!J948+Sens!K873-Sens!K876</f>
        <v>506.3437564596</v>
      </c>
      <c r="L948" s="1" t="s">
        <v>852</v>
      </c>
    </row>
    <row r="949" customFormat="false" ht="17.15" hidden="false" customHeight="false" outlineLevel="0" collapsed="false">
      <c r="A949" s="0" t="s">
        <v>853</v>
      </c>
      <c r="B949" s="0" t="s">
        <v>129</v>
      </c>
      <c r="F949" s="7" t="n">
        <f aca="false">Sens!F947*(1-tax_f)/((Sens!E948+Sens!F948)/2)</f>
        <v>0.0690512071929136</v>
      </c>
      <c r="G949" s="7" t="n">
        <f aca="false">Sens!G947*(1-tax_f)/((Sens!F948+Sens!G948)/2)</f>
        <v>0.0676957105937795</v>
      </c>
      <c r="H949" s="7" t="n">
        <f aca="false">Sens!H947*(1-tax_f)/((Sens!G948+Sens!H948)/2)</f>
        <v>0.0716989569584798</v>
      </c>
      <c r="I949" s="7" t="n">
        <f aca="false">Sens!I947*(1-tax_f)/((Sens!H948+Sens!I948)/2)</f>
        <v>0.0772944133676276</v>
      </c>
      <c r="J949" s="7" t="n">
        <f aca="false">Sens!J947*(1-tax_f)/((Sens!I948+Sens!J948)/2)</f>
        <v>0.0846158909660379</v>
      </c>
      <c r="K949" s="7" t="n">
        <f aca="false">Sens!K947*(1-tax_f)/((Sens!J948+Sens!K948)/2)</f>
        <v>0.0950238833262944</v>
      </c>
    </row>
    <row r="950" customFormat="false" ht="17.15" hidden="false" customHeight="false" outlineLevel="0" collapsed="false">
      <c r="A950" s="1" t="s">
        <v>854</v>
      </c>
      <c r="B950" s="0" t="s">
        <v>129</v>
      </c>
      <c r="F950" s="7" t="n">
        <f aca="false">(Sens!F947-Sens!F946)*(1-tax_f)/((Sens!E948+Sens!F948)/2)</f>
        <v>-0.0133120004180364</v>
      </c>
      <c r="G950" s="7" t="n">
        <f aca="false">(Sens!G947-Sens!G946)*(1-tax_f)/((Sens!F948+Sens!G948)/2)</f>
        <v>-0.0195682538132422</v>
      </c>
      <c r="H950" s="7" t="n">
        <f aca="false">(Sens!H947-Sens!H946)*(1-tax_f)/((Sens!G948+Sens!H948)/2)</f>
        <v>-0.0236201733441321</v>
      </c>
      <c r="I950" s="7" t="n">
        <f aca="false">(Sens!I947-Sens!I946)*(1-tax_f)/((Sens!H948+Sens!I948)/2)</f>
        <v>-0.027552439475273</v>
      </c>
      <c r="J950" s="7" t="n">
        <f aca="false">(Sens!J947-Sens!J946)*(1-tax_f)/((Sens!I948+Sens!J948)/2)</f>
        <v>-0.0315259762799292</v>
      </c>
      <c r="K950" s="7" t="n">
        <f aca="false">(Sens!K947-Sens!K946)*(1-tax_f)/((Sens!J948+Sens!K948)/2)</f>
        <v>-0.0334926600333636</v>
      </c>
    </row>
    <row r="951" customFormat="false" ht="17.15" hidden="false" customHeight="false" outlineLevel="0" collapsed="false">
      <c r="A951" s="1" t="s">
        <v>855</v>
      </c>
      <c r="B951" s="0" t="s">
        <v>129</v>
      </c>
      <c r="F951" s="7" t="n">
        <f aca="false">(Sens!F947-Sens!F946+Sens!F945)*(1-tax_f)/((Sens!E948+Sens!F948)/2)</f>
        <v>0.0690512071929136</v>
      </c>
      <c r="G951" s="7" t="n">
        <f aca="false">(Sens!G947-Sens!G946+Sens!G945)*(1-tax_f)/((Sens!F948+Sens!G948)/2)</f>
        <v>0.0676957105937795</v>
      </c>
      <c r="H951" s="7" t="n">
        <f aca="false">(Sens!H947-Sens!H946+Sens!H945)*(1-tax_f)/((Sens!G948+Sens!H948)/2)</f>
        <v>0.0716989569584798</v>
      </c>
      <c r="I951" s="7" t="n">
        <f aca="false">(Sens!I947-Sens!I946+Sens!I945)*(1-tax_f)/((Sens!H948+Sens!I948)/2)</f>
        <v>0.0772944133676276</v>
      </c>
      <c r="J951" s="7" t="n">
        <f aca="false">(Sens!J947-Sens!J946+Sens!J945)*(1-tax_f)/((Sens!I948+Sens!J948)/2)</f>
        <v>0.0846158909660379</v>
      </c>
      <c r="K951" s="7" t="n">
        <f aca="false">(Sens!K947-Sens!K946+Sens!K945)*(1-tax_f)/((Sens!J948+Sens!K948)/2)</f>
        <v>0.0950238833262944</v>
      </c>
    </row>
    <row r="952" customFormat="false" ht="17.15" hidden="false" customHeight="false" outlineLevel="0" collapsed="false">
      <c r="A952" s="1" t="s">
        <v>856</v>
      </c>
      <c r="B952" s="0" t="s">
        <v>129</v>
      </c>
      <c r="F952" s="7" t="n">
        <f aca="false">Sens!F877*(1-tax_f)/(Sens!F864*(Sens!E948+Sens!F948)/2)</f>
        <v>0.071304966377978</v>
      </c>
      <c r="G952" s="7" t="n">
        <f aca="false">Sens!G877*(1-tax_f)/(Sens!G864*(Sens!F948+Sens!G948)/2)</f>
        <v>0.0696699273118521</v>
      </c>
      <c r="H952" s="7" t="n">
        <f aca="false">Sens!H877*(1-tax_f)/(Sens!H864*(Sens!G948+Sens!H948)/2)</f>
        <v>0.0732998580617987</v>
      </c>
      <c r="I952" s="7" t="n">
        <f aca="false">Sens!I877*(1-tax_f)/(Sens!I864*(Sens!H948+Sens!I948)/2)</f>
        <v>0.0787342381133189</v>
      </c>
      <c r="J952" s="7" t="n">
        <f aca="false">Sens!J877*(1-tax_f)/(Sens!J864*(Sens!I948+Sens!J948)/2)</f>
        <v>0.0860632729166712</v>
      </c>
      <c r="K952" s="7" t="n">
        <f aca="false">Sens!K877*(1-tax_f)/(Sens!K864*(Sens!J948+Sens!K948)/2)</f>
        <v>0.0966713304137161</v>
      </c>
    </row>
    <row r="953" customFormat="false" ht="17.15" hidden="false" customHeight="false" outlineLevel="0" collapsed="false">
      <c r="A953" s="0" t="s">
        <v>857</v>
      </c>
      <c r="B953" s="0" t="s">
        <v>209</v>
      </c>
      <c r="F953" s="7" t="n">
        <f aca="false">Sens!F949-wacc</f>
        <v>-0.0338832128999621</v>
      </c>
      <c r="G953" s="7" t="n">
        <f aca="false">Sens!G949-wacc</f>
        <v>-0.0352387094990962</v>
      </c>
      <c r="H953" s="7" t="n">
        <f aca="false">Sens!H949-wacc</f>
        <v>-0.031235463134396</v>
      </c>
      <c r="I953" s="7" t="n">
        <f aca="false">Sens!I949-wacc</f>
        <v>-0.0256400067252481</v>
      </c>
      <c r="J953" s="7" t="n">
        <f aca="false">Sens!J949-wacc</f>
        <v>-0.0183185291268378</v>
      </c>
      <c r="K953" s="7" t="n">
        <f aca="false">Sens!K949-wacc</f>
        <v>-0.00791053676658136</v>
      </c>
    </row>
    <row r="954" customFormat="false" ht="17.15" hidden="false" customHeight="false" outlineLevel="0" collapsed="false">
      <c r="A954" s="0" t="s">
        <v>858</v>
      </c>
      <c r="B954" s="0" t="s">
        <v>98</v>
      </c>
      <c r="F954" s="6" t="n">
        <f aca="false">Sens!F947*(1-tax_f)-wacc*(Sens!E948+Sens!F948)/2</f>
        <v>-6.56108086135884</v>
      </c>
      <c r="G954" s="6" t="n">
        <f aca="false">Sens!G947*(1-tax_f)-wacc*(Sens!F948+Sens!G948)/2</f>
        <v>-11.350806934729</v>
      </c>
      <c r="H954" s="6" t="n">
        <f aca="false">Sens!H947*(1-tax_f)-wacc*(Sens!G948+Sens!H948)/2</f>
        <v>-13.5503995611434</v>
      </c>
      <c r="I954" s="6" t="n">
        <f aca="false">Sens!I947*(1-tax_f)-wacc*(Sens!H948+Sens!I948)/2</f>
        <v>-13.0723878776749</v>
      </c>
      <c r="J954" s="6" t="n">
        <f aca="false">Sens!J947*(1-tax_f)-wacc*(Sens!I948+Sens!J948)/2</f>
        <v>-9.77050963608554</v>
      </c>
      <c r="K954" s="6" t="n">
        <f aca="false">Sens!K947*(1-tax_f)-wacc*(Sens!J948+Sens!K948)/2</f>
        <v>-4.10309940305377</v>
      </c>
    </row>
    <row r="955" customFormat="false" ht="17.15" hidden="false" customHeight="false" outlineLevel="0" collapsed="false">
      <c r="A955" s="3" t="s">
        <v>1257</v>
      </c>
    </row>
    <row r="956" customFormat="false" ht="15" hidden="false" customHeight="false" outlineLevel="0" collapsed="false">
      <c r="A956" s="4" t="s">
        <v>43</v>
      </c>
      <c r="B956" s="4" t="s">
        <v>65</v>
      </c>
      <c r="C956" s="20" t="s">
        <v>788</v>
      </c>
      <c r="D956" s="20" t="s">
        <v>789</v>
      </c>
      <c r="E956" s="20" t="s">
        <v>790</v>
      </c>
      <c r="F956" s="20" t="s">
        <v>791</v>
      </c>
      <c r="G956" s="20" t="s">
        <v>792</v>
      </c>
      <c r="H956" s="20" t="s">
        <v>793</v>
      </c>
      <c r="I956" s="20" t="s">
        <v>794</v>
      </c>
      <c r="J956" s="20" t="s">
        <v>795</v>
      </c>
      <c r="K956" s="20" t="s">
        <v>796</v>
      </c>
      <c r="L956" s="4" t="s">
        <v>47</v>
      </c>
    </row>
    <row r="957" customFormat="false" ht="15" hidden="false" customHeight="false" outlineLevel="0" collapsed="false">
      <c r="A957" s="1" t="s">
        <v>915</v>
      </c>
      <c r="B957" s="0" t="s">
        <v>98</v>
      </c>
      <c r="F957" s="6" t="n">
        <f aca="false">Sens!F938</f>
        <v>134.587189460214</v>
      </c>
      <c r="G957" s="6" t="n">
        <f aca="false">Sens!G938</f>
        <v>146.596966246047</v>
      </c>
      <c r="H957" s="6" t="n">
        <f aca="false">Sens!H938</f>
        <v>158.645129411918</v>
      </c>
      <c r="I957" s="6" t="n">
        <f aca="false">Sens!I938</f>
        <v>170.539472399868</v>
      </c>
      <c r="J957" s="6" t="n">
        <f aca="false">Sens!J938</f>
        <v>182.555209348998</v>
      </c>
      <c r="K957" s="6" t="n">
        <f aca="false">Sens!K938</f>
        <v>195.236511436369</v>
      </c>
    </row>
    <row r="958" customFormat="false" ht="17.15" hidden="false" customHeight="false" outlineLevel="0" collapsed="false">
      <c r="A958" s="1" t="s">
        <v>937</v>
      </c>
      <c r="B958" s="0" t="s">
        <v>98</v>
      </c>
      <c r="E958" s="6" t="n">
        <f aca="false">Q!M38-Sens!E876</f>
        <v>22.2285940229167</v>
      </c>
      <c r="F958" s="6" t="n">
        <f aca="false">Sens!E958*(1-1/life_nonai)+Sens!F964/life_nonai</f>
        <v>23.5636693435813</v>
      </c>
      <c r="G958" s="6" t="n">
        <f aca="false">Sens!F958*(1-1/life_nonai)+Sens!G964/life_nonai</f>
        <v>25.3225917662621</v>
      </c>
      <c r="H958" s="6" t="n">
        <f aca="false">Sens!G958*(1-1/life_nonai)+Sens!H964/life_nonai</f>
        <v>27.4714839540448</v>
      </c>
      <c r="I958" s="6" t="n">
        <f aca="false">Sens!H958*(1-1/life_nonai)+Sens!I964/life_nonai</f>
        <v>29.9441755898047</v>
      </c>
      <c r="J958" s="6" t="n">
        <f aca="false">Sens!I958*(1-1/life_nonai)+Sens!J964/life_nonai</f>
        <v>32.6578493558616</v>
      </c>
      <c r="K958" s="6" t="n">
        <f aca="false">Sens!J958*(1-1/life_nonai)+Sens!K964/life_nonai</f>
        <v>35.5289346944749</v>
      </c>
      <c r="L958" s="11" t="s">
        <v>938</v>
      </c>
    </row>
    <row r="959" customFormat="false" ht="17.15" hidden="false" customHeight="false" outlineLevel="0" collapsed="false">
      <c r="A959" s="1" t="s">
        <v>939</v>
      </c>
      <c r="B959" s="0" t="s">
        <v>98</v>
      </c>
      <c r="E959" s="6" t="n">
        <f aca="false">Sens!E876+Sens!E958</f>
        <v>38.534</v>
      </c>
      <c r="F959" s="6" t="n">
        <f aca="false">Sens!F876+Sens!F958</f>
        <v>58.304204799451</v>
      </c>
      <c r="G959" s="6" t="n">
        <f aca="false">Sens!G876+Sens!G958</f>
        <v>85.8293250266017</v>
      </c>
      <c r="H959" s="6" t="n">
        <f aca="false">Sens!H876+Sens!H958</f>
        <v>115.213799947184</v>
      </c>
      <c r="I959" s="6" t="n">
        <f aca="false">Sens!I876+Sens!I958</f>
        <v>141.931215572026</v>
      </c>
      <c r="J959" s="6" t="n">
        <f aca="false">Sens!J876+Sens!J958</f>
        <v>161.841560278527</v>
      </c>
      <c r="K959" s="6" t="n">
        <f aca="false">Sens!K876+Sens!K958</f>
        <v>175.176581498948</v>
      </c>
    </row>
    <row r="960" customFormat="false" ht="17.15" hidden="false" customHeight="false" outlineLevel="0" collapsed="false">
      <c r="A960" s="1" t="s">
        <v>940</v>
      </c>
      <c r="B960" s="0" t="s">
        <v>98</v>
      </c>
      <c r="F960" s="6" t="n">
        <f aca="false">Sens!F903*sbc_r</f>
        <v>14.622105248829</v>
      </c>
      <c r="G960" s="6" t="n">
        <f aca="false">Sens!G903*sbc_r</f>
        <v>17.2625269964373</v>
      </c>
      <c r="H960" s="6" t="n">
        <f aca="false">Sens!H903*sbc_r</f>
        <v>19.9640862534116</v>
      </c>
      <c r="I960" s="6" t="n">
        <f aca="false">Sens!I903*sbc_r</f>
        <v>22.463310674891</v>
      </c>
      <c r="J960" s="6" t="n">
        <f aca="false">Sens!J903*sbc_r</f>
        <v>24.5364174070248</v>
      </c>
      <c r="K960" s="6" t="n">
        <f aca="false">Sens!K903*sbc_r</f>
        <v>26.2266288862574</v>
      </c>
    </row>
    <row r="961" customFormat="false" ht="17.15" hidden="false" customHeight="false" outlineLevel="0" collapsed="false">
      <c r="A961" s="1" t="s">
        <v>941</v>
      </c>
      <c r="B961" s="0" t="s">
        <v>98</v>
      </c>
      <c r="F961" s="6" t="n">
        <f aca="false">wc27</f>
        <v>-4.895</v>
      </c>
      <c r="G961" s="6" t="n">
        <f aca="false">wc_f</f>
        <v>0</v>
      </c>
      <c r="H961" s="6" t="n">
        <f aca="false">wc_f</f>
        <v>0</v>
      </c>
      <c r="I961" s="6" t="n">
        <f aca="false">wc_f</f>
        <v>0</v>
      </c>
      <c r="J961" s="6" t="n">
        <f aca="false">wc_f</f>
        <v>0</v>
      </c>
      <c r="K961" s="6" t="n">
        <f aca="false">wc_f</f>
        <v>0</v>
      </c>
      <c r="L961" s="11" t="s">
        <v>942</v>
      </c>
    </row>
    <row r="962" customFormat="false" ht="15" hidden="false" customHeight="false" outlineLevel="0" collapsed="false">
      <c r="A962" s="1" t="s">
        <v>756</v>
      </c>
      <c r="B962" s="0" t="s">
        <v>98</v>
      </c>
      <c r="E962" s="6" t="n">
        <f aca="false">Q!M35</f>
        <v>182.935</v>
      </c>
      <c r="F962" s="6" t="n">
        <f aca="false">Sens!F957+Sens!F959+Sens!F960+Sens!F961</f>
        <v>202.618499508494</v>
      </c>
      <c r="G962" s="6" t="n">
        <f aca="false">Sens!G957+Sens!G959+Sens!G960+Sens!G961</f>
        <v>249.688818269086</v>
      </c>
      <c r="H962" s="6" t="n">
        <f aca="false">Sens!H957+Sens!H959+Sens!H960+Sens!H961</f>
        <v>293.823015612514</v>
      </c>
      <c r="I962" s="6" t="n">
        <f aca="false">Sens!I957+Sens!I959+Sens!I960+Sens!I961</f>
        <v>334.933998646785</v>
      </c>
      <c r="J962" s="6" t="n">
        <f aca="false">Sens!J957+Sens!J959+Sens!J960+Sens!J961</f>
        <v>368.933187034551</v>
      </c>
      <c r="K962" s="6" t="n">
        <f aca="false">Sens!K957+Sens!K959+Sens!K960+Sens!K961</f>
        <v>396.639721821575</v>
      </c>
    </row>
    <row r="963" customFormat="false" ht="17.15" hidden="false" customHeight="false" outlineLevel="0" collapsed="false">
      <c r="A963" s="0" t="s">
        <v>943</v>
      </c>
      <c r="B963" s="0" t="s">
        <v>98</v>
      </c>
      <c r="F963" s="6" t="n">
        <f aca="false">Sens!F873</f>
        <v>168.620652770438</v>
      </c>
      <c r="G963" s="6" t="n">
        <f aca="false">Sens!G873</f>
        <v>183.5741804832</v>
      </c>
      <c r="H963" s="6" t="n">
        <f aca="false">Sens!H873</f>
        <v>188.0802859104</v>
      </c>
      <c r="I963" s="6" t="n">
        <f aca="false">Sens!I873</f>
        <v>163.706669154245</v>
      </c>
      <c r="J963" s="6" t="n">
        <f aca="false">Sens!J873</f>
        <v>124.51247671809</v>
      </c>
      <c r="K963" s="6" t="n">
        <f aca="false">Sens!K873</f>
        <v>114.959435641936</v>
      </c>
    </row>
    <row r="964" customFormat="false" ht="17.15" hidden="false" customHeight="false" outlineLevel="0" collapsed="false">
      <c r="A964" s="1" t="s">
        <v>944</v>
      </c>
      <c r="B964" s="0" t="s">
        <v>98</v>
      </c>
      <c r="E964" s="6" t="n">
        <f aca="false">Sens!E881*cx_azo+Sens!E888*cx_m365+Sens!E889*cx_lic+(Sens!E891+Sens!E893)*cx_ind+Sens!E896*cx_srch+(Sens!E898+Sens!E900)*cx_dev</f>
        <v>30.1846587067718</v>
      </c>
      <c r="F964" s="6" t="n">
        <f aca="false">Sens!F881*cx_azo+Sens!F888*cx_m365+Sens!F889*cx_lic+(Sens!F891+Sens!F893)*cx_ind+Sens!F896*cx_srch+(Sens!F898+Sens!F900)*cx_dev</f>
        <v>35.5793472295625</v>
      </c>
      <c r="G964" s="6" t="n">
        <f aca="false">Sens!G881*cx_azo+Sens!G888*cx_m365+Sens!G889*cx_lic+(Sens!G891+Sens!G893)*cx_ind+Sens!G896*cx_srch+(Sens!G898+Sens!G900)*cx_dev</f>
        <v>41.1528935703892</v>
      </c>
      <c r="H964" s="6" t="n">
        <f aca="false">Sens!H881*cx_azo+Sens!H888*cx_m365+Sens!H889*cx_lic+(Sens!H891+Sens!H893)*cx_ind+Sens!H896*cx_srch+(Sens!H898+Sens!H900)*cx_dev</f>
        <v>46.8115136440897</v>
      </c>
      <c r="I964" s="6" t="n">
        <f aca="false">Sens!I881*cx_azo+Sens!I888*cx_m365+Sens!I889*cx_lic+(Sens!I891+Sens!I893)*cx_ind+Sens!I896*cx_srch+(Sens!I898+Sens!I900)*cx_dev</f>
        <v>52.1984003116439</v>
      </c>
      <c r="J964" s="6" t="n">
        <f aca="false">Sens!J881*cx_azo+Sens!J888*cx_m365+Sens!J889*cx_lic+(Sens!J891+Sens!J893)*cx_ind+Sens!J896*cx_srch+(Sens!J898+Sens!J900)*cx_dev</f>
        <v>57.0809132503738</v>
      </c>
      <c r="K964" s="6" t="n">
        <f aca="false">Sens!K881*cx_azo+Sens!K888*cx_m365+Sens!K889*cx_lic+(Sens!K891+Sens!K893)*cx_ind+Sens!K896*cx_srch+(Sens!K898+Sens!K900)*cx_dev</f>
        <v>61.368702741994</v>
      </c>
    </row>
    <row r="965" customFormat="false" ht="17.15" hidden="false" customHeight="false" outlineLevel="0" collapsed="false">
      <c r="A965" s="1" t="s">
        <v>945</v>
      </c>
      <c r="B965" s="0" t="s">
        <v>98</v>
      </c>
      <c r="E965" s="6" t="n">
        <f aca="false">Q!M42</f>
        <v>145.3</v>
      </c>
      <c r="F965" s="6" t="n">
        <f aca="false">Sens!F963+Sens!F964</f>
        <v>204.2</v>
      </c>
      <c r="G965" s="6" t="n">
        <f aca="false">Sens!G963+Sens!G964</f>
        <v>224.727074053589</v>
      </c>
      <c r="H965" s="6" t="n">
        <f aca="false">Sens!H963+Sens!H964</f>
        <v>234.89179955449</v>
      </c>
      <c r="I965" s="6" t="n">
        <f aca="false">Sens!I963+Sens!I964</f>
        <v>215.905069465889</v>
      </c>
      <c r="J965" s="6" t="n">
        <f aca="false">Sens!J963+Sens!J964</f>
        <v>181.593389968464</v>
      </c>
      <c r="K965" s="6" t="n">
        <f aca="false">Sens!K963+Sens!K964</f>
        <v>176.32813838393</v>
      </c>
      <c r="L965" s="1" t="s">
        <v>946</v>
      </c>
    </row>
    <row r="966" customFormat="false" ht="15" hidden="false" customHeight="false" outlineLevel="0" collapsed="false">
      <c r="A966" s="1" t="s">
        <v>947</v>
      </c>
      <c r="B966" s="0" t="s">
        <v>98</v>
      </c>
      <c r="E966" s="6" t="n">
        <f aca="false">fl_liab</f>
        <v>66.594</v>
      </c>
      <c r="F966" s="6" t="n">
        <f aca="false">Sens!E966-Sens!F967</f>
        <v>62.46973</v>
      </c>
      <c r="G966" s="6" t="n">
        <f aca="false">Sens!F966-Sens!G967</f>
        <v>57.98686785</v>
      </c>
      <c r="H966" s="6" t="n">
        <f aca="false">Sens!G966-Sens!H967</f>
        <v>53.92827690325</v>
      </c>
      <c r="I966" s="6" t="n">
        <f aca="false">Sens!H966-Sens!I967</f>
        <v>49.7850493638962</v>
      </c>
      <c r="J966" s="6" t="n">
        <f aca="false">Sens!I966-Sens!J967</f>
        <v>45.4823765852716</v>
      </c>
      <c r="K966" s="6" t="n">
        <f aca="false">Sens!J966-Sens!K967</f>
        <v>40.9860835316088</v>
      </c>
    </row>
    <row r="967" customFormat="false" ht="15" hidden="false" customHeight="false" outlineLevel="0" collapsed="false">
      <c r="A967" s="1" t="s">
        <v>948</v>
      </c>
      <c r="B967" s="0" t="s">
        <v>98</v>
      </c>
      <c r="F967" s="6" t="n">
        <f aca="false">fl_pay_27-Sens!E966*fl_rate</f>
        <v>4.12427</v>
      </c>
      <c r="G967" s="6" t="n">
        <f aca="false">fl_pay_28-Sens!F966*fl_rate</f>
        <v>4.48286215</v>
      </c>
      <c r="H967" s="6" t="n">
        <f aca="false">fl_pay_29-Sens!G966*fl_rate</f>
        <v>4.05859094675</v>
      </c>
      <c r="I967" s="6" t="n">
        <f aca="false">fl_pay_30-Sens!H966*fl_rate</f>
        <v>4.14322753935375</v>
      </c>
      <c r="J967" s="6" t="n">
        <f aca="false">fl_pay_31-Sens!I966*fl_rate</f>
        <v>4.30267277862467</v>
      </c>
      <c r="K967" s="6" t="n">
        <f aca="false">fl_pay_32-Sens!J966*fl_rate</f>
        <v>4.49629305366278</v>
      </c>
    </row>
    <row r="968" customFormat="false" ht="17.15" hidden="false" customHeight="false" outlineLevel="0" collapsed="false">
      <c r="A968" s="1" t="s">
        <v>949</v>
      </c>
      <c r="B968" s="0" t="s">
        <v>98</v>
      </c>
      <c r="E968" s="6" t="n">
        <f aca="false">Q!M35-Q!M36-Q!M43</f>
        <v>63.886</v>
      </c>
      <c r="F968" s="6" t="n">
        <f aca="false">Sens!F962-Sens!F965-Sens!F967</f>
        <v>-5.70577049150626</v>
      </c>
      <c r="G968" s="6" t="n">
        <f aca="false">Sens!G962-Sens!G965-Sens!G967</f>
        <v>20.4788820654966</v>
      </c>
      <c r="H968" s="6" t="n">
        <f aca="false">Sens!H962-Sens!H965-Sens!H967</f>
        <v>54.8726251112743</v>
      </c>
      <c r="I968" s="6" t="n">
        <f aca="false">Sens!I962-Sens!I965-Sens!I967</f>
        <v>114.885701641542</v>
      </c>
      <c r="J968" s="6" t="n">
        <f aca="false">Sens!J962-Sens!J965-Sens!J967</f>
        <v>183.037124287462</v>
      </c>
      <c r="K968" s="6" t="n">
        <f aca="false">Sens!K962-Sens!K965-Sens!K967</f>
        <v>215.815290383982</v>
      </c>
      <c r="L968" s="11" t="s">
        <v>950</v>
      </c>
    </row>
    <row r="969" customFormat="false" ht="15" hidden="false" customHeight="false" outlineLevel="0" collapsed="false">
      <c r="A969" s="1" t="s">
        <v>951</v>
      </c>
      <c r="B969" s="0" t="s">
        <v>75</v>
      </c>
      <c r="F969" s="8" t="n">
        <f aca="false">dps_27</f>
        <v>3.85</v>
      </c>
      <c r="G969" s="8" t="n">
        <f aca="false">Sens!F969*(1+dps_g)</f>
        <v>4.158</v>
      </c>
      <c r="H969" s="8" t="n">
        <f aca="false">Sens!G969*(1+dps_g)</f>
        <v>4.49064</v>
      </c>
      <c r="I969" s="8" t="n">
        <f aca="false">Sens!H969*(1+dps_g)</f>
        <v>4.8498912</v>
      </c>
      <c r="J969" s="8" t="n">
        <f aca="false">Sens!I969*(1+dps_g)</f>
        <v>5.237882496</v>
      </c>
      <c r="K969" s="8" t="n">
        <f aca="false">Sens!J969*(1+dps_g)</f>
        <v>5.65691309568</v>
      </c>
    </row>
    <row r="970" customFormat="false" ht="17.15" hidden="false" customHeight="false" outlineLevel="0" collapsed="false">
      <c r="A970" s="1" t="s">
        <v>952</v>
      </c>
      <c r="B970" s="0" t="s">
        <v>98</v>
      </c>
      <c r="E970" s="6" t="n">
        <f aca="false">Q!M41</f>
        <v>26.445</v>
      </c>
      <c r="F970" s="6" t="n">
        <f aca="false">Sens!F969*Sens!E979</f>
        <v>28.59395</v>
      </c>
      <c r="G970" s="6" t="n">
        <f aca="false">Sens!G969*Sens!F979</f>
        <v>31.068576</v>
      </c>
      <c r="H970" s="6" t="n">
        <f aca="false">Sens!H969*Sens!G979</f>
        <v>33.75614088</v>
      </c>
      <c r="I970" s="6" t="n">
        <f aca="false">Sens!I969*Sens!H979</f>
        <v>36.5312764908464</v>
      </c>
      <c r="J970" s="6" t="n">
        <f aca="false">Sens!J969*Sens!I979</f>
        <v>39.5221774584336</v>
      </c>
      <c r="K970" s="6" t="n">
        <f aca="false">Sens!K969*Sens!J979</f>
        <v>42.7712068804133</v>
      </c>
      <c r="L970" s="1" t="s">
        <v>953</v>
      </c>
    </row>
    <row r="971" customFormat="false" ht="15" hidden="false" customHeight="false" outlineLevel="0" collapsed="false">
      <c r="A971" s="1" t="s">
        <v>954</v>
      </c>
      <c r="B971" s="0" t="s">
        <v>98</v>
      </c>
      <c r="E971" s="6" t="n">
        <f aca="false">Sens!E968-Sens!E970</f>
        <v>37.441</v>
      </c>
      <c r="F971" s="6" t="n">
        <f aca="false">Sens!F968-Sens!F970</f>
        <v>-34.2997204915063</v>
      </c>
      <c r="G971" s="6" t="n">
        <f aca="false">Sens!G968-Sens!G970</f>
        <v>-10.5896939345034</v>
      </c>
      <c r="H971" s="6" t="n">
        <f aca="false">Sens!H968-Sens!H970</f>
        <v>21.1164842312743</v>
      </c>
      <c r="I971" s="6" t="n">
        <f aca="false">Sens!I968-Sens!I970</f>
        <v>78.3544251506956</v>
      </c>
      <c r="J971" s="6" t="n">
        <f aca="false">Sens!J968-Sens!J970</f>
        <v>143.514946829028</v>
      </c>
      <c r="K971" s="6" t="n">
        <f aca="false">Sens!K968-Sens!K970</f>
        <v>173.044083503569</v>
      </c>
    </row>
    <row r="972" customFormat="false" ht="15" hidden="false" customHeight="false" outlineLevel="0" collapsed="false">
      <c r="A972" s="1" t="s">
        <v>955</v>
      </c>
      <c r="B972" s="0" t="s">
        <v>98</v>
      </c>
      <c r="F972" s="6" t="n">
        <f aca="false">debt_mat_27</f>
        <v>9.25</v>
      </c>
      <c r="G972" s="6" t="n">
        <f aca="false">debt_mat_28</f>
        <v>0</v>
      </c>
      <c r="H972" s="6" t="n">
        <f aca="false">debt_mat_29</f>
        <v>2.001</v>
      </c>
      <c r="I972" s="6" t="n">
        <f aca="false">debt_mat_30</f>
        <v>0</v>
      </c>
      <c r="J972" s="6" t="n">
        <f aca="false">debt_mat_31</f>
        <v>0.5</v>
      </c>
      <c r="K972" s="6" t="n">
        <f aca="false">debt_mat_32</f>
        <v>0</v>
      </c>
    </row>
    <row r="973" customFormat="false" ht="15" hidden="false" customHeight="false" outlineLevel="0" collapsed="false">
      <c r="A973" s="1" t="s">
        <v>956</v>
      </c>
      <c r="B973" s="0" t="s">
        <v>98</v>
      </c>
      <c r="E973" s="6" t="n">
        <f aca="false">Q!M40</f>
        <v>22.271</v>
      </c>
      <c r="F973" s="6" t="n">
        <f aca="false">MAX(0,MIN(bb_target,Sens!E975+Sens!F971-Sens!F972-min_cash))</f>
        <v>0</v>
      </c>
      <c r="G973" s="6" t="n">
        <f aca="false">MAX(0,MIN(bb_target,Sens!F975+Sens!G971-Sens!G972-min_cash))</f>
        <v>0</v>
      </c>
      <c r="H973" s="6" t="n">
        <f aca="false">MAX(0,MIN(bb_target,Sens!G975+Sens!H971-Sens!H972-min_cash))</f>
        <v>19.1154842312743</v>
      </c>
      <c r="I973" s="6" t="n">
        <f aca="false">MAX(0,MIN(bb_target,Sens!H975+Sens!I971-Sens!I972-min_cash))</f>
        <v>22.271</v>
      </c>
      <c r="J973" s="6" t="n">
        <f aca="false">MAX(0,MIN(bb_target,Sens!I975+Sens!J971-Sens!J972-min_cash))</f>
        <v>22.271</v>
      </c>
      <c r="K973" s="6" t="n">
        <f aca="false">MAX(0,MIN(bb_target,Sens!J975+Sens!K971-Sens!K972-min_cash))</f>
        <v>22.271</v>
      </c>
    </row>
    <row r="974" customFormat="false" ht="15" hidden="false" customHeight="false" outlineLevel="0" collapsed="false">
      <c r="A974" s="1" t="s">
        <v>957</v>
      </c>
      <c r="B974" s="0" t="s">
        <v>98</v>
      </c>
      <c r="F974" s="6" t="n">
        <f aca="false">MAX(0,min_cash-(Sens!E975+Sens!F971-Sens!F972-Sens!F973))</f>
        <v>16.7067204915063</v>
      </c>
      <c r="G974" s="6" t="n">
        <f aca="false">MAX(0,min_cash-(Sens!F975+Sens!G971-Sens!G972-Sens!G973))</f>
        <v>10.5896939345034</v>
      </c>
      <c r="H974" s="6" t="n">
        <f aca="false">MAX(0,min_cash-(Sens!G975+Sens!H971-Sens!H972-Sens!H973))</f>
        <v>0</v>
      </c>
      <c r="I974" s="6" t="n">
        <f aca="false">MAX(0,min_cash-(Sens!H975+Sens!I971-Sens!I972-Sens!I973))</f>
        <v>0</v>
      </c>
      <c r="J974" s="6" t="n">
        <f aca="false">MAX(0,min_cash-(Sens!I975+Sens!J971-Sens!J972-Sens!J973))</f>
        <v>0</v>
      </c>
      <c r="K974" s="6" t="n">
        <f aca="false">MAX(0,min_cash-(Sens!J975+Sens!K971-Sens!K972-Sens!K973))</f>
        <v>0</v>
      </c>
    </row>
    <row r="975" customFormat="false" ht="15" hidden="false" customHeight="false" outlineLevel="0" collapsed="false">
      <c r="A975" s="1" t="s">
        <v>958</v>
      </c>
      <c r="B975" s="0" t="s">
        <v>98</v>
      </c>
      <c r="E975" s="6" t="n">
        <f aca="false">cash_open</f>
        <v>76.843</v>
      </c>
      <c r="F975" s="6" t="n">
        <f aca="false">Sens!E975+Sens!F971-Sens!F972-Sens!F973+Sens!F974</f>
        <v>50</v>
      </c>
      <c r="G975" s="6" t="n">
        <f aca="false">Sens!F975+Sens!G971-Sens!G972-Sens!G973+Sens!G974</f>
        <v>50</v>
      </c>
      <c r="H975" s="6" t="n">
        <f aca="false">Sens!G975+Sens!H971-Sens!H972-Sens!H973+Sens!H974</f>
        <v>50</v>
      </c>
      <c r="I975" s="6" t="n">
        <f aca="false">Sens!H975+Sens!I971-Sens!I972-Sens!I973+Sens!I974</f>
        <v>106.083425150696</v>
      </c>
      <c r="J975" s="6" t="n">
        <f aca="false">Sens!I975+Sens!J971-Sens!J972-Sens!J973+Sens!J974</f>
        <v>226.827371979724</v>
      </c>
      <c r="K975" s="6" t="n">
        <f aca="false">Sens!J975+Sens!K971-Sens!K972-Sens!K973+Sens!K974</f>
        <v>377.600455483293</v>
      </c>
    </row>
    <row r="976" customFormat="false" ht="15" hidden="false" customHeight="false" outlineLevel="0" collapsed="false">
      <c r="A976" s="1" t="s">
        <v>959</v>
      </c>
      <c r="B976" s="0" t="s">
        <v>98</v>
      </c>
      <c r="E976" s="6" t="n">
        <f aca="false">debt_face</f>
        <v>46.136</v>
      </c>
      <c r="F976" s="6" t="n">
        <f aca="false">Sens!E976-Sens!F972+Sens!F974</f>
        <v>53.5927204915063</v>
      </c>
      <c r="G976" s="6" t="n">
        <f aca="false">Sens!F976-Sens!G972+Sens!G974</f>
        <v>64.1824144260097</v>
      </c>
      <c r="H976" s="6" t="n">
        <f aca="false">Sens!G976-Sens!H972+Sens!H974</f>
        <v>62.1814144260097</v>
      </c>
      <c r="I976" s="6" t="n">
        <f aca="false">Sens!H976-Sens!I972+Sens!I974</f>
        <v>62.1814144260097</v>
      </c>
      <c r="J976" s="6" t="n">
        <f aca="false">Sens!I976-Sens!J972+Sens!J974</f>
        <v>61.6814144260097</v>
      </c>
      <c r="K976" s="6" t="n">
        <f aca="false">Sens!J976-Sens!K972+Sens!K974</f>
        <v>61.6814144260097</v>
      </c>
    </row>
    <row r="977" customFormat="false" ht="15" hidden="false" customHeight="false" outlineLevel="0" collapsed="false">
      <c r="A977" s="1" t="s">
        <v>960</v>
      </c>
      <c r="B977" s="0" t="s">
        <v>98</v>
      </c>
      <c r="E977" s="6" t="n">
        <f aca="false">Sens!E975-Sens!E976</f>
        <v>30.707</v>
      </c>
      <c r="F977" s="6" t="n">
        <f aca="false">Sens!F975-Sens!F976</f>
        <v>-3.59272049150626</v>
      </c>
      <c r="G977" s="6" t="n">
        <f aca="false">Sens!G975-Sens!G976</f>
        <v>-14.1824144260097</v>
      </c>
      <c r="H977" s="6" t="n">
        <f aca="false">Sens!H975-Sens!H976</f>
        <v>-12.1814144260097</v>
      </c>
      <c r="I977" s="6" t="n">
        <f aca="false">Sens!I975-Sens!I976</f>
        <v>43.9020107246859</v>
      </c>
      <c r="J977" s="6" t="n">
        <f aca="false">Sens!J975-Sens!J976</f>
        <v>165.145957553714</v>
      </c>
      <c r="K977" s="6" t="n">
        <f aca="false">Sens!K975-Sens!K976</f>
        <v>315.919041057283</v>
      </c>
    </row>
    <row r="978" customFormat="false" ht="15" hidden="false" customHeight="false" outlineLevel="0" collapsed="false">
      <c r="A978" s="1" t="s">
        <v>961</v>
      </c>
      <c r="B978" s="0" t="s">
        <v>75</v>
      </c>
      <c r="F978" s="29" t="n">
        <f aca="false">px*(1+bb_g)^(Sens!F842-base_fy-mid_yr)</f>
        <v>553.494156066711</v>
      </c>
      <c r="G978" s="29" t="n">
        <f aca="false">px*(1+bb_g)^(Sens!G842-base_fy-mid_yr)</f>
        <v>597.773688552047</v>
      </c>
      <c r="H978" s="29" t="n">
        <f aca="false">px*(1+bb_g)^(Sens!H842-base_fy-mid_yr)</f>
        <v>645.595583636211</v>
      </c>
      <c r="I978" s="29" t="n">
        <f aca="false">px*(1+bb_g)^(Sens!I842-base_fy-mid_yr)</f>
        <v>697.243230327108</v>
      </c>
      <c r="J978" s="29" t="n">
        <f aca="false">px*(1+bb_g)^(Sens!J842-base_fy-mid_yr)</f>
        <v>753.022688753277</v>
      </c>
      <c r="K978" s="29" t="n">
        <f aca="false">px*(1+bb_g)^(Sens!K842-base_fy-mid_yr)</f>
        <v>813.264503853539</v>
      </c>
    </row>
    <row r="979" customFormat="false" ht="15" hidden="false" customHeight="false" outlineLevel="0" collapsed="false">
      <c r="A979" s="1" t="s">
        <v>962</v>
      </c>
      <c r="B979" s="1" t="s">
        <v>81</v>
      </c>
      <c r="E979" s="14" t="n">
        <f aca="false">sh_out26</f>
        <v>7.427</v>
      </c>
      <c r="F979" s="14" t="n">
        <f aca="false">Sens!E979+sh_iss-Sens!F973/Sens!F978</f>
        <v>7.472</v>
      </c>
      <c r="G979" s="14" t="n">
        <f aca="false">Sens!F979+sh_iss-Sens!G973/Sens!G978</f>
        <v>7.517</v>
      </c>
      <c r="H979" s="14" t="n">
        <f aca="false">Sens!G979+sh_iss-Sens!H973/Sens!H978</f>
        <v>7.53239093092364</v>
      </c>
      <c r="I979" s="14" t="n">
        <f aca="false">Sens!H979+sh_iss-Sens!I973/Sens!I978</f>
        <v>7.54544942323837</v>
      </c>
      <c r="J979" s="14" t="n">
        <f aca="false">Sens!I979+sh_iss-Sens!J973/Sens!J978</f>
        <v>7.56087395315941</v>
      </c>
      <c r="K979" s="14" t="n">
        <f aca="false">Sens!J979+sh_iss-Sens!K973/Sens!K978</f>
        <v>7.57848925864185</v>
      </c>
    </row>
    <row r="980" customFormat="false" ht="15" hidden="false" customHeight="false" outlineLevel="0" collapsed="false">
      <c r="A980" s="1" t="s">
        <v>963</v>
      </c>
      <c r="B980" s="1" t="s">
        <v>81</v>
      </c>
      <c r="E980" s="14" t="n">
        <f aca="false">sh_dil26</f>
        <v>7.453</v>
      </c>
      <c r="F980" s="14" t="n">
        <f aca="false">(Sens!E979+Sens!F979)/2+dil_gap</f>
        <v>7.4735</v>
      </c>
      <c r="G980" s="14" t="n">
        <f aca="false">(Sens!F979+Sens!G979)/2+dil_gap</f>
        <v>7.5185</v>
      </c>
      <c r="H980" s="14" t="n">
        <f aca="false">(Sens!G979+Sens!H979)/2+dil_gap</f>
        <v>7.54869546546182</v>
      </c>
      <c r="I980" s="14" t="n">
        <f aca="false">(Sens!H979+Sens!I979)/2+dil_gap</f>
        <v>7.56292017708101</v>
      </c>
      <c r="J980" s="14" t="n">
        <f aca="false">(Sens!I979+Sens!J979)/2+dil_gap</f>
        <v>7.57716168819889</v>
      </c>
      <c r="K980" s="14" t="n">
        <f aca="false">(Sens!J979+Sens!K979)/2+dil_gap</f>
        <v>7.59368160590063</v>
      </c>
    </row>
    <row r="981" customFormat="false" ht="17.15" hidden="false" customHeight="false" outlineLevel="0" collapsed="false">
      <c r="A981" s="1" t="s">
        <v>964</v>
      </c>
      <c r="B981" s="0" t="s">
        <v>98</v>
      </c>
      <c r="C981" s="6" t="n">
        <f aca="false">SUM(Sens!F971:J971)</f>
        <v>198.096441784988</v>
      </c>
    </row>
    <row r="982" customFormat="false" ht="15" hidden="false" customHeight="false" outlineLevel="0" collapsed="false">
      <c r="A982" s="23" t="s">
        <v>935</v>
      </c>
      <c r="B982" s="30" t="s">
        <v>98</v>
      </c>
      <c r="C982" s="24" t="n">
        <f aca="false">Sens!$C$981-(Sens!F971+Sens!G971+Sens!H971+Sens!I971+Sens!J971)</f>
        <v>0</v>
      </c>
      <c r="D982" s="30"/>
      <c r="E982" s="30"/>
      <c r="F982" s="30"/>
      <c r="G982" s="30"/>
      <c r="H982" s="30"/>
      <c r="I982" s="30"/>
      <c r="J982" s="30"/>
      <c r="K982" s="30"/>
    </row>
    <row r="983" customFormat="false" ht="17.15" hidden="false" customHeight="false" outlineLevel="0" collapsed="false">
      <c r="A983" s="1" t="s">
        <v>929</v>
      </c>
      <c r="B983" s="1" t="s">
        <v>965</v>
      </c>
      <c r="C983" s="32" t="str">
        <f aca="false">IF(SUM(Sens!F974:J974)&gt;0.05,"需要舉債 "&amp;TEXT(SUM(Sens!F974:J974),"0.0")&amp;" 十億美元","不需舉債")&amp;"；"&amp;IF(SUM(Sens!F973:J973)&lt;COUNT(Sens!F973:J973)*bb_target-0.05,"回購較每年 "&amp;TEXT(bb_target,"0.0")&amp;" 的目標少 "&amp;TEXT(COUNT(Sens!F973:J973)*bb_target-SUM(Sens!F973:J973),"0.0")&amp;" 十億美元（"&amp;TEXT(COUNTIF(Sens!F973:J973,"&lt;"&amp;(bb_target-0.05)),"0")&amp;" 年減少）","回購不減")</f>
        <v>需要舉債 27.3 十億美元；回購較每年 22.3 的目標少 47.7 十億美元（3 年減少）</v>
      </c>
    </row>
    <row r="984" customFormat="false" ht="17.15" hidden="false" customHeight="false" outlineLevel="0" collapsed="false">
      <c r="A984" s="3" t="s">
        <v>1258</v>
      </c>
    </row>
    <row r="985" customFormat="false" ht="15" hidden="false" customHeight="false" outlineLevel="0" collapsed="false">
      <c r="A985" s="4" t="s">
        <v>43</v>
      </c>
      <c r="B985" s="4" t="s">
        <v>65</v>
      </c>
      <c r="C985" s="20" t="s">
        <v>788</v>
      </c>
      <c r="D985" s="20" t="s">
        <v>789</v>
      </c>
      <c r="E985" s="20" t="s">
        <v>790</v>
      </c>
      <c r="F985" s="20" t="s">
        <v>791</v>
      </c>
      <c r="G985" s="20" t="s">
        <v>792</v>
      </c>
      <c r="H985" s="20" t="s">
        <v>793</v>
      </c>
      <c r="I985" s="20" t="s">
        <v>794</v>
      </c>
      <c r="J985" s="20" t="s">
        <v>795</v>
      </c>
      <c r="K985" s="20" t="s">
        <v>796</v>
      </c>
      <c r="L985" s="4" t="s">
        <v>47</v>
      </c>
    </row>
    <row r="986" customFormat="false" ht="15" hidden="false" customHeight="false" outlineLevel="0" collapsed="false">
      <c r="A986" s="1" t="s">
        <v>1042</v>
      </c>
      <c r="B986" s="1" t="s">
        <v>235</v>
      </c>
      <c r="F986" s="36" t="n">
        <f aca="false">Sens!F842-base_fy-mid_yr</f>
        <v>0.5</v>
      </c>
      <c r="G986" s="36" t="n">
        <f aca="false">Sens!G842-base_fy-mid_yr</f>
        <v>1.5</v>
      </c>
      <c r="H986" s="36" t="n">
        <f aca="false">Sens!H842-base_fy-mid_yr</f>
        <v>2.5</v>
      </c>
      <c r="I986" s="36" t="n">
        <f aca="false">Sens!I842-base_fy-mid_yr</f>
        <v>3.5</v>
      </c>
      <c r="J986" s="36" t="n">
        <f aca="false">Sens!J842-base_fy-mid_yr</f>
        <v>4.5</v>
      </c>
      <c r="K986" s="36" t="n">
        <f aca="false">Sens!K842-base_fy-mid_yr</f>
        <v>5.5</v>
      </c>
    </row>
    <row r="987" customFormat="false" ht="15" hidden="false" customHeight="false" outlineLevel="0" collapsed="false">
      <c r="A987" s="1" t="s">
        <v>1043</v>
      </c>
      <c r="B987" s="0" t="s">
        <v>185</v>
      </c>
      <c r="F987" s="14" t="n">
        <f aca="false">1/(1+wacc)^Sens!F986</f>
        <v>0.952193373608246</v>
      </c>
      <c r="G987" s="14" t="n">
        <f aca="false">1/(1+wacc)^Sens!G986</f>
        <v>0.863327280626589</v>
      </c>
      <c r="H987" s="14" t="n">
        <f aca="false">1/(1+wacc)^Sens!H986</f>
        <v>0.782754862754115</v>
      </c>
      <c r="I987" s="14" t="n">
        <f aca="false">1/(1+wacc)^Sens!I986</f>
        <v>0.709702089711011</v>
      </c>
      <c r="J987" s="14" t="n">
        <f aca="false">1/(1+wacc)^Sens!J986</f>
        <v>0.643467169744551</v>
      </c>
      <c r="K987" s="14" t="n">
        <f aca="false">1/(1+wacc)^Sens!K986</f>
        <v>0.583413807767797</v>
      </c>
    </row>
    <row r="988" customFormat="false" ht="17.15" hidden="false" customHeight="false" outlineLevel="0" collapsed="false">
      <c r="A988" s="1" t="s">
        <v>1044</v>
      </c>
      <c r="B988" s="0" t="s">
        <v>98</v>
      </c>
      <c r="F988" s="6" t="n">
        <f aca="false">Sens!F962-Sens!F960-Sens!F965+Sens!F946*(1-tax_f)</f>
        <v>-0.254950967489508</v>
      </c>
      <c r="G988" s="6" t="n">
        <f aca="false">Sens!G962-Sens!G960-Sens!G965+Sens!G946*(1-tax_f)</f>
        <v>35.8079767741892</v>
      </c>
      <c r="H988" s="6" t="n">
        <f aca="false">Sens!H962-Sens!H960-Sens!H965+Sens!H946*(1-tax_f)</f>
        <v>80.3179590163871</v>
      </c>
      <c r="I988" s="6" t="n">
        <f aca="false">Sens!I962-Sens!I960-Sens!I965+Sens!I946*(1-tax_f)</f>
        <v>150.021093100956</v>
      </c>
      <c r="J988" s="6" t="n">
        <f aca="false">Sens!J962-Sens!J960-Sens!J965+Sens!J946*(1-tax_f)</f>
        <v>224.749686877428</v>
      </c>
      <c r="K988" s="6" t="n">
        <f aca="false">Sens!K962-Sens!K960-Sens!K965+Sens!K946*(1-tax_f)</f>
        <v>260.744925663491</v>
      </c>
      <c r="L988" s="1" t="s">
        <v>1045</v>
      </c>
    </row>
    <row r="989" customFormat="false" ht="15" hidden="false" customHeight="false" outlineLevel="0" collapsed="false">
      <c r="A989" s="1" t="s">
        <v>1046</v>
      </c>
      <c r="B989" s="0" t="s">
        <v>98</v>
      </c>
      <c r="F989" s="6" t="n">
        <f aca="false">Sens!F988*Sens!F987</f>
        <v>-0.242762621838521</v>
      </c>
      <c r="G989" s="6" t="n">
        <f aca="false">Sens!G988*Sens!G987</f>
        <v>30.9140032132008</v>
      </c>
      <c r="H989" s="6" t="n">
        <f aca="false">Sens!H988*Sens!H987</f>
        <v>62.8692729865627</v>
      </c>
      <c r="I989" s="6" t="n">
        <f aca="false">Sens!I988*Sens!I987</f>
        <v>106.470283274479</v>
      </c>
      <c r="J989" s="6" t="n">
        <f aca="false">Sens!J988*Sens!J987</f>
        <v>144.619044915993</v>
      </c>
      <c r="K989" s="6" t="n">
        <f aca="false">Sens!K988*Sens!K987</f>
        <v>152.122189937469</v>
      </c>
    </row>
    <row r="990" customFormat="false" ht="17.15" hidden="false" customHeight="false" outlineLevel="0" collapsed="false">
      <c r="A990" s="1" t="s">
        <v>1047</v>
      </c>
      <c r="B990" s="0" t="s">
        <v>98</v>
      </c>
      <c r="C990" s="6" t="n">
        <f aca="false">SUM(Sens!F989:K989)</f>
        <v>496.752031705865</v>
      </c>
    </row>
    <row r="991" customFormat="false" ht="17.15" hidden="false" customHeight="false" outlineLevel="0" collapsed="false">
      <c r="A991" s="1" t="s">
        <v>1048</v>
      </c>
      <c r="B991" s="0" t="s">
        <v>98</v>
      </c>
      <c r="C991" s="6" t="n">
        <f aca="false">Sens!K932*(1+g_tv)*(1-tax_f)</f>
        <v>270.082977024927</v>
      </c>
    </row>
    <row r="992" customFormat="false" ht="17.15" hidden="false" customHeight="false" outlineLevel="0" collapsed="false">
      <c r="A992" s="1" t="s">
        <v>1049</v>
      </c>
      <c r="B992" s="0" t="s">
        <v>98</v>
      </c>
      <c r="C992" s="6" t="n">
        <f aca="false">Sens!$C$991*(1-g_tv/(wacc+ronic_prem))</f>
        <v>191.367914527493</v>
      </c>
    </row>
    <row r="993" customFormat="false" ht="17.15" hidden="false" customHeight="false" outlineLevel="0" collapsed="false">
      <c r="A993" s="1" t="s">
        <v>1050</v>
      </c>
      <c r="B993" s="0" t="s">
        <v>98</v>
      </c>
      <c r="C993" s="6" t="n">
        <f aca="false">Sens!$C$992/(wacc-g_tv)</f>
        <v>2623.83541658112</v>
      </c>
    </row>
    <row r="994" customFormat="false" ht="15" hidden="false" customHeight="false" outlineLevel="0" collapsed="false">
      <c r="A994" s="1" t="s">
        <v>1051</v>
      </c>
      <c r="B994" s="0" t="s">
        <v>98</v>
      </c>
      <c r="C994" s="6" t="n">
        <f aca="false">Sens!$C$993/(1+wacc)^(Sens!K986+mid_yr)</f>
        <v>1457.6002972014</v>
      </c>
    </row>
    <row r="995" customFormat="false" ht="17.15" hidden="false" customHeight="false" outlineLevel="0" collapsed="false">
      <c r="A995" s="0" t="s">
        <v>972</v>
      </c>
      <c r="B995" s="0" t="s">
        <v>98</v>
      </c>
      <c r="C995" s="6" t="n">
        <f aca="false">Sens!$C$990+Sens!$C$994</f>
        <v>1954.35232890727</v>
      </c>
    </row>
    <row r="996" customFormat="false" ht="15" hidden="false" customHeight="false" outlineLevel="0" collapsed="false">
      <c r="A996" s="1" t="s">
        <v>973</v>
      </c>
      <c r="B996" s="0" t="s">
        <v>129</v>
      </c>
      <c r="C996" s="7" t="n">
        <f aca="false">Sens!$C$994/Sens!$C$995</f>
        <v>0.745822682861072</v>
      </c>
    </row>
    <row r="997" customFormat="false" ht="17.15" hidden="false" customHeight="false" outlineLevel="0" collapsed="false">
      <c r="A997" s="1" t="s">
        <v>1052</v>
      </c>
      <c r="B997" s="0" t="s">
        <v>98</v>
      </c>
      <c r="C997" s="6" t="n">
        <f aca="false">Sens!$C$995+Sens!E977-Sens!E966+oai_v</f>
        <v>2088.86532890727</v>
      </c>
    </row>
    <row r="998" customFormat="false" ht="17.15" hidden="false" customHeight="false" outlineLevel="0" collapsed="false">
      <c r="A998" s="0" t="s">
        <v>980</v>
      </c>
      <c r="B998" s="0" t="s">
        <v>75</v>
      </c>
      <c r="C998" s="5" t="n">
        <f aca="false">Sens!$C$997/sh_dil26</f>
        <v>280.271746800921</v>
      </c>
    </row>
    <row r="999" customFormat="false" ht="15" hidden="false" customHeight="false" outlineLevel="0" collapsed="false">
      <c r="A999" s="1" t="s">
        <v>1053</v>
      </c>
      <c r="B999" s="0" t="s">
        <v>75</v>
      </c>
      <c r="C999" s="8" t="n">
        <f aca="false">dps_27+Sens!G969*roll_div_q/q_per_yr</f>
        <v>4.8895</v>
      </c>
    </row>
    <row r="1000" customFormat="false" ht="17.15" hidden="false" customHeight="false" outlineLevel="0" collapsed="false">
      <c r="A1000" s="0" t="s">
        <v>1054</v>
      </c>
      <c r="B1000" s="0" t="s">
        <v>75</v>
      </c>
      <c r="C1000" s="5" t="n">
        <f aca="false">Sens!$C$998*(1+wacc)^t_roll-Sens!$C$999</f>
        <v>314.265296222914</v>
      </c>
    </row>
    <row r="1001" customFormat="false" ht="17.15" hidden="false" customHeight="false" outlineLevel="0" collapsed="false">
      <c r="A1001" s="1" t="s">
        <v>1055</v>
      </c>
      <c r="B1001" s="0" t="s">
        <v>129</v>
      </c>
      <c r="F1001" s="7" t="n">
        <f aca="false">Sens!F958/(Sens!F903-Sens!F859)</f>
        <v>0.0684307874075333</v>
      </c>
      <c r="G1001" s="7" t="n">
        <f aca="false">Sens!G958/(Sens!G903-Sens!G859)</f>
        <v>0.0656456058503526</v>
      </c>
      <c r="H1001" s="7" t="n">
        <f aca="false">Sens!H958/(Sens!H903-Sens!H859)</f>
        <v>0.0641950889132002</v>
      </c>
      <c r="I1001" s="7" t="n">
        <f aca="false">Sens!I958/(Sens!I903-Sens!I859)</f>
        <v>0.063960269667854</v>
      </c>
      <c r="J1001" s="7" t="n">
        <f aca="false">Sens!J958/(Sens!J903-Sens!J859)</f>
        <v>0.0646607917002597</v>
      </c>
      <c r="K1001" s="7" t="n">
        <f aca="false">Sens!K958/(Sens!K903-Sens!K859)</f>
        <v>0.0659511546529383</v>
      </c>
    </row>
    <row r="1002" customFormat="false" ht="17.15" hidden="false" customHeight="false" outlineLevel="0" collapsed="false">
      <c r="A1002" s="0" t="s">
        <v>1056</v>
      </c>
      <c r="B1002" s="0" t="s">
        <v>98</v>
      </c>
      <c r="F1002" s="6" t="n">
        <f aca="false">Sens!F888*(al_m365+Sens!F1001+sbc_r)</f>
        <v>83.9158372980923</v>
      </c>
      <c r="G1002" s="6" t="n">
        <f aca="false">Sens!G888*(al_m365+Sens!G1001+sbc_r)</f>
        <v>96.3459139664276</v>
      </c>
      <c r="H1002" s="6" t="n">
        <f aca="false">Sens!H888*(al_m365+Sens!H1001+sbc_r)</f>
        <v>108.939128787393</v>
      </c>
      <c r="I1002" s="6" t="n">
        <f aca="false">Sens!I888*(al_m365+Sens!I1001+sbc_r)</f>
        <v>120.51456797186</v>
      </c>
      <c r="J1002" s="6" t="n">
        <f aca="false">Sens!J888*(al_m365+Sens!J1001+sbc_r)</f>
        <v>130.883844402211</v>
      </c>
      <c r="K1002" s="6" t="n">
        <f aca="false">Sens!K888*(al_m365+Sens!K1001+sbc_r)</f>
        <v>140.862269296832</v>
      </c>
      <c r="L1002" s="11" t="s">
        <v>1057</v>
      </c>
    </row>
    <row r="1003" customFormat="false" ht="17.15" hidden="false" customHeight="false" outlineLevel="0" collapsed="false">
      <c r="A1003" s="0" t="s">
        <v>1058</v>
      </c>
      <c r="B1003" s="0" t="s">
        <v>98</v>
      </c>
      <c r="F1003" s="6" t="n">
        <f aca="false">Sens!F889*(al_lic+Sens!F1001+sbc_r)</f>
        <v>33.4384115342236</v>
      </c>
      <c r="G1003" s="6" t="n">
        <f aca="false">Sens!G889*(al_lic+Sens!G1001+sbc_r)</f>
        <v>34.7409063621757</v>
      </c>
      <c r="H1003" s="6" t="n">
        <f aca="false">Sens!H889*(al_lic+Sens!H1001+sbc_r)</f>
        <v>35.9566740351293</v>
      </c>
      <c r="I1003" s="6" t="n">
        <f aca="false">Sens!I889*(al_lic+Sens!I1001+sbc_r)</f>
        <v>37.0672966580049</v>
      </c>
      <c r="J1003" s="6" t="n">
        <f aca="false">Sens!J889*(al_lic+Sens!J1001+sbc_r)</f>
        <v>38.0469841498966</v>
      </c>
      <c r="K1003" s="6" t="n">
        <f aca="false">Sens!K889*(al_lic+Sens!K1001+sbc_r)</f>
        <v>38.8666958490701</v>
      </c>
    </row>
    <row r="1004" customFormat="false" ht="17.15" hidden="false" customHeight="false" outlineLevel="0" collapsed="false">
      <c r="A1004" s="0" t="s">
        <v>1059</v>
      </c>
      <c r="B1004" s="0" t="s">
        <v>98</v>
      </c>
      <c r="F1004" s="6" t="n">
        <f aca="false">Sens!F891*(al_ind+Sens!F1001+sbc_r)</f>
        <v>9.07285900381439</v>
      </c>
      <c r="G1004" s="6" t="n">
        <f aca="false">Sens!G891*(al_ind+Sens!G1001+sbc_r)</f>
        <v>9.84969160470639</v>
      </c>
      <c r="H1004" s="6" t="n">
        <f aca="false">Sens!H891*(al_ind+Sens!H1001+sbc_r)</f>
        <v>10.6714469126029</v>
      </c>
      <c r="I1004" s="6" t="n">
        <f aca="false">Sens!I891*(al_ind+Sens!I1001+sbc_r)</f>
        <v>11.5350820765572</v>
      </c>
      <c r="J1004" s="6" t="n">
        <f aca="false">Sens!J891*(al_ind+Sens!J1001+sbc_r)</f>
        <v>12.4308815351832</v>
      </c>
      <c r="K1004" s="6" t="n">
        <f aca="false">Sens!K891*(al_ind+Sens!K1001+sbc_r)</f>
        <v>13.3437330974691</v>
      </c>
    </row>
    <row r="1005" customFormat="false" ht="17.15" hidden="false" customHeight="false" outlineLevel="0" collapsed="false">
      <c r="A1005" s="0" t="s">
        <v>1060</v>
      </c>
      <c r="B1005" s="0" t="s">
        <v>98</v>
      </c>
      <c r="F1005" s="6" t="n">
        <f aca="false">Sens!F893*(al_fro+Sens!F1001+sbc_r)</f>
        <v>3.5711091569032</v>
      </c>
      <c r="G1005" s="6" t="n">
        <f aca="false">Sens!G893*(al_fro+Sens!G1001+sbc_r)</f>
        <v>3.78169924595694</v>
      </c>
      <c r="H1005" s="6" t="n">
        <f aca="false">Sens!H893*(al_fro+Sens!H1001+sbc_r)</f>
        <v>4.02136645419237</v>
      </c>
      <c r="I1005" s="6" t="n">
        <f aca="false">Sens!I893*(al_fro+Sens!I1001+sbc_r)</f>
        <v>4.29288807676321</v>
      </c>
      <c r="J1005" s="6" t="n">
        <f aca="false">Sens!J893*(al_fro+Sens!J1001+sbc_r)</f>
        <v>4.59741770960175</v>
      </c>
      <c r="K1005" s="6" t="n">
        <f aca="false">Sens!K893*(al_fro+Sens!K1001+sbc_r)</f>
        <v>4.9350252981555</v>
      </c>
    </row>
    <row r="1006" customFormat="false" ht="17.15" hidden="false" customHeight="false" outlineLevel="0" collapsed="false">
      <c r="A1006" s="0" t="s">
        <v>1061</v>
      </c>
      <c r="B1006" s="0" t="s">
        <v>98</v>
      </c>
      <c r="F1006" s="6" t="n">
        <f aca="false">Sens!F896*(al_srch+Sens!F1001+sbc_r)</f>
        <v>11.205111954849</v>
      </c>
      <c r="G1006" s="6" t="n">
        <f aca="false">Sens!G896*(al_srch+Sens!G1001+sbc_r)</f>
        <v>12.2792883348957</v>
      </c>
      <c r="H1006" s="6" t="n">
        <f aca="false">Sens!H896*(al_srch+Sens!H1001+sbc_r)</f>
        <v>13.3983888227975</v>
      </c>
      <c r="I1006" s="6" t="n">
        <f aca="false">Sens!I896*(al_srch+Sens!I1001+sbc_r)</f>
        <v>14.5517695263616</v>
      </c>
      <c r="J1006" s="6" t="n">
        <f aca="false">Sens!J896*(al_srch+Sens!J1001+sbc_r)</f>
        <v>15.7194284145253</v>
      </c>
      <c r="K1006" s="6" t="n">
        <f aca="false">Sens!K896*(al_srch+Sens!K1001+sbc_r)</f>
        <v>16.87377171237</v>
      </c>
    </row>
    <row r="1007" customFormat="false" ht="17.15" hidden="false" customHeight="false" outlineLevel="0" collapsed="false">
      <c r="A1007" s="0" t="s">
        <v>1062</v>
      </c>
      <c r="B1007" s="0" t="s">
        <v>98</v>
      </c>
      <c r="F1007" s="6" t="n">
        <f aca="false">Sens!F865-Sens!F866+Sens!F946</f>
        <v>44.6027276784975</v>
      </c>
      <c r="G1007" s="6" t="n">
        <f aca="false">Sens!G865-Sens!G866+Sens!G946</f>
        <v>77.4864916296953</v>
      </c>
      <c r="H1007" s="6" t="n">
        <f aca="false">Sens!H865-Sens!H866+Sens!H946</f>
        <v>112.919406386036</v>
      </c>
      <c r="I1007" s="6" t="n">
        <f aca="false">Sens!I865-Sens!I866+Sens!I946</f>
        <v>144.974812389857</v>
      </c>
      <c r="J1007" s="6" t="n">
        <f aca="false">Sens!J865-Sens!J866+Sens!J946</f>
        <v>167.612771112326</v>
      </c>
      <c r="K1007" s="6" t="n">
        <f aca="false">Sens!K865-Sens!K866+Sens!K946</f>
        <v>181.559286805843</v>
      </c>
    </row>
    <row r="1008" customFormat="false" ht="17.15" hidden="false" customHeight="false" outlineLevel="0" collapsed="false">
      <c r="A1008" s="0" t="s">
        <v>1063</v>
      </c>
      <c r="B1008" s="0" t="s">
        <v>98</v>
      </c>
      <c r="F1008" s="6" t="n">
        <f aca="false">Sens!F925+Sens!F946+Sens!F876+Sens!F1001*(Sens!F895-Sens!F859)+sbc_r*Sens!F895</f>
        <v>235.307813485907</v>
      </c>
      <c r="G1008" s="6" t="n">
        <f aca="false">Sens!G925+Sens!G946+Sens!G876+Sens!G1001*(Sens!G895-Sens!G859)+sbc_r*Sens!G895</f>
        <v>295.075140047594</v>
      </c>
      <c r="H1008" s="6" t="n">
        <f aca="false">Sens!H925+Sens!H946+Sens!H876+Sens!H1001*(Sens!H895-Sens!H859)+sbc_r*Sens!H895</f>
        <v>357.89618260281</v>
      </c>
      <c r="I1008" s="6" t="n">
        <f aca="false">Sens!I925+Sens!I946+Sens!I876+Sens!I1001*(Sens!I895-Sens!I859)+sbc_r*Sens!I895</f>
        <v>415.996262274056</v>
      </c>
      <c r="J1008" s="6" t="n">
        <f aca="false">Sens!J925+Sens!J946+Sens!J876+Sens!J1001*(Sens!J895-Sens!J859)+sbc_r*Sens!J895</f>
        <v>462.29531793477</v>
      </c>
      <c r="K1008" s="6" t="n">
        <f aca="false">Sens!K925+Sens!K946+Sens!K876+Sens!K1001*(Sens!K895-Sens!K859)+sbc_r*Sens!K895</f>
        <v>497.581477989616</v>
      </c>
    </row>
    <row r="1009" customFormat="false" ht="17.15" hidden="false" customHeight="false" outlineLevel="0" collapsed="false">
      <c r="A1009" s="0" t="s">
        <v>1064</v>
      </c>
      <c r="B1009" s="0" t="s">
        <v>98</v>
      </c>
      <c r="F1009" s="6" t="n">
        <f aca="false">Sens!F1008-Sens!F1002-Sens!F1003-Sens!F1004-Sens!F1005-Sens!F1007</f>
        <v>60.7068688143758</v>
      </c>
      <c r="G1009" s="6" t="n">
        <f aca="false">Sens!G1008-Sens!G1002-Sens!G1003-Sens!G1004-Sens!G1005-Sens!G1007</f>
        <v>72.8704372386316</v>
      </c>
      <c r="H1009" s="6" t="n">
        <f aca="false">Sens!H1008-Sens!H1002-Sens!H1003-Sens!H1004-Sens!H1005-Sens!H1007</f>
        <v>85.3881600274565</v>
      </c>
      <c r="I1009" s="6" t="n">
        <f aca="false">Sens!I1008-Sens!I1002-Sens!I1003-Sens!I1004-Sens!I1005-Sens!I1007</f>
        <v>97.6116151010137</v>
      </c>
      <c r="J1009" s="6" t="n">
        <f aca="false">Sens!J1008-Sens!J1002-Sens!J1003-Sens!J1004-Sens!J1005-Sens!J1007</f>
        <v>108.723419025552</v>
      </c>
      <c r="K1009" s="6" t="n">
        <f aca="false">Sens!K1008-Sens!K1002-Sens!K1003-Sens!K1004-Sens!K1005-Sens!K1007</f>
        <v>118.014467642246</v>
      </c>
    </row>
    <row r="1010" customFormat="false" ht="17.15" hidden="false" customHeight="false" outlineLevel="0" collapsed="false">
      <c r="A1010" s="0" t="s">
        <v>1065</v>
      </c>
      <c r="B1010" s="0" t="s">
        <v>98</v>
      </c>
      <c r="F1010" s="6" t="n">
        <f aca="false">Sens!F927+Sens!F1001*Sens!F902+sbc_r*Sens!F902</f>
        <v>26.1883018536976</v>
      </c>
      <c r="G1010" s="6" t="n">
        <f aca="false">Sens!G927+Sens!G1001*Sens!G902+sbc_r*Sens!G902</f>
        <v>26.7988692269165</v>
      </c>
      <c r="H1010" s="6" t="n">
        <f aca="false">Sens!H927+Sens!H1001*Sens!H902+sbc_r*Sens!H902</f>
        <v>27.676651877401</v>
      </c>
      <c r="I1010" s="6" t="n">
        <f aca="false">Sens!I927+Sens!I1001*Sens!I902+sbc_r*Sens!I902</f>
        <v>28.7919477163856</v>
      </c>
      <c r="J1010" s="6" t="n">
        <f aca="false">Sens!J927+Sens!J1001*Sens!J902+sbc_r*Sens!J902</f>
        <v>30.1095554599876</v>
      </c>
      <c r="K1010" s="6" t="n">
        <f aca="false">Sens!K927+Sens!K1001*Sens!K902+sbc_r*Sens!K902</f>
        <v>31.5923355811805</v>
      </c>
    </row>
    <row r="1011" customFormat="false" ht="17.15" hidden="false" customHeight="false" outlineLevel="0" collapsed="false">
      <c r="A1011" s="0" t="s">
        <v>1066</v>
      </c>
      <c r="B1011" s="0" t="s">
        <v>98</v>
      </c>
      <c r="F1011" s="6" t="n">
        <f aca="false">(Sens!F1010-Sens!F1006)*Sens!F898/(Sens!F898+Sens!F900)</f>
        <v>8.21363876839376</v>
      </c>
      <c r="G1011" s="6" t="n">
        <f aca="false">(Sens!G1010-Sens!G1006)*Sens!G898/(Sens!G898+Sens!G900)</f>
        <v>7.81757556948427</v>
      </c>
      <c r="H1011" s="6" t="n">
        <f aca="false">(Sens!H1010-Sens!H1006)*Sens!H898/(Sens!H898+Sens!H900)</f>
        <v>7.58379891746928</v>
      </c>
      <c r="I1011" s="6" t="n">
        <f aca="false">(Sens!I1010-Sens!I1006)*Sens!I898/(Sens!I898+Sens!I900)</f>
        <v>7.49513512835163</v>
      </c>
      <c r="J1011" s="6" t="n">
        <f aca="false">(Sens!J1010-Sens!J1006)*Sens!J898/(Sens!J898+Sens!J900)</f>
        <v>7.53980917061682</v>
      </c>
      <c r="K1011" s="6" t="n">
        <f aca="false">(Sens!K1010-Sens!K1006)*Sens!K898/(Sens!K898+Sens!K900)</f>
        <v>7.71189597463361</v>
      </c>
    </row>
    <row r="1012" customFormat="false" ht="17.15" hidden="false" customHeight="false" outlineLevel="0" collapsed="false">
      <c r="A1012" s="0" t="s">
        <v>1067</v>
      </c>
      <c r="B1012" s="0" t="s">
        <v>98</v>
      </c>
      <c r="F1012" s="6" t="n">
        <f aca="false">Sens!F1010-Sens!F1006-Sens!F1011</f>
        <v>6.76955113045481</v>
      </c>
      <c r="G1012" s="6" t="n">
        <f aca="false">Sens!G1010-Sens!G1006-Sens!G1011</f>
        <v>6.70200532253647</v>
      </c>
      <c r="H1012" s="6" t="n">
        <f aca="false">Sens!H1010-Sens!H1006-Sens!H1011</f>
        <v>6.6944641371343</v>
      </c>
      <c r="I1012" s="6" t="n">
        <f aca="false">Sens!I1010-Sens!I1006-Sens!I1011</f>
        <v>6.74504306167234</v>
      </c>
      <c r="J1012" s="6" t="n">
        <f aca="false">Sens!J1010-Sens!J1006-Sens!J1011</f>
        <v>6.85031787484545</v>
      </c>
      <c r="K1012" s="6" t="n">
        <f aca="false">Sens!K1010-Sens!K1006-Sens!K1011</f>
        <v>7.00666789417688</v>
      </c>
    </row>
    <row r="1013" customFormat="false" ht="17.15" hidden="false" customHeight="false" outlineLevel="0" collapsed="false">
      <c r="A1013" s="0" t="s">
        <v>1068</v>
      </c>
      <c r="B1013" s="0" t="s">
        <v>98</v>
      </c>
      <c r="F1013" s="6" t="n">
        <f aca="false">Sens!F1007-tax_f*(Sens!F1007-Sens!F876)-Sens!F873</f>
        <v>-125.990363536466</v>
      </c>
      <c r="G1013" s="6" t="n">
        <f aca="false">Sens!G1007-tax_f*(Sens!G1007-Sens!G876)-Sens!G873</f>
        <v>-109.483640527376</v>
      </c>
      <c r="H1013" s="6" t="n">
        <f aca="false">Sens!H1007-tax_f*(Sens!H1007-Sens!H876)-Sens!H873</f>
        <v>-80.1962976029433</v>
      </c>
      <c r="I1013" s="6" t="n">
        <f aca="false">Sens!I1007-tax_f*(Sens!I1007-Sens!I876)-Sens!I873</f>
        <v>-25.3294112459153</v>
      </c>
      <c r="J1013" s="6" t="n">
        <f aca="false">Sens!J1007-tax_f*(Sens!J1007-Sens!J876)-Sens!J873</f>
        <v>35.4144823563032</v>
      </c>
      <c r="K1013" s="6" t="n">
        <f aca="false">Sens!K1007-tax_f*(Sens!K1007-Sens!K876)-Sens!K873</f>
        <v>58.2175231636331</v>
      </c>
    </row>
    <row r="1014" customFormat="false" ht="17.15" hidden="false" customHeight="false" outlineLevel="0" collapsed="false">
      <c r="A1014" s="0" t="s">
        <v>1069</v>
      </c>
      <c r="B1014" s="0" t="s">
        <v>98</v>
      </c>
      <c r="F1014" s="6" t="n">
        <f aca="false">Sens!F1013*Sens!F987</f>
        <v>-119.967189297917</v>
      </c>
      <c r="G1014" s="6" t="n">
        <f aca="false">Sens!G1013*Sens!G987</f>
        <v>-94.5202136495984</v>
      </c>
      <c r="H1014" s="6" t="n">
        <f aca="false">Sens!H1013*Sens!H987</f>
        <v>-62.7740419235801</v>
      </c>
      <c r="I1014" s="6" t="n">
        <f aca="false">Sens!I1013*Sens!I987</f>
        <v>-17.9763360923757</v>
      </c>
      <c r="J1014" s="6" t="n">
        <f aca="false">Sens!J1013*Sens!J987</f>
        <v>22.7880567297787</v>
      </c>
      <c r="K1014" s="6" t="n">
        <f aca="false">Sens!K1013*Sens!K987</f>
        <v>33.9649068677051</v>
      </c>
    </row>
    <row r="1015" customFormat="false" ht="17.15" hidden="false" customHeight="false" outlineLevel="0" collapsed="false">
      <c r="A1015" s="0" t="s">
        <v>1070</v>
      </c>
      <c r="B1015" s="0" t="s">
        <v>98</v>
      </c>
      <c r="C1015" s="6" t="n">
        <f aca="false">(Sens!K1007-Sens!K876)*(1-tax_f)*(1+g_tv)*(1-g_tv/(wacc+ronic_prem))/(wacc-g_tv)/(1+wacc)^(Sens!K986+mid_yr)</f>
        <v>186.381628884527</v>
      </c>
    </row>
    <row r="1016" customFormat="false" ht="17.15" hidden="false" customHeight="false" outlineLevel="0" collapsed="false">
      <c r="A1016" s="1" t="s">
        <v>1071</v>
      </c>
      <c r="B1016" s="0" t="s">
        <v>98</v>
      </c>
      <c r="C1016" s="6" t="n">
        <f aca="false">(SUM(Sens!F1014:K1014)+Sens!$C$1015)*(1+wacc)^t_roll</f>
        <v>-59.3316404245916</v>
      </c>
      <c r="L1016" s="11" t="s">
        <v>1072</v>
      </c>
    </row>
    <row r="1017" customFormat="false" ht="17.15" hidden="false" customHeight="false" outlineLevel="0" collapsed="false">
      <c r="A1017" s="1" t="s">
        <v>1073</v>
      </c>
      <c r="B1017" s="0" t="s">
        <v>98</v>
      </c>
      <c r="C1017" s="6" t="n">
        <f aca="false">(w_ntm28*Sens!G865+(1-w_ntm28)*Sens!H865)*m_ai</f>
        <v>364.121346804819</v>
      </c>
    </row>
    <row r="1018" customFormat="false" ht="17.15" hidden="false" customHeight="false" outlineLevel="0" collapsed="false">
      <c r="A1018" s="1" t="s">
        <v>1074</v>
      </c>
      <c r="B1018" s="0" t="s">
        <v>98</v>
      </c>
      <c r="C1018" s="6" t="n">
        <f aca="false">(w_ntm28*Sens!G1009+(1-w_ntm28)*Sens!H1009)*m_cloud</f>
        <v>1062.9965703505</v>
      </c>
    </row>
    <row r="1019" customFormat="false" ht="17.15" hidden="false" customHeight="false" outlineLevel="0" collapsed="false">
      <c r="A1019" s="1" t="s">
        <v>1075</v>
      </c>
      <c r="B1019" s="0" t="s">
        <v>98</v>
      </c>
      <c r="C1019" s="6" t="n">
        <f aca="false">(w_ntm28*Sens!G1002+(1-w_ntm28)*Sens!H1002)*m_sw</f>
        <v>1084.50516663972</v>
      </c>
    </row>
    <row r="1020" customFormat="false" ht="17.15" hidden="false" customHeight="false" outlineLevel="0" collapsed="false">
      <c r="A1020" s="1" t="s">
        <v>1076</v>
      </c>
      <c r="B1020" s="0" t="s">
        <v>98</v>
      </c>
      <c r="C1020" s="6" t="n">
        <f aca="false">(w_ntm28*Sens!G1003+(1-w_ntm28)*Sens!H1003)*m_sw</f>
        <v>379.446649868791</v>
      </c>
    </row>
    <row r="1021" customFormat="false" ht="17.15" hidden="false" customHeight="false" outlineLevel="0" collapsed="false">
      <c r="A1021" s="1" t="s">
        <v>1077</v>
      </c>
      <c r="B1021" s="0" t="s">
        <v>98</v>
      </c>
      <c r="C1021" s="6" t="n">
        <f aca="false">(w_ntm28*Sens!G1004+(1-w_ntm28)*Sens!H1004)*m_sw</f>
        <v>109.245833616811</v>
      </c>
    </row>
    <row r="1022" customFormat="false" ht="17.15" hidden="false" customHeight="false" outlineLevel="0" collapsed="false">
      <c r="A1022" s="1" t="s">
        <v>1078</v>
      </c>
      <c r="B1022" s="0" t="s">
        <v>98</v>
      </c>
      <c r="C1022" s="6" t="n">
        <f aca="false">(w_ntm28*Sens!G1005+(1-w_ntm28)*Sens!H1005)*m_sw</f>
        <v>41.6791515554452</v>
      </c>
    </row>
    <row r="1023" customFormat="false" ht="17.15" hidden="false" customHeight="false" outlineLevel="0" collapsed="false">
      <c r="A1023" s="1" t="s">
        <v>1079</v>
      </c>
      <c r="B1023" s="0" t="s">
        <v>98</v>
      </c>
      <c r="C1023" s="6" t="n">
        <f aca="false">(w_ntm28*Sens!G1006+(1-w_ntm28)*Sens!H1006)*m_ads</f>
        <v>115.160236299351</v>
      </c>
    </row>
    <row r="1024" customFormat="false" ht="17.15" hidden="false" customHeight="false" outlineLevel="0" collapsed="false">
      <c r="A1024" s="1" t="s">
        <v>1080</v>
      </c>
      <c r="B1024" s="0" t="s">
        <v>98</v>
      </c>
      <c r="C1024" s="6" t="n">
        <f aca="false">(w_ntm28*Sens!G1011+(1-w_ntm28)*Sens!H1011)*m_game</f>
        <v>97.7814405506301</v>
      </c>
    </row>
    <row r="1025" customFormat="false" ht="17.15" hidden="false" customHeight="false" outlineLevel="0" collapsed="false">
      <c r="A1025" s="1" t="s">
        <v>1081</v>
      </c>
      <c r="B1025" s="0" t="s">
        <v>98</v>
      </c>
      <c r="C1025" s="6" t="n">
        <f aca="false">(w_ntm28*Sens!G1012+(1-w_ntm28)*Sens!H1012)*m_pc</f>
        <v>96.9427395583992</v>
      </c>
    </row>
    <row r="1026" customFormat="false" ht="17.15" hidden="false" customHeight="false" outlineLevel="0" collapsed="false">
      <c r="A1026" s="1" t="s">
        <v>1082</v>
      </c>
      <c r="B1026" s="0" t="s">
        <v>98</v>
      </c>
      <c r="C1026" s="6" t="n">
        <f aca="false">Sens!$C$1016+Sens!$C$1018+Sens!$C$1019+Sens!$C$1020+Sens!$C$1021+Sens!$C$1022+Sens!$C$1023+Sens!$C$1024+Sens!$C$1025</f>
        <v>2928.42614801505</v>
      </c>
    </row>
    <row r="1027" customFormat="false" ht="17.15" hidden="false" customHeight="false" outlineLevel="0" collapsed="false">
      <c r="A1027" s="1" t="s">
        <v>1000</v>
      </c>
      <c r="B1027" s="0" t="s">
        <v>98</v>
      </c>
      <c r="C1027" s="6" t="n">
        <f aca="false">Sens!F977+oai_v-Sens!F966</f>
        <v>104.337549508494</v>
      </c>
      <c r="L1027" s="1" t="s">
        <v>1083</v>
      </c>
    </row>
    <row r="1028" customFormat="false" ht="15" hidden="false" customHeight="false" outlineLevel="0" collapsed="false">
      <c r="A1028" s="1" t="s">
        <v>1001</v>
      </c>
      <c r="B1028" s="0" t="s">
        <v>75</v>
      </c>
      <c r="C1028" s="5" t="n">
        <f aca="false">(Sens!$C$1026+Sens!$C$1027)/Sens!F979</f>
        <v>405.883792495121</v>
      </c>
    </row>
    <row r="1029" customFormat="false" ht="17.15" hidden="false" customHeight="false" outlineLevel="0" collapsed="false">
      <c r="A1029" s="1" t="s">
        <v>1084</v>
      </c>
      <c r="B1029" s="0" t="s">
        <v>75</v>
      </c>
      <c r="C1029" s="5" t="n">
        <f aca="false">w_dcf*Sens!$C$1000+(1-w_dcf)*Sens!$C$1028</f>
        <v>360.074544359018</v>
      </c>
    </row>
    <row r="1030" customFormat="false" ht="17.15" hidden="false" customHeight="false" outlineLevel="0" collapsed="false">
      <c r="A1030" s="3" t="s">
        <v>1259</v>
      </c>
    </row>
    <row r="1031" customFormat="false" ht="15" hidden="false" customHeight="false" outlineLevel="0" collapsed="false">
      <c r="A1031" s="4" t="s">
        <v>43</v>
      </c>
      <c r="B1031" s="4" t="s">
        <v>65</v>
      </c>
      <c r="C1031" s="20" t="s">
        <v>788</v>
      </c>
      <c r="D1031" s="20" t="s">
        <v>789</v>
      </c>
      <c r="E1031" s="20" t="s">
        <v>790</v>
      </c>
      <c r="F1031" s="20" t="s">
        <v>791</v>
      </c>
      <c r="G1031" s="20" t="s">
        <v>792</v>
      </c>
      <c r="H1031" s="20" t="s">
        <v>793</v>
      </c>
      <c r="I1031" s="20" t="s">
        <v>794</v>
      </c>
      <c r="J1031" s="20" t="s">
        <v>795</v>
      </c>
      <c r="K1031" s="20" t="s">
        <v>796</v>
      </c>
      <c r="L1031" s="4" t="s">
        <v>47</v>
      </c>
    </row>
    <row r="1032" customFormat="false" ht="17.15" hidden="false" customHeight="false" outlineLevel="0" collapsed="false">
      <c r="A1032" s="1" t="s">
        <v>797</v>
      </c>
      <c r="B1032" s="1" t="s">
        <v>235</v>
      </c>
      <c r="C1032" s="28" t="n">
        <v>2024</v>
      </c>
      <c r="D1032" s="28" t="n">
        <v>2025</v>
      </c>
      <c r="E1032" s="28" t="n">
        <v>2026</v>
      </c>
      <c r="F1032" s="28" t="n">
        <v>2027</v>
      </c>
      <c r="G1032" s="28" t="n">
        <v>2028</v>
      </c>
      <c r="H1032" s="28" t="n">
        <v>2029</v>
      </c>
      <c r="I1032" s="28" t="n">
        <v>2030</v>
      </c>
      <c r="J1032" s="28" t="n">
        <v>2031</v>
      </c>
      <c r="K1032" s="28" t="n">
        <v>2032</v>
      </c>
    </row>
    <row r="1033" customFormat="false" ht="17.15" hidden="false" customHeight="false" outlineLevel="0" collapsed="false">
      <c r="A1033" s="1" t="s">
        <v>798</v>
      </c>
      <c r="B1033" s="0" t="s">
        <v>392</v>
      </c>
      <c r="F1033" s="29" t="n">
        <f aca="false">pace</f>
        <v>2527.2</v>
      </c>
      <c r="G1033" s="29" t="n">
        <f aca="false">pace</f>
        <v>2527.2</v>
      </c>
      <c r="H1033" s="29" t="n">
        <f aca="false">pace</f>
        <v>2527.2</v>
      </c>
      <c r="I1033" s="29" t="n">
        <f aca="false">pace+(g_tv*Sens!H1034-pace)*MIN(1,(Sens!I1032-pace_y0)/(pace_y1-pace_y0))</f>
        <v>1793.116</v>
      </c>
      <c r="J1033" s="29" t="n">
        <f aca="false">pace+(g_tv*Sens!H1034-pace)*MIN(1,(Sens!J1032-pace_y0)/(pace_y1-pace_y0))</f>
        <v>1059.032</v>
      </c>
      <c r="K1033" s="29" t="n">
        <f aca="false">pace+(g_tv*Sens!H1034-pace)*MIN(1,(Sens!K1032-pace_y0)/(pace_y1-pace_y0))</f>
        <v>324.948</v>
      </c>
      <c r="L1033" s="11" t="s">
        <v>799</v>
      </c>
    </row>
    <row r="1034" customFormat="false" ht="17.15" hidden="false" customHeight="false" outlineLevel="0" collapsed="false">
      <c r="A1034" s="1" t="s">
        <v>800</v>
      </c>
      <c r="B1034" s="0" t="s">
        <v>392</v>
      </c>
      <c r="C1034" s="29" t="n">
        <f aca="false">mw_ext_24</f>
        <v>640</v>
      </c>
      <c r="D1034" s="29" t="n">
        <f aca="false">mw_ext_25</f>
        <v>1630</v>
      </c>
      <c r="E1034" s="29" t="n">
        <f aca="false">mw_ext_26</f>
        <v>3250</v>
      </c>
      <c r="F1034" s="29" t="n">
        <f aca="false">Sens!E1034+Sens!F1033</f>
        <v>5777.2</v>
      </c>
      <c r="G1034" s="29" t="n">
        <f aca="false">Sens!F1034+Sens!G1033</f>
        <v>8304.4</v>
      </c>
      <c r="H1034" s="29" t="n">
        <f aca="false">Sens!G1034+Sens!H1033</f>
        <v>10831.6</v>
      </c>
      <c r="I1034" s="29" t="n">
        <f aca="false">Sens!H1034+Sens!I1033</f>
        <v>12624.716</v>
      </c>
      <c r="J1034" s="29" t="n">
        <f aca="false">Sens!I1034+Sens!J1033</f>
        <v>13683.748</v>
      </c>
      <c r="K1034" s="29" t="n">
        <f aca="false">Sens!J1034+Sens!K1033</f>
        <v>14008.696</v>
      </c>
      <c r="L1034" s="1" t="s">
        <v>801</v>
      </c>
    </row>
    <row r="1035" customFormat="false" ht="17.15" hidden="false" customHeight="false" outlineLevel="0" collapsed="false">
      <c r="A1035" s="1" t="s">
        <v>802</v>
      </c>
      <c r="B1035" s="0" t="s">
        <v>392</v>
      </c>
      <c r="C1035" s="29" t="n">
        <f aca="false">rent_ext_24</f>
        <v>150</v>
      </c>
      <c r="D1035" s="29" t="n">
        <f aca="false">rent_ext_25</f>
        <v>400</v>
      </c>
      <c r="E1035" s="29" t="n">
        <f aca="false">rent_ext_26</f>
        <v>550</v>
      </c>
      <c r="F1035" s="29" t="n">
        <f aca="false">rent_ext_f</f>
        <v>756</v>
      </c>
      <c r="G1035" s="29" t="n">
        <f aca="false">rent_ext_f</f>
        <v>756</v>
      </c>
      <c r="H1035" s="29" t="n">
        <f aca="false">rent_ext_f</f>
        <v>756</v>
      </c>
      <c r="I1035" s="29" t="n">
        <f aca="false">rent_ext_f</f>
        <v>756</v>
      </c>
      <c r="J1035" s="29" t="n">
        <f aca="false">rent_ext_f</f>
        <v>756</v>
      </c>
      <c r="K1035" s="29" t="n">
        <f aca="false">rent_ext_f</f>
        <v>756</v>
      </c>
      <c r="L1035" s="1" t="s">
        <v>803</v>
      </c>
    </row>
    <row r="1036" customFormat="false" ht="17.15" hidden="false" customHeight="false" outlineLevel="0" collapsed="false">
      <c r="A1036" s="1" t="s">
        <v>804</v>
      </c>
      <c r="B1036" s="0" t="s">
        <v>392</v>
      </c>
      <c r="C1036" s="29" t="n">
        <f aca="false">Sens!C1034-Sens!C1035</f>
        <v>490</v>
      </c>
      <c r="D1036" s="29" t="n">
        <f aca="false">Sens!D1034-Sens!D1035</f>
        <v>1230</v>
      </c>
      <c r="E1036" s="29" t="n">
        <f aca="false">Sens!E1034-Sens!E1035</f>
        <v>2700</v>
      </c>
      <c r="F1036" s="29" t="n">
        <f aca="false">Sens!F1034-Sens!F1035</f>
        <v>5021.2</v>
      </c>
      <c r="G1036" s="29" t="n">
        <f aca="false">Sens!G1034-Sens!G1035</f>
        <v>7548.4</v>
      </c>
      <c r="H1036" s="29" t="n">
        <f aca="false">Sens!H1034-Sens!H1035</f>
        <v>10075.6</v>
      </c>
      <c r="I1036" s="29" t="n">
        <f aca="false">Sens!I1034-Sens!I1035</f>
        <v>11868.716</v>
      </c>
      <c r="J1036" s="29" t="n">
        <f aca="false">Sens!J1034-Sens!J1035</f>
        <v>12927.748</v>
      </c>
      <c r="K1036" s="29" t="n">
        <f aca="false">Sens!K1034-Sens!K1035</f>
        <v>13252.696</v>
      </c>
    </row>
    <row r="1037" customFormat="false" ht="17.15" hidden="false" customHeight="false" outlineLevel="0" collapsed="false">
      <c r="A1037" s="1" t="s">
        <v>805</v>
      </c>
      <c r="B1037" s="0" t="s">
        <v>392</v>
      </c>
      <c r="C1037" s="29" t="n">
        <f aca="false">Sens!C1036/ext_sh</f>
        <v>816.666666666667</v>
      </c>
      <c r="D1037" s="29" t="n">
        <f aca="false">Sens!D1036/ext_sh</f>
        <v>2050</v>
      </c>
      <c r="E1037" s="29" t="n">
        <f aca="false">Sens!E1036/ext_sh</f>
        <v>4500</v>
      </c>
      <c r="F1037" s="29" t="n">
        <f aca="false">Sens!F1036/ext_sh</f>
        <v>8368.66666666667</v>
      </c>
      <c r="G1037" s="29" t="n">
        <f aca="false">Sens!G1036/ext_sh</f>
        <v>12580.6666666667</v>
      </c>
      <c r="H1037" s="29" t="n">
        <f aca="false">Sens!H1036/ext_sh</f>
        <v>16792.6666666667</v>
      </c>
      <c r="I1037" s="29" t="n">
        <f aca="false">Sens!I1036/ext_sh</f>
        <v>19781.1933333333</v>
      </c>
      <c r="J1037" s="29" t="n">
        <f aca="false">Sens!J1036/ext_sh</f>
        <v>21546.2466666667</v>
      </c>
      <c r="K1037" s="29" t="n">
        <f aca="false">Sens!K1036/ext_sh</f>
        <v>22087.8266666667</v>
      </c>
      <c r="L1037" s="1" t="s">
        <v>806</v>
      </c>
    </row>
    <row r="1038" customFormat="false" ht="17.15" hidden="false" customHeight="false" outlineLevel="0" collapsed="false">
      <c r="A1038" s="1" t="s">
        <v>807</v>
      </c>
      <c r="B1038" s="0" t="s">
        <v>392</v>
      </c>
      <c r="C1038" s="29" t="n">
        <f aca="false">Sens!C1037-Sens!C1036</f>
        <v>326.666666666667</v>
      </c>
      <c r="D1038" s="29" t="n">
        <f aca="false">Sens!D1037-Sens!D1036</f>
        <v>820</v>
      </c>
      <c r="E1038" s="29" t="n">
        <f aca="false">Sens!E1037-Sens!E1036</f>
        <v>1800</v>
      </c>
      <c r="F1038" s="29" t="n">
        <f aca="false">Sens!F1037-Sens!F1036</f>
        <v>3347.46666666667</v>
      </c>
      <c r="G1038" s="29" t="n">
        <f aca="false">Sens!G1037-Sens!G1036</f>
        <v>5032.26666666667</v>
      </c>
      <c r="H1038" s="29" t="n">
        <f aca="false">Sens!H1037-Sens!H1036</f>
        <v>6717.06666666667</v>
      </c>
      <c r="I1038" s="29" t="n">
        <f aca="false">Sens!I1037-Sens!I1036</f>
        <v>7912.47733333333</v>
      </c>
      <c r="J1038" s="29" t="n">
        <f aca="false">Sens!J1037-Sens!J1036</f>
        <v>8618.49866666667</v>
      </c>
      <c r="K1038" s="29" t="n">
        <f aca="false">Sens!K1037-Sens!K1036</f>
        <v>8835.13066666667</v>
      </c>
    </row>
    <row r="1039" customFormat="false" ht="17.15" hidden="false" customHeight="false" outlineLevel="0" collapsed="false">
      <c r="A1039" s="1" t="s">
        <v>808</v>
      </c>
      <c r="B1039" s="0" t="s">
        <v>392</v>
      </c>
      <c r="C1039" s="29" t="n">
        <f aca="false">Sens!C1037</f>
        <v>816.666666666667</v>
      </c>
      <c r="D1039" s="29" t="n">
        <f aca="false">Sens!D1037-Sens!C1037</f>
        <v>1233.33333333333</v>
      </c>
      <c r="E1039" s="29" t="n">
        <f aca="false">Sens!E1037-Sens!D1037</f>
        <v>2450</v>
      </c>
      <c r="F1039" s="29" t="n">
        <f aca="false">Sens!F1037-Sens!E1037</f>
        <v>3868.66666666667</v>
      </c>
      <c r="G1039" s="29" t="n">
        <f aca="false">Sens!G1037-Sens!F1037</f>
        <v>4212</v>
      </c>
      <c r="H1039" s="29" t="n">
        <f aca="false">Sens!H1037-Sens!G1037</f>
        <v>4212</v>
      </c>
      <c r="I1039" s="29" t="n">
        <f aca="false">Sens!I1037-Sens!H1037</f>
        <v>2988.52666666667</v>
      </c>
      <c r="J1039" s="29" t="n">
        <f aca="false">Sens!J1037-Sens!I1037</f>
        <v>1765.05333333333</v>
      </c>
      <c r="K1039" s="29" t="n">
        <f aca="false">Sens!K1037-Sens!J1037</f>
        <v>541.580000000002</v>
      </c>
    </row>
    <row r="1040" customFormat="false" ht="17.15" hidden="false" customHeight="false" outlineLevel="0" collapsed="false">
      <c r="A1040" s="1" t="s">
        <v>809</v>
      </c>
      <c r="B1040" s="0" t="s">
        <v>392</v>
      </c>
      <c r="D1040" s="29" t="n">
        <f aca="false">Sens!D1034-Sens!C1034</f>
        <v>990</v>
      </c>
      <c r="E1040" s="29" t="n">
        <f aca="false">Sens!E1034-Sens!D1034</f>
        <v>1620</v>
      </c>
      <c r="F1040" s="29" t="n">
        <f aca="false">Sens!F1034-Sens!E1034</f>
        <v>2527.2</v>
      </c>
      <c r="G1040" s="29" t="n">
        <f aca="false">Sens!G1034-Sens!F1034</f>
        <v>2527.2</v>
      </c>
      <c r="H1040" s="29" t="n">
        <f aca="false">Sens!H1034-Sens!G1034</f>
        <v>2527.2</v>
      </c>
      <c r="I1040" s="29" t="n">
        <f aca="false">Sens!I1034-Sens!H1034</f>
        <v>1793.116</v>
      </c>
      <c r="J1040" s="29" t="n">
        <f aca="false">Sens!J1034-Sens!I1034</f>
        <v>1059.032</v>
      </c>
      <c r="K1040" s="29" t="n">
        <f aca="false">Sens!K1034-Sens!J1034</f>
        <v>324.948</v>
      </c>
    </row>
    <row r="1041" customFormat="false" ht="17.15" hidden="false" customHeight="false" outlineLevel="0" collapsed="false">
      <c r="A1041" s="1" t="s">
        <v>810</v>
      </c>
      <c r="B1041" s="0" t="s">
        <v>392</v>
      </c>
      <c r="F1041" s="29" t="n">
        <f aca="false">Sens!F1058*ext_sh</f>
        <v>0</v>
      </c>
      <c r="G1041" s="29" t="n">
        <f aca="false">Sens!G1058*ext_sh</f>
        <v>0</v>
      </c>
      <c r="H1041" s="29" t="n">
        <f aca="false">Sens!H1058*ext_sh</f>
        <v>0</v>
      </c>
      <c r="I1041" s="29" t="n">
        <f aca="false">Sens!I1058*ext_sh</f>
        <v>490</v>
      </c>
      <c r="J1041" s="29" t="n">
        <f aca="false">Sens!J1058*ext_sh</f>
        <v>740</v>
      </c>
      <c r="K1041" s="29" t="n">
        <f aca="false">Sens!K1058*ext_sh</f>
        <v>1470</v>
      </c>
      <c r="L1041" s="1" t="s">
        <v>811</v>
      </c>
    </row>
    <row r="1042" customFormat="false" ht="17.15" hidden="false" customHeight="false" outlineLevel="0" collapsed="false">
      <c r="A1042" s="1" t="s">
        <v>812</v>
      </c>
      <c r="B1042" s="0" t="s">
        <v>392</v>
      </c>
      <c r="C1042" s="29" t="n">
        <f aca="false">mix_h*Sens!C1034</f>
        <v>128</v>
      </c>
      <c r="D1042" s="29" t="n">
        <f aca="false">mix_h*Sens!D1034</f>
        <v>326</v>
      </c>
      <c r="E1042" s="29" t="n">
        <f aca="false">mix_h*Sens!E1034</f>
        <v>650</v>
      </c>
      <c r="F1042" s="29" t="n">
        <f aca="false">Sens!E1042-Sens!F1041*mix_h</f>
        <v>650</v>
      </c>
      <c r="G1042" s="29" t="n">
        <f aca="false">Sens!F1042-Sens!G1041*mix_h</f>
        <v>650</v>
      </c>
      <c r="H1042" s="29" t="n">
        <f aca="false">Sens!G1042-Sens!H1041*mix_h</f>
        <v>650</v>
      </c>
      <c r="I1042" s="29" t="n">
        <f aca="false">Sens!H1042-Sens!I1041*mix_h</f>
        <v>552</v>
      </c>
      <c r="J1042" s="29" t="n">
        <f aca="false">Sens!I1042-Sens!J1041*mix_h</f>
        <v>404</v>
      </c>
      <c r="K1042" s="29" t="n">
        <f aca="false">Sens!J1042-Sens!K1041*mix_h</f>
        <v>110</v>
      </c>
    </row>
    <row r="1043" customFormat="false" ht="17.15" hidden="false" customHeight="false" outlineLevel="0" collapsed="false">
      <c r="A1043" s="1" t="s">
        <v>813</v>
      </c>
      <c r="B1043" s="0" t="s">
        <v>392</v>
      </c>
      <c r="C1043" s="29" t="n">
        <f aca="false">mix_g2*Sens!C1034</f>
        <v>288</v>
      </c>
      <c r="D1043" s="29" t="n">
        <f aca="false">mix_g2*Sens!D1034</f>
        <v>733.5</v>
      </c>
      <c r="E1043" s="29" t="n">
        <f aca="false">mix_g2*Sens!E1034</f>
        <v>1462.5</v>
      </c>
      <c r="F1043" s="29" t="n">
        <f aca="false">Sens!E1043-Sens!F1041*mix_g2</f>
        <v>1462.5</v>
      </c>
      <c r="G1043" s="29" t="n">
        <f aca="false">Sens!F1043-Sens!G1041*mix_g2</f>
        <v>1462.5</v>
      </c>
      <c r="H1043" s="29" t="n">
        <f aca="false">Sens!G1043-Sens!H1041*mix_g2</f>
        <v>1462.5</v>
      </c>
      <c r="I1043" s="29" t="n">
        <f aca="false">Sens!H1043-Sens!I1041*mix_g2</f>
        <v>1242</v>
      </c>
      <c r="J1043" s="29" t="n">
        <f aca="false">Sens!I1043-Sens!J1041*mix_g2</f>
        <v>909</v>
      </c>
      <c r="K1043" s="29" t="n">
        <f aca="false">Sens!J1043-Sens!K1041*mix_g2</f>
        <v>247.5</v>
      </c>
    </row>
    <row r="1044" customFormat="false" ht="17.15" hidden="false" customHeight="false" outlineLevel="0" collapsed="false">
      <c r="A1044" s="1" t="s">
        <v>814</v>
      </c>
      <c r="B1044" s="0" t="s">
        <v>392</v>
      </c>
      <c r="C1044" s="29" t="n">
        <f aca="false">mix_g3*Sens!C1034</f>
        <v>224</v>
      </c>
      <c r="D1044" s="29" t="n">
        <f aca="false">mix_g3*Sens!D1034</f>
        <v>570.5</v>
      </c>
      <c r="E1044" s="29" t="n">
        <f aca="false">mix_g3*Sens!E1034</f>
        <v>1137.5</v>
      </c>
      <c r="F1044" s="29" t="n">
        <f aca="false">Sens!E1044+(Sens!F1040+Sens!F1041)*a_g3_27-Sens!F1041*mix_g3</f>
        <v>2906.54</v>
      </c>
      <c r="G1044" s="29" t="n">
        <f aca="false">Sens!F1044+(Sens!G1040+Sens!G1041)*a_g3_28-Sens!G1041*mix_g3</f>
        <v>3664.7</v>
      </c>
      <c r="H1044" s="29" t="n">
        <f aca="false">Sens!G1044+(Sens!H1040+Sens!H1041)*a_g3_29-Sens!H1041*mix_g3</f>
        <v>3917.42</v>
      </c>
      <c r="I1044" s="29" t="n">
        <f aca="false">Sens!H1044+(Sens!I1040+Sens!I1041)*a_g3_29-Sens!I1041*mix_g3</f>
        <v>3974.2316</v>
      </c>
      <c r="J1044" s="29" t="n">
        <f aca="false">Sens!I1044+(Sens!J1040+Sens!J1041)*a_g3_29-Sens!J1041*mix_g3</f>
        <v>3895.1348</v>
      </c>
      <c r="K1044" s="29" t="n">
        <f aca="false">Sens!J1044+(Sens!K1040+Sens!K1041)*a_g3_29-Sens!K1041*mix_g3</f>
        <v>3560.1296</v>
      </c>
    </row>
    <row r="1045" customFormat="false" ht="17.15" hidden="false" customHeight="false" outlineLevel="0" collapsed="false">
      <c r="A1045" s="1" t="s">
        <v>815</v>
      </c>
      <c r="B1045" s="0" t="s">
        <v>392</v>
      </c>
      <c r="C1045" s="29" t="n">
        <v>0</v>
      </c>
      <c r="D1045" s="29" t="n">
        <v>0</v>
      </c>
      <c r="E1045" s="29" t="n">
        <v>0</v>
      </c>
      <c r="F1045" s="29" t="n">
        <f aca="false">Sens!E1045+(Sens!F1040+Sens!F1041)*(1-a_g3_27)</f>
        <v>758.16</v>
      </c>
      <c r="G1045" s="29" t="n">
        <f aca="false">Sens!F1045+(Sens!G1040+Sens!G1041)*(1-a_g3_28)</f>
        <v>2527.2</v>
      </c>
      <c r="H1045" s="29" t="n">
        <f aca="false">Sens!G1045+(Sens!H1040+Sens!H1041)*(1-a_g3_29)</f>
        <v>4801.68</v>
      </c>
      <c r="I1045" s="29" t="n">
        <f aca="false">Sens!H1045+(Sens!I1040+Sens!I1041)*(1-a_g3_29)</f>
        <v>6856.4844</v>
      </c>
      <c r="J1045" s="29" t="n">
        <f aca="false">Sens!I1045+(Sens!J1040+Sens!J1041)*(1-a_g3_29)</f>
        <v>8475.6132</v>
      </c>
      <c r="K1045" s="29" t="n">
        <f aca="false">Sens!J1045+(Sens!K1040+Sens!K1041)*(1-a_g3_29)</f>
        <v>10091.0664</v>
      </c>
    </row>
    <row r="1046" customFormat="false" ht="17.15" hidden="false" customHeight="false" outlineLevel="0" collapsed="false">
      <c r="A1046" s="1" t="s">
        <v>816</v>
      </c>
      <c r="B1046" s="0" t="s">
        <v>339</v>
      </c>
      <c r="C1046" s="14" t="n">
        <f aca="false">(Sens!C1042*tk_hold_h100+Sens!C1043*tk_hold_gb200+Sens!C1044*tk_hold_gb300+Sens!C1045*tk_hold_vr200)/Sens!C1034</f>
        <v>9.7235358126469</v>
      </c>
      <c r="D1046" s="14" t="n">
        <f aca="false">(Sens!D1042*tk_hold_h100+Sens!D1043*tk_hold_gb200+Sens!D1044*tk_hold_gb300+Sens!D1045*tk_hold_vr200)/Sens!D1034</f>
        <v>9.7235358126469</v>
      </c>
      <c r="E1046" s="14" t="n">
        <f aca="false">(Sens!E1042*tk_hold_h100+Sens!E1043*tk_hold_gb200+Sens!E1044*tk_hold_gb300+Sens!E1045*tk_hold_vr200)/Sens!E1034</f>
        <v>9.7235358126469</v>
      </c>
      <c r="F1046" s="14" t="n">
        <f aca="false">(Sens!F1042*tk_hold_h100+Sens!F1043*tk_hold_gb200+Sens!F1044*tk_hold_gb300+Sens!F1045*tk_hold_vr200)/Sens!F1034</f>
        <v>10.4079573161931</v>
      </c>
      <c r="G1046" s="14" t="n">
        <f aca="false">(Sens!G1042*tk_hold_h100+Sens!G1043*tk_hold_gb200+Sens!G1044*tk_hold_gb300+Sens!G1045*tk_hold_vr200)/Sens!G1034</f>
        <v>10.8388131109316</v>
      </c>
      <c r="H1046" s="14" t="n">
        <f aca="false">(Sens!H1042*tk_hold_h100+Sens!H1043*tk_hold_gb200+Sens!H1044*tk_hold_gb300+Sens!H1045*tk_hold_vr200)/Sens!H1034</f>
        <v>11.1311018388216</v>
      </c>
      <c r="I1046" s="14" t="n">
        <f aca="false">(Sens!I1042*tk_hold_h100+Sens!I1043*tk_hold_gb200+Sens!I1044*tk_hold_gb300+Sens!I1045*tk_hold_vr200)/Sens!I1034</f>
        <v>11.3594282560989</v>
      </c>
      <c r="J1046" s="14" t="n">
        <f aca="false">(Sens!J1042*tk_hold_h100+Sens!J1043*tk_hold_gb200+Sens!J1044*tk_hold_gb300+Sens!J1045*tk_hold_vr200)/Sens!J1034</f>
        <v>11.5441508808221</v>
      </c>
      <c r="K1046" s="14" t="n">
        <f aca="false">(Sens!K1042*tk_hold_h100+Sens!K1043*tk_hold_gb200+Sens!K1044*tk_hold_gb300+Sens!K1045*tk_hold_vr200)/Sens!K1034</f>
        <v>11.8053375063575</v>
      </c>
    </row>
    <row r="1047" customFormat="false" ht="17.15" hidden="false" customHeight="false" outlineLevel="0" collapsed="false">
      <c r="A1047" s="0" t="s">
        <v>817</v>
      </c>
      <c r="B1047" s="0" t="s">
        <v>185</v>
      </c>
      <c r="C1047" s="14" t="n">
        <f aca="false">k_B</f>
        <v>1.17213932619116</v>
      </c>
      <c r="D1047" s="14" t="n">
        <f aca="false">k_B</f>
        <v>1.17213932619116</v>
      </c>
      <c r="E1047" s="14" t="n">
        <f aca="false">k_B</f>
        <v>1.17213932619116</v>
      </c>
      <c r="F1047" s="14" t="n">
        <f aca="false">(k_B+((ls_C*k_long+(1-ls_C)*k_spot)-k_B)*MIN(1,(Sens!F1032-base_fy)/k_ramp))*0.85</f>
        <v>0.916667693038224</v>
      </c>
      <c r="G1047" s="14" t="n">
        <f aca="false">(k_B+((ls_C*k_long+(1-ls_C)*k_spot)-k_B)*MIN(1,(Sens!G1032-base_fy)/k_ramp))*0.85</f>
        <v>0.837016958813967</v>
      </c>
      <c r="H1047" s="14" t="n">
        <f aca="false">(k_B+((ls_C*k_long+(1-ls_C)*k_spot)-k_B)*MIN(1,(Sens!H1032-base_fy)/k_ramp))*0.85</f>
        <v>0.757366224589709</v>
      </c>
      <c r="I1047" s="14" t="n">
        <f aca="false">(k_B+((ls_C*k_long+(1-ls_C)*k_spot)-k_B)*MIN(1,(Sens!I1032-base_fy)/k_ramp))*0.85</f>
        <v>0.757366224589709</v>
      </c>
      <c r="J1047" s="14" t="n">
        <f aca="false">(k_B+((ls_C*k_long+(1-ls_C)*k_spot)-k_B)*MIN(1,(Sens!J1032-base_fy)/k_ramp))*0.85</f>
        <v>0.757366224589709</v>
      </c>
      <c r="K1047" s="14" t="n">
        <f aca="false">(k_B+((ls_C*k_long+(1-ls_C)*k_spot)-k_B)*MIN(1,(Sens!K1032-base_fy)/k_ramp))*0.85</f>
        <v>0.757366224589709</v>
      </c>
      <c r="L1047" s="1" t="s">
        <v>818</v>
      </c>
    </row>
    <row r="1048" customFormat="false" ht="17.15" hidden="false" customHeight="false" outlineLevel="0" collapsed="false">
      <c r="A1048" s="1" t="s">
        <v>819</v>
      </c>
      <c r="B1048" s="0" t="s">
        <v>339</v>
      </c>
      <c r="C1048" s="14" t="n">
        <f aca="false">Sens!C1046*Sens!C1047*chip_f</f>
        <v>11.3973387156315</v>
      </c>
      <c r="D1048" s="14" t="n">
        <f aca="false">Sens!D1046*Sens!D1047*chip_f</f>
        <v>11.3973387156315</v>
      </c>
      <c r="E1048" s="14" t="n">
        <f aca="false">Sens!E1046*Sens!E1047*chip_f</f>
        <v>11.3973387156315</v>
      </c>
      <c r="F1048" s="14" t="n">
        <f aca="false">Sens!F1046*Sens!F1047*chip_f</f>
        <v>9.54063822227503</v>
      </c>
      <c r="G1048" s="14" t="n">
        <f aca="false">Sens!G1046*Sens!G1047*chip_f</f>
        <v>9.07227038726488</v>
      </c>
      <c r="H1048" s="14" t="n">
        <f aca="false">Sens!H1046*Sens!H1047*chip_f</f>
        <v>8.43032057519186</v>
      </c>
      <c r="I1048" s="14" t="n">
        <f aca="false">Sens!I1046*Sens!I1047*chip_f</f>
        <v>8.60324729181929</v>
      </c>
      <c r="J1048" s="14" t="n">
        <f aca="false">Sens!J1046*Sens!J1047*chip_f</f>
        <v>8.74314996870217</v>
      </c>
      <c r="K1048" s="14" t="n">
        <f aca="false">Sens!K1046*Sens!K1047*chip_f</f>
        <v>8.94096389719727</v>
      </c>
      <c r="L1048" s="1" t="s">
        <v>820</v>
      </c>
    </row>
    <row r="1049" customFormat="false" ht="17.15" hidden="false" customHeight="false" outlineLevel="0" collapsed="false">
      <c r="A1049" s="0" t="s">
        <v>821</v>
      </c>
      <c r="B1049" s="0" t="s">
        <v>98</v>
      </c>
      <c r="D1049" s="6" t="n">
        <f aca="false">(Sens!C1034+Sens!D1034)/2*Sens!D1048/1000</f>
        <v>12.9359794422418</v>
      </c>
      <c r="E1049" s="6" t="n">
        <f aca="false">(Sens!D1034+Sens!E1034)/2*Sens!E1048/1000</f>
        <v>27.8095064661409</v>
      </c>
      <c r="F1049" s="6" t="n">
        <f aca="false">(Sens!E1034+Sens!F1034)/2*Sens!F1048/1000</f>
        <v>43.0626246800606</v>
      </c>
      <c r="G1049" s="6" t="n">
        <f aca="false">(Sens!F1034+Sens!G1034)/2*Sens!G1048/1000</f>
        <v>63.8760413426546</v>
      </c>
      <c r="H1049" s="6" t="n">
        <f aca="false">(Sens!G1034+Sens!H1034)/2*Sens!H1048/1000</f>
        <v>80.6613072634357</v>
      </c>
      <c r="I1049" s="6" t="n">
        <f aca="false">(Sens!H1034+Sens!I1034)/2*Sens!I1048/1000</f>
        <v>100.900243551529</v>
      </c>
      <c r="J1049" s="6" t="n">
        <f aca="false">(Sens!I1034+Sens!J1034)/2*Sens!J1048/1000</f>
        <v>115.009423099101</v>
      </c>
      <c r="K1049" s="6" t="n">
        <f aca="false">(Sens!J1034+Sens!K1034)/2*Sens!K1048/1000</f>
        <v>123.798571014579</v>
      </c>
      <c r="L1049" s="11" t="s">
        <v>822</v>
      </c>
    </row>
    <row r="1050" customFormat="false" ht="17.15" hidden="false" customHeight="false" outlineLevel="0" collapsed="false">
      <c r="A1050" s="1" t="s">
        <v>823</v>
      </c>
      <c r="B1050" s="0" t="s">
        <v>339</v>
      </c>
      <c r="C1050" s="14" t="n">
        <f aca="false">(Sens!C1042*tk_opex_h100+Sens!C1043*tk_opex_gb200+Sens!C1044*tk_opex_gb300+Sens!C1045*tk_opex_vr200)/Sens!C1034</f>
        <v>1.88636041306092</v>
      </c>
      <c r="D1050" s="14" t="n">
        <f aca="false">(Sens!D1042*tk_opex_h100+Sens!D1043*tk_opex_gb200+Sens!D1044*tk_opex_gb300+Sens!D1045*tk_opex_vr200)/Sens!D1034</f>
        <v>1.88636041306092</v>
      </c>
      <c r="E1050" s="14" t="n">
        <f aca="false">(Sens!E1042*tk_opex_h100+Sens!E1043*tk_opex_gb200+Sens!E1044*tk_opex_gb300+Sens!E1045*tk_opex_vr200)/Sens!E1034</f>
        <v>1.88636041306092</v>
      </c>
      <c r="F1050" s="14" t="n">
        <f aca="false">(Sens!F1042*tk_opex_h100+Sens!F1043*tk_opex_gb200+Sens!F1044*tk_opex_gb300+Sens!F1045*tk_opex_vr200)/Sens!F1034</f>
        <v>1.9430236476499</v>
      </c>
      <c r="G1050" s="14" t="n">
        <f aca="false">(Sens!G1042*tk_opex_h100+Sens!G1043*tk_opex_gb200+Sens!G1044*tk_opex_gb300+Sens!G1045*tk_opex_vr200)/Sens!G1034</f>
        <v>1.9786941852423</v>
      </c>
      <c r="H1050" s="14" t="n">
        <f aca="false">(Sens!H1042*tk_opex_h100+Sens!H1043*tk_opex_gb200+Sens!H1044*tk_opex_gb300+Sens!H1045*tk_opex_vr200)/Sens!H1034</f>
        <v>2.00289275976156</v>
      </c>
      <c r="I1050" s="14" t="n">
        <f aca="false">(Sens!I1042*tk_opex_h100+Sens!I1043*tk_opex_gb200+Sens!I1044*tk_opex_gb300+Sens!I1045*tk_opex_vr200)/Sens!I1034</f>
        <v>2.02179589661219</v>
      </c>
      <c r="J1050" s="14" t="n">
        <f aca="false">(Sens!J1042*tk_opex_h100+Sens!J1043*tk_opex_gb200+Sens!J1044*tk_opex_gb300+Sens!J1045*tk_opex_vr200)/Sens!J1034</f>
        <v>2.03708907685909</v>
      </c>
      <c r="K1050" s="14" t="n">
        <f aca="false">(Sens!K1042*tk_opex_h100+Sens!K1043*tk_opex_gb200+Sens!K1044*tk_opex_gb300+Sens!K1045*tk_opex_vr200)/Sens!K1034</f>
        <v>2.05871270931005</v>
      </c>
    </row>
    <row r="1051" customFormat="false" ht="17.15" hidden="false" customHeight="false" outlineLevel="0" collapsed="false">
      <c r="A1051" s="0" t="s">
        <v>824</v>
      </c>
      <c r="B1051" s="0" t="s">
        <v>98</v>
      </c>
      <c r="D1051" s="6" t="n">
        <f aca="false">(Sens!C1037+Sens!D1037)/2*Sens!D1050/1000</f>
        <v>2.70378325872065</v>
      </c>
      <c r="E1051" s="6" t="n">
        <f aca="false">(Sens!D1037+Sens!E1037)/2*Sens!E1050/1000</f>
        <v>6.17783035277451</v>
      </c>
      <c r="F1051" s="6" t="n">
        <f aca="false">(Sens!E1037+Sens!F1037)/2*Sens!F1050/1000</f>
        <v>12.5020618235287</v>
      </c>
      <c r="G1051" s="6" t="n">
        <f aca="false">(Sens!F1037+Sens!G1037)/2*Sens!G1050/1000</f>
        <v>20.7261620256847</v>
      </c>
      <c r="H1051" s="6" t="n">
        <f aca="false">(Sens!G1037+Sens!H1037)/2*Sens!H1050/1000</f>
        <v>29.4158183316982</v>
      </c>
      <c r="I1051" s="6" t="n">
        <f aca="false">(Sens!H1037+Sens!I1037)/2*Sens!I1050/1000</f>
        <v>36.9724400356344</v>
      </c>
      <c r="J1051" s="6" t="n">
        <f aca="false">(Sens!I1037+Sens!J1037)/2*Sens!J1050/1000</f>
        <v>42.0938382992747</v>
      </c>
      <c r="K1051" s="6" t="n">
        <f aca="false">(Sens!J1037+Sens!K1037)/2*Sens!K1050/1000</f>
        <v>44.9150106651501</v>
      </c>
    </row>
    <row r="1052" customFormat="false" ht="17.15" hidden="false" customHeight="false" outlineLevel="0" collapsed="false">
      <c r="A1052" s="0" t="s">
        <v>825</v>
      </c>
      <c r="B1052" s="0" t="s">
        <v>98</v>
      </c>
      <c r="D1052" s="6" t="n">
        <f aca="false">(Sens!C1035+Sens!D1035)/2*rent_mw/1000</f>
        <v>2.44475</v>
      </c>
      <c r="E1052" s="6" t="n">
        <f aca="false">(Sens!D1035+Sens!E1035)/2*rent_mw/1000</f>
        <v>4.22275</v>
      </c>
      <c r="F1052" s="6" t="n">
        <f aca="false">(Sens!E1035+Sens!F1035)/2*rent_mw/1000</f>
        <v>5.80517</v>
      </c>
      <c r="G1052" s="6" t="n">
        <f aca="false">(Sens!F1035+Sens!G1035)/2*rent_mw/1000</f>
        <v>6.72084</v>
      </c>
      <c r="H1052" s="6" t="n">
        <f aca="false">(Sens!G1035+Sens!H1035)/2*rent_mw/1000</f>
        <v>6.72084</v>
      </c>
      <c r="I1052" s="6" t="n">
        <f aca="false">(Sens!H1035+Sens!I1035)/2*rent_mw/1000</f>
        <v>6.72084</v>
      </c>
      <c r="J1052" s="6" t="n">
        <f aca="false">(Sens!I1035+Sens!J1035)/2*rent_mw/1000</f>
        <v>6.72084</v>
      </c>
      <c r="K1052" s="6" t="n">
        <f aca="false">(Sens!J1035+Sens!K1035)/2*rent_mw/1000</f>
        <v>6.72084</v>
      </c>
    </row>
    <row r="1053" customFormat="false" ht="17.15" hidden="false" customHeight="false" outlineLevel="0" collapsed="false">
      <c r="A1053" s="0" t="s">
        <v>826</v>
      </c>
      <c r="B1053" s="0" t="s">
        <v>98</v>
      </c>
      <c r="D1053" s="6" t="n">
        <f aca="false">(Sens!C1037+Sens!D1037)/2*(1-self_build)*fac_rent/1000</f>
        <v>0.853242375631075</v>
      </c>
      <c r="E1053" s="6" t="n">
        <f aca="false">(Sens!D1037+Sens!E1037)/2*(1-self_build)*fac_rent/1000</f>
        <v>1.94955961408728</v>
      </c>
      <c r="F1053" s="6" t="n">
        <f aca="false">(Sens!E1037+Sens!F1037)/2*(1-self_build)*fac_rent/1000</f>
        <v>3.83026455274573</v>
      </c>
      <c r="G1053" s="6" t="n">
        <f aca="false">(Sens!F1037+Sens!G1037)/2*(1-self_build)*fac_rent/1000</f>
        <v>6.23541590972812</v>
      </c>
      <c r="H1053" s="6" t="n">
        <f aca="false">(Sens!G1037+Sens!H1037)/2*(1-self_build)*fac_rent/1000</f>
        <v>8.74275792332679</v>
      </c>
      <c r="I1053" s="6" t="n">
        <f aca="false">(Sens!H1037+Sens!I1037)/2*(1-self_build)*fac_rent/1000</f>
        <v>10.8859420438599</v>
      </c>
      <c r="J1053" s="6" t="n">
        <f aca="false">(Sens!I1037+Sens!J1037)/2*(1-self_build)*fac_rent/1000</f>
        <v>12.3008103782619</v>
      </c>
      <c r="K1053" s="6" t="n">
        <f aca="false">(Sens!J1037+Sens!K1037)/2*(1-self_build)*fac_rent/1000</f>
        <v>12.9873629265328</v>
      </c>
      <c r="L1053" s="11" t="s">
        <v>827</v>
      </c>
    </row>
    <row r="1054" customFormat="false" ht="17.15" hidden="false" customHeight="false" outlineLevel="0" collapsed="false">
      <c r="A1054" s="1" t="s">
        <v>828</v>
      </c>
      <c r="B1054" s="0" t="s">
        <v>129</v>
      </c>
      <c r="D1054" s="7" t="n">
        <f aca="false">(Sens!C1036+Sens!D1036)/(Sens!C1037+Sens!D1037)</f>
        <v>0.6</v>
      </c>
      <c r="E1054" s="7" t="n">
        <f aca="false">(Sens!D1036+Sens!E1036)/(Sens!D1037+Sens!E1037)</f>
        <v>0.6</v>
      </c>
      <c r="F1054" s="7" t="n">
        <f aca="false">(Sens!E1036+Sens!F1036)/(Sens!E1037+Sens!F1037)</f>
        <v>0.6</v>
      </c>
      <c r="G1054" s="7" t="n">
        <f aca="false">(Sens!F1036+Sens!G1036)/(Sens!F1037+Sens!G1037)</f>
        <v>0.6</v>
      </c>
      <c r="H1054" s="7" t="n">
        <f aca="false">(Sens!G1036+Sens!H1036)/(Sens!G1037+Sens!H1037)</f>
        <v>0.6</v>
      </c>
      <c r="I1054" s="7" t="n">
        <f aca="false">(Sens!H1036+Sens!I1036)/(Sens!H1037+Sens!I1037)</f>
        <v>0.6</v>
      </c>
      <c r="J1054" s="7" t="n">
        <f aca="false">(Sens!I1036+Sens!J1036)/(Sens!I1037+Sens!J1037)</f>
        <v>0.6</v>
      </c>
      <c r="K1054" s="7" t="n">
        <f aca="false">(Sens!J1036+Sens!K1036)/(Sens!J1037+Sens!K1037)</f>
        <v>0.6</v>
      </c>
    </row>
    <row r="1055" customFormat="false" ht="17.15" hidden="false" customHeight="false" outlineLevel="0" collapsed="false">
      <c r="A1055" s="0" t="s">
        <v>829</v>
      </c>
      <c r="B1055" s="0" t="s">
        <v>98</v>
      </c>
      <c r="D1055" s="6" t="n">
        <f aca="false">Sens!D1049-Sens!D1054*(Sens!D1051+Sens!D1053)-Sens!D1052</f>
        <v>8.35701406163072</v>
      </c>
      <c r="E1055" s="6" t="n">
        <f aca="false">Sens!E1049-Sens!E1054*(Sens!E1051+Sens!E1053)-Sens!E1052</f>
        <v>18.7103224860238</v>
      </c>
      <c r="F1055" s="6" t="n">
        <f aca="false">Sens!F1049-Sens!F1054*(Sens!F1051+Sens!F1053)-Sens!F1052</f>
        <v>27.4580588542959</v>
      </c>
      <c r="G1055" s="6" t="n">
        <f aca="false">Sens!G1049-Sens!G1054*(Sens!G1051+Sens!G1053)-Sens!G1052</f>
        <v>40.9782545814069</v>
      </c>
      <c r="H1055" s="6" t="n">
        <f aca="false">Sens!H1049-Sens!H1054*(Sens!H1051+Sens!H1053)-Sens!H1052</f>
        <v>51.0453215104207</v>
      </c>
      <c r="I1055" s="6" t="n">
        <f aca="false">Sens!I1049-Sens!I1054*(Sens!I1051+Sens!I1053)-Sens!I1052</f>
        <v>65.4643743038321</v>
      </c>
      <c r="J1055" s="6" t="n">
        <f aca="false">Sens!J1049-Sens!J1054*(Sens!J1051+Sens!J1053)-Sens!J1052</f>
        <v>75.6517938925791</v>
      </c>
      <c r="K1055" s="6" t="n">
        <f aca="false">Sens!K1049-Sens!K1054*(Sens!K1051+Sens!K1053)-Sens!K1052</f>
        <v>82.3363068595689</v>
      </c>
    </row>
    <row r="1056" customFormat="false" ht="17.15" hidden="false" customHeight="false" outlineLevel="0" collapsed="false">
      <c r="A1056" s="1" t="s">
        <v>830</v>
      </c>
      <c r="B1056" s="0" t="s">
        <v>98</v>
      </c>
      <c r="D1056" s="6" t="n">
        <f aca="false">(1-Sens!D1054)*(Sens!D1051+Sens!D1053)</f>
        <v>1.42281025374069</v>
      </c>
      <c r="E1056" s="6" t="n">
        <f aca="false">(1-Sens!E1054)*(Sens!E1051+Sens!E1053)</f>
        <v>3.25095598674472</v>
      </c>
      <c r="F1056" s="6" t="n">
        <f aca="false">(1-Sens!F1054)*(Sens!F1051+Sens!F1053)</f>
        <v>6.53293055050977</v>
      </c>
      <c r="G1056" s="6" t="n">
        <f aca="false">(1-Sens!G1054)*(Sens!G1051+Sens!G1053)</f>
        <v>10.7846311741651</v>
      </c>
      <c r="H1056" s="6" t="n">
        <f aca="false">(1-Sens!H1054)*(Sens!H1051+Sens!H1053)</f>
        <v>15.26343050201</v>
      </c>
      <c r="I1056" s="6" t="n">
        <f aca="false">(1-Sens!I1054)*(Sens!I1051+Sens!I1053)</f>
        <v>19.1433528317977</v>
      </c>
      <c r="J1056" s="6" t="n">
        <f aca="false">(1-Sens!J1054)*(Sens!J1051+Sens!J1053)</f>
        <v>21.7578594710146</v>
      </c>
      <c r="K1056" s="6" t="n">
        <f aca="false">(1-Sens!K1054)*(Sens!K1051+Sens!K1053)</f>
        <v>23.1609494366731</v>
      </c>
    </row>
    <row r="1057" customFormat="false" ht="17.15" hidden="false" customHeight="false" outlineLevel="0" collapsed="false">
      <c r="A1057" s="1" t="s">
        <v>831</v>
      </c>
      <c r="B1057" s="0" t="s">
        <v>350</v>
      </c>
      <c r="C1057" s="8" t="n">
        <f aca="false">cxit_open</f>
        <v>27.5918995</v>
      </c>
      <c r="D1057" s="8" t="n">
        <f aca="false">cxit_open</f>
        <v>27.5918995</v>
      </c>
      <c r="E1057" s="8" t="n">
        <f aca="false">cxit_open</f>
        <v>27.5918995</v>
      </c>
      <c r="F1057" s="8" t="n">
        <f aca="false">(a_g3_27*tk_cxit_gb300+(1-a_g3_27)*tk_cxit_vr200)</f>
        <v>33.8419624</v>
      </c>
      <c r="G1057" s="8" t="n">
        <f aca="false">(a_g3_28*tk_cxit_gb300+(1-a_g3_28)*tk_cxit_vr200)</f>
        <v>35.9816136</v>
      </c>
      <c r="H1057" s="8" t="n">
        <f aca="false">(a_g3_29*tk_cxit_gb300+(1-a_g3_29)*tk_cxit_vr200)</f>
        <v>37.0514392</v>
      </c>
      <c r="I1057" s="8" t="n">
        <f aca="false">(a_g3_29*tk_cxit_gb300+(1-a_g3_29)*tk_cxit_vr200)</f>
        <v>37.0514392</v>
      </c>
      <c r="J1057" s="8" t="n">
        <f aca="false">(a_g3_29*tk_cxit_gb300+(1-a_g3_29)*tk_cxit_vr200)</f>
        <v>37.0514392</v>
      </c>
      <c r="K1057" s="8" t="n">
        <f aca="false">(a_g3_29*tk_cxit_gb300+(1-a_g3_29)*tk_cxit_vr200)</f>
        <v>37.0514392</v>
      </c>
      <c r="L1057" s="11" t="s">
        <v>832</v>
      </c>
    </row>
    <row r="1058" customFormat="false" ht="17.15" hidden="false" customHeight="false" outlineLevel="0" collapsed="false">
      <c r="A1058" s="0" t="s">
        <v>833</v>
      </c>
      <c r="B1058" s="0" t="s">
        <v>392</v>
      </c>
      <c r="F1058" s="29" t="n">
        <f aca="false">Sens!C1039*IF(Sens!F1032-Sens!C1032=life_it,1,0)+Sens!D1039*IF(Sens!F1032-Sens!D1032=life_it,1,0)+Sens!E1039*IF(Sens!F1032-Sens!E1032=life_it,1,0)</f>
        <v>0</v>
      </c>
      <c r="G1058" s="29" t="n">
        <f aca="false">Sens!C1039*IF(Sens!G1032-Sens!C1032=life_it,1,0)+Sens!D1039*IF(Sens!G1032-Sens!D1032=life_it,1,0)+Sens!E1039*IF(Sens!G1032-Sens!E1032=life_it,1,0)+Sens!F1039*IF(Sens!G1032-Sens!F1032=life_it,1,0)</f>
        <v>0</v>
      </c>
      <c r="H1058" s="29" t="n">
        <f aca="false">Sens!C1039*IF(Sens!H1032-Sens!C1032=life_it,1,0)+Sens!D1039*IF(Sens!H1032-Sens!D1032=life_it,1,0)+Sens!E1039*IF(Sens!H1032-Sens!E1032=life_it,1,0)+Sens!F1039*IF(Sens!H1032-Sens!F1032=life_it,1,0)+Sens!G1039*IF(Sens!H1032-Sens!G1032=life_it,1,0)</f>
        <v>0</v>
      </c>
      <c r="I1058" s="29" t="n">
        <f aca="false">Sens!C1039*IF(Sens!I1032-Sens!C1032=life_it,1,0)+Sens!D1039*IF(Sens!I1032-Sens!D1032=life_it,1,0)+Sens!E1039*IF(Sens!I1032-Sens!E1032=life_it,1,0)+Sens!F1039*IF(Sens!I1032-Sens!F1032=life_it,1,0)+Sens!G1039*IF(Sens!I1032-Sens!G1032=life_it,1,0)+Sens!H1039*IF(Sens!I1032-Sens!H1032=life_it,1,0)</f>
        <v>816.666666666667</v>
      </c>
      <c r="J1058" s="29" t="n">
        <f aca="false">Sens!C1039*IF(Sens!J1032-Sens!C1032=life_it,1,0)+Sens!D1039*IF(Sens!J1032-Sens!D1032=life_it,1,0)+Sens!E1039*IF(Sens!J1032-Sens!E1032=life_it,1,0)+Sens!F1039*IF(Sens!J1032-Sens!F1032=life_it,1,0)+Sens!G1039*IF(Sens!J1032-Sens!G1032=life_it,1,0)+Sens!H1039*IF(Sens!J1032-Sens!H1032=life_it,1,0)+Sens!I1039*IF(Sens!J1032-Sens!I1032=life_it,1,0)</f>
        <v>1233.33333333333</v>
      </c>
      <c r="K1058" s="29" t="n">
        <f aca="false">Sens!C1039*IF(Sens!K1032-Sens!C1032=life_it,1,0)+Sens!D1039*IF(Sens!K1032-Sens!D1032=life_it,1,0)+Sens!E1039*IF(Sens!K1032-Sens!E1032=life_it,1,0)+Sens!F1039*IF(Sens!K1032-Sens!F1032=life_it,1,0)+Sens!G1039*IF(Sens!K1032-Sens!G1032=life_it,1,0)+Sens!H1039*IF(Sens!K1032-Sens!H1032=life_it,1,0)+Sens!I1039*IF(Sens!K1032-Sens!I1032=life_it,1,0)+Sens!J1039*IF(Sens!K1032-Sens!J1032=life_it,1,0)</f>
        <v>2450</v>
      </c>
      <c r="L1058" s="1" t="s">
        <v>834</v>
      </c>
    </row>
    <row r="1059" customFormat="false" ht="17.15" hidden="false" customHeight="false" outlineLevel="0" collapsed="false">
      <c r="A1059" s="0" t="s">
        <v>835</v>
      </c>
      <c r="B1059" s="0" t="s">
        <v>98</v>
      </c>
      <c r="C1059" s="6" t="n">
        <f aca="false">Sens!C1039*Sens!C1057/1000</f>
        <v>22.5333845916667</v>
      </c>
      <c r="D1059" s="6" t="n">
        <f aca="false">Sens!D1039*Sens!D1057/1000</f>
        <v>34.0300093833333</v>
      </c>
      <c r="E1059" s="6" t="n">
        <f aca="false">Sens!E1039*Sens!E1057/1000</f>
        <v>67.600153775</v>
      </c>
      <c r="F1059" s="6" t="n">
        <f aca="false">(Sens!F1039+Sens!F1058)*Sens!F1057/1000</f>
        <v>130.923271871467</v>
      </c>
      <c r="G1059" s="6" t="n">
        <f aca="false">(Sens!G1039+Sens!G1058)*Sens!G1057/1000</f>
        <v>151.5545564832</v>
      </c>
      <c r="H1059" s="6" t="n">
        <f aca="false">(Sens!H1039+Sens!H1058)*Sens!H1057/1000</f>
        <v>156.0606619104</v>
      </c>
      <c r="I1059" s="6" t="n">
        <f aca="false">(Sens!I1039+Sens!I1058)*Sens!I1057/1000</f>
        <v>140.987889434245</v>
      </c>
      <c r="J1059" s="6" t="n">
        <f aca="false">(Sens!J1039+Sens!J1058)*Sens!J1057/1000</f>
        <v>111.094541278091</v>
      </c>
      <c r="K1059" s="6" t="n">
        <f aca="false">(Sens!K1039+Sens!K1058)*Sens!K1057/1000</f>
        <v>110.842344481936</v>
      </c>
    </row>
    <row r="1060" customFormat="false" ht="17.15" hidden="false" customHeight="false" outlineLevel="0" collapsed="false">
      <c r="A1060" s="0" t="s">
        <v>836</v>
      </c>
      <c r="B1060" s="0" t="s">
        <v>98</v>
      </c>
      <c r="C1060" s="6" t="n">
        <f aca="false">Sens!C1039*self_build*tk_cxfac/1000</f>
        <v>6.2083</v>
      </c>
      <c r="D1060" s="6" t="n">
        <f aca="false">Sens!D1039*self_build*tk_cxfac/1000</f>
        <v>9.3758</v>
      </c>
      <c r="E1060" s="6" t="n">
        <f aca="false">Sens!E1039*self_build*tk_cxfac/1000</f>
        <v>18.6249</v>
      </c>
      <c r="F1060" s="6" t="n">
        <f aca="false">Sens!F1039*self_build*tk_cxfac/1000</f>
        <v>29.409604</v>
      </c>
      <c r="G1060" s="6" t="n">
        <f aca="false">Sens!G1039*self_build*tk_cxfac/1000</f>
        <v>32.019624</v>
      </c>
      <c r="H1060" s="6" t="n">
        <f aca="false">Sens!H1039*self_build*tk_cxfac/1000</f>
        <v>32.019624</v>
      </c>
      <c r="I1060" s="6" t="n">
        <f aca="false">Sens!I1039*self_build*tk_cxfac/1000</f>
        <v>22.71877972</v>
      </c>
      <c r="J1060" s="6" t="n">
        <f aca="false">Sens!J1039*self_build*tk_cxfac/1000</f>
        <v>13.41793544</v>
      </c>
      <c r="K1060" s="6" t="n">
        <f aca="false">Sens!K1039*self_build*tk_cxfac/1000</f>
        <v>4.11709116000001</v>
      </c>
    </row>
    <row r="1061" customFormat="false" ht="17.15" hidden="false" customHeight="false" outlineLevel="0" collapsed="false">
      <c r="A1061" s="0" t="s">
        <v>837</v>
      </c>
      <c r="B1061" s="0" t="s">
        <v>98</v>
      </c>
      <c r="F1061" s="6" t="n">
        <f aca="false">MAX(0,capex_floor27-Sens!F1059-Sens!F1060-Sens!F1154)</f>
        <v>8.43777689897088</v>
      </c>
      <c r="L1061" s="1" t="s">
        <v>838</v>
      </c>
    </row>
    <row r="1062" customFormat="false" ht="17.15" hidden="false" customHeight="false" outlineLevel="0" collapsed="false">
      <c r="A1062" s="0" t="s">
        <v>839</v>
      </c>
      <c r="B1062" s="0" t="s">
        <v>98</v>
      </c>
      <c r="C1062" s="6" t="n">
        <f aca="false">Sens!C1059</f>
        <v>22.5333845916667</v>
      </c>
      <c r="D1062" s="6" t="n">
        <f aca="false">Sens!D1059</f>
        <v>34.0300093833333</v>
      </c>
      <c r="E1062" s="6" t="n">
        <f aca="false">Sens!E1059</f>
        <v>67.600153775</v>
      </c>
      <c r="F1062" s="6" t="n">
        <f aca="false">Sens!F1059+Sens!F1061</f>
        <v>139.361048770438</v>
      </c>
      <c r="G1062" s="6" t="n">
        <f aca="false">Sens!G1059</f>
        <v>151.5545564832</v>
      </c>
      <c r="H1062" s="6" t="n">
        <f aca="false">Sens!H1059</f>
        <v>156.0606619104</v>
      </c>
      <c r="I1062" s="6" t="n">
        <f aca="false">Sens!I1059</f>
        <v>140.987889434245</v>
      </c>
      <c r="J1062" s="6" t="n">
        <f aca="false">Sens!J1059</f>
        <v>111.094541278091</v>
      </c>
      <c r="K1062" s="6" t="n">
        <f aca="false">Sens!K1059</f>
        <v>110.842344481936</v>
      </c>
    </row>
    <row r="1063" customFormat="false" ht="17.15" hidden="false" customHeight="false" outlineLevel="0" collapsed="false">
      <c r="A1063" s="0" t="s">
        <v>840</v>
      </c>
      <c r="B1063" s="0" t="s">
        <v>98</v>
      </c>
      <c r="C1063" s="6" t="n">
        <f aca="false">Sens!C1062+Sens!C1060</f>
        <v>28.7416845916667</v>
      </c>
      <c r="D1063" s="6" t="n">
        <f aca="false">Sens!D1062+Sens!D1060</f>
        <v>43.4058093833333</v>
      </c>
      <c r="E1063" s="6" t="n">
        <f aca="false">Sens!E1062+Sens!E1060</f>
        <v>86.225053775</v>
      </c>
      <c r="F1063" s="6" t="n">
        <f aca="false">Sens!F1062+Sens!F1060</f>
        <v>168.770652770438</v>
      </c>
      <c r="G1063" s="6" t="n">
        <f aca="false">Sens!G1062+Sens!G1060</f>
        <v>183.5741804832</v>
      </c>
      <c r="H1063" s="6" t="n">
        <f aca="false">Sens!H1062+Sens!H1060</f>
        <v>188.0802859104</v>
      </c>
      <c r="I1063" s="6" t="n">
        <f aca="false">Sens!I1062+Sens!I1060</f>
        <v>163.706669154245</v>
      </c>
      <c r="J1063" s="6" t="n">
        <f aca="false">Sens!J1062+Sens!J1060</f>
        <v>124.51247671809</v>
      </c>
      <c r="K1063" s="6" t="n">
        <f aca="false">Sens!K1062+Sens!K1060</f>
        <v>114.959435641936</v>
      </c>
      <c r="L1063" s="11" t="s">
        <v>841</v>
      </c>
    </row>
    <row r="1064" customFormat="false" ht="17.15" hidden="false" customHeight="false" outlineLevel="0" collapsed="false">
      <c r="A1064" s="0" t="s">
        <v>842</v>
      </c>
      <c r="B1064" s="0" t="s">
        <v>98</v>
      </c>
      <c r="E1064" s="6" t="n">
        <f aca="false">(Sens!C1062*IF(2&lt;life_it,1,IF(2=life_it,0.5,0))+Sens!D1062*IF(1&lt;life_it,1,IF(1=life_it,0.5,0))+Sens!E1062*0.5)/life_it</f>
        <v>15.0605784770833</v>
      </c>
      <c r="F1064" s="6" t="n">
        <f aca="false">(Sens!C1062*IF(3&lt;life_it,1,IF(3=life_it,0.5,0))+Sens!D1062*IF(2&lt;life_it,1,IF(2=life_it,0.5,0))+Sens!E1062*IF(1&lt;life_it,1,IF(1=life_it,0.5,0))+Sens!F1062*0.5)/life_it</f>
        <v>32.3073453558698</v>
      </c>
      <c r="G1064" s="6" t="n">
        <f aca="false">(Sens!C1062*IF(4&lt;life_it,1,IF(4=life_it,0.5,0))+Sens!D1062*IF(3&lt;life_it,1,IF(3=life_it,0.5,0))+Sens!E1062*IF(2&lt;life_it,1,IF(2=life_it,0.5,0))+Sens!F1062*IF(1&lt;life_it,1,IF(1=life_it,0.5,0))+Sens!G1062*0.5)/life_it</f>
        <v>56.5503124603396</v>
      </c>
      <c r="H1064" s="6" t="n">
        <f aca="false">(Sens!C1062*IF(5&lt;life_it,1,IF(5=life_it,0.5,0))+Sens!D1062*IF(4&lt;life_it,1,IF(4=life_it,0.5,0))+Sens!E1062*IF(3&lt;life_it,1,IF(3=life_it,0.5,0))+Sens!F1062*IF(2&lt;life_it,1,IF(2=life_it,0.5,0))+Sens!G1062*IF(1&lt;life_it,1,IF(1=life_it,0.5,0))+Sens!H1062*0.5)/life_it</f>
        <v>82.1849139931396</v>
      </c>
      <c r="I1064" s="6" t="n">
        <f aca="false">(Sens!C1062*IF(6&lt;life_it,1,IF(6=life_it,0.5,0))+Sens!D1062*IF(5&lt;life_it,1,IF(5=life_it,0.5,0))+Sens!E1062*IF(4&lt;life_it,1,IF(4=life_it,0.5,0))+Sens!F1062*IF(3&lt;life_it,1,IF(3=life_it,0.5,0))+Sens!G1062*IF(2&lt;life_it,1,IF(2=life_it,0.5,0))+Sens!H1062*IF(1&lt;life_it,1,IF(1=life_it,0.5,0))+Sens!I1062*0.5)/life_it</f>
        <v>105.061177889221</v>
      </c>
      <c r="J1064" s="6" t="n">
        <f aca="false">(Sens!C1062*IF(7&lt;life_it,1,IF(7=life_it,0.5,0))+Sens!D1062*IF(6&lt;life_it,1,IF(6=life_it,0.5,0))+Sens!E1062*IF(5&lt;life_it,1,IF(5=life_it,0.5,0))+Sens!F1062*IF(4&lt;life_it,1,IF(4=life_it,0.5,0))+Sens!G1062*IF(3&lt;life_it,1,IF(3=life_it,0.5,0))+Sens!H1062*IF(2&lt;life_it,1,IF(2=life_it,0.5,0))+Sens!I1062*IF(1&lt;life_it,1,IF(1=life_it,0.5,0))+Sens!J1062*0.5)/life_it</f>
        <v>121.354430950666</v>
      </c>
      <c r="K1064" s="6" t="n">
        <f aca="false">(Sens!C1062*IF(8&lt;life_it,1,IF(8=life_it,0.5,0))+Sens!D1062*IF(7&lt;life_it,1,IF(7=life_it,0.5,0))+Sens!E1062*IF(6&lt;life_it,1,IF(6=life_it,0.5,0))+Sens!F1062*IF(5&lt;life_it,1,IF(5=life_it,0.5,0))+Sens!G1062*IF(4&lt;life_it,1,IF(4=life_it,0.5,0))+Sens!H1062*IF(3&lt;life_it,1,IF(3=life_it,0.5,0))+Sens!I1062*IF(2&lt;life_it,1,IF(2=life_it,0.5,0))+Sens!J1062*IF(1&lt;life_it,1,IF(1=life_it,0.5,0))+Sens!K1062*0.5)/life_it</f>
        <v>131.379991167474</v>
      </c>
    </row>
    <row r="1065" customFormat="false" ht="17.15" hidden="false" customHeight="false" outlineLevel="0" collapsed="false">
      <c r="A1065" s="0" t="s">
        <v>843</v>
      </c>
      <c r="B1065" s="0" t="s">
        <v>98</v>
      </c>
      <c r="E1065" s="6" t="n">
        <f aca="false">(Sens!C1060*IF(2&lt;life_fac,1,IF(2=life_fac,0.5,0))+Sens!D1060*IF(1&lt;life_fac,1,IF(1=life_fac,0.5,0))+Sens!E1060*0.5)/life_fac</f>
        <v>1.2448275</v>
      </c>
      <c r="F1065" s="6" t="n">
        <f aca="false">(Sens!C1060*IF(3&lt;life_fac,1,IF(3=life_fac,0.5,0))+Sens!D1060*IF(2&lt;life_fac,1,IF(2=life_fac,0.5,0))+Sens!E1060*IF(1&lt;life_fac,1,IF(1=life_fac,0.5,0))+Sens!F1060*0.5)/life_fac</f>
        <v>2.4456901</v>
      </c>
      <c r="G1065" s="6" t="n">
        <f aca="false">(Sens!C1060*IF(4&lt;life_fac,1,IF(4=life_fac,0.5,0))+Sens!D1060*IF(3&lt;life_fac,1,IF(3=life_fac,0.5,0))+Sens!E1060*IF(2&lt;life_fac,1,IF(2=life_fac,0.5,0))+Sens!F1060*IF(1&lt;life_fac,1,IF(1=life_fac,0.5,0))+Sens!G1060*0.5)/life_fac</f>
        <v>3.9814208</v>
      </c>
      <c r="H1065" s="6" t="n">
        <f aca="false">(Sens!C1060*IF(5&lt;life_fac,1,IF(5=life_fac,0.5,0))+Sens!D1060*IF(4&lt;life_fac,1,IF(4=life_fac,0.5,0))+Sens!E1060*IF(3&lt;life_fac,1,IF(3=life_fac,0.5,0))+Sens!F1060*IF(2&lt;life_fac,1,IF(2=life_fac,0.5,0))+Sens!G1060*IF(1&lt;life_fac,1,IF(1=life_fac,0.5,0))+Sens!H1060*0.5)/life_fac</f>
        <v>5.582402</v>
      </c>
      <c r="I1065" s="6" t="n">
        <f aca="false">(Sens!C1060*IF(6&lt;life_fac,1,IF(6=life_fac,0.5,0))+Sens!D1060*IF(5&lt;life_fac,1,IF(5=life_fac,0.5,0))+Sens!E1060*IF(4&lt;life_fac,1,IF(4=life_fac,0.5,0))+Sens!F1060*IF(3&lt;life_fac,1,IF(3=life_fac,0.5,0))+Sens!G1060*IF(2&lt;life_fac,1,IF(2=life_fac,0.5,0))+Sens!H1060*IF(1&lt;life_fac,1,IF(1=life_fac,0.5,0))+Sens!I1060*0.5)/life_fac</f>
        <v>6.950862093</v>
      </c>
      <c r="J1065" s="6" t="n">
        <f aca="false">(Sens!C1060*IF(7&lt;life_fac,1,IF(7=life_fac,0.5,0))+Sens!D1060*IF(6&lt;life_fac,1,IF(6=life_fac,0.5,0))+Sens!E1060*IF(5&lt;life_fac,1,IF(5=life_fac,0.5,0))+Sens!F1060*IF(4&lt;life_fac,1,IF(4=life_fac,0.5,0))+Sens!G1060*IF(3&lt;life_fac,1,IF(3=life_fac,0.5,0))+Sens!H1060*IF(2&lt;life_fac,1,IF(2=life_fac,0.5,0))+Sens!I1060*IF(1&lt;life_fac,1,IF(1=life_fac,0.5,0))+Sens!J1060*0.5)/life_fac</f>
        <v>7.854279972</v>
      </c>
      <c r="K1065" s="6" t="n">
        <f aca="false">(Sens!C1060*IF(8&lt;life_fac,1,IF(8=life_fac,0.5,0))+Sens!D1060*IF(7&lt;life_fac,1,IF(7=life_fac,0.5,0))+Sens!E1060*IF(6&lt;life_fac,1,IF(6=life_fac,0.5,0))+Sens!F1060*IF(5&lt;life_fac,1,IF(5=life_fac,0.5,0))+Sens!G1060*IF(4&lt;life_fac,1,IF(4=life_fac,0.5,0))+Sens!H1060*IF(3&lt;life_fac,1,IF(3=life_fac,0.5,0))+Sens!I1060*IF(2&lt;life_fac,1,IF(2=life_fac,0.5,0))+Sens!J1060*IF(1&lt;life_fac,1,IF(1=life_fac,0.5,0))+Sens!K1060*0.5)/life_fac</f>
        <v>8.292655637</v>
      </c>
    </row>
    <row r="1066" customFormat="false" ht="17.15" hidden="false" customHeight="false" outlineLevel="0" collapsed="false">
      <c r="A1066" s="0" t="s">
        <v>844</v>
      </c>
      <c r="B1066" s="0" t="s">
        <v>98</v>
      </c>
      <c r="E1066" s="6" t="n">
        <f aca="false">Sens!E1064+Sens!E1065</f>
        <v>16.3054059770833</v>
      </c>
      <c r="F1066" s="6" t="n">
        <f aca="false">Sens!F1064+Sens!F1065</f>
        <v>34.7530354558698</v>
      </c>
      <c r="G1066" s="6" t="n">
        <f aca="false">Sens!G1064+Sens!G1065</f>
        <v>60.5317332603396</v>
      </c>
      <c r="H1066" s="6" t="n">
        <f aca="false">Sens!H1064+Sens!H1065</f>
        <v>87.7673159931396</v>
      </c>
      <c r="I1066" s="6" t="n">
        <f aca="false">Sens!I1064+Sens!I1065</f>
        <v>112.012039982221</v>
      </c>
      <c r="J1066" s="6" t="n">
        <f aca="false">Sens!J1064+Sens!J1065</f>
        <v>129.208710922666</v>
      </c>
      <c r="K1066" s="6" t="n">
        <f aca="false">Sens!K1064+Sens!K1065</f>
        <v>139.672646804474</v>
      </c>
    </row>
    <row r="1067" customFormat="false" ht="17.15" hidden="false" customHeight="false" outlineLevel="0" collapsed="false">
      <c r="A1067" s="0" t="s">
        <v>845</v>
      </c>
      <c r="B1067" s="0" t="s">
        <v>98</v>
      </c>
      <c r="E1067" s="6" t="n">
        <f aca="false">Sens!E1055-Sens!E1054*Sens!E1066</f>
        <v>8.92707889977379</v>
      </c>
      <c r="F1067" s="6" t="n">
        <f aca="false">Sens!F1055-Sens!F1054*Sens!F1066</f>
        <v>6.60623758077406</v>
      </c>
      <c r="G1067" s="6" t="n">
        <f aca="false">Sens!G1055-Sens!G1054*Sens!G1066</f>
        <v>4.65921462520313</v>
      </c>
      <c r="H1067" s="6" t="n">
        <f aca="false">Sens!H1055-Sens!H1054*Sens!H1066</f>
        <v>-1.61506808546301</v>
      </c>
      <c r="I1067" s="6" t="n">
        <f aca="false">Sens!I1055-Sens!I1054*Sens!I1066</f>
        <v>-1.74284968550054</v>
      </c>
      <c r="J1067" s="6" t="n">
        <f aca="false">Sens!J1055-Sens!J1054*Sens!J1066</f>
        <v>-1.87343266102037</v>
      </c>
      <c r="K1067" s="6" t="n">
        <f aca="false">Sens!K1055-Sens!K1054*Sens!K1066</f>
        <v>-1.46728122311528</v>
      </c>
    </row>
    <row r="1068" customFormat="false" ht="17.15" hidden="false" customHeight="false" outlineLevel="0" collapsed="false">
      <c r="A1068" s="3" t="s">
        <v>1260</v>
      </c>
    </row>
    <row r="1069" customFormat="false" ht="15" hidden="false" customHeight="false" outlineLevel="0" collapsed="false">
      <c r="A1069" s="4" t="s">
        <v>43</v>
      </c>
      <c r="B1069" s="4" t="s">
        <v>65</v>
      </c>
      <c r="C1069" s="20" t="s">
        <v>788</v>
      </c>
      <c r="D1069" s="20" t="s">
        <v>789</v>
      </c>
      <c r="E1069" s="20" t="s">
        <v>790</v>
      </c>
      <c r="F1069" s="20" t="s">
        <v>791</v>
      </c>
      <c r="G1069" s="20" t="s">
        <v>792</v>
      </c>
      <c r="H1069" s="20" t="s">
        <v>793</v>
      </c>
      <c r="I1069" s="20" t="s">
        <v>794</v>
      </c>
      <c r="J1069" s="20" t="s">
        <v>795</v>
      </c>
      <c r="K1069" s="20" t="s">
        <v>796</v>
      </c>
      <c r="L1069" s="4" t="s">
        <v>47</v>
      </c>
    </row>
    <row r="1070" customFormat="false" ht="17.15" hidden="false" customHeight="false" outlineLevel="0" collapsed="false">
      <c r="A1070" s="0" t="s">
        <v>864</v>
      </c>
      <c r="B1070" s="0" t="s">
        <v>98</v>
      </c>
      <c r="D1070" s="6" t="n">
        <f aca="false">Sens!D1049</f>
        <v>12.9359794422418</v>
      </c>
      <c r="E1070" s="6" t="n">
        <f aca="false">Sens!E1049</f>
        <v>27.8095064661409</v>
      </c>
      <c r="F1070" s="6" t="n">
        <f aca="false">Sens!F1049</f>
        <v>43.0626246800606</v>
      </c>
      <c r="G1070" s="6" t="n">
        <f aca="false">Sens!G1049</f>
        <v>63.8760413426546</v>
      </c>
      <c r="H1070" s="6" t="n">
        <f aca="false">Sens!H1049</f>
        <v>80.6613072634357</v>
      </c>
      <c r="I1070" s="6" t="n">
        <f aca="false">Sens!I1049</f>
        <v>100.900243551529</v>
      </c>
      <c r="J1070" s="6" t="n">
        <f aca="false">Sens!J1049</f>
        <v>115.009423099101</v>
      </c>
      <c r="K1070" s="6" t="n">
        <f aca="false">Sens!K1049</f>
        <v>123.798571014579</v>
      </c>
    </row>
    <row r="1071" customFormat="false" ht="17.15" hidden="false" customHeight="false" outlineLevel="0" collapsed="false">
      <c r="A1071" s="0" t="s">
        <v>865</v>
      </c>
      <c r="B1071" s="0" t="s">
        <v>98</v>
      </c>
      <c r="D1071" s="6" t="n">
        <f aca="false">Q!L6-Sens!D1070</f>
        <v>59.6740205577583</v>
      </c>
      <c r="E1071" s="6" t="n">
        <f aca="false">Q!M6-Sens!E1070</f>
        <v>74.1284935338591</v>
      </c>
      <c r="F1071" s="6" t="n">
        <f aca="false">Sens!E1071*(1+Sens!F1072)</f>
        <v>90.0799497373663</v>
      </c>
      <c r="G1071" s="6" t="n">
        <f aca="false">Sens!F1071*(1+Sens!G1072)</f>
        <v>107.02842520331</v>
      </c>
      <c r="H1071" s="6" t="n">
        <f aca="false">Sens!G1071*(1+Sens!H1072)</f>
        <v>124.271982585636</v>
      </c>
      <c r="I1071" s="6" t="n">
        <f aca="false">Sens!H1071*(1+Sens!I1072)</f>
        <v>140.933702381855</v>
      </c>
      <c r="J1071" s="6" t="n">
        <f aca="false">Sens!I1071*(1+Sens!J1072)</f>
        <v>156.018867314332</v>
      </c>
      <c r="K1071" s="6" t="n">
        <f aca="false">Sens!J1071*(1+Sens!K1072)</f>
        <v>168.500376699478</v>
      </c>
    </row>
    <row r="1072" customFormat="false" ht="15" hidden="false" customHeight="false" outlineLevel="0" collapsed="false">
      <c r="A1072" s="1" t="s">
        <v>866</v>
      </c>
      <c r="B1072" s="0" t="s">
        <v>129</v>
      </c>
      <c r="E1072" s="7" t="n">
        <f aca="false">Sens!E1071/Sens!D1071-1</f>
        <v>0.242223883039864</v>
      </c>
      <c r="F1072" s="7" t="n">
        <f aca="false">Sens!$E$1072+(glt_azo-Sens!$E$1072)*MIN(1,(Sens!F1032-base_fy)/n_conv)</f>
        <v>0.215186569199887</v>
      </c>
      <c r="G1072" s="7" t="n">
        <f aca="false">Sens!$E$1072+(glt_azo-Sens!$E$1072)*MIN(1,(Sens!G1032-base_fy)/n_conv)</f>
        <v>0.18814925535991</v>
      </c>
      <c r="H1072" s="7" t="n">
        <f aca="false">Sens!$E$1072+(glt_azo-Sens!$E$1072)*MIN(1,(Sens!H1032-base_fy)/n_conv)</f>
        <v>0.161111941519932</v>
      </c>
      <c r="I1072" s="7" t="n">
        <f aca="false">Sens!$E$1072+(glt_azo-Sens!$E$1072)*MIN(1,(Sens!I1032-base_fy)/n_conv)</f>
        <v>0.134074627679955</v>
      </c>
      <c r="J1072" s="7" t="n">
        <f aca="false">Sens!$E$1072+(glt_azo-Sens!$E$1072)*MIN(1,(Sens!J1032-base_fy)/n_conv)</f>
        <v>0.107037313839977</v>
      </c>
      <c r="K1072" s="7" t="n">
        <f aca="false">Sens!$E$1072+(glt_azo-Sens!$E$1072)*MIN(1,(Sens!K1032-base_fy)/n_conv)</f>
        <v>0.08</v>
      </c>
    </row>
    <row r="1073" customFormat="false" ht="15" hidden="false" customHeight="false" outlineLevel="0" collapsed="false">
      <c r="A1073" s="0" t="s">
        <v>867</v>
      </c>
      <c r="B1073" s="0" t="s">
        <v>98</v>
      </c>
      <c r="D1073" s="6" t="n">
        <f aca="false">Sens!D1070+Sens!D1071</f>
        <v>72.61</v>
      </c>
      <c r="E1073" s="6" t="n">
        <f aca="false">Sens!E1070+Sens!E1071</f>
        <v>101.938</v>
      </c>
      <c r="F1073" s="6" t="n">
        <f aca="false">Sens!F1070+Sens!F1071</f>
        <v>133.142574417427</v>
      </c>
      <c r="G1073" s="6" t="n">
        <f aca="false">Sens!G1070+Sens!G1071</f>
        <v>170.904466545964</v>
      </c>
      <c r="H1073" s="6" t="n">
        <f aca="false">Sens!H1070+Sens!H1071</f>
        <v>204.933289849072</v>
      </c>
      <c r="I1073" s="6" t="n">
        <f aca="false">Sens!I1070+Sens!I1071</f>
        <v>241.833945933384</v>
      </c>
      <c r="J1073" s="6" t="n">
        <f aca="false">Sens!J1070+Sens!J1071</f>
        <v>271.028290413433</v>
      </c>
      <c r="K1073" s="6" t="n">
        <f aca="false">Sens!K1070+Sens!K1071</f>
        <v>292.298947714057</v>
      </c>
    </row>
    <row r="1074" customFormat="false" ht="17.15" hidden="false" customHeight="false" outlineLevel="0" collapsed="false">
      <c r="A1074" s="0" t="s">
        <v>868</v>
      </c>
      <c r="B1074" s="1" t="s">
        <v>521</v>
      </c>
      <c r="C1074" s="29" t="n">
        <f aca="false">cop_s24</f>
        <v>1</v>
      </c>
      <c r="D1074" s="29" t="n">
        <f aca="false">cop_s25</f>
        <v>5</v>
      </c>
      <c r="E1074" s="29" t="n">
        <f aca="false">cop_s26</f>
        <v>30</v>
      </c>
      <c r="F1074" s="29" t="n">
        <f aca="false">Sens!E1074+cop_add_C</f>
        <v>40</v>
      </c>
      <c r="G1074" s="29" t="n">
        <f aca="false">Sens!F1074+cop_add_C</f>
        <v>50</v>
      </c>
      <c r="H1074" s="29" t="n">
        <f aca="false">Sens!G1074+cop_add_C</f>
        <v>60</v>
      </c>
      <c r="I1074" s="29" t="n">
        <f aca="false">Sens!H1074+cop_add_C*cop_tail</f>
        <v>65</v>
      </c>
      <c r="J1074" s="29" t="n">
        <f aca="false">Sens!I1074+cop_add_C*cop_tail</f>
        <v>70</v>
      </c>
      <c r="K1074" s="29" t="n">
        <f aca="false">Sens!J1074+cop_add_C*cop_tail</f>
        <v>75</v>
      </c>
      <c r="L1074" s="11" t="s">
        <v>869</v>
      </c>
    </row>
    <row r="1075" customFormat="false" ht="17.15" hidden="false" customHeight="false" outlineLevel="0" collapsed="false">
      <c r="A1075" s="0" t="s">
        <v>870</v>
      </c>
      <c r="B1075" s="0" t="s">
        <v>98</v>
      </c>
      <c r="D1075" s="6" t="n">
        <f aca="false">(Sens!C1074+Sens!D1074)/2*cop_px*12/1000</f>
        <v>0.9</v>
      </c>
      <c r="E1075" s="6" t="n">
        <f aca="false">(Sens!D1074+Sens!E1074)/2*cop_px*12/1000</f>
        <v>5.25</v>
      </c>
      <c r="F1075" s="6" t="n">
        <f aca="false">(Sens!E1074+Sens!F1074)/2*cop_px*12/1000</f>
        <v>10.5</v>
      </c>
      <c r="G1075" s="6" t="n">
        <f aca="false">(Sens!F1074+Sens!G1074)/2*cop_px*12/1000</f>
        <v>13.5</v>
      </c>
      <c r="H1075" s="6" t="n">
        <f aca="false">(Sens!G1074+Sens!H1074)/2*cop_px*12/1000</f>
        <v>16.5</v>
      </c>
      <c r="I1075" s="6" t="n">
        <f aca="false">(Sens!H1074+Sens!I1074)/2*cop_px*12/1000</f>
        <v>18.75</v>
      </c>
      <c r="J1075" s="6" t="n">
        <f aca="false">(Sens!I1074+Sens!J1074)/2*cop_px*12/1000</f>
        <v>20.25</v>
      </c>
      <c r="K1075" s="6" t="n">
        <f aca="false">(Sens!J1074+Sens!K1074)/2*cop_px*12/1000</f>
        <v>21.75</v>
      </c>
      <c r="L1075" s="1" t="s">
        <v>871</v>
      </c>
    </row>
    <row r="1076" customFormat="false" ht="17.15" hidden="false" customHeight="false" outlineLevel="0" collapsed="false">
      <c r="A1076" s="0" t="s">
        <v>872</v>
      </c>
      <c r="B1076" s="0" t="s">
        <v>98</v>
      </c>
      <c r="D1076" s="6" t="n">
        <f aca="false">Q!L7-Sens!D1075</f>
        <v>83.705</v>
      </c>
      <c r="E1076" s="6" t="n">
        <f aca="false">Q!M7-Sens!E1075</f>
        <v>95.049</v>
      </c>
      <c r="F1076" s="6" t="n">
        <f aca="false">Sens!E1076*(1+Sens!F1077)</f>
        <v>106.89238776686</v>
      </c>
      <c r="G1076" s="6" t="n">
        <f aca="false">Sens!F1076*(1+Sens!G1077)</f>
        <v>119.044168448684</v>
      </c>
      <c r="H1076" s="6" t="n">
        <f aca="false">Sens!G1076*(1+Sens!H1077)</f>
        <v>131.277359388781</v>
      </c>
      <c r="I1076" s="6" t="n">
        <f aca="false">Sens!H1076*(1+Sens!I1077)</f>
        <v>143.334028071957</v>
      </c>
      <c r="J1076" s="6" t="n">
        <f aca="false">Sens!I1076*(1+Sens!J1077)</f>
        <v>154.932702785465</v>
      </c>
      <c r="K1076" s="6" t="n">
        <f aca="false">Sens!J1076*(1+Sens!K1077)</f>
        <v>165.777991980448</v>
      </c>
    </row>
    <row r="1077" customFormat="false" ht="15" hidden="false" customHeight="false" outlineLevel="0" collapsed="false">
      <c r="A1077" s="1" t="s">
        <v>866</v>
      </c>
      <c r="B1077" s="0" t="s">
        <v>129</v>
      </c>
      <c r="E1077" s="7" t="n">
        <f aca="false">Sens!E1076/Sens!D1076-1</f>
        <v>0.135523564900544</v>
      </c>
      <c r="F1077" s="7" t="n">
        <f aca="false">Sens!$E$1077+(glt_m365b-Sens!$E$1077)*MIN(1,(Sens!F1032-base_fy)/n_conv)</f>
        <v>0.124602970750453</v>
      </c>
      <c r="G1077" s="7" t="n">
        <f aca="false">Sens!$E$1077+(glt_m365b-Sens!$E$1077)*MIN(1,(Sens!G1032-base_fy)/n_conv)</f>
        <v>0.113682376600363</v>
      </c>
      <c r="H1077" s="7" t="n">
        <f aca="false">Sens!$E$1077+(glt_m365b-Sens!$E$1077)*MIN(1,(Sens!H1032-base_fy)/n_conv)</f>
        <v>0.102761782450272</v>
      </c>
      <c r="I1077" s="7" t="n">
        <f aca="false">Sens!$E$1077+(glt_m365b-Sens!$E$1077)*MIN(1,(Sens!I1032-base_fy)/n_conv)</f>
        <v>0.0918411883001813</v>
      </c>
      <c r="J1077" s="7" t="n">
        <f aca="false">Sens!$E$1077+(glt_m365b-Sens!$E$1077)*MIN(1,(Sens!J1032-base_fy)/n_conv)</f>
        <v>0.0809205941500906</v>
      </c>
      <c r="K1077" s="7" t="n">
        <f aca="false">Sens!$E$1077+(glt_m365b-Sens!$E$1077)*MIN(1,(Sens!K1032-base_fy)/n_conv)</f>
        <v>0.07</v>
      </c>
    </row>
    <row r="1078" customFormat="false" ht="15" hidden="false" customHeight="false" outlineLevel="0" collapsed="false">
      <c r="A1078" s="0" t="s">
        <v>873</v>
      </c>
      <c r="B1078" s="0" t="s">
        <v>98</v>
      </c>
      <c r="D1078" s="6" t="n">
        <f aca="false">Sens!D1076+Sens!D1075</f>
        <v>84.605</v>
      </c>
      <c r="E1078" s="6" t="n">
        <f aca="false">Sens!E1076+Sens!E1075</f>
        <v>100.299</v>
      </c>
      <c r="F1078" s="6" t="n">
        <f aca="false">Sens!F1076+Sens!F1075</f>
        <v>117.39238776686</v>
      </c>
      <c r="G1078" s="6" t="n">
        <f aca="false">Sens!G1076+Sens!G1075</f>
        <v>132.544168448684</v>
      </c>
      <c r="H1078" s="6" t="n">
        <f aca="false">Sens!H1076+Sens!H1075</f>
        <v>147.777359388781</v>
      </c>
      <c r="I1078" s="6" t="n">
        <f aca="false">Sens!I1076+Sens!I1075</f>
        <v>162.084028071957</v>
      </c>
      <c r="J1078" s="6" t="n">
        <f aca="false">Sens!J1076+Sens!J1075</f>
        <v>175.182702785465</v>
      </c>
      <c r="K1078" s="6" t="n">
        <f aca="false">Sens!K1076+Sens!K1075</f>
        <v>187.527991980448</v>
      </c>
    </row>
    <row r="1079" customFormat="false" ht="15" hidden="false" customHeight="false" outlineLevel="0" collapsed="false">
      <c r="A1079" s="0" t="s">
        <v>874</v>
      </c>
      <c r="B1079" s="0" t="s">
        <v>98</v>
      </c>
      <c r="D1079" s="6" t="n">
        <f aca="false">Q!L8</f>
        <v>35.391</v>
      </c>
      <c r="E1079" s="6" t="n">
        <f aca="false">Q!M8</f>
        <v>37.285</v>
      </c>
      <c r="F1079" s="6" t="n">
        <f aca="false">Sens!E1079*(1+Sens!F1080)</f>
        <v>39.0720834331704</v>
      </c>
      <c r="G1079" s="6" t="n">
        <f aca="false">Sens!F1079*(1+Sens!G1080)</f>
        <v>40.726562953769</v>
      </c>
      <c r="H1079" s="6" t="n">
        <f aca="false">Sens!G1079*(1+Sens!H1080)</f>
        <v>42.2235987259198</v>
      </c>
      <c r="I1079" s="6" t="n">
        <f aca="false">Sens!H1079*(1+Sens!I1080)</f>
        <v>43.5397988077414</v>
      </c>
      <c r="J1079" s="6" t="n">
        <f aca="false">Sens!I1079*(1+Sens!J1080)</f>
        <v>44.653811225693</v>
      </c>
      <c r="K1079" s="6" t="n">
        <f aca="false">Sens!J1079*(1+Sens!K1080)</f>
        <v>45.5468874502068</v>
      </c>
    </row>
    <row r="1080" customFormat="false" ht="15" hidden="false" customHeight="false" outlineLevel="0" collapsed="false">
      <c r="A1080" s="1" t="s">
        <v>866</v>
      </c>
      <c r="B1080" s="0" t="s">
        <v>129</v>
      </c>
      <c r="E1080" s="7" t="n">
        <f aca="false">Sens!E1079/Sens!D1079-1</f>
        <v>0.0535164307309768</v>
      </c>
      <c r="F1080" s="7" t="n">
        <f aca="false">Sens!$E$1080+(glt_lic-Sens!$E$1080)*MIN(1,(Sens!F1032-base_fy)/n_conv)</f>
        <v>0.0479303589424807</v>
      </c>
      <c r="G1080" s="7" t="n">
        <f aca="false">Sens!$E$1080+(glt_lic-Sens!$E$1080)*MIN(1,(Sens!G1032-base_fy)/n_conv)</f>
        <v>0.0423442871539845</v>
      </c>
      <c r="H1080" s="7" t="n">
        <f aca="false">Sens!$E$1080+(glt_lic-Sens!$E$1080)*MIN(1,(Sens!H1032-base_fy)/n_conv)</f>
        <v>0.0367582153654884</v>
      </c>
      <c r="I1080" s="7" t="n">
        <f aca="false">Sens!$E$1080+(glt_lic-Sens!$E$1080)*MIN(1,(Sens!I1032-base_fy)/n_conv)</f>
        <v>0.0311721435769923</v>
      </c>
      <c r="J1080" s="7" t="n">
        <f aca="false">Sens!$E$1080+(glt_lic-Sens!$E$1080)*MIN(1,(Sens!J1032-base_fy)/n_conv)</f>
        <v>0.0255860717884961</v>
      </c>
      <c r="K1080" s="7" t="n">
        <f aca="false">Sens!$E$1080+(glt_lic-Sens!$E$1080)*MIN(1,(Sens!K1032-base_fy)/n_conv)</f>
        <v>0.02</v>
      </c>
    </row>
    <row r="1081" customFormat="false" ht="15" hidden="false" customHeight="false" outlineLevel="0" collapsed="false">
      <c r="A1081" s="0" t="s">
        <v>875</v>
      </c>
      <c r="B1081" s="0" t="s">
        <v>98</v>
      </c>
      <c r="D1081" s="6" t="n">
        <f aca="false">Q!L9</f>
        <v>18.417</v>
      </c>
      <c r="E1081" s="6" t="n">
        <f aca="false">Q!M9</f>
        <v>20.345</v>
      </c>
      <c r="F1081" s="6" t="n">
        <f aca="false">Sens!E1081*(1+Sens!F1082)</f>
        <v>22.3572203267814</v>
      </c>
      <c r="G1081" s="6" t="n">
        <f aca="false">Sens!F1081*(1+Sens!G1082)</f>
        <v>24.4392124437232</v>
      </c>
      <c r="H1081" s="6" t="n">
        <f aca="false">Sens!G1081*(1+Sens!H1082)</f>
        <v>26.5738052080665</v>
      </c>
      <c r="I1081" s="6" t="n">
        <f aca="false">Sens!H1081*(1+Sens!I1082)</f>
        <v>28.7412169166967</v>
      </c>
      <c r="J1081" s="6" t="n">
        <f aca="false">Sens!I1081*(1+Sens!J1082)</f>
        <v>30.9192545395413</v>
      </c>
      <c r="K1081" s="6" t="n">
        <f aca="false">Sens!J1081*(1+Sens!K1082)</f>
        <v>33.0836023573092</v>
      </c>
    </row>
    <row r="1082" customFormat="false" ht="15" hidden="false" customHeight="false" outlineLevel="0" collapsed="false">
      <c r="A1082" s="1" t="s">
        <v>866</v>
      </c>
      <c r="B1082" s="0" t="s">
        <v>129</v>
      </c>
      <c r="E1082" s="7" t="n">
        <f aca="false">Sens!E1081/Sens!D1081-1</f>
        <v>0.104685888038225</v>
      </c>
      <c r="F1082" s="7" t="n">
        <f aca="false">Sens!$E$1082+(glt_ind-Sens!$E$1082)*MIN(1,(Sens!F1032-base_fy)/n_conv)</f>
        <v>0.0989049066985211</v>
      </c>
      <c r="G1082" s="7" t="n">
        <f aca="false">Sens!$E$1082+(glt_ind-Sens!$E$1082)*MIN(1,(Sens!G1032-base_fy)/n_conv)</f>
        <v>0.0931239253588169</v>
      </c>
      <c r="H1082" s="7" t="n">
        <f aca="false">Sens!$E$1082+(glt_ind-Sens!$E$1082)*MIN(1,(Sens!H1032-base_fy)/n_conv)</f>
        <v>0.0873429440191127</v>
      </c>
      <c r="I1082" s="7" t="n">
        <f aca="false">Sens!$E$1082+(glt_ind-Sens!$E$1082)*MIN(1,(Sens!I1032-base_fy)/n_conv)</f>
        <v>0.0815619626794085</v>
      </c>
      <c r="J1082" s="7" t="n">
        <f aca="false">Sens!$E$1082+(glt_ind-Sens!$E$1082)*MIN(1,(Sens!J1032-base_fy)/n_conv)</f>
        <v>0.0757809813397042</v>
      </c>
      <c r="K1082" s="7" t="n">
        <f aca="false">Sens!$E$1082+(glt_ind-Sens!$E$1082)*MIN(1,(Sens!K1032-base_fy)/n_conv)</f>
        <v>0.07</v>
      </c>
    </row>
    <row r="1083" customFormat="false" ht="15" hidden="false" customHeight="false" outlineLevel="0" collapsed="false">
      <c r="A1083" s="0" t="s">
        <v>876</v>
      </c>
      <c r="B1083" s="0" t="s">
        <v>98</v>
      </c>
      <c r="D1083" s="6" t="n">
        <f aca="false">Q!L10</f>
        <v>7.76</v>
      </c>
      <c r="E1083" s="6" t="n">
        <f aca="false">Q!M10</f>
        <v>8.26</v>
      </c>
      <c r="F1083" s="6" t="n">
        <f aca="false">Sens!E1083*(1+Sens!F1084)</f>
        <v>8.79988041237113</v>
      </c>
      <c r="G1083" s="6" t="n">
        <f aca="false">Sens!F1083*(1+Sens!G1084)</f>
        <v>9.38321269125306</v>
      </c>
      <c r="H1083" s="6" t="n">
        <f aca="false">Sens!G1083*(1+Sens!H1084)</f>
        <v>10.0139193587476</v>
      </c>
      <c r="I1083" s="6" t="n">
        <f aca="false">Sens!H1083*(1+Sens!I1084)</f>
        <v>10.6963111830911</v>
      </c>
      <c r="J1083" s="6" t="n">
        <f aca="false">Sens!I1083*(1+Sens!J1084)</f>
        <v>11.4351285534696</v>
      </c>
      <c r="K1083" s="6" t="n">
        <f aca="false">Sens!J1083*(1+Sens!K1084)</f>
        <v>12.2355875522124</v>
      </c>
    </row>
    <row r="1084" customFormat="false" ht="15" hidden="false" customHeight="false" outlineLevel="0" collapsed="false">
      <c r="A1084" s="1" t="s">
        <v>866</v>
      </c>
      <c r="B1084" s="0" t="s">
        <v>129</v>
      </c>
      <c r="E1084" s="7" t="n">
        <f aca="false">Sens!E1083/Sens!D1083-1</f>
        <v>0.0644329896907216</v>
      </c>
      <c r="F1084" s="7" t="n">
        <f aca="false">Sens!$E$1084+(glt_fro-Sens!$E$1084)*MIN(1,(Sens!F1032-base_fy)/n_conv)</f>
        <v>0.065360824742268</v>
      </c>
      <c r="G1084" s="7" t="n">
        <f aca="false">Sens!$E$1084+(glt_fro-Sens!$E$1084)*MIN(1,(Sens!G1032-base_fy)/n_conv)</f>
        <v>0.0662886597938144</v>
      </c>
      <c r="H1084" s="7" t="n">
        <f aca="false">Sens!$E$1084+(glt_fro-Sens!$E$1084)*MIN(1,(Sens!H1032-base_fy)/n_conv)</f>
        <v>0.0672164948453608</v>
      </c>
      <c r="I1084" s="7" t="n">
        <f aca="false">Sens!$E$1084+(glt_fro-Sens!$E$1084)*MIN(1,(Sens!I1032-base_fy)/n_conv)</f>
        <v>0.0681443298969072</v>
      </c>
      <c r="J1084" s="7" t="n">
        <f aca="false">Sens!$E$1084+(glt_fro-Sens!$E$1084)*MIN(1,(Sens!J1032-base_fy)/n_conv)</f>
        <v>0.0690721649484536</v>
      </c>
      <c r="K1084" s="7" t="n">
        <f aca="false">Sens!$E$1084+(glt_fro-Sens!$E$1084)*MIN(1,(Sens!K1032-base_fy)/n_conv)</f>
        <v>0.07</v>
      </c>
    </row>
    <row r="1085" customFormat="false" ht="15" hidden="false" customHeight="false" outlineLevel="0" collapsed="false">
      <c r="A1085" s="0" t="s">
        <v>704</v>
      </c>
      <c r="B1085" s="0" t="s">
        <v>98</v>
      </c>
      <c r="D1085" s="6" t="n">
        <f aca="false">Sens!D1073+Sens!D1078+Sens!D1079+Sens!D1081+Sens!D1083</f>
        <v>218.783</v>
      </c>
      <c r="E1085" s="6" t="n">
        <f aca="false">Sens!E1073+Sens!E1078+Sens!E1079+Sens!E1081+Sens!E1083</f>
        <v>268.127</v>
      </c>
      <c r="F1085" s="6" t="n">
        <f aca="false">Sens!F1073+Sens!F1078+Sens!F1079+Sens!F1081+Sens!F1083</f>
        <v>320.76414635661</v>
      </c>
      <c r="G1085" s="6" t="n">
        <f aca="false">Sens!G1073+Sens!G1078+Sens!G1079+Sens!G1081+Sens!G1083</f>
        <v>377.997623083394</v>
      </c>
      <c r="H1085" s="6" t="n">
        <f aca="false">Sens!H1073+Sens!H1078+Sens!H1079+Sens!H1081+Sens!H1083</f>
        <v>431.521972530587</v>
      </c>
      <c r="I1085" s="6" t="n">
        <f aca="false">Sens!I1073+Sens!I1078+Sens!I1079+Sens!I1081+Sens!I1083</f>
        <v>486.89530091287</v>
      </c>
      <c r="J1085" s="6" t="n">
        <f aca="false">Sens!J1073+Sens!J1078+Sens!J1079+Sens!J1081+Sens!J1083</f>
        <v>533.219187517602</v>
      </c>
      <c r="K1085" s="6" t="n">
        <f aca="false">Sens!K1073+Sens!K1078+Sens!K1079+Sens!K1081+Sens!K1083</f>
        <v>570.693017054233</v>
      </c>
    </row>
    <row r="1086" customFormat="false" ht="15" hidden="false" customHeight="false" outlineLevel="0" collapsed="false">
      <c r="A1086" s="0" t="s">
        <v>877</v>
      </c>
      <c r="B1086" s="0" t="s">
        <v>98</v>
      </c>
      <c r="D1086" s="6" t="n">
        <f aca="false">Q!L13</f>
        <v>22.171</v>
      </c>
      <c r="E1086" s="6" t="n">
        <f aca="false">Q!M13</f>
        <v>24.835</v>
      </c>
      <c r="F1086" s="6" t="n">
        <f aca="false">Sens!E1086*(1+Sens!F1087)</f>
        <v>27.6114901218559</v>
      </c>
      <c r="G1086" s="6" t="n">
        <f aca="false">Sens!F1086*(1+Sens!G1087)</f>
        <v>30.4675667338515</v>
      </c>
      <c r="H1086" s="6" t="n">
        <f aca="false">Sens!G1086*(1+Sens!H1087)</f>
        <v>33.3643766955789</v>
      </c>
      <c r="I1086" s="6" t="n">
        <f aca="false">Sens!H1086*(1+Sens!I1087)</f>
        <v>36.2577016533691</v>
      </c>
      <c r="J1086" s="6" t="n">
        <f aca="false">Sens!I1086*(1+Sens!J1087)</f>
        <v>39.0988367952171</v>
      </c>
      <c r="K1086" s="6" t="n">
        <f aca="false">Sens!J1086*(1+Sens!K1087)</f>
        <v>41.8357553708823</v>
      </c>
    </row>
    <row r="1087" customFormat="false" ht="15" hidden="false" customHeight="false" outlineLevel="0" collapsed="false">
      <c r="A1087" s="1" t="s">
        <v>866</v>
      </c>
      <c r="B1087" s="0" t="s">
        <v>129</v>
      </c>
      <c r="E1087" s="7" t="n">
        <f aca="false">Sens!E1086/Sens!D1086-1</f>
        <v>0.120156961796942</v>
      </c>
      <c r="F1087" s="7" t="n">
        <f aca="false">Sens!$E$1087+(glt_srch-Sens!$E$1087)*MIN(1,(Sens!F1032-base_fy)/n_conv)</f>
        <v>0.111797468164118</v>
      </c>
      <c r="G1087" s="7" t="n">
        <f aca="false">Sens!$E$1087+(glt_srch-Sens!$E$1087)*MIN(1,(Sens!G1032-base_fy)/n_conv)</f>
        <v>0.103437974531295</v>
      </c>
      <c r="H1087" s="7" t="n">
        <f aca="false">Sens!$E$1087+(glt_srch-Sens!$E$1087)*MIN(1,(Sens!H1032-base_fy)/n_conv)</f>
        <v>0.095078480898471</v>
      </c>
      <c r="I1087" s="7" t="n">
        <f aca="false">Sens!$E$1087+(glt_srch-Sens!$E$1087)*MIN(1,(Sens!I1032-base_fy)/n_conv)</f>
        <v>0.0867189872656474</v>
      </c>
      <c r="J1087" s="7" t="n">
        <f aca="false">Sens!$E$1087+(glt_srch-Sens!$E$1087)*MIN(1,(Sens!J1032-base_fy)/n_conv)</f>
        <v>0.0783594936328237</v>
      </c>
      <c r="K1087" s="7" t="n">
        <f aca="false">Sens!$E$1087+(glt_srch-Sens!$E$1087)*MIN(1,(Sens!K1032-base_fy)/n_conv)</f>
        <v>0.07</v>
      </c>
    </row>
    <row r="1088" customFormat="false" ht="15" hidden="false" customHeight="false" outlineLevel="0" collapsed="false">
      <c r="A1088" s="0" t="s">
        <v>878</v>
      </c>
      <c r="B1088" s="0" t="s">
        <v>98</v>
      </c>
      <c r="D1088" s="6" t="n">
        <f aca="false">Q!L14</f>
        <v>23.455</v>
      </c>
      <c r="E1088" s="6" t="n">
        <f aca="false">Q!M14</f>
        <v>21.79</v>
      </c>
      <c r="F1088" s="6" t="n">
        <f aca="false">Sens!E1088*(1+Sens!F1089)</f>
        <v>20.5736277908051</v>
      </c>
      <c r="G1088" s="6" t="n">
        <f aca="false">Sens!F1088*(1+Sens!G1089)</f>
        <v>19.7371452817919</v>
      </c>
      <c r="H1088" s="6" t="n">
        <f aca="false">Sens!G1088*(1+Sens!H1089)</f>
        <v>19.2339764043138</v>
      </c>
      <c r="I1088" s="6" t="n">
        <f aca="false">Sens!H1088*(1+Sens!I1089)</f>
        <v>19.0353086852681</v>
      </c>
      <c r="J1088" s="6" t="n">
        <f aca="false">Sens!I1088*(1+Sens!J1089)</f>
        <v>19.1273539319129</v>
      </c>
      <c r="K1088" s="6" t="n">
        <f aca="false">Sens!J1088*(1+Sens!K1089)</f>
        <v>19.5099010105511</v>
      </c>
    </row>
    <row r="1089" customFormat="false" ht="15" hidden="false" customHeight="false" outlineLevel="0" collapsed="false">
      <c r="A1089" s="1" t="s">
        <v>866</v>
      </c>
      <c r="B1089" s="0" t="s">
        <v>129</v>
      </c>
      <c r="E1089" s="7" t="n">
        <f aca="false">Sens!E1088/Sens!D1088-1</f>
        <v>-0.0709869963760392</v>
      </c>
      <c r="F1089" s="7" t="n">
        <f aca="false">Sens!$E$1089+(glt_xbox-Sens!$E$1089)*MIN(1,(Sens!F1032-base_fy)/n_conv)</f>
        <v>-0.0558224969800327</v>
      </c>
      <c r="G1089" s="7" t="n">
        <f aca="false">Sens!$E$1089+(glt_xbox-Sens!$E$1089)*MIN(1,(Sens!G1032-base_fy)/n_conv)</f>
        <v>-0.0406579975840262</v>
      </c>
      <c r="H1089" s="7" t="n">
        <f aca="false">Sens!$E$1089+(glt_xbox-Sens!$E$1089)*MIN(1,(Sens!H1032-base_fy)/n_conv)</f>
        <v>-0.0254934981880196</v>
      </c>
      <c r="I1089" s="7" t="n">
        <f aca="false">Sens!$E$1089+(glt_xbox-Sens!$E$1089)*MIN(1,(Sens!I1032-base_fy)/n_conv)</f>
        <v>-0.0103289987920131</v>
      </c>
      <c r="J1089" s="7" t="n">
        <f aca="false">Sens!$E$1089+(glt_xbox-Sens!$E$1089)*MIN(1,(Sens!J1032-base_fy)/n_conv)</f>
        <v>0.00483550060399347</v>
      </c>
      <c r="K1089" s="7" t="n">
        <f aca="false">Sens!$E$1089+(glt_xbox-Sens!$E$1089)*MIN(1,(Sens!K1032-base_fy)/n_conv)</f>
        <v>0.02</v>
      </c>
    </row>
    <row r="1090" customFormat="false" ht="15" hidden="false" customHeight="false" outlineLevel="0" collapsed="false">
      <c r="A1090" s="0" t="s">
        <v>879</v>
      </c>
      <c r="B1090" s="0" t="s">
        <v>98</v>
      </c>
      <c r="D1090" s="6" t="n">
        <f aca="false">Q!L15</f>
        <v>17.315</v>
      </c>
      <c r="E1090" s="6" t="n">
        <f aca="false">Q!M15</f>
        <v>17.087</v>
      </c>
      <c r="F1090" s="6" t="n">
        <f aca="false">Sens!E1090*(1+Sens!F1091)</f>
        <v>16.9564585436519</v>
      </c>
      <c r="G1090" s="6" t="n">
        <f aca="false">Sens!F1090*(1+Sens!G1091)</f>
        <v>16.9206490624268</v>
      </c>
      <c r="H1090" s="6" t="n">
        <f aca="false">Sens!G1090*(1+Sens!H1091)</f>
        <v>16.9784519149849</v>
      </c>
      <c r="I1090" s="6" t="n">
        <f aca="false">Sens!H1090*(1+Sens!I1091)</f>
        <v>17.1303084701817</v>
      </c>
      <c r="J1090" s="6" t="n">
        <f aca="false">Sens!I1090*(1+Sens!J1091)</f>
        <v>17.3782189407267</v>
      </c>
      <c r="K1090" s="6" t="n">
        <f aca="false">Sens!J1090*(1+Sens!K1091)</f>
        <v>17.7257833195413</v>
      </c>
    </row>
    <row r="1091" customFormat="false" ht="15" hidden="false" customHeight="false" outlineLevel="0" collapsed="false">
      <c r="A1091" s="1" t="s">
        <v>866</v>
      </c>
      <c r="B1091" s="0" t="s">
        <v>129</v>
      </c>
      <c r="E1091" s="7" t="n">
        <f aca="false">Sens!E1090/Sens!D1090-1</f>
        <v>-0.0131677736066995</v>
      </c>
      <c r="F1091" s="7" t="n">
        <f aca="false">Sens!$E$1091+(glt_win-Sens!$E$1091)*MIN(1,(Sens!F1032-base_fy)/n_conv)</f>
        <v>-0.00763981133891627</v>
      </c>
      <c r="G1091" s="7" t="n">
        <f aca="false">Sens!$E$1091+(glt_win-Sens!$E$1091)*MIN(1,(Sens!G1032-base_fy)/n_conv)</f>
        <v>-0.00211184907113301</v>
      </c>
      <c r="H1091" s="7" t="n">
        <f aca="false">Sens!$E$1091+(glt_win-Sens!$E$1091)*MIN(1,(Sens!H1032-base_fy)/n_conv)</f>
        <v>0.00341611319665024</v>
      </c>
      <c r="I1091" s="7" t="n">
        <f aca="false">Sens!$E$1091+(glt_win-Sens!$E$1091)*MIN(1,(Sens!I1032-base_fy)/n_conv)</f>
        <v>0.00894407546443349</v>
      </c>
      <c r="J1091" s="7" t="n">
        <f aca="false">Sens!$E$1091+(glt_win-Sens!$E$1091)*MIN(1,(Sens!J1032-base_fy)/n_conv)</f>
        <v>0.0144720377322168</v>
      </c>
      <c r="K1091" s="7" t="n">
        <f aca="false">Sens!$E$1091+(glt_win-Sens!$E$1091)*MIN(1,(Sens!K1032-base_fy)/n_conv)</f>
        <v>0.02</v>
      </c>
    </row>
    <row r="1092" customFormat="false" ht="15" hidden="false" customHeight="false" outlineLevel="0" collapsed="false">
      <c r="A1092" s="0" t="s">
        <v>718</v>
      </c>
      <c r="B1092" s="0" t="s">
        <v>98</v>
      </c>
      <c r="D1092" s="6" t="n">
        <f aca="false">Sens!D1086+Sens!D1088+Sens!D1090</f>
        <v>62.941</v>
      </c>
      <c r="E1092" s="6" t="n">
        <f aca="false">Sens!E1086+Sens!E1088+Sens!E1090</f>
        <v>63.712</v>
      </c>
      <c r="F1092" s="6" t="n">
        <f aca="false">Sens!F1086+Sens!F1088+Sens!F1090</f>
        <v>65.1415764563129</v>
      </c>
      <c r="G1092" s="6" t="n">
        <f aca="false">Sens!G1086+Sens!G1088+Sens!G1090</f>
        <v>67.1253610780702</v>
      </c>
      <c r="H1092" s="6" t="n">
        <f aca="false">Sens!H1086+Sens!H1088+Sens!H1090</f>
        <v>69.5768050148776</v>
      </c>
      <c r="I1092" s="6" t="n">
        <f aca="false">Sens!I1086+Sens!I1088+Sens!I1090</f>
        <v>72.4233188088189</v>
      </c>
      <c r="J1092" s="6" t="n">
        <f aca="false">Sens!J1086+Sens!J1088+Sens!J1090</f>
        <v>75.6044096678567</v>
      </c>
      <c r="K1092" s="6" t="n">
        <f aca="false">Sens!K1086+Sens!K1088+Sens!K1090</f>
        <v>79.0714397009747</v>
      </c>
    </row>
    <row r="1093" customFormat="false" ht="15" hidden="false" customHeight="false" outlineLevel="0" collapsed="false">
      <c r="A1093" s="1" t="s">
        <v>880</v>
      </c>
      <c r="B1093" s="0" t="s">
        <v>98</v>
      </c>
      <c r="D1093" s="6" t="n">
        <f aca="false">Sens!D1085+Sens!D1092</f>
        <v>281.724</v>
      </c>
      <c r="E1093" s="6" t="n">
        <f aca="false">Sens!E1085+Sens!E1092</f>
        <v>331.839</v>
      </c>
      <c r="F1093" s="6" t="n">
        <f aca="false">Sens!F1085+Sens!F1092</f>
        <v>385.905722812923</v>
      </c>
      <c r="G1093" s="6" t="n">
        <f aca="false">Sens!G1085+Sens!G1092</f>
        <v>445.122984161464</v>
      </c>
      <c r="H1093" s="6" t="n">
        <f aca="false">Sens!H1085+Sens!H1092</f>
        <v>501.098777545464</v>
      </c>
      <c r="I1093" s="6" t="n">
        <f aca="false">Sens!I1085+Sens!I1092</f>
        <v>559.318619721689</v>
      </c>
      <c r="J1093" s="6" t="n">
        <f aca="false">Sens!J1085+Sens!J1092</f>
        <v>608.823597185458</v>
      </c>
      <c r="K1093" s="6" t="n">
        <f aca="false">Sens!K1085+Sens!K1092</f>
        <v>649.764456755208</v>
      </c>
    </row>
    <row r="1094" customFormat="false" ht="15" hidden="false" customHeight="false" outlineLevel="0" collapsed="false">
      <c r="A1094" s="23" t="s">
        <v>881</v>
      </c>
      <c r="B1094" s="30" t="s">
        <v>98</v>
      </c>
      <c r="C1094" s="30"/>
      <c r="D1094" s="24" t="n">
        <f aca="false">(Sens!D1073+Sens!D1078+Sens!D1079+Sens!D1081+Sens!D1083-Sens!D1085)+(Sens!D1086+Sens!D1088+Sens!D1090-Sens!D1092)+(Sens!D1085-Q!L5)+(Sens!D1092-Q!L12)+(Sens!D1073-Q!L6)+(Sens!D1078-Q!L7)</f>
        <v>0</v>
      </c>
      <c r="E1094" s="24" t="n">
        <f aca="false">(Sens!E1073+Sens!E1078+Sens!E1079+Sens!E1081+Sens!E1083-Sens!E1085)+(Sens!E1086+Sens!E1088+Sens!E1090-Sens!E1092)+(Sens!E1085-Q!M5)+(Sens!E1092-Q!M12)+(Sens!E1073-Q!M6)+(Sens!E1078-Q!M7)</f>
        <v>0</v>
      </c>
      <c r="F1094" s="24" t="n">
        <f aca="false">(Sens!F1073+Sens!F1078+Sens!F1079+Sens!F1081+Sens!F1083-Sens!F1085)+(Sens!F1086+Sens!F1088+Sens!F1090-Sens!F1092)</f>
        <v>0</v>
      </c>
      <c r="G1094" s="24" t="n">
        <f aca="false">(Sens!G1073+Sens!G1078+Sens!G1079+Sens!G1081+Sens!G1083-Sens!G1085)+(Sens!G1086+Sens!G1088+Sens!G1090-Sens!G1092)</f>
        <v>0</v>
      </c>
      <c r="H1094" s="24" t="n">
        <f aca="false">(Sens!H1073+Sens!H1078+Sens!H1079+Sens!H1081+Sens!H1083-Sens!H1085)+(Sens!H1086+Sens!H1088+Sens!H1090-Sens!H1092)</f>
        <v>0</v>
      </c>
      <c r="I1094" s="24" t="n">
        <f aca="false">(Sens!I1073+Sens!I1078+Sens!I1079+Sens!I1081+Sens!I1083-Sens!I1085)+(Sens!I1086+Sens!I1088+Sens!I1090-Sens!I1092)</f>
        <v>0</v>
      </c>
      <c r="J1094" s="24" t="n">
        <f aca="false">(Sens!J1073+Sens!J1078+Sens!J1079+Sens!J1081+Sens!J1083-Sens!J1085)+(Sens!J1086+Sens!J1088+Sens!J1090-Sens!J1092)</f>
        <v>0</v>
      </c>
      <c r="K1094" s="24" t="n">
        <f aca="false">(Sens!K1073+Sens!K1078+Sens!K1079+Sens!K1081+Sens!K1083-Sens!K1085)+(Sens!K1086+Sens!K1088+Sens!K1090-Sens!K1092)</f>
        <v>0</v>
      </c>
    </row>
    <row r="1095" customFormat="false" ht="17.15" hidden="false" customHeight="false" outlineLevel="0" collapsed="false">
      <c r="A1095" s="3" t="s">
        <v>1261</v>
      </c>
    </row>
    <row r="1096" customFormat="false" ht="15" hidden="false" customHeight="false" outlineLevel="0" collapsed="false">
      <c r="A1096" s="4" t="s">
        <v>43</v>
      </c>
      <c r="B1096" s="4" t="s">
        <v>65</v>
      </c>
      <c r="C1096" s="20" t="s">
        <v>788</v>
      </c>
      <c r="D1096" s="20" t="s">
        <v>789</v>
      </c>
      <c r="E1096" s="20" t="s">
        <v>790</v>
      </c>
      <c r="F1096" s="20" t="s">
        <v>791</v>
      </c>
      <c r="G1096" s="20" t="s">
        <v>792</v>
      </c>
      <c r="H1096" s="20" t="s">
        <v>793</v>
      </c>
      <c r="I1096" s="20" t="s">
        <v>794</v>
      </c>
      <c r="J1096" s="20" t="s">
        <v>795</v>
      </c>
      <c r="K1096" s="20" t="s">
        <v>796</v>
      </c>
      <c r="L1096" s="4" t="s">
        <v>47</v>
      </c>
    </row>
    <row r="1097" customFormat="false" ht="15" hidden="false" customHeight="false" outlineLevel="0" collapsed="false">
      <c r="A1097" s="0" t="s">
        <v>867</v>
      </c>
      <c r="B1097" s="0" t="s">
        <v>98</v>
      </c>
      <c r="D1097" s="6" t="n">
        <f aca="false">Sens!D1073</f>
        <v>72.61</v>
      </c>
      <c r="E1097" s="6" t="n">
        <f aca="false">Sens!E1073</f>
        <v>101.938</v>
      </c>
      <c r="F1097" s="6" t="n">
        <f aca="false">Sens!F1073</f>
        <v>133.142574417427</v>
      </c>
      <c r="G1097" s="6" t="n">
        <f aca="false">Sens!G1073</f>
        <v>170.904466545964</v>
      </c>
      <c r="H1097" s="6" t="n">
        <f aca="false">Sens!H1073</f>
        <v>204.933289849072</v>
      </c>
      <c r="I1097" s="6" t="n">
        <f aca="false">Sens!I1073</f>
        <v>241.833945933384</v>
      </c>
      <c r="J1097" s="6" t="n">
        <f aca="false">Sens!J1073</f>
        <v>271.028290413433</v>
      </c>
      <c r="K1097" s="6" t="n">
        <f aca="false">Sens!K1073</f>
        <v>292.298947714057</v>
      </c>
    </row>
    <row r="1098" customFormat="false" ht="17.15" hidden="false" customHeight="false" outlineLevel="0" collapsed="false">
      <c r="A1098" s="0" t="s">
        <v>864</v>
      </c>
      <c r="B1098" s="0" t="s">
        <v>98</v>
      </c>
      <c r="D1098" s="6" t="n">
        <f aca="false">Sens!D1070</f>
        <v>12.9359794422418</v>
      </c>
      <c r="E1098" s="6" t="n">
        <f aca="false">Sens!E1070</f>
        <v>27.8095064661409</v>
      </c>
      <c r="F1098" s="6" t="n">
        <f aca="false">Sens!F1070</f>
        <v>43.0626246800606</v>
      </c>
      <c r="G1098" s="6" t="n">
        <f aca="false">Sens!G1070</f>
        <v>63.8760413426546</v>
      </c>
      <c r="H1098" s="6" t="n">
        <f aca="false">Sens!H1070</f>
        <v>80.6613072634357</v>
      </c>
      <c r="I1098" s="6" t="n">
        <f aca="false">Sens!I1070</f>
        <v>100.900243551529</v>
      </c>
      <c r="J1098" s="6" t="n">
        <f aca="false">Sens!J1070</f>
        <v>115.009423099101</v>
      </c>
      <c r="K1098" s="6" t="n">
        <f aca="false">Sens!K1070</f>
        <v>123.798571014579</v>
      </c>
    </row>
    <row r="1099" customFormat="false" ht="17.15" hidden="false" customHeight="false" outlineLevel="0" collapsed="false">
      <c r="A1099" s="0" t="s">
        <v>892</v>
      </c>
      <c r="B1099" s="0" t="s">
        <v>98</v>
      </c>
      <c r="D1099" s="6" t="n">
        <f aca="false">Sens!D1071</f>
        <v>59.6740205577583</v>
      </c>
      <c r="E1099" s="6" t="n">
        <f aca="false">Sens!E1071</f>
        <v>74.1284935338591</v>
      </c>
      <c r="F1099" s="6" t="n">
        <f aca="false">Sens!F1071</f>
        <v>90.0799497373663</v>
      </c>
      <c r="G1099" s="6" t="n">
        <f aca="false">Sens!G1071</f>
        <v>107.02842520331</v>
      </c>
      <c r="H1099" s="6" t="n">
        <f aca="false">Sens!H1071</f>
        <v>124.271982585636</v>
      </c>
      <c r="I1099" s="6" t="n">
        <f aca="false">Sens!I1071</f>
        <v>140.933702381855</v>
      </c>
      <c r="J1099" s="6" t="n">
        <f aca="false">Sens!J1071</f>
        <v>156.018867314332</v>
      </c>
      <c r="K1099" s="6" t="n">
        <f aca="false">Sens!K1071</f>
        <v>168.500376699478</v>
      </c>
    </row>
    <row r="1100" customFormat="false" ht="15" hidden="false" customHeight="false" outlineLevel="0" collapsed="false">
      <c r="A1100" s="0" t="s">
        <v>873</v>
      </c>
      <c r="B1100" s="0" t="s">
        <v>98</v>
      </c>
      <c r="D1100" s="6" t="n">
        <f aca="false">Sens!D1078</f>
        <v>84.605</v>
      </c>
      <c r="E1100" s="6" t="n">
        <f aca="false">Sens!E1078</f>
        <v>100.299</v>
      </c>
      <c r="F1100" s="6" t="n">
        <f aca="false">Sens!F1078</f>
        <v>117.39238776686</v>
      </c>
      <c r="G1100" s="6" t="n">
        <f aca="false">Sens!G1078</f>
        <v>132.544168448684</v>
      </c>
      <c r="H1100" s="6" t="n">
        <f aca="false">Sens!H1078</f>
        <v>147.777359388781</v>
      </c>
      <c r="I1100" s="6" t="n">
        <f aca="false">Sens!I1078</f>
        <v>162.084028071957</v>
      </c>
      <c r="J1100" s="6" t="n">
        <f aca="false">Sens!J1078</f>
        <v>175.182702785465</v>
      </c>
      <c r="K1100" s="6" t="n">
        <f aca="false">Sens!K1078</f>
        <v>187.527991980448</v>
      </c>
    </row>
    <row r="1101" customFormat="false" ht="17.15" hidden="false" customHeight="false" outlineLevel="0" collapsed="false">
      <c r="A1101" s="0" t="s">
        <v>893</v>
      </c>
      <c r="B1101" s="0" t="s">
        <v>98</v>
      </c>
      <c r="D1101" s="6" t="n">
        <f aca="false">Sens!D1076</f>
        <v>83.705</v>
      </c>
      <c r="E1101" s="6" t="n">
        <f aca="false">Sens!E1076</f>
        <v>95.049</v>
      </c>
      <c r="F1101" s="6" t="n">
        <f aca="false">Sens!F1076</f>
        <v>106.89238776686</v>
      </c>
      <c r="G1101" s="6" t="n">
        <f aca="false">Sens!G1076</f>
        <v>119.044168448684</v>
      </c>
      <c r="H1101" s="6" t="n">
        <f aca="false">Sens!H1076</f>
        <v>131.277359388781</v>
      </c>
      <c r="I1101" s="6" t="n">
        <f aca="false">Sens!I1076</f>
        <v>143.334028071957</v>
      </c>
      <c r="J1101" s="6" t="n">
        <f aca="false">Sens!J1076</f>
        <v>154.932702785465</v>
      </c>
      <c r="K1101" s="6" t="n">
        <f aca="false">Sens!K1076</f>
        <v>165.777991980448</v>
      </c>
    </row>
    <row r="1102" customFormat="false" ht="17.15" hidden="false" customHeight="false" outlineLevel="0" collapsed="false">
      <c r="A1102" s="0" t="s">
        <v>894</v>
      </c>
      <c r="B1102" s="0" t="s">
        <v>98</v>
      </c>
      <c r="D1102" s="6" t="n">
        <f aca="false">Sens!D1075</f>
        <v>0.9</v>
      </c>
      <c r="E1102" s="6" t="n">
        <f aca="false">Sens!E1075</f>
        <v>5.25</v>
      </c>
      <c r="F1102" s="6" t="n">
        <f aca="false">Sens!F1075</f>
        <v>10.5</v>
      </c>
      <c r="G1102" s="6" t="n">
        <f aca="false">Sens!G1075</f>
        <v>13.5</v>
      </c>
      <c r="H1102" s="6" t="n">
        <f aca="false">Sens!H1075</f>
        <v>16.5</v>
      </c>
      <c r="I1102" s="6" t="n">
        <f aca="false">Sens!I1075</f>
        <v>18.75</v>
      </c>
      <c r="J1102" s="6" t="n">
        <f aca="false">Sens!J1075</f>
        <v>20.25</v>
      </c>
      <c r="K1102" s="6" t="n">
        <f aca="false">Sens!K1075</f>
        <v>21.75</v>
      </c>
    </row>
    <row r="1103" customFormat="false" ht="15" hidden="false" customHeight="false" outlineLevel="0" collapsed="false">
      <c r="A1103" s="0" t="s">
        <v>874</v>
      </c>
      <c r="B1103" s="0" t="s">
        <v>98</v>
      </c>
      <c r="D1103" s="6" t="n">
        <f aca="false">Sens!D1079</f>
        <v>35.391</v>
      </c>
      <c r="E1103" s="6" t="n">
        <f aca="false">Sens!E1079</f>
        <v>37.285</v>
      </c>
      <c r="F1103" s="6" t="n">
        <f aca="false">Sens!F1079</f>
        <v>39.0720834331704</v>
      </c>
      <c r="G1103" s="6" t="n">
        <f aca="false">Sens!G1079</f>
        <v>40.726562953769</v>
      </c>
      <c r="H1103" s="6" t="n">
        <f aca="false">Sens!H1079</f>
        <v>42.2235987259198</v>
      </c>
      <c r="I1103" s="6" t="n">
        <f aca="false">Sens!I1079</f>
        <v>43.5397988077414</v>
      </c>
      <c r="J1103" s="6" t="n">
        <f aca="false">Sens!J1079</f>
        <v>44.653811225693</v>
      </c>
      <c r="K1103" s="6" t="n">
        <f aca="false">Sens!K1079</f>
        <v>45.5468874502068</v>
      </c>
    </row>
    <row r="1104" customFormat="false" ht="15" hidden="false" customHeight="false" outlineLevel="0" collapsed="false">
      <c r="A1104" s="0" t="s">
        <v>875</v>
      </c>
      <c r="B1104" s="0" t="s">
        <v>98</v>
      </c>
      <c r="D1104" s="6" t="n">
        <f aca="false">Sens!D1081</f>
        <v>18.417</v>
      </c>
      <c r="E1104" s="6" t="n">
        <f aca="false">Sens!E1081</f>
        <v>20.345</v>
      </c>
      <c r="F1104" s="6" t="n">
        <f aca="false">Sens!F1081</f>
        <v>22.3572203267814</v>
      </c>
      <c r="G1104" s="6" t="n">
        <f aca="false">Sens!G1081</f>
        <v>24.4392124437232</v>
      </c>
      <c r="H1104" s="6" t="n">
        <f aca="false">Sens!H1081</f>
        <v>26.5738052080665</v>
      </c>
      <c r="I1104" s="6" t="n">
        <f aca="false">Sens!I1081</f>
        <v>28.7412169166967</v>
      </c>
      <c r="J1104" s="6" t="n">
        <f aca="false">Sens!J1081</f>
        <v>30.9192545395413</v>
      </c>
      <c r="K1104" s="6" t="n">
        <f aca="false">Sens!K1081</f>
        <v>33.0836023573092</v>
      </c>
    </row>
    <row r="1105" customFormat="false" ht="15" hidden="false" customHeight="false" outlineLevel="0" collapsed="false">
      <c r="A1105" s="0" t="s">
        <v>876</v>
      </c>
      <c r="B1105" s="0" t="s">
        <v>98</v>
      </c>
      <c r="D1105" s="6" t="n">
        <f aca="false">Sens!D1083</f>
        <v>7.76</v>
      </c>
      <c r="E1105" s="6" t="n">
        <f aca="false">Sens!E1083</f>
        <v>8.26</v>
      </c>
      <c r="F1105" s="6" t="n">
        <f aca="false">Sens!F1083</f>
        <v>8.79988041237113</v>
      </c>
      <c r="G1105" s="6" t="n">
        <f aca="false">Sens!G1083</f>
        <v>9.38321269125306</v>
      </c>
      <c r="H1105" s="6" t="n">
        <f aca="false">Sens!H1083</f>
        <v>10.0139193587476</v>
      </c>
      <c r="I1105" s="6" t="n">
        <f aca="false">Sens!I1083</f>
        <v>10.6963111830911</v>
      </c>
      <c r="J1105" s="6" t="n">
        <f aca="false">Sens!J1083</f>
        <v>11.4351285534696</v>
      </c>
      <c r="K1105" s="6" t="n">
        <f aca="false">Sens!K1083</f>
        <v>12.2355875522124</v>
      </c>
    </row>
    <row r="1106" customFormat="false" ht="15" hidden="false" customHeight="false" outlineLevel="0" collapsed="false">
      <c r="A1106" s="0" t="s">
        <v>704</v>
      </c>
      <c r="B1106" s="0" t="s">
        <v>98</v>
      </c>
      <c r="D1106" s="6" t="n">
        <f aca="false">Sens!D1085</f>
        <v>218.783</v>
      </c>
      <c r="E1106" s="6" t="n">
        <f aca="false">Sens!E1085</f>
        <v>268.127</v>
      </c>
      <c r="F1106" s="6" t="n">
        <f aca="false">Sens!F1085</f>
        <v>320.76414635661</v>
      </c>
      <c r="G1106" s="6" t="n">
        <f aca="false">Sens!G1085</f>
        <v>377.997623083394</v>
      </c>
      <c r="H1106" s="6" t="n">
        <f aca="false">Sens!H1085</f>
        <v>431.521972530587</v>
      </c>
      <c r="I1106" s="6" t="n">
        <f aca="false">Sens!I1085</f>
        <v>486.89530091287</v>
      </c>
      <c r="J1106" s="6" t="n">
        <f aca="false">Sens!J1085</f>
        <v>533.219187517602</v>
      </c>
      <c r="K1106" s="6" t="n">
        <f aca="false">Sens!K1085</f>
        <v>570.693017054233</v>
      </c>
    </row>
    <row r="1107" customFormat="false" ht="15" hidden="false" customHeight="false" outlineLevel="0" collapsed="false">
      <c r="A1107" s="0" t="s">
        <v>877</v>
      </c>
      <c r="B1107" s="0" t="s">
        <v>98</v>
      </c>
      <c r="D1107" s="6" t="n">
        <f aca="false">Sens!D1086</f>
        <v>22.171</v>
      </c>
      <c r="E1107" s="6" t="n">
        <f aca="false">Sens!E1086</f>
        <v>24.835</v>
      </c>
      <c r="F1107" s="6" t="n">
        <f aca="false">Sens!F1086</f>
        <v>27.6114901218559</v>
      </c>
      <c r="G1107" s="6" t="n">
        <f aca="false">Sens!G1086</f>
        <v>30.4675667338515</v>
      </c>
      <c r="H1107" s="6" t="n">
        <f aca="false">Sens!H1086</f>
        <v>33.3643766955789</v>
      </c>
      <c r="I1107" s="6" t="n">
        <f aca="false">Sens!I1086</f>
        <v>36.2577016533691</v>
      </c>
      <c r="J1107" s="6" t="n">
        <f aca="false">Sens!J1086</f>
        <v>39.0988367952171</v>
      </c>
      <c r="K1107" s="6" t="n">
        <f aca="false">Sens!K1086</f>
        <v>41.8357553708823</v>
      </c>
    </row>
    <row r="1108" customFormat="false" ht="15" hidden="false" customHeight="false" outlineLevel="0" collapsed="false">
      <c r="A1108" s="0" t="s">
        <v>878</v>
      </c>
      <c r="B1108" s="0" t="s">
        <v>98</v>
      </c>
      <c r="D1108" s="6" t="n">
        <f aca="false">Sens!D1088</f>
        <v>23.455</v>
      </c>
      <c r="E1108" s="6" t="n">
        <f aca="false">Sens!E1088</f>
        <v>21.79</v>
      </c>
      <c r="F1108" s="6" t="n">
        <f aca="false">Sens!F1088</f>
        <v>20.5736277908051</v>
      </c>
      <c r="G1108" s="6" t="n">
        <f aca="false">Sens!G1088</f>
        <v>19.7371452817919</v>
      </c>
      <c r="H1108" s="6" t="n">
        <f aca="false">Sens!H1088</f>
        <v>19.2339764043138</v>
      </c>
      <c r="I1108" s="6" t="n">
        <f aca="false">Sens!I1088</f>
        <v>19.0353086852681</v>
      </c>
      <c r="J1108" s="6" t="n">
        <f aca="false">Sens!J1088</f>
        <v>19.1273539319129</v>
      </c>
      <c r="K1108" s="6" t="n">
        <f aca="false">Sens!K1088</f>
        <v>19.5099010105511</v>
      </c>
    </row>
    <row r="1109" customFormat="false" ht="15" hidden="false" customHeight="false" outlineLevel="0" collapsed="false">
      <c r="A1109" s="0" t="s">
        <v>879</v>
      </c>
      <c r="B1109" s="0" t="s">
        <v>98</v>
      </c>
      <c r="D1109" s="6" t="n">
        <f aca="false">Sens!D1090</f>
        <v>17.315</v>
      </c>
      <c r="E1109" s="6" t="n">
        <f aca="false">Sens!E1090</f>
        <v>17.087</v>
      </c>
      <c r="F1109" s="6" t="n">
        <f aca="false">Sens!F1090</f>
        <v>16.9564585436519</v>
      </c>
      <c r="G1109" s="6" t="n">
        <f aca="false">Sens!G1090</f>
        <v>16.9206490624268</v>
      </c>
      <c r="H1109" s="6" t="n">
        <f aca="false">Sens!H1090</f>
        <v>16.9784519149849</v>
      </c>
      <c r="I1109" s="6" t="n">
        <f aca="false">Sens!I1090</f>
        <v>17.1303084701817</v>
      </c>
      <c r="J1109" s="6" t="n">
        <f aca="false">Sens!J1090</f>
        <v>17.3782189407267</v>
      </c>
      <c r="K1109" s="6" t="n">
        <f aca="false">Sens!K1090</f>
        <v>17.7257833195413</v>
      </c>
    </row>
    <row r="1110" customFormat="false" ht="15" hidden="false" customHeight="false" outlineLevel="0" collapsed="false">
      <c r="A1110" s="0" t="s">
        <v>718</v>
      </c>
      <c r="B1110" s="0" t="s">
        <v>98</v>
      </c>
      <c r="D1110" s="6" t="n">
        <f aca="false">Sens!D1092</f>
        <v>62.941</v>
      </c>
      <c r="E1110" s="6" t="n">
        <f aca="false">Sens!E1092</f>
        <v>63.712</v>
      </c>
      <c r="F1110" s="6" t="n">
        <f aca="false">Sens!F1092</f>
        <v>65.1415764563129</v>
      </c>
      <c r="G1110" s="6" t="n">
        <f aca="false">Sens!G1092</f>
        <v>67.1253610780702</v>
      </c>
      <c r="H1110" s="6" t="n">
        <f aca="false">Sens!H1092</f>
        <v>69.5768050148776</v>
      </c>
      <c r="I1110" s="6" t="n">
        <f aca="false">Sens!I1092</f>
        <v>72.4233188088189</v>
      </c>
      <c r="J1110" s="6" t="n">
        <f aca="false">Sens!J1092</f>
        <v>75.6044096678567</v>
      </c>
      <c r="K1110" s="6" t="n">
        <f aca="false">Sens!K1092</f>
        <v>79.0714397009747</v>
      </c>
    </row>
    <row r="1111" customFormat="false" ht="15" hidden="false" customHeight="false" outlineLevel="0" collapsed="false">
      <c r="A1111" s="1" t="s">
        <v>895</v>
      </c>
      <c r="B1111" s="0" t="s">
        <v>98</v>
      </c>
      <c r="D1111" s="6" t="n">
        <f aca="false">Sens!D1093</f>
        <v>281.724</v>
      </c>
      <c r="E1111" s="6" t="n">
        <f aca="false">Sens!E1093</f>
        <v>331.839</v>
      </c>
      <c r="F1111" s="6" t="n">
        <f aca="false">Sens!F1093</f>
        <v>385.905722812923</v>
      </c>
      <c r="G1111" s="6" t="n">
        <f aca="false">Sens!G1093</f>
        <v>445.122984161464</v>
      </c>
      <c r="H1111" s="6" t="n">
        <f aca="false">Sens!H1093</f>
        <v>501.098777545464</v>
      </c>
      <c r="I1111" s="6" t="n">
        <f aca="false">Sens!I1093</f>
        <v>559.318619721689</v>
      </c>
      <c r="J1111" s="6" t="n">
        <f aca="false">Sens!J1093</f>
        <v>608.823597185458</v>
      </c>
      <c r="K1111" s="6" t="n">
        <f aca="false">Sens!K1093</f>
        <v>649.764456755208</v>
      </c>
    </row>
    <row r="1112" customFormat="false" ht="15" hidden="false" customHeight="false" outlineLevel="0" collapsed="false">
      <c r="A1112" s="1" t="s">
        <v>896</v>
      </c>
      <c r="B1112" s="0" t="s">
        <v>129</v>
      </c>
      <c r="E1112" s="7" t="n">
        <f aca="false">Sens!E1111/Sens!D1111-1</f>
        <v>0.177886867998467</v>
      </c>
      <c r="F1112" s="7" t="n">
        <f aca="false">Sens!F1111/Sens!E1111-1</f>
        <v>0.162930586256958</v>
      </c>
      <c r="G1112" s="7" t="n">
        <f aca="false">Sens!G1111/Sens!F1111-1</f>
        <v>0.153450073030527</v>
      </c>
      <c r="H1112" s="7" t="n">
        <f aca="false">Sens!H1111/Sens!G1111-1</f>
        <v>0.12575354537005</v>
      </c>
      <c r="I1112" s="7" t="n">
        <f aca="false">Sens!I1111/Sens!H1111-1</f>
        <v>0.116184362814459</v>
      </c>
      <c r="J1112" s="7" t="n">
        <f aca="false">Sens!J1111/Sens!I1111-1</f>
        <v>0.0885094393753652</v>
      </c>
      <c r="K1112" s="7" t="n">
        <f aca="false">Sens!K1111/Sens!J1111-1</f>
        <v>0.067245848812391</v>
      </c>
    </row>
    <row r="1113" customFormat="false" ht="17.15" hidden="false" customHeight="false" outlineLevel="0" collapsed="false">
      <c r="A1113" s="23" t="s">
        <v>897</v>
      </c>
      <c r="B1113" s="30" t="s">
        <v>98</v>
      </c>
      <c r="C1113" s="30"/>
      <c r="D1113" s="24" t="n">
        <f aca="false">(Sens!D1106+Sens!D1110-Sens!D1111)+(Sens!D1098+Sens!D1099-Sens!D1097)+(Sens!D1101+Sens!D1102-Sens!D1100)+(Sens!D1111-Q!L18)</f>
        <v>0</v>
      </c>
      <c r="E1113" s="24" t="n">
        <f aca="false">(Sens!E1106+Sens!E1110-Sens!E1111)+(Sens!E1098+Sens!E1099-Sens!E1097)+(Sens!E1101+Sens!E1102-Sens!E1100)+(Sens!E1111-Q!M18)</f>
        <v>0</v>
      </c>
      <c r="F1113" s="24" t="n">
        <f aca="false">(Sens!F1106+Sens!F1110-Sens!F1111)+(Sens!F1098+Sens!F1099-Sens!F1097)+(Sens!F1101+Sens!F1102-Sens!F1100)</f>
        <v>0</v>
      </c>
      <c r="G1113" s="24" t="n">
        <f aca="false">(Sens!G1106+Sens!G1110-Sens!G1111)+(Sens!G1098+Sens!G1099-Sens!G1097)+(Sens!G1101+Sens!G1102-Sens!G1100)</f>
        <v>0</v>
      </c>
      <c r="H1113" s="24" t="n">
        <f aca="false">(Sens!H1106+Sens!H1110-Sens!H1111)+(Sens!H1098+Sens!H1099-Sens!H1097)+(Sens!H1101+Sens!H1102-Sens!H1100)</f>
        <v>0</v>
      </c>
      <c r="I1113" s="24" t="n">
        <f aca="false">(Sens!I1106+Sens!I1110-Sens!I1111)+(Sens!I1098+Sens!I1099-Sens!I1097)+(Sens!I1101+Sens!I1102-Sens!I1100)</f>
        <v>0</v>
      </c>
      <c r="J1113" s="24" t="n">
        <f aca="false">(Sens!J1106+Sens!J1110-Sens!J1111)+(Sens!J1098+Sens!J1099-Sens!J1097)+(Sens!J1101+Sens!J1102-Sens!J1100)</f>
        <v>0</v>
      </c>
      <c r="K1113" s="24" t="n">
        <f aca="false">(Sens!K1106+Sens!K1110-Sens!K1111)+(Sens!K1098+Sens!K1099-Sens!K1097)+(Sens!K1101+Sens!K1102-Sens!K1100)</f>
        <v>0</v>
      </c>
    </row>
    <row r="1114" customFormat="false" ht="17.15" hidden="false" customHeight="false" outlineLevel="0" collapsed="false">
      <c r="A1114" s="0" t="s">
        <v>898</v>
      </c>
      <c r="B1114" s="0" t="s">
        <v>129</v>
      </c>
      <c r="E1114" s="7" t="n">
        <f aca="false">(Q!M21+Sens!E1051+Sens!E1052+Sens!E1053+Sens!E1066-Sens!E1049)/(Q!M5-Sens!E1049)</f>
        <v>0.570957350878296</v>
      </c>
      <c r="F1114" s="7" t="n">
        <f aca="false">Sens!$E$1114+dm_seg</f>
        <v>0.570957350878296</v>
      </c>
      <c r="G1114" s="7" t="n">
        <f aca="false">Sens!$E$1114+dm_seg</f>
        <v>0.570957350878296</v>
      </c>
      <c r="H1114" s="7" t="n">
        <f aca="false">Sens!$E$1114+dm_seg</f>
        <v>0.570957350878296</v>
      </c>
      <c r="I1114" s="7" t="n">
        <f aca="false">Sens!$E$1114+dm_seg</f>
        <v>0.570957350878296</v>
      </c>
      <c r="J1114" s="7" t="n">
        <f aca="false">Sens!$E$1114+dm_seg</f>
        <v>0.570957350878296</v>
      </c>
      <c r="K1114" s="7" t="n">
        <f aca="false">Sens!$E$1114+dm_seg</f>
        <v>0.570957350878296</v>
      </c>
      <c r="L1114" s="11" t="s">
        <v>899</v>
      </c>
    </row>
    <row r="1115" customFormat="false" ht="17.15" hidden="false" customHeight="false" outlineLevel="0" collapsed="false">
      <c r="A1115" s="0" t="s">
        <v>732</v>
      </c>
      <c r="B1115" s="0" t="s">
        <v>98</v>
      </c>
      <c r="D1115" s="6" t="n">
        <f aca="false">Q!L21</f>
        <v>110.814</v>
      </c>
      <c r="E1115" s="6" t="n">
        <f aca="false">Q!M21</f>
        <v>136.365</v>
      </c>
      <c r="F1115" s="6" t="n">
        <f aca="false">Sens!F1114*(Sens!F1085-Sens!F1049)+Sens!F1049-(Sens!F1051+Sens!F1052+Sens!F1053)-Sens!F1066</f>
        <v>144.727817999231</v>
      </c>
      <c r="G1115" s="6" t="n">
        <f aca="false">Sens!G1114*(Sens!G1085-Sens!G1049)+Sens!G1049-(Sens!G1051+Sens!G1052+Sens!G1053)-Sens!G1066</f>
        <v>149.011916311295</v>
      </c>
      <c r="H1115" s="6" t="n">
        <f aca="false">Sens!H1114*(Sens!H1085-Sens!H1049)+Sens!H1049-(Sens!H1051+Sens!H1052+Sens!H1053)-Sens!H1066</f>
        <v>148.3410509836</v>
      </c>
      <c r="I1115" s="6" t="n">
        <f aca="false">Sens!I1114*(Sens!I1085-Sens!I1049)+Sens!I1049-(Sens!I1051+Sens!I1052+Sens!I1053)-Sens!I1066</f>
        <v>154.69569689296</v>
      </c>
      <c r="J1115" s="6" t="n">
        <f aca="false">Sens!J1114*(Sens!J1085-Sens!J1049)+Sens!J1049-(Sens!J1051+Sens!J1052+Sens!J1053)-Sens!J1066</f>
        <v>163.465162702722</v>
      </c>
      <c r="K1115" s="6" t="n">
        <f aca="false">Sens!K1114*(Sens!K1085-Sens!K1049)+Sens!K1049-(Sens!K1051+Sens!K1052+Sens!K1053)-Sens!K1066</f>
        <v>174.660379651447</v>
      </c>
      <c r="L1115" s="1" t="s">
        <v>900</v>
      </c>
    </row>
    <row r="1116" customFormat="false" ht="17.15" hidden="false" customHeight="false" outlineLevel="0" collapsed="false">
      <c r="A1116" s="0" t="s">
        <v>901</v>
      </c>
      <c r="B1116" s="0" t="s">
        <v>129</v>
      </c>
      <c r="E1116" s="7" t="n">
        <f aca="false">Q!M22/Q!M12</f>
        <v>0.296207935710698</v>
      </c>
      <c r="F1116" s="7" t="n">
        <f aca="false">Sens!$E$1116+dm_seg</f>
        <v>0.296207935710698</v>
      </c>
      <c r="G1116" s="7" t="n">
        <f aca="false">Sens!$E$1116+dm_seg</f>
        <v>0.296207935710698</v>
      </c>
      <c r="H1116" s="7" t="n">
        <f aca="false">Sens!$E$1116+dm_seg</f>
        <v>0.296207935710698</v>
      </c>
      <c r="I1116" s="7" t="n">
        <f aca="false">Sens!$E$1116+dm_seg</f>
        <v>0.296207935710698</v>
      </c>
      <c r="J1116" s="7" t="n">
        <f aca="false">Sens!$E$1116+dm_seg</f>
        <v>0.296207935710698</v>
      </c>
      <c r="K1116" s="7" t="n">
        <f aca="false">Sens!$E$1116+dm_seg</f>
        <v>0.296207935710698</v>
      </c>
      <c r="L1116" s="11" t="s">
        <v>902</v>
      </c>
    </row>
    <row r="1117" customFormat="false" ht="17.15" hidden="false" customHeight="false" outlineLevel="0" collapsed="false">
      <c r="A1117" s="0" t="s">
        <v>734</v>
      </c>
      <c r="B1117" s="0" t="s">
        <v>98</v>
      </c>
      <c r="D1117" s="6" t="n">
        <f aca="false">Q!L22</f>
        <v>17.714</v>
      </c>
      <c r="E1117" s="6" t="n">
        <f aca="false">Q!M22</f>
        <v>18.872</v>
      </c>
      <c r="F1117" s="6" t="n">
        <f aca="false">Sens!F1092*Sens!F1116</f>
        <v>19.2954518910651</v>
      </c>
      <c r="G1117" s="6" t="n">
        <f aca="false">Sens!G1092*Sens!G1116</f>
        <v>19.8830646387704</v>
      </c>
      <c r="H1117" s="6" t="n">
        <f aca="false">Sens!H1092*Sens!H1116</f>
        <v>20.6092017868026</v>
      </c>
      <c r="I1117" s="6" t="n">
        <f aca="false">Sens!I1092*Sens!I1116</f>
        <v>21.452361761678</v>
      </c>
      <c r="J1117" s="6" t="n">
        <f aca="false">Sens!J1092*Sens!J1116</f>
        <v>22.3946261183418</v>
      </c>
      <c r="K1117" s="6" t="n">
        <f aca="false">Sens!K1092*Sens!K1116</f>
        <v>23.4215879274986</v>
      </c>
    </row>
    <row r="1118" customFormat="false" ht="15" hidden="false" customHeight="false" outlineLevel="0" collapsed="false">
      <c r="A1118" s="1" t="s">
        <v>903</v>
      </c>
      <c r="B1118" s="0" t="s">
        <v>98</v>
      </c>
      <c r="D1118" s="6" t="n">
        <f aca="false">Sens!D1115+Sens!D1117</f>
        <v>128.528</v>
      </c>
      <c r="E1118" s="6" t="n">
        <f aca="false">Sens!E1115+Sens!E1117</f>
        <v>155.237</v>
      </c>
      <c r="F1118" s="6" t="n">
        <f aca="false">Sens!F1115+Sens!F1117</f>
        <v>164.023269890296</v>
      </c>
      <c r="G1118" s="6" t="n">
        <f aca="false">Sens!G1115+Sens!G1117</f>
        <v>168.894980950065</v>
      </c>
      <c r="H1118" s="6" t="n">
        <f aca="false">Sens!H1115+Sens!H1117</f>
        <v>168.950252770403</v>
      </c>
      <c r="I1118" s="6" t="n">
        <f aca="false">Sens!I1115+Sens!I1117</f>
        <v>176.148058654638</v>
      </c>
      <c r="J1118" s="6" t="n">
        <f aca="false">Sens!J1115+Sens!J1117</f>
        <v>185.859788821064</v>
      </c>
      <c r="K1118" s="6" t="n">
        <f aca="false">Sens!K1115+Sens!K1117</f>
        <v>198.081967578945</v>
      </c>
    </row>
    <row r="1119" customFormat="false" ht="15" hidden="false" customHeight="false" outlineLevel="0" collapsed="false">
      <c r="A1119" s="23" t="s">
        <v>904</v>
      </c>
      <c r="B1119" s="30" t="s">
        <v>98</v>
      </c>
      <c r="C1119" s="30"/>
      <c r="D1119" s="24" t="n">
        <f aca="false">Sens!D1118-Q!L23</f>
        <v>0</v>
      </c>
      <c r="E1119" s="24" t="n">
        <f aca="false">Sens!E1118-Q!M23</f>
        <v>0</v>
      </c>
      <c r="F1119" s="30"/>
      <c r="G1119" s="30"/>
      <c r="H1119" s="30"/>
      <c r="I1119" s="30"/>
      <c r="J1119" s="30"/>
      <c r="K1119" s="30"/>
    </row>
    <row r="1120" customFormat="false" ht="15" hidden="false" customHeight="false" outlineLevel="0" collapsed="false">
      <c r="A1120" s="1" t="s">
        <v>905</v>
      </c>
      <c r="B1120" s="0" t="s">
        <v>129</v>
      </c>
      <c r="D1120" s="7" t="n">
        <f aca="false">Sens!D1118/Sens!D1111</f>
        <v>0.456219562408598</v>
      </c>
      <c r="E1120" s="7" t="n">
        <f aca="false">Sens!E1118/Sens!E1111</f>
        <v>0.467808184089272</v>
      </c>
      <c r="F1120" s="7" t="n">
        <f aca="false">Sens!F1118/Sens!F1111</f>
        <v>0.425034562054966</v>
      </c>
      <c r="G1120" s="7" t="n">
        <f aca="false">Sens!G1118/Sens!G1111</f>
        <v>0.379434419159987</v>
      </c>
      <c r="H1120" s="7" t="n">
        <f aca="false">Sens!H1118/Sens!H1111</f>
        <v>0.337159578791976</v>
      </c>
      <c r="I1120" s="7" t="n">
        <f aca="false">Sens!I1118/Sens!I1111</f>
        <v>0.314933299989705</v>
      </c>
      <c r="J1120" s="7" t="n">
        <f aca="false">Sens!J1118/Sens!J1111</f>
        <v>0.305276913838883</v>
      </c>
      <c r="K1120" s="7" t="n">
        <f aca="false">Sens!K1118/Sens!K1111</f>
        <v>0.304851959074719</v>
      </c>
    </row>
    <row r="1121" customFormat="false" ht="17.15" hidden="false" customHeight="false" outlineLevel="0" collapsed="false">
      <c r="A1121" s="1" t="s">
        <v>906</v>
      </c>
      <c r="B1121" s="0" t="s">
        <v>98</v>
      </c>
      <c r="F1121" s="6" t="n">
        <f aca="false">Sens!F1136</f>
        <v>20.7922544923746</v>
      </c>
      <c r="G1121" s="6" t="n">
        <f aca="false">Sens!G1136</f>
        <v>37.7052575228648</v>
      </c>
      <c r="H1121" s="6" t="n">
        <f aca="false">Sens!H1136</f>
        <v>55.9707166463052</v>
      </c>
      <c r="I1121" s="6" t="n">
        <f aca="false">Sens!I1136</f>
        <v>72.386177414753</v>
      </c>
      <c r="J1121" s="6" t="n">
        <f aca="false">Sens!J1136</f>
        <v>83.8561542203386</v>
      </c>
      <c r="K1121" s="6" t="n">
        <f aca="false">Sens!K1136</f>
        <v>90.6046701138278</v>
      </c>
      <c r="L1121" s="1" t="s">
        <v>907</v>
      </c>
    </row>
    <row r="1122" customFormat="false" ht="17.15" hidden="false" customHeight="false" outlineLevel="0" collapsed="false">
      <c r="A1122" s="1" t="s">
        <v>908</v>
      </c>
      <c r="B1122" s="0" t="s">
        <v>98</v>
      </c>
      <c r="D1122" s="6" t="n">
        <f aca="false">Sens!D1118</f>
        <v>128.528</v>
      </c>
      <c r="E1122" s="6" t="n">
        <f aca="false">Sens!E1118</f>
        <v>155.237</v>
      </c>
      <c r="F1122" s="6" t="n">
        <f aca="false">Sens!F1118+Sens!F1121</f>
        <v>184.81552438267</v>
      </c>
      <c r="G1122" s="6" t="n">
        <f aca="false">Sens!G1118+Sens!G1121</f>
        <v>206.60023847293</v>
      </c>
      <c r="H1122" s="6" t="n">
        <f aca="false">Sens!H1118+Sens!H1121</f>
        <v>224.920969416708</v>
      </c>
      <c r="I1122" s="6" t="n">
        <f aca="false">Sens!I1118+Sens!I1121</f>
        <v>248.534236069391</v>
      </c>
      <c r="J1122" s="6" t="n">
        <f aca="false">Sens!J1118+Sens!J1121</f>
        <v>269.715943041402</v>
      </c>
      <c r="K1122" s="6" t="n">
        <f aca="false">Sens!K1118+Sens!K1121</f>
        <v>288.686637692773</v>
      </c>
    </row>
    <row r="1123" customFormat="false" ht="17.15" hidden="false" customHeight="false" outlineLevel="0" collapsed="false">
      <c r="A1123" s="1" t="s">
        <v>909</v>
      </c>
      <c r="B1123" s="0" t="s">
        <v>98</v>
      </c>
      <c r="E1123" s="6" t="n">
        <f aca="false">Sens!E1066</f>
        <v>16.3054059770833</v>
      </c>
      <c r="F1123" s="6" t="n">
        <f aca="false">Sens!F1066</f>
        <v>34.7530354558698</v>
      </c>
      <c r="G1123" s="6" t="n">
        <f aca="false">Sens!G1066</f>
        <v>60.5317332603396</v>
      </c>
      <c r="H1123" s="6" t="n">
        <f aca="false">Sens!H1066</f>
        <v>87.7673159931396</v>
      </c>
      <c r="I1123" s="6" t="n">
        <f aca="false">Sens!I1066</f>
        <v>112.012039982221</v>
      </c>
      <c r="J1123" s="6" t="n">
        <f aca="false">Sens!J1066</f>
        <v>129.208710922666</v>
      </c>
      <c r="K1123" s="6" t="n">
        <f aca="false">Sens!K1066</f>
        <v>139.672646804474</v>
      </c>
    </row>
    <row r="1124" customFormat="false" ht="17.15" hidden="false" customHeight="false" outlineLevel="0" collapsed="false">
      <c r="A1124" s="1" t="s">
        <v>910</v>
      </c>
      <c r="B1124" s="0" t="s">
        <v>98</v>
      </c>
      <c r="E1124" s="6" t="n">
        <f aca="false">Sens!E1148</f>
        <v>22.2285940229167</v>
      </c>
      <c r="F1124" s="6" t="n">
        <f aca="false">Sens!F1148</f>
        <v>23.5486693435813</v>
      </c>
      <c r="G1124" s="6" t="n">
        <f aca="false">Sens!G1148</f>
        <v>25.264091766262</v>
      </c>
      <c r="H1124" s="6" t="n">
        <f aca="false">Sens!H1148</f>
        <v>27.3438339540448</v>
      </c>
      <c r="I1124" s="6" t="n">
        <f aca="false">Sens!I1148</f>
        <v>29.7317905898047</v>
      </c>
      <c r="J1124" s="6" t="n">
        <f aca="false">Sens!J1148</f>
        <v>32.3542028558616</v>
      </c>
      <c r="K1124" s="6" t="n">
        <f aca="false">Sens!K1148</f>
        <v>35.1281528444749</v>
      </c>
    </row>
    <row r="1125" customFormat="false" ht="17.15" hidden="false" customHeight="false" outlineLevel="0" collapsed="false">
      <c r="A1125" s="1" t="s">
        <v>911</v>
      </c>
      <c r="B1125" s="0" t="s">
        <v>98</v>
      </c>
      <c r="D1125" s="6" t="n">
        <f aca="false">Q!L27</f>
        <v>-4.901</v>
      </c>
      <c r="E1125" s="6" t="n">
        <f aca="false">Q!M27</f>
        <v>10.697</v>
      </c>
      <c r="F1125" s="6" t="n">
        <f aca="false">oie_f</f>
        <v>-0.4</v>
      </c>
      <c r="G1125" s="6" t="n">
        <f aca="false">oie_f</f>
        <v>-0.4</v>
      </c>
      <c r="H1125" s="6" t="n">
        <f aca="false">oie_f</f>
        <v>-0.4</v>
      </c>
      <c r="I1125" s="6" t="n">
        <f aca="false">oie_f</f>
        <v>-0.4</v>
      </c>
      <c r="J1125" s="6" t="n">
        <f aca="false">oie_f</f>
        <v>-0.4</v>
      </c>
      <c r="K1125" s="6" t="n">
        <f aca="false">oie_f</f>
        <v>-0.4</v>
      </c>
      <c r="L1125" s="11" t="s">
        <v>912</v>
      </c>
    </row>
    <row r="1126" customFormat="false" ht="15" hidden="false" customHeight="false" outlineLevel="0" collapsed="false">
      <c r="A1126" s="1" t="s">
        <v>913</v>
      </c>
      <c r="B1126" s="0" t="s">
        <v>98</v>
      </c>
      <c r="D1126" s="6" t="n">
        <f aca="false">Sens!D1118+Sens!D1125</f>
        <v>123.627</v>
      </c>
      <c r="E1126" s="6" t="n">
        <f aca="false">Sens!E1118+Sens!E1125</f>
        <v>165.934</v>
      </c>
      <c r="F1126" s="6" t="n">
        <f aca="false">Sens!F1118+Sens!F1125</f>
        <v>163.623269890296</v>
      </c>
      <c r="G1126" s="6" t="n">
        <f aca="false">Sens!G1118+Sens!G1125</f>
        <v>168.494980950065</v>
      </c>
      <c r="H1126" s="6" t="n">
        <f aca="false">Sens!H1118+Sens!H1125</f>
        <v>168.550252770403</v>
      </c>
      <c r="I1126" s="6" t="n">
        <f aca="false">Sens!I1118+Sens!I1125</f>
        <v>175.748058654638</v>
      </c>
      <c r="J1126" s="6" t="n">
        <f aca="false">Sens!J1118+Sens!J1125</f>
        <v>185.459788821064</v>
      </c>
      <c r="K1126" s="6" t="n">
        <f aca="false">Sens!K1118+Sens!K1125</f>
        <v>197.681967578945</v>
      </c>
    </row>
    <row r="1127" customFormat="false" ht="15" hidden="false" customHeight="false" outlineLevel="0" collapsed="false">
      <c r="A1127" s="1" t="s">
        <v>914</v>
      </c>
      <c r="B1127" s="0" t="s">
        <v>98</v>
      </c>
      <c r="D1127" s="6" t="n">
        <f aca="false">Q!L29</f>
        <v>21.795</v>
      </c>
      <c r="E1127" s="6" t="n">
        <f aca="false">Q!M29</f>
        <v>32.185</v>
      </c>
      <c r="F1127" s="6" t="n">
        <f aca="false">Sens!F1126*tax_f</f>
        <v>32.7246539780591</v>
      </c>
      <c r="G1127" s="6" t="n">
        <f aca="false">Sens!G1126*tax_f</f>
        <v>33.698996190013</v>
      </c>
      <c r="H1127" s="6" t="n">
        <f aca="false">Sens!H1126*tax_f</f>
        <v>33.7100505540806</v>
      </c>
      <c r="I1127" s="6" t="n">
        <f aca="false">Sens!I1126*tax_f</f>
        <v>35.1496117309277</v>
      </c>
      <c r="J1127" s="6" t="n">
        <f aca="false">Sens!J1126*tax_f</f>
        <v>37.0919577642128</v>
      </c>
      <c r="K1127" s="6" t="n">
        <f aca="false">Sens!K1126*tax_f</f>
        <v>39.5363935157891</v>
      </c>
    </row>
    <row r="1128" customFormat="false" ht="15" hidden="false" customHeight="false" outlineLevel="0" collapsed="false">
      <c r="A1128" s="1" t="s">
        <v>915</v>
      </c>
      <c r="B1128" s="0" t="s">
        <v>98</v>
      </c>
      <c r="D1128" s="6" t="n">
        <f aca="false">Sens!D1126-Sens!D1127</f>
        <v>101.832</v>
      </c>
      <c r="E1128" s="6" t="n">
        <f aca="false">Sens!E1126-Sens!E1127</f>
        <v>133.749</v>
      </c>
      <c r="F1128" s="6" t="n">
        <f aca="false">Sens!F1126-Sens!F1127</f>
        <v>130.898615912237</v>
      </c>
      <c r="G1128" s="6" t="n">
        <f aca="false">Sens!G1126-Sens!G1127</f>
        <v>134.795984760052</v>
      </c>
      <c r="H1128" s="6" t="n">
        <f aca="false">Sens!H1126-Sens!H1127</f>
        <v>134.840202216322</v>
      </c>
      <c r="I1128" s="6" t="n">
        <f aca="false">Sens!I1126-Sens!I1127</f>
        <v>140.598446923711</v>
      </c>
      <c r="J1128" s="6" t="n">
        <f aca="false">Sens!J1126-Sens!J1127</f>
        <v>148.367831056851</v>
      </c>
      <c r="K1128" s="6" t="n">
        <f aca="false">Sens!K1126-Sens!K1127</f>
        <v>158.145574063156</v>
      </c>
    </row>
    <row r="1129" customFormat="false" ht="17.15" hidden="false" customHeight="false" outlineLevel="0" collapsed="false">
      <c r="A1129" s="1" t="s">
        <v>916</v>
      </c>
      <c r="B1129" s="1" t="s">
        <v>81</v>
      </c>
      <c r="D1129" s="14" t="n">
        <f aca="false">Q!L31</f>
        <v>7.465</v>
      </c>
      <c r="E1129" s="14" t="n">
        <f aca="false">Q!M31</f>
        <v>7.453</v>
      </c>
      <c r="F1129" s="14" t="n">
        <f aca="false">Sens!F1170</f>
        <v>7.4735</v>
      </c>
      <c r="G1129" s="14" t="n">
        <f aca="false">Sens!G1170</f>
        <v>7.5185</v>
      </c>
      <c r="H1129" s="14" t="n">
        <f aca="false">Sens!H1170</f>
        <v>7.5635</v>
      </c>
      <c r="I1129" s="14" t="n">
        <f aca="false">Sens!I1170</f>
        <v>7.59252924615736</v>
      </c>
      <c r="J1129" s="14" t="n">
        <f aca="false">Sens!J1170</f>
        <v>7.60677075727524</v>
      </c>
      <c r="K1129" s="14" t="n">
        <f aca="false">Sens!K1170</f>
        <v>7.62329067497699</v>
      </c>
    </row>
    <row r="1130" customFormat="false" ht="17.15" hidden="false" customHeight="false" outlineLevel="0" collapsed="false">
      <c r="A1130" s="0" t="s">
        <v>917</v>
      </c>
      <c r="B1130" s="0" t="s">
        <v>75</v>
      </c>
      <c r="D1130" s="8" t="n">
        <f aca="false">Sens!D1128/Sens!D1129</f>
        <v>13.641259209645</v>
      </c>
      <c r="E1130" s="8" t="n">
        <f aca="false">Sens!E1128/Sens!E1129</f>
        <v>17.9456594659869</v>
      </c>
      <c r="F1130" s="8" t="n">
        <f aca="false">Sens!F1128/Sens!F1129</f>
        <v>17.515035246168</v>
      </c>
      <c r="G1130" s="8" t="n">
        <f aca="false">Sens!G1128/Sens!G1129</f>
        <v>17.9285741517659</v>
      </c>
      <c r="H1130" s="8" t="n">
        <f aca="false">Sens!H1128/Sens!H1129</f>
        <v>17.8277519952829</v>
      </c>
      <c r="I1130" s="8" t="n">
        <f aca="false">Sens!I1128/Sens!I1129</f>
        <v>18.5179987281404</v>
      </c>
      <c r="J1130" s="8" t="n">
        <f aca="false">Sens!J1128/Sens!J1129</f>
        <v>19.5047065030781</v>
      </c>
      <c r="K1130" s="8" t="n">
        <f aca="false">Sens!K1128/Sens!K1129</f>
        <v>20.7450536527828</v>
      </c>
      <c r="L1130" s="1" t="s">
        <v>918</v>
      </c>
    </row>
    <row r="1131" customFormat="false" ht="17.15" hidden="false" customHeight="false" outlineLevel="0" collapsed="false">
      <c r="A1131" s="1" t="s">
        <v>919</v>
      </c>
      <c r="B1131" s="0" t="s">
        <v>98</v>
      </c>
      <c r="D1131" s="6" t="n">
        <f aca="false">Sens!D1128</f>
        <v>101.832</v>
      </c>
      <c r="E1131" s="6" t="n">
        <f aca="false">Sens!E1128</f>
        <v>133.749</v>
      </c>
      <c r="F1131" s="6" t="n">
        <f aca="false">Sens!F1128+Sens!F1121*(1-tax_f)</f>
        <v>147.532419506136</v>
      </c>
      <c r="G1131" s="6" t="n">
        <f aca="false">Sens!G1128+Sens!G1121*(1-tax_f)</f>
        <v>164.960190778344</v>
      </c>
      <c r="H1131" s="6" t="n">
        <f aca="false">Sens!H1128+Sens!H1121*(1-tax_f)</f>
        <v>179.616775533367</v>
      </c>
      <c r="I1131" s="6" t="n">
        <f aca="false">Sens!I1128+Sens!I1121*(1-tax_f)</f>
        <v>198.507388855513</v>
      </c>
      <c r="J1131" s="6" t="n">
        <f aca="false">Sens!J1128+Sens!J1121*(1-tax_f)</f>
        <v>215.452754433122</v>
      </c>
      <c r="K1131" s="6" t="n">
        <f aca="false">Sens!K1128+Sens!K1121*(1-tax_f)</f>
        <v>230.629310154219</v>
      </c>
    </row>
    <row r="1132" customFormat="false" ht="17.15" hidden="false" customHeight="false" outlineLevel="0" collapsed="false">
      <c r="A1132" s="0" t="s">
        <v>920</v>
      </c>
      <c r="B1132" s="0" t="s">
        <v>75</v>
      </c>
      <c r="D1132" s="8" t="n">
        <f aca="false">Sens!D1131/Sens!D1129</f>
        <v>13.641259209645</v>
      </c>
      <c r="E1132" s="8" t="n">
        <f aca="false">Sens!E1131/Sens!E1129</f>
        <v>17.9456594659869</v>
      </c>
      <c r="F1132" s="8" t="n">
        <f aca="false">Sens!F1131/Sens!F1129</f>
        <v>19.7407398817336</v>
      </c>
      <c r="G1132" s="8" t="n">
        <f aca="false">Sens!G1131/Sens!G1129</f>
        <v>21.9405720261148</v>
      </c>
      <c r="H1132" s="8" t="n">
        <f aca="false">Sens!H1131/Sens!H1129</f>
        <v>23.7478383728917</v>
      </c>
      <c r="I1132" s="8" t="n">
        <f aca="false">Sens!I1131/Sens!I1129</f>
        <v>26.1450937388195</v>
      </c>
      <c r="J1132" s="8" t="n">
        <f aca="false">Sens!J1131/Sens!J1129</f>
        <v>28.3238132590047</v>
      </c>
      <c r="K1132" s="8" t="n">
        <f aca="false">Sens!K1131/Sens!K1129</f>
        <v>30.253248890436</v>
      </c>
      <c r="L1132" s="1" t="s">
        <v>921</v>
      </c>
    </row>
    <row r="1133" customFormat="false" ht="17.15" hidden="false" customHeight="false" outlineLevel="0" collapsed="false">
      <c r="A1133" s="0" t="s">
        <v>922</v>
      </c>
      <c r="B1133" s="0" t="s">
        <v>129</v>
      </c>
      <c r="E1133" s="7" t="n">
        <f aca="false">Sens!E1132/Sens!D1132-1</f>
        <v>0.315542736208578</v>
      </c>
      <c r="F1133" s="7" t="n">
        <f aca="false">Sens!F1132/Sens!E1132-1</f>
        <v>0.100028668166196</v>
      </c>
      <c r="G1133" s="7" t="n">
        <f aca="false">Sens!G1132/Sens!F1132-1</f>
        <v>0.111436154752066</v>
      </c>
      <c r="H1133" s="7" t="n">
        <f aca="false">Sens!H1132/Sens!G1132-1</f>
        <v>0.0823709766830996</v>
      </c>
      <c r="I1133" s="7" t="n">
        <f aca="false">Sens!I1132/Sens!H1132-1</f>
        <v>0.100946255751188</v>
      </c>
      <c r="J1133" s="7" t="n">
        <f aca="false">Sens!J1132/Sens!I1132-1</f>
        <v>0.0833318687609168</v>
      </c>
      <c r="K1133" s="7" t="n">
        <f aca="false">Sens!K1132/Sens!J1132-1</f>
        <v>0.0681206168741371</v>
      </c>
    </row>
    <row r="1134" customFormat="false" ht="17.15" hidden="false" customHeight="false" outlineLevel="0" collapsed="false">
      <c r="A1134" s="0" t="s">
        <v>846</v>
      </c>
      <c r="B1134" s="0" t="s">
        <v>98</v>
      </c>
      <c r="E1134" s="6" t="n">
        <f aca="false">Sens!E1075</f>
        <v>5.25</v>
      </c>
      <c r="F1134" s="6" t="n">
        <f aca="false">Sens!F1075</f>
        <v>10.5</v>
      </c>
      <c r="G1134" s="6" t="n">
        <f aca="false">Sens!G1075</f>
        <v>13.5</v>
      </c>
      <c r="H1134" s="6" t="n">
        <f aca="false">Sens!H1075</f>
        <v>16.5</v>
      </c>
      <c r="I1134" s="6" t="n">
        <f aca="false">Sens!I1075</f>
        <v>18.75</v>
      </c>
      <c r="J1134" s="6" t="n">
        <f aca="false">Sens!J1075</f>
        <v>20.25</v>
      </c>
      <c r="K1134" s="6" t="n">
        <f aca="false">Sens!K1075</f>
        <v>21.75</v>
      </c>
    </row>
    <row r="1135" customFormat="false" ht="17.15" hidden="false" customHeight="false" outlineLevel="0" collapsed="false">
      <c r="A1135" s="1" t="s">
        <v>847</v>
      </c>
      <c r="B1135" s="0" t="s">
        <v>98</v>
      </c>
      <c r="F1135" s="6" t="n">
        <f aca="false">MAX(0,(Sens!E1038+Sens!F1038)/2*Sens!F1046/1000-Sens!F1134*Sens!F1114)</f>
        <v>20.7922544923746</v>
      </c>
      <c r="G1135" s="6" t="n">
        <f aca="false">MAX(0,(Sens!F1038+Sens!G1038)/2*Sens!G1046/1000-Sens!G1134*Sens!G1114)</f>
        <v>37.7052575228648</v>
      </c>
      <c r="H1135" s="6" t="n">
        <f aca="false">MAX(0,(Sens!G1038+Sens!H1038)/2*Sens!H1046/1000-Sens!H1134*Sens!H1114)</f>
        <v>55.9707166463052</v>
      </c>
      <c r="I1135" s="6" t="n">
        <f aca="false">MAX(0,(Sens!H1038+Sens!I1038)/2*Sens!I1046/1000-Sens!I1134*Sens!I1114)</f>
        <v>72.386177414753</v>
      </c>
      <c r="J1135" s="6" t="n">
        <f aca="false">MAX(0,(Sens!I1038+Sens!J1038)/2*Sens!J1046/1000-Sens!J1134*Sens!J1114)</f>
        <v>83.8561542203386</v>
      </c>
      <c r="K1135" s="6" t="n">
        <f aca="false">MAX(0,(Sens!J1038+Sens!K1038)/2*Sens!K1046/1000-Sens!K1134*Sens!K1114)</f>
        <v>90.6046701138278</v>
      </c>
      <c r="L1135" s="1" t="s">
        <v>848</v>
      </c>
    </row>
    <row r="1136" customFormat="false" ht="17.15" hidden="false" customHeight="false" outlineLevel="0" collapsed="false">
      <c r="A1136" s="1" t="s">
        <v>849</v>
      </c>
      <c r="B1136" s="0" t="s">
        <v>98</v>
      </c>
      <c r="F1136" s="6" t="n">
        <f aca="false">IF(internal_ai_reading=2,1,0)*Sens!F1135</f>
        <v>20.7922544923746</v>
      </c>
      <c r="G1136" s="6" t="n">
        <f aca="false">IF(internal_ai_reading=2,1,0)*Sens!G1135</f>
        <v>37.7052575228648</v>
      </c>
      <c r="H1136" s="6" t="n">
        <f aca="false">IF(internal_ai_reading=2,1,0)*Sens!H1135</f>
        <v>55.9707166463052</v>
      </c>
      <c r="I1136" s="6" t="n">
        <f aca="false">IF(internal_ai_reading=2,1,0)*Sens!I1135</f>
        <v>72.386177414753</v>
      </c>
      <c r="J1136" s="6" t="n">
        <f aca="false">IF(internal_ai_reading=2,1,0)*Sens!J1135</f>
        <v>83.8561542203386</v>
      </c>
      <c r="K1136" s="6" t="n">
        <f aca="false">IF(internal_ai_reading=2,1,0)*Sens!K1135</f>
        <v>90.6046701138278</v>
      </c>
    </row>
    <row r="1137" customFormat="false" ht="17.15" hidden="false" customHeight="false" outlineLevel="0" collapsed="false">
      <c r="A1137" s="0" t="s">
        <v>850</v>
      </c>
      <c r="B1137" s="0" t="s">
        <v>98</v>
      </c>
      <c r="F1137" s="6" t="n">
        <f aca="false">Sens!F1055+Sens!F1134*Sens!F1114+Sens!F1136-Sens!F1056-Sens!F1066</f>
        <v>12.9593995245131</v>
      </c>
      <c r="G1137" s="6" t="n">
        <f aca="false">Sens!G1055+Sens!G1134*Sens!G1114+Sens!G1136-Sens!G1056-Sens!G1066</f>
        <v>15.0750719066239</v>
      </c>
      <c r="H1137" s="6" t="n">
        <f aca="false">Sens!H1055+Sens!H1134*Sens!H1114+Sens!H1136-Sens!H1056-Sens!H1066</f>
        <v>13.4060879510683</v>
      </c>
      <c r="I1137" s="6" t="n">
        <f aca="false">Sens!I1055+Sens!I1134*Sens!I1114+Sens!I1136-Sens!I1056-Sens!I1066</f>
        <v>17.4006092335343</v>
      </c>
      <c r="J1137" s="6" t="n">
        <f aca="false">Sens!J1055+Sens!J1134*Sens!J1114+Sens!J1136-Sens!J1056-Sens!J1066</f>
        <v>20.1032640745228</v>
      </c>
      <c r="K1137" s="6" t="n">
        <f aca="false">Sens!K1055+Sens!K1134*Sens!K1114+Sens!K1136-Sens!K1056-Sens!K1066</f>
        <v>22.5257031138528</v>
      </c>
    </row>
    <row r="1138" customFormat="false" ht="17.15" hidden="false" customHeight="false" outlineLevel="0" collapsed="false">
      <c r="A1138" s="0" t="s">
        <v>851</v>
      </c>
      <c r="B1138" s="0" t="s">
        <v>98</v>
      </c>
      <c r="E1138" s="6" t="n">
        <f aca="false">Sens!E1037*(cxit_open+self_build*tk_cxfac)/1000*ai_net_open</f>
        <v>126.6980382</v>
      </c>
      <c r="F1138" s="6" t="n">
        <f aca="false">Sens!E1138+Sens!F1063-Sens!F1066</f>
        <v>260.715655514568</v>
      </c>
      <c r="G1138" s="6" t="n">
        <f aca="false">Sens!F1138+Sens!G1063-Sens!G1066</f>
        <v>383.758102737428</v>
      </c>
      <c r="H1138" s="6" t="n">
        <f aca="false">Sens!G1138+Sens!H1063-Sens!H1066</f>
        <v>484.071072654689</v>
      </c>
      <c r="I1138" s="6" t="n">
        <f aca="false">Sens!H1138+Sens!I1063-Sens!I1066</f>
        <v>535.765701826713</v>
      </c>
      <c r="J1138" s="6" t="n">
        <f aca="false">Sens!I1138+Sens!J1063-Sens!J1066</f>
        <v>531.069467622138</v>
      </c>
      <c r="K1138" s="6" t="n">
        <f aca="false">Sens!J1138+Sens!K1063-Sens!K1066</f>
        <v>506.3562564596</v>
      </c>
      <c r="L1138" s="1" t="s">
        <v>852</v>
      </c>
    </row>
    <row r="1139" customFormat="false" ht="17.15" hidden="false" customHeight="false" outlineLevel="0" collapsed="false">
      <c r="A1139" s="0" t="s">
        <v>853</v>
      </c>
      <c r="B1139" s="0" t="s">
        <v>129</v>
      </c>
      <c r="F1139" s="7" t="n">
        <f aca="false">Sens!F1137*(1-tax_f)/((Sens!E1138+Sens!F1138)/2)</f>
        <v>0.0535216993504049</v>
      </c>
      <c r="G1139" s="7" t="n">
        <f aca="false">Sens!G1137*(1-tax_f)/((Sens!F1138+Sens!G1138)/2)</f>
        <v>0.037426062336532</v>
      </c>
      <c r="H1139" s="7" t="n">
        <f aca="false">Sens!H1137*(1-tax_f)/((Sens!G1138+Sens!H1138)/2)</f>
        <v>0.024716547138459</v>
      </c>
      <c r="I1139" s="7" t="n">
        <f aca="false">Sens!I1137*(1-tax_f)/((Sens!H1138+Sens!I1138)/2)</f>
        <v>0.0272994419011929</v>
      </c>
      <c r="J1139" s="7" t="n">
        <f aca="false">Sens!J1137*(1-tax_f)/((Sens!I1138+Sens!J1138)/2)</f>
        <v>0.0301501332542812</v>
      </c>
      <c r="K1139" s="7" t="n">
        <f aca="false">Sens!K1137*(1-tax_f)/((Sens!J1138+Sens!K1138)/2)</f>
        <v>0.0347409208635788</v>
      </c>
    </row>
    <row r="1140" customFormat="false" ht="17.15" hidden="false" customHeight="false" outlineLevel="0" collapsed="false">
      <c r="A1140" s="1" t="s">
        <v>854</v>
      </c>
      <c r="B1140" s="0" t="s">
        <v>129</v>
      </c>
      <c r="F1140" s="7" t="n">
        <f aca="false">(Sens!F1137-Sens!F1136)*(1-tax_f)/((Sens!E1138+Sens!F1138)/2)</f>
        <v>-0.0323493158654634</v>
      </c>
      <c r="G1140" s="7" t="n">
        <f aca="false">(Sens!G1137-Sens!G1136)*(1-tax_f)/((Sens!F1138+Sens!G1138)/2)</f>
        <v>-0.0561827328457764</v>
      </c>
      <c r="H1140" s="7" t="n">
        <f aca="false">(Sens!H1137-Sens!H1136)*(1-tax_f)/((Sens!G1138+Sens!H1138)/2)</f>
        <v>-0.0784755892559241</v>
      </c>
      <c r="I1140" s="7" t="n">
        <f aca="false">(Sens!I1137-Sens!I1136)*(1-tax_f)/((Sens!H1138+Sens!I1138)/2)</f>
        <v>-0.0862656763232402</v>
      </c>
      <c r="J1140" s="7" t="n">
        <f aca="false">(Sens!J1137-Sens!J1136)*(1-tax_f)/((Sens!I1138+Sens!J1138)/2)</f>
        <v>-0.0956142309087946</v>
      </c>
      <c r="K1140" s="7" t="n">
        <f aca="false">(Sens!K1137-Sens!K1136)*(1-tax_f)/((Sens!J1138+Sens!K1138)/2)</f>
        <v>-0.104996767162656</v>
      </c>
    </row>
    <row r="1141" customFormat="false" ht="17.15" hidden="false" customHeight="false" outlineLevel="0" collapsed="false">
      <c r="A1141" s="1" t="s">
        <v>855</v>
      </c>
      <c r="B1141" s="0" t="s">
        <v>129</v>
      </c>
      <c r="F1141" s="7" t="n">
        <f aca="false">(Sens!F1137-Sens!F1136+Sens!F1135)*(1-tax_f)/((Sens!E1138+Sens!F1138)/2)</f>
        <v>0.0535216993504049</v>
      </c>
      <c r="G1141" s="7" t="n">
        <f aca="false">(Sens!G1137-Sens!G1136+Sens!G1135)*(1-tax_f)/((Sens!F1138+Sens!G1138)/2)</f>
        <v>0.037426062336532</v>
      </c>
      <c r="H1141" s="7" t="n">
        <f aca="false">(Sens!H1137-Sens!H1136+Sens!H1135)*(1-tax_f)/((Sens!G1138+Sens!H1138)/2)</f>
        <v>0.024716547138459</v>
      </c>
      <c r="I1141" s="7" t="n">
        <f aca="false">(Sens!I1137-Sens!I1136+Sens!I1135)*(1-tax_f)/((Sens!H1138+Sens!I1138)/2)</f>
        <v>0.0272994419011929</v>
      </c>
      <c r="J1141" s="7" t="n">
        <f aca="false">(Sens!J1137-Sens!J1136+Sens!J1135)*(1-tax_f)/((Sens!I1138+Sens!J1138)/2)</f>
        <v>0.0301501332542812</v>
      </c>
      <c r="K1141" s="7" t="n">
        <f aca="false">(Sens!K1137-Sens!K1136+Sens!K1135)*(1-tax_f)/((Sens!J1138+Sens!K1138)/2)</f>
        <v>0.0347409208635788</v>
      </c>
    </row>
    <row r="1142" customFormat="false" ht="17.15" hidden="false" customHeight="false" outlineLevel="0" collapsed="false">
      <c r="A1142" s="1" t="s">
        <v>856</v>
      </c>
      <c r="B1142" s="0" t="s">
        <v>129</v>
      </c>
      <c r="F1142" s="7" t="n">
        <f aca="false">Sens!F1067*(1-tax_f)/(Sens!F1054*(Sens!E1138+Sens!F1138)/2)</f>
        <v>0.0454724080086599</v>
      </c>
      <c r="G1142" s="7" t="n">
        <f aca="false">Sens!G1067*(1-tax_f)/(Sens!G1054*(Sens!F1138+Sens!G1138)/2)</f>
        <v>0.0192786318679199</v>
      </c>
      <c r="H1142" s="7" t="n">
        <f aca="false">Sens!H1067*(1-tax_f)/(Sens!H1054*(Sens!G1138+Sens!H1138)/2)</f>
        <v>-0.00496278340256925</v>
      </c>
      <c r="I1142" s="7" t="n">
        <f aca="false">Sens!I1067*(1-tax_f)/(Sens!I1054*(Sens!H1138+Sens!I1138)/2)</f>
        <v>-0.00455719903187267</v>
      </c>
      <c r="J1142" s="7" t="n">
        <f aca="false">Sens!J1067*(1-tax_f)/(Sens!J1054*(Sens!I1138+Sens!J1138)/2)</f>
        <v>-0.00468284189765567</v>
      </c>
      <c r="K1142" s="7" t="n">
        <f aca="false">Sens!K1067*(1-tax_f)/(Sens!K1054*(Sens!J1138+Sens!K1138)/2)</f>
        <v>-0.0037715952453085</v>
      </c>
    </row>
    <row r="1143" customFormat="false" ht="17.15" hidden="false" customHeight="false" outlineLevel="0" collapsed="false">
      <c r="A1143" s="0" t="s">
        <v>857</v>
      </c>
      <c r="B1143" s="0" t="s">
        <v>209</v>
      </c>
      <c r="F1143" s="7" t="n">
        <f aca="false">Sens!F1139-wacc</f>
        <v>-0.0494127207424709</v>
      </c>
      <c r="G1143" s="7" t="n">
        <f aca="false">Sens!G1139-wacc</f>
        <v>-0.0655083577563437</v>
      </c>
      <c r="H1143" s="7" t="n">
        <f aca="false">Sens!H1139-wacc</f>
        <v>-0.0782178729544167</v>
      </c>
      <c r="I1143" s="7" t="n">
        <f aca="false">Sens!I1139-wacc</f>
        <v>-0.0756349781916829</v>
      </c>
      <c r="J1143" s="7" t="n">
        <f aca="false">Sens!J1139-wacc</f>
        <v>-0.0727842868385945</v>
      </c>
      <c r="K1143" s="7" t="n">
        <f aca="false">Sens!K1139-wacc</f>
        <v>-0.068193499229297</v>
      </c>
    </row>
    <row r="1144" customFormat="false" ht="17.15" hidden="false" customHeight="false" outlineLevel="0" collapsed="false">
      <c r="A1144" s="0" t="s">
        <v>858</v>
      </c>
      <c r="B1144" s="0" t="s">
        <v>98</v>
      </c>
      <c r="F1144" s="6" t="n">
        <f aca="false">Sens!F1137*(1-tax_f)-wacc*(Sens!E1138+Sens!F1138)/2</f>
        <v>-9.57158232966354</v>
      </c>
      <c r="G1144" s="6" t="n">
        <f aca="false">Sens!G1137*(1-tax_f)-wacc*(Sens!F1138+Sens!G1138)/2</f>
        <v>-21.1092087600736</v>
      </c>
      <c r="H1144" s="6" t="n">
        <f aca="false">Sens!H1137*(1-tax_f)-wacc*(Sens!G1138+Sens!H1138)/2</f>
        <v>-33.9398760934784</v>
      </c>
      <c r="I1144" s="6" t="n">
        <f aca="false">Sens!I1137*(1-tax_f)-wacc*(Sens!H1138+Sens!I1138)/2</f>
        <v>-38.5676660984885</v>
      </c>
      <c r="J1144" s="6" t="n">
        <f aca="false">Sens!J1137*(1-tax_f)-wacc*(Sens!I1138+Sens!J1138)/2</f>
        <v>-38.8244184913329</v>
      </c>
      <c r="K1144" s="6" t="n">
        <f aca="false">Sens!K1137*(1-tax_f)-wacc*(Sens!J1138+Sens!K1138)/2</f>
        <v>-35.3728451578104</v>
      </c>
    </row>
    <row r="1145" customFormat="false" ht="17.15" hidden="false" customHeight="false" outlineLevel="0" collapsed="false">
      <c r="A1145" s="3" t="s">
        <v>1262</v>
      </c>
    </row>
    <row r="1146" customFormat="false" ht="15" hidden="false" customHeight="false" outlineLevel="0" collapsed="false">
      <c r="A1146" s="4" t="s">
        <v>43</v>
      </c>
      <c r="B1146" s="4" t="s">
        <v>65</v>
      </c>
      <c r="C1146" s="20" t="s">
        <v>788</v>
      </c>
      <c r="D1146" s="20" t="s">
        <v>789</v>
      </c>
      <c r="E1146" s="20" t="s">
        <v>790</v>
      </c>
      <c r="F1146" s="20" t="s">
        <v>791</v>
      </c>
      <c r="G1146" s="20" t="s">
        <v>792</v>
      </c>
      <c r="H1146" s="20" t="s">
        <v>793</v>
      </c>
      <c r="I1146" s="20" t="s">
        <v>794</v>
      </c>
      <c r="J1146" s="20" t="s">
        <v>795</v>
      </c>
      <c r="K1146" s="20" t="s">
        <v>796</v>
      </c>
      <c r="L1146" s="4" t="s">
        <v>47</v>
      </c>
    </row>
    <row r="1147" customFormat="false" ht="15" hidden="false" customHeight="false" outlineLevel="0" collapsed="false">
      <c r="A1147" s="1" t="s">
        <v>915</v>
      </c>
      <c r="B1147" s="0" t="s">
        <v>98</v>
      </c>
      <c r="F1147" s="6" t="n">
        <f aca="false">Sens!F1128</f>
        <v>130.898615912237</v>
      </c>
      <c r="G1147" s="6" t="n">
        <f aca="false">Sens!G1128</f>
        <v>134.795984760052</v>
      </c>
      <c r="H1147" s="6" t="n">
        <f aca="false">Sens!H1128</f>
        <v>134.840202216322</v>
      </c>
      <c r="I1147" s="6" t="n">
        <f aca="false">Sens!I1128</f>
        <v>140.598446923711</v>
      </c>
      <c r="J1147" s="6" t="n">
        <f aca="false">Sens!J1128</f>
        <v>148.367831056851</v>
      </c>
      <c r="K1147" s="6" t="n">
        <f aca="false">Sens!K1128</f>
        <v>158.145574063156</v>
      </c>
    </row>
    <row r="1148" customFormat="false" ht="17.15" hidden="false" customHeight="false" outlineLevel="0" collapsed="false">
      <c r="A1148" s="1" t="s">
        <v>937</v>
      </c>
      <c r="B1148" s="0" t="s">
        <v>98</v>
      </c>
      <c r="E1148" s="6" t="n">
        <f aca="false">Q!M38-Sens!E1066</f>
        <v>22.2285940229167</v>
      </c>
      <c r="F1148" s="6" t="n">
        <f aca="false">Sens!E1148*(1-1/life_nonai)+Sens!F1154/life_nonai</f>
        <v>23.5486693435813</v>
      </c>
      <c r="G1148" s="6" t="n">
        <f aca="false">Sens!F1148*(1-1/life_nonai)+Sens!G1154/life_nonai</f>
        <v>25.264091766262</v>
      </c>
      <c r="H1148" s="6" t="n">
        <f aca="false">Sens!G1148*(1-1/life_nonai)+Sens!H1154/life_nonai</f>
        <v>27.3438339540448</v>
      </c>
      <c r="I1148" s="6" t="n">
        <f aca="false">Sens!H1148*(1-1/life_nonai)+Sens!I1154/life_nonai</f>
        <v>29.7317905898047</v>
      </c>
      <c r="J1148" s="6" t="n">
        <f aca="false">Sens!I1148*(1-1/life_nonai)+Sens!J1154/life_nonai</f>
        <v>32.3542028558616</v>
      </c>
      <c r="K1148" s="6" t="n">
        <f aca="false">Sens!J1148*(1-1/life_nonai)+Sens!K1154/life_nonai</f>
        <v>35.1281528444749</v>
      </c>
      <c r="L1148" s="11" t="s">
        <v>938</v>
      </c>
    </row>
    <row r="1149" customFormat="false" ht="17.15" hidden="false" customHeight="false" outlineLevel="0" collapsed="false">
      <c r="A1149" s="1" t="s">
        <v>939</v>
      </c>
      <c r="B1149" s="0" t="s">
        <v>98</v>
      </c>
      <c r="E1149" s="6" t="n">
        <f aca="false">Sens!E1066+Sens!E1148</f>
        <v>38.534</v>
      </c>
      <c r="F1149" s="6" t="n">
        <f aca="false">Sens!F1066+Sens!F1148</f>
        <v>58.301704799451</v>
      </c>
      <c r="G1149" s="6" t="n">
        <f aca="false">Sens!G1066+Sens!G1148</f>
        <v>85.7958250266017</v>
      </c>
      <c r="H1149" s="6" t="n">
        <f aca="false">Sens!H1066+Sens!H1148</f>
        <v>115.111149947184</v>
      </c>
      <c r="I1149" s="6" t="n">
        <f aca="false">Sens!I1066+Sens!I1148</f>
        <v>141.743830572026</v>
      </c>
      <c r="J1149" s="6" t="n">
        <f aca="false">Sens!J1066+Sens!J1148</f>
        <v>161.562913778527</v>
      </c>
      <c r="K1149" s="6" t="n">
        <f aca="false">Sens!K1066+Sens!K1148</f>
        <v>174.800799648948</v>
      </c>
    </row>
    <row r="1150" customFormat="false" ht="17.15" hidden="false" customHeight="false" outlineLevel="0" collapsed="false">
      <c r="A1150" s="1" t="s">
        <v>940</v>
      </c>
      <c r="B1150" s="0" t="s">
        <v>98</v>
      </c>
      <c r="F1150" s="6" t="n">
        <f aca="false">Sens!F1093*sbc_r</f>
        <v>14.4261539225176</v>
      </c>
      <c r="G1150" s="6" t="n">
        <f aca="false">Sens!G1093*sbc_r</f>
        <v>16.6398482954775</v>
      </c>
      <c r="H1150" s="6" t="n">
        <f aca="false">Sens!H1093*sbc_r</f>
        <v>18.7323682130536</v>
      </c>
      <c r="I1150" s="6" t="n">
        <f aca="false">Sens!I1093*sbc_r</f>
        <v>20.908776477893</v>
      </c>
      <c r="J1150" s="6" t="n">
        <f aca="false">Sens!J1093*sbc_r</f>
        <v>22.7594005619762</v>
      </c>
      <c r="K1150" s="6" t="n">
        <f aca="false">Sens!K1093*sbc_r</f>
        <v>24.2898757712275</v>
      </c>
    </row>
    <row r="1151" customFormat="false" ht="17.15" hidden="false" customHeight="false" outlineLevel="0" collapsed="false">
      <c r="A1151" s="1" t="s">
        <v>941</v>
      </c>
      <c r="B1151" s="0" t="s">
        <v>98</v>
      </c>
      <c r="F1151" s="6" t="n">
        <f aca="false">wc27</f>
        <v>-4.895</v>
      </c>
      <c r="G1151" s="6" t="n">
        <f aca="false">wc_f</f>
        <v>0</v>
      </c>
      <c r="H1151" s="6" t="n">
        <f aca="false">wc_f</f>
        <v>0</v>
      </c>
      <c r="I1151" s="6" t="n">
        <f aca="false">wc_f</f>
        <v>0</v>
      </c>
      <c r="J1151" s="6" t="n">
        <f aca="false">wc_f</f>
        <v>0</v>
      </c>
      <c r="K1151" s="6" t="n">
        <f aca="false">wc_f</f>
        <v>0</v>
      </c>
      <c r="L1151" s="11" t="s">
        <v>942</v>
      </c>
    </row>
    <row r="1152" customFormat="false" ht="15" hidden="false" customHeight="false" outlineLevel="0" collapsed="false">
      <c r="A1152" s="1" t="s">
        <v>756</v>
      </c>
      <c r="B1152" s="0" t="s">
        <v>98</v>
      </c>
      <c r="E1152" s="6" t="n">
        <f aca="false">Q!M35</f>
        <v>182.935</v>
      </c>
      <c r="F1152" s="6" t="n">
        <f aca="false">Sens!F1147+Sens!F1149+Sens!F1150+Sens!F1151</f>
        <v>198.731474634205</v>
      </c>
      <c r="G1152" s="6" t="n">
        <f aca="false">Sens!G1147+Sens!G1149+Sens!G1150+Sens!G1151</f>
        <v>237.231658082131</v>
      </c>
      <c r="H1152" s="6" t="n">
        <f aca="false">Sens!H1147+Sens!H1149+Sens!H1150+Sens!H1151</f>
        <v>268.68372037656</v>
      </c>
      <c r="I1152" s="6" t="n">
        <f aca="false">Sens!I1147+Sens!I1149+Sens!I1150+Sens!I1151</f>
        <v>303.25105397363</v>
      </c>
      <c r="J1152" s="6" t="n">
        <f aca="false">Sens!J1147+Sens!J1149+Sens!J1150+Sens!J1151</f>
        <v>332.690145397355</v>
      </c>
      <c r="K1152" s="6" t="n">
        <f aca="false">Sens!K1147+Sens!K1149+Sens!K1150+Sens!K1151</f>
        <v>357.236249483332</v>
      </c>
    </row>
    <row r="1153" customFormat="false" ht="17.15" hidden="false" customHeight="false" outlineLevel="0" collapsed="false">
      <c r="A1153" s="0" t="s">
        <v>943</v>
      </c>
      <c r="B1153" s="0" t="s">
        <v>98</v>
      </c>
      <c r="F1153" s="6" t="n">
        <f aca="false">Sens!F1063</f>
        <v>168.770652770438</v>
      </c>
      <c r="G1153" s="6" t="n">
        <f aca="false">Sens!G1063</f>
        <v>183.5741804832</v>
      </c>
      <c r="H1153" s="6" t="n">
        <f aca="false">Sens!H1063</f>
        <v>188.0802859104</v>
      </c>
      <c r="I1153" s="6" t="n">
        <f aca="false">Sens!I1063</f>
        <v>163.706669154245</v>
      </c>
      <c r="J1153" s="6" t="n">
        <f aca="false">Sens!J1063</f>
        <v>124.51247671809</v>
      </c>
      <c r="K1153" s="6" t="n">
        <f aca="false">Sens!K1063</f>
        <v>114.959435641936</v>
      </c>
    </row>
    <row r="1154" customFormat="false" ht="17.15" hidden="false" customHeight="false" outlineLevel="0" collapsed="false">
      <c r="A1154" s="1" t="s">
        <v>944</v>
      </c>
      <c r="B1154" s="0" t="s">
        <v>98</v>
      </c>
      <c r="E1154" s="6" t="n">
        <f aca="false">Sens!E1071*cx_azo+Sens!E1078*cx_m365+Sens!E1079*cx_lic+(Sens!E1081+Sens!E1083)*cx_ind+Sens!E1086*cx_srch+(Sens!E1088+Sens!E1090)*cx_dev</f>
        <v>30.1846587067718</v>
      </c>
      <c r="F1154" s="6" t="n">
        <f aca="false">Sens!F1071*cx_azo+Sens!F1078*cx_m365+Sens!F1079*cx_lic+(Sens!F1081+Sens!F1083)*cx_ind+Sens!F1086*cx_srch+(Sens!F1088+Sens!F1090)*cx_dev</f>
        <v>35.4293472295625</v>
      </c>
      <c r="G1154" s="6" t="n">
        <f aca="false">Sens!G1071*cx_azo+Sens!G1078*cx_m365+Sens!G1079*cx_lic+(Sens!G1081+Sens!G1083)*cx_ind+Sens!G1086*cx_srch+(Sens!G1088+Sens!G1090)*cx_dev</f>
        <v>40.7028935703892</v>
      </c>
      <c r="H1154" s="6" t="n">
        <f aca="false">Sens!H1071*cx_azo+Sens!H1078*cx_m365+Sens!H1079*cx_lic+(Sens!H1081+Sens!H1083)*cx_ind+Sens!H1086*cx_srch+(Sens!H1088+Sens!H1090)*cx_dev</f>
        <v>46.0615136440897</v>
      </c>
      <c r="I1154" s="6" t="n">
        <f aca="false">Sens!I1071*cx_azo+Sens!I1078*cx_m365+Sens!I1079*cx_lic+(Sens!I1081+Sens!I1083)*cx_ind+Sens!I1086*cx_srch+(Sens!I1088+Sens!I1090)*cx_dev</f>
        <v>51.2234003116439</v>
      </c>
      <c r="J1154" s="6" t="n">
        <f aca="false">Sens!J1071*cx_azo+Sens!J1078*cx_m365+Sens!J1079*cx_lic+(Sens!J1081+Sens!J1083)*cx_ind+Sens!J1086*cx_srch+(Sens!J1088+Sens!J1090)*cx_dev</f>
        <v>55.9559132503738</v>
      </c>
      <c r="K1154" s="6" t="n">
        <f aca="false">Sens!K1071*cx_azo+Sens!K1078*cx_m365+Sens!K1079*cx_lic+(Sens!K1081+Sens!K1083)*cx_ind+Sens!K1086*cx_srch+(Sens!K1088+Sens!K1090)*cx_dev</f>
        <v>60.093702741994</v>
      </c>
    </row>
    <row r="1155" customFormat="false" ht="17.15" hidden="false" customHeight="false" outlineLevel="0" collapsed="false">
      <c r="A1155" s="1" t="s">
        <v>945</v>
      </c>
      <c r="B1155" s="0" t="s">
        <v>98</v>
      </c>
      <c r="E1155" s="6" t="n">
        <f aca="false">Q!M42</f>
        <v>145.3</v>
      </c>
      <c r="F1155" s="6" t="n">
        <f aca="false">Sens!F1153+Sens!F1154</f>
        <v>204.2</v>
      </c>
      <c r="G1155" s="6" t="n">
        <f aca="false">Sens!G1153+Sens!G1154</f>
        <v>224.277074053589</v>
      </c>
      <c r="H1155" s="6" t="n">
        <f aca="false">Sens!H1153+Sens!H1154</f>
        <v>234.14179955449</v>
      </c>
      <c r="I1155" s="6" t="n">
        <f aca="false">Sens!I1153+Sens!I1154</f>
        <v>214.930069465889</v>
      </c>
      <c r="J1155" s="6" t="n">
        <f aca="false">Sens!J1153+Sens!J1154</f>
        <v>180.468389968464</v>
      </c>
      <c r="K1155" s="6" t="n">
        <f aca="false">Sens!K1153+Sens!K1154</f>
        <v>175.05313838393</v>
      </c>
      <c r="L1155" s="1" t="s">
        <v>946</v>
      </c>
    </row>
    <row r="1156" customFormat="false" ht="15" hidden="false" customHeight="false" outlineLevel="0" collapsed="false">
      <c r="A1156" s="1" t="s">
        <v>947</v>
      </c>
      <c r="B1156" s="0" t="s">
        <v>98</v>
      </c>
      <c r="E1156" s="6" t="n">
        <f aca="false">fl_liab</f>
        <v>66.594</v>
      </c>
      <c r="F1156" s="6" t="n">
        <f aca="false">Sens!E1156-Sens!F1157</f>
        <v>62.46973</v>
      </c>
      <c r="G1156" s="6" t="n">
        <f aca="false">Sens!F1156-Sens!G1157</f>
        <v>57.98686785</v>
      </c>
      <c r="H1156" s="6" t="n">
        <f aca="false">Sens!G1156-Sens!H1157</f>
        <v>53.92827690325</v>
      </c>
      <c r="I1156" s="6" t="n">
        <f aca="false">Sens!H1156-Sens!I1157</f>
        <v>49.7850493638962</v>
      </c>
      <c r="J1156" s="6" t="n">
        <f aca="false">Sens!I1156-Sens!J1157</f>
        <v>45.4823765852716</v>
      </c>
      <c r="K1156" s="6" t="n">
        <f aca="false">Sens!J1156-Sens!K1157</f>
        <v>40.9860835316088</v>
      </c>
    </row>
    <row r="1157" customFormat="false" ht="15" hidden="false" customHeight="false" outlineLevel="0" collapsed="false">
      <c r="A1157" s="1" t="s">
        <v>948</v>
      </c>
      <c r="B1157" s="0" t="s">
        <v>98</v>
      </c>
      <c r="F1157" s="6" t="n">
        <f aca="false">fl_pay_27-Sens!E1156*fl_rate</f>
        <v>4.12427</v>
      </c>
      <c r="G1157" s="6" t="n">
        <f aca="false">fl_pay_28-Sens!F1156*fl_rate</f>
        <v>4.48286215</v>
      </c>
      <c r="H1157" s="6" t="n">
        <f aca="false">fl_pay_29-Sens!G1156*fl_rate</f>
        <v>4.05859094675</v>
      </c>
      <c r="I1157" s="6" t="n">
        <f aca="false">fl_pay_30-Sens!H1156*fl_rate</f>
        <v>4.14322753935375</v>
      </c>
      <c r="J1157" s="6" t="n">
        <f aca="false">fl_pay_31-Sens!I1156*fl_rate</f>
        <v>4.30267277862467</v>
      </c>
      <c r="K1157" s="6" t="n">
        <f aca="false">fl_pay_32-Sens!J1156*fl_rate</f>
        <v>4.49629305366278</v>
      </c>
    </row>
    <row r="1158" customFormat="false" ht="17.15" hidden="false" customHeight="false" outlineLevel="0" collapsed="false">
      <c r="A1158" s="1" t="s">
        <v>949</v>
      </c>
      <c r="B1158" s="0" t="s">
        <v>98</v>
      </c>
      <c r="E1158" s="6" t="n">
        <f aca="false">Q!M35-Q!M36-Q!M43</f>
        <v>63.886</v>
      </c>
      <c r="F1158" s="6" t="n">
        <f aca="false">Sens!F1152-Sens!F1155-Sens!F1157</f>
        <v>-9.59279536579493</v>
      </c>
      <c r="G1158" s="6" t="n">
        <f aca="false">Sens!G1152-Sens!G1155-Sens!G1157</f>
        <v>8.47172187854195</v>
      </c>
      <c r="H1158" s="6" t="n">
        <f aca="false">Sens!H1152-Sens!H1155-Sens!H1157</f>
        <v>30.4833298753208</v>
      </c>
      <c r="I1158" s="6" t="n">
        <f aca="false">Sens!I1152-Sens!I1155-Sens!I1157</f>
        <v>84.1777569683865</v>
      </c>
      <c r="J1158" s="6" t="n">
        <f aca="false">Sens!J1152-Sens!J1155-Sens!J1157</f>
        <v>147.919082650266</v>
      </c>
      <c r="K1158" s="6" t="n">
        <f aca="false">Sens!K1152-Sens!K1155-Sens!K1157</f>
        <v>177.686818045739</v>
      </c>
      <c r="L1158" s="11" t="s">
        <v>950</v>
      </c>
    </row>
    <row r="1159" customFormat="false" ht="15" hidden="false" customHeight="false" outlineLevel="0" collapsed="false">
      <c r="A1159" s="1" t="s">
        <v>951</v>
      </c>
      <c r="B1159" s="0" t="s">
        <v>75</v>
      </c>
      <c r="F1159" s="8" t="n">
        <f aca="false">dps_27</f>
        <v>3.85</v>
      </c>
      <c r="G1159" s="8" t="n">
        <f aca="false">Sens!F1159*(1+dps_g)</f>
        <v>4.158</v>
      </c>
      <c r="H1159" s="8" t="n">
        <f aca="false">Sens!G1159*(1+dps_g)</f>
        <v>4.49064</v>
      </c>
      <c r="I1159" s="8" t="n">
        <f aca="false">Sens!H1159*(1+dps_g)</f>
        <v>4.8498912</v>
      </c>
      <c r="J1159" s="8" t="n">
        <f aca="false">Sens!I1159*(1+dps_g)</f>
        <v>5.237882496</v>
      </c>
      <c r="K1159" s="8" t="n">
        <f aca="false">Sens!J1159*(1+dps_g)</f>
        <v>5.65691309568</v>
      </c>
    </row>
    <row r="1160" customFormat="false" ht="17.15" hidden="false" customHeight="false" outlineLevel="0" collapsed="false">
      <c r="A1160" s="1" t="s">
        <v>952</v>
      </c>
      <c r="B1160" s="0" t="s">
        <v>98</v>
      </c>
      <c r="E1160" s="6" t="n">
        <f aca="false">Q!M41</f>
        <v>26.445</v>
      </c>
      <c r="F1160" s="6" t="n">
        <f aca="false">Sens!F1159*Sens!E1169</f>
        <v>28.59395</v>
      </c>
      <c r="G1160" s="6" t="n">
        <f aca="false">Sens!G1159*Sens!F1169</f>
        <v>31.068576</v>
      </c>
      <c r="H1160" s="6" t="n">
        <f aca="false">Sens!H1159*Sens!G1169</f>
        <v>33.75614088</v>
      </c>
      <c r="I1160" s="6" t="n">
        <f aca="false">Sens!I1159*Sens!H1169</f>
        <v>36.6748772544</v>
      </c>
      <c r="J1160" s="6" t="n">
        <f aca="false">Sens!J1159*Sens!I1169</f>
        <v>39.6772662830715</v>
      </c>
      <c r="K1160" s="6" t="n">
        <f aca="false">Sens!K1159*Sens!J1169</f>
        <v>42.9387028110222</v>
      </c>
      <c r="L1160" s="1" t="s">
        <v>953</v>
      </c>
    </row>
    <row r="1161" customFormat="false" ht="15" hidden="false" customHeight="false" outlineLevel="0" collapsed="false">
      <c r="A1161" s="1" t="s">
        <v>954</v>
      </c>
      <c r="B1161" s="0" t="s">
        <v>98</v>
      </c>
      <c r="E1161" s="6" t="n">
        <f aca="false">Sens!E1158-Sens!E1160</f>
        <v>37.441</v>
      </c>
      <c r="F1161" s="6" t="n">
        <f aca="false">Sens!F1158-Sens!F1160</f>
        <v>-38.1867453657949</v>
      </c>
      <c r="G1161" s="6" t="n">
        <f aca="false">Sens!G1158-Sens!G1160</f>
        <v>-22.5968541214581</v>
      </c>
      <c r="H1161" s="6" t="n">
        <f aca="false">Sens!H1158-Sens!H1160</f>
        <v>-3.27281100467917</v>
      </c>
      <c r="I1161" s="6" t="n">
        <f aca="false">Sens!I1158-Sens!I1160</f>
        <v>47.5028797139865</v>
      </c>
      <c r="J1161" s="6" t="n">
        <f aca="false">Sens!J1158-Sens!J1160</f>
        <v>108.241816367194</v>
      </c>
      <c r="K1161" s="6" t="n">
        <f aca="false">Sens!K1158-Sens!K1160</f>
        <v>134.748115234717</v>
      </c>
    </row>
    <row r="1162" customFormat="false" ht="15" hidden="false" customHeight="false" outlineLevel="0" collapsed="false">
      <c r="A1162" s="1" t="s">
        <v>955</v>
      </c>
      <c r="B1162" s="0" t="s">
        <v>98</v>
      </c>
      <c r="F1162" s="6" t="n">
        <f aca="false">debt_mat_27</f>
        <v>9.25</v>
      </c>
      <c r="G1162" s="6" t="n">
        <f aca="false">debt_mat_28</f>
        <v>0</v>
      </c>
      <c r="H1162" s="6" t="n">
        <f aca="false">debt_mat_29</f>
        <v>2.001</v>
      </c>
      <c r="I1162" s="6" t="n">
        <f aca="false">debt_mat_30</f>
        <v>0</v>
      </c>
      <c r="J1162" s="6" t="n">
        <f aca="false">debt_mat_31</f>
        <v>0.5</v>
      </c>
      <c r="K1162" s="6" t="n">
        <f aca="false">debt_mat_32</f>
        <v>0</v>
      </c>
    </row>
    <row r="1163" customFormat="false" ht="15" hidden="false" customHeight="false" outlineLevel="0" collapsed="false">
      <c r="A1163" s="1" t="s">
        <v>956</v>
      </c>
      <c r="B1163" s="0" t="s">
        <v>98</v>
      </c>
      <c r="E1163" s="6" t="n">
        <f aca="false">Q!M40</f>
        <v>22.271</v>
      </c>
      <c r="F1163" s="6" t="n">
        <f aca="false">MAX(0,MIN(bb_target,Sens!E1165+Sens!F1161-Sens!F1162-min_cash))</f>
        <v>0</v>
      </c>
      <c r="G1163" s="6" t="n">
        <f aca="false">MAX(0,MIN(bb_target,Sens!F1165+Sens!G1161-Sens!G1162-min_cash))</f>
        <v>0</v>
      </c>
      <c r="H1163" s="6" t="n">
        <f aca="false">MAX(0,MIN(bb_target,Sens!G1165+Sens!H1161-Sens!H1162-min_cash))</f>
        <v>0</v>
      </c>
      <c r="I1163" s="6" t="n">
        <f aca="false">MAX(0,MIN(bb_target,Sens!H1165+Sens!I1161-Sens!I1162-min_cash))</f>
        <v>22.271</v>
      </c>
      <c r="J1163" s="6" t="n">
        <f aca="false">MAX(0,MIN(bb_target,Sens!I1165+Sens!J1161-Sens!J1162-min_cash))</f>
        <v>22.271</v>
      </c>
      <c r="K1163" s="6" t="n">
        <f aca="false">MAX(0,MIN(bb_target,Sens!J1165+Sens!K1161-Sens!K1162-min_cash))</f>
        <v>22.271</v>
      </c>
    </row>
    <row r="1164" customFormat="false" ht="15" hidden="false" customHeight="false" outlineLevel="0" collapsed="false">
      <c r="A1164" s="1" t="s">
        <v>957</v>
      </c>
      <c r="B1164" s="0" t="s">
        <v>98</v>
      </c>
      <c r="F1164" s="6" t="n">
        <f aca="false">MAX(0,min_cash-(Sens!E1165+Sens!F1161-Sens!F1162-Sens!F1163))</f>
        <v>20.5937453657949</v>
      </c>
      <c r="G1164" s="6" t="n">
        <f aca="false">MAX(0,min_cash-(Sens!F1165+Sens!G1161-Sens!G1162-Sens!G1163))</f>
        <v>22.5968541214581</v>
      </c>
      <c r="H1164" s="6" t="n">
        <f aca="false">MAX(0,min_cash-(Sens!G1165+Sens!H1161-Sens!H1162-Sens!H1163))</f>
        <v>5.27381100467917</v>
      </c>
      <c r="I1164" s="6" t="n">
        <f aca="false">MAX(0,min_cash-(Sens!H1165+Sens!I1161-Sens!I1162-Sens!I1163))</f>
        <v>0</v>
      </c>
      <c r="J1164" s="6" t="n">
        <f aca="false">MAX(0,min_cash-(Sens!I1165+Sens!J1161-Sens!J1162-Sens!J1163))</f>
        <v>0</v>
      </c>
      <c r="K1164" s="6" t="n">
        <f aca="false">MAX(0,min_cash-(Sens!J1165+Sens!K1161-Sens!K1162-Sens!K1163))</f>
        <v>0</v>
      </c>
    </row>
    <row r="1165" customFormat="false" ht="15" hidden="false" customHeight="false" outlineLevel="0" collapsed="false">
      <c r="A1165" s="1" t="s">
        <v>958</v>
      </c>
      <c r="B1165" s="0" t="s">
        <v>98</v>
      </c>
      <c r="E1165" s="6" t="n">
        <f aca="false">cash_open</f>
        <v>76.843</v>
      </c>
      <c r="F1165" s="6" t="n">
        <f aca="false">Sens!E1165+Sens!F1161-Sens!F1162-Sens!F1163+Sens!F1164</f>
        <v>50</v>
      </c>
      <c r="G1165" s="6" t="n">
        <f aca="false">Sens!F1165+Sens!G1161-Sens!G1162-Sens!G1163+Sens!G1164</f>
        <v>50</v>
      </c>
      <c r="H1165" s="6" t="n">
        <f aca="false">Sens!G1165+Sens!H1161-Sens!H1162-Sens!H1163+Sens!H1164</f>
        <v>50</v>
      </c>
      <c r="I1165" s="6" t="n">
        <f aca="false">Sens!H1165+Sens!I1161-Sens!I1162-Sens!I1163+Sens!I1164</f>
        <v>75.2318797139865</v>
      </c>
      <c r="J1165" s="6" t="n">
        <f aca="false">Sens!I1165+Sens!J1161-Sens!J1162-Sens!J1163+Sens!J1164</f>
        <v>160.702696081181</v>
      </c>
      <c r="K1165" s="6" t="n">
        <f aca="false">Sens!J1165+Sens!K1161-Sens!K1162-Sens!K1163+Sens!K1164</f>
        <v>273.179811315898</v>
      </c>
    </row>
    <row r="1166" customFormat="false" ht="15" hidden="false" customHeight="false" outlineLevel="0" collapsed="false">
      <c r="A1166" s="1" t="s">
        <v>959</v>
      </c>
      <c r="B1166" s="0" t="s">
        <v>98</v>
      </c>
      <c r="E1166" s="6" t="n">
        <f aca="false">debt_face</f>
        <v>46.136</v>
      </c>
      <c r="F1166" s="6" t="n">
        <f aca="false">Sens!E1166-Sens!F1162+Sens!F1164</f>
        <v>57.4797453657949</v>
      </c>
      <c r="G1166" s="6" t="n">
        <f aca="false">Sens!F1166-Sens!G1162+Sens!G1164</f>
        <v>80.076599487253</v>
      </c>
      <c r="H1166" s="6" t="n">
        <f aca="false">Sens!G1166-Sens!H1162+Sens!H1164</f>
        <v>83.3494104919322</v>
      </c>
      <c r="I1166" s="6" t="n">
        <f aca="false">Sens!H1166-Sens!I1162+Sens!I1164</f>
        <v>83.3494104919322</v>
      </c>
      <c r="J1166" s="6" t="n">
        <f aca="false">Sens!I1166-Sens!J1162+Sens!J1164</f>
        <v>82.8494104919322</v>
      </c>
      <c r="K1166" s="6" t="n">
        <f aca="false">Sens!J1166-Sens!K1162+Sens!K1164</f>
        <v>82.8494104919322</v>
      </c>
    </row>
    <row r="1167" customFormat="false" ht="15" hidden="false" customHeight="false" outlineLevel="0" collapsed="false">
      <c r="A1167" s="1" t="s">
        <v>960</v>
      </c>
      <c r="B1167" s="0" t="s">
        <v>98</v>
      </c>
      <c r="E1167" s="6" t="n">
        <f aca="false">Sens!E1165-Sens!E1166</f>
        <v>30.707</v>
      </c>
      <c r="F1167" s="6" t="n">
        <f aca="false">Sens!F1165-Sens!F1166</f>
        <v>-7.47974536579493</v>
      </c>
      <c r="G1167" s="6" t="n">
        <f aca="false">Sens!G1165-Sens!G1166</f>
        <v>-30.076599487253</v>
      </c>
      <c r="H1167" s="6" t="n">
        <f aca="false">Sens!H1165-Sens!H1166</f>
        <v>-33.3494104919322</v>
      </c>
      <c r="I1167" s="6" t="n">
        <f aca="false">Sens!I1165-Sens!I1166</f>
        <v>-8.11753077794567</v>
      </c>
      <c r="J1167" s="6" t="n">
        <f aca="false">Sens!J1165-Sens!J1166</f>
        <v>77.8532855892486</v>
      </c>
      <c r="K1167" s="6" t="n">
        <f aca="false">Sens!K1165-Sens!K1166</f>
        <v>190.330400823966</v>
      </c>
    </row>
    <row r="1168" customFormat="false" ht="15" hidden="false" customHeight="false" outlineLevel="0" collapsed="false">
      <c r="A1168" s="1" t="s">
        <v>961</v>
      </c>
      <c r="B1168" s="0" t="s">
        <v>75</v>
      </c>
      <c r="F1168" s="29" t="n">
        <f aca="false">px*(1+bb_g)^(Sens!F1032-base_fy-mid_yr)</f>
        <v>553.494156066711</v>
      </c>
      <c r="G1168" s="29" t="n">
        <f aca="false">px*(1+bb_g)^(Sens!G1032-base_fy-mid_yr)</f>
        <v>597.773688552047</v>
      </c>
      <c r="H1168" s="29" t="n">
        <f aca="false">px*(1+bb_g)^(Sens!H1032-base_fy-mid_yr)</f>
        <v>645.595583636211</v>
      </c>
      <c r="I1168" s="29" t="n">
        <f aca="false">px*(1+bb_g)^(Sens!I1032-base_fy-mid_yr)</f>
        <v>697.243230327108</v>
      </c>
      <c r="J1168" s="29" t="n">
        <f aca="false">px*(1+bb_g)^(Sens!J1032-base_fy-mid_yr)</f>
        <v>753.022688753277</v>
      </c>
      <c r="K1168" s="29" t="n">
        <f aca="false">px*(1+bb_g)^(Sens!K1032-base_fy-mid_yr)</f>
        <v>813.264503853539</v>
      </c>
    </row>
    <row r="1169" customFormat="false" ht="15" hidden="false" customHeight="false" outlineLevel="0" collapsed="false">
      <c r="A1169" s="1" t="s">
        <v>962</v>
      </c>
      <c r="B1169" s="1" t="s">
        <v>81</v>
      </c>
      <c r="E1169" s="14" t="n">
        <f aca="false">sh_out26</f>
        <v>7.427</v>
      </c>
      <c r="F1169" s="14" t="n">
        <f aca="false">Sens!E1169+sh_iss-Sens!F1163/Sens!F1168</f>
        <v>7.472</v>
      </c>
      <c r="G1169" s="14" t="n">
        <f aca="false">Sens!F1169+sh_iss-Sens!G1163/Sens!G1168</f>
        <v>7.517</v>
      </c>
      <c r="H1169" s="14" t="n">
        <f aca="false">Sens!G1169+sh_iss-Sens!H1163/Sens!H1168</f>
        <v>7.562</v>
      </c>
      <c r="I1169" s="14" t="n">
        <f aca="false">Sens!H1169+sh_iss-Sens!I1163/Sens!I1168</f>
        <v>7.57505849231472</v>
      </c>
      <c r="J1169" s="14" t="n">
        <f aca="false">Sens!I1169+sh_iss-Sens!J1163/Sens!J1168</f>
        <v>7.59048302223576</v>
      </c>
      <c r="K1169" s="14" t="n">
        <f aca="false">Sens!J1169+sh_iss-Sens!K1163/Sens!K1168</f>
        <v>7.60809832771821</v>
      </c>
    </row>
    <row r="1170" customFormat="false" ht="15" hidden="false" customHeight="false" outlineLevel="0" collapsed="false">
      <c r="A1170" s="1" t="s">
        <v>963</v>
      </c>
      <c r="B1170" s="1" t="s">
        <v>81</v>
      </c>
      <c r="E1170" s="14" t="n">
        <f aca="false">sh_dil26</f>
        <v>7.453</v>
      </c>
      <c r="F1170" s="14" t="n">
        <f aca="false">(Sens!E1169+Sens!F1169)/2+dil_gap</f>
        <v>7.4735</v>
      </c>
      <c r="G1170" s="14" t="n">
        <f aca="false">(Sens!F1169+Sens!G1169)/2+dil_gap</f>
        <v>7.5185</v>
      </c>
      <c r="H1170" s="14" t="n">
        <f aca="false">(Sens!G1169+Sens!H1169)/2+dil_gap</f>
        <v>7.5635</v>
      </c>
      <c r="I1170" s="14" t="n">
        <f aca="false">(Sens!H1169+Sens!I1169)/2+dil_gap</f>
        <v>7.59252924615736</v>
      </c>
      <c r="J1170" s="14" t="n">
        <f aca="false">(Sens!I1169+Sens!J1169)/2+dil_gap</f>
        <v>7.60677075727524</v>
      </c>
      <c r="K1170" s="14" t="n">
        <f aca="false">(Sens!J1169+Sens!K1169)/2+dil_gap</f>
        <v>7.62329067497699</v>
      </c>
    </row>
    <row r="1171" customFormat="false" ht="17.15" hidden="false" customHeight="false" outlineLevel="0" collapsed="false">
      <c r="A1171" s="1" t="s">
        <v>964</v>
      </c>
      <c r="B1171" s="0" t="s">
        <v>98</v>
      </c>
      <c r="C1171" s="6" t="n">
        <f aca="false">SUM(Sens!F1161:J1161)</f>
        <v>91.6882855892486</v>
      </c>
    </row>
    <row r="1172" customFormat="false" ht="15" hidden="false" customHeight="false" outlineLevel="0" collapsed="false">
      <c r="A1172" s="23" t="s">
        <v>935</v>
      </c>
      <c r="B1172" s="30" t="s">
        <v>98</v>
      </c>
      <c r="C1172" s="24" t="n">
        <f aca="false">Sens!$C$1171-(Sens!F1161+Sens!G1161+Sens!H1161+Sens!I1161+Sens!J1161)</f>
        <v>0</v>
      </c>
      <c r="D1172" s="30"/>
      <c r="E1172" s="30"/>
      <c r="F1172" s="30"/>
      <c r="G1172" s="30"/>
      <c r="H1172" s="30"/>
      <c r="I1172" s="30"/>
      <c r="J1172" s="30"/>
      <c r="K1172" s="30"/>
    </row>
    <row r="1173" customFormat="false" ht="17.15" hidden="false" customHeight="false" outlineLevel="0" collapsed="false">
      <c r="A1173" s="1" t="s">
        <v>929</v>
      </c>
      <c r="B1173" s="1" t="s">
        <v>965</v>
      </c>
      <c r="C1173" s="32" t="str">
        <f aca="false">IF(SUM(Sens!F1164:J1164)&gt;0.05,"需要舉債 "&amp;TEXT(SUM(Sens!F1164:J1164),"0.0")&amp;" 十億美元","不需舉債")&amp;"；"&amp;IF(SUM(Sens!F1163:J1163)&lt;COUNT(Sens!F1163:J1163)*bb_target-0.05,"回購較每年 "&amp;TEXT(bb_target,"0.0")&amp;" 的目標少 "&amp;TEXT(COUNT(Sens!F1163:J1163)*bb_target-SUM(Sens!F1163:J1163),"0.0")&amp;" 十億美元（"&amp;TEXT(COUNTIF(Sens!F1163:J1163,"&lt;"&amp;(bb_target-0.05)),"0")&amp;" 年減少）","回購不減")</f>
        <v>需要舉債 48.5 十億美元；回購較每年 22.3 的目標少 66.8 十億美元（3 年減少）</v>
      </c>
    </row>
    <row r="1174" customFormat="false" ht="17.15" hidden="false" customHeight="false" outlineLevel="0" collapsed="false">
      <c r="A1174" s="3" t="s">
        <v>1263</v>
      </c>
    </row>
    <row r="1175" customFormat="false" ht="15" hidden="false" customHeight="false" outlineLevel="0" collapsed="false">
      <c r="A1175" s="4" t="s">
        <v>43</v>
      </c>
      <c r="B1175" s="4" t="s">
        <v>65</v>
      </c>
      <c r="C1175" s="20" t="s">
        <v>788</v>
      </c>
      <c r="D1175" s="20" t="s">
        <v>789</v>
      </c>
      <c r="E1175" s="20" t="s">
        <v>790</v>
      </c>
      <c r="F1175" s="20" t="s">
        <v>791</v>
      </c>
      <c r="G1175" s="20" t="s">
        <v>792</v>
      </c>
      <c r="H1175" s="20" t="s">
        <v>793</v>
      </c>
      <c r="I1175" s="20" t="s">
        <v>794</v>
      </c>
      <c r="J1175" s="20" t="s">
        <v>795</v>
      </c>
      <c r="K1175" s="20" t="s">
        <v>796</v>
      </c>
      <c r="L1175" s="4" t="s">
        <v>47</v>
      </c>
    </row>
    <row r="1176" customFormat="false" ht="15" hidden="false" customHeight="false" outlineLevel="0" collapsed="false">
      <c r="A1176" s="1" t="s">
        <v>1042</v>
      </c>
      <c r="B1176" s="1" t="s">
        <v>235</v>
      </c>
      <c r="F1176" s="36" t="n">
        <f aca="false">Sens!F1032-base_fy-mid_yr</f>
        <v>0.5</v>
      </c>
      <c r="G1176" s="36" t="n">
        <f aca="false">Sens!G1032-base_fy-mid_yr</f>
        <v>1.5</v>
      </c>
      <c r="H1176" s="36" t="n">
        <f aca="false">Sens!H1032-base_fy-mid_yr</f>
        <v>2.5</v>
      </c>
      <c r="I1176" s="36" t="n">
        <f aca="false">Sens!I1032-base_fy-mid_yr</f>
        <v>3.5</v>
      </c>
      <c r="J1176" s="36" t="n">
        <f aca="false">Sens!J1032-base_fy-mid_yr</f>
        <v>4.5</v>
      </c>
      <c r="K1176" s="36" t="n">
        <f aca="false">Sens!K1032-base_fy-mid_yr</f>
        <v>5.5</v>
      </c>
    </row>
    <row r="1177" customFormat="false" ht="15" hidden="false" customHeight="false" outlineLevel="0" collapsed="false">
      <c r="A1177" s="1" t="s">
        <v>1043</v>
      </c>
      <c r="B1177" s="0" t="s">
        <v>185</v>
      </c>
      <c r="F1177" s="14" t="n">
        <f aca="false">1/(1+wacc)^Sens!F1176</f>
        <v>0.952193373608246</v>
      </c>
      <c r="G1177" s="14" t="n">
        <f aca="false">1/(1+wacc)^Sens!G1176</f>
        <v>0.863327280626589</v>
      </c>
      <c r="H1177" s="14" t="n">
        <f aca="false">1/(1+wacc)^Sens!H1176</f>
        <v>0.782754862754115</v>
      </c>
      <c r="I1177" s="14" t="n">
        <f aca="false">1/(1+wacc)^Sens!I1176</f>
        <v>0.709702089711011</v>
      </c>
      <c r="J1177" s="14" t="n">
        <f aca="false">1/(1+wacc)^Sens!J1176</f>
        <v>0.643467169744551</v>
      </c>
      <c r="K1177" s="14" t="n">
        <f aca="false">1/(1+wacc)^Sens!K1176</f>
        <v>0.583413807767797</v>
      </c>
    </row>
    <row r="1178" customFormat="false" ht="17.15" hidden="false" customHeight="false" outlineLevel="0" collapsed="false">
      <c r="A1178" s="1" t="s">
        <v>1044</v>
      </c>
      <c r="B1178" s="0" t="s">
        <v>98</v>
      </c>
      <c r="F1178" s="6" t="n">
        <f aca="false">Sens!F1152-Sens!F1150-Sens!F1155+Sens!F1136*(1-tax_f)</f>
        <v>-3.26087569441281</v>
      </c>
      <c r="G1178" s="6" t="n">
        <f aca="false">Sens!G1152-Sens!G1150-Sens!G1155+Sens!G1136*(1-tax_f)</f>
        <v>26.4789417513563</v>
      </c>
      <c r="H1178" s="6" t="n">
        <f aca="false">Sens!H1152-Sens!H1150-Sens!H1155+Sens!H1136*(1-tax_f)</f>
        <v>60.5861259260614</v>
      </c>
      <c r="I1178" s="6" t="n">
        <f aca="false">Sens!I1152-Sens!I1150-Sens!I1155+Sens!I1136*(1-tax_f)</f>
        <v>125.32114996165</v>
      </c>
      <c r="J1178" s="6" t="n">
        <f aca="false">Sens!J1152-Sens!J1150-Sens!J1155+Sens!J1136*(1-tax_f)</f>
        <v>196.547278243185</v>
      </c>
      <c r="K1178" s="6" t="n">
        <f aca="false">Sens!K1152-Sens!K1150-Sens!K1155+Sens!K1136*(1-tax_f)</f>
        <v>230.376971419237</v>
      </c>
      <c r="L1178" s="1" t="s">
        <v>1045</v>
      </c>
    </row>
    <row r="1179" customFormat="false" ht="15" hidden="false" customHeight="false" outlineLevel="0" collapsed="false">
      <c r="A1179" s="1" t="s">
        <v>1046</v>
      </c>
      <c r="B1179" s="0" t="s">
        <v>98</v>
      </c>
      <c r="F1179" s="6" t="n">
        <f aca="false">Sens!F1178*Sens!F1177</f>
        <v>-3.10498422838006</v>
      </c>
      <c r="G1179" s="6" t="n">
        <f aca="false">Sens!G1178*Sens!G1177</f>
        <v>22.8599927760682</v>
      </c>
      <c r="H1179" s="6" t="n">
        <f aca="false">Sens!H1178*Sens!H1177</f>
        <v>47.4240846840578</v>
      </c>
      <c r="I1179" s="6" t="n">
        <f aca="false">Sens!I1178*Sens!I1177</f>
        <v>88.9406820127697</v>
      </c>
      <c r="J1179" s="6" t="n">
        <f aca="false">Sens!J1178*Sens!J1177</f>
        <v>126.471720852137</v>
      </c>
      <c r="K1179" s="6" t="n">
        <f aca="false">Sens!K1178*Sens!K1177</f>
        <v>134.40510611771</v>
      </c>
    </row>
    <row r="1180" customFormat="false" ht="17.15" hidden="false" customHeight="false" outlineLevel="0" collapsed="false">
      <c r="A1180" s="1" t="s">
        <v>1047</v>
      </c>
      <c r="B1180" s="0" t="s">
        <v>98</v>
      </c>
      <c r="C1180" s="6" t="n">
        <f aca="false">SUM(Sens!F1179:K1179)</f>
        <v>416.996602214363</v>
      </c>
    </row>
    <row r="1181" customFormat="false" ht="17.15" hidden="false" customHeight="false" outlineLevel="0" collapsed="false">
      <c r="A1181" s="1" t="s">
        <v>1048</v>
      </c>
      <c r="B1181" s="0" t="s">
        <v>98</v>
      </c>
      <c r="C1181" s="6" t="n">
        <f aca="false">Sens!K1122*(1+g_tv)*(1-tax_f)</f>
        <v>237.877789458845</v>
      </c>
    </row>
    <row r="1182" customFormat="false" ht="17.15" hidden="false" customHeight="false" outlineLevel="0" collapsed="false">
      <c r="A1182" s="1" t="s">
        <v>1049</v>
      </c>
      <c r="B1182" s="0" t="s">
        <v>98</v>
      </c>
      <c r="C1182" s="6" t="n">
        <f aca="false">Sens!$C$1181*(1-g_tv/(wacc+ronic_prem))</f>
        <v>168.548854809712</v>
      </c>
    </row>
    <row r="1183" customFormat="false" ht="17.15" hidden="false" customHeight="false" outlineLevel="0" collapsed="false">
      <c r="A1183" s="1" t="s">
        <v>1050</v>
      </c>
      <c r="B1183" s="0" t="s">
        <v>98</v>
      </c>
      <c r="C1183" s="6" t="n">
        <f aca="false">Sens!$C$1182/(wacc-g_tv)</f>
        <v>2310.96448830442</v>
      </c>
    </row>
    <row r="1184" customFormat="false" ht="15" hidden="false" customHeight="false" outlineLevel="0" collapsed="false">
      <c r="A1184" s="1" t="s">
        <v>1051</v>
      </c>
      <c r="B1184" s="0" t="s">
        <v>98</v>
      </c>
      <c r="C1184" s="6" t="n">
        <f aca="false">Sens!$C$1183/(1+wacc)^(Sens!K1176+mid_yr)</f>
        <v>1283.79337502942</v>
      </c>
    </row>
    <row r="1185" customFormat="false" ht="17.15" hidden="false" customHeight="false" outlineLevel="0" collapsed="false">
      <c r="A1185" s="0" t="s">
        <v>972</v>
      </c>
      <c r="B1185" s="0" t="s">
        <v>98</v>
      </c>
      <c r="C1185" s="6" t="n">
        <f aca="false">Sens!$C$1180+Sens!$C$1184</f>
        <v>1700.78997724379</v>
      </c>
    </row>
    <row r="1186" customFormat="false" ht="15" hidden="false" customHeight="false" outlineLevel="0" collapsed="false">
      <c r="A1186" s="1" t="s">
        <v>973</v>
      </c>
      <c r="B1186" s="0" t="s">
        <v>129</v>
      </c>
      <c r="C1186" s="7" t="n">
        <f aca="false">Sens!$C$1184/Sens!$C$1185</f>
        <v>0.754821813513902</v>
      </c>
    </row>
    <row r="1187" customFormat="false" ht="17.15" hidden="false" customHeight="false" outlineLevel="0" collapsed="false">
      <c r="A1187" s="1" t="s">
        <v>1052</v>
      </c>
      <c r="B1187" s="0" t="s">
        <v>98</v>
      </c>
      <c r="C1187" s="6" t="n">
        <f aca="false">Sens!$C$1185+Sens!E1167-Sens!E1156+oai_v</f>
        <v>1835.30297724379</v>
      </c>
    </row>
    <row r="1188" customFormat="false" ht="17.15" hidden="false" customHeight="false" outlineLevel="0" collapsed="false">
      <c r="A1188" s="0" t="s">
        <v>980</v>
      </c>
      <c r="B1188" s="0" t="s">
        <v>75</v>
      </c>
      <c r="C1188" s="5" t="n">
        <f aca="false">Sens!$C$1187/sh_dil26</f>
        <v>246.250231751481</v>
      </c>
    </row>
    <row r="1189" customFormat="false" ht="15" hidden="false" customHeight="false" outlineLevel="0" collapsed="false">
      <c r="A1189" s="1" t="s">
        <v>1053</v>
      </c>
      <c r="B1189" s="0" t="s">
        <v>75</v>
      </c>
      <c r="C1189" s="8" t="n">
        <f aca="false">dps_27+Sens!G1159*roll_div_q/q_per_yr</f>
        <v>4.8895</v>
      </c>
    </row>
    <row r="1190" customFormat="false" ht="17.15" hidden="false" customHeight="false" outlineLevel="0" collapsed="false">
      <c r="A1190" s="0" t="s">
        <v>1054</v>
      </c>
      <c r="B1190" s="0" t="s">
        <v>75</v>
      </c>
      <c r="C1190" s="5" t="n">
        <f aca="false">Sens!$C$1188*(1+wacc)^t_roll-Sens!$C$1189</f>
        <v>275.523861073863</v>
      </c>
    </row>
    <row r="1191" customFormat="false" ht="17.15" hidden="false" customHeight="false" outlineLevel="0" collapsed="false">
      <c r="A1191" s="1" t="s">
        <v>1055</v>
      </c>
      <c r="B1191" s="0" t="s">
        <v>129</v>
      </c>
      <c r="F1191" s="7" t="n">
        <f aca="false">Sens!F1148/(Sens!F1093-Sens!F1049)</f>
        <v>0.0686864325746334</v>
      </c>
      <c r="G1191" s="7" t="n">
        <f aca="false">Sens!G1148/(Sens!G1093-Sens!G1049)</f>
        <v>0.066267001590801</v>
      </c>
      <c r="H1191" s="7" t="n">
        <f aca="false">Sens!H1148/(Sens!H1093-Sens!H1049)</f>
        <v>0.0650366246750144</v>
      </c>
      <c r="I1191" s="7" t="n">
        <f aca="false">Sens!I1148/(Sens!I1093-Sens!I1049)</f>
        <v>0.0648573271390164</v>
      </c>
      <c r="J1191" s="7" t="n">
        <f aca="false">Sens!J1148/(Sens!J1093-Sens!J1049)</f>
        <v>0.0655189837669657</v>
      </c>
      <c r="K1191" s="7" t="n">
        <f aca="false">Sens!K1148/(Sens!K1093-Sens!K1049)</f>
        <v>0.0667878921367872</v>
      </c>
    </row>
    <row r="1192" customFormat="false" ht="17.15" hidden="false" customHeight="false" outlineLevel="0" collapsed="false">
      <c r="A1192" s="0" t="s">
        <v>1056</v>
      </c>
      <c r="B1192" s="0" t="s">
        <v>98</v>
      </c>
      <c r="F1192" s="6" t="n">
        <f aca="false">Sens!F1078*(al_m365+Sens!F1191+sbc_r)</f>
        <v>82.8871280343675</v>
      </c>
      <c r="G1192" s="6" t="n">
        <f aca="false">Sens!G1078*(al_m365+Sens!G1191+sbc_r)</f>
        <v>93.2646494841949</v>
      </c>
      <c r="H1192" s="6" t="n">
        <f aca="false">Sens!H1078*(al_m365+Sens!H1191+sbc_r)</f>
        <v>103.801656157254</v>
      </c>
      <c r="I1192" s="6" t="n">
        <f aca="false">Sens!I1078*(al_m365+Sens!I1191+sbc_r)</f>
        <v>113.821873816133</v>
      </c>
      <c r="J1192" s="6" t="n">
        <f aca="false">Sens!J1078*(al_m365+Sens!J1191+sbc_r)</f>
        <v>123.136196807334</v>
      </c>
      <c r="K1192" s="6" t="n">
        <f aca="false">Sens!K1078*(al_m365+Sens!K1191+sbc_r)</f>
        <v>132.051675801964</v>
      </c>
      <c r="L1192" s="11" t="s">
        <v>1057</v>
      </c>
    </row>
    <row r="1193" customFormat="false" ht="17.15" hidden="false" customHeight="false" outlineLevel="0" collapsed="false">
      <c r="A1193" s="0" t="s">
        <v>1058</v>
      </c>
      <c r="B1193" s="0" t="s">
        <v>98</v>
      </c>
      <c r="F1193" s="6" t="n">
        <f aca="false">Sens!F1079*(al_lic+Sens!F1191+sbc_r)</f>
        <v>33.4484001235218</v>
      </c>
      <c r="G1193" s="6" t="n">
        <f aca="false">Sens!G1079*(al_lic+Sens!G1191+sbc_r)</f>
        <v>34.7662136749183</v>
      </c>
      <c r="H1193" s="6" t="n">
        <f aca="false">Sens!H1079*(al_lic+Sens!H1191+sbc_r)</f>
        <v>35.9922067034497</v>
      </c>
      <c r="I1193" s="6" t="n">
        <f aca="false">Sens!I1079*(al_lic+Sens!I1191+sbc_r)</f>
        <v>37.1063543598183</v>
      </c>
      <c r="J1193" s="6" t="n">
        <f aca="false">Sens!J1079*(al_lic+Sens!J1191+sbc_r)</f>
        <v>38.0853056964387</v>
      </c>
      <c r="K1193" s="6" t="n">
        <f aca="false">Sens!K1079*(al_lic+Sens!K1191+sbc_r)</f>
        <v>38.9048066370724</v>
      </c>
    </row>
    <row r="1194" customFormat="false" ht="17.15" hidden="false" customHeight="false" outlineLevel="0" collapsed="false">
      <c r="A1194" s="0" t="s">
        <v>1059</v>
      </c>
      <c r="B1194" s="0" t="s">
        <v>98</v>
      </c>
      <c r="F1194" s="6" t="n">
        <f aca="false">Sens!F1081*(al_ind+Sens!F1191+sbc_r)</f>
        <v>9.07857451914073</v>
      </c>
      <c r="G1194" s="6" t="n">
        <f aca="false">Sens!G1081*(al_ind+Sens!G1191+sbc_r)</f>
        <v>9.86487802721884</v>
      </c>
      <c r="H1194" s="6" t="n">
        <f aca="false">Sens!H1081*(al_ind+Sens!H1191+sbc_r)</f>
        <v>10.693809720013</v>
      </c>
      <c r="I1194" s="6" t="n">
        <f aca="false">Sens!I1081*(al_ind+Sens!I1191+sbc_r)</f>
        <v>11.5608645999226</v>
      </c>
      <c r="J1194" s="6" t="n">
        <f aca="false">Sens!J1081*(al_ind+Sens!J1191+sbc_r)</f>
        <v>12.4574161941375</v>
      </c>
      <c r="K1194" s="6" t="n">
        <f aca="false">Sens!K1081*(al_ind+Sens!K1191+sbc_r)</f>
        <v>13.3714153876622</v>
      </c>
    </row>
    <row r="1195" customFormat="false" ht="17.15" hidden="false" customHeight="false" outlineLevel="0" collapsed="false">
      <c r="A1195" s="0" t="s">
        <v>1060</v>
      </c>
      <c r="B1195" s="0" t="s">
        <v>98</v>
      </c>
      <c r="F1195" s="6" t="n">
        <f aca="false">Sens!F1083*(al_fro+Sens!F1191+sbc_r)</f>
        <v>3.57335880380168</v>
      </c>
      <c r="G1195" s="6" t="n">
        <f aca="false">Sens!G1083*(al_fro+Sens!G1191+sbc_r)</f>
        <v>3.78752993435501</v>
      </c>
      <c r="H1195" s="6" t="n">
        <f aca="false">Sens!H1083*(al_fro+Sens!H1191+sbc_r)</f>
        <v>4.02979352544868</v>
      </c>
      <c r="I1195" s="6" t="n">
        <f aca="false">Sens!I1083*(al_fro+Sens!I1191+sbc_r)</f>
        <v>4.30248328262388</v>
      </c>
      <c r="J1195" s="6" t="n">
        <f aca="false">Sens!J1083*(al_fro+Sens!J1191+sbc_r)</f>
        <v>4.6072312462081</v>
      </c>
      <c r="K1195" s="6" t="n">
        <f aca="false">Sens!K1083*(al_fro+Sens!K1191+sbc_r)</f>
        <v>4.94526327289735</v>
      </c>
    </row>
    <row r="1196" customFormat="false" ht="17.15" hidden="false" customHeight="false" outlineLevel="0" collapsed="false">
      <c r="A1196" s="0" t="s">
        <v>1061</v>
      </c>
      <c r="B1196" s="0" t="s">
        <v>98</v>
      </c>
      <c r="F1196" s="6" t="n">
        <f aca="false">Sens!F1086*(al_srch+Sens!F1191+sbc_r)</f>
        <v>11.2121706988551</v>
      </c>
      <c r="G1196" s="6" t="n">
        <f aca="false">Sens!G1086*(al_srch+Sens!G1191+sbc_r)</f>
        <v>12.298220751086</v>
      </c>
      <c r="H1196" s="6" t="n">
        <f aca="false">Sens!H1086*(al_srch+Sens!H1191+sbc_r)</f>
        <v>13.4264661389574</v>
      </c>
      <c r="I1196" s="6" t="n">
        <f aca="false">Sens!I1086*(al_srch+Sens!I1191+sbc_r)</f>
        <v>14.5842947685169</v>
      </c>
      <c r="J1196" s="6" t="n">
        <f aca="false">Sens!J1086*(al_srch+Sens!J1191+sbc_r)</f>
        <v>15.7529827260804</v>
      </c>
      <c r="K1196" s="6" t="n">
        <f aca="false">Sens!K1086*(al_srch+Sens!K1191+sbc_r)</f>
        <v>16.908777257054</v>
      </c>
    </row>
    <row r="1197" customFormat="false" ht="17.15" hidden="false" customHeight="false" outlineLevel="0" collapsed="false">
      <c r="A1197" s="0" t="s">
        <v>1062</v>
      </c>
      <c r="B1197" s="0" t="s">
        <v>98</v>
      </c>
      <c r="F1197" s="6" t="n">
        <f aca="false">Sens!F1055-Sens!F1056+Sens!F1136</f>
        <v>41.7173827961608</v>
      </c>
      <c r="G1197" s="6" t="n">
        <f aca="false">Sens!G1055-Sens!G1056+Sens!G1136</f>
        <v>67.8988809301065</v>
      </c>
      <c r="H1197" s="6" t="n">
        <f aca="false">Sens!H1055-Sens!H1056+Sens!H1136</f>
        <v>91.752607654716</v>
      </c>
      <c r="I1197" s="6" t="n">
        <f aca="false">Sens!I1055-Sens!I1056+Sens!I1136</f>
        <v>118.707198886787</v>
      </c>
      <c r="J1197" s="6" t="n">
        <f aca="false">Sens!J1055-Sens!J1056+Sens!J1136</f>
        <v>137.750088641903</v>
      </c>
      <c r="K1197" s="6" t="n">
        <f aca="false">Sens!K1055-Sens!K1056+Sens!K1136</f>
        <v>149.780027536723</v>
      </c>
    </row>
    <row r="1198" customFormat="false" ht="17.15" hidden="false" customHeight="false" outlineLevel="0" collapsed="false">
      <c r="A1198" s="0" t="s">
        <v>1063</v>
      </c>
      <c r="B1198" s="0" t="s">
        <v>98</v>
      </c>
      <c r="F1198" s="6" t="n">
        <f aca="false">Sens!F1115+Sens!F1136+Sens!F1066+Sens!F1191*(Sens!F1085-Sens!F1049)+sbc_r*Sens!F1085</f>
        <v>231.338428121743</v>
      </c>
      <c r="G1198" s="6" t="n">
        <f aca="false">Sens!G1115+Sens!G1136+Sens!G1066+Sens!G1191*(Sens!G1085-Sens!G1049)+sbc_r*Sens!G1085</f>
        <v>282.195331154643</v>
      </c>
      <c r="H1198" s="6" t="n">
        <f aca="false">Sens!H1115+Sens!H1136+Sens!H1066+Sens!H1191*(Sens!H1085-Sens!H1049)+sbc_r*Sens!H1085</f>
        <v>331.029284329932</v>
      </c>
      <c r="I1198" s="6" t="n">
        <f aca="false">Sens!I1115+Sens!I1136+Sens!I1066+Sens!I1191*(Sens!I1085-Sens!I1049)+sbc_r*Sens!I1085</f>
        <v>382.329927523701</v>
      </c>
      <c r="J1198" s="6" t="n">
        <f aca="false">Sens!J1115+Sens!J1136+Sens!J1066+Sens!J1191*(Sens!J1085-Sens!J1049)+sbc_r*Sens!J1085</f>
        <v>423.863818817334</v>
      </c>
      <c r="K1198" s="6" t="n">
        <f aca="false">Sens!K1115+Sens!K1136+Sens!K1066+Sens!K1191*(Sens!K1085-Sens!K1049)+sbc_r*Sens!K1085</f>
        <v>456.118815494269</v>
      </c>
    </row>
    <row r="1199" customFormat="false" ht="17.15" hidden="false" customHeight="false" outlineLevel="0" collapsed="false">
      <c r="A1199" s="0" t="s">
        <v>1064</v>
      </c>
      <c r="B1199" s="0" t="s">
        <v>98</v>
      </c>
      <c r="F1199" s="6" t="n">
        <f aca="false">Sens!F1198-Sens!F1192-Sens!F1193-Sens!F1194-Sens!F1195-Sens!F1197</f>
        <v>60.6335838447504</v>
      </c>
      <c r="G1199" s="6" t="n">
        <f aca="false">Sens!G1198-Sens!G1192-Sens!G1193-Sens!G1194-Sens!G1195-Sens!G1197</f>
        <v>72.613179103849</v>
      </c>
      <c r="H1199" s="6" t="n">
        <f aca="false">Sens!H1198-Sens!H1192-Sens!H1193-Sens!H1194-Sens!H1195-Sens!H1197</f>
        <v>84.7592105690509</v>
      </c>
      <c r="I1199" s="6" t="n">
        <f aca="false">Sens!I1198-Sens!I1192-Sens!I1193-Sens!I1194-Sens!I1195-Sens!I1197</f>
        <v>96.8311525784154</v>
      </c>
      <c r="J1199" s="6" t="n">
        <f aca="false">Sens!J1198-Sens!J1192-Sens!J1193-Sens!J1194-Sens!J1195-Sens!J1197</f>
        <v>107.827580231312</v>
      </c>
      <c r="K1199" s="6" t="n">
        <f aca="false">Sens!K1198-Sens!K1192-Sens!K1193-Sens!K1194-Sens!K1195-Sens!K1197</f>
        <v>117.065626857949</v>
      </c>
    </row>
    <row r="1200" customFormat="false" ht="17.15" hidden="false" customHeight="false" outlineLevel="0" collapsed="false">
      <c r="A1200" s="0" t="s">
        <v>1065</v>
      </c>
      <c r="B1200" s="0" t="s">
        <v>98</v>
      </c>
      <c r="F1200" s="6" t="n">
        <f aca="false">Sens!F1117+Sens!F1191*Sens!F1092+sbc_r*Sens!F1092</f>
        <v>26.2049549828959</v>
      </c>
      <c r="G1200" s="6" t="n">
        <f aca="false">Sens!G1117+Sens!G1191*Sens!G1092+sbc_r*Sens!G1092</f>
        <v>26.8405806403664</v>
      </c>
      <c r="H1200" s="6" t="n">
        <f aca="false">Sens!H1117+Sens!H1191*Sens!H1092+sbc_r*Sens!H1092</f>
        <v>27.7352032470138</v>
      </c>
      <c r="I1200" s="6" t="n">
        <f aca="false">Sens!I1117+Sens!I1191*Sens!I1092+sbc_r*Sens!I1092</f>
        <v>28.8569155956094</v>
      </c>
      <c r="J1200" s="6" t="n">
        <f aca="false">Sens!J1117+Sens!J1191*Sens!J1092+sbc_r*Sens!J1092</f>
        <v>30.1744385645725</v>
      </c>
      <c r="K1200" s="6" t="n">
        <f aca="false">Sens!K1117+Sens!K1191*Sens!K1092+sbc_r*Sens!K1092</f>
        <v>31.6584976186802</v>
      </c>
    </row>
    <row r="1201" customFormat="false" ht="17.15" hidden="false" customHeight="false" outlineLevel="0" collapsed="false">
      <c r="A1201" s="0" t="s">
        <v>1066</v>
      </c>
      <c r="B1201" s="0" t="s">
        <v>98</v>
      </c>
      <c r="F1201" s="6" t="n">
        <f aca="false">(Sens!F1200-Sens!F1196)*Sens!F1088/(Sens!F1088+Sens!F1090)</f>
        <v>8.21889831690819</v>
      </c>
      <c r="G1201" s="6" t="n">
        <f aca="false">(Sens!G1200-Sens!G1196)*Sens!G1088/(Sens!G1088+Sens!G1090)</f>
        <v>7.82984014749099</v>
      </c>
      <c r="H1201" s="6" t="n">
        <f aca="false">(Sens!H1200-Sens!H1196)*Sens!H1088/(Sens!H1088+Sens!H1090)</f>
        <v>7.5999849964554</v>
      </c>
      <c r="I1201" s="6" t="n">
        <f aca="false">(Sens!I1200-Sens!I1196)*Sens!I1088/(Sens!I1088+Sens!I1090)</f>
        <v>7.51221089422364</v>
      </c>
      <c r="J1201" s="6" t="n">
        <f aca="false">(Sens!J1200-Sens!J1196)*Sens!J1088/(Sens!J1088+Sens!J1090)</f>
        <v>7.55622411401827</v>
      </c>
      <c r="K1201" s="6" t="n">
        <f aca="false">(Sens!K1200-Sens!K1196)*Sens!K1088/(Sens!K1088+Sens!K1090)</f>
        <v>7.72822064011532</v>
      </c>
    </row>
    <row r="1202" customFormat="false" ht="17.15" hidden="false" customHeight="false" outlineLevel="0" collapsed="false">
      <c r="A1202" s="0" t="s">
        <v>1067</v>
      </c>
      <c r="B1202" s="0" t="s">
        <v>98</v>
      </c>
      <c r="F1202" s="6" t="n">
        <f aca="false">Sens!F1200-Sens!F1196-Sens!F1201</f>
        <v>6.77388596713263</v>
      </c>
      <c r="G1202" s="6" t="n">
        <f aca="false">Sens!G1200-Sens!G1196-Sens!G1201</f>
        <v>6.71251974178949</v>
      </c>
      <c r="H1202" s="6" t="n">
        <f aca="false">Sens!H1200-Sens!H1196-Sens!H1201</f>
        <v>6.70875211160101</v>
      </c>
      <c r="I1202" s="6" t="n">
        <f aca="false">Sens!I1200-Sens!I1196-Sens!I1201</f>
        <v>6.76040993286883</v>
      </c>
      <c r="J1202" s="6" t="n">
        <f aca="false">Sens!J1200-Sens!J1196-Sens!J1201</f>
        <v>6.86523172447386</v>
      </c>
      <c r="K1202" s="6" t="n">
        <f aca="false">Sens!K1200-Sens!K1196-Sens!K1201</f>
        <v>7.02149972151092</v>
      </c>
    </row>
    <row r="1203" customFormat="false" ht="17.15" hidden="false" customHeight="false" outlineLevel="0" collapsed="false">
      <c r="A1203" s="0" t="s">
        <v>1068</v>
      </c>
      <c r="B1203" s="0" t="s">
        <v>98</v>
      </c>
      <c r="F1203" s="6" t="n">
        <f aca="false">Sens!F1197-tax_f*(Sens!F1197-Sens!F1066)-Sens!F1063</f>
        <v>-128.446139442335</v>
      </c>
      <c r="G1203" s="6" t="n">
        <f aca="false">Sens!G1197-tax_f*(Sens!G1197-Sens!G1066)-Sens!G1063</f>
        <v>-117.148729087047</v>
      </c>
      <c r="H1203" s="6" t="n">
        <f aca="false">Sens!H1197-tax_f*(Sens!H1197-Sens!H1066)-Sens!H1063</f>
        <v>-97.1247365879992</v>
      </c>
      <c r="I1203" s="6" t="n">
        <f aca="false">Sens!I1197-tax_f*(Sens!I1197-Sens!I1066)-Sens!I1063</f>
        <v>-46.3385020483712</v>
      </c>
      <c r="J1203" s="6" t="n">
        <f aca="false">Sens!J1197-tax_f*(Sens!J1197-Sens!J1066)-Sens!J1063</f>
        <v>11.5293363799652</v>
      </c>
      <c r="K1203" s="6" t="n">
        <f aca="false">Sens!K1197-tax_f*(Sens!K1197-Sens!K1066)-Sens!K1063</f>
        <v>32.7991157483374</v>
      </c>
    </row>
    <row r="1204" customFormat="false" ht="17.15" hidden="false" customHeight="false" outlineLevel="0" collapsed="false">
      <c r="A1204" s="0" t="s">
        <v>1069</v>
      </c>
      <c r="B1204" s="0" t="s">
        <v>98</v>
      </c>
      <c r="F1204" s="6" t="n">
        <f aca="false">Sens!F1203*Sens!F1177</f>
        <v>-122.305562842552</v>
      </c>
      <c r="G1204" s="6" t="n">
        <f aca="false">Sens!G1203*Sens!G1177</f>
        <v>-101.137693711581</v>
      </c>
      <c r="H1204" s="6" t="n">
        <f aca="false">Sens!H1203*Sens!H1177</f>
        <v>-76.0248598579689</v>
      </c>
      <c r="I1204" s="6" t="n">
        <f aca="false">Sens!I1203*Sens!I1177</f>
        <v>-32.886531737807</v>
      </c>
      <c r="J1204" s="6" t="n">
        <f aca="false">Sens!J1203*Sens!J1177</f>
        <v>7.41874944944908</v>
      </c>
      <c r="K1204" s="6" t="n">
        <f aca="false">Sens!K1203*Sens!K1177</f>
        <v>19.1354570101543</v>
      </c>
    </row>
    <row r="1205" customFormat="false" ht="17.15" hidden="false" customHeight="false" outlineLevel="0" collapsed="false">
      <c r="A1205" s="0" t="s">
        <v>1070</v>
      </c>
      <c r="B1205" s="0" t="s">
        <v>98</v>
      </c>
      <c r="C1205" s="6" t="n">
        <f aca="false">(Sens!K1197-Sens!K1066)*(1-tax_f)*(1+g_tv)*(1-g_tv/(wacc+ronic_prem))/(wacc-g_tv)/(1+wacc)^(Sens!K1176+mid_yr)</f>
        <v>44.9476585638563</v>
      </c>
    </row>
    <row r="1206" customFormat="false" ht="17.15" hidden="false" customHeight="false" outlineLevel="0" collapsed="false">
      <c r="A1206" s="1" t="s">
        <v>1071</v>
      </c>
      <c r="B1206" s="0" t="s">
        <v>98</v>
      </c>
      <c r="C1206" s="6" t="n">
        <f aca="false">(SUM(Sens!F1204:K1204)+Sens!$C$1205)*(1+wacc)^t_roll</f>
        <v>-297.041773896805</v>
      </c>
      <c r="L1206" s="11" t="s">
        <v>1072</v>
      </c>
    </row>
    <row r="1207" customFormat="false" ht="17.15" hidden="false" customHeight="false" outlineLevel="0" collapsed="false">
      <c r="A1207" s="1" t="s">
        <v>1073</v>
      </c>
      <c r="B1207" s="0" t="s">
        <v>98</v>
      </c>
      <c r="C1207" s="6" t="n">
        <f aca="false">(w_ntm28*Sens!G1055+(1-w_ntm28)*Sens!H1055)*m_ai</f>
        <v>265.3968792302</v>
      </c>
    </row>
    <row r="1208" customFormat="false" ht="17.15" hidden="false" customHeight="false" outlineLevel="0" collapsed="false">
      <c r="A1208" s="1" t="s">
        <v>1074</v>
      </c>
      <c r="B1208" s="0" t="s">
        <v>98</v>
      </c>
      <c r="C1208" s="6" t="n">
        <f aca="false">(w_ntm28*Sens!G1199+(1-w_ntm28)*Sens!H1199)*m_cloud</f>
        <v>1057.7806071938</v>
      </c>
    </row>
    <row r="1209" customFormat="false" ht="17.15" hidden="false" customHeight="false" outlineLevel="0" collapsed="false">
      <c r="A1209" s="1" t="s">
        <v>1075</v>
      </c>
      <c r="B1209" s="0" t="s">
        <v>98</v>
      </c>
      <c r="C1209" s="6" t="n">
        <f aca="false">(w_ntm28*Sens!G1192+(1-w_ntm28)*Sens!H1192)*m_sw</f>
        <v>1044.04824539957</v>
      </c>
    </row>
    <row r="1210" customFormat="false" ht="17.15" hidden="false" customHeight="false" outlineLevel="0" collapsed="false">
      <c r="A1210" s="1" t="s">
        <v>1076</v>
      </c>
      <c r="B1210" s="0" t="s">
        <v>98</v>
      </c>
      <c r="C1210" s="6" t="n">
        <f aca="false">(w_ntm28*Sens!G1193+(1-w_ntm28)*Sens!H1193)*m_sw</f>
        <v>379.755670745447</v>
      </c>
    </row>
    <row r="1211" customFormat="false" ht="17.15" hidden="false" customHeight="false" outlineLevel="0" collapsed="false">
      <c r="A1211" s="1" t="s">
        <v>1077</v>
      </c>
      <c r="B1211" s="0" t="s">
        <v>98</v>
      </c>
      <c r="C1211" s="6" t="n">
        <f aca="false">(w_ntm28*Sens!G1194+(1-w_ntm28)*Sens!H1194)*m_sw</f>
        <v>109.434903376969</v>
      </c>
    </row>
    <row r="1212" customFormat="false" ht="17.15" hidden="false" customHeight="false" outlineLevel="0" collapsed="false">
      <c r="A1212" s="1" t="s">
        <v>1078</v>
      </c>
      <c r="B1212" s="0" t="s">
        <v>98</v>
      </c>
      <c r="C1212" s="6" t="n">
        <f aca="false">(w_ntm28*Sens!G1195+(1-w_ntm28)*Sens!H1195)*m_sw</f>
        <v>41.7511882786773</v>
      </c>
    </row>
    <row r="1213" customFormat="false" ht="17.15" hidden="false" customHeight="false" outlineLevel="0" collapsed="false">
      <c r="A1213" s="1" t="s">
        <v>1079</v>
      </c>
      <c r="B1213" s="0" t="s">
        <v>98</v>
      </c>
      <c r="C1213" s="6" t="n">
        <f aca="false">(w_ntm28*Sens!G1196+(1-w_ntm28)*Sens!H1196)*m_ads</f>
        <v>115.359643719254</v>
      </c>
    </row>
    <row r="1214" customFormat="false" ht="17.15" hidden="false" customHeight="false" outlineLevel="0" collapsed="false">
      <c r="A1214" s="1" t="s">
        <v>1080</v>
      </c>
      <c r="B1214" s="0" t="s">
        <v>98</v>
      </c>
      <c r="C1214" s="6" t="n">
        <f aca="false">(w_ntm28*Sens!G1201+(1-w_ntm28)*Sens!H1201)*m_game</f>
        <v>97.9523541428266</v>
      </c>
    </row>
    <row r="1215" customFormat="false" ht="17.15" hidden="false" customHeight="false" outlineLevel="0" collapsed="false">
      <c r="A1215" s="1" t="s">
        <v>1081</v>
      </c>
      <c r="B1215" s="0" t="s">
        <v>98</v>
      </c>
      <c r="C1215" s="6" t="n">
        <f aca="false">(w_ntm28*Sens!G1202+(1-w_ntm28)*Sens!H1202)*m_pc</f>
        <v>97.1125357928949</v>
      </c>
    </row>
    <row r="1216" customFormat="false" ht="17.15" hidden="false" customHeight="false" outlineLevel="0" collapsed="false">
      <c r="A1216" s="1" t="s">
        <v>1082</v>
      </c>
      <c r="B1216" s="0" t="s">
        <v>98</v>
      </c>
      <c r="C1216" s="6" t="n">
        <f aca="false">Sens!$C$1206+Sens!$C$1208+Sens!$C$1209+Sens!$C$1210+Sens!$C$1211+Sens!$C$1212+Sens!$C$1213+Sens!$C$1214+Sens!$C$1215</f>
        <v>2646.15337475264</v>
      </c>
    </row>
    <row r="1217" customFormat="false" ht="17.15" hidden="false" customHeight="false" outlineLevel="0" collapsed="false">
      <c r="A1217" s="1" t="s">
        <v>1000</v>
      </c>
      <c r="B1217" s="0" t="s">
        <v>98</v>
      </c>
      <c r="C1217" s="6" t="n">
        <f aca="false">Sens!F1167+oai_v-Sens!F1156</f>
        <v>100.450524634205</v>
      </c>
      <c r="L1217" s="1" t="s">
        <v>1083</v>
      </c>
    </row>
    <row r="1218" customFormat="false" ht="15" hidden="false" customHeight="false" outlineLevel="0" collapsed="false">
      <c r="A1218" s="1" t="s">
        <v>1001</v>
      </c>
      <c r="B1218" s="0" t="s">
        <v>75</v>
      </c>
      <c r="C1218" s="5" t="n">
        <f aca="false">(Sens!$C$1216+Sens!$C$1217)/Sens!F1169</f>
        <v>367.586174971472</v>
      </c>
    </row>
    <row r="1219" customFormat="false" ht="17.15" hidden="false" customHeight="false" outlineLevel="0" collapsed="false">
      <c r="A1219" s="1" t="s">
        <v>1084</v>
      </c>
      <c r="B1219" s="0" t="s">
        <v>75</v>
      </c>
      <c r="C1219" s="5" t="n">
        <f aca="false">w_dcf*Sens!$C$1190+(1-w_dcf)*Sens!$C$1218</f>
        <v>321.555018022668</v>
      </c>
    </row>
    <row r="1220" customFormat="false" ht="17.15" hidden="false" customHeight="false" outlineLevel="0" collapsed="false">
      <c r="A1220" s="3" t="s">
        <v>1264</v>
      </c>
    </row>
    <row r="1221" customFormat="false" ht="15" hidden="false" customHeight="false" outlineLevel="0" collapsed="false">
      <c r="A1221" s="4" t="s">
        <v>43</v>
      </c>
      <c r="B1221" s="4" t="s">
        <v>65</v>
      </c>
      <c r="C1221" s="20" t="s">
        <v>788</v>
      </c>
      <c r="D1221" s="20" t="s">
        <v>789</v>
      </c>
      <c r="E1221" s="20" t="s">
        <v>790</v>
      </c>
      <c r="F1221" s="20" t="s">
        <v>791</v>
      </c>
      <c r="G1221" s="20" t="s">
        <v>792</v>
      </c>
      <c r="H1221" s="20" t="s">
        <v>793</v>
      </c>
      <c r="I1221" s="20" t="s">
        <v>794</v>
      </c>
      <c r="J1221" s="20" t="s">
        <v>795</v>
      </c>
      <c r="K1221" s="20" t="s">
        <v>796</v>
      </c>
      <c r="L1221" s="4" t="s">
        <v>47</v>
      </c>
    </row>
    <row r="1222" customFormat="false" ht="17.15" hidden="false" customHeight="false" outlineLevel="0" collapsed="false">
      <c r="A1222" s="1" t="s">
        <v>797</v>
      </c>
      <c r="B1222" s="1" t="s">
        <v>235</v>
      </c>
      <c r="C1222" s="28" t="n">
        <v>2024</v>
      </c>
      <c r="D1222" s="28" t="n">
        <v>2025</v>
      </c>
      <c r="E1222" s="28" t="n">
        <v>2026</v>
      </c>
      <c r="F1222" s="28" t="n">
        <v>2027</v>
      </c>
      <c r="G1222" s="28" t="n">
        <v>2028</v>
      </c>
      <c r="H1222" s="28" t="n">
        <v>2029</v>
      </c>
      <c r="I1222" s="28" t="n">
        <v>2030</v>
      </c>
      <c r="J1222" s="28" t="n">
        <v>2031</v>
      </c>
      <c r="K1222" s="28" t="n">
        <v>2032</v>
      </c>
    </row>
    <row r="1223" customFormat="false" ht="17.15" hidden="false" customHeight="false" outlineLevel="0" collapsed="false">
      <c r="A1223" s="1" t="s">
        <v>798</v>
      </c>
      <c r="B1223" s="0" t="s">
        <v>392</v>
      </c>
      <c r="F1223" s="29" t="n">
        <f aca="false">pace</f>
        <v>2527.2</v>
      </c>
      <c r="G1223" s="29" t="n">
        <f aca="false">pace</f>
        <v>2527.2</v>
      </c>
      <c r="H1223" s="29" t="n">
        <f aca="false">pace</f>
        <v>2527.2</v>
      </c>
      <c r="I1223" s="29" t="n">
        <f aca="false">pace+(g_tv*Sens!H1224-pace)*MIN(1,(Sens!I1222-pace_y0)/(pace_y1-pace_y0))</f>
        <v>1793.116</v>
      </c>
      <c r="J1223" s="29" t="n">
        <f aca="false">pace+(g_tv*Sens!H1224-pace)*MIN(1,(Sens!J1222-pace_y0)/(pace_y1-pace_y0))</f>
        <v>1059.032</v>
      </c>
      <c r="K1223" s="29" t="n">
        <f aca="false">pace+(g_tv*Sens!H1224-pace)*MIN(1,(Sens!K1222-pace_y0)/(pace_y1-pace_y0))</f>
        <v>324.948</v>
      </c>
      <c r="L1223" s="11" t="s">
        <v>799</v>
      </c>
    </row>
    <row r="1224" customFormat="false" ht="17.15" hidden="false" customHeight="false" outlineLevel="0" collapsed="false">
      <c r="A1224" s="1" t="s">
        <v>800</v>
      </c>
      <c r="B1224" s="0" t="s">
        <v>392</v>
      </c>
      <c r="C1224" s="29" t="n">
        <f aca="false">mw_ext_24</f>
        <v>640</v>
      </c>
      <c r="D1224" s="29" t="n">
        <f aca="false">mw_ext_25</f>
        <v>1630</v>
      </c>
      <c r="E1224" s="29" t="n">
        <f aca="false">mw_ext_26</f>
        <v>3250</v>
      </c>
      <c r="F1224" s="29" t="n">
        <f aca="false">Sens!E1224+Sens!F1223</f>
        <v>5777.2</v>
      </c>
      <c r="G1224" s="29" t="n">
        <f aca="false">Sens!F1224+Sens!G1223</f>
        <v>8304.4</v>
      </c>
      <c r="H1224" s="29" t="n">
        <f aca="false">Sens!G1224+Sens!H1223</f>
        <v>10831.6</v>
      </c>
      <c r="I1224" s="29" t="n">
        <f aca="false">Sens!H1224+Sens!I1223</f>
        <v>12624.716</v>
      </c>
      <c r="J1224" s="29" t="n">
        <f aca="false">Sens!I1224+Sens!J1223</f>
        <v>13683.748</v>
      </c>
      <c r="K1224" s="29" t="n">
        <f aca="false">Sens!J1224+Sens!K1223</f>
        <v>14008.696</v>
      </c>
      <c r="L1224" s="1" t="s">
        <v>801</v>
      </c>
    </row>
    <row r="1225" customFormat="false" ht="17.15" hidden="false" customHeight="false" outlineLevel="0" collapsed="false">
      <c r="A1225" s="1" t="s">
        <v>802</v>
      </c>
      <c r="B1225" s="0" t="s">
        <v>392</v>
      </c>
      <c r="C1225" s="29" t="n">
        <f aca="false">rent_ext_24</f>
        <v>150</v>
      </c>
      <c r="D1225" s="29" t="n">
        <f aca="false">rent_ext_25</f>
        <v>400</v>
      </c>
      <c r="E1225" s="29" t="n">
        <f aca="false">rent_ext_26</f>
        <v>550</v>
      </c>
      <c r="F1225" s="29" t="n">
        <f aca="false">rent_ext_f</f>
        <v>756</v>
      </c>
      <c r="G1225" s="29" t="n">
        <f aca="false">rent_ext_f</f>
        <v>756</v>
      </c>
      <c r="H1225" s="29" t="n">
        <f aca="false">rent_ext_f</f>
        <v>756</v>
      </c>
      <c r="I1225" s="29" t="n">
        <f aca="false">rent_ext_f</f>
        <v>756</v>
      </c>
      <c r="J1225" s="29" t="n">
        <f aca="false">rent_ext_f</f>
        <v>756</v>
      </c>
      <c r="K1225" s="29" t="n">
        <f aca="false">rent_ext_f</f>
        <v>756</v>
      </c>
      <c r="L1225" s="1" t="s">
        <v>803</v>
      </c>
    </row>
    <row r="1226" customFormat="false" ht="17.15" hidden="false" customHeight="false" outlineLevel="0" collapsed="false">
      <c r="A1226" s="1" t="s">
        <v>804</v>
      </c>
      <c r="B1226" s="0" t="s">
        <v>392</v>
      </c>
      <c r="C1226" s="29" t="n">
        <f aca="false">Sens!C1224-Sens!C1225</f>
        <v>490</v>
      </c>
      <c r="D1226" s="29" t="n">
        <f aca="false">Sens!D1224-Sens!D1225</f>
        <v>1230</v>
      </c>
      <c r="E1226" s="29" t="n">
        <f aca="false">Sens!E1224-Sens!E1225</f>
        <v>2700</v>
      </c>
      <c r="F1226" s="29" t="n">
        <f aca="false">Sens!F1224-Sens!F1225</f>
        <v>5021.2</v>
      </c>
      <c r="G1226" s="29" t="n">
        <f aca="false">Sens!G1224-Sens!G1225</f>
        <v>7548.4</v>
      </c>
      <c r="H1226" s="29" t="n">
        <f aca="false">Sens!H1224-Sens!H1225</f>
        <v>10075.6</v>
      </c>
      <c r="I1226" s="29" t="n">
        <f aca="false">Sens!I1224-Sens!I1225</f>
        <v>11868.716</v>
      </c>
      <c r="J1226" s="29" t="n">
        <f aca="false">Sens!J1224-Sens!J1225</f>
        <v>12927.748</v>
      </c>
      <c r="K1226" s="29" t="n">
        <f aca="false">Sens!K1224-Sens!K1225</f>
        <v>13252.696</v>
      </c>
    </row>
    <row r="1227" customFormat="false" ht="17.15" hidden="false" customHeight="false" outlineLevel="0" collapsed="false">
      <c r="A1227" s="1" t="s">
        <v>805</v>
      </c>
      <c r="B1227" s="0" t="s">
        <v>392</v>
      </c>
      <c r="C1227" s="29" t="n">
        <f aca="false">Sens!C1226/ext_sh</f>
        <v>816.666666666667</v>
      </c>
      <c r="D1227" s="29" t="n">
        <f aca="false">Sens!D1226/ext_sh</f>
        <v>2050</v>
      </c>
      <c r="E1227" s="29" t="n">
        <f aca="false">Sens!E1226/ext_sh</f>
        <v>4500</v>
      </c>
      <c r="F1227" s="29" t="n">
        <f aca="false">Sens!F1226/ext_sh</f>
        <v>8368.66666666667</v>
      </c>
      <c r="G1227" s="29" t="n">
        <f aca="false">Sens!G1226/ext_sh</f>
        <v>12580.6666666667</v>
      </c>
      <c r="H1227" s="29" t="n">
        <f aca="false">Sens!H1226/ext_sh</f>
        <v>16792.6666666667</v>
      </c>
      <c r="I1227" s="29" t="n">
        <f aca="false">Sens!I1226/ext_sh</f>
        <v>19781.1933333333</v>
      </c>
      <c r="J1227" s="29" t="n">
        <f aca="false">Sens!J1226/ext_sh</f>
        <v>21546.2466666667</v>
      </c>
      <c r="K1227" s="29" t="n">
        <f aca="false">Sens!K1226/ext_sh</f>
        <v>22087.8266666667</v>
      </c>
      <c r="L1227" s="1" t="s">
        <v>806</v>
      </c>
    </row>
    <row r="1228" customFormat="false" ht="17.15" hidden="false" customHeight="false" outlineLevel="0" collapsed="false">
      <c r="A1228" s="1" t="s">
        <v>807</v>
      </c>
      <c r="B1228" s="0" t="s">
        <v>392</v>
      </c>
      <c r="C1228" s="29" t="n">
        <f aca="false">Sens!C1227-Sens!C1226</f>
        <v>326.666666666667</v>
      </c>
      <c r="D1228" s="29" t="n">
        <f aca="false">Sens!D1227-Sens!D1226</f>
        <v>820</v>
      </c>
      <c r="E1228" s="29" t="n">
        <f aca="false">Sens!E1227-Sens!E1226</f>
        <v>1800</v>
      </c>
      <c r="F1228" s="29" t="n">
        <f aca="false">Sens!F1227-Sens!F1226</f>
        <v>3347.46666666667</v>
      </c>
      <c r="G1228" s="29" t="n">
        <f aca="false">Sens!G1227-Sens!G1226</f>
        <v>5032.26666666667</v>
      </c>
      <c r="H1228" s="29" t="n">
        <f aca="false">Sens!H1227-Sens!H1226</f>
        <v>6717.06666666667</v>
      </c>
      <c r="I1228" s="29" t="n">
        <f aca="false">Sens!I1227-Sens!I1226</f>
        <v>7912.47733333333</v>
      </c>
      <c r="J1228" s="29" t="n">
        <f aca="false">Sens!J1227-Sens!J1226</f>
        <v>8618.49866666667</v>
      </c>
      <c r="K1228" s="29" t="n">
        <f aca="false">Sens!K1227-Sens!K1226</f>
        <v>8835.13066666667</v>
      </c>
    </row>
    <row r="1229" customFormat="false" ht="17.15" hidden="false" customHeight="false" outlineLevel="0" collapsed="false">
      <c r="A1229" s="1" t="s">
        <v>808</v>
      </c>
      <c r="B1229" s="0" t="s">
        <v>392</v>
      </c>
      <c r="C1229" s="29" t="n">
        <f aca="false">Sens!C1227</f>
        <v>816.666666666667</v>
      </c>
      <c r="D1229" s="29" t="n">
        <f aca="false">Sens!D1227-Sens!C1227</f>
        <v>1233.33333333333</v>
      </c>
      <c r="E1229" s="29" t="n">
        <f aca="false">Sens!E1227-Sens!D1227</f>
        <v>2450</v>
      </c>
      <c r="F1229" s="29" t="n">
        <f aca="false">Sens!F1227-Sens!E1227</f>
        <v>3868.66666666667</v>
      </c>
      <c r="G1229" s="29" t="n">
        <f aca="false">Sens!G1227-Sens!F1227</f>
        <v>4212</v>
      </c>
      <c r="H1229" s="29" t="n">
        <f aca="false">Sens!H1227-Sens!G1227</f>
        <v>4212</v>
      </c>
      <c r="I1229" s="29" t="n">
        <f aca="false">Sens!I1227-Sens!H1227</f>
        <v>2988.52666666667</v>
      </c>
      <c r="J1229" s="29" t="n">
        <f aca="false">Sens!J1227-Sens!I1227</f>
        <v>1765.05333333333</v>
      </c>
      <c r="K1229" s="29" t="n">
        <f aca="false">Sens!K1227-Sens!J1227</f>
        <v>541.580000000002</v>
      </c>
    </row>
    <row r="1230" customFormat="false" ht="17.15" hidden="false" customHeight="false" outlineLevel="0" collapsed="false">
      <c r="A1230" s="1" t="s">
        <v>809</v>
      </c>
      <c r="B1230" s="0" t="s">
        <v>392</v>
      </c>
      <c r="D1230" s="29" t="n">
        <f aca="false">Sens!D1224-Sens!C1224</f>
        <v>990</v>
      </c>
      <c r="E1230" s="29" t="n">
        <f aca="false">Sens!E1224-Sens!D1224</f>
        <v>1620</v>
      </c>
      <c r="F1230" s="29" t="n">
        <f aca="false">Sens!F1224-Sens!E1224</f>
        <v>2527.2</v>
      </c>
      <c r="G1230" s="29" t="n">
        <f aca="false">Sens!G1224-Sens!F1224</f>
        <v>2527.2</v>
      </c>
      <c r="H1230" s="29" t="n">
        <f aca="false">Sens!H1224-Sens!G1224</f>
        <v>2527.2</v>
      </c>
      <c r="I1230" s="29" t="n">
        <f aca="false">Sens!I1224-Sens!H1224</f>
        <v>1793.116</v>
      </c>
      <c r="J1230" s="29" t="n">
        <f aca="false">Sens!J1224-Sens!I1224</f>
        <v>1059.032</v>
      </c>
      <c r="K1230" s="29" t="n">
        <f aca="false">Sens!K1224-Sens!J1224</f>
        <v>324.948</v>
      </c>
    </row>
    <row r="1231" customFormat="false" ht="17.15" hidden="false" customHeight="false" outlineLevel="0" collapsed="false">
      <c r="A1231" s="1" t="s">
        <v>810</v>
      </c>
      <c r="B1231" s="0" t="s">
        <v>392</v>
      </c>
      <c r="F1231" s="29" t="n">
        <f aca="false">Sens!F1248*ext_sh</f>
        <v>0</v>
      </c>
      <c r="G1231" s="29" t="n">
        <f aca="false">Sens!G1248*ext_sh</f>
        <v>0</v>
      </c>
      <c r="H1231" s="29" t="n">
        <f aca="false">Sens!H1248*ext_sh</f>
        <v>0</v>
      </c>
      <c r="I1231" s="29" t="n">
        <f aca="false">Sens!I1248*ext_sh</f>
        <v>490</v>
      </c>
      <c r="J1231" s="29" t="n">
        <f aca="false">Sens!J1248*ext_sh</f>
        <v>740</v>
      </c>
      <c r="K1231" s="29" t="n">
        <f aca="false">Sens!K1248*ext_sh</f>
        <v>1470</v>
      </c>
      <c r="L1231" s="1" t="s">
        <v>811</v>
      </c>
    </row>
    <row r="1232" customFormat="false" ht="17.15" hidden="false" customHeight="false" outlineLevel="0" collapsed="false">
      <c r="A1232" s="1" t="s">
        <v>812</v>
      </c>
      <c r="B1232" s="0" t="s">
        <v>392</v>
      </c>
      <c r="C1232" s="29" t="n">
        <f aca="false">mix_h*Sens!C1224</f>
        <v>128</v>
      </c>
      <c r="D1232" s="29" t="n">
        <f aca="false">mix_h*Sens!D1224</f>
        <v>326</v>
      </c>
      <c r="E1232" s="29" t="n">
        <f aca="false">mix_h*Sens!E1224</f>
        <v>650</v>
      </c>
      <c r="F1232" s="29" t="n">
        <f aca="false">Sens!E1232-Sens!F1231*mix_h</f>
        <v>650</v>
      </c>
      <c r="G1232" s="29" t="n">
        <f aca="false">Sens!F1232-Sens!G1231*mix_h</f>
        <v>650</v>
      </c>
      <c r="H1232" s="29" t="n">
        <f aca="false">Sens!G1232-Sens!H1231*mix_h</f>
        <v>650</v>
      </c>
      <c r="I1232" s="29" t="n">
        <f aca="false">Sens!H1232-Sens!I1231*mix_h</f>
        <v>552</v>
      </c>
      <c r="J1232" s="29" t="n">
        <f aca="false">Sens!I1232-Sens!J1231*mix_h</f>
        <v>404</v>
      </c>
      <c r="K1232" s="29" t="n">
        <f aca="false">Sens!J1232-Sens!K1231*mix_h</f>
        <v>110</v>
      </c>
    </row>
    <row r="1233" customFormat="false" ht="17.15" hidden="false" customHeight="false" outlineLevel="0" collapsed="false">
      <c r="A1233" s="1" t="s">
        <v>813</v>
      </c>
      <c r="B1233" s="0" t="s">
        <v>392</v>
      </c>
      <c r="C1233" s="29" t="n">
        <f aca="false">mix_g2*Sens!C1224</f>
        <v>288</v>
      </c>
      <c r="D1233" s="29" t="n">
        <f aca="false">mix_g2*Sens!D1224</f>
        <v>733.5</v>
      </c>
      <c r="E1233" s="29" t="n">
        <f aca="false">mix_g2*Sens!E1224</f>
        <v>1462.5</v>
      </c>
      <c r="F1233" s="29" t="n">
        <f aca="false">Sens!E1233-Sens!F1231*mix_g2</f>
        <v>1462.5</v>
      </c>
      <c r="G1233" s="29" t="n">
        <f aca="false">Sens!F1233-Sens!G1231*mix_g2</f>
        <v>1462.5</v>
      </c>
      <c r="H1233" s="29" t="n">
        <f aca="false">Sens!G1233-Sens!H1231*mix_g2</f>
        <v>1462.5</v>
      </c>
      <c r="I1233" s="29" t="n">
        <f aca="false">Sens!H1233-Sens!I1231*mix_g2</f>
        <v>1242</v>
      </c>
      <c r="J1233" s="29" t="n">
        <f aca="false">Sens!I1233-Sens!J1231*mix_g2</f>
        <v>909</v>
      </c>
      <c r="K1233" s="29" t="n">
        <f aca="false">Sens!J1233-Sens!K1231*mix_g2</f>
        <v>247.5</v>
      </c>
    </row>
    <row r="1234" customFormat="false" ht="17.15" hidden="false" customHeight="false" outlineLevel="0" collapsed="false">
      <c r="A1234" s="1" t="s">
        <v>814</v>
      </c>
      <c r="B1234" s="0" t="s">
        <v>392</v>
      </c>
      <c r="C1234" s="29" t="n">
        <f aca="false">mix_g3*Sens!C1224</f>
        <v>224</v>
      </c>
      <c r="D1234" s="29" t="n">
        <f aca="false">mix_g3*Sens!D1224</f>
        <v>570.5</v>
      </c>
      <c r="E1234" s="29" t="n">
        <f aca="false">mix_g3*Sens!E1224</f>
        <v>1137.5</v>
      </c>
      <c r="F1234" s="29" t="n">
        <f aca="false">Sens!E1234+(Sens!F1230+Sens!F1231)*a_g3_27-Sens!F1231*mix_g3</f>
        <v>2906.54</v>
      </c>
      <c r="G1234" s="29" t="n">
        <f aca="false">Sens!F1234+(Sens!G1230+Sens!G1231)*a_g3_28-Sens!G1231*mix_g3</f>
        <v>3664.7</v>
      </c>
      <c r="H1234" s="29" t="n">
        <f aca="false">Sens!G1234+(Sens!H1230+Sens!H1231)*a_g3_29-Sens!H1231*mix_g3</f>
        <v>3917.42</v>
      </c>
      <c r="I1234" s="29" t="n">
        <f aca="false">Sens!H1234+(Sens!I1230+Sens!I1231)*a_g3_29-Sens!I1231*mix_g3</f>
        <v>3974.2316</v>
      </c>
      <c r="J1234" s="29" t="n">
        <f aca="false">Sens!I1234+(Sens!J1230+Sens!J1231)*a_g3_29-Sens!J1231*mix_g3</f>
        <v>3895.1348</v>
      </c>
      <c r="K1234" s="29" t="n">
        <f aca="false">Sens!J1234+(Sens!K1230+Sens!K1231)*a_g3_29-Sens!K1231*mix_g3</f>
        <v>3560.1296</v>
      </c>
    </row>
    <row r="1235" customFormat="false" ht="17.15" hidden="false" customHeight="false" outlineLevel="0" collapsed="false">
      <c r="A1235" s="1" t="s">
        <v>815</v>
      </c>
      <c r="B1235" s="0" t="s">
        <v>392</v>
      </c>
      <c r="C1235" s="29" t="n">
        <v>0</v>
      </c>
      <c r="D1235" s="29" t="n">
        <v>0</v>
      </c>
      <c r="E1235" s="29" t="n">
        <v>0</v>
      </c>
      <c r="F1235" s="29" t="n">
        <f aca="false">Sens!E1235+(Sens!F1230+Sens!F1231)*(1-a_g3_27)</f>
        <v>758.16</v>
      </c>
      <c r="G1235" s="29" t="n">
        <f aca="false">Sens!F1235+(Sens!G1230+Sens!G1231)*(1-a_g3_28)</f>
        <v>2527.2</v>
      </c>
      <c r="H1235" s="29" t="n">
        <f aca="false">Sens!G1235+(Sens!H1230+Sens!H1231)*(1-a_g3_29)</f>
        <v>4801.68</v>
      </c>
      <c r="I1235" s="29" t="n">
        <f aca="false">Sens!H1235+(Sens!I1230+Sens!I1231)*(1-a_g3_29)</f>
        <v>6856.4844</v>
      </c>
      <c r="J1235" s="29" t="n">
        <f aca="false">Sens!I1235+(Sens!J1230+Sens!J1231)*(1-a_g3_29)</f>
        <v>8475.6132</v>
      </c>
      <c r="K1235" s="29" t="n">
        <f aca="false">Sens!J1235+(Sens!K1230+Sens!K1231)*(1-a_g3_29)</f>
        <v>10091.0664</v>
      </c>
    </row>
    <row r="1236" customFormat="false" ht="17.15" hidden="false" customHeight="false" outlineLevel="0" collapsed="false">
      <c r="A1236" s="1" t="s">
        <v>816</v>
      </c>
      <c r="B1236" s="0" t="s">
        <v>339</v>
      </c>
      <c r="C1236" s="14" t="n">
        <f aca="false">(Sens!C1232*tk_hold_h100+Sens!C1233*tk_hold_gb200+Sens!C1234*tk_hold_gb300+Sens!C1235*tk_hold_vr200)/Sens!C1224</f>
        <v>9.7235358126469</v>
      </c>
      <c r="D1236" s="14" t="n">
        <f aca="false">(Sens!D1232*tk_hold_h100+Sens!D1233*tk_hold_gb200+Sens!D1234*tk_hold_gb300+Sens!D1235*tk_hold_vr200)/Sens!D1224</f>
        <v>9.7235358126469</v>
      </c>
      <c r="E1236" s="14" t="n">
        <f aca="false">(Sens!E1232*tk_hold_h100+Sens!E1233*tk_hold_gb200+Sens!E1234*tk_hold_gb300+Sens!E1235*tk_hold_vr200)/Sens!E1224</f>
        <v>9.7235358126469</v>
      </c>
      <c r="F1236" s="14" t="n">
        <f aca="false">(Sens!F1232*tk_hold_h100+Sens!F1233*tk_hold_gb200+Sens!F1234*tk_hold_gb300+Sens!F1235*tk_hold_vr200)/Sens!F1224</f>
        <v>10.4079573161931</v>
      </c>
      <c r="G1236" s="14" t="n">
        <f aca="false">(Sens!G1232*tk_hold_h100+Sens!G1233*tk_hold_gb200+Sens!G1234*tk_hold_gb300+Sens!G1235*tk_hold_vr200)/Sens!G1224</f>
        <v>10.8388131109316</v>
      </c>
      <c r="H1236" s="14" t="n">
        <f aca="false">(Sens!H1232*tk_hold_h100+Sens!H1233*tk_hold_gb200+Sens!H1234*tk_hold_gb300+Sens!H1235*tk_hold_vr200)/Sens!H1224</f>
        <v>11.1311018388216</v>
      </c>
      <c r="I1236" s="14" t="n">
        <f aca="false">(Sens!I1232*tk_hold_h100+Sens!I1233*tk_hold_gb200+Sens!I1234*tk_hold_gb300+Sens!I1235*tk_hold_vr200)/Sens!I1224</f>
        <v>11.3594282560989</v>
      </c>
      <c r="J1236" s="14" t="n">
        <f aca="false">(Sens!J1232*tk_hold_h100+Sens!J1233*tk_hold_gb200+Sens!J1234*tk_hold_gb300+Sens!J1235*tk_hold_vr200)/Sens!J1224</f>
        <v>11.5441508808221</v>
      </c>
      <c r="K1236" s="14" t="n">
        <f aca="false">(Sens!K1232*tk_hold_h100+Sens!K1233*tk_hold_gb200+Sens!K1234*tk_hold_gb300+Sens!K1235*tk_hold_vr200)/Sens!K1224</f>
        <v>11.8053375063575</v>
      </c>
    </row>
    <row r="1237" customFormat="false" ht="17.15" hidden="false" customHeight="false" outlineLevel="0" collapsed="false">
      <c r="A1237" s="0" t="s">
        <v>817</v>
      </c>
      <c r="B1237" s="0" t="s">
        <v>185</v>
      </c>
      <c r="C1237" s="14" t="n">
        <f aca="false">k_B</f>
        <v>1.17213932619116</v>
      </c>
      <c r="D1237" s="14" t="n">
        <f aca="false">k_B</f>
        <v>1.17213932619116</v>
      </c>
      <c r="E1237" s="14" t="n">
        <f aca="false">k_B</f>
        <v>1.17213932619116</v>
      </c>
      <c r="F1237" s="14" t="n">
        <f aca="false">(k_B+((ls_A*k_long+(1-ls_A)*k_spot)-k_B)*MIN(1,(Sens!F1222-base_fy)/k_ramp))*1.15</f>
        <v>1.43776252350992</v>
      </c>
      <c r="G1237" s="14" t="n">
        <f aca="false">(k_B+((ls_A*k_long+(1-ls_A)*k_spot)-k_B)*MIN(1,(Sens!G1222-base_fy)/k_ramp))*1.15</f>
        <v>1.52756482190002</v>
      </c>
      <c r="H1237" s="14" t="n">
        <f aca="false">(k_B+((ls_A*k_long+(1-ls_A)*k_spot)-k_B)*MIN(1,(Sens!H1222-base_fy)/k_ramp))*1.15</f>
        <v>1.61736712029011</v>
      </c>
      <c r="I1237" s="14" t="n">
        <f aca="false">(k_B+((ls_A*k_long+(1-ls_A)*k_spot)-k_B)*MIN(1,(Sens!I1222-base_fy)/k_ramp))*1.15</f>
        <v>1.61736712029011</v>
      </c>
      <c r="J1237" s="14" t="n">
        <f aca="false">(k_B+((ls_A*k_long+(1-ls_A)*k_spot)-k_B)*MIN(1,(Sens!J1222-base_fy)/k_ramp))*1.15</f>
        <v>1.61736712029011</v>
      </c>
      <c r="K1237" s="14" t="n">
        <f aca="false">(k_B+((ls_A*k_long+(1-ls_A)*k_spot)-k_B)*MIN(1,(Sens!K1222-base_fy)/k_ramp))*1.15</f>
        <v>1.61736712029011</v>
      </c>
      <c r="L1237" s="1" t="s">
        <v>818</v>
      </c>
    </row>
    <row r="1238" customFormat="false" ht="17.15" hidden="false" customHeight="false" outlineLevel="0" collapsed="false">
      <c r="A1238" s="1" t="s">
        <v>819</v>
      </c>
      <c r="B1238" s="0" t="s">
        <v>339</v>
      </c>
      <c r="C1238" s="14" t="n">
        <f aca="false">Sens!C1236*Sens!C1237*chip_f</f>
        <v>11.3973387156315</v>
      </c>
      <c r="D1238" s="14" t="n">
        <f aca="false">Sens!D1236*Sens!D1237*chip_f</f>
        <v>11.3973387156315</v>
      </c>
      <c r="E1238" s="14" t="n">
        <f aca="false">Sens!E1236*Sens!E1237*chip_f</f>
        <v>11.3973387156315</v>
      </c>
      <c r="F1238" s="14" t="n">
        <f aca="false">Sens!F1236*Sens!F1237*chip_f</f>
        <v>14.9641709755133</v>
      </c>
      <c r="G1238" s="14" t="n">
        <f aca="false">Sens!G1236*Sens!G1237*chip_f</f>
        <v>16.5569896194077</v>
      </c>
      <c r="H1238" s="14" t="n">
        <f aca="false">Sens!H1236*Sens!H1237*chip_f</f>
        <v>18.0030781267108</v>
      </c>
      <c r="I1238" s="14" t="n">
        <f aca="false">Sens!I1236*Sens!I1237*chip_f</f>
        <v>18.3723657667088</v>
      </c>
      <c r="J1238" s="14" t="n">
        <f aca="false">Sens!J1236*Sens!J1237*chip_f</f>
        <v>18.6711300663097</v>
      </c>
      <c r="K1238" s="14" t="n">
        <f aca="false">Sens!K1236*Sens!K1237*chip_f</f>
        <v>19.0935647267103</v>
      </c>
      <c r="L1238" s="1" t="s">
        <v>820</v>
      </c>
    </row>
    <row r="1239" customFormat="false" ht="17.15" hidden="false" customHeight="false" outlineLevel="0" collapsed="false">
      <c r="A1239" s="0" t="s">
        <v>821</v>
      </c>
      <c r="B1239" s="0" t="s">
        <v>98</v>
      </c>
      <c r="D1239" s="6" t="n">
        <f aca="false">(Sens!C1224+Sens!D1224)/2*Sens!D1238/1000</f>
        <v>12.9359794422418</v>
      </c>
      <c r="E1239" s="6" t="n">
        <f aca="false">(Sens!D1224+Sens!E1224)/2*Sens!E1238/1000</f>
        <v>27.8095064661409</v>
      </c>
      <c r="F1239" s="6" t="n">
        <f aca="false">(Sens!E1224+Sens!F1224)/2*Sens!F1238/1000</f>
        <v>67.542282115077</v>
      </c>
      <c r="G1239" s="6" t="n">
        <f aca="false">(Sens!F1224+Sens!G1224)/2*Sens!G1238/1000</f>
        <v>116.574452512326</v>
      </c>
      <c r="H1239" s="6" t="n">
        <f aca="false">(Sens!G1224+Sens!H1224)/2*Sens!H1238/1000</f>
        <v>172.253451516369</v>
      </c>
      <c r="I1239" s="6" t="n">
        <f aca="false">(Sens!H1224+Sens!I1224)/2*Sens!I1238/1000</f>
        <v>215.474008545752</v>
      </c>
      <c r="J1239" s="6" t="n">
        <f aca="false">(Sens!I1224+Sens!J1224)/2*Sens!J1238/1000</f>
        <v>245.604376594413</v>
      </c>
      <c r="K1239" s="6" t="n">
        <f aca="false">(Sens!J1224+Sens!K1224)/2*Sens!K1238/1000</f>
        <v>264.3737359774</v>
      </c>
      <c r="L1239" s="11" t="s">
        <v>822</v>
      </c>
    </row>
    <row r="1240" customFormat="false" ht="17.15" hidden="false" customHeight="false" outlineLevel="0" collapsed="false">
      <c r="A1240" s="1" t="s">
        <v>823</v>
      </c>
      <c r="B1240" s="0" t="s">
        <v>339</v>
      </c>
      <c r="C1240" s="14" t="n">
        <f aca="false">(Sens!C1232*tk_opex_h100+Sens!C1233*tk_opex_gb200+Sens!C1234*tk_opex_gb300+Sens!C1235*tk_opex_vr200)/Sens!C1224</f>
        <v>1.88636041306092</v>
      </c>
      <c r="D1240" s="14" t="n">
        <f aca="false">(Sens!D1232*tk_opex_h100+Sens!D1233*tk_opex_gb200+Sens!D1234*tk_opex_gb300+Sens!D1235*tk_opex_vr200)/Sens!D1224</f>
        <v>1.88636041306092</v>
      </c>
      <c r="E1240" s="14" t="n">
        <f aca="false">(Sens!E1232*tk_opex_h100+Sens!E1233*tk_opex_gb200+Sens!E1234*tk_opex_gb300+Sens!E1235*tk_opex_vr200)/Sens!E1224</f>
        <v>1.88636041306092</v>
      </c>
      <c r="F1240" s="14" t="n">
        <f aca="false">(Sens!F1232*tk_opex_h100+Sens!F1233*tk_opex_gb200+Sens!F1234*tk_opex_gb300+Sens!F1235*tk_opex_vr200)/Sens!F1224</f>
        <v>1.9430236476499</v>
      </c>
      <c r="G1240" s="14" t="n">
        <f aca="false">(Sens!G1232*tk_opex_h100+Sens!G1233*tk_opex_gb200+Sens!G1234*tk_opex_gb300+Sens!G1235*tk_opex_vr200)/Sens!G1224</f>
        <v>1.9786941852423</v>
      </c>
      <c r="H1240" s="14" t="n">
        <f aca="false">(Sens!H1232*tk_opex_h100+Sens!H1233*tk_opex_gb200+Sens!H1234*tk_opex_gb300+Sens!H1235*tk_opex_vr200)/Sens!H1224</f>
        <v>2.00289275976156</v>
      </c>
      <c r="I1240" s="14" t="n">
        <f aca="false">(Sens!I1232*tk_opex_h100+Sens!I1233*tk_opex_gb200+Sens!I1234*tk_opex_gb300+Sens!I1235*tk_opex_vr200)/Sens!I1224</f>
        <v>2.02179589661219</v>
      </c>
      <c r="J1240" s="14" t="n">
        <f aca="false">(Sens!J1232*tk_opex_h100+Sens!J1233*tk_opex_gb200+Sens!J1234*tk_opex_gb300+Sens!J1235*tk_opex_vr200)/Sens!J1224</f>
        <v>2.03708907685909</v>
      </c>
      <c r="K1240" s="14" t="n">
        <f aca="false">(Sens!K1232*tk_opex_h100+Sens!K1233*tk_opex_gb200+Sens!K1234*tk_opex_gb300+Sens!K1235*tk_opex_vr200)/Sens!K1224</f>
        <v>2.05871270931005</v>
      </c>
    </row>
    <row r="1241" customFormat="false" ht="17.15" hidden="false" customHeight="false" outlineLevel="0" collapsed="false">
      <c r="A1241" s="0" t="s">
        <v>824</v>
      </c>
      <c r="B1241" s="0" t="s">
        <v>98</v>
      </c>
      <c r="D1241" s="6" t="n">
        <f aca="false">(Sens!C1227+Sens!D1227)/2*Sens!D1240/1000</f>
        <v>2.70378325872065</v>
      </c>
      <c r="E1241" s="6" t="n">
        <f aca="false">(Sens!D1227+Sens!E1227)/2*Sens!E1240/1000</f>
        <v>6.17783035277451</v>
      </c>
      <c r="F1241" s="6" t="n">
        <f aca="false">(Sens!E1227+Sens!F1227)/2*Sens!F1240/1000</f>
        <v>12.5020618235287</v>
      </c>
      <c r="G1241" s="6" t="n">
        <f aca="false">(Sens!F1227+Sens!G1227)/2*Sens!G1240/1000</f>
        <v>20.7261620256847</v>
      </c>
      <c r="H1241" s="6" t="n">
        <f aca="false">(Sens!G1227+Sens!H1227)/2*Sens!H1240/1000</f>
        <v>29.4158183316982</v>
      </c>
      <c r="I1241" s="6" t="n">
        <f aca="false">(Sens!H1227+Sens!I1227)/2*Sens!I1240/1000</f>
        <v>36.9724400356344</v>
      </c>
      <c r="J1241" s="6" t="n">
        <f aca="false">(Sens!I1227+Sens!J1227)/2*Sens!J1240/1000</f>
        <v>42.0938382992747</v>
      </c>
      <c r="K1241" s="6" t="n">
        <f aca="false">(Sens!J1227+Sens!K1227)/2*Sens!K1240/1000</f>
        <v>44.9150106651501</v>
      </c>
    </row>
    <row r="1242" customFormat="false" ht="17.15" hidden="false" customHeight="false" outlineLevel="0" collapsed="false">
      <c r="A1242" s="0" t="s">
        <v>825</v>
      </c>
      <c r="B1242" s="0" t="s">
        <v>98</v>
      </c>
      <c r="D1242" s="6" t="n">
        <f aca="false">(Sens!C1225+Sens!D1225)/2*rent_mw/1000</f>
        <v>2.44475</v>
      </c>
      <c r="E1242" s="6" t="n">
        <f aca="false">(Sens!D1225+Sens!E1225)/2*rent_mw/1000</f>
        <v>4.22275</v>
      </c>
      <c r="F1242" s="6" t="n">
        <f aca="false">(Sens!E1225+Sens!F1225)/2*rent_mw/1000</f>
        <v>5.80517</v>
      </c>
      <c r="G1242" s="6" t="n">
        <f aca="false">(Sens!F1225+Sens!G1225)/2*rent_mw/1000</f>
        <v>6.72084</v>
      </c>
      <c r="H1242" s="6" t="n">
        <f aca="false">(Sens!G1225+Sens!H1225)/2*rent_mw/1000</f>
        <v>6.72084</v>
      </c>
      <c r="I1242" s="6" t="n">
        <f aca="false">(Sens!H1225+Sens!I1225)/2*rent_mw/1000</f>
        <v>6.72084</v>
      </c>
      <c r="J1242" s="6" t="n">
        <f aca="false">(Sens!I1225+Sens!J1225)/2*rent_mw/1000</f>
        <v>6.72084</v>
      </c>
      <c r="K1242" s="6" t="n">
        <f aca="false">(Sens!J1225+Sens!K1225)/2*rent_mw/1000</f>
        <v>6.72084</v>
      </c>
    </row>
    <row r="1243" customFormat="false" ht="17.15" hidden="false" customHeight="false" outlineLevel="0" collapsed="false">
      <c r="A1243" s="0" t="s">
        <v>826</v>
      </c>
      <c r="B1243" s="0" t="s">
        <v>98</v>
      </c>
      <c r="D1243" s="6" t="n">
        <f aca="false">(Sens!C1227+Sens!D1227)/2*(1-self_build)*fac_rent/1000</f>
        <v>0.853242375631075</v>
      </c>
      <c r="E1243" s="6" t="n">
        <f aca="false">(Sens!D1227+Sens!E1227)/2*(1-self_build)*fac_rent/1000</f>
        <v>1.94955961408728</v>
      </c>
      <c r="F1243" s="6" t="n">
        <f aca="false">(Sens!E1227+Sens!F1227)/2*(1-self_build)*fac_rent/1000</f>
        <v>3.83026455274573</v>
      </c>
      <c r="G1243" s="6" t="n">
        <f aca="false">(Sens!F1227+Sens!G1227)/2*(1-self_build)*fac_rent/1000</f>
        <v>6.23541590972812</v>
      </c>
      <c r="H1243" s="6" t="n">
        <f aca="false">(Sens!G1227+Sens!H1227)/2*(1-self_build)*fac_rent/1000</f>
        <v>8.74275792332679</v>
      </c>
      <c r="I1243" s="6" t="n">
        <f aca="false">(Sens!H1227+Sens!I1227)/2*(1-self_build)*fac_rent/1000</f>
        <v>10.8859420438599</v>
      </c>
      <c r="J1243" s="6" t="n">
        <f aca="false">(Sens!I1227+Sens!J1227)/2*(1-self_build)*fac_rent/1000</f>
        <v>12.3008103782619</v>
      </c>
      <c r="K1243" s="6" t="n">
        <f aca="false">(Sens!J1227+Sens!K1227)/2*(1-self_build)*fac_rent/1000</f>
        <v>12.9873629265328</v>
      </c>
      <c r="L1243" s="11" t="s">
        <v>827</v>
      </c>
    </row>
    <row r="1244" customFormat="false" ht="17.15" hidden="false" customHeight="false" outlineLevel="0" collapsed="false">
      <c r="A1244" s="1" t="s">
        <v>828</v>
      </c>
      <c r="B1244" s="0" t="s">
        <v>129</v>
      </c>
      <c r="D1244" s="7" t="n">
        <f aca="false">(Sens!C1226+Sens!D1226)/(Sens!C1227+Sens!D1227)</f>
        <v>0.6</v>
      </c>
      <c r="E1244" s="7" t="n">
        <f aca="false">(Sens!D1226+Sens!E1226)/(Sens!D1227+Sens!E1227)</f>
        <v>0.6</v>
      </c>
      <c r="F1244" s="7" t="n">
        <f aca="false">(Sens!E1226+Sens!F1226)/(Sens!E1227+Sens!F1227)</f>
        <v>0.6</v>
      </c>
      <c r="G1244" s="7" t="n">
        <f aca="false">(Sens!F1226+Sens!G1226)/(Sens!F1227+Sens!G1227)</f>
        <v>0.6</v>
      </c>
      <c r="H1244" s="7" t="n">
        <f aca="false">(Sens!G1226+Sens!H1226)/(Sens!G1227+Sens!H1227)</f>
        <v>0.6</v>
      </c>
      <c r="I1244" s="7" t="n">
        <f aca="false">(Sens!H1226+Sens!I1226)/(Sens!H1227+Sens!I1227)</f>
        <v>0.6</v>
      </c>
      <c r="J1244" s="7" t="n">
        <f aca="false">(Sens!I1226+Sens!J1226)/(Sens!I1227+Sens!J1227)</f>
        <v>0.6</v>
      </c>
      <c r="K1244" s="7" t="n">
        <f aca="false">(Sens!J1226+Sens!K1226)/(Sens!J1227+Sens!K1227)</f>
        <v>0.6</v>
      </c>
    </row>
    <row r="1245" customFormat="false" ht="17.15" hidden="false" customHeight="false" outlineLevel="0" collapsed="false">
      <c r="A1245" s="0" t="s">
        <v>829</v>
      </c>
      <c r="B1245" s="0" t="s">
        <v>98</v>
      </c>
      <c r="D1245" s="6" t="n">
        <f aca="false">Sens!D1239-Sens!D1244*(Sens!D1241+Sens!D1243)-Sens!D1242</f>
        <v>8.35701406163072</v>
      </c>
      <c r="E1245" s="6" t="n">
        <f aca="false">Sens!E1239-Sens!E1244*(Sens!E1241+Sens!E1243)-Sens!E1242</f>
        <v>18.7103224860238</v>
      </c>
      <c r="F1245" s="6" t="n">
        <f aca="false">Sens!F1239-Sens!F1244*(Sens!F1241+Sens!F1243)-Sens!F1242</f>
        <v>51.9377162893124</v>
      </c>
      <c r="G1245" s="6" t="n">
        <f aca="false">Sens!G1239-Sens!G1244*(Sens!G1241+Sens!G1243)-Sens!G1242</f>
        <v>93.6766657510782</v>
      </c>
      <c r="H1245" s="6" t="n">
        <f aca="false">Sens!H1239-Sens!H1244*(Sens!H1241+Sens!H1243)-Sens!H1242</f>
        <v>142.637465763354</v>
      </c>
      <c r="I1245" s="6" t="n">
        <f aca="false">Sens!I1239-Sens!I1244*(Sens!I1241+Sens!I1243)-Sens!I1242</f>
        <v>180.038139298055</v>
      </c>
      <c r="J1245" s="6" t="n">
        <f aca="false">Sens!J1239-Sens!J1244*(Sens!J1241+Sens!J1243)-Sens!J1242</f>
        <v>206.246747387891</v>
      </c>
      <c r="K1245" s="6" t="n">
        <f aca="false">Sens!K1239-Sens!K1244*(Sens!K1241+Sens!K1243)-Sens!K1242</f>
        <v>222.91147182239</v>
      </c>
    </row>
    <row r="1246" customFormat="false" ht="17.15" hidden="false" customHeight="false" outlineLevel="0" collapsed="false">
      <c r="A1246" s="1" t="s">
        <v>830</v>
      </c>
      <c r="B1246" s="0" t="s">
        <v>98</v>
      </c>
      <c r="D1246" s="6" t="n">
        <f aca="false">(1-Sens!D1244)*(Sens!D1241+Sens!D1243)</f>
        <v>1.42281025374069</v>
      </c>
      <c r="E1246" s="6" t="n">
        <f aca="false">(1-Sens!E1244)*(Sens!E1241+Sens!E1243)</f>
        <v>3.25095598674472</v>
      </c>
      <c r="F1246" s="6" t="n">
        <f aca="false">(1-Sens!F1244)*(Sens!F1241+Sens!F1243)</f>
        <v>6.53293055050977</v>
      </c>
      <c r="G1246" s="6" t="n">
        <f aca="false">(1-Sens!G1244)*(Sens!G1241+Sens!G1243)</f>
        <v>10.7846311741651</v>
      </c>
      <c r="H1246" s="6" t="n">
        <f aca="false">(1-Sens!H1244)*(Sens!H1241+Sens!H1243)</f>
        <v>15.26343050201</v>
      </c>
      <c r="I1246" s="6" t="n">
        <f aca="false">(1-Sens!I1244)*(Sens!I1241+Sens!I1243)</f>
        <v>19.1433528317977</v>
      </c>
      <c r="J1246" s="6" t="n">
        <f aca="false">(1-Sens!J1244)*(Sens!J1241+Sens!J1243)</f>
        <v>21.7578594710146</v>
      </c>
      <c r="K1246" s="6" t="n">
        <f aca="false">(1-Sens!K1244)*(Sens!K1241+Sens!K1243)</f>
        <v>23.1609494366731</v>
      </c>
    </row>
    <row r="1247" customFormat="false" ht="17.15" hidden="false" customHeight="false" outlineLevel="0" collapsed="false">
      <c r="A1247" s="1" t="s">
        <v>831</v>
      </c>
      <c r="B1247" s="0" t="s">
        <v>350</v>
      </c>
      <c r="C1247" s="8" t="n">
        <f aca="false">cxit_open</f>
        <v>27.5918995</v>
      </c>
      <c r="D1247" s="8" t="n">
        <f aca="false">cxit_open</f>
        <v>27.5918995</v>
      </c>
      <c r="E1247" s="8" t="n">
        <f aca="false">cxit_open</f>
        <v>27.5918995</v>
      </c>
      <c r="F1247" s="8" t="n">
        <f aca="false">(a_g3_27*tk_cxit_gb300+(1-a_g3_27)*tk_cxit_vr200)</f>
        <v>33.8419624</v>
      </c>
      <c r="G1247" s="8" t="n">
        <f aca="false">(a_g3_28*tk_cxit_gb300+(1-a_g3_28)*tk_cxit_vr200)</f>
        <v>35.9816136</v>
      </c>
      <c r="H1247" s="8" t="n">
        <f aca="false">(a_g3_29*tk_cxit_gb300+(1-a_g3_29)*tk_cxit_vr200)</f>
        <v>37.0514392</v>
      </c>
      <c r="I1247" s="8" t="n">
        <f aca="false">(a_g3_29*tk_cxit_gb300+(1-a_g3_29)*tk_cxit_vr200)</f>
        <v>37.0514392</v>
      </c>
      <c r="J1247" s="8" t="n">
        <f aca="false">(a_g3_29*tk_cxit_gb300+(1-a_g3_29)*tk_cxit_vr200)</f>
        <v>37.0514392</v>
      </c>
      <c r="K1247" s="8" t="n">
        <f aca="false">(a_g3_29*tk_cxit_gb300+(1-a_g3_29)*tk_cxit_vr200)</f>
        <v>37.0514392</v>
      </c>
      <c r="L1247" s="11" t="s">
        <v>832</v>
      </c>
    </row>
    <row r="1248" customFormat="false" ht="17.15" hidden="false" customHeight="false" outlineLevel="0" collapsed="false">
      <c r="A1248" s="0" t="s">
        <v>833</v>
      </c>
      <c r="B1248" s="0" t="s">
        <v>392</v>
      </c>
      <c r="F1248" s="29" t="n">
        <f aca="false">Sens!C1229*IF(Sens!F1222-Sens!C1222=life_it,1,0)+Sens!D1229*IF(Sens!F1222-Sens!D1222=life_it,1,0)+Sens!E1229*IF(Sens!F1222-Sens!E1222=life_it,1,0)</f>
        <v>0</v>
      </c>
      <c r="G1248" s="29" t="n">
        <f aca="false">Sens!C1229*IF(Sens!G1222-Sens!C1222=life_it,1,0)+Sens!D1229*IF(Sens!G1222-Sens!D1222=life_it,1,0)+Sens!E1229*IF(Sens!G1222-Sens!E1222=life_it,1,0)+Sens!F1229*IF(Sens!G1222-Sens!F1222=life_it,1,0)</f>
        <v>0</v>
      </c>
      <c r="H1248" s="29" t="n">
        <f aca="false">Sens!C1229*IF(Sens!H1222-Sens!C1222=life_it,1,0)+Sens!D1229*IF(Sens!H1222-Sens!D1222=life_it,1,0)+Sens!E1229*IF(Sens!H1222-Sens!E1222=life_it,1,0)+Sens!F1229*IF(Sens!H1222-Sens!F1222=life_it,1,0)+Sens!G1229*IF(Sens!H1222-Sens!G1222=life_it,1,0)</f>
        <v>0</v>
      </c>
      <c r="I1248" s="29" t="n">
        <f aca="false">Sens!C1229*IF(Sens!I1222-Sens!C1222=life_it,1,0)+Sens!D1229*IF(Sens!I1222-Sens!D1222=life_it,1,0)+Sens!E1229*IF(Sens!I1222-Sens!E1222=life_it,1,0)+Sens!F1229*IF(Sens!I1222-Sens!F1222=life_it,1,0)+Sens!G1229*IF(Sens!I1222-Sens!G1222=life_it,1,0)+Sens!H1229*IF(Sens!I1222-Sens!H1222=life_it,1,0)</f>
        <v>816.666666666667</v>
      </c>
      <c r="J1248" s="29" t="n">
        <f aca="false">Sens!C1229*IF(Sens!J1222-Sens!C1222=life_it,1,0)+Sens!D1229*IF(Sens!J1222-Sens!D1222=life_it,1,0)+Sens!E1229*IF(Sens!J1222-Sens!E1222=life_it,1,0)+Sens!F1229*IF(Sens!J1222-Sens!F1222=life_it,1,0)+Sens!G1229*IF(Sens!J1222-Sens!G1222=life_it,1,0)+Sens!H1229*IF(Sens!J1222-Sens!H1222=life_it,1,0)+Sens!I1229*IF(Sens!J1222-Sens!I1222=life_it,1,0)</f>
        <v>1233.33333333333</v>
      </c>
      <c r="K1248" s="29" t="n">
        <f aca="false">Sens!C1229*IF(Sens!K1222-Sens!C1222=life_it,1,0)+Sens!D1229*IF(Sens!K1222-Sens!D1222=life_it,1,0)+Sens!E1229*IF(Sens!K1222-Sens!E1222=life_it,1,0)+Sens!F1229*IF(Sens!K1222-Sens!F1222=life_it,1,0)+Sens!G1229*IF(Sens!K1222-Sens!G1222=life_it,1,0)+Sens!H1229*IF(Sens!K1222-Sens!H1222=life_it,1,0)+Sens!I1229*IF(Sens!K1222-Sens!I1222=life_it,1,0)+Sens!J1229*IF(Sens!K1222-Sens!J1222=life_it,1,0)</f>
        <v>2450</v>
      </c>
      <c r="L1248" s="1" t="s">
        <v>834</v>
      </c>
    </row>
    <row r="1249" customFormat="false" ht="17.15" hidden="false" customHeight="false" outlineLevel="0" collapsed="false">
      <c r="A1249" s="0" t="s">
        <v>835</v>
      </c>
      <c r="B1249" s="0" t="s">
        <v>98</v>
      </c>
      <c r="C1249" s="6" t="n">
        <f aca="false">Sens!C1229*Sens!C1247/1000</f>
        <v>22.5333845916667</v>
      </c>
      <c r="D1249" s="6" t="n">
        <f aca="false">Sens!D1229*Sens!D1247/1000</f>
        <v>34.0300093833333</v>
      </c>
      <c r="E1249" s="6" t="n">
        <f aca="false">Sens!E1229*Sens!E1247/1000</f>
        <v>67.600153775</v>
      </c>
      <c r="F1249" s="6" t="n">
        <f aca="false">(Sens!F1229+Sens!F1248)*Sens!F1247/1000</f>
        <v>130.923271871467</v>
      </c>
      <c r="G1249" s="6" t="n">
        <f aca="false">(Sens!G1229+Sens!G1248)*Sens!G1247/1000</f>
        <v>151.5545564832</v>
      </c>
      <c r="H1249" s="6" t="n">
        <f aca="false">(Sens!H1229+Sens!H1248)*Sens!H1247/1000</f>
        <v>156.0606619104</v>
      </c>
      <c r="I1249" s="6" t="n">
        <f aca="false">(Sens!I1229+Sens!I1248)*Sens!I1247/1000</f>
        <v>140.987889434245</v>
      </c>
      <c r="J1249" s="6" t="n">
        <f aca="false">(Sens!J1229+Sens!J1248)*Sens!J1247/1000</f>
        <v>111.094541278091</v>
      </c>
      <c r="K1249" s="6" t="n">
        <f aca="false">(Sens!K1229+Sens!K1248)*Sens!K1247/1000</f>
        <v>110.842344481936</v>
      </c>
    </row>
    <row r="1250" customFormat="false" ht="17.15" hidden="false" customHeight="false" outlineLevel="0" collapsed="false">
      <c r="A1250" s="0" t="s">
        <v>836</v>
      </c>
      <c r="B1250" s="0" t="s">
        <v>98</v>
      </c>
      <c r="C1250" s="6" t="n">
        <f aca="false">Sens!C1229*self_build*tk_cxfac/1000</f>
        <v>6.2083</v>
      </c>
      <c r="D1250" s="6" t="n">
        <f aca="false">Sens!D1229*self_build*tk_cxfac/1000</f>
        <v>9.3758</v>
      </c>
      <c r="E1250" s="6" t="n">
        <f aca="false">Sens!E1229*self_build*tk_cxfac/1000</f>
        <v>18.6249</v>
      </c>
      <c r="F1250" s="6" t="n">
        <f aca="false">Sens!F1229*self_build*tk_cxfac/1000</f>
        <v>29.409604</v>
      </c>
      <c r="G1250" s="6" t="n">
        <f aca="false">Sens!G1229*self_build*tk_cxfac/1000</f>
        <v>32.019624</v>
      </c>
      <c r="H1250" s="6" t="n">
        <f aca="false">Sens!H1229*self_build*tk_cxfac/1000</f>
        <v>32.019624</v>
      </c>
      <c r="I1250" s="6" t="n">
        <f aca="false">Sens!I1229*self_build*tk_cxfac/1000</f>
        <v>22.71877972</v>
      </c>
      <c r="J1250" s="6" t="n">
        <f aca="false">Sens!J1229*self_build*tk_cxfac/1000</f>
        <v>13.41793544</v>
      </c>
      <c r="K1250" s="6" t="n">
        <f aca="false">Sens!K1229*self_build*tk_cxfac/1000</f>
        <v>4.11709116000001</v>
      </c>
    </row>
    <row r="1251" customFormat="false" ht="17.15" hidden="false" customHeight="false" outlineLevel="0" collapsed="false">
      <c r="A1251" s="0" t="s">
        <v>837</v>
      </c>
      <c r="B1251" s="0" t="s">
        <v>98</v>
      </c>
      <c r="F1251" s="6" t="n">
        <f aca="false">MAX(0,capex_floor27-Sens!F1249-Sens!F1250-Sens!F1344)</f>
        <v>8.13777689897088</v>
      </c>
      <c r="L1251" s="1" t="s">
        <v>838</v>
      </c>
    </row>
    <row r="1252" customFormat="false" ht="17.15" hidden="false" customHeight="false" outlineLevel="0" collapsed="false">
      <c r="A1252" s="0" t="s">
        <v>839</v>
      </c>
      <c r="B1252" s="0" t="s">
        <v>98</v>
      </c>
      <c r="C1252" s="6" t="n">
        <f aca="false">Sens!C1249</f>
        <v>22.5333845916667</v>
      </c>
      <c r="D1252" s="6" t="n">
        <f aca="false">Sens!D1249</f>
        <v>34.0300093833333</v>
      </c>
      <c r="E1252" s="6" t="n">
        <f aca="false">Sens!E1249</f>
        <v>67.600153775</v>
      </c>
      <c r="F1252" s="6" t="n">
        <f aca="false">Sens!F1249+Sens!F1251</f>
        <v>139.061048770438</v>
      </c>
      <c r="G1252" s="6" t="n">
        <f aca="false">Sens!G1249</f>
        <v>151.5545564832</v>
      </c>
      <c r="H1252" s="6" t="n">
        <f aca="false">Sens!H1249</f>
        <v>156.0606619104</v>
      </c>
      <c r="I1252" s="6" t="n">
        <f aca="false">Sens!I1249</f>
        <v>140.987889434245</v>
      </c>
      <c r="J1252" s="6" t="n">
        <f aca="false">Sens!J1249</f>
        <v>111.094541278091</v>
      </c>
      <c r="K1252" s="6" t="n">
        <f aca="false">Sens!K1249</f>
        <v>110.842344481936</v>
      </c>
    </row>
    <row r="1253" customFormat="false" ht="17.15" hidden="false" customHeight="false" outlineLevel="0" collapsed="false">
      <c r="A1253" s="0" t="s">
        <v>840</v>
      </c>
      <c r="B1253" s="0" t="s">
        <v>98</v>
      </c>
      <c r="C1253" s="6" t="n">
        <f aca="false">Sens!C1252+Sens!C1250</f>
        <v>28.7416845916667</v>
      </c>
      <c r="D1253" s="6" t="n">
        <f aca="false">Sens!D1252+Sens!D1250</f>
        <v>43.4058093833333</v>
      </c>
      <c r="E1253" s="6" t="n">
        <f aca="false">Sens!E1252+Sens!E1250</f>
        <v>86.225053775</v>
      </c>
      <c r="F1253" s="6" t="n">
        <f aca="false">Sens!F1252+Sens!F1250</f>
        <v>168.470652770438</v>
      </c>
      <c r="G1253" s="6" t="n">
        <f aca="false">Sens!G1252+Sens!G1250</f>
        <v>183.5741804832</v>
      </c>
      <c r="H1253" s="6" t="n">
        <f aca="false">Sens!H1252+Sens!H1250</f>
        <v>188.0802859104</v>
      </c>
      <c r="I1253" s="6" t="n">
        <f aca="false">Sens!I1252+Sens!I1250</f>
        <v>163.706669154245</v>
      </c>
      <c r="J1253" s="6" t="n">
        <f aca="false">Sens!J1252+Sens!J1250</f>
        <v>124.51247671809</v>
      </c>
      <c r="K1253" s="6" t="n">
        <f aca="false">Sens!K1252+Sens!K1250</f>
        <v>114.959435641936</v>
      </c>
      <c r="L1253" s="11" t="s">
        <v>841</v>
      </c>
    </row>
    <row r="1254" customFormat="false" ht="17.15" hidden="false" customHeight="false" outlineLevel="0" collapsed="false">
      <c r="A1254" s="0" t="s">
        <v>842</v>
      </c>
      <c r="B1254" s="0" t="s">
        <v>98</v>
      </c>
      <c r="E1254" s="6" t="n">
        <f aca="false">(Sens!C1252*IF(2&lt;life_it,1,IF(2=life_it,0.5,0))+Sens!D1252*IF(1&lt;life_it,1,IF(1=life_it,0.5,0))+Sens!E1252*0.5)/life_it</f>
        <v>15.0605784770833</v>
      </c>
      <c r="F1254" s="6" t="n">
        <f aca="false">(Sens!C1252*IF(3&lt;life_it,1,IF(3=life_it,0.5,0))+Sens!D1252*IF(2&lt;life_it,1,IF(2=life_it,0.5,0))+Sens!E1252*IF(1&lt;life_it,1,IF(1=life_it,0.5,0))+Sens!F1252*0.5)/life_it</f>
        <v>32.2823453558698</v>
      </c>
      <c r="G1254" s="6" t="n">
        <f aca="false">(Sens!C1252*IF(4&lt;life_it,1,IF(4=life_it,0.5,0))+Sens!D1252*IF(3&lt;life_it,1,IF(3=life_it,0.5,0))+Sens!E1252*IF(2&lt;life_it,1,IF(2=life_it,0.5,0))+Sens!F1252*IF(1&lt;life_it,1,IF(1=life_it,0.5,0))+Sens!G1252*0.5)/life_it</f>
        <v>56.5003124603396</v>
      </c>
      <c r="H1254" s="6" t="n">
        <f aca="false">(Sens!C1252*IF(5&lt;life_it,1,IF(5=life_it,0.5,0))+Sens!D1252*IF(4&lt;life_it,1,IF(4=life_it,0.5,0))+Sens!E1252*IF(3&lt;life_it,1,IF(3=life_it,0.5,0))+Sens!F1252*IF(2&lt;life_it,1,IF(2=life_it,0.5,0))+Sens!G1252*IF(1&lt;life_it,1,IF(1=life_it,0.5,0))+Sens!H1252*0.5)/life_it</f>
        <v>82.1349139931396</v>
      </c>
      <c r="I1254" s="6" t="n">
        <f aca="false">(Sens!C1252*IF(6&lt;life_it,1,IF(6=life_it,0.5,0))+Sens!D1252*IF(5&lt;life_it,1,IF(5=life_it,0.5,0))+Sens!E1252*IF(4&lt;life_it,1,IF(4=life_it,0.5,0))+Sens!F1252*IF(3&lt;life_it,1,IF(3=life_it,0.5,0))+Sens!G1252*IF(2&lt;life_it,1,IF(2=life_it,0.5,0))+Sens!H1252*IF(1&lt;life_it,1,IF(1=life_it,0.5,0))+Sens!I1252*0.5)/life_it</f>
        <v>105.011177889221</v>
      </c>
      <c r="J1254" s="6" t="n">
        <f aca="false">(Sens!C1252*IF(7&lt;life_it,1,IF(7=life_it,0.5,0))+Sens!D1252*IF(6&lt;life_it,1,IF(6=life_it,0.5,0))+Sens!E1252*IF(5&lt;life_it,1,IF(5=life_it,0.5,0))+Sens!F1252*IF(4&lt;life_it,1,IF(4=life_it,0.5,0))+Sens!G1252*IF(3&lt;life_it,1,IF(3=life_it,0.5,0))+Sens!H1252*IF(2&lt;life_it,1,IF(2=life_it,0.5,0))+Sens!I1252*IF(1&lt;life_it,1,IF(1=life_it,0.5,0))+Sens!J1252*0.5)/life_it</f>
        <v>121.304430950666</v>
      </c>
      <c r="K1254" s="6" t="n">
        <f aca="false">(Sens!C1252*IF(8&lt;life_it,1,IF(8=life_it,0.5,0))+Sens!D1252*IF(7&lt;life_it,1,IF(7=life_it,0.5,0))+Sens!E1252*IF(6&lt;life_it,1,IF(6=life_it,0.5,0))+Sens!F1252*IF(5&lt;life_it,1,IF(5=life_it,0.5,0))+Sens!G1252*IF(4&lt;life_it,1,IF(4=life_it,0.5,0))+Sens!H1252*IF(3&lt;life_it,1,IF(3=life_it,0.5,0))+Sens!I1252*IF(2&lt;life_it,1,IF(2=life_it,0.5,0))+Sens!J1252*IF(1&lt;life_it,1,IF(1=life_it,0.5,0))+Sens!K1252*0.5)/life_it</f>
        <v>131.329991167474</v>
      </c>
    </row>
    <row r="1255" customFormat="false" ht="17.15" hidden="false" customHeight="false" outlineLevel="0" collapsed="false">
      <c r="A1255" s="0" t="s">
        <v>843</v>
      </c>
      <c r="B1255" s="0" t="s">
        <v>98</v>
      </c>
      <c r="E1255" s="6" t="n">
        <f aca="false">(Sens!C1250*IF(2&lt;life_fac,1,IF(2=life_fac,0.5,0))+Sens!D1250*IF(1&lt;life_fac,1,IF(1=life_fac,0.5,0))+Sens!E1250*0.5)/life_fac</f>
        <v>1.2448275</v>
      </c>
      <c r="F1255" s="6" t="n">
        <f aca="false">(Sens!C1250*IF(3&lt;life_fac,1,IF(3=life_fac,0.5,0))+Sens!D1250*IF(2&lt;life_fac,1,IF(2=life_fac,0.5,0))+Sens!E1250*IF(1&lt;life_fac,1,IF(1=life_fac,0.5,0))+Sens!F1250*0.5)/life_fac</f>
        <v>2.4456901</v>
      </c>
      <c r="G1255" s="6" t="n">
        <f aca="false">(Sens!C1250*IF(4&lt;life_fac,1,IF(4=life_fac,0.5,0))+Sens!D1250*IF(3&lt;life_fac,1,IF(3=life_fac,0.5,0))+Sens!E1250*IF(2&lt;life_fac,1,IF(2=life_fac,0.5,0))+Sens!F1250*IF(1&lt;life_fac,1,IF(1=life_fac,0.5,0))+Sens!G1250*0.5)/life_fac</f>
        <v>3.9814208</v>
      </c>
      <c r="H1255" s="6" t="n">
        <f aca="false">(Sens!C1250*IF(5&lt;life_fac,1,IF(5=life_fac,0.5,0))+Sens!D1250*IF(4&lt;life_fac,1,IF(4=life_fac,0.5,0))+Sens!E1250*IF(3&lt;life_fac,1,IF(3=life_fac,0.5,0))+Sens!F1250*IF(2&lt;life_fac,1,IF(2=life_fac,0.5,0))+Sens!G1250*IF(1&lt;life_fac,1,IF(1=life_fac,0.5,0))+Sens!H1250*0.5)/life_fac</f>
        <v>5.582402</v>
      </c>
      <c r="I1255" s="6" t="n">
        <f aca="false">(Sens!C1250*IF(6&lt;life_fac,1,IF(6=life_fac,0.5,0))+Sens!D1250*IF(5&lt;life_fac,1,IF(5=life_fac,0.5,0))+Sens!E1250*IF(4&lt;life_fac,1,IF(4=life_fac,0.5,0))+Sens!F1250*IF(3&lt;life_fac,1,IF(3=life_fac,0.5,0))+Sens!G1250*IF(2&lt;life_fac,1,IF(2=life_fac,0.5,0))+Sens!H1250*IF(1&lt;life_fac,1,IF(1=life_fac,0.5,0))+Sens!I1250*0.5)/life_fac</f>
        <v>6.950862093</v>
      </c>
      <c r="J1255" s="6" t="n">
        <f aca="false">(Sens!C1250*IF(7&lt;life_fac,1,IF(7=life_fac,0.5,0))+Sens!D1250*IF(6&lt;life_fac,1,IF(6=life_fac,0.5,0))+Sens!E1250*IF(5&lt;life_fac,1,IF(5=life_fac,0.5,0))+Sens!F1250*IF(4&lt;life_fac,1,IF(4=life_fac,0.5,0))+Sens!G1250*IF(3&lt;life_fac,1,IF(3=life_fac,0.5,0))+Sens!H1250*IF(2&lt;life_fac,1,IF(2=life_fac,0.5,0))+Sens!I1250*IF(1&lt;life_fac,1,IF(1=life_fac,0.5,0))+Sens!J1250*0.5)/life_fac</f>
        <v>7.854279972</v>
      </c>
      <c r="K1255" s="6" t="n">
        <f aca="false">(Sens!C1250*IF(8&lt;life_fac,1,IF(8=life_fac,0.5,0))+Sens!D1250*IF(7&lt;life_fac,1,IF(7=life_fac,0.5,0))+Sens!E1250*IF(6&lt;life_fac,1,IF(6=life_fac,0.5,0))+Sens!F1250*IF(5&lt;life_fac,1,IF(5=life_fac,0.5,0))+Sens!G1250*IF(4&lt;life_fac,1,IF(4=life_fac,0.5,0))+Sens!H1250*IF(3&lt;life_fac,1,IF(3=life_fac,0.5,0))+Sens!I1250*IF(2&lt;life_fac,1,IF(2=life_fac,0.5,0))+Sens!J1250*IF(1&lt;life_fac,1,IF(1=life_fac,0.5,0))+Sens!K1250*0.5)/life_fac</f>
        <v>8.292655637</v>
      </c>
    </row>
    <row r="1256" customFormat="false" ht="17.15" hidden="false" customHeight="false" outlineLevel="0" collapsed="false">
      <c r="A1256" s="0" t="s">
        <v>844</v>
      </c>
      <c r="B1256" s="0" t="s">
        <v>98</v>
      </c>
      <c r="E1256" s="6" t="n">
        <f aca="false">Sens!E1254+Sens!E1255</f>
        <v>16.3054059770833</v>
      </c>
      <c r="F1256" s="6" t="n">
        <f aca="false">Sens!F1254+Sens!F1255</f>
        <v>34.7280354558698</v>
      </c>
      <c r="G1256" s="6" t="n">
        <f aca="false">Sens!G1254+Sens!G1255</f>
        <v>60.4817332603396</v>
      </c>
      <c r="H1256" s="6" t="n">
        <f aca="false">Sens!H1254+Sens!H1255</f>
        <v>87.7173159931396</v>
      </c>
      <c r="I1256" s="6" t="n">
        <f aca="false">Sens!I1254+Sens!I1255</f>
        <v>111.962039982221</v>
      </c>
      <c r="J1256" s="6" t="n">
        <f aca="false">Sens!J1254+Sens!J1255</f>
        <v>129.158710922666</v>
      </c>
      <c r="K1256" s="6" t="n">
        <f aca="false">Sens!K1254+Sens!K1255</f>
        <v>139.622646804474</v>
      </c>
    </row>
    <row r="1257" customFormat="false" ht="17.15" hidden="false" customHeight="false" outlineLevel="0" collapsed="false">
      <c r="A1257" s="0" t="s">
        <v>845</v>
      </c>
      <c r="B1257" s="0" t="s">
        <v>98</v>
      </c>
      <c r="E1257" s="6" t="n">
        <f aca="false">Sens!E1245-Sens!E1244*Sens!E1256</f>
        <v>8.92707889977379</v>
      </c>
      <c r="F1257" s="6" t="n">
        <f aca="false">Sens!F1245-Sens!F1244*Sens!F1256</f>
        <v>31.1008950157905</v>
      </c>
      <c r="G1257" s="6" t="n">
        <f aca="false">Sens!G1245-Sens!G1244*Sens!G1256</f>
        <v>57.3876257948744</v>
      </c>
      <c r="H1257" s="6" t="n">
        <f aca="false">Sens!H1245-Sens!H1244*Sens!H1256</f>
        <v>90.0070761674701</v>
      </c>
      <c r="I1257" s="6" t="n">
        <f aca="false">Sens!I1245-Sens!I1244*Sens!I1256</f>
        <v>112.860915308723</v>
      </c>
      <c r="J1257" s="6" t="n">
        <f aca="false">Sens!J1245-Sens!J1244*Sens!J1256</f>
        <v>128.751520834292</v>
      </c>
      <c r="K1257" s="6" t="n">
        <f aca="false">Sens!K1245-Sens!K1244*Sens!K1256</f>
        <v>139.137883739706</v>
      </c>
    </row>
    <row r="1258" customFormat="false" ht="17.15" hidden="false" customHeight="false" outlineLevel="0" collapsed="false">
      <c r="A1258" s="3" t="s">
        <v>1265</v>
      </c>
    </row>
    <row r="1259" customFormat="false" ht="15" hidden="false" customHeight="false" outlineLevel="0" collapsed="false">
      <c r="A1259" s="4" t="s">
        <v>43</v>
      </c>
      <c r="B1259" s="4" t="s">
        <v>65</v>
      </c>
      <c r="C1259" s="20" t="s">
        <v>788</v>
      </c>
      <c r="D1259" s="20" t="s">
        <v>789</v>
      </c>
      <c r="E1259" s="20" t="s">
        <v>790</v>
      </c>
      <c r="F1259" s="20" t="s">
        <v>791</v>
      </c>
      <c r="G1259" s="20" t="s">
        <v>792</v>
      </c>
      <c r="H1259" s="20" t="s">
        <v>793</v>
      </c>
      <c r="I1259" s="20" t="s">
        <v>794</v>
      </c>
      <c r="J1259" s="20" t="s">
        <v>795</v>
      </c>
      <c r="K1259" s="20" t="s">
        <v>796</v>
      </c>
      <c r="L1259" s="4" t="s">
        <v>47</v>
      </c>
    </row>
    <row r="1260" customFormat="false" ht="17.15" hidden="false" customHeight="false" outlineLevel="0" collapsed="false">
      <c r="A1260" s="0" t="s">
        <v>864</v>
      </c>
      <c r="B1260" s="0" t="s">
        <v>98</v>
      </c>
      <c r="D1260" s="6" t="n">
        <f aca="false">Sens!D1239</f>
        <v>12.9359794422418</v>
      </c>
      <c r="E1260" s="6" t="n">
        <f aca="false">Sens!E1239</f>
        <v>27.8095064661409</v>
      </c>
      <c r="F1260" s="6" t="n">
        <f aca="false">Sens!F1239</f>
        <v>67.542282115077</v>
      </c>
      <c r="G1260" s="6" t="n">
        <f aca="false">Sens!G1239</f>
        <v>116.574452512326</v>
      </c>
      <c r="H1260" s="6" t="n">
        <f aca="false">Sens!H1239</f>
        <v>172.253451516369</v>
      </c>
      <c r="I1260" s="6" t="n">
        <f aca="false">Sens!I1239</f>
        <v>215.474008545752</v>
      </c>
      <c r="J1260" s="6" t="n">
        <f aca="false">Sens!J1239</f>
        <v>245.604376594413</v>
      </c>
      <c r="K1260" s="6" t="n">
        <f aca="false">Sens!K1239</f>
        <v>264.3737359774</v>
      </c>
    </row>
    <row r="1261" customFormat="false" ht="17.15" hidden="false" customHeight="false" outlineLevel="0" collapsed="false">
      <c r="A1261" s="0" t="s">
        <v>865</v>
      </c>
      <c r="B1261" s="0" t="s">
        <v>98</v>
      </c>
      <c r="D1261" s="6" t="n">
        <f aca="false">Q!L6-Sens!D1260</f>
        <v>59.6740205577583</v>
      </c>
      <c r="E1261" s="6" t="n">
        <f aca="false">Q!M6-Sens!E1260</f>
        <v>74.1284935338591</v>
      </c>
      <c r="F1261" s="6" t="n">
        <f aca="false">Sens!E1261*(1+Sens!F1262)</f>
        <v>90.0799497373663</v>
      </c>
      <c r="G1261" s="6" t="n">
        <f aca="false">Sens!F1261*(1+Sens!G1262)</f>
        <v>107.02842520331</v>
      </c>
      <c r="H1261" s="6" t="n">
        <f aca="false">Sens!G1261*(1+Sens!H1262)</f>
        <v>124.271982585636</v>
      </c>
      <c r="I1261" s="6" t="n">
        <f aca="false">Sens!H1261*(1+Sens!I1262)</f>
        <v>140.933702381855</v>
      </c>
      <c r="J1261" s="6" t="n">
        <f aca="false">Sens!I1261*(1+Sens!J1262)</f>
        <v>156.018867314332</v>
      </c>
      <c r="K1261" s="6" t="n">
        <f aca="false">Sens!J1261*(1+Sens!K1262)</f>
        <v>168.500376699478</v>
      </c>
    </row>
    <row r="1262" customFormat="false" ht="15" hidden="false" customHeight="false" outlineLevel="0" collapsed="false">
      <c r="A1262" s="1" t="s">
        <v>866</v>
      </c>
      <c r="B1262" s="0" t="s">
        <v>129</v>
      </c>
      <c r="E1262" s="7" t="n">
        <f aca="false">Sens!E1261/Sens!D1261-1</f>
        <v>0.242223883039864</v>
      </c>
      <c r="F1262" s="7" t="n">
        <f aca="false">Sens!$E$1262+(glt_azo-Sens!$E$1262)*MIN(1,(Sens!F1222-base_fy)/n_conv)</f>
        <v>0.215186569199887</v>
      </c>
      <c r="G1262" s="7" t="n">
        <f aca="false">Sens!$E$1262+(glt_azo-Sens!$E$1262)*MIN(1,(Sens!G1222-base_fy)/n_conv)</f>
        <v>0.18814925535991</v>
      </c>
      <c r="H1262" s="7" t="n">
        <f aca="false">Sens!$E$1262+(glt_azo-Sens!$E$1262)*MIN(1,(Sens!H1222-base_fy)/n_conv)</f>
        <v>0.161111941519932</v>
      </c>
      <c r="I1262" s="7" t="n">
        <f aca="false">Sens!$E$1262+(glt_azo-Sens!$E$1262)*MIN(1,(Sens!I1222-base_fy)/n_conv)</f>
        <v>0.134074627679955</v>
      </c>
      <c r="J1262" s="7" t="n">
        <f aca="false">Sens!$E$1262+(glt_azo-Sens!$E$1262)*MIN(1,(Sens!J1222-base_fy)/n_conv)</f>
        <v>0.107037313839977</v>
      </c>
      <c r="K1262" s="7" t="n">
        <f aca="false">Sens!$E$1262+(glt_azo-Sens!$E$1262)*MIN(1,(Sens!K1222-base_fy)/n_conv)</f>
        <v>0.08</v>
      </c>
    </row>
    <row r="1263" customFormat="false" ht="15" hidden="false" customHeight="false" outlineLevel="0" collapsed="false">
      <c r="A1263" s="0" t="s">
        <v>867</v>
      </c>
      <c r="B1263" s="0" t="s">
        <v>98</v>
      </c>
      <c r="D1263" s="6" t="n">
        <f aca="false">Sens!D1260+Sens!D1261</f>
        <v>72.61</v>
      </c>
      <c r="E1263" s="6" t="n">
        <f aca="false">Sens!E1260+Sens!E1261</f>
        <v>101.938</v>
      </c>
      <c r="F1263" s="6" t="n">
        <f aca="false">Sens!F1260+Sens!F1261</f>
        <v>157.622231852443</v>
      </c>
      <c r="G1263" s="6" t="n">
        <f aca="false">Sens!G1260+Sens!G1261</f>
        <v>223.602877715636</v>
      </c>
      <c r="H1263" s="6" t="n">
        <f aca="false">Sens!H1260+Sens!H1261</f>
        <v>296.525434102005</v>
      </c>
      <c r="I1263" s="6" t="n">
        <f aca="false">Sens!I1260+Sens!I1261</f>
        <v>356.407710927607</v>
      </c>
      <c r="J1263" s="6" t="n">
        <f aca="false">Sens!J1260+Sens!J1261</f>
        <v>401.623243908745</v>
      </c>
      <c r="K1263" s="6" t="n">
        <f aca="false">Sens!K1260+Sens!K1261</f>
        <v>432.874112676878</v>
      </c>
    </row>
    <row r="1264" customFormat="false" ht="17.15" hidden="false" customHeight="false" outlineLevel="0" collapsed="false">
      <c r="A1264" s="0" t="s">
        <v>868</v>
      </c>
      <c r="B1264" s="1" t="s">
        <v>521</v>
      </c>
      <c r="C1264" s="29" t="n">
        <f aca="false">cop_s24</f>
        <v>1</v>
      </c>
      <c r="D1264" s="29" t="n">
        <f aca="false">cop_s25</f>
        <v>5</v>
      </c>
      <c r="E1264" s="29" t="n">
        <f aca="false">cop_s26</f>
        <v>30</v>
      </c>
      <c r="F1264" s="29" t="n">
        <f aca="false">Sens!E1264+cop_add_A</f>
        <v>60</v>
      </c>
      <c r="G1264" s="29" t="n">
        <f aca="false">Sens!F1264+cop_add_A</f>
        <v>90</v>
      </c>
      <c r="H1264" s="29" t="n">
        <f aca="false">Sens!G1264+cop_add_A</f>
        <v>120</v>
      </c>
      <c r="I1264" s="29" t="n">
        <f aca="false">Sens!H1264+cop_add_A*cop_tail</f>
        <v>135</v>
      </c>
      <c r="J1264" s="29" t="n">
        <f aca="false">Sens!I1264+cop_add_A*cop_tail</f>
        <v>150</v>
      </c>
      <c r="K1264" s="29" t="n">
        <f aca="false">Sens!J1264+cop_add_A*cop_tail</f>
        <v>165</v>
      </c>
      <c r="L1264" s="11" t="s">
        <v>869</v>
      </c>
    </row>
    <row r="1265" customFormat="false" ht="17.15" hidden="false" customHeight="false" outlineLevel="0" collapsed="false">
      <c r="A1265" s="0" t="s">
        <v>870</v>
      </c>
      <c r="B1265" s="0" t="s">
        <v>98</v>
      </c>
      <c r="D1265" s="6" t="n">
        <f aca="false">(Sens!C1264+Sens!D1264)/2*cop_px*12/1000</f>
        <v>0.9</v>
      </c>
      <c r="E1265" s="6" t="n">
        <f aca="false">(Sens!D1264+Sens!E1264)/2*cop_px*12/1000</f>
        <v>5.25</v>
      </c>
      <c r="F1265" s="6" t="n">
        <f aca="false">(Sens!E1264+Sens!F1264)/2*cop_px*12/1000</f>
        <v>13.5</v>
      </c>
      <c r="G1265" s="6" t="n">
        <f aca="false">(Sens!F1264+Sens!G1264)/2*cop_px*12/1000</f>
        <v>22.5</v>
      </c>
      <c r="H1265" s="6" t="n">
        <f aca="false">(Sens!G1264+Sens!H1264)/2*cop_px*12/1000</f>
        <v>31.5</v>
      </c>
      <c r="I1265" s="6" t="n">
        <f aca="false">(Sens!H1264+Sens!I1264)/2*cop_px*12/1000</f>
        <v>38.25</v>
      </c>
      <c r="J1265" s="6" t="n">
        <f aca="false">(Sens!I1264+Sens!J1264)/2*cop_px*12/1000</f>
        <v>42.75</v>
      </c>
      <c r="K1265" s="6" t="n">
        <f aca="false">(Sens!J1264+Sens!K1264)/2*cop_px*12/1000</f>
        <v>47.25</v>
      </c>
      <c r="L1265" s="1" t="s">
        <v>871</v>
      </c>
    </row>
    <row r="1266" customFormat="false" ht="17.15" hidden="false" customHeight="false" outlineLevel="0" collapsed="false">
      <c r="A1266" s="0" t="s">
        <v>872</v>
      </c>
      <c r="B1266" s="0" t="s">
        <v>98</v>
      </c>
      <c r="D1266" s="6" t="n">
        <f aca="false">Q!L7-Sens!D1265</f>
        <v>83.705</v>
      </c>
      <c r="E1266" s="6" t="n">
        <f aca="false">Q!M7-Sens!E1265</f>
        <v>95.049</v>
      </c>
      <c r="F1266" s="6" t="n">
        <f aca="false">Sens!E1266*(1+Sens!F1267)</f>
        <v>106.89238776686</v>
      </c>
      <c r="G1266" s="6" t="n">
        <f aca="false">Sens!F1266*(1+Sens!G1267)</f>
        <v>119.044168448684</v>
      </c>
      <c r="H1266" s="6" t="n">
        <f aca="false">Sens!G1266*(1+Sens!H1267)</f>
        <v>131.277359388781</v>
      </c>
      <c r="I1266" s="6" t="n">
        <f aca="false">Sens!H1266*(1+Sens!I1267)</f>
        <v>143.334028071957</v>
      </c>
      <c r="J1266" s="6" t="n">
        <f aca="false">Sens!I1266*(1+Sens!J1267)</f>
        <v>154.932702785465</v>
      </c>
      <c r="K1266" s="6" t="n">
        <f aca="false">Sens!J1266*(1+Sens!K1267)</f>
        <v>165.777991980448</v>
      </c>
    </row>
    <row r="1267" customFormat="false" ht="15" hidden="false" customHeight="false" outlineLevel="0" collapsed="false">
      <c r="A1267" s="1" t="s">
        <v>866</v>
      </c>
      <c r="B1267" s="0" t="s">
        <v>129</v>
      </c>
      <c r="E1267" s="7" t="n">
        <f aca="false">Sens!E1266/Sens!D1266-1</f>
        <v>0.135523564900544</v>
      </c>
      <c r="F1267" s="7" t="n">
        <f aca="false">Sens!$E$1267+(glt_m365b-Sens!$E$1267)*MIN(1,(Sens!F1222-base_fy)/n_conv)</f>
        <v>0.124602970750453</v>
      </c>
      <c r="G1267" s="7" t="n">
        <f aca="false">Sens!$E$1267+(glt_m365b-Sens!$E$1267)*MIN(1,(Sens!G1222-base_fy)/n_conv)</f>
        <v>0.113682376600363</v>
      </c>
      <c r="H1267" s="7" t="n">
        <f aca="false">Sens!$E$1267+(glt_m365b-Sens!$E$1267)*MIN(1,(Sens!H1222-base_fy)/n_conv)</f>
        <v>0.102761782450272</v>
      </c>
      <c r="I1267" s="7" t="n">
        <f aca="false">Sens!$E$1267+(glt_m365b-Sens!$E$1267)*MIN(1,(Sens!I1222-base_fy)/n_conv)</f>
        <v>0.0918411883001813</v>
      </c>
      <c r="J1267" s="7" t="n">
        <f aca="false">Sens!$E$1267+(glt_m365b-Sens!$E$1267)*MIN(1,(Sens!J1222-base_fy)/n_conv)</f>
        <v>0.0809205941500906</v>
      </c>
      <c r="K1267" s="7" t="n">
        <f aca="false">Sens!$E$1267+(glt_m365b-Sens!$E$1267)*MIN(1,(Sens!K1222-base_fy)/n_conv)</f>
        <v>0.07</v>
      </c>
    </row>
    <row r="1268" customFormat="false" ht="15" hidden="false" customHeight="false" outlineLevel="0" collapsed="false">
      <c r="A1268" s="0" t="s">
        <v>873</v>
      </c>
      <c r="B1268" s="0" t="s">
        <v>98</v>
      </c>
      <c r="D1268" s="6" t="n">
        <f aca="false">Sens!D1266+Sens!D1265</f>
        <v>84.605</v>
      </c>
      <c r="E1268" s="6" t="n">
        <f aca="false">Sens!E1266+Sens!E1265</f>
        <v>100.299</v>
      </c>
      <c r="F1268" s="6" t="n">
        <f aca="false">Sens!F1266+Sens!F1265</f>
        <v>120.39238776686</v>
      </c>
      <c r="G1268" s="6" t="n">
        <f aca="false">Sens!G1266+Sens!G1265</f>
        <v>141.544168448684</v>
      </c>
      <c r="H1268" s="6" t="n">
        <f aca="false">Sens!H1266+Sens!H1265</f>
        <v>162.777359388781</v>
      </c>
      <c r="I1268" s="6" t="n">
        <f aca="false">Sens!I1266+Sens!I1265</f>
        <v>181.584028071957</v>
      </c>
      <c r="J1268" s="6" t="n">
        <f aca="false">Sens!J1266+Sens!J1265</f>
        <v>197.682702785465</v>
      </c>
      <c r="K1268" s="6" t="n">
        <f aca="false">Sens!K1266+Sens!K1265</f>
        <v>213.027991980448</v>
      </c>
    </row>
    <row r="1269" customFormat="false" ht="15" hidden="false" customHeight="false" outlineLevel="0" collapsed="false">
      <c r="A1269" s="0" t="s">
        <v>874</v>
      </c>
      <c r="B1269" s="0" t="s">
        <v>98</v>
      </c>
      <c r="D1269" s="6" t="n">
        <f aca="false">Q!L8</f>
        <v>35.391</v>
      </c>
      <c r="E1269" s="6" t="n">
        <f aca="false">Q!M8</f>
        <v>37.285</v>
      </c>
      <c r="F1269" s="6" t="n">
        <f aca="false">Sens!E1269*(1+Sens!F1270)</f>
        <v>39.0720834331704</v>
      </c>
      <c r="G1269" s="6" t="n">
        <f aca="false">Sens!F1269*(1+Sens!G1270)</f>
        <v>40.726562953769</v>
      </c>
      <c r="H1269" s="6" t="n">
        <f aca="false">Sens!G1269*(1+Sens!H1270)</f>
        <v>42.2235987259198</v>
      </c>
      <c r="I1269" s="6" t="n">
        <f aca="false">Sens!H1269*(1+Sens!I1270)</f>
        <v>43.5397988077414</v>
      </c>
      <c r="J1269" s="6" t="n">
        <f aca="false">Sens!I1269*(1+Sens!J1270)</f>
        <v>44.653811225693</v>
      </c>
      <c r="K1269" s="6" t="n">
        <f aca="false">Sens!J1269*(1+Sens!K1270)</f>
        <v>45.5468874502068</v>
      </c>
    </row>
    <row r="1270" customFormat="false" ht="15" hidden="false" customHeight="false" outlineLevel="0" collapsed="false">
      <c r="A1270" s="1" t="s">
        <v>866</v>
      </c>
      <c r="B1270" s="0" t="s">
        <v>129</v>
      </c>
      <c r="E1270" s="7" t="n">
        <f aca="false">Sens!E1269/Sens!D1269-1</f>
        <v>0.0535164307309768</v>
      </c>
      <c r="F1270" s="7" t="n">
        <f aca="false">Sens!$E$1270+(glt_lic-Sens!$E$1270)*MIN(1,(Sens!F1222-base_fy)/n_conv)</f>
        <v>0.0479303589424807</v>
      </c>
      <c r="G1270" s="7" t="n">
        <f aca="false">Sens!$E$1270+(glt_lic-Sens!$E$1270)*MIN(1,(Sens!G1222-base_fy)/n_conv)</f>
        <v>0.0423442871539845</v>
      </c>
      <c r="H1270" s="7" t="n">
        <f aca="false">Sens!$E$1270+(glt_lic-Sens!$E$1270)*MIN(1,(Sens!H1222-base_fy)/n_conv)</f>
        <v>0.0367582153654884</v>
      </c>
      <c r="I1270" s="7" t="n">
        <f aca="false">Sens!$E$1270+(glt_lic-Sens!$E$1270)*MIN(1,(Sens!I1222-base_fy)/n_conv)</f>
        <v>0.0311721435769923</v>
      </c>
      <c r="J1270" s="7" t="n">
        <f aca="false">Sens!$E$1270+(glt_lic-Sens!$E$1270)*MIN(1,(Sens!J1222-base_fy)/n_conv)</f>
        <v>0.0255860717884961</v>
      </c>
      <c r="K1270" s="7" t="n">
        <f aca="false">Sens!$E$1270+(glt_lic-Sens!$E$1270)*MIN(1,(Sens!K1222-base_fy)/n_conv)</f>
        <v>0.02</v>
      </c>
    </row>
    <row r="1271" customFormat="false" ht="15" hidden="false" customHeight="false" outlineLevel="0" collapsed="false">
      <c r="A1271" s="0" t="s">
        <v>875</v>
      </c>
      <c r="B1271" s="0" t="s">
        <v>98</v>
      </c>
      <c r="D1271" s="6" t="n">
        <f aca="false">Q!L9</f>
        <v>18.417</v>
      </c>
      <c r="E1271" s="6" t="n">
        <f aca="false">Q!M9</f>
        <v>20.345</v>
      </c>
      <c r="F1271" s="6" t="n">
        <f aca="false">Sens!E1271*(1+Sens!F1272)</f>
        <v>22.3572203267814</v>
      </c>
      <c r="G1271" s="6" t="n">
        <f aca="false">Sens!F1271*(1+Sens!G1272)</f>
        <v>24.4392124437232</v>
      </c>
      <c r="H1271" s="6" t="n">
        <f aca="false">Sens!G1271*(1+Sens!H1272)</f>
        <v>26.5738052080665</v>
      </c>
      <c r="I1271" s="6" t="n">
        <f aca="false">Sens!H1271*(1+Sens!I1272)</f>
        <v>28.7412169166967</v>
      </c>
      <c r="J1271" s="6" t="n">
        <f aca="false">Sens!I1271*(1+Sens!J1272)</f>
        <v>30.9192545395413</v>
      </c>
      <c r="K1271" s="6" t="n">
        <f aca="false">Sens!J1271*(1+Sens!K1272)</f>
        <v>33.0836023573092</v>
      </c>
    </row>
    <row r="1272" customFormat="false" ht="15" hidden="false" customHeight="false" outlineLevel="0" collapsed="false">
      <c r="A1272" s="1" t="s">
        <v>866</v>
      </c>
      <c r="B1272" s="0" t="s">
        <v>129</v>
      </c>
      <c r="E1272" s="7" t="n">
        <f aca="false">Sens!E1271/Sens!D1271-1</f>
        <v>0.104685888038225</v>
      </c>
      <c r="F1272" s="7" t="n">
        <f aca="false">Sens!$E$1272+(glt_ind-Sens!$E$1272)*MIN(1,(Sens!F1222-base_fy)/n_conv)</f>
        <v>0.0989049066985211</v>
      </c>
      <c r="G1272" s="7" t="n">
        <f aca="false">Sens!$E$1272+(glt_ind-Sens!$E$1272)*MIN(1,(Sens!G1222-base_fy)/n_conv)</f>
        <v>0.0931239253588169</v>
      </c>
      <c r="H1272" s="7" t="n">
        <f aca="false">Sens!$E$1272+(glt_ind-Sens!$E$1272)*MIN(1,(Sens!H1222-base_fy)/n_conv)</f>
        <v>0.0873429440191127</v>
      </c>
      <c r="I1272" s="7" t="n">
        <f aca="false">Sens!$E$1272+(glt_ind-Sens!$E$1272)*MIN(1,(Sens!I1222-base_fy)/n_conv)</f>
        <v>0.0815619626794085</v>
      </c>
      <c r="J1272" s="7" t="n">
        <f aca="false">Sens!$E$1272+(glt_ind-Sens!$E$1272)*MIN(1,(Sens!J1222-base_fy)/n_conv)</f>
        <v>0.0757809813397042</v>
      </c>
      <c r="K1272" s="7" t="n">
        <f aca="false">Sens!$E$1272+(glt_ind-Sens!$E$1272)*MIN(1,(Sens!K1222-base_fy)/n_conv)</f>
        <v>0.07</v>
      </c>
    </row>
    <row r="1273" customFormat="false" ht="15" hidden="false" customHeight="false" outlineLevel="0" collapsed="false">
      <c r="A1273" s="0" t="s">
        <v>876</v>
      </c>
      <c r="B1273" s="0" t="s">
        <v>98</v>
      </c>
      <c r="D1273" s="6" t="n">
        <f aca="false">Q!L10</f>
        <v>7.76</v>
      </c>
      <c r="E1273" s="6" t="n">
        <f aca="false">Q!M10</f>
        <v>8.26</v>
      </c>
      <c r="F1273" s="6" t="n">
        <f aca="false">Sens!E1273*(1+Sens!F1274)</f>
        <v>8.79988041237113</v>
      </c>
      <c r="G1273" s="6" t="n">
        <f aca="false">Sens!F1273*(1+Sens!G1274)</f>
        <v>9.38321269125306</v>
      </c>
      <c r="H1273" s="6" t="n">
        <f aca="false">Sens!G1273*(1+Sens!H1274)</f>
        <v>10.0139193587476</v>
      </c>
      <c r="I1273" s="6" t="n">
        <f aca="false">Sens!H1273*(1+Sens!I1274)</f>
        <v>10.6963111830911</v>
      </c>
      <c r="J1273" s="6" t="n">
        <f aca="false">Sens!I1273*(1+Sens!J1274)</f>
        <v>11.4351285534696</v>
      </c>
      <c r="K1273" s="6" t="n">
        <f aca="false">Sens!J1273*(1+Sens!K1274)</f>
        <v>12.2355875522124</v>
      </c>
    </row>
    <row r="1274" customFormat="false" ht="15" hidden="false" customHeight="false" outlineLevel="0" collapsed="false">
      <c r="A1274" s="1" t="s">
        <v>866</v>
      </c>
      <c r="B1274" s="0" t="s">
        <v>129</v>
      </c>
      <c r="E1274" s="7" t="n">
        <f aca="false">Sens!E1273/Sens!D1273-1</f>
        <v>0.0644329896907216</v>
      </c>
      <c r="F1274" s="7" t="n">
        <f aca="false">Sens!$E$1274+(glt_fro-Sens!$E$1274)*MIN(1,(Sens!F1222-base_fy)/n_conv)</f>
        <v>0.065360824742268</v>
      </c>
      <c r="G1274" s="7" t="n">
        <f aca="false">Sens!$E$1274+(glt_fro-Sens!$E$1274)*MIN(1,(Sens!G1222-base_fy)/n_conv)</f>
        <v>0.0662886597938144</v>
      </c>
      <c r="H1274" s="7" t="n">
        <f aca="false">Sens!$E$1274+(glt_fro-Sens!$E$1274)*MIN(1,(Sens!H1222-base_fy)/n_conv)</f>
        <v>0.0672164948453608</v>
      </c>
      <c r="I1274" s="7" t="n">
        <f aca="false">Sens!$E$1274+(glt_fro-Sens!$E$1274)*MIN(1,(Sens!I1222-base_fy)/n_conv)</f>
        <v>0.0681443298969072</v>
      </c>
      <c r="J1274" s="7" t="n">
        <f aca="false">Sens!$E$1274+(glt_fro-Sens!$E$1274)*MIN(1,(Sens!J1222-base_fy)/n_conv)</f>
        <v>0.0690721649484536</v>
      </c>
      <c r="K1274" s="7" t="n">
        <f aca="false">Sens!$E$1274+(glt_fro-Sens!$E$1274)*MIN(1,(Sens!K1222-base_fy)/n_conv)</f>
        <v>0.07</v>
      </c>
    </row>
    <row r="1275" customFormat="false" ht="15" hidden="false" customHeight="false" outlineLevel="0" collapsed="false">
      <c r="A1275" s="0" t="s">
        <v>704</v>
      </c>
      <c r="B1275" s="0" t="s">
        <v>98</v>
      </c>
      <c r="D1275" s="6" t="n">
        <f aca="false">Sens!D1263+Sens!D1268+Sens!D1269+Sens!D1271+Sens!D1273</f>
        <v>218.783</v>
      </c>
      <c r="E1275" s="6" t="n">
        <f aca="false">Sens!E1263+Sens!E1268+Sens!E1269+Sens!E1271+Sens!E1273</f>
        <v>268.127</v>
      </c>
      <c r="F1275" s="6" t="n">
        <f aca="false">Sens!F1263+Sens!F1268+Sens!F1269+Sens!F1271+Sens!F1273</f>
        <v>348.243803791626</v>
      </c>
      <c r="G1275" s="6" t="n">
        <f aca="false">Sens!G1263+Sens!G1268+Sens!G1269+Sens!G1271+Sens!G1273</f>
        <v>439.696034253065</v>
      </c>
      <c r="H1275" s="6" t="n">
        <f aca="false">Sens!H1263+Sens!H1268+Sens!H1269+Sens!H1271+Sens!H1273</f>
        <v>538.11411678352</v>
      </c>
      <c r="I1275" s="6" t="n">
        <f aca="false">Sens!I1263+Sens!I1268+Sens!I1269+Sens!I1271+Sens!I1273</f>
        <v>620.969065907093</v>
      </c>
      <c r="J1275" s="6" t="n">
        <f aca="false">Sens!J1263+Sens!J1268+Sens!J1269+Sens!J1271+Sens!J1273</f>
        <v>686.314141012914</v>
      </c>
      <c r="K1275" s="6" t="n">
        <f aca="false">Sens!K1263+Sens!K1268+Sens!K1269+Sens!K1271+Sens!K1273</f>
        <v>736.768182017054</v>
      </c>
    </row>
    <row r="1276" customFormat="false" ht="15" hidden="false" customHeight="false" outlineLevel="0" collapsed="false">
      <c r="A1276" s="0" t="s">
        <v>877</v>
      </c>
      <c r="B1276" s="0" t="s">
        <v>98</v>
      </c>
      <c r="D1276" s="6" t="n">
        <f aca="false">Q!L13</f>
        <v>22.171</v>
      </c>
      <c r="E1276" s="6" t="n">
        <f aca="false">Q!M13</f>
        <v>24.835</v>
      </c>
      <c r="F1276" s="6" t="n">
        <f aca="false">Sens!E1276*(1+Sens!F1277)</f>
        <v>27.6114901218559</v>
      </c>
      <c r="G1276" s="6" t="n">
        <f aca="false">Sens!F1276*(1+Sens!G1277)</f>
        <v>30.4675667338515</v>
      </c>
      <c r="H1276" s="6" t="n">
        <f aca="false">Sens!G1276*(1+Sens!H1277)</f>
        <v>33.3643766955789</v>
      </c>
      <c r="I1276" s="6" t="n">
        <f aca="false">Sens!H1276*(1+Sens!I1277)</f>
        <v>36.2577016533691</v>
      </c>
      <c r="J1276" s="6" t="n">
        <f aca="false">Sens!I1276*(1+Sens!J1277)</f>
        <v>39.0988367952171</v>
      </c>
      <c r="K1276" s="6" t="n">
        <f aca="false">Sens!J1276*(1+Sens!K1277)</f>
        <v>41.8357553708823</v>
      </c>
    </row>
    <row r="1277" customFormat="false" ht="15" hidden="false" customHeight="false" outlineLevel="0" collapsed="false">
      <c r="A1277" s="1" t="s">
        <v>866</v>
      </c>
      <c r="B1277" s="0" t="s">
        <v>129</v>
      </c>
      <c r="E1277" s="7" t="n">
        <f aca="false">Sens!E1276/Sens!D1276-1</f>
        <v>0.120156961796942</v>
      </c>
      <c r="F1277" s="7" t="n">
        <f aca="false">Sens!$E$1277+(glt_srch-Sens!$E$1277)*MIN(1,(Sens!F1222-base_fy)/n_conv)</f>
        <v>0.111797468164118</v>
      </c>
      <c r="G1277" s="7" t="n">
        <f aca="false">Sens!$E$1277+(glt_srch-Sens!$E$1277)*MIN(1,(Sens!G1222-base_fy)/n_conv)</f>
        <v>0.103437974531295</v>
      </c>
      <c r="H1277" s="7" t="n">
        <f aca="false">Sens!$E$1277+(glt_srch-Sens!$E$1277)*MIN(1,(Sens!H1222-base_fy)/n_conv)</f>
        <v>0.095078480898471</v>
      </c>
      <c r="I1277" s="7" t="n">
        <f aca="false">Sens!$E$1277+(glt_srch-Sens!$E$1277)*MIN(1,(Sens!I1222-base_fy)/n_conv)</f>
        <v>0.0867189872656474</v>
      </c>
      <c r="J1277" s="7" t="n">
        <f aca="false">Sens!$E$1277+(glt_srch-Sens!$E$1277)*MIN(1,(Sens!J1222-base_fy)/n_conv)</f>
        <v>0.0783594936328237</v>
      </c>
      <c r="K1277" s="7" t="n">
        <f aca="false">Sens!$E$1277+(glt_srch-Sens!$E$1277)*MIN(1,(Sens!K1222-base_fy)/n_conv)</f>
        <v>0.07</v>
      </c>
    </row>
    <row r="1278" customFormat="false" ht="15" hidden="false" customHeight="false" outlineLevel="0" collapsed="false">
      <c r="A1278" s="0" t="s">
        <v>878</v>
      </c>
      <c r="B1278" s="0" t="s">
        <v>98</v>
      </c>
      <c r="D1278" s="6" t="n">
        <f aca="false">Q!L14</f>
        <v>23.455</v>
      </c>
      <c r="E1278" s="6" t="n">
        <f aca="false">Q!M14</f>
        <v>21.79</v>
      </c>
      <c r="F1278" s="6" t="n">
        <f aca="false">Sens!E1278*(1+Sens!F1279)</f>
        <v>20.5736277908051</v>
      </c>
      <c r="G1278" s="6" t="n">
        <f aca="false">Sens!F1278*(1+Sens!G1279)</f>
        <v>19.7371452817919</v>
      </c>
      <c r="H1278" s="6" t="n">
        <f aca="false">Sens!G1278*(1+Sens!H1279)</f>
        <v>19.2339764043138</v>
      </c>
      <c r="I1278" s="6" t="n">
        <f aca="false">Sens!H1278*(1+Sens!I1279)</f>
        <v>19.0353086852681</v>
      </c>
      <c r="J1278" s="6" t="n">
        <f aca="false">Sens!I1278*(1+Sens!J1279)</f>
        <v>19.1273539319129</v>
      </c>
      <c r="K1278" s="6" t="n">
        <f aca="false">Sens!J1278*(1+Sens!K1279)</f>
        <v>19.5099010105511</v>
      </c>
    </row>
    <row r="1279" customFormat="false" ht="15" hidden="false" customHeight="false" outlineLevel="0" collapsed="false">
      <c r="A1279" s="1" t="s">
        <v>866</v>
      </c>
      <c r="B1279" s="0" t="s">
        <v>129</v>
      </c>
      <c r="E1279" s="7" t="n">
        <f aca="false">Sens!E1278/Sens!D1278-1</f>
        <v>-0.0709869963760392</v>
      </c>
      <c r="F1279" s="7" t="n">
        <f aca="false">Sens!$E$1279+(glt_xbox-Sens!$E$1279)*MIN(1,(Sens!F1222-base_fy)/n_conv)</f>
        <v>-0.0558224969800327</v>
      </c>
      <c r="G1279" s="7" t="n">
        <f aca="false">Sens!$E$1279+(glt_xbox-Sens!$E$1279)*MIN(1,(Sens!G1222-base_fy)/n_conv)</f>
        <v>-0.0406579975840262</v>
      </c>
      <c r="H1279" s="7" t="n">
        <f aca="false">Sens!$E$1279+(glt_xbox-Sens!$E$1279)*MIN(1,(Sens!H1222-base_fy)/n_conv)</f>
        <v>-0.0254934981880196</v>
      </c>
      <c r="I1279" s="7" t="n">
        <f aca="false">Sens!$E$1279+(glt_xbox-Sens!$E$1279)*MIN(1,(Sens!I1222-base_fy)/n_conv)</f>
        <v>-0.0103289987920131</v>
      </c>
      <c r="J1279" s="7" t="n">
        <f aca="false">Sens!$E$1279+(glt_xbox-Sens!$E$1279)*MIN(1,(Sens!J1222-base_fy)/n_conv)</f>
        <v>0.00483550060399347</v>
      </c>
      <c r="K1279" s="7" t="n">
        <f aca="false">Sens!$E$1279+(glt_xbox-Sens!$E$1279)*MIN(1,(Sens!K1222-base_fy)/n_conv)</f>
        <v>0.02</v>
      </c>
    </row>
    <row r="1280" customFormat="false" ht="15" hidden="false" customHeight="false" outlineLevel="0" collapsed="false">
      <c r="A1280" s="0" t="s">
        <v>879</v>
      </c>
      <c r="B1280" s="0" t="s">
        <v>98</v>
      </c>
      <c r="D1280" s="6" t="n">
        <f aca="false">Q!L15</f>
        <v>17.315</v>
      </c>
      <c r="E1280" s="6" t="n">
        <f aca="false">Q!M15</f>
        <v>17.087</v>
      </c>
      <c r="F1280" s="6" t="n">
        <f aca="false">Sens!E1280*(1+Sens!F1281)</f>
        <v>16.9564585436519</v>
      </c>
      <c r="G1280" s="6" t="n">
        <f aca="false">Sens!F1280*(1+Sens!G1281)</f>
        <v>16.9206490624268</v>
      </c>
      <c r="H1280" s="6" t="n">
        <f aca="false">Sens!G1280*(1+Sens!H1281)</f>
        <v>16.9784519149849</v>
      </c>
      <c r="I1280" s="6" t="n">
        <f aca="false">Sens!H1280*(1+Sens!I1281)</f>
        <v>17.1303084701817</v>
      </c>
      <c r="J1280" s="6" t="n">
        <f aca="false">Sens!I1280*(1+Sens!J1281)</f>
        <v>17.3782189407267</v>
      </c>
      <c r="K1280" s="6" t="n">
        <f aca="false">Sens!J1280*(1+Sens!K1281)</f>
        <v>17.7257833195413</v>
      </c>
    </row>
    <row r="1281" customFormat="false" ht="15" hidden="false" customHeight="false" outlineLevel="0" collapsed="false">
      <c r="A1281" s="1" t="s">
        <v>866</v>
      </c>
      <c r="B1281" s="0" t="s">
        <v>129</v>
      </c>
      <c r="E1281" s="7" t="n">
        <f aca="false">Sens!E1280/Sens!D1280-1</f>
        <v>-0.0131677736066995</v>
      </c>
      <c r="F1281" s="7" t="n">
        <f aca="false">Sens!$E$1281+(glt_win-Sens!$E$1281)*MIN(1,(Sens!F1222-base_fy)/n_conv)</f>
        <v>-0.00763981133891627</v>
      </c>
      <c r="G1281" s="7" t="n">
        <f aca="false">Sens!$E$1281+(glt_win-Sens!$E$1281)*MIN(1,(Sens!G1222-base_fy)/n_conv)</f>
        <v>-0.00211184907113301</v>
      </c>
      <c r="H1281" s="7" t="n">
        <f aca="false">Sens!$E$1281+(glt_win-Sens!$E$1281)*MIN(1,(Sens!H1222-base_fy)/n_conv)</f>
        <v>0.00341611319665024</v>
      </c>
      <c r="I1281" s="7" t="n">
        <f aca="false">Sens!$E$1281+(glt_win-Sens!$E$1281)*MIN(1,(Sens!I1222-base_fy)/n_conv)</f>
        <v>0.00894407546443349</v>
      </c>
      <c r="J1281" s="7" t="n">
        <f aca="false">Sens!$E$1281+(glt_win-Sens!$E$1281)*MIN(1,(Sens!J1222-base_fy)/n_conv)</f>
        <v>0.0144720377322168</v>
      </c>
      <c r="K1281" s="7" t="n">
        <f aca="false">Sens!$E$1281+(glt_win-Sens!$E$1281)*MIN(1,(Sens!K1222-base_fy)/n_conv)</f>
        <v>0.02</v>
      </c>
    </row>
    <row r="1282" customFormat="false" ht="15" hidden="false" customHeight="false" outlineLevel="0" collapsed="false">
      <c r="A1282" s="0" t="s">
        <v>718</v>
      </c>
      <c r="B1282" s="0" t="s">
        <v>98</v>
      </c>
      <c r="D1282" s="6" t="n">
        <f aca="false">Sens!D1276+Sens!D1278+Sens!D1280</f>
        <v>62.941</v>
      </c>
      <c r="E1282" s="6" t="n">
        <f aca="false">Sens!E1276+Sens!E1278+Sens!E1280</f>
        <v>63.712</v>
      </c>
      <c r="F1282" s="6" t="n">
        <f aca="false">Sens!F1276+Sens!F1278+Sens!F1280</f>
        <v>65.1415764563129</v>
      </c>
      <c r="G1282" s="6" t="n">
        <f aca="false">Sens!G1276+Sens!G1278+Sens!G1280</f>
        <v>67.1253610780702</v>
      </c>
      <c r="H1282" s="6" t="n">
        <f aca="false">Sens!H1276+Sens!H1278+Sens!H1280</f>
        <v>69.5768050148776</v>
      </c>
      <c r="I1282" s="6" t="n">
        <f aca="false">Sens!I1276+Sens!I1278+Sens!I1280</f>
        <v>72.4233188088189</v>
      </c>
      <c r="J1282" s="6" t="n">
        <f aca="false">Sens!J1276+Sens!J1278+Sens!J1280</f>
        <v>75.6044096678567</v>
      </c>
      <c r="K1282" s="6" t="n">
        <f aca="false">Sens!K1276+Sens!K1278+Sens!K1280</f>
        <v>79.0714397009747</v>
      </c>
    </row>
    <row r="1283" customFormat="false" ht="15" hidden="false" customHeight="false" outlineLevel="0" collapsed="false">
      <c r="A1283" s="1" t="s">
        <v>880</v>
      </c>
      <c r="B1283" s="0" t="s">
        <v>98</v>
      </c>
      <c r="D1283" s="6" t="n">
        <f aca="false">Sens!D1275+Sens!D1282</f>
        <v>281.724</v>
      </c>
      <c r="E1283" s="6" t="n">
        <f aca="false">Sens!E1275+Sens!E1282</f>
        <v>331.839</v>
      </c>
      <c r="F1283" s="6" t="n">
        <f aca="false">Sens!F1275+Sens!F1282</f>
        <v>413.385380247939</v>
      </c>
      <c r="G1283" s="6" t="n">
        <f aca="false">Sens!G1275+Sens!G1282</f>
        <v>506.821395331135</v>
      </c>
      <c r="H1283" s="6" t="n">
        <f aca="false">Sens!H1275+Sens!H1282</f>
        <v>607.690921798397</v>
      </c>
      <c r="I1283" s="6" t="n">
        <f aca="false">Sens!I1275+Sens!I1282</f>
        <v>693.392384715912</v>
      </c>
      <c r="J1283" s="6" t="n">
        <f aca="false">Sens!J1275+Sens!J1282</f>
        <v>761.918550680771</v>
      </c>
      <c r="K1283" s="6" t="n">
        <f aca="false">Sens!K1275+Sens!K1282</f>
        <v>815.839621718029</v>
      </c>
    </row>
    <row r="1284" customFormat="false" ht="15" hidden="false" customHeight="false" outlineLevel="0" collapsed="false">
      <c r="A1284" s="23" t="s">
        <v>881</v>
      </c>
      <c r="B1284" s="30" t="s">
        <v>98</v>
      </c>
      <c r="C1284" s="30"/>
      <c r="D1284" s="24" t="n">
        <f aca="false">(Sens!D1263+Sens!D1268+Sens!D1269+Sens!D1271+Sens!D1273-Sens!D1275)+(Sens!D1276+Sens!D1278+Sens!D1280-Sens!D1282)+(Sens!D1275-Q!L5)+(Sens!D1282-Q!L12)+(Sens!D1263-Q!L6)+(Sens!D1268-Q!L7)</f>
        <v>0</v>
      </c>
      <c r="E1284" s="24" t="n">
        <f aca="false">(Sens!E1263+Sens!E1268+Sens!E1269+Sens!E1271+Sens!E1273-Sens!E1275)+(Sens!E1276+Sens!E1278+Sens!E1280-Sens!E1282)+(Sens!E1275-Q!M5)+(Sens!E1282-Q!M12)+(Sens!E1263-Q!M6)+(Sens!E1268-Q!M7)</f>
        <v>0</v>
      </c>
      <c r="F1284" s="24" t="n">
        <f aca="false">(Sens!F1263+Sens!F1268+Sens!F1269+Sens!F1271+Sens!F1273-Sens!F1275)+(Sens!F1276+Sens!F1278+Sens!F1280-Sens!F1282)</f>
        <v>0</v>
      </c>
      <c r="G1284" s="24" t="n">
        <f aca="false">(Sens!G1263+Sens!G1268+Sens!G1269+Sens!G1271+Sens!G1273-Sens!G1275)+(Sens!G1276+Sens!G1278+Sens!G1280-Sens!G1282)</f>
        <v>0</v>
      </c>
      <c r="H1284" s="24" t="n">
        <f aca="false">(Sens!H1263+Sens!H1268+Sens!H1269+Sens!H1271+Sens!H1273-Sens!H1275)+(Sens!H1276+Sens!H1278+Sens!H1280-Sens!H1282)</f>
        <v>0</v>
      </c>
      <c r="I1284" s="24" t="n">
        <f aca="false">(Sens!I1263+Sens!I1268+Sens!I1269+Sens!I1271+Sens!I1273-Sens!I1275)+(Sens!I1276+Sens!I1278+Sens!I1280-Sens!I1282)</f>
        <v>0</v>
      </c>
      <c r="J1284" s="24" t="n">
        <f aca="false">(Sens!J1263+Sens!J1268+Sens!J1269+Sens!J1271+Sens!J1273-Sens!J1275)+(Sens!J1276+Sens!J1278+Sens!J1280-Sens!J1282)</f>
        <v>0</v>
      </c>
      <c r="K1284" s="24" t="n">
        <f aca="false">(Sens!K1263+Sens!K1268+Sens!K1269+Sens!K1271+Sens!K1273-Sens!K1275)+(Sens!K1276+Sens!K1278+Sens!K1280-Sens!K1282)</f>
        <v>0</v>
      </c>
    </row>
    <row r="1285" customFormat="false" ht="17.15" hidden="false" customHeight="false" outlineLevel="0" collapsed="false">
      <c r="A1285" s="3" t="s">
        <v>1266</v>
      </c>
    </row>
    <row r="1286" customFormat="false" ht="15" hidden="false" customHeight="false" outlineLevel="0" collapsed="false">
      <c r="A1286" s="4" t="s">
        <v>43</v>
      </c>
      <c r="B1286" s="4" t="s">
        <v>65</v>
      </c>
      <c r="C1286" s="20" t="s">
        <v>788</v>
      </c>
      <c r="D1286" s="20" t="s">
        <v>789</v>
      </c>
      <c r="E1286" s="20" t="s">
        <v>790</v>
      </c>
      <c r="F1286" s="20" t="s">
        <v>791</v>
      </c>
      <c r="G1286" s="20" t="s">
        <v>792</v>
      </c>
      <c r="H1286" s="20" t="s">
        <v>793</v>
      </c>
      <c r="I1286" s="20" t="s">
        <v>794</v>
      </c>
      <c r="J1286" s="20" t="s">
        <v>795</v>
      </c>
      <c r="K1286" s="20" t="s">
        <v>796</v>
      </c>
      <c r="L1286" s="4" t="s">
        <v>47</v>
      </c>
    </row>
    <row r="1287" customFormat="false" ht="15" hidden="false" customHeight="false" outlineLevel="0" collapsed="false">
      <c r="A1287" s="0" t="s">
        <v>867</v>
      </c>
      <c r="B1287" s="0" t="s">
        <v>98</v>
      </c>
      <c r="D1287" s="6" t="n">
        <f aca="false">Sens!D1263</f>
        <v>72.61</v>
      </c>
      <c r="E1287" s="6" t="n">
        <f aca="false">Sens!E1263</f>
        <v>101.938</v>
      </c>
      <c r="F1287" s="6" t="n">
        <f aca="false">Sens!F1263</f>
        <v>157.622231852443</v>
      </c>
      <c r="G1287" s="6" t="n">
        <f aca="false">Sens!G1263</f>
        <v>223.602877715636</v>
      </c>
      <c r="H1287" s="6" t="n">
        <f aca="false">Sens!H1263</f>
        <v>296.525434102005</v>
      </c>
      <c r="I1287" s="6" t="n">
        <f aca="false">Sens!I1263</f>
        <v>356.407710927607</v>
      </c>
      <c r="J1287" s="6" t="n">
        <f aca="false">Sens!J1263</f>
        <v>401.623243908745</v>
      </c>
      <c r="K1287" s="6" t="n">
        <f aca="false">Sens!K1263</f>
        <v>432.874112676878</v>
      </c>
    </row>
    <row r="1288" customFormat="false" ht="17.15" hidden="false" customHeight="false" outlineLevel="0" collapsed="false">
      <c r="A1288" s="0" t="s">
        <v>864</v>
      </c>
      <c r="B1288" s="0" t="s">
        <v>98</v>
      </c>
      <c r="D1288" s="6" t="n">
        <f aca="false">Sens!D1260</f>
        <v>12.9359794422418</v>
      </c>
      <c r="E1288" s="6" t="n">
        <f aca="false">Sens!E1260</f>
        <v>27.8095064661409</v>
      </c>
      <c r="F1288" s="6" t="n">
        <f aca="false">Sens!F1260</f>
        <v>67.542282115077</v>
      </c>
      <c r="G1288" s="6" t="n">
        <f aca="false">Sens!G1260</f>
        <v>116.574452512326</v>
      </c>
      <c r="H1288" s="6" t="n">
        <f aca="false">Sens!H1260</f>
        <v>172.253451516369</v>
      </c>
      <c r="I1288" s="6" t="n">
        <f aca="false">Sens!I1260</f>
        <v>215.474008545752</v>
      </c>
      <c r="J1288" s="6" t="n">
        <f aca="false">Sens!J1260</f>
        <v>245.604376594413</v>
      </c>
      <c r="K1288" s="6" t="n">
        <f aca="false">Sens!K1260</f>
        <v>264.3737359774</v>
      </c>
    </row>
    <row r="1289" customFormat="false" ht="17.15" hidden="false" customHeight="false" outlineLevel="0" collapsed="false">
      <c r="A1289" s="0" t="s">
        <v>892</v>
      </c>
      <c r="B1289" s="0" t="s">
        <v>98</v>
      </c>
      <c r="D1289" s="6" t="n">
        <f aca="false">Sens!D1261</f>
        <v>59.6740205577583</v>
      </c>
      <c r="E1289" s="6" t="n">
        <f aca="false">Sens!E1261</f>
        <v>74.1284935338591</v>
      </c>
      <c r="F1289" s="6" t="n">
        <f aca="false">Sens!F1261</f>
        <v>90.0799497373663</v>
      </c>
      <c r="G1289" s="6" t="n">
        <f aca="false">Sens!G1261</f>
        <v>107.02842520331</v>
      </c>
      <c r="H1289" s="6" t="n">
        <f aca="false">Sens!H1261</f>
        <v>124.271982585636</v>
      </c>
      <c r="I1289" s="6" t="n">
        <f aca="false">Sens!I1261</f>
        <v>140.933702381855</v>
      </c>
      <c r="J1289" s="6" t="n">
        <f aca="false">Sens!J1261</f>
        <v>156.018867314332</v>
      </c>
      <c r="K1289" s="6" t="n">
        <f aca="false">Sens!K1261</f>
        <v>168.500376699478</v>
      </c>
    </row>
    <row r="1290" customFormat="false" ht="15" hidden="false" customHeight="false" outlineLevel="0" collapsed="false">
      <c r="A1290" s="0" t="s">
        <v>873</v>
      </c>
      <c r="B1290" s="0" t="s">
        <v>98</v>
      </c>
      <c r="D1290" s="6" t="n">
        <f aca="false">Sens!D1268</f>
        <v>84.605</v>
      </c>
      <c r="E1290" s="6" t="n">
        <f aca="false">Sens!E1268</f>
        <v>100.299</v>
      </c>
      <c r="F1290" s="6" t="n">
        <f aca="false">Sens!F1268</f>
        <v>120.39238776686</v>
      </c>
      <c r="G1290" s="6" t="n">
        <f aca="false">Sens!G1268</f>
        <v>141.544168448684</v>
      </c>
      <c r="H1290" s="6" t="n">
        <f aca="false">Sens!H1268</f>
        <v>162.777359388781</v>
      </c>
      <c r="I1290" s="6" t="n">
        <f aca="false">Sens!I1268</f>
        <v>181.584028071957</v>
      </c>
      <c r="J1290" s="6" t="n">
        <f aca="false">Sens!J1268</f>
        <v>197.682702785465</v>
      </c>
      <c r="K1290" s="6" t="n">
        <f aca="false">Sens!K1268</f>
        <v>213.027991980448</v>
      </c>
    </row>
    <row r="1291" customFormat="false" ht="17.15" hidden="false" customHeight="false" outlineLevel="0" collapsed="false">
      <c r="A1291" s="0" t="s">
        <v>893</v>
      </c>
      <c r="B1291" s="0" t="s">
        <v>98</v>
      </c>
      <c r="D1291" s="6" t="n">
        <f aca="false">Sens!D1266</f>
        <v>83.705</v>
      </c>
      <c r="E1291" s="6" t="n">
        <f aca="false">Sens!E1266</f>
        <v>95.049</v>
      </c>
      <c r="F1291" s="6" t="n">
        <f aca="false">Sens!F1266</f>
        <v>106.89238776686</v>
      </c>
      <c r="G1291" s="6" t="n">
        <f aca="false">Sens!G1266</f>
        <v>119.044168448684</v>
      </c>
      <c r="H1291" s="6" t="n">
        <f aca="false">Sens!H1266</f>
        <v>131.277359388781</v>
      </c>
      <c r="I1291" s="6" t="n">
        <f aca="false">Sens!I1266</f>
        <v>143.334028071957</v>
      </c>
      <c r="J1291" s="6" t="n">
        <f aca="false">Sens!J1266</f>
        <v>154.932702785465</v>
      </c>
      <c r="K1291" s="6" t="n">
        <f aca="false">Sens!K1266</f>
        <v>165.777991980448</v>
      </c>
    </row>
    <row r="1292" customFormat="false" ht="17.15" hidden="false" customHeight="false" outlineLevel="0" collapsed="false">
      <c r="A1292" s="0" t="s">
        <v>894</v>
      </c>
      <c r="B1292" s="0" t="s">
        <v>98</v>
      </c>
      <c r="D1292" s="6" t="n">
        <f aca="false">Sens!D1265</f>
        <v>0.9</v>
      </c>
      <c r="E1292" s="6" t="n">
        <f aca="false">Sens!E1265</f>
        <v>5.25</v>
      </c>
      <c r="F1292" s="6" t="n">
        <f aca="false">Sens!F1265</f>
        <v>13.5</v>
      </c>
      <c r="G1292" s="6" t="n">
        <f aca="false">Sens!G1265</f>
        <v>22.5</v>
      </c>
      <c r="H1292" s="6" t="n">
        <f aca="false">Sens!H1265</f>
        <v>31.5</v>
      </c>
      <c r="I1292" s="6" t="n">
        <f aca="false">Sens!I1265</f>
        <v>38.25</v>
      </c>
      <c r="J1292" s="6" t="n">
        <f aca="false">Sens!J1265</f>
        <v>42.75</v>
      </c>
      <c r="K1292" s="6" t="n">
        <f aca="false">Sens!K1265</f>
        <v>47.25</v>
      </c>
    </row>
    <row r="1293" customFormat="false" ht="15" hidden="false" customHeight="false" outlineLevel="0" collapsed="false">
      <c r="A1293" s="0" t="s">
        <v>874</v>
      </c>
      <c r="B1293" s="0" t="s">
        <v>98</v>
      </c>
      <c r="D1293" s="6" t="n">
        <f aca="false">Sens!D1269</f>
        <v>35.391</v>
      </c>
      <c r="E1293" s="6" t="n">
        <f aca="false">Sens!E1269</f>
        <v>37.285</v>
      </c>
      <c r="F1293" s="6" t="n">
        <f aca="false">Sens!F1269</f>
        <v>39.0720834331704</v>
      </c>
      <c r="G1293" s="6" t="n">
        <f aca="false">Sens!G1269</f>
        <v>40.726562953769</v>
      </c>
      <c r="H1293" s="6" t="n">
        <f aca="false">Sens!H1269</f>
        <v>42.2235987259198</v>
      </c>
      <c r="I1293" s="6" t="n">
        <f aca="false">Sens!I1269</f>
        <v>43.5397988077414</v>
      </c>
      <c r="J1293" s="6" t="n">
        <f aca="false">Sens!J1269</f>
        <v>44.653811225693</v>
      </c>
      <c r="K1293" s="6" t="n">
        <f aca="false">Sens!K1269</f>
        <v>45.5468874502068</v>
      </c>
    </row>
    <row r="1294" customFormat="false" ht="15" hidden="false" customHeight="false" outlineLevel="0" collapsed="false">
      <c r="A1294" s="0" t="s">
        <v>875</v>
      </c>
      <c r="B1294" s="0" t="s">
        <v>98</v>
      </c>
      <c r="D1294" s="6" t="n">
        <f aca="false">Sens!D1271</f>
        <v>18.417</v>
      </c>
      <c r="E1294" s="6" t="n">
        <f aca="false">Sens!E1271</f>
        <v>20.345</v>
      </c>
      <c r="F1294" s="6" t="n">
        <f aca="false">Sens!F1271</f>
        <v>22.3572203267814</v>
      </c>
      <c r="G1294" s="6" t="n">
        <f aca="false">Sens!G1271</f>
        <v>24.4392124437232</v>
      </c>
      <c r="H1294" s="6" t="n">
        <f aca="false">Sens!H1271</f>
        <v>26.5738052080665</v>
      </c>
      <c r="I1294" s="6" t="n">
        <f aca="false">Sens!I1271</f>
        <v>28.7412169166967</v>
      </c>
      <c r="J1294" s="6" t="n">
        <f aca="false">Sens!J1271</f>
        <v>30.9192545395413</v>
      </c>
      <c r="K1294" s="6" t="n">
        <f aca="false">Sens!K1271</f>
        <v>33.0836023573092</v>
      </c>
    </row>
    <row r="1295" customFormat="false" ht="15" hidden="false" customHeight="false" outlineLevel="0" collapsed="false">
      <c r="A1295" s="0" t="s">
        <v>876</v>
      </c>
      <c r="B1295" s="0" t="s">
        <v>98</v>
      </c>
      <c r="D1295" s="6" t="n">
        <f aca="false">Sens!D1273</f>
        <v>7.76</v>
      </c>
      <c r="E1295" s="6" t="n">
        <f aca="false">Sens!E1273</f>
        <v>8.26</v>
      </c>
      <c r="F1295" s="6" t="n">
        <f aca="false">Sens!F1273</f>
        <v>8.79988041237113</v>
      </c>
      <c r="G1295" s="6" t="n">
        <f aca="false">Sens!G1273</f>
        <v>9.38321269125306</v>
      </c>
      <c r="H1295" s="6" t="n">
        <f aca="false">Sens!H1273</f>
        <v>10.0139193587476</v>
      </c>
      <c r="I1295" s="6" t="n">
        <f aca="false">Sens!I1273</f>
        <v>10.6963111830911</v>
      </c>
      <c r="J1295" s="6" t="n">
        <f aca="false">Sens!J1273</f>
        <v>11.4351285534696</v>
      </c>
      <c r="K1295" s="6" t="n">
        <f aca="false">Sens!K1273</f>
        <v>12.2355875522124</v>
      </c>
    </row>
    <row r="1296" customFormat="false" ht="15" hidden="false" customHeight="false" outlineLevel="0" collapsed="false">
      <c r="A1296" s="0" t="s">
        <v>704</v>
      </c>
      <c r="B1296" s="0" t="s">
        <v>98</v>
      </c>
      <c r="D1296" s="6" t="n">
        <f aca="false">Sens!D1275</f>
        <v>218.783</v>
      </c>
      <c r="E1296" s="6" t="n">
        <f aca="false">Sens!E1275</f>
        <v>268.127</v>
      </c>
      <c r="F1296" s="6" t="n">
        <f aca="false">Sens!F1275</f>
        <v>348.243803791626</v>
      </c>
      <c r="G1296" s="6" t="n">
        <f aca="false">Sens!G1275</f>
        <v>439.696034253065</v>
      </c>
      <c r="H1296" s="6" t="n">
        <f aca="false">Sens!H1275</f>
        <v>538.11411678352</v>
      </c>
      <c r="I1296" s="6" t="n">
        <f aca="false">Sens!I1275</f>
        <v>620.969065907093</v>
      </c>
      <c r="J1296" s="6" t="n">
        <f aca="false">Sens!J1275</f>
        <v>686.314141012914</v>
      </c>
      <c r="K1296" s="6" t="n">
        <f aca="false">Sens!K1275</f>
        <v>736.768182017054</v>
      </c>
    </row>
    <row r="1297" customFormat="false" ht="15" hidden="false" customHeight="false" outlineLevel="0" collapsed="false">
      <c r="A1297" s="0" t="s">
        <v>877</v>
      </c>
      <c r="B1297" s="0" t="s">
        <v>98</v>
      </c>
      <c r="D1297" s="6" t="n">
        <f aca="false">Sens!D1276</f>
        <v>22.171</v>
      </c>
      <c r="E1297" s="6" t="n">
        <f aca="false">Sens!E1276</f>
        <v>24.835</v>
      </c>
      <c r="F1297" s="6" t="n">
        <f aca="false">Sens!F1276</f>
        <v>27.6114901218559</v>
      </c>
      <c r="G1297" s="6" t="n">
        <f aca="false">Sens!G1276</f>
        <v>30.4675667338515</v>
      </c>
      <c r="H1297" s="6" t="n">
        <f aca="false">Sens!H1276</f>
        <v>33.3643766955789</v>
      </c>
      <c r="I1297" s="6" t="n">
        <f aca="false">Sens!I1276</f>
        <v>36.2577016533691</v>
      </c>
      <c r="J1297" s="6" t="n">
        <f aca="false">Sens!J1276</f>
        <v>39.0988367952171</v>
      </c>
      <c r="K1297" s="6" t="n">
        <f aca="false">Sens!K1276</f>
        <v>41.8357553708823</v>
      </c>
    </row>
    <row r="1298" customFormat="false" ht="15" hidden="false" customHeight="false" outlineLevel="0" collapsed="false">
      <c r="A1298" s="0" t="s">
        <v>878</v>
      </c>
      <c r="B1298" s="0" t="s">
        <v>98</v>
      </c>
      <c r="D1298" s="6" t="n">
        <f aca="false">Sens!D1278</f>
        <v>23.455</v>
      </c>
      <c r="E1298" s="6" t="n">
        <f aca="false">Sens!E1278</f>
        <v>21.79</v>
      </c>
      <c r="F1298" s="6" t="n">
        <f aca="false">Sens!F1278</f>
        <v>20.5736277908051</v>
      </c>
      <c r="G1298" s="6" t="n">
        <f aca="false">Sens!G1278</f>
        <v>19.7371452817919</v>
      </c>
      <c r="H1298" s="6" t="n">
        <f aca="false">Sens!H1278</f>
        <v>19.2339764043138</v>
      </c>
      <c r="I1298" s="6" t="n">
        <f aca="false">Sens!I1278</f>
        <v>19.0353086852681</v>
      </c>
      <c r="J1298" s="6" t="n">
        <f aca="false">Sens!J1278</f>
        <v>19.1273539319129</v>
      </c>
      <c r="K1298" s="6" t="n">
        <f aca="false">Sens!K1278</f>
        <v>19.5099010105511</v>
      </c>
    </row>
    <row r="1299" customFormat="false" ht="15" hidden="false" customHeight="false" outlineLevel="0" collapsed="false">
      <c r="A1299" s="0" t="s">
        <v>879</v>
      </c>
      <c r="B1299" s="0" t="s">
        <v>98</v>
      </c>
      <c r="D1299" s="6" t="n">
        <f aca="false">Sens!D1280</f>
        <v>17.315</v>
      </c>
      <c r="E1299" s="6" t="n">
        <f aca="false">Sens!E1280</f>
        <v>17.087</v>
      </c>
      <c r="F1299" s="6" t="n">
        <f aca="false">Sens!F1280</f>
        <v>16.9564585436519</v>
      </c>
      <c r="G1299" s="6" t="n">
        <f aca="false">Sens!G1280</f>
        <v>16.9206490624268</v>
      </c>
      <c r="H1299" s="6" t="n">
        <f aca="false">Sens!H1280</f>
        <v>16.9784519149849</v>
      </c>
      <c r="I1299" s="6" t="n">
        <f aca="false">Sens!I1280</f>
        <v>17.1303084701817</v>
      </c>
      <c r="J1299" s="6" t="n">
        <f aca="false">Sens!J1280</f>
        <v>17.3782189407267</v>
      </c>
      <c r="K1299" s="6" t="n">
        <f aca="false">Sens!K1280</f>
        <v>17.7257833195413</v>
      </c>
    </row>
    <row r="1300" customFormat="false" ht="15" hidden="false" customHeight="false" outlineLevel="0" collapsed="false">
      <c r="A1300" s="0" t="s">
        <v>718</v>
      </c>
      <c r="B1300" s="0" t="s">
        <v>98</v>
      </c>
      <c r="D1300" s="6" t="n">
        <f aca="false">Sens!D1282</f>
        <v>62.941</v>
      </c>
      <c r="E1300" s="6" t="n">
        <f aca="false">Sens!E1282</f>
        <v>63.712</v>
      </c>
      <c r="F1300" s="6" t="n">
        <f aca="false">Sens!F1282</f>
        <v>65.1415764563129</v>
      </c>
      <c r="G1300" s="6" t="n">
        <f aca="false">Sens!G1282</f>
        <v>67.1253610780702</v>
      </c>
      <c r="H1300" s="6" t="n">
        <f aca="false">Sens!H1282</f>
        <v>69.5768050148776</v>
      </c>
      <c r="I1300" s="6" t="n">
        <f aca="false">Sens!I1282</f>
        <v>72.4233188088189</v>
      </c>
      <c r="J1300" s="6" t="n">
        <f aca="false">Sens!J1282</f>
        <v>75.6044096678567</v>
      </c>
      <c r="K1300" s="6" t="n">
        <f aca="false">Sens!K1282</f>
        <v>79.0714397009747</v>
      </c>
    </row>
    <row r="1301" customFormat="false" ht="15" hidden="false" customHeight="false" outlineLevel="0" collapsed="false">
      <c r="A1301" s="1" t="s">
        <v>895</v>
      </c>
      <c r="B1301" s="0" t="s">
        <v>98</v>
      </c>
      <c r="D1301" s="6" t="n">
        <f aca="false">Sens!D1283</f>
        <v>281.724</v>
      </c>
      <c r="E1301" s="6" t="n">
        <f aca="false">Sens!E1283</f>
        <v>331.839</v>
      </c>
      <c r="F1301" s="6" t="n">
        <f aca="false">Sens!F1283</f>
        <v>413.385380247939</v>
      </c>
      <c r="G1301" s="6" t="n">
        <f aca="false">Sens!G1283</f>
        <v>506.821395331135</v>
      </c>
      <c r="H1301" s="6" t="n">
        <f aca="false">Sens!H1283</f>
        <v>607.690921798397</v>
      </c>
      <c r="I1301" s="6" t="n">
        <f aca="false">Sens!I1283</f>
        <v>693.392384715912</v>
      </c>
      <c r="J1301" s="6" t="n">
        <f aca="false">Sens!J1283</f>
        <v>761.918550680771</v>
      </c>
      <c r="K1301" s="6" t="n">
        <f aca="false">Sens!K1283</f>
        <v>815.839621718029</v>
      </c>
    </row>
    <row r="1302" customFormat="false" ht="15" hidden="false" customHeight="false" outlineLevel="0" collapsed="false">
      <c r="A1302" s="1" t="s">
        <v>896</v>
      </c>
      <c r="B1302" s="0" t="s">
        <v>129</v>
      </c>
      <c r="E1302" s="7" t="n">
        <f aca="false">Sens!E1301/Sens!D1301-1</f>
        <v>0.177886867998467</v>
      </c>
      <c r="F1302" s="7" t="n">
        <f aca="false">Sens!F1301/Sens!E1301-1</f>
        <v>0.245740796735583</v>
      </c>
      <c r="G1302" s="7" t="n">
        <f aca="false">Sens!G1301/Sens!F1301-1</f>
        <v>0.226026413965475</v>
      </c>
      <c r="H1302" s="7" t="n">
        <f aca="false">Sens!H1301/Sens!G1301-1</f>
        <v>0.199023812720768</v>
      </c>
      <c r="I1302" s="7" t="n">
        <f aca="false">Sens!I1301/Sens!H1301-1</f>
        <v>0.141028045414748</v>
      </c>
      <c r="J1302" s="7" t="n">
        <f aca="false">Sens!J1301/Sens!I1301-1</f>
        <v>0.0988273991398601</v>
      </c>
      <c r="K1302" s="7" t="n">
        <f aca="false">Sens!K1301/Sens!J1301-1</f>
        <v>0.0707701249550621</v>
      </c>
    </row>
    <row r="1303" customFormat="false" ht="17.15" hidden="false" customHeight="false" outlineLevel="0" collapsed="false">
      <c r="A1303" s="23" t="s">
        <v>897</v>
      </c>
      <c r="B1303" s="30" t="s">
        <v>98</v>
      </c>
      <c r="C1303" s="30"/>
      <c r="D1303" s="24" t="n">
        <f aca="false">(Sens!D1296+Sens!D1300-Sens!D1301)+(Sens!D1288+Sens!D1289-Sens!D1287)+(Sens!D1291+Sens!D1292-Sens!D1290)+(Sens!D1301-Q!L18)</f>
        <v>0</v>
      </c>
      <c r="E1303" s="24" t="n">
        <f aca="false">(Sens!E1296+Sens!E1300-Sens!E1301)+(Sens!E1288+Sens!E1289-Sens!E1287)+(Sens!E1291+Sens!E1292-Sens!E1290)+(Sens!E1301-Q!M18)</f>
        <v>0</v>
      </c>
      <c r="F1303" s="24" t="n">
        <f aca="false">(Sens!F1296+Sens!F1300-Sens!F1301)+(Sens!F1288+Sens!F1289-Sens!F1287)+(Sens!F1291+Sens!F1292-Sens!F1290)</f>
        <v>0</v>
      </c>
      <c r="G1303" s="24" t="n">
        <f aca="false">(Sens!G1296+Sens!G1300-Sens!G1301)+(Sens!G1288+Sens!G1289-Sens!G1287)+(Sens!G1291+Sens!G1292-Sens!G1290)</f>
        <v>0</v>
      </c>
      <c r="H1303" s="24" t="n">
        <f aca="false">(Sens!H1296+Sens!H1300-Sens!H1301)+(Sens!H1288+Sens!H1289-Sens!H1287)+(Sens!H1291+Sens!H1292-Sens!H1290)</f>
        <v>0</v>
      </c>
      <c r="I1303" s="24" t="n">
        <f aca="false">(Sens!I1296+Sens!I1300-Sens!I1301)+(Sens!I1288+Sens!I1289-Sens!I1287)+(Sens!I1291+Sens!I1292-Sens!I1290)</f>
        <v>0</v>
      </c>
      <c r="J1303" s="24" t="n">
        <f aca="false">(Sens!J1296+Sens!J1300-Sens!J1301)+(Sens!J1288+Sens!J1289-Sens!J1287)+(Sens!J1291+Sens!J1292-Sens!J1290)</f>
        <v>0</v>
      </c>
      <c r="K1303" s="24" t="n">
        <f aca="false">(Sens!K1296+Sens!K1300-Sens!K1301)+(Sens!K1288+Sens!K1289-Sens!K1287)+(Sens!K1291+Sens!K1292-Sens!K1290)</f>
        <v>0</v>
      </c>
    </row>
    <row r="1304" customFormat="false" ht="17.15" hidden="false" customHeight="false" outlineLevel="0" collapsed="false">
      <c r="A1304" s="0" t="s">
        <v>898</v>
      </c>
      <c r="B1304" s="0" t="s">
        <v>129</v>
      </c>
      <c r="E1304" s="7" t="n">
        <f aca="false">(Q!M21+Sens!E1241+Sens!E1242+Sens!E1243+Sens!E1256-Sens!E1239)/(Q!M5-Sens!E1239)</f>
        <v>0.570957350878296</v>
      </c>
      <c r="F1304" s="7" t="n">
        <f aca="false">Sens!$E$1304+dm_seg</f>
        <v>0.570957350878296</v>
      </c>
      <c r="G1304" s="7" t="n">
        <f aca="false">Sens!$E$1304+dm_seg</f>
        <v>0.570957350878296</v>
      </c>
      <c r="H1304" s="7" t="n">
        <f aca="false">Sens!$E$1304+dm_seg</f>
        <v>0.570957350878296</v>
      </c>
      <c r="I1304" s="7" t="n">
        <f aca="false">Sens!$E$1304+dm_seg</f>
        <v>0.570957350878296</v>
      </c>
      <c r="J1304" s="7" t="n">
        <f aca="false">Sens!$E$1304+dm_seg</f>
        <v>0.570957350878296</v>
      </c>
      <c r="K1304" s="7" t="n">
        <f aca="false">Sens!$E$1304+dm_seg</f>
        <v>0.570957350878296</v>
      </c>
      <c r="L1304" s="11" t="s">
        <v>899</v>
      </c>
    </row>
    <row r="1305" customFormat="false" ht="17.15" hidden="false" customHeight="false" outlineLevel="0" collapsed="false">
      <c r="A1305" s="0" t="s">
        <v>732</v>
      </c>
      <c r="B1305" s="0" t="s">
        <v>98</v>
      </c>
      <c r="D1305" s="6" t="n">
        <f aca="false">Q!L21</f>
        <v>110.814</v>
      </c>
      <c r="E1305" s="6" t="n">
        <f aca="false">Q!M21</f>
        <v>136.365</v>
      </c>
      <c r="F1305" s="6" t="n">
        <f aca="false">Sens!F1304*(Sens!F1275-Sens!F1239)+Sens!F1239-(Sens!F1241+Sens!F1242+Sens!F1243)-Sens!F1256</f>
        <v>170.945347486882</v>
      </c>
      <c r="G1305" s="6" t="n">
        <f aca="false">Sens!G1304*(Sens!G1275-Sens!G1239)+Sens!G1239-(Sens!G1241+Sens!G1242+Sens!G1243)-Sens!G1256</f>
        <v>206.898943638871</v>
      </c>
      <c r="H1305" s="6" t="n">
        <f aca="false">Sens!H1304*(Sens!H1275-Sens!H1239)+Sens!H1239-(Sens!H1241+Sens!H1242+Sens!H1243)-Sens!H1256</f>
        <v>248.547555499708</v>
      </c>
      <c r="I1305" s="6" t="n">
        <f aca="false">Sens!I1304*(Sens!I1275-Sens!I1239)+Sens!I1239-(Sens!I1241+Sens!I1242+Sens!I1243)-Sens!I1256</f>
        <v>280.45313022931</v>
      </c>
      <c r="J1305" s="6" t="n">
        <f aca="false">Sens!J1304*(Sens!J1275-Sens!J1239)+Sens!J1239-(Sens!J1241+Sens!J1242+Sens!J1243)-Sens!J1256</f>
        <v>306.956656592796</v>
      </c>
      <c r="K1305" s="6" t="n">
        <f aca="false">Sens!K1304*(Sens!K1275-Sens!K1239)+Sens!K1239-(Sens!K1241+Sens!K1242+Sens!K1243)-Sens!K1256</f>
        <v>329.844957061664</v>
      </c>
      <c r="L1305" s="1" t="s">
        <v>900</v>
      </c>
    </row>
    <row r="1306" customFormat="false" ht="17.15" hidden="false" customHeight="false" outlineLevel="0" collapsed="false">
      <c r="A1306" s="0" t="s">
        <v>901</v>
      </c>
      <c r="B1306" s="0" t="s">
        <v>129</v>
      </c>
      <c r="E1306" s="7" t="n">
        <f aca="false">Q!M22/Q!M12</f>
        <v>0.296207935710698</v>
      </c>
      <c r="F1306" s="7" t="n">
        <f aca="false">Sens!$E$1306+dm_seg</f>
        <v>0.296207935710698</v>
      </c>
      <c r="G1306" s="7" t="n">
        <f aca="false">Sens!$E$1306+dm_seg</f>
        <v>0.296207935710698</v>
      </c>
      <c r="H1306" s="7" t="n">
        <f aca="false">Sens!$E$1306+dm_seg</f>
        <v>0.296207935710698</v>
      </c>
      <c r="I1306" s="7" t="n">
        <f aca="false">Sens!$E$1306+dm_seg</f>
        <v>0.296207935710698</v>
      </c>
      <c r="J1306" s="7" t="n">
        <f aca="false">Sens!$E$1306+dm_seg</f>
        <v>0.296207935710698</v>
      </c>
      <c r="K1306" s="7" t="n">
        <f aca="false">Sens!$E$1306+dm_seg</f>
        <v>0.296207935710698</v>
      </c>
      <c r="L1306" s="11" t="s">
        <v>902</v>
      </c>
    </row>
    <row r="1307" customFormat="false" ht="17.15" hidden="false" customHeight="false" outlineLevel="0" collapsed="false">
      <c r="A1307" s="0" t="s">
        <v>734</v>
      </c>
      <c r="B1307" s="0" t="s">
        <v>98</v>
      </c>
      <c r="D1307" s="6" t="n">
        <f aca="false">Q!L22</f>
        <v>17.714</v>
      </c>
      <c r="E1307" s="6" t="n">
        <f aca="false">Q!M22</f>
        <v>18.872</v>
      </c>
      <c r="F1307" s="6" t="n">
        <f aca="false">Sens!F1282*Sens!F1306</f>
        <v>19.2954518910651</v>
      </c>
      <c r="G1307" s="6" t="n">
        <f aca="false">Sens!G1282*Sens!G1306</f>
        <v>19.8830646387704</v>
      </c>
      <c r="H1307" s="6" t="n">
        <f aca="false">Sens!H1282*Sens!H1306</f>
        <v>20.6092017868026</v>
      </c>
      <c r="I1307" s="6" t="n">
        <f aca="false">Sens!I1282*Sens!I1306</f>
        <v>21.452361761678</v>
      </c>
      <c r="J1307" s="6" t="n">
        <f aca="false">Sens!J1282*Sens!J1306</f>
        <v>22.3946261183418</v>
      </c>
      <c r="K1307" s="6" t="n">
        <f aca="false">Sens!K1282*Sens!K1306</f>
        <v>23.4215879274986</v>
      </c>
    </row>
    <row r="1308" customFormat="false" ht="15" hidden="false" customHeight="false" outlineLevel="0" collapsed="false">
      <c r="A1308" s="1" t="s">
        <v>903</v>
      </c>
      <c r="B1308" s="0" t="s">
        <v>98</v>
      </c>
      <c r="D1308" s="6" t="n">
        <f aca="false">Sens!D1305+Sens!D1307</f>
        <v>128.528</v>
      </c>
      <c r="E1308" s="6" t="n">
        <f aca="false">Sens!E1305+Sens!E1307</f>
        <v>155.237</v>
      </c>
      <c r="F1308" s="6" t="n">
        <f aca="false">Sens!F1305+Sens!F1307</f>
        <v>190.240799377947</v>
      </c>
      <c r="G1308" s="6" t="n">
        <f aca="false">Sens!G1305+Sens!G1307</f>
        <v>226.782008277641</v>
      </c>
      <c r="H1308" s="6" t="n">
        <f aca="false">Sens!H1305+Sens!H1307</f>
        <v>269.156757286511</v>
      </c>
      <c r="I1308" s="6" t="n">
        <f aca="false">Sens!I1305+Sens!I1307</f>
        <v>301.905491990988</v>
      </c>
      <c r="J1308" s="6" t="n">
        <f aca="false">Sens!J1305+Sens!J1307</f>
        <v>329.351282711138</v>
      </c>
      <c r="K1308" s="6" t="n">
        <f aca="false">Sens!K1305+Sens!K1307</f>
        <v>353.266544989163</v>
      </c>
    </row>
    <row r="1309" customFormat="false" ht="15" hidden="false" customHeight="false" outlineLevel="0" collapsed="false">
      <c r="A1309" s="23" t="s">
        <v>904</v>
      </c>
      <c r="B1309" s="30" t="s">
        <v>98</v>
      </c>
      <c r="C1309" s="30"/>
      <c r="D1309" s="24" t="n">
        <f aca="false">Sens!D1308-Q!L23</f>
        <v>0</v>
      </c>
      <c r="E1309" s="24" t="n">
        <f aca="false">Sens!E1308-Q!M23</f>
        <v>0</v>
      </c>
      <c r="F1309" s="30"/>
      <c r="G1309" s="30"/>
      <c r="H1309" s="30"/>
      <c r="I1309" s="30"/>
      <c r="J1309" s="30"/>
      <c r="K1309" s="30"/>
    </row>
    <row r="1310" customFormat="false" ht="15" hidden="false" customHeight="false" outlineLevel="0" collapsed="false">
      <c r="A1310" s="1" t="s">
        <v>905</v>
      </c>
      <c r="B1310" s="0" t="s">
        <v>129</v>
      </c>
      <c r="D1310" s="7" t="n">
        <f aca="false">Sens!D1308/Sens!D1301</f>
        <v>0.456219562408598</v>
      </c>
      <c r="E1310" s="7" t="n">
        <f aca="false">Sens!E1308/Sens!E1301</f>
        <v>0.467808184089272</v>
      </c>
      <c r="F1310" s="7" t="n">
        <f aca="false">Sens!F1308/Sens!F1301</f>
        <v>0.460202049873764</v>
      </c>
      <c r="G1310" s="7" t="n">
        <f aca="false">Sens!G1308/Sens!G1301</f>
        <v>0.447459421340079</v>
      </c>
      <c r="H1310" s="7" t="n">
        <f aca="false">Sens!H1308/Sens!H1301</f>
        <v>0.442917192986806</v>
      </c>
      <c r="I1310" s="7" t="n">
        <f aca="false">Sens!I1308/Sens!I1301</f>
        <v>0.435403530015233</v>
      </c>
      <c r="J1310" s="7" t="n">
        <f aca="false">Sens!J1308/Sens!J1301</f>
        <v>0.432265735513152</v>
      </c>
      <c r="K1310" s="7" t="n">
        <f aca="false">Sens!K1308/Sens!K1301</f>
        <v>0.43300979210257</v>
      </c>
    </row>
    <row r="1311" customFormat="false" ht="17.15" hidden="false" customHeight="false" outlineLevel="0" collapsed="false">
      <c r="A1311" s="1" t="s">
        <v>906</v>
      </c>
      <c r="B1311" s="0" t="s">
        <v>98</v>
      </c>
      <c r="F1311" s="6" t="n">
        <f aca="false">Sens!F1326</f>
        <v>19.0793824397397</v>
      </c>
      <c r="G1311" s="6" t="n">
        <f aca="false">Sens!G1326</f>
        <v>32.5666413649601</v>
      </c>
      <c r="H1311" s="6" t="n">
        <f aca="false">Sens!H1326</f>
        <v>47.4063563831308</v>
      </c>
      <c r="I1311" s="6" t="n">
        <f aca="false">Sens!I1326</f>
        <v>61.2525090726263</v>
      </c>
      <c r="J1311" s="6" t="n">
        <f aca="false">Sens!J1326</f>
        <v>71.009613825577</v>
      </c>
      <c r="K1311" s="6" t="n">
        <f aca="false">Sens!K1326</f>
        <v>76.0452576664312</v>
      </c>
      <c r="L1311" s="1" t="s">
        <v>907</v>
      </c>
    </row>
    <row r="1312" customFormat="false" ht="17.15" hidden="false" customHeight="false" outlineLevel="0" collapsed="false">
      <c r="A1312" s="1" t="s">
        <v>908</v>
      </c>
      <c r="B1312" s="0" t="s">
        <v>98</v>
      </c>
      <c r="D1312" s="6" t="n">
        <f aca="false">Sens!D1308</f>
        <v>128.528</v>
      </c>
      <c r="E1312" s="6" t="n">
        <f aca="false">Sens!E1308</f>
        <v>155.237</v>
      </c>
      <c r="F1312" s="6" t="n">
        <f aca="false">Sens!F1308+Sens!F1311</f>
        <v>209.320181817687</v>
      </c>
      <c r="G1312" s="6" t="n">
        <f aca="false">Sens!G1308+Sens!G1311</f>
        <v>259.348649642601</v>
      </c>
      <c r="H1312" s="6" t="n">
        <f aca="false">Sens!H1308+Sens!H1311</f>
        <v>316.563113669641</v>
      </c>
      <c r="I1312" s="6" t="n">
        <f aca="false">Sens!I1308+Sens!I1311</f>
        <v>363.158001063615</v>
      </c>
      <c r="J1312" s="6" t="n">
        <f aca="false">Sens!J1308+Sens!J1311</f>
        <v>400.360896536715</v>
      </c>
      <c r="K1312" s="6" t="n">
        <f aca="false">Sens!K1308+Sens!K1311</f>
        <v>429.311802655594</v>
      </c>
    </row>
    <row r="1313" customFormat="false" ht="17.15" hidden="false" customHeight="false" outlineLevel="0" collapsed="false">
      <c r="A1313" s="1" t="s">
        <v>909</v>
      </c>
      <c r="B1313" s="0" t="s">
        <v>98</v>
      </c>
      <c r="E1313" s="6" t="n">
        <f aca="false">Sens!E1256</f>
        <v>16.3054059770833</v>
      </c>
      <c r="F1313" s="6" t="n">
        <f aca="false">Sens!F1256</f>
        <v>34.7280354558698</v>
      </c>
      <c r="G1313" s="6" t="n">
        <f aca="false">Sens!G1256</f>
        <v>60.4817332603396</v>
      </c>
      <c r="H1313" s="6" t="n">
        <f aca="false">Sens!H1256</f>
        <v>87.7173159931396</v>
      </c>
      <c r="I1313" s="6" t="n">
        <f aca="false">Sens!I1256</f>
        <v>111.962039982221</v>
      </c>
      <c r="J1313" s="6" t="n">
        <f aca="false">Sens!J1256</f>
        <v>129.158710922666</v>
      </c>
      <c r="K1313" s="6" t="n">
        <f aca="false">Sens!K1256</f>
        <v>139.622646804474</v>
      </c>
    </row>
    <row r="1314" customFormat="false" ht="17.15" hidden="false" customHeight="false" outlineLevel="0" collapsed="false">
      <c r="A1314" s="1" t="s">
        <v>910</v>
      </c>
      <c r="B1314" s="0" t="s">
        <v>98</v>
      </c>
      <c r="E1314" s="6" t="n">
        <f aca="false">Sens!E1338</f>
        <v>22.2285940229167</v>
      </c>
      <c r="F1314" s="6" t="n">
        <f aca="false">Sens!F1338</f>
        <v>23.5786693435813</v>
      </c>
      <c r="G1314" s="6" t="n">
        <f aca="false">Sens!G1338</f>
        <v>25.3810917662621</v>
      </c>
      <c r="H1314" s="6" t="n">
        <f aca="false">Sens!H1338</f>
        <v>27.5991339540448</v>
      </c>
      <c r="I1314" s="6" t="n">
        <f aca="false">Sens!I1338</f>
        <v>30.1565605898047</v>
      </c>
      <c r="J1314" s="6" t="n">
        <f aca="false">Sens!J1338</f>
        <v>32.9614958558616</v>
      </c>
      <c r="K1314" s="6" t="n">
        <f aca="false">Sens!K1338</f>
        <v>35.9297165444749</v>
      </c>
    </row>
    <row r="1315" customFormat="false" ht="17.15" hidden="false" customHeight="false" outlineLevel="0" collapsed="false">
      <c r="A1315" s="1" t="s">
        <v>911</v>
      </c>
      <c r="B1315" s="0" t="s">
        <v>98</v>
      </c>
      <c r="D1315" s="6" t="n">
        <f aca="false">Q!L27</f>
        <v>-4.901</v>
      </c>
      <c r="E1315" s="6" t="n">
        <f aca="false">Q!M27</f>
        <v>10.697</v>
      </c>
      <c r="F1315" s="6" t="n">
        <f aca="false">oie_f</f>
        <v>-0.4</v>
      </c>
      <c r="G1315" s="6" t="n">
        <f aca="false">oie_f</f>
        <v>-0.4</v>
      </c>
      <c r="H1315" s="6" t="n">
        <f aca="false">oie_f</f>
        <v>-0.4</v>
      </c>
      <c r="I1315" s="6" t="n">
        <f aca="false">oie_f</f>
        <v>-0.4</v>
      </c>
      <c r="J1315" s="6" t="n">
        <f aca="false">oie_f</f>
        <v>-0.4</v>
      </c>
      <c r="K1315" s="6" t="n">
        <f aca="false">oie_f</f>
        <v>-0.4</v>
      </c>
      <c r="L1315" s="11" t="s">
        <v>912</v>
      </c>
    </row>
    <row r="1316" customFormat="false" ht="15" hidden="false" customHeight="false" outlineLevel="0" collapsed="false">
      <c r="A1316" s="1" t="s">
        <v>913</v>
      </c>
      <c r="B1316" s="0" t="s">
        <v>98</v>
      </c>
      <c r="D1316" s="6" t="n">
        <f aca="false">Sens!D1308+Sens!D1315</f>
        <v>123.627</v>
      </c>
      <c r="E1316" s="6" t="n">
        <f aca="false">Sens!E1308+Sens!E1315</f>
        <v>165.934</v>
      </c>
      <c r="F1316" s="6" t="n">
        <f aca="false">Sens!F1308+Sens!F1315</f>
        <v>189.840799377947</v>
      </c>
      <c r="G1316" s="6" t="n">
        <f aca="false">Sens!G1308+Sens!G1315</f>
        <v>226.382008277641</v>
      </c>
      <c r="H1316" s="6" t="n">
        <f aca="false">Sens!H1308+Sens!H1315</f>
        <v>268.756757286511</v>
      </c>
      <c r="I1316" s="6" t="n">
        <f aca="false">Sens!I1308+Sens!I1315</f>
        <v>301.505491990988</v>
      </c>
      <c r="J1316" s="6" t="n">
        <f aca="false">Sens!J1308+Sens!J1315</f>
        <v>328.951282711138</v>
      </c>
      <c r="K1316" s="6" t="n">
        <f aca="false">Sens!K1308+Sens!K1315</f>
        <v>352.866544989163</v>
      </c>
    </row>
    <row r="1317" customFormat="false" ht="15" hidden="false" customHeight="false" outlineLevel="0" collapsed="false">
      <c r="A1317" s="1" t="s">
        <v>914</v>
      </c>
      <c r="B1317" s="0" t="s">
        <v>98</v>
      </c>
      <c r="D1317" s="6" t="n">
        <f aca="false">Q!L29</f>
        <v>21.795</v>
      </c>
      <c r="E1317" s="6" t="n">
        <f aca="false">Q!M29</f>
        <v>32.185</v>
      </c>
      <c r="F1317" s="6" t="n">
        <f aca="false">Sens!F1316*tax_f</f>
        <v>37.9681598755894</v>
      </c>
      <c r="G1317" s="6" t="n">
        <f aca="false">Sens!G1316*tax_f</f>
        <v>45.2764016555282</v>
      </c>
      <c r="H1317" s="6" t="n">
        <f aca="false">Sens!H1316*tax_f</f>
        <v>53.7513514573021</v>
      </c>
      <c r="I1317" s="6" t="n">
        <f aca="false">Sens!I1316*tax_f</f>
        <v>60.3010983981977</v>
      </c>
      <c r="J1317" s="6" t="n">
        <f aca="false">Sens!J1316*tax_f</f>
        <v>65.7902565422276</v>
      </c>
      <c r="K1317" s="6" t="n">
        <f aca="false">Sens!K1316*tax_f</f>
        <v>70.5733089978326</v>
      </c>
    </row>
    <row r="1318" customFormat="false" ht="15" hidden="false" customHeight="false" outlineLevel="0" collapsed="false">
      <c r="A1318" s="1" t="s">
        <v>915</v>
      </c>
      <c r="B1318" s="0" t="s">
        <v>98</v>
      </c>
      <c r="D1318" s="6" t="n">
        <f aca="false">Sens!D1316-Sens!D1317</f>
        <v>101.832</v>
      </c>
      <c r="E1318" s="6" t="n">
        <f aca="false">Sens!E1316-Sens!E1317</f>
        <v>133.749</v>
      </c>
      <c r="F1318" s="6" t="n">
        <f aca="false">Sens!F1316-Sens!F1317</f>
        <v>151.872639502358</v>
      </c>
      <c r="G1318" s="6" t="n">
        <f aca="false">Sens!G1316-Sens!G1317</f>
        <v>181.105606622113</v>
      </c>
      <c r="H1318" s="6" t="n">
        <f aca="false">Sens!H1316-Sens!H1317</f>
        <v>215.005405829208</v>
      </c>
      <c r="I1318" s="6" t="n">
        <f aca="false">Sens!I1316-Sens!I1317</f>
        <v>241.204393592791</v>
      </c>
      <c r="J1318" s="6" t="n">
        <f aca="false">Sens!J1316-Sens!J1317</f>
        <v>263.16102616891</v>
      </c>
      <c r="K1318" s="6" t="n">
        <f aca="false">Sens!K1316-Sens!K1317</f>
        <v>282.29323599133</v>
      </c>
    </row>
    <row r="1319" customFormat="false" ht="17.15" hidden="false" customHeight="false" outlineLevel="0" collapsed="false">
      <c r="A1319" s="1" t="s">
        <v>916</v>
      </c>
      <c r="B1319" s="1" t="s">
        <v>81</v>
      </c>
      <c r="D1319" s="14" t="n">
        <f aca="false">Q!L31</f>
        <v>7.465</v>
      </c>
      <c r="E1319" s="14" t="n">
        <f aca="false">Q!M31</f>
        <v>7.453</v>
      </c>
      <c r="F1319" s="14" t="n">
        <f aca="false">Sens!F1360</f>
        <v>7.4722239803078</v>
      </c>
      <c r="G1319" s="14" t="n">
        <f aca="false">Sens!G1360</f>
        <v>7.49731967333355</v>
      </c>
      <c r="H1319" s="14" t="n">
        <f aca="false">Sens!H1360</f>
        <v>7.50644297190145</v>
      </c>
      <c r="I1319" s="14" t="n">
        <f aca="false">Sens!I1360</f>
        <v>7.51822380390877</v>
      </c>
      <c r="J1319" s="14" t="n">
        <f aca="false">Sens!J1360</f>
        <v>7.53246531502665</v>
      </c>
      <c r="K1319" s="14" t="n">
        <f aca="false">Sens!K1360</f>
        <v>7.54898523272839</v>
      </c>
    </row>
    <row r="1320" customFormat="false" ht="17.15" hidden="false" customHeight="false" outlineLevel="0" collapsed="false">
      <c r="A1320" s="0" t="s">
        <v>917</v>
      </c>
      <c r="B1320" s="0" t="s">
        <v>75</v>
      </c>
      <c r="D1320" s="8" t="n">
        <f aca="false">Sens!D1318/Sens!D1319</f>
        <v>13.641259209645</v>
      </c>
      <c r="E1320" s="8" t="n">
        <f aca="false">Sens!E1318/Sens!E1319</f>
        <v>17.9456594659869</v>
      </c>
      <c r="F1320" s="8" t="n">
        <f aca="false">Sens!F1318/Sens!F1319</f>
        <v>20.3249581252651</v>
      </c>
      <c r="G1320" s="8" t="n">
        <f aca="false">Sens!G1318/Sens!G1319</f>
        <v>24.1560470292162</v>
      </c>
      <c r="H1320" s="8" t="n">
        <f aca="false">Sens!H1318/Sens!H1319</f>
        <v>28.6427814923832</v>
      </c>
      <c r="I1320" s="8" t="n">
        <f aca="false">Sens!I1318/Sens!I1319</f>
        <v>32.082630137638</v>
      </c>
      <c r="J1320" s="8" t="n">
        <f aca="false">Sens!J1318/Sens!J1319</f>
        <v>34.9369051383384</v>
      </c>
      <c r="K1320" s="8" t="n">
        <f aca="false">Sens!K1318/Sens!K1319</f>
        <v>37.3948586847749</v>
      </c>
      <c r="L1320" s="1" t="s">
        <v>918</v>
      </c>
    </row>
    <row r="1321" customFormat="false" ht="17.15" hidden="false" customHeight="false" outlineLevel="0" collapsed="false">
      <c r="A1321" s="1" t="s">
        <v>919</v>
      </c>
      <c r="B1321" s="0" t="s">
        <v>98</v>
      </c>
      <c r="D1321" s="6" t="n">
        <f aca="false">Sens!D1318</f>
        <v>101.832</v>
      </c>
      <c r="E1321" s="6" t="n">
        <f aca="false">Sens!E1318</f>
        <v>133.749</v>
      </c>
      <c r="F1321" s="6" t="n">
        <f aca="false">Sens!F1318+Sens!F1311*(1-tax_f)</f>
        <v>167.136145454149</v>
      </c>
      <c r="G1321" s="6" t="n">
        <f aca="false">Sens!G1318+Sens!G1311*(1-tax_f)</f>
        <v>207.158919714081</v>
      </c>
      <c r="H1321" s="6" t="n">
        <f aca="false">Sens!H1318+Sens!H1311*(1-tax_f)</f>
        <v>252.930490935713</v>
      </c>
      <c r="I1321" s="6" t="n">
        <f aca="false">Sens!I1318+Sens!I1311*(1-tax_f)</f>
        <v>290.206400850892</v>
      </c>
      <c r="J1321" s="6" t="n">
        <f aca="false">Sens!J1318+Sens!J1311*(1-tax_f)</f>
        <v>319.968717229372</v>
      </c>
      <c r="K1321" s="6" t="n">
        <f aca="false">Sens!K1318+Sens!K1311*(1-tax_f)</f>
        <v>343.129442124475</v>
      </c>
    </row>
    <row r="1322" customFormat="false" ht="17.15" hidden="false" customHeight="false" outlineLevel="0" collapsed="false">
      <c r="A1322" s="0" t="s">
        <v>920</v>
      </c>
      <c r="B1322" s="0" t="s">
        <v>75</v>
      </c>
      <c r="D1322" s="8" t="n">
        <f aca="false">Sens!D1321/Sens!D1319</f>
        <v>13.641259209645</v>
      </c>
      <c r="E1322" s="8" t="n">
        <f aca="false">Sens!E1321/Sens!E1319</f>
        <v>17.9456594659869</v>
      </c>
      <c r="F1322" s="8" t="n">
        <f aca="false">Sens!F1321/Sens!F1319</f>
        <v>22.3676573259337</v>
      </c>
      <c r="G1322" s="8" t="n">
        <f aca="false">Sens!G1321/Sens!G1319</f>
        <v>27.6310639988986</v>
      </c>
      <c r="H1322" s="8" t="n">
        <f aca="false">Sens!H1321/Sens!H1319</f>
        <v>33.6951192305726</v>
      </c>
      <c r="I1322" s="8" t="n">
        <f aca="false">Sens!I1321/Sens!I1319</f>
        <v>38.6003939786964</v>
      </c>
      <c r="J1322" s="8" t="n">
        <f aca="false">Sens!J1321/Sens!J1319</f>
        <v>42.4786180682519</v>
      </c>
      <c r="K1322" s="8" t="n">
        <f aca="false">Sens!K1321/Sens!K1319</f>
        <v>45.4537174926304</v>
      </c>
      <c r="L1322" s="1" t="s">
        <v>921</v>
      </c>
    </row>
    <row r="1323" customFormat="false" ht="17.15" hidden="false" customHeight="false" outlineLevel="0" collapsed="false">
      <c r="A1323" s="0" t="s">
        <v>922</v>
      </c>
      <c r="B1323" s="0" t="s">
        <v>129</v>
      </c>
      <c r="E1323" s="7" t="n">
        <f aca="false">Sens!E1322/Sens!D1322-1</f>
        <v>0.315542736208578</v>
      </c>
      <c r="F1323" s="7" t="n">
        <f aca="false">Sens!F1322/Sens!E1322-1</f>
        <v>0.2464104408271</v>
      </c>
      <c r="G1323" s="7" t="n">
        <f aca="false">Sens!G1322/Sens!F1322-1</f>
        <v>0.235313273816224</v>
      </c>
      <c r="H1323" s="7" t="n">
        <f aca="false">Sens!H1322/Sens!G1322-1</f>
        <v>0.219465136482465</v>
      </c>
      <c r="I1323" s="7" t="n">
        <f aca="false">Sens!I1322/Sens!H1322-1</f>
        <v>0.145578198271312</v>
      </c>
      <c r="J1323" s="7" t="n">
        <f aca="false">Sens!J1322/Sens!I1322-1</f>
        <v>0.100471101193836</v>
      </c>
      <c r="K1323" s="7" t="n">
        <f aca="false">Sens!K1322/Sens!J1322-1</f>
        <v>0.0700375756009373</v>
      </c>
    </row>
    <row r="1324" customFormat="false" ht="17.15" hidden="false" customHeight="false" outlineLevel="0" collapsed="false">
      <c r="A1324" s="0" t="s">
        <v>846</v>
      </c>
      <c r="B1324" s="0" t="s">
        <v>98</v>
      </c>
      <c r="E1324" s="6" t="n">
        <f aca="false">Sens!E1265</f>
        <v>5.25</v>
      </c>
      <c r="F1324" s="6" t="n">
        <f aca="false">Sens!F1265</f>
        <v>13.5</v>
      </c>
      <c r="G1324" s="6" t="n">
        <f aca="false">Sens!G1265</f>
        <v>22.5</v>
      </c>
      <c r="H1324" s="6" t="n">
        <f aca="false">Sens!H1265</f>
        <v>31.5</v>
      </c>
      <c r="I1324" s="6" t="n">
        <f aca="false">Sens!I1265</f>
        <v>38.25</v>
      </c>
      <c r="J1324" s="6" t="n">
        <f aca="false">Sens!J1265</f>
        <v>42.75</v>
      </c>
      <c r="K1324" s="6" t="n">
        <f aca="false">Sens!K1265</f>
        <v>47.25</v>
      </c>
    </row>
    <row r="1325" customFormat="false" ht="17.15" hidden="false" customHeight="false" outlineLevel="0" collapsed="false">
      <c r="A1325" s="1" t="s">
        <v>847</v>
      </c>
      <c r="B1325" s="0" t="s">
        <v>98</v>
      </c>
      <c r="F1325" s="6" t="n">
        <f aca="false">MAX(0,(Sens!E1228+Sens!F1228)/2*Sens!F1236/1000-Sens!F1324*Sens!F1304)</f>
        <v>19.0793824397397</v>
      </c>
      <c r="G1325" s="6" t="n">
        <f aca="false">MAX(0,(Sens!F1228+Sens!G1228)/2*Sens!G1236/1000-Sens!G1324*Sens!G1304)</f>
        <v>32.5666413649601</v>
      </c>
      <c r="H1325" s="6" t="n">
        <f aca="false">MAX(0,(Sens!G1228+Sens!H1228)/2*Sens!H1236/1000-Sens!H1324*Sens!H1304)</f>
        <v>47.4063563831308</v>
      </c>
      <c r="I1325" s="6" t="n">
        <f aca="false">MAX(0,(Sens!H1228+Sens!I1228)/2*Sens!I1236/1000-Sens!I1324*Sens!I1304)</f>
        <v>61.2525090726263</v>
      </c>
      <c r="J1325" s="6" t="n">
        <f aca="false">MAX(0,(Sens!I1228+Sens!J1228)/2*Sens!J1236/1000-Sens!J1324*Sens!J1304)</f>
        <v>71.009613825577</v>
      </c>
      <c r="K1325" s="6" t="n">
        <f aca="false">MAX(0,(Sens!J1228+Sens!K1228)/2*Sens!K1236/1000-Sens!K1324*Sens!K1304)</f>
        <v>76.0452576664312</v>
      </c>
      <c r="L1325" s="1" t="s">
        <v>848</v>
      </c>
    </row>
    <row r="1326" customFormat="false" ht="17.15" hidden="false" customHeight="false" outlineLevel="0" collapsed="false">
      <c r="A1326" s="1" t="s">
        <v>849</v>
      </c>
      <c r="B1326" s="0" t="s">
        <v>98</v>
      </c>
      <c r="F1326" s="6" t="n">
        <f aca="false">IF(internal_ai_reading=2,1,0)*Sens!F1325</f>
        <v>19.0793824397397</v>
      </c>
      <c r="G1326" s="6" t="n">
        <f aca="false">IF(internal_ai_reading=2,1,0)*Sens!G1325</f>
        <v>32.5666413649601</v>
      </c>
      <c r="H1326" s="6" t="n">
        <f aca="false">IF(internal_ai_reading=2,1,0)*Sens!H1325</f>
        <v>47.4063563831308</v>
      </c>
      <c r="I1326" s="6" t="n">
        <f aca="false">IF(internal_ai_reading=2,1,0)*Sens!I1325</f>
        <v>61.2525090726263</v>
      </c>
      <c r="J1326" s="6" t="n">
        <f aca="false">IF(internal_ai_reading=2,1,0)*Sens!J1325</f>
        <v>71.009613825577</v>
      </c>
      <c r="K1326" s="6" t="n">
        <f aca="false">IF(internal_ai_reading=2,1,0)*Sens!K1325</f>
        <v>76.0452576664312</v>
      </c>
    </row>
    <row r="1327" customFormat="false" ht="17.15" hidden="false" customHeight="false" outlineLevel="0" collapsed="false">
      <c r="A1327" s="0" t="s">
        <v>850</v>
      </c>
      <c r="B1327" s="0" t="s">
        <v>98</v>
      </c>
      <c r="F1327" s="6" t="n">
        <f aca="false">Sens!F1245+Sens!F1324*Sens!F1304+Sens!F1326-Sens!F1246-Sens!F1256</f>
        <v>37.4640569595295</v>
      </c>
      <c r="G1327" s="6" t="n">
        <f aca="false">Sens!G1245+Sens!G1324*Sens!G1304+Sens!G1326-Sens!G1246-Sens!G1256</f>
        <v>67.8234830762952</v>
      </c>
      <c r="H1327" s="6" t="n">
        <f aca="false">Sens!H1245+Sens!H1324*Sens!H1304+Sens!H1326-Sens!H1246-Sens!H1256</f>
        <v>105.048232204001</v>
      </c>
      <c r="I1327" s="6" t="n">
        <f aca="false">Sens!I1245+Sens!I1324*Sens!I1304+Sens!I1326-Sens!I1246-Sens!I1256</f>
        <v>132.024374227758</v>
      </c>
      <c r="J1327" s="6" t="n">
        <f aca="false">Sens!J1245+Sens!J1324*Sens!J1304+Sens!J1326-Sens!J1246-Sens!J1256</f>
        <v>150.748217569835</v>
      </c>
      <c r="K1327" s="6" t="n">
        <f aca="false">Sens!K1245+Sens!K1324*Sens!K1304+Sens!K1326-Sens!K1246-Sens!K1256</f>
        <v>163.150868076674</v>
      </c>
    </row>
    <row r="1328" customFormat="false" ht="17.15" hidden="false" customHeight="false" outlineLevel="0" collapsed="false">
      <c r="A1328" s="0" t="s">
        <v>851</v>
      </c>
      <c r="B1328" s="0" t="s">
        <v>98</v>
      </c>
      <c r="E1328" s="6" t="n">
        <f aca="false">Sens!E1227*(cxit_open+self_build*tk_cxfac)/1000*ai_net_open</f>
        <v>126.6980382</v>
      </c>
      <c r="F1328" s="6" t="n">
        <f aca="false">Sens!E1328+Sens!F1253-Sens!F1256</f>
        <v>260.440655514568</v>
      </c>
      <c r="G1328" s="6" t="n">
        <f aca="false">Sens!F1328+Sens!G1253-Sens!G1256</f>
        <v>383.533102737428</v>
      </c>
      <c r="H1328" s="6" t="n">
        <f aca="false">Sens!G1328+Sens!H1253-Sens!H1256</f>
        <v>483.896072654688</v>
      </c>
      <c r="I1328" s="6" t="n">
        <f aca="false">Sens!H1328+Sens!I1253-Sens!I1256</f>
        <v>535.640701826713</v>
      </c>
      <c r="J1328" s="6" t="n">
        <f aca="false">Sens!I1328+Sens!J1253-Sens!J1256</f>
        <v>530.994467622137</v>
      </c>
      <c r="K1328" s="6" t="n">
        <f aca="false">Sens!J1328+Sens!K1253-Sens!K1256</f>
        <v>506.3312564596</v>
      </c>
      <c r="L1328" s="1" t="s">
        <v>852</v>
      </c>
    </row>
    <row r="1329" customFormat="false" ht="17.15" hidden="false" customHeight="false" outlineLevel="0" collapsed="false">
      <c r="A1329" s="0" t="s">
        <v>853</v>
      </c>
      <c r="B1329" s="0" t="s">
        <v>129</v>
      </c>
      <c r="F1329" s="7" t="n">
        <f aca="false">Sens!F1327*(1-tax_f)/((Sens!E1328+Sens!F1328)/2)</f>
        <v>0.154834668061989</v>
      </c>
      <c r="G1329" s="7" t="n">
        <f aca="false">Sens!G1327*(1-tax_f)/((Sens!F1328+Sens!G1328)/2)</f>
        <v>0.16851241456893</v>
      </c>
      <c r="H1329" s="7" t="n">
        <f aca="false">Sens!H1327*(1-tax_f)/((Sens!G1328+Sens!H1328)/2)</f>
        <v>0.193764720272896</v>
      </c>
      <c r="I1329" s="7" t="n">
        <f aca="false">Sens!I1327*(1-tax_f)/((Sens!H1328+Sens!I1328)/2)</f>
        <v>0.207191151954142</v>
      </c>
      <c r="J1329" s="7" t="n">
        <f aca="false">Sens!J1327*(1-tax_f)/((Sens!I1328+Sens!J1328)/2)</f>
        <v>0.22612900363708</v>
      </c>
      <c r="K1329" s="7" t="n">
        <f aca="false">Sens!K1327*(1-tax_f)/((Sens!J1328+Sens!K1328)/2)</f>
        <v>0.251648429092759</v>
      </c>
    </row>
    <row r="1330" customFormat="false" ht="17.15" hidden="false" customHeight="false" outlineLevel="0" collapsed="false">
      <c r="A1330" s="1" t="s">
        <v>854</v>
      </c>
      <c r="B1330" s="0" t="s">
        <v>129</v>
      </c>
      <c r="F1330" s="7" t="n">
        <f aca="false">(Sens!F1327-Sens!F1326)*(1-tax_f)/((Sens!E1328+Sens!F1328)/2)</f>
        <v>0.0759817597911082</v>
      </c>
      <c r="G1330" s="7" t="n">
        <f aca="false">(Sens!G1327-Sens!G1326)*(1-tax_f)/((Sens!F1328+Sens!G1328)/2)</f>
        <v>0.0875982072487833</v>
      </c>
      <c r="H1330" s="7" t="n">
        <f aca="false">(Sens!H1327-Sens!H1326)*(1-tax_f)/((Sens!G1328+Sens!H1328)/2)</f>
        <v>0.106322226562996</v>
      </c>
      <c r="I1330" s="7" t="n">
        <f aca="false">(Sens!I1327-Sens!I1326)*(1-tax_f)/((Sens!H1328+Sens!I1328)/2)</f>
        <v>0.111065129853514</v>
      </c>
      <c r="J1330" s="7" t="n">
        <f aca="false">(Sens!J1327-Sens!J1326)*(1-tax_f)/((Sens!I1328+Sens!J1328)/2)</f>
        <v>0.119611437579671</v>
      </c>
      <c r="K1330" s="7" t="n">
        <f aca="false">(Sens!K1327-Sens!K1326)*(1-tax_f)/((Sens!J1328+Sens!K1328)/2)</f>
        <v>0.134354112137497</v>
      </c>
    </row>
    <row r="1331" customFormat="false" ht="17.15" hidden="false" customHeight="false" outlineLevel="0" collapsed="false">
      <c r="A1331" s="1" t="s">
        <v>855</v>
      </c>
      <c r="B1331" s="0" t="s">
        <v>129</v>
      </c>
      <c r="F1331" s="7" t="n">
        <f aca="false">(Sens!F1327-Sens!F1326+Sens!F1325)*(1-tax_f)/((Sens!E1328+Sens!F1328)/2)</f>
        <v>0.154834668061989</v>
      </c>
      <c r="G1331" s="7" t="n">
        <f aca="false">(Sens!G1327-Sens!G1326+Sens!G1325)*(1-tax_f)/((Sens!F1328+Sens!G1328)/2)</f>
        <v>0.16851241456893</v>
      </c>
      <c r="H1331" s="7" t="n">
        <f aca="false">(Sens!H1327-Sens!H1326+Sens!H1325)*(1-tax_f)/((Sens!G1328+Sens!H1328)/2)</f>
        <v>0.193764720272896</v>
      </c>
      <c r="I1331" s="7" t="n">
        <f aca="false">(Sens!I1327-Sens!I1326+Sens!I1325)*(1-tax_f)/((Sens!H1328+Sens!I1328)/2)</f>
        <v>0.207191151954142</v>
      </c>
      <c r="J1331" s="7" t="n">
        <f aca="false">(Sens!J1327-Sens!J1326+Sens!J1325)*(1-tax_f)/((Sens!I1328+Sens!J1328)/2)</f>
        <v>0.22612900363708</v>
      </c>
      <c r="K1331" s="7" t="n">
        <f aca="false">(Sens!K1327-Sens!K1326+Sens!K1325)*(1-tax_f)/((Sens!J1328+Sens!K1328)/2)</f>
        <v>0.251648429092759</v>
      </c>
    </row>
    <row r="1332" customFormat="false" ht="17.15" hidden="false" customHeight="false" outlineLevel="0" collapsed="false">
      <c r="A1332" s="1" t="s">
        <v>856</v>
      </c>
      <c r="B1332" s="0" t="s">
        <v>129</v>
      </c>
      <c r="F1332" s="7" t="n">
        <f aca="false">Sens!F1257*(1-tax_f)/(Sens!F1244*(Sens!E1328+Sens!F1328)/2)</f>
        <v>0.214227410973431</v>
      </c>
      <c r="G1332" s="7" t="n">
        <f aca="false">Sens!G1257*(1-tax_f)/(Sens!G1244*(Sens!F1328+Sens!G1328)/2)</f>
        <v>0.237639603827533</v>
      </c>
      <c r="H1332" s="7" t="n">
        <f aca="false">Sens!H1257*(1-tax_f)/(Sens!H1244*(Sens!G1328+Sens!H1328)/2)</f>
        <v>0.276701402937503</v>
      </c>
      <c r="I1332" s="7" t="n">
        <f aca="false">Sens!I1257*(1-tax_f)/(Sens!I1244*(Sens!H1328+Sens!I1328)/2)</f>
        <v>0.295195277263391</v>
      </c>
      <c r="J1332" s="7" t="n">
        <f aca="false">Sens!J1257*(1-tax_f)/(Sens!J1244*(Sens!I1328+Sens!J1328)/2)</f>
        <v>0.321888307010216</v>
      </c>
      <c r="K1332" s="7" t="n">
        <f aca="false">Sens!K1257*(1-tax_f)/(Sens!K1244*(Sens!J1328+Sens!K1328)/2)</f>
        <v>0.357683558814337</v>
      </c>
    </row>
    <row r="1333" customFormat="false" ht="17.15" hidden="false" customHeight="false" outlineLevel="0" collapsed="false">
      <c r="A1333" s="0" t="s">
        <v>857</v>
      </c>
      <c r="B1333" s="0" t="s">
        <v>209</v>
      </c>
      <c r="F1333" s="7" t="n">
        <f aca="false">Sens!F1329-wacc</f>
        <v>0.0519002479691136</v>
      </c>
      <c r="G1333" s="7" t="n">
        <f aca="false">Sens!G1329-wacc</f>
        <v>0.0655779944760545</v>
      </c>
      <c r="H1333" s="7" t="n">
        <f aca="false">Sens!H1329-wacc</f>
        <v>0.0908303001800202</v>
      </c>
      <c r="I1333" s="7" t="n">
        <f aca="false">Sens!I1329-wacc</f>
        <v>0.104256731861267</v>
      </c>
      <c r="J1333" s="7" t="n">
        <f aca="false">Sens!J1329-wacc</f>
        <v>0.123194583544204</v>
      </c>
      <c r="K1333" s="7" t="n">
        <f aca="false">Sens!K1329-wacc</f>
        <v>0.148714008999883</v>
      </c>
    </row>
    <row r="1334" customFormat="false" ht="17.15" hidden="false" customHeight="false" outlineLevel="0" collapsed="false">
      <c r="A1334" s="0" t="s">
        <v>858</v>
      </c>
      <c r="B1334" s="0" t="s">
        <v>98</v>
      </c>
      <c r="F1334" s="6" t="n">
        <f aca="false">Sens!F1327*(1-tax_f)-wacc*(Sens!E1328+Sens!F1328)/2</f>
        <v>10.0462971011124</v>
      </c>
      <c r="G1334" s="6" t="n">
        <f aca="false">Sens!G1327*(1-tax_f)-wacc*(Sens!F1328+Sens!G1328)/2</f>
        <v>21.1152537806867</v>
      </c>
      <c r="H1334" s="6" t="n">
        <f aca="false">Sens!H1327*(1-tax_f)-wacc*(Sens!G1328+Sens!H1328)/2</f>
        <v>39.3944261928867</v>
      </c>
      <c r="I1334" s="6" t="n">
        <f aca="false">Sens!I1327*(1-tax_f)-wacc*(Sens!H1328+Sens!I1328)/2</f>
        <v>53.146786059904</v>
      </c>
      <c r="J1334" s="6" t="n">
        <f aca="false">Sens!J1327*(1-tax_f)-wacc*(Sens!I1328+Sens!J1328)/2</f>
        <v>65.7018377469263</v>
      </c>
      <c r="K1334" s="6" t="n">
        <f aca="false">Sens!K1327*(1-tax_f)-wacc*(Sens!J1328+Sens!K1328)/2</f>
        <v>77.132433533451</v>
      </c>
    </row>
    <row r="1335" customFormat="false" ht="17.15" hidden="false" customHeight="false" outlineLevel="0" collapsed="false">
      <c r="A1335" s="3" t="s">
        <v>1267</v>
      </c>
    </row>
    <row r="1336" customFormat="false" ht="15" hidden="false" customHeight="false" outlineLevel="0" collapsed="false">
      <c r="A1336" s="4" t="s">
        <v>43</v>
      </c>
      <c r="B1336" s="4" t="s">
        <v>65</v>
      </c>
      <c r="C1336" s="20" t="s">
        <v>788</v>
      </c>
      <c r="D1336" s="20" t="s">
        <v>789</v>
      </c>
      <c r="E1336" s="20" t="s">
        <v>790</v>
      </c>
      <c r="F1336" s="20" t="s">
        <v>791</v>
      </c>
      <c r="G1336" s="20" t="s">
        <v>792</v>
      </c>
      <c r="H1336" s="20" t="s">
        <v>793</v>
      </c>
      <c r="I1336" s="20" t="s">
        <v>794</v>
      </c>
      <c r="J1336" s="20" t="s">
        <v>795</v>
      </c>
      <c r="K1336" s="20" t="s">
        <v>796</v>
      </c>
      <c r="L1336" s="4" t="s">
        <v>47</v>
      </c>
    </row>
    <row r="1337" customFormat="false" ht="15" hidden="false" customHeight="false" outlineLevel="0" collapsed="false">
      <c r="A1337" s="1" t="s">
        <v>915</v>
      </c>
      <c r="B1337" s="0" t="s">
        <v>98</v>
      </c>
      <c r="F1337" s="6" t="n">
        <f aca="false">Sens!F1318</f>
        <v>151.872639502358</v>
      </c>
      <c r="G1337" s="6" t="n">
        <f aca="false">Sens!G1318</f>
        <v>181.105606622113</v>
      </c>
      <c r="H1337" s="6" t="n">
        <f aca="false">Sens!H1318</f>
        <v>215.005405829208</v>
      </c>
      <c r="I1337" s="6" t="n">
        <f aca="false">Sens!I1318</f>
        <v>241.204393592791</v>
      </c>
      <c r="J1337" s="6" t="n">
        <f aca="false">Sens!J1318</f>
        <v>263.16102616891</v>
      </c>
      <c r="K1337" s="6" t="n">
        <f aca="false">Sens!K1318</f>
        <v>282.29323599133</v>
      </c>
    </row>
    <row r="1338" customFormat="false" ht="17.15" hidden="false" customHeight="false" outlineLevel="0" collapsed="false">
      <c r="A1338" s="1" t="s">
        <v>937</v>
      </c>
      <c r="B1338" s="0" t="s">
        <v>98</v>
      </c>
      <c r="E1338" s="6" t="n">
        <f aca="false">Q!M38-Sens!E1256</f>
        <v>22.2285940229167</v>
      </c>
      <c r="F1338" s="6" t="n">
        <f aca="false">Sens!E1338*(1-1/life_nonai)+Sens!F1344/life_nonai</f>
        <v>23.5786693435813</v>
      </c>
      <c r="G1338" s="6" t="n">
        <f aca="false">Sens!F1338*(1-1/life_nonai)+Sens!G1344/life_nonai</f>
        <v>25.3810917662621</v>
      </c>
      <c r="H1338" s="6" t="n">
        <f aca="false">Sens!G1338*(1-1/life_nonai)+Sens!H1344/life_nonai</f>
        <v>27.5991339540448</v>
      </c>
      <c r="I1338" s="6" t="n">
        <f aca="false">Sens!H1338*(1-1/life_nonai)+Sens!I1344/life_nonai</f>
        <v>30.1565605898047</v>
      </c>
      <c r="J1338" s="6" t="n">
        <f aca="false">Sens!I1338*(1-1/life_nonai)+Sens!J1344/life_nonai</f>
        <v>32.9614958558616</v>
      </c>
      <c r="K1338" s="6" t="n">
        <f aca="false">Sens!J1338*(1-1/life_nonai)+Sens!K1344/life_nonai</f>
        <v>35.9297165444749</v>
      </c>
      <c r="L1338" s="11" t="s">
        <v>938</v>
      </c>
    </row>
    <row r="1339" customFormat="false" ht="17.15" hidden="false" customHeight="false" outlineLevel="0" collapsed="false">
      <c r="A1339" s="1" t="s">
        <v>939</v>
      </c>
      <c r="B1339" s="0" t="s">
        <v>98</v>
      </c>
      <c r="E1339" s="6" t="n">
        <f aca="false">Sens!E1256+Sens!E1338</f>
        <v>38.534</v>
      </c>
      <c r="F1339" s="6" t="n">
        <f aca="false">Sens!F1256+Sens!F1338</f>
        <v>58.306704799451</v>
      </c>
      <c r="G1339" s="6" t="n">
        <f aca="false">Sens!G1256+Sens!G1338</f>
        <v>85.8628250266016</v>
      </c>
      <c r="H1339" s="6" t="n">
        <f aca="false">Sens!H1256+Sens!H1338</f>
        <v>115.316449947184</v>
      </c>
      <c r="I1339" s="6" t="n">
        <f aca="false">Sens!I1256+Sens!I1338</f>
        <v>142.118600572026</v>
      </c>
      <c r="J1339" s="6" t="n">
        <f aca="false">Sens!J1256+Sens!J1338</f>
        <v>162.120206778527</v>
      </c>
      <c r="K1339" s="6" t="n">
        <f aca="false">Sens!K1256+Sens!K1338</f>
        <v>175.552363348948</v>
      </c>
    </row>
    <row r="1340" customFormat="false" ht="17.15" hidden="false" customHeight="false" outlineLevel="0" collapsed="false">
      <c r="A1340" s="1" t="s">
        <v>940</v>
      </c>
      <c r="B1340" s="0" t="s">
        <v>98</v>
      </c>
      <c r="F1340" s="6" t="n">
        <f aca="false">Sens!F1283*sbc_r</f>
        <v>15.4534145835049</v>
      </c>
      <c r="G1340" s="6" t="n">
        <f aca="false">Sens!G1283*sbc_r</f>
        <v>18.9462944653363</v>
      </c>
      <c r="H1340" s="6" t="n">
        <f aca="false">Sens!H1283*sbc_r</f>
        <v>22.7170582267579</v>
      </c>
      <c r="I1340" s="6" t="n">
        <f aca="false">Sens!I1283*sbc_r</f>
        <v>25.9208005460506</v>
      </c>
      <c r="J1340" s="6" t="n">
        <f aca="false">Sens!J1283*sbc_r</f>
        <v>28.4824858476398</v>
      </c>
      <c r="K1340" s="6" t="n">
        <f aca="false">Sens!K1283*sbc_r</f>
        <v>30.4981949301081</v>
      </c>
    </row>
    <row r="1341" customFormat="false" ht="17.15" hidden="false" customHeight="false" outlineLevel="0" collapsed="false">
      <c r="A1341" s="1" t="s">
        <v>941</v>
      </c>
      <c r="B1341" s="0" t="s">
        <v>98</v>
      </c>
      <c r="F1341" s="6" t="n">
        <f aca="false">wc27</f>
        <v>-4.895</v>
      </c>
      <c r="G1341" s="6" t="n">
        <f aca="false">wc_f</f>
        <v>0</v>
      </c>
      <c r="H1341" s="6" t="n">
        <f aca="false">wc_f</f>
        <v>0</v>
      </c>
      <c r="I1341" s="6" t="n">
        <f aca="false">wc_f</f>
        <v>0</v>
      </c>
      <c r="J1341" s="6" t="n">
        <f aca="false">wc_f</f>
        <v>0</v>
      </c>
      <c r="K1341" s="6" t="n">
        <f aca="false">wc_f</f>
        <v>0</v>
      </c>
      <c r="L1341" s="11" t="s">
        <v>942</v>
      </c>
    </row>
    <row r="1342" customFormat="false" ht="15" hidden="false" customHeight="false" outlineLevel="0" collapsed="false">
      <c r="A1342" s="1" t="s">
        <v>756</v>
      </c>
      <c r="B1342" s="0" t="s">
        <v>98</v>
      </c>
      <c r="E1342" s="6" t="n">
        <f aca="false">Q!M35</f>
        <v>182.935</v>
      </c>
      <c r="F1342" s="6" t="n">
        <f aca="false">Sens!F1337+Sens!F1339+Sens!F1340+Sens!F1341</f>
        <v>220.737758885313</v>
      </c>
      <c r="G1342" s="6" t="n">
        <f aca="false">Sens!G1337+Sens!G1339+Sens!G1340+Sens!G1341</f>
        <v>285.914726114051</v>
      </c>
      <c r="H1342" s="6" t="n">
        <f aca="false">Sens!H1337+Sens!H1339+Sens!H1340+Sens!H1341</f>
        <v>353.038914003151</v>
      </c>
      <c r="I1342" s="6" t="n">
        <f aca="false">Sens!I1337+Sens!I1339+Sens!I1340+Sens!I1341</f>
        <v>409.243794710867</v>
      </c>
      <c r="J1342" s="6" t="n">
        <f aca="false">Sens!J1337+Sens!J1339+Sens!J1340+Sens!J1341</f>
        <v>453.763718795077</v>
      </c>
      <c r="K1342" s="6" t="n">
        <f aca="false">Sens!K1337+Sens!K1339+Sens!K1340+Sens!K1341</f>
        <v>488.343794270387</v>
      </c>
    </row>
    <row r="1343" customFormat="false" ht="17.15" hidden="false" customHeight="false" outlineLevel="0" collapsed="false">
      <c r="A1343" s="0" t="s">
        <v>943</v>
      </c>
      <c r="B1343" s="0" t="s">
        <v>98</v>
      </c>
      <c r="F1343" s="6" t="n">
        <f aca="false">Sens!F1253</f>
        <v>168.470652770438</v>
      </c>
      <c r="G1343" s="6" t="n">
        <f aca="false">Sens!G1253</f>
        <v>183.5741804832</v>
      </c>
      <c r="H1343" s="6" t="n">
        <f aca="false">Sens!H1253</f>
        <v>188.0802859104</v>
      </c>
      <c r="I1343" s="6" t="n">
        <f aca="false">Sens!I1253</f>
        <v>163.706669154245</v>
      </c>
      <c r="J1343" s="6" t="n">
        <f aca="false">Sens!J1253</f>
        <v>124.51247671809</v>
      </c>
      <c r="K1343" s="6" t="n">
        <f aca="false">Sens!K1253</f>
        <v>114.959435641936</v>
      </c>
    </row>
    <row r="1344" customFormat="false" ht="17.15" hidden="false" customHeight="false" outlineLevel="0" collapsed="false">
      <c r="A1344" s="1" t="s">
        <v>944</v>
      </c>
      <c r="B1344" s="0" t="s">
        <v>98</v>
      </c>
      <c r="E1344" s="6" t="n">
        <f aca="false">Sens!E1261*cx_azo+Sens!E1268*cx_m365+Sens!E1269*cx_lic+(Sens!E1271+Sens!E1273)*cx_ind+Sens!E1276*cx_srch+(Sens!E1278+Sens!E1280)*cx_dev</f>
        <v>30.1846587067718</v>
      </c>
      <c r="F1344" s="6" t="n">
        <f aca="false">Sens!F1261*cx_azo+Sens!F1268*cx_m365+Sens!F1269*cx_lic+(Sens!F1271+Sens!F1273)*cx_ind+Sens!F1276*cx_srch+(Sens!F1278+Sens!F1280)*cx_dev</f>
        <v>35.7293472295625</v>
      </c>
      <c r="G1344" s="6" t="n">
        <f aca="false">Sens!G1261*cx_azo+Sens!G1268*cx_m365+Sens!G1269*cx_lic+(Sens!G1271+Sens!G1273)*cx_ind+Sens!G1276*cx_srch+(Sens!G1278+Sens!G1280)*cx_dev</f>
        <v>41.6028935703892</v>
      </c>
      <c r="H1344" s="6" t="n">
        <f aca="false">Sens!H1261*cx_azo+Sens!H1268*cx_m365+Sens!H1269*cx_lic+(Sens!H1271+Sens!H1273)*cx_ind+Sens!H1276*cx_srch+(Sens!H1278+Sens!H1280)*cx_dev</f>
        <v>47.5615136440897</v>
      </c>
      <c r="I1344" s="6" t="n">
        <f aca="false">Sens!I1261*cx_azo+Sens!I1268*cx_m365+Sens!I1269*cx_lic+(Sens!I1271+Sens!I1273)*cx_ind+Sens!I1276*cx_srch+(Sens!I1278+Sens!I1280)*cx_dev</f>
        <v>53.1734003116439</v>
      </c>
      <c r="J1344" s="6" t="n">
        <f aca="false">Sens!J1261*cx_azo+Sens!J1268*cx_m365+Sens!J1269*cx_lic+(Sens!J1271+Sens!J1273)*cx_ind+Sens!J1276*cx_srch+(Sens!J1278+Sens!J1280)*cx_dev</f>
        <v>58.2059132503738</v>
      </c>
      <c r="K1344" s="6" t="n">
        <f aca="false">Sens!K1261*cx_azo+Sens!K1268*cx_m365+Sens!K1269*cx_lic+(Sens!K1271+Sens!K1273)*cx_ind+Sens!K1276*cx_srch+(Sens!K1278+Sens!K1280)*cx_dev</f>
        <v>62.643702741994</v>
      </c>
    </row>
    <row r="1345" customFormat="false" ht="17.15" hidden="false" customHeight="false" outlineLevel="0" collapsed="false">
      <c r="A1345" s="1" t="s">
        <v>945</v>
      </c>
      <c r="B1345" s="0" t="s">
        <v>98</v>
      </c>
      <c r="E1345" s="6" t="n">
        <f aca="false">Q!M42</f>
        <v>145.3</v>
      </c>
      <c r="F1345" s="6" t="n">
        <f aca="false">Sens!F1343+Sens!F1344</f>
        <v>204.2</v>
      </c>
      <c r="G1345" s="6" t="n">
        <f aca="false">Sens!G1343+Sens!G1344</f>
        <v>225.177074053589</v>
      </c>
      <c r="H1345" s="6" t="n">
        <f aca="false">Sens!H1343+Sens!H1344</f>
        <v>235.64179955449</v>
      </c>
      <c r="I1345" s="6" t="n">
        <f aca="false">Sens!I1343+Sens!I1344</f>
        <v>216.880069465889</v>
      </c>
      <c r="J1345" s="6" t="n">
        <f aca="false">Sens!J1343+Sens!J1344</f>
        <v>182.718389968464</v>
      </c>
      <c r="K1345" s="6" t="n">
        <f aca="false">Sens!K1343+Sens!K1344</f>
        <v>177.60313838393</v>
      </c>
      <c r="L1345" s="1" t="s">
        <v>946</v>
      </c>
    </row>
    <row r="1346" customFormat="false" ht="15" hidden="false" customHeight="false" outlineLevel="0" collapsed="false">
      <c r="A1346" s="1" t="s">
        <v>947</v>
      </c>
      <c r="B1346" s="0" t="s">
        <v>98</v>
      </c>
      <c r="E1346" s="6" t="n">
        <f aca="false">fl_liab</f>
        <v>66.594</v>
      </c>
      <c r="F1346" s="6" t="n">
        <f aca="false">Sens!E1346-Sens!F1347</f>
        <v>62.46973</v>
      </c>
      <c r="G1346" s="6" t="n">
        <f aca="false">Sens!F1346-Sens!G1347</f>
        <v>57.98686785</v>
      </c>
      <c r="H1346" s="6" t="n">
        <f aca="false">Sens!G1346-Sens!H1347</f>
        <v>53.92827690325</v>
      </c>
      <c r="I1346" s="6" t="n">
        <f aca="false">Sens!H1346-Sens!I1347</f>
        <v>49.7850493638962</v>
      </c>
      <c r="J1346" s="6" t="n">
        <f aca="false">Sens!I1346-Sens!J1347</f>
        <v>45.4823765852716</v>
      </c>
      <c r="K1346" s="6" t="n">
        <f aca="false">Sens!J1346-Sens!K1347</f>
        <v>40.9860835316088</v>
      </c>
    </row>
    <row r="1347" customFormat="false" ht="15" hidden="false" customHeight="false" outlineLevel="0" collapsed="false">
      <c r="A1347" s="1" t="s">
        <v>948</v>
      </c>
      <c r="B1347" s="0" t="s">
        <v>98</v>
      </c>
      <c r="F1347" s="6" t="n">
        <f aca="false">fl_pay_27-Sens!E1346*fl_rate</f>
        <v>4.12427</v>
      </c>
      <c r="G1347" s="6" t="n">
        <f aca="false">fl_pay_28-Sens!F1346*fl_rate</f>
        <v>4.48286215</v>
      </c>
      <c r="H1347" s="6" t="n">
        <f aca="false">fl_pay_29-Sens!G1346*fl_rate</f>
        <v>4.05859094675</v>
      </c>
      <c r="I1347" s="6" t="n">
        <f aca="false">fl_pay_30-Sens!H1346*fl_rate</f>
        <v>4.14322753935375</v>
      </c>
      <c r="J1347" s="6" t="n">
        <f aca="false">fl_pay_31-Sens!I1346*fl_rate</f>
        <v>4.30267277862467</v>
      </c>
      <c r="K1347" s="6" t="n">
        <f aca="false">fl_pay_32-Sens!J1346*fl_rate</f>
        <v>4.49629305366278</v>
      </c>
    </row>
    <row r="1348" customFormat="false" ht="17.15" hidden="false" customHeight="false" outlineLevel="0" collapsed="false">
      <c r="A1348" s="1" t="s">
        <v>949</v>
      </c>
      <c r="B1348" s="0" t="s">
        <v>98</v>
      </c>
      <c r="E1348" s="6" t="n">
        <f aca="false">Q!M35-Q!M36-Q!M43</f>
        <v>63.886</v>
      </c>
      <c r="F1348" s="6" t="n">
        <f aca="false">Sens!F1342-Sens!F1345-Sens!F1347</f>
        <v>12.4134888853135</v>
      </c>
      <c r="G1348" s="6" t="n">
        <f aca="false">Sens!G1342-Sens!G1345-Sens!G1347</f>
        <v>56.2547899104615</v>
      </c>
      <c r="H1348" s="6" t="n">
        <f aca="false">Sens!H1342-Sens!H1345-Sens!H1347</f>
        <v>113.338523501911</v>
      </c>
      <c r="I1348" s="6" t="n">
        <f aca="false">Sens!I1342-Sens!I1345-Sens!I1347</f>
        <v>188.220497705624</v>
      </c>
      <c r="J1348" s="6" t="n">
        <f aca="false">Sens!J1342-Sens!J1345-Sens!J1347</f>
        <v>266.742656047989</v>
      </c>
      <c r="K1348" s="6" t="n">
        <f aca="false">Sens!K1342-Sens!K1345-Sens!K1347</f>
        <v>306.244362832794</v>
      </c>
      <c r="L1348" s="11" t="s">
        <v>950</v>
      </c>
    </row>
    <row r="1349" customFormat="false" ht="15" hidden="false" customHeight="false" outlineLevel="0" collapsed="false">
      <c r="A1349" s="1" t="s">
        <v>951</v>
      </c>
      <c r="B1349" s="0" t="s">
        <v>75</v>
      </c>
      <c r="F1349" s="8" t="n">
        <f aca="false">dps_27</f>
        <v>3.85</v>
      </c>
      <c r="G1349" s="8" t="n">
        <f aca="false">Sens!F1349*(1+dps_g)</f>
        <v>4.158</v>
      </c>
      <c r="H1349" s="8" t="n">
        <f aca="false">Sens!G1349*(1+dps_g)</f>
        <v>4.49064</v>
      </c>
      <c r="I1349" s="8" t="n">
        <f aca="false">Sens!H1349*(1+dps_g)</f>
        <v>4.8498912</v>
      </c>
      <c r="J1349" s="8" t="n">
        <f aca="false">Sens!I1349*(1+dps_g)</f>
        <v>5.237882496</v>
      </c>
      <c r="K1349" s="8" t="n">
        <f aca="false">Sens!J1349*(1+dps_g)</f>
        <v>5.65691309568</v>
      </c>
    </row>
    <row r="1350" customFormat="false" ht="17.15" hidden="false" customHeight="false" outlineLevel="0" collapsed="false">
      <c r="A1350" s="1" t="s">
        <v>952</v>
      </c>
      <c r="B1350" s="0" t="s">
        <v>98</v>
      </c>
      <c r="E1350" s="6" t="n">
        <f aca="false">Q!M41</f>
        <v>26.445</v>
      </c>
      <c r="F1350" s="6" t="n">
        <f aca="false">Sens!F1349*Sens!E1359</f>
        <v>28.59395</v>
      </c>
      <c r="G1350" s="6" t="n">
        <f aca="false">Sens!G1349*Sens!F1359</f>
        <v>31.0579646202397</v>
      </c>
      <c r="H1350" s="6" t="n">
        <f aca="false">Sens!H1349*Sens!G1359</f>
        <v>33.5773747258583</v>
      </c>
      <c r="I1350" s="6" t="n">
        <f aca="false">Sens!I1349*Sens!H1359</f>
        <v>36.3145039439264</v>
      </c>
      <c r="J1350" s="6" t="n">
        <f aca="false">Sens!J1349*Sens!I1359</f>
        <v>39.28806310776</v>
      </c>
      <c r="K1350" s="6" t="n">
        <f aca="false">Sens!K1349*Sens!J1359</f>
        <v>42.5183633816858</v>
      </c>
      <c r="L1350" s="1" t="s">
        <v>953</v>
      </c>
    </row>
    <row r="1351" customFormat="false" ht="15" hidden="false" customHeight="false" outlineLevel="0" collapsed="false">
      <c r="A1351" s="1" t="s">
        <v>954</v>
      </c>
      <c r="B1351" s="0" t="s">
        <v>98</v>
      </c>
      <c r="E1351" s="6" t="n">
        <f aca="false">Sens!E1348-Sens!E1350</f>
        <v>37.441</v>
      </c>
      <c r="F1351" s="6" t="n">
        <f aca="false">Sens!F1348-Sens!F1350</f>
        <v>-16.1804611146865</v>
      </c>
      <c r="G1351" s="6" t="n">
        <f aca="false">Sens!G1348-Sens!G1350</f>
        <v>25.1968252902218</v>
      </c>
      <c r="H1351" s="6" t="n">
        <f aca="false">Sens!H1348-Sens!H1350</f>
        <v>79.7611487760529</v>
      </c>
      <c r="I1351" s="6" t="n">
        <f aca="false">Sens!I1348-Sens!I1350</f>
        <v>151.905993761698</v>
      </c>
      <c r="J1351" s="6" t="n">
        <f aca="false">Sens!J1348-Sens!J1350</f>
        <v>227.454592940229</v>
      </c>
      <c r="K1351" s="6" t="n">
        <f aca="false">Sens!K1348-Sens!K1350</f>
        <v>263.725999451108</v>
      </c>
    </row>
    <row r="1352" customFormat="false" ht="15" hidden="false" customHeight="false" outlineLevel="0" collapsed="false">
      <c r="A1352" s="1" t="s">
        <v>955</v>
      </c>
      <c r="B1352" s="0" t="s">
        <v>98</v>
      </c>
      <c r="F1352" s="6" t="n">
        <f aca="false">debt_mat_27</f>
        <v>9.25</v>
      </c>
      <c r="G1352" s="6" t="n">
        <f aca="false">debt_mat_28</f>
        <v>0</v>
      </c>
      <c r="H1352" s="6" t="n">
        <f aca="false">debt_mat_29</f>
        <v>2.001</v>
      </c>
      <c r="I1352" s="6" t="n">
        <f aca="false">debt_mat_30</f>
        <v>0</v>
      </c>
      <c r="J1352" s="6" t="n">
        <f aca="false">debt_mat_31</f>
        <v>0.5</v>
      </c>
      <c r="K1352" s="6" t="n">
        <f aca="false">debt_mat_32</f>
        <v>0</v>
      </c>
    </row>
    <row r="1353" customFormat="false" ht="15" hidden="false" customHeight="false" outlineLevel="0" collapsed="false">
      <c r="A1353" s="1" t="s">
        <v>956</v>
      </c>
      <c r="B1353" s="0" t="s">
        <v>98</v>
      </c>
      <c r="E1353" s="6" t="n">
        <f aca="false">Q!M40</f>
        <v>22.271</v>
      </c>
      <c r="F1353" s="6" t="n">
        <f aca="false">MAX(0,MIN(bb_target,Sens!E1355+Sens!F1351-Sens!F1352-min_cash))</f>
        <v>1.41253888531348</v>
      </c>
      <c r="G1353" s="6" t="n">
        <f aca="false">MAX(0,MIN(bb_target,Sens!F1355+Sens!G1351-Sens!G1352-min_cash))</f>
        <v>22.271</v>
      </c>
      <c r="H1353" s="6" t="n">
        <f aca="false">MAX(0,MIN(bb_target,Sens!G1355+Sens!H1351-Sens!H1352-min_cash))</f>
        <v>22.271</v>
      </c>
      <c r="I1353" s="6" t="n">
        <f aca="false">MAX(0,MIN(bb_target,Sens!H1355+Sens!I1351-Sens!I1352-min_cash))</f>
        <v>22.271</v>
      </c>
      <c r="J1353" s="6" t="n">
        <f aca="false">MAX(0,MIN(bb_target,Sens!I1355+Sens!J1351-Sens!J1352-min_cash))</f>
        <v>22.271</v>
      </c>
      <c r="K1353" s="6" t="n">
        <f aca="false">MAX(0,MIN(bb_target,Sens!J1355+Sens!K1351-Sens!K1352-min_cash))</f>
        <v>22.271</v>
      </c>
    </row>
    <row r="1354" customFormat="false" ht="15" hidden="false" customHeight="false" outlineLevel="0" collapsed="false">
      <c r="A1354" s="1" t="s">
        <v>957</v>
      </c>
      <c r="B1354" s="0" t="s">
        <v>98</v>
      </c>
      <c r="F1354" s="6" t="n">
        <f aca="false">MAX(0,min_cash-(Sens!E1355+Sens!F1351-Sens!F1352-Sens!F1353))</f>
        <v>0</v>
      </c>
      <c r="G1354" s="6" t="n">
        <f aca="false">MAX(0,min_cash-(Sens!F1355+Sens!G1351-Sens!G1352-Sens!G1353))</f>
        <v>0</v>
      </c>
      <c r="H1354" s="6" t="n">
        <f aca="false">MAX(0,min_cash-(Sens!G1355+Sens!H1351-Sens!H1352-Sens!H1353))</f>
        <v>0</v>
      </c>
      <c r="I1354" s="6" t="n">
        <f aca="false">MAX(0,min_cash-(Sens!H1355+Sens!I1351-Sens!I1352-Sens!I1353))</f>
        <v>0</v>
      </c>
      <c r="J1354" s="6" t="n">
        <f aca="false">MAX(0,min_cash-(Sens!I1355+Sens!J1351-Sens!J1352-Sens!J1353))</f>
        <v>0</v>
      </c>
      <c r="K1354" s="6" t="n">
        <f aca="false">MAX(0,min_cash-(Sens!J1355+Sens!K1351-Sens!K1352-Sens!K1353))</f>
        <v>0</v>
      </c>
    </row>
    <row r="1355" customFormat="false" ht="15" hidden="false" customHeight="false" outlineLevel="0" collapsed="false">
      <c r="A1355" s="1" t="s">
        <v>958</v>
      </c>
      <c r="B1355" s="0" t="s">
        <v>98</v>
      </c>
      <c r="E1355" s="6" t="n">
        <f aca="false">cash_open</f>
        <v>76.843</v>
      </c>
      <c r="F1355" s="6" t="n">
        <f aca="false">Sens!E1355+Sens!F1351-Sens!F1352-Sens!F1353+Sens!F1354</f>
        <v>50</v>
      </c>
      <c r="G1355" s="6" t="n">
        <f aca="false">Sens!F1355+Sens!G1351-Sens!G1352-Sens!G1353+Sens!G1354</f>
        <v>52.9258252902218</v>
      </c>
      <c r="H1355" s="6" t="n">
        <f aca="false">Sens!G1355+Sens!H1351-Sens!H1352-Sens!H1353+Sens!H1354</f>
        <v>108.414974066275</v>
      </c>
      <c r="I1355" s="6" t="n">
        <f aca="false">Sens!H1355+Sens!I1351-Sens!I1352-Sens!I1353+Sens!I1354</f>
        <v>238.049967827972</v>
      </c>
      <c r="J1355" s="6" t="n">
        <f aca="false">Sens!I1355+Sens!J1351-Sens!J1352-Sens!J1353+Sens!J1354</f>
        <v>442.733560768201</v>
      </c>
      <c r="K1355" s="6" t="n">
        <f aca="false">Sens!J1355+Sens!K1351-Sens!K1352-Sens!K1353+Sens!K1354</f>
        <v>684.188560219309</v>
      </c>
    </row>
    <row r="1356" customFormat="false" ht="15" hidden="false" customHeight="false" outlineLevel="0" collapsed="false">
      <c r="A1356" s="1" t="s">
        <v>959</v>
      </c>
      <c r="B1356" s="0" t="s">
        <v>98</v>
      </c>
      <c r="E1356" s="6" t="n">
        <f aca="false">debt_face</f>
        <v>46.136</v>
      </c>
      <c r="F1356" s="6" t="n">
        <f aca="false">Sens!E1356-Sens!F1352+Sens!F1354</f>
        <v>36.886</v>
      </c>
      <c r="G1356" s="6" t="n">
        <f aca="false">Sens!F1356-Sens!G1352+Sens!G1354</f>
        <v>36.886</v>
      </c>
      <c r="H1356" s="6" t="n">
        <f aca="false">Sens!G1356-Sens!H1352+Sens!H1354</f>
        <v>34.885</v>
      </c>
      <c r="I1356" s="6" t="n">
        <f aca="false">Sens!H1356-Sens!I1352+Sens!I1354</f>
        <v>34.885</v>
      </c>
      <c r="J1356" s="6" t="n">
        <f aca="false">Sens!I1356-Sens!J1352+Sens!J1354</f>
        <v>34.385</v>
      </c>
      <c r="K1356" s="6" t="n">
        <f aca="false">Sens!J1356-Sens!K1352+Sens!K1354</f>
        <v>34.385</v>
      </c>
    </row>
    <row r="1357" customFormat="false" ht="15" hidden="false" customHeight="false" outlineLevel="0" collapsed="false">
      <c r="A1357" s="1" t="s">
        <v>960</v>
      </c>
      <c r="B1357" s="0" t="s">
        <v>98</v>
      </c>
      <c r="E1357" s="6" t="n">
        <f aca="false">Sens!E1355-Sens!E1356</f>
        <v>30.707</v>
      </c>
      <c r="F1357" s="6" t="n">
        <f aca="false">Sens!F1355-Sens!F1356</f>
        <v>13.114</v>
      </c>
      <c r="G1357" s="6" t="n">
        <f aca="false">Sens!G1355-Sens!G1356</f>
        <v>16.0398252902218</v>
      </c>
      <c r="H1357" s="6" t="n">
        <f aca="false">Sens!H1355-Sens!H1356</f>
        <v>73.5299740662747</v>
      </c>
      <c r="I1357" s="6" t="n">
        <f aca="false">Sens!I1355-Sens!I1356</f>
        <v>203.164967827972</v>
      </c>
      <c r="J1357" s="6" t="n">
        <f aca="false">Sens!J1355-Sens!J1356</f>
        <v>408.348560768201</v>
      </c>
      <c r="K1357" s="6" t="n">
        <f aca="false">Sens!K1355-Sens!K1356</f>
        <v>649.803560219309</v>
      </c>
    </row>
    <row r="1358" customFormat="false" ht="15" hidden="false" customHeight="false" outlineLevel="0" collapsed="false">
      <c r="A1358" s="1" t="s">
        <v>961</v>
      </c>
      <c r="B1358" s="0" t="s">
        <v>75</v>
      </c>
      <c r="F1358" s="29" t="n">
        <f aca="false">px*(1+bb_g)^(Sens!F1222-base_fy-mid_yr)</f>
        <v>553.494156066711</v>
      </c>
      <c r="G1358" s="29" t="n">
        <f aca="false">px*(1+bb_g)^(Sens!G1222-base_fy-mid_yr)</f>
        <v>597.773688552047</v>
      </c>
      <c r="H1358" s="29" t="n">
        <f aca="false">px*(1+bb_g)^(Sens!H1222-base_fy-mid_yr)</f>
        <v>645.595583636211</v>
      </c>
      <c r="I1358" s="29" t="n">
        <f aca="false">px*(1+bb_g)^(Sens!I1222-base_fy-mid_yr)</f>
        <v>697.243230327108</v>
      </c>
      <c r="J1358" s="29" t="n">
        <f aca="false">px*(1+bb_g)^(Sens!J1222-base_fy-mid_yr)</f>
        <v>753.022688753277</v>
      </c>
      <c r="K1358" s="29" t="n">
        <f aca="false">px*(1+bb_g)^(Sens!K1222-base_fy-mid_yr)</f>
        <v>813.264503853539</v>
      </c>
    </row>
    <row r="1359" customFormat="false" ht="15" hidden="false" customHeight="false" outlineLevel="0" collapsed="false">
      <c r="A1359" s="1" t="s">
        <v>962</v>
      </c>
      <c r="B1359" s="1" t="s">
        <v>81</v>
      </c>
      <c r="E1359" s="14" t="n">
        <f aca="false">sh_out26</f>
        <v>7.427</v>
      </c>
      <c r="F1359" s="14" t="n">
        <f aca="false">Sens!E1359+sh_iss-Sens!F1353/Sens!F1358</f>
        <v>7.46944796061561</v>
      </c>
      <c r="G1359" s="14" t="n">
        <f aca="false">Sens!F1359+sh_iss-Sens!G1353/Sens!G1358</f>
        <v>7.4771913860515</v>
      </c>
      <c r="H1359" s="14" t="n">
        <f aca="false">Sens!G1359+sh_iss-Sens!H1353/Sens!H1358</f>
        <v>7.4876945577514</v>
      </c>
      <c r="I1359" s="14" t="n">
        <f aca="false">Sens!H1359+sh_iss-Sens!I1353/Sens!I1358</f>
        <v>7.50075305006613</v>
      </c>
      <c r="J1359" s="14" t="n">
        <f aca="false">Sens!I1359+sh_iss-Sens!J1353/Sens!J1358</f>
        <v>7.51617757998717</v>
      </c>
      <c r="K1359" s="14" t="n">
        <f aca="false">Sens!J1359+sh_iss-Sens!K1353/Sens!K1358</f>
        <v>7.53379288546961</v>
      </c>
    </row>
    <row r="1360" customFormat="false" ht="15" hidden="false" customHeight="false" outlineLevel="0" collapsed="false">
      <c r="A1360" s="1" t="s">
        <v>963</v>
      </c>
      <c r="B1360" s="1" t="s">
        <v>81</v>
      </c>
      <c r="E1360" s="14" t="n">
        <f aca="false">sh_dil26</f>
        <v>7.453</v>
      </c>
      <c r="F1360" s="14" t="n">
        <f aca="false">(Sens!E1359+Sens!F1359)/2+dil_gap</f>
        <v>7.4722239803078</v>
      </c>
      <c r="G1360" s="14" t="n">
        <f aca="false">(Sens!F1359+Sens!G1359)/2+dil_gap</f>
        <v>7.49731967333355</v>
      </c>
      <c r="H1360" s="14" t="n">
        <f aca="false">(Sens!G1359+Sens!H1359)/2+dil_gap</f>
        <v>7.50644297190145</v>
      </c>
      <c r="I1360" s="14" t="n">
        <f aca="false">(Sens!H1359+Sens!I1359)/2+dil_gap</f>
        <v>7.51822380390877</v>
      </c>
      <c r="J1360" s="14" t="n">
        <f aca="false">(Sens!I1359+Sens!J1359)/2+dil_gap</f>
        <v>7.53246531502665</v>
      </c>
      <c r="K1360" s="14" t="n">
        <f aca="false">(Sens!J1359+Sens!K1359)/2+dil_gap</f>
        <v>7.54898523272839</v>
      </c>
    </row>
    <row r="1361" customFormat="false" ht="17.15" hidden="false" customHeight="false" outlineLevel="0" collapsed="false">
      <c r="A1361" s="1" t="s">
        <v>964</v>
      </c>
      <c r="B1361" s="0" t="s">
        <v>98</v>
      </c>
      <c r="C1361" s="6" t="n">
        <f aca="false">SUM(Sens!F1351:J1351)</f>
        <v>468.138099653514</v>
      </c>
    </row>
    <row r="1362" customFormat="false" ht="15" hidden="false" customHeight="false" outlineLevel="0" collapsed="false">
      <c r="A1362" s="23" t="s">
        <v>935</v>
      </c>
      <c r="B1362" s="30" t="s">
        <v>98</v>
      </c>
      <c r="C1362" s="24" t="n">
        <f aca="false">Sens!$C$1361-(Sens!F1351+Sens!G1351+Sens!H1351+Sens!I1351+Sens!J1351)</f>
        <v>0</v>
      </c>
      <c r="D1362" s="30"/>
      <c r="E1362" s="30"/>
      <c r="F1362" s="30"/>
      <c r="G1362" s="30"/>
      <c r="H1362" s="30"/>
      <c r="I1362" s="30"/>
      <c r="J1362" s="30"/>
      <c r="K1362" s="30"/>
    </row>
    <row r="1363" customFormat="false" ht="17.15" hidden="false" customHeight="false" outlineLevel="0" collapsed="false">
      <c r="A1363" s="1" t="s">
        <v>929</v>
      </c>
      <c r="B1363" s="1" t="s">
        <v>965</v>
      </c>
      <c r="C1363" s="32" t="str">
        <f aca="false">IF(SUM(Sens!F1354:J1354)&gt;0.05,"需要舉債 "&amp;TEXT(SUM(Sens!F1354:J1354),"0.0")&amp;" 十億美元","不需舉債")&amp;"；"&amp;IF(SUM(Sens!F1353:J1353)&lt;COUNT(Sens!F1353:J1353)*bb_target-0.05,"回購較每年 "&amp;TEXT(bb_target,"0.0")&amp;" 的目標少 "&amp;TEXT(COUNT(Sens!F1353:J1353)*bb_target-SUM(Sens!F1353:J1353),"0.0")&amp;" 十億美元（"&amp;TEXT(COUNTIF(Sens!F1353:J1353,"&lt;"&amp;(bb_target-0.05)),"0")&amp;" 年減少）","回購不減")</f>
        <v>不需舉債；回購較每年 22.3 的目標少 20.9 十億美元（1 年減少）</v>
      </c>
    </row>
    <row r="1364" customFormat="false" ht="17.15" hidden="false" customHeight="false" outlineLevel="0" collapsed="false">
      <c r="A1364" s="3" t="s">
        <v>1268</v>
      </c>
    </row>
    <row r="1365" customFormat="false" ht="15" hidden="false" customHeight="false" outlineLevel="0" collapsed="false">
      <c r="A1365" s="4" t="s">
        <v>43</v>
      </c>
      <c r="B1365" s="4" t="s">
        <v>65</v>
      </c>
      <c r="C1365" s="20" t="s">
        <v>788</v>
      </c>
      <c r="D1365" s="20" t="s">
        <v>789</v>
      </c>
      <c r="E1365" s="20" t="s">
        <v>790</v>
      </c>
      <c r="F1365" s="20" t="s">
        <v>791</v>
      </c>
      <c r="G1365" s="20" t="s">
        <v>792</v>
      </c>
      <c r="H1365" s="20" t="s">
        <v>793</v>
      </c>
      <c r="I1365" s="20" t="s">
        <v>794</v>
      </c>
      <c r="J1365" s="20" t="s">
        <v>795</v>
      </c>
      <c r="K1365" s="20" t="s">
        <v>796</v>
      </c>
      <c r="L1365" s="4" t="s">
        <v>47</v>
      </c>
    </row>
    <row r="1366" customFormat="false" ht="15" hidden="false" customHeight="false" outlineLevel="0" collapsed="false">
      <c r="A1366" s="1" t="s">
        <v>1042</v>
      </c>
      <c r="B1366" s="1" t="s">
        <v>235</v>
      </c>
      <c r="F1366" s="36" t="n">
        <f aca="false">Sens!F1222-base_fy-mid_yr</f>
        <v>0.5</v>
      </c>
      <c r="G1366" s="36" t="n">
        <f aca="false">Sens!G1222-base_fy-mid_yr</f>
        <v>1.5</v>
      </c>
      <c r="H1366" s="36" t="n">
        <f aca="false">Sens!H1222-base_fy-mid_yr</f>
        <v>2.5</v>
      </c>
      <c r="I1366" s="36" t="n">
        <f aca="false">Sens!I1222-base_fy-mid_yr</f>
        <v>3.5</v>
      </c>
      <c r="J1366" s="36" t="n">
        <f aca="false">Sens!J1222-base_fy-mid_yr</f>
        <v>4.5</v>
      </c>
      <c r="K1366" s="36" t="n">
        <f aca="false">Sens!K1222-base_fy-mid_yr</f>
        <v>5.5</v>
      </c>
    </row>
    <row r="1367" customFormat="false" ht="15" hidden="false" customHeight="false" outlineLevel="0" collapsed="false">
      <c r="A1367" s="1" t="s">
        <v>1043</v>
      </c>
      <c r="B1367" s="0" t="s">
        <v>185</v>
      </c>
      <c r="F1367" s="14" t="n">
        <f aca="false">1/(1+wacc)^Sens!F1366</f>
        <v>0.952193373608246</v>
      </c>
      <c r="G1367" s="14" t="n">
        <f aca="false">1/(1+wacc)^Sens!G1366</f>
        <v>0.863327280626589</v>
      </c>
      <c r="H1367" s="14" t="n">
        <f aca="false">1/(1+wacc)^Sens!H1366</f>
        <v>0.782754862754115</v>
      </c>
      <c r="I1367" s="14" t="n">
        <f aca="false">1/(1+wacc)^Sens!I1366</f>
        <v>0.709702089711011</v>
      </c>
      <c r="J1367" s="14" t="n">
        <f aca="false">1/(1+wacc)^Sens!J1366</f>
        <v>0.643467169744551</v>
      </c>
      <c r="K1367" s="14" t="n">
        <f aca="false">1/(1+wacc)^Sens!K1366</f>
        <v>0.583413807767797</v>
      </c>
    </row>
    <row r="1368" customFormat="false" ht="17.15" hidden="false" customHeight="false" outlineLevel="0" collapsed="false">
      <c r="A1368" s="1" t="s">
        <v>1044</v>
      </c>
      <c r="B1368" s="0" t="s">
        <v>98</v>
      </c>
      <c r="F1368" s="6" t="n">
        <f aca="false">Sens!F1342-Sens!F1340-Sens!F1345+Sens!F1326*(1-tax_f)</f>
        <v>16.3478502536004</v>
      </c>
      <c r="G1368" s="6" t="n">
        <f aca="false">Sens!G1342-Sens!G1340-Sens!G1345+Sens!G1326*(1-tax_f)</f>
        <v>67.8446706870933</v>
      </c>
      <c r="H1368" s="6" t="n">
        <f aca="false">Sens!H1342-Sens!H1340-Sens!H1345+Sens!H1326*(1-tax_f)</f>
        <v>132.605141328408</v>
      </c>
      <c r="I1368" s="6" t="n">
        <f aca="false">Sens!I1342-Sens!I1340-Sens!I1345+Sens!I1326*(1-tax_f)</f>
        <v>215.444931957028</v>
      </c>
      <c r="J1368" s="6" t="n">
        <f aca="false">Sens!J1342-Sens!J1340-Sens!J1345+Sens!J1326*(1-tax_f)</f>
        <v>299.370534039435</v>
      </c>
      <c r="K1368" s="6" t="n">
        <f aca="false">Sens!K1342-Sens!K1340-Sens!K1345+Sens!K1326*(1-tax_f)</f>
        <v>341.078667089494</v>
      </c>
      <c r="L1368" s="1" t="s">
        <v>1045</v>
      </c>
    </row>
    <row r="1369" customFormat="false" ht="15" hidden="false" customHeight="false" outlineLevel="0" collapsed="false">
      <c r="A1369" s="1" t="s">
        <v>1046</v>
      </c>
      <c r="B1369" s="0" t="s">
        <v>98</v>
      </c>
      <c r="F1369" s="6" t="n">
        <f aca="false">Sens!F1368*Sens!F1367</f>
        <v>15.5663146842181</v>
      </c>
      <c r="G1369" s="6" t="n">
        <f aca="false">Sens!G1368*Sens!G1367</f>
        <v>58.5721550492947</v>
      </c>
      <c r="H1369" s="6" t="n">
        <f aca="false">Sens!H1368*Sens!H1367</f>
        <v>103.797319201008</v>
      </c>
      <c r="I1369" s="6" t="n">
        <f aca="false">Sens!I1368*Sens!I1367</f>
        <v>152.901718427549</v>
      </c>
      <c r="J1369" s="6" t="n">
        <f aca="false">Sens!J1368*Sens!J1367</f>
        <v>192.63511024327</v>
      </c>
      <c r="K1369" s="6" t="n">
        <f aca="false">Sens!K1368*Sens!K1367</f>
        <v>198.990003915046</v>
      </c>
    </row>
    <row r="1370" customFormat="false" ht="17.15" hidden="false" customHeight="false" outlineLevel="0" collapsed="false">
      <c r="A1370" s="1" t="s">
        <v>1047</v>
      </c>
      <c r="B1370" s="0" t="s">
        <v>98</v>
      </c>
      <c r="C1370" s="6" t="n">
        <f aca="false">SUM(Sens!F1369:K1369)</f>
        <v>722.462621520387</v>
      </c>
    </row>
    <row r="1371" customFormat="false" ht="17.15" hidden="false" customHeight="false" outlineLevel="0" collapsed="false">
      <c r="A1371" s="1" t="s">
        <v>1048</v>
      </c>
      <c r="B1371" s="0" t="s">
        <v>98</v>
      </c>
      <c r="C1371" s="6" t="n">
        <f aca="false">Sens!K1312*(1+g_tv)*(1-tax_f)</f>
        <v>353.75292538821</v>
      </c>
    </row>
    <row r="1372" customFormat="false" ht="17.15" hidden="false" customHeight="false" outlineLevel="0" collapsed="false">
      <c r="A1372" s="1" t="s">
        <v>1049</v>
      </c>
      <c r="B1372" s="0" t="s">
        <v>98</v>
      </c>
      <c r="C1372" s="6" t="n">
        <f aca="false">Sens!$C$1371*(1-g_tv/(wacc+ronic_prem))</f>
        <v>250.652448870532</v>
      </c>
    </row>
    <row r="1373" customFormat="false" ht="17.15" hidden="false" customHeight="false" outlineLevel="0" collapsed="false">
      <c r="A1373" s="1" t="s">
        <v>1050</v>
      </c>
      <c r="B1373" s="0" t="s">
        <v>98</v>
      </c>
      <c r="C1373" s="6" t="n">
        <f aca="false">Sens!$C$1372/(wacc-g_tv)</f>
        <v>3436.68255058925</v>
      </c>
    </row>
    <row r="1374" customFormat="false" ht="15" hidden="false" customHeight="false" outlineLevel="0" collapsed="false">
      <c r="A1374" s="1" t="s">
        <v>1051</v>
      </c>
      <c r="B1374" s="0" t="s">
        <v>98</v>
      </c>
      <c r="C1374" s="6" t="n">
        <f aca="false">Sens!$C$1373/(1+wacc)^(Sens!K1366+mid_yr)</f>
        <v>1909.15538202961</v>
      </c>
    </row>
    <row r="1375" customFormat="false" ht="17.15" hidden="false" customHeight="false" outlineLevel="0" collapsed="false">
      <c r="A1375" s="0" t="s">
        <v>972</v>
      </c>
      <c r="B1375" s="0" t="s">
        <v>98</v>
      </c>
      <c r="C1375" s="6" t="n">
        <f aca="false">Sens!$C$1370+Sens!$C$1374</f>
        <v>2631.61800355</v>
      </c>
    </row>
    <row r="1376" customFormat="false" ht="15" hidden="false" customHeight="false" outlineLevel="0" collapsed="false">
      <c r="A1376" s="1" t="s">
        <v>973</v>
      </c>
      <c r="B1376" s="0" t="s">
        <v>129</v>
      </c>
      <c r="C1376" s="7" t="n">
        <f aca="false">Sens!$C$1374/Sens!$C$1375</f>
        <v>0.725468278243347</v>
      </c>
    </row>
    <row r="1377" customFormat="false" ht="17.15" hidden="false" customHeight="false" outlineLevel="0" collapsed="false">
      <c r="A1377" s="1" t="s">
        <v>1052</v>
      </c>
      <c r="B1377" s="0" t="s">
        <v>98</v>
      </c>
      <c r="C1377" s="6" t="n">
        <f aca="false">Sens!$C$1375+Sens!E1357-Sens!E1346+oai_v</f>
        <v>2766.13100355</v>
      </c>
    </row>
    <row r="1378" customFormat="false" ht="17.15" hidden="false" customHeight="false" outlineLevel="0" collapsed="false">
      <c r="A1378" s="0" t="s">
        <v>980</v>
      </c>
      <c r="B1378" s="0" t="s">
        <v>75</v>
      </c>
      <c r="C1378" s="5" t="n">
        <f aca="false">Sens!$C$1377/sh_dil26</f>
        <v>371.143298477123</v>
      </c>
    </row>
    <row r="1379" customFormat="false" ht="15" hidden="false" customHeight="false" outlineLevel="0" collapsed="false">
      <c r="A1379" s="1" t="s">
        <v>1053</v>
      </c>
      <c r="B1379" s="0" t="s">
        <v>75</v>
      </c>
      <c r="C1379" s="8" t="n">
        <f aca="false">dps_27+Sens!G1349*roll_div_q/q_per_yr</f>
        <v>4.8895</v>
      </c>
    </row>
    <row r="1380" customFormat="false" ht="17.15" hidden="false" customHeight="false" outlineLevel="0" collapsed="false">
      <c r="A1380" s="0" t="s">
        <v>1054</v>
      </c>
      <c r="B1380" s="0" t="s">
        <v>75</v>
      </c>
      <c r="C1380" s="5" t="n">
        <f aca="false">Sens!$C$1378*(1+wacc)^t_roll-Sens!$C$1379</f>
        <v>417.743766274619</v>
      </c>
    </row>
    <row r="1381" customFormat="false" ht="17.15" hidden="false" customHeight="false" outlineLevel="0" collapsed="false">
      <c r="A1381" s="1" t="s">
        <v>1055</v>
      </c>
      <c r="B1381" s="0" t="s">
        <v>129</v>
      </c>
      <c r="F1381" s="7" t="n">
        <f aca="false">Sens!F1338/(Sens!F1283-Sens!F1239)</f>
        <v>0.0681773598226415</v>
      </c>
      <c r="G1381" s="7" t="n">
        <f aca="false">Sens!G1338/(Sens!G1283-Sens!G1239)</f>
        <v>0.0650385409375172</v>
      </c>
      <c r="H1381" s="7" t="n">
        <f aca="false">Sens!H1338/(Sens!H1283-Sens!H1239)</f>
        <v>0.063382542471986</v>
      </c>
      <c r="I1381" s="7" t="n">
        <f aca="false">Sens!I1338/(Sens!I1283-Sens!I1239)</f>
        <v>0.0630998138876076</v>
      </c>
      <c r="J1381" s="7" t="n">
        <f aca="false">Sens!J1338/(Sens!J1283-Sens!J1239)</f>
        <v>0.0638399980286975</v>
      </c>
      <c r="K1381" s="7" t="n">
        <f aca="false">Sens!K1338/(Sens!K1283-Sens!K1239)</f>
        <v>0.0651531082402687</v>
      </c>
    </row>
    <row r="1382" customFormat="false" ht="17.15" hidden="false" customHeight="false" outlineLevel="0" collapsed="false">
      <c r="A1382" s="0" t="s">
        <v>1056</v>
      </c>
      <c r="B1382" s="0" t="s">
        <v>98</v>
      </c>
      <c r="F1382" s="6" t="n">
        <f aca="false">Sens!F1268*(al_m365+Sens!F1381+sbc_r)</f>
        <v>84.944046606333</v>
      </c>
      <c r="G1382" s="6" t="n">
        <f aca="false">Sens!G1268*(al_m365+Sens!G1381+sbc_r)</f>
        <v>99.4236143320739</v>
      </c>
      <c r="H1382" s="6" t="n">
        <f aca="false">Sens!H1268*(al_m365+Sens!H1381+sbc_r)</f>
        <v>114.068697186163</v>
      </c>
      <c r="I1382" s="6" t="n">
        <f aca="false">Sens!I1268*(al_m365+Sens!I1381+sbc_r)</f>
        <v>127.196415789369</v>
      </c>
      <c r="J1382" s="6" t="n">
        <f aca="false">Sens!J1268*(al_m365+Sens!J1381+sbc_r)</f>
        <v>138.619575691419</v>
      </c>
      <c r="K1382" s="6" t="n">
        <f aca="false">Sens!K1268*(al_m365+Sens!K1381+sbc_r)</f>
        <v>149.659768267063</v>
      </c>
      <c r="L1382" s="11" t="s">
        <v>1057</v>
      </c>
    </row>
    <row r="1383" customFormat="false" ht="17.15" hidden="false" customHeight="false" outlineLevel="0" collapsed="false">
      <c r="A1383" s="0" t="s">
        <v>1058</v>
      </c>
      <c r="B1383" s="0" t="s">
        <v>98</v>
      </c>
      <c r="F1383" s="6" t="n">
        <f aca="false">Sens!F1269*(al_lic+Sens!F1381+sbc_r)</f>
        <v>33.4285095904825</v>
      </c>
      <c r="G1383" s="6" t="n">
        <f aca="false">Sens!G1269*(al_lic+Sens!G1381+sbc_r)</f>
        <v>34.7161826947861</v>
      </c>
      <c r="H1383" s="6" t="n">
        <f aca="false">Sens!H1269*(al_lic+Sens!H1381+sbc_r)</f>
        <v>35.9223654002493</v>
      </c>
      <c r="I1383" s="6" t="n">
        <f aca="false">Sens!I1269*(al_lic+Sens!I1381+sbc_r)</f>
        <v>37.0298325864501</v>
      </c>
      <c r="J1383" s="6" t="n">
        <f aca="false">Sens!J1269*(al_lic+Sens!J1381+sbc_r)</f>
        <v>38.0103325842314</v>
      </c>
      <c r="K1383" s="6" t="n">
        <f aca="false">Sens!K1269*(al_lic+Sens!K1381+sbc_r)</f>
        <v>38.8303473189322</v>
      </c>
    </row>
    <row r="1384" customFormat="false" ht="17.15" hidden="false" customHeight="false" outlineLevel="0" collapsed="false">
      <c r="A1384" s="0" t="s">
        <v>1059</v>
      </c>
      <c r="B1384" s="0" t="s">
        <v>98</v>
      </c>
      <c r="F1384" s="6" t="n">
        <f aca="false">Sens!F1271*(al_ind+Sens!F1381+sbc_r)</f>
        <v>9.06719306746208</v>
      </c>
      <c r="G1384" s="6" t="n">
        <f aca="false">Sens!G1271*(al_ind+Sens!G1381+sbc_r)</f>
        <v>9.83485541633448</v>
      </c>
      <c r="H1384" s="6" t="n">
        <f aca="false">Sens!H1271*(al_ind+Sens!H1381+sbc_r)</f>
        <v>10.6498544617516</v>
      </c>
      <c r="I1384" s="6" t="n">
        <f aca="false">Sens!I1271*(al_ind+Sens!I1381+sbc_r)</f>
        <v>11.5103515303299</v>
      </c>
      <c r="J1384" s="6" t="n">
        <f aca="false">Sens!J1271*(al_ind+Sens!J1381+sbc_r)</f>
        <v>12.4055032067278</v>
      </c>
      <c r="K1384" s="6" t="n">
        <f aca="false">Sens!K1271*(al_ind+Sens!K1381+sbc_r)</f>
        <v>13.3173308472897</v>
      </c>
    </row>
    <row r="1385" customFormat="false" ht="17.15" hidden="false" customHeight="false" outlineLevel="0" collapsed="false">
      <c r="A1385" s="0" t="s">
        <v>1060</v>
      </c>
      <c r="B1385" s="0" t="s">
        <v>98</v>
      </c>
      <c r="F1385" s="6" t="n">
        <f aca="false">Sens!F1273*(al_fro+Sens!F1381+sbc_r)</f>
        <v>3.56887902446295</v>
      </c>
      <c r="G1385" s="6" t="n">
        <f aca="false">Sens!G1273*(al_fro+Sens!G1381+sbc_r)</f>
        <v>3.77600302676241</v>
      </c>
      <c r="H1385" s="6" t="n">
        <f aca="false">Sens!H1273*(al_fro+Sens!H1381+sbc_r)</f>
        <v>4.01322967965482</v>
      </c>
      <c r="I1385" s="6" t="n">
        <f aca="false">Sens!I1273*(al_fro+Sens!I1381+sbc_r)</f>
        <v>4.28368437397841</v>
      </c>
      <c r="J1385" s="6" t="n">
        <f aca="false">Sens!J1273*(al_fro+Sens!J1381+sbc_r)</f>
        <v>4.58803182845156</v>
      </c>
      <c r="K1385" s="6" t="n">
        <f aca="false">Sens!K1273*(al_fro+Sens!K1381+sbc_r)</f>
        <v>4.92526073140255</v>
      </c>
    </row>
    <row r="1386" customFormat="false" ht="17.15" hidden="false" customHeight="false" outlineLevel="0" collapsed="false">
      <c r="A1386" s="0" t="s">
        <v>1061</v>
      </c>
      <c r="B1386" s="0" t="s">
        <v>98</v>
      </c>
      <c r="F1386" s="6" t="n">
        <f aca="false">Sens!F1276*(al_srch+Sens!F1381+sbc_r)</f>
        <v>11.1981144415922</v>
      </c>
      <c r="G1386" s="6" t="n">
        <f aca="false">Sens!G1276*(al_srch+Sens!G1381+sbc_r)</f>
        <v>12.2607925441521</v>
      </c>
      <c r="H1386" s="6" t="n">
        <f aca="false">Sens!H1276*(al_srch+Sens!H1381+sbc_r)</f>
        <v>13.3712787172501</v>
      </c>
      <c r="I1386" s="6" t="n">
        <f aca="false">Sens!I1276*(al_srch+Sens!I1381+sbc_r)</f>
        <v>14.5205713773955</v>
      </c>
      <c r="J1386" s="6" t="n">
        <f aca="false">Sens!J1276*(al_srch+Sens!J1381+sbc_r)</f>
        <v>15.6873363367184</v>
      </c>
      <c r="K1386" s="6" t="n">
        <f aca="false">Sens!K1276*(al_srch+Sens!K1381+sbc_r)</f>
        <v>16.8403848378749</v>
      </c>
    </row>
    <row r="1387" customFormat="false" ht="17.15" hidden="false" customHeight="false" outlineLevel="0" collapsed="false">
      <c r="A1387" s="0" t="s">
        <v>1062</v>
      </c>
      <c r="B1387" s="0" t="s">
        <v>98</v>
      </c>
      <c r="F1387" s="6" t="n">
        <f aca="false">Sens!F1245-Sens!F1246+Sens!F1326</f>
        <v>64.4841681785423</v>
      </c>
      <c r="G1387" s="6" t="n">
        <f aca="false">Sens!G1245-Sens!G1246+Sens!G1326</f>
        <v>115.458675941873</v>
      </c>
      <c r="H1387" s="6" t="n">
        <f aca="false">Sens!H1245-Sens!H1246+Sens!H1326</f>
        <v>174.780391644475</v>
      </c>
      <c r="I1387" s="6" t="n">
        <f aca="false">Sens!I1245-Sens!I1246+Sens!I1326</f>
        <v>222.147295538884</v>
      </c>
      <c r="J1387" s="6" t="n">
        <f aca="false">Sens!J1245-Sens!J1246+Sens!J1326</f>
        <v>255.498501742454</v>
      </c>
      <c r="K1387" s="6" t="n">
        <f aca="false">Sens!K1245-Sens!K1246+Sens!K1326</f>
        <v>275.795780052148</v>
      </c>
    </row>
    <row r="1388" customFormat="false" ht="17.15" hidden="false" customHeight="false" outlineLevel="0" collapsed="false">
      <c r="A1388" s="0" t="s">
        <v>1063</v>
      </c>
      <c r="B1388" s="0" t="s">
        <v>98</v>
      </c>
      <c r="F1388" s="6" t="n">
        <f aca="false">Sens!F1305+Sens!F1326+Sens!F1256+Sens!F1381*(Sens!F1275-Sens!F1239)+sbc_r*Sens!F1275</f>
        <v>256.908508019342</v>
      </c>
      <c r="G1388" s="6" t="n">
        <f aca="false">Sens!G1305+Sens!G1326+Sens!G1256+Sens!G1381*(Sens!G1275-Sens!G1239)+sbc_r*Sens!G1275</f>
        <v>337.399649359095</v>
      </c>
      <c r="H1388" s="6" t="n">
        <f aca="false">Sens!H1305+Sens!H1326+Sens!H1256+Sens!H1381*(Sens!H1275-Sens!H1239)+sbc_r*Sens!H1275</f>
        <v>426.976504351489</v>
      </c>
      <c r="I1388" s="6" t="n">
        <f aca="false">Sens!I1305+Sens!I1326+Sens!I1256+Sens!I1381*(Sens!I1275-Sens!I1239)+sbc_r*Sens!I1275</f>
        <v>502.467771528599</v>
      </c>
      <c r="J1388" s="6" t="n">
        <f aca="false">Sens!J1305+Sens!J1326+Sens!J1256+Sens!J1381*(Sens!J1275-Sens!J1239)+sbc_r*Sens!J1275</f>
        <v>560.916089323892</v>
      </c>
      <c r="K1388" s="6" t="n">
        <f aca="false">Sens!K1305+Sens!K1326+Sens!K1256+Sens!K1381*(Sens!K1275-Sens!K1239)+sbc_r*Sens!K1275</f>
        <v>603.833128032268</v>
      </c>
    </row>
    <row r="1389" customFormat="false" ht="17.15" hidden="false" customHeight="false" outlineLevel="0" collapsed="false">
      <c r="A1389" s="0" t="s">
        <v>1064</v>
      </c>
      <c r="B1389" s="0" t="s">
        <v>98</v>
      </c>
      <c r="F1389" s="6" t="n">
        <f aca="false">Sens!F1388-Sens!F1382-Sens!F1383-Sens!F1384-Sens!F1385-Sens!F1387</f>
        <v>61.4157115520595</v>
      </c>
      <c r="G1389" s="6" t="n">
        <f aca="false">Sens!G1388-Sens!G1382-Sens!G1383-Sens!G1384-Sens!G1385-Sens!G1387</f>
        <v>74.1903179472645</v>
      </c>
      <c r="H1389" s="6" t="n">
        <f aca="false">Sens!H1388-Sens!H1382-Sens!H1383-Sens!H1384-Sens!H1385-Sens!H1387</f>
        <v>87.5419659791951</v>
      </c>
      <c r="I1389" s="6" t="n">
        <f aca="false">Sens!I1388-Sens!I1382-Sens!I1383-Sens!I1384-Sens!I1385-Sens!I1387</f>
        <v>100.300191709588</v>
      </c>
      <c r="J1389" s="6" t="n">
        <f aca="false">Sens!J1388-Sens!J1382-Sens!J1383-Sens!J1384-Sens!J1385-Sens!J1387</f>
        <v>111.794144270609</v>
      </c>
      <c r="K1389" s="6" t="n">
        <f aca="false">Sens!K1388-Sens!K1382-Sens!K1383-Sens!K1384-Sens!K1385-Sens!K1387</f>
        <v>121.304640815433</v>
      </c>
    </row>
    <row r="1390" customFormat="false" ht="17.15" hidden="false" customHeight="false" outlineLevel="0" collapsed="false">
      <c r="A1390" s="0" t="s">
        <v>1065</v>
      </c>
      <c r="B1390" s="0" t="s">
        <v>98</v>
      </c>
      <c r="F1390" s="6" t="n">
        <f aca="false">Sens!F1307+Sens!F1381*Sens!F1282+sbc_r*Sens!F1282</f>
        <v>26.1717931813002</v>
      </c>
      <c r="G1390" s="6" t="n">
        <f aca="false">Sens!G1307+Sens!G1381*Sens!G1282+sbc_r*Sens!G1282</f>
        <v>26.7581197754446</v>
      </c>
      <c r="H1390" s="6" t="n">
        <f aca="false">Sens!H1307+Sens!H1381*Sens!H1282+sbc_r*Sens!H1282</f>
        <v>27.6201174920951</v>
      </c>
      <c r="I1390" s="6" t="n">
        <f aca="false">Sens!I1307+Sens!I1381*Sens!I1282+sbc_r*Sens!I1282</f>
        <v>28.7296306530919</v>
      </c>
      <c r="J1390" s="6" t="n">
        <f aca="false">Sens!J1307+Sens!J1381*Sens!J1282+sbc_r*Sens!J1282</f>
        <v>30.04749983899</v>
      </c>
      <c r="K1390" s="6" t="n">
        <f aca="false">Sens!K1307+Sens!K1381*Sens!K1282+sbc_r*Sens!K1282</f>
        <v>31.5292329023825</v>
      </c>
    </row>
    <row r="1391" customFormat="false" ht="17.15" hidden="false" customHeight="false" outlineLevel="0" collapsed="false">
      <c r="A1391" s="0" t="s">
        <v>1066</v>
      </c>
      <c r="B1391" s="0" t="s">
        <v>98</v>
      </c>
      <c r="F1391" s="6" t="n">
        <f aca="false">(Sens!F1390-Sens!F1386)*Sens!F1278/(Sens!F1278+Sens!F1280)</f>
        <v>8.20842484359027</v>
      </c>
      <c r="G1391" s="6" t="n">
        <f aca="false">(Sens!G1390-Sens!G1386)*Sens!G1278/(Sens!G1278+Sens!G1280)</f>
        <v>7.80559384110416</v>
      </c>
      <c r="H1391" s="6" t="n">
        <f aca="false">(Sens!H1390-Sens!H1386)*Sens!H1278/(Sens!H1278+Sens!H1280)</f>
        <v>7.56817041839156</v>
      </c>
      <c r="I1391" s="6" t="n">
        <f aca="false">(Sens!I1390-Sens!I1386)*Sens!I1278/(Sens!I1278+Sens!I1280)</f>
        <v>7.47875608696462</v>
      </c>
      <c r="J1391" s="6" t="n">
        <f aca="false">(Sens!J1390-Sens!J1386)*Sens!J1278/(Sens!J1278+Sens!J1280)</f>
        <v>7.52410955955578</v>
      </c>
      <c r="K1391" s="6" t="n">
        <f aca="false">(Sens!K1390-Sens!K1386)*Sens!K1278/(Sens!K1278+Sens!K1280)</f>
        <v>7.6963261681206</v>
      </c>
    </row>
    <row r="1392" customFormat="false" ht="17.15" hidden="false" customHeight="false" outlineLevel="0" collapsed="false">
      <c r="A1392" s="0" t="s">
        <v>1067</v>
      </c>
      <c r="B1392" s="0" t="s">
        <v>98</v>
      </c>
      <c r="F1392" s="6" t="n">
        <f aca="false">Sens!F1390-Sens!F1386-Sens!F1391</f>
        <v>6.76525389611778</v>
      </c>
      <c r="G1392" s="6" t="n">
        <f aca="false">Sens!G1390-Sens!G1386-Sens!G1391</f>
        <v>6.69173339018827</v>
      </c>
      <c r="H1392" s="6" t="n">
        <f aca="false">Sens!H1390-Sens!H1386-Sens!H1391</f>
        <v>6.68066835645346</v>
      </c>
      <c r="I1392" s="6" t="n">
        <f aca="false">Sens!I1390-Sens!I1386-Sens!I1391</f>
        <v>6.73030318873177</v>
      </c>
      <c r="J1392" s="6" t="n">
        <f aca="false">Sens!J1390-Sens!J1386-Sens!J1391</f>
        <v>6.83605394271588</v>
      </c>
      <c r="K1392" s="6" t="n">
        <f aca="false">Sens!K1390-Sens!K1386-Sens!K1391</f>
        <v>6.99252189638696</v>
      </c>
    </row>
    <row r="1393" customFormat="false" ht="17.15" hidden="false" customHeight="false" outlineLevel="0" collapsed="false">
      <c r="A1393" s="0" t="s">
        <v>1068</v>
      </c>
      <c r="B1393" s="0" t="s">
        <v>98</v>
      </c>
      <c r="F1393" s="6" t="n">
        <f aca="false">Sens!F1387-tax_f*(Sens!F1387-Sens!F1256)-Sens!F1253</f>
        <v>-109.93771113643</v>
      </c>
      <c r="G1393" s="6" t="n">
        <f aca="false">Sens!G1387-tax_f*(Sens!G1387-Sens!G1256)-Sens!G1253</f>
        <v>-79.1108930776335</v>
      </c>
      <c r="H1393" s="6" t="n">
        <f aca="false">Sens!H1387-tax_f*(Sens!H1387-Sens!H1256)-Sens!H1253</f>
        <v>-30.7125093961922</v>
      </c>
      <c r="I1393" s="6" t="n">
        <f aca="false">Sens!I1387-tax_f*(Sens!I1387-Sens!I1256)-Sens!I1253</f>
        <v>36.4035752733059</v>
      </c>
      <c r="J1393" s="6" t="n">
        <f aca="false">Sens!J1387-tax_f*(Sens!J1387-Sens!J1256)-Sens!J1253</f>
        <v>105.718066860406</v>
      </c>
      <c r="K1393" s="6" t="n">
        <f aca="false">Sens!K1387-tax_f*(Sens!K1387-Sens!K1256)-Sens!K1253</f>
        <v>133.601717760677</v>
      </c>
    </row>
    <row r="1394" customFormat="false" ht="17.15" hidden="false" customHeight="false" outlineLevel="0" collapsed="false">
      <c r="A1394" s="0" t="s">
        <v>1069</v>
      </c>
      <c r="B1394" s="0" t="s">
        <v>98</v>
      </c>
      <c r="F1394" s="6" t="n">
        <f aca="false">Sens!F1393*Sens!F1367</f>
        <v>-104.681960053766</v>
      </c>
      <c r="G1394" s="6" t="n">
        <f aca="false">Sens!G1393*Sens!G1367</f>
        <v>-68.2985921886542</v>
      </c>
      <c r="H1394" s="6" t="n">
        <f aca="false">Sens!H1393*Sens!H1367</f>
        <v>-24.0403660772509</v>
      </c>
      <c r="I1394" s="6" t="n">
        <f aca="false">Sens!I1393*Sens!I1367</f>
        <v>25.8356934444172</v>
      </c>
      <c r="J1394" s="6" t="n">
        <f aca="false">Sens!J1393*Sens!J1367</f>
        <v>68.0261052735305</v>
      </c>
      <c r="K1394" s="6" t="n">
        <f aca="false">Sens!K1393*Sens!K1367</f>
        <v>77.945086883075</v>
      </c>
    </row>
    <row r="1395" customFormat="false" ht="17.15" hidden="false" customHeight="false" outlineLevel="0" collapsed="false">
      <c r="A1395" s="0" t="s">
        <v>1070</v>
      </c>
      <c r="B1395" s="0" t="s">
        <v>98</v>
      </c>
      <c r="C1395" s="6" t="n">
        <f aca="false">(Sens!K1387-Sens!K1256)*(1-tax_f)*(1+g_tv)*(1-g_tv/(wacc+ronic_prem))/(wacc-g_tv)/(1+wacc)^(Sens!K1366+mid_yr)</f>
        <v>605.563761861429</v>
      </c>
    </row>
    <row r="1396" customFormat="false" ht="17.15" hidden="false" customHeight="false" outlineLevel="0" collapsed="false">
      <c r="A1396" s="1" t="s">
        <v>1071</v>
      </c>
      <c r="B1396" s="0" t="s">
        <v>98</v>
      </c>
      <c r="C1396" s="6" t="n">
        <f aca="false">(SUM(Sens!F1394:K1394)+Sens!$C$1395)*(1+wacc)^t_roll</f>
        <v>660.863614177105</v>
      </c>
      <c r="L1396" s="11" t="s">
        <v>1072</v>
      </c>
    </row>
    <row r="1397" customFormat="false" ht="17.15" hidden="false" customHeight="false" outlineLevel="0" collapsed="false">
      <c r="A1397" s="1" t="s">
        <v>1073</v>
      </c>
      <c r="B1397" s="0" t="s">
        <v>98</v>
      </c>
      <c r="C1397" s="6" t="n">
        <f aca="false">(w_ntm28*Sens!G1245+(1-w_ntm28)*Sens!H1245)*m_ai</f>
        <v>657.030532612473</v>
      </c>
    </row>
    <row r="1398" customFormat="false" ht="17.15" hidden="false" customHeight="false" outlineLevel="0" collapsed="false">
      <c r="A1398" s="1" t="s">
        <v>1074</v>
      </c>
      <c r="B1398" s="0" t="s">
        <v>98</v>
      </c>
      <c r="C1398" s="6" t="n">
        <f aca="false">(w_ntm28*Sens!G1389+(1-w_ntm28)*Sens!H1389)*m_cloud</f>
        <v>1084.9631626464</v>
      </c>
    </row>
    <row r="1399" customFormat="false" ht="17.15" hidden="false" customHeight="false" outlineLevel="0" collapsed="false">
      <c r="A1399" s="1" t="s">
        <v>1075</v>
      </c>
      <c r="B1399" s="0" t="s">
        <v>98</v>
      </c>
      <c r="C1399" s="6" t="n">
        <f aca="false">(w_ntm28*Sens!G1382+(1-w_ntm28)*Sens!H1382)*m_sw</f>
        <v>1124.90844188024</v>
      </c>
    </row>
    <row r="1400" customFormat="false" ht="17.15" hidden="false" customHeight="false" outlineLevel="0" collapsed="false">
      <c r="A1400" s="1" t="s">
        <v>1076</v>
      </c>
      <c r="B1400" s="0" t="s">
        <v>98</v>
      </c>
      <c r="C1400" s="6" t="n">
        <f aca="false">(w_ntm28*Sens!G1383+(1-w_ntm28)*Sens!H1383)*m_sw</f>
        <v>379.14616828134</v>
      </c>
    </row>
    <row r="1401" customFormat="false" ht="17.15" hidden="false" customHeight="false" outlineLevel="0" collapsed="false">
      <c r="A1401" s="1" t="s">
        <v>1077</v>
      </c>
      <c r="B1401" s="0" t="s">
        <v>98</v>
      </c>
      <c r="C1401" s="6" t="n">
        <f aca="false">(w_ntm28*Sens!G1384+(1-w_ntm28)*Sens!H1384)*m_sw</f>
        <v>109.062013245671</v>
      </c>
    </row>
    <row r="1402" customFormat="false" ht="17.15" hidden="false" customHeight="false" outlineLevel="0" collapsed="false">
      <c r="A1402" s="1" t="s">
        <v>1078</v>
      </c>
      <c r="B1402" s="0" t="s">
        <v>98</v>
      </c>
      <c r="C1402" s="6" t="n">
        <f aca="false">(w_ntm28*Sens!G1385+(1-w_ntm28)*Sens!H1385)*m_sw</f>
        <v>41.609111172448</v>
      </c>
    </row>
    <row r="1403" customFormat="false" ht="17.15" hidden="false" customHeight="false" outlineLevel="0" collapsed="false">
      <c r="A1403" s="1" t="s">
        <v>1079</v>
      </c>
      <c r="B1403" s="0" t="s">
        <v>98</v>
      </c>
      <c r="C1403" s="6" t="n">
        <f aca="false">(w_ntm28*Sens!G1386+(1-w_ntm28)*Sens!H1386)*m_ads</f>
        <v>114.966369190532</v>
      </c>
    </row>
    <row r="1404" customFormat="false" ht="17.15" hidden="false" customHeight="false" outlineLevel="0" collapsed="false">
      <c r="A1404" s="1" t="s">
        <v>1080</v>
      </c>
      <c r="B1404" s="0" t="s">
        <v>98</v>
      </c>
      <c r="C1404" s="6" t="n">
        <f aca="false">(w_ntm28*Sens!G1391+(1-w_ntm28)*Sens!H1391)*m_game</f>
        <v>97.6152211068291</v>
      </c>
    </row>
    <row r="1405" customFormat="false" ht="17.15" hidden="false" customHeight="false" outlineLevel="0" collapsed="false">
      <c r="A1405" s="1" t="s">
        <v>1081</v>
      </c>
      <c r="B1405" s="0" t="s">
        <v>98</v>
      </c>
      <c r="C1405" s="6" t="n">
        <f aca="false">(w_ntm28*Sens!G1392+(1-w_ntm28)*Sens!H1392)*m_pc</f>
        <v>96.7776202313644</v>
      </c>
    </row>
    <row r="1406" customFormat="false" ht="17.15" hidden="false" customHeight="false" outlineLevel="0" collapsed="false">
      <c r="A1406" s="1" t="s">
        <v>1082</v>
      </c>
      <c r="B1406" s="0" t="s">
        <v>98</v>
      </c>
      <c r="C1406" s="6" t="n">
        <f aca="false">Sens!$C$1396+Sens!$C$1398+Sens!$C$1399+Sens!$C$1400+Sens!$C$1401+Sens!$C$1402+Sens!$C$1403+Sens!$C$1404+Sens!$C$1405</f>
        <v>3709.91172193193</v>
      </c>
    </row>
    <row r="1407" customFormat="false" ht="17.15" hidden="false" customHeight="false" outlineLevel="0" collapsed="false">
      <c r="A1407" s="1" t="s">
        <v>1000</v>
      </c>
      <c r="B1407" s="0" t="s">
        <v>98</v>
      </c>
      <c r="C1407" s="6" t="n">
        <f aca="false">Sens!F1357+oai_v-Sens!F1346</f>
        <v>121.04427</v>
      </c>
      <c r="L1407" s="1" t="s">
        <v>1083</v>
      </c>
    </row>
    <row r="1408" customFormat="false" ht="15" hidden="false" customHeight="false" outlineLevel="0" collapsed="false">
      <c r="A1408" s="1" t="s">
        <v>1001</v>
      </c>
      <c r="B1408" s="0" t="s">
        <v>75</v>
      </c>
      <c r="C1408" s="5" t="n">
        <f aca="false">(Sens!$C$1406+Sens!$C$1407)/Sens!F1359</f>
        <v>512.883416837701</v>
      </c>
    </row>
    <row r="1409" customFormat="false" ht="17.15" hidden="false" customHeight="false" outlineLevel="0" collapsed="false">
      <c r="A1409" s="1" t="s">
        <v>1084</v>
      </c>
      <c r="B1409" s="0" t="s">
        <v>75</v>
      </c>
      <c r="C1409" s="5" t="n">
        <f aca="false">w_dcf*Sens!$C$1380+(1-w_dcf)*Sens!$C$1408</f>
        <v>465.31359155616</v>
      </c>
    </row>
    <row r="1410" customFormat="false" ht="17.15" hidden="false" customHeight="false" outlineLevel="0" collapsed="false">
      <c r="A1410" s="3" t="s">
        <v>1269</v>
      </c>
    </row>
    <row r="1411" customFormat="false" ht="15" hidden="false" customHeight="false" outlineLevel="0" collapsed="false">
      <c r="A1411" s="4" t="s">
        <v>43</v>
      </c>
      <c r="B1411" s="4" t="s">
        <v>65</v>
      </c>
      <c r="C1411" s="20" t="s">
        <v>788</v>
      </c>
      <c r="D1411" s="20" t="s">
        <v>789</v>
      </c>
      <c r="E1411" s="20" t="s">
        <v>790</v>
      </c>
      <c r="F1411" s="20" t="s">
        <v>791</v>
      </c>
      <c r="G1411" s="20" t="s">
        <v>792</v>
      </c>
      <c r="H1411" s="20" t="s">
        <v>793</v>
      </c>
      <c r="I1411" s="20" t="s">
        <v>794</v>
      </c>
      <c r="J1411" s="20" t="s">
        <v>795</v>
      </c>
      <c r="K1411" s="20" t="s">
        <v>796</v>
      </c>
      <c r="L1411" s="4" t="s">
        <v>47</v>
      </c>
    </row>
    <row r="1412" customFormat="false" ht="17.15" hidden="false" customHeight="false" outlineLevel="0" collapsed="false">
      <c r="A1412" s="1" t="s">
        <v>797</v>
      </c>
      <c r="B1412" s="1" t="s">
        <v>235</v>
      </c>
      <c r="C1412" s="28" t="n">
        <v>2024</v>
      </c>
      <c r="D1412" s="28" t="n">
        <v>2025</v>
      </c>
      <c r="E1412" s="28" t="n">
        <v>2026</v>
      </c>
      <c r="F1412" s="28" t="n">
        <v>2027</v>
      </c>
      <c r="G1412" s="28" t="n">
        <v>2028</v>
      </c>
      <c r="H1412" s="28" t="n">
        <v>2029</v>
      </c>
      <c r="I1412" s="28" t="n">
        <v>2030</v>
      </c>
      <c r="J1412" s="28" t="n">
        <v>2031</v>
      </c>
      <c r="K1412" s="28" t="n">
        <v>2032</v>
      </c>
    </row>
    <row r="1413" customFormat="false" ht="17.15" hidden="false" customHeight="false" outlineLevel="0" collapsed="false">
      <c r="A1413" s="1" t="s">
        <v>798</v>
      </c>
      <c r="B1413" s="0" t="s">
        <v>392</v>
      </c>
      <c r="F1413" s="29" t="n">
        <f aca="false">pace</f>
        <v>2527.2</v>
      </c>
      <c r="G1413" s="29" t="n">
        <f aca="false">pace</f>
        <v>2527.2</v>
      </c>
      <c r="H1413" s="29" t="n">
        <f aca="false">pace</f>
        <v>2527.2</v>
      </c>
      <c r="I1413" s="29" t="n">
        <f aca="false">pace+(g_tv*Sens!H1414-pace)*MIN(1,(Sens!I1412-pace_y0)/(pace_y1-pace_y0))</f>
        <v>1793.116</v>
      </c>
      <c r="J1413" s="29" t="n">
        <f aca="false">pace+(g_tv*Sens!H1414-pace)*MIN(1,(Sens!J1412-pace_y0)/(pace_y1-pace_y0))</f>
        <v>1059.032</v>
      </c>
      <c r="K1413" s="29" t="n">
        <f aca="false">pace+(g_tv*Sens!H1414-pace)*MIN(1,(Sens!K1412-pace_y0)/(pace_y1-pace_y0))</f>
        <v>324.948</v>
      </c>
      <c r="L1413" s="11" t="s">
        <v>799</v>
      </c>
    </row>
    <row r="1414" customFormat="false" ht="17.15" hidden="false" customHeight="false" outlineLevel="0" collapsed="false">
      <c r="A1414" s="1" t="s">
        <v>800</v>
      </c>
      <c r="B1414" s="0" t="s">
        <v>392</v>
      </c>
      <c r="C1414" s="29" t="n">
        <f aca="false">mw_ext_24</f>
        <v>640</v>
      </c>
      <c r="D1414" s="29" t="n">
        <f aca="false">mw_ext_25</f>
        <v>1630</v>
      </c>
      <c r="E1414" s="29" t="n">
        <f aca="false">mw_ext_26</f>
        <v>3250</v>
      </c>
      <c r="F1414" s="29" t="n">
        <f aca="false">Sens!E1414+Sens!F1413</f>
        <v>5777.2</v>
      </c>
      <c r="G1414" s="29" t="n">
        <f aca="false">Sens!F1414+Sens!G1413</f>
        <v>8304.4</v>
      </c>
      <c r="H1414" s="29" t="n">
        <f aca="false">Sens!G1414+Sens!H1413</f>
        <v>10831.6</v>
      </c>
      <c r="I1414" s="29" t="n">
        <f aca="false">Sens!H1414+Sens!I1413</f>
        <v>12624.716</v>
      </c>
      <c r="J1414" s="29" t="n">
        <f aca="false">Sens!I1414+Sens!J1413</f>
        <v>13683.748</v>
      </c>
      <c r="K1414" s="29" t="n">
        <f aca="false">Sens!J1414+Sens!K1413</f>
        <v>14008.696</v>
      </c>
      <c r="L1414" s="1" t="s">
        <v>801</v>
      </c>
    </row>
    <row r="1415" customFormat="false" ht="17.15" hidden="false" customHeight="false" outlineLevel="0" collapsed="false">
      <c r="A1415" s="1" t="s">
        <v>802</v>
      </c>
      <c r="B1415" s="0" t="s">
        <v>392</v>
      </c>
      <c r="C1415" s="29" t="n">
        <f aca="false">rent_ext_24</f>
        <v>150</v>
      </c>
      <c r="D1415" s="29" t="n">
        <f aca="false">rent_ext_25</f>
        <v>400</v>
      </c>
      <c r="E1415" s="29" t="n">
        <f aca="false">rent_ext_26</f>
        <v>550</v>
      </c>
      <c r="F1415" s="29" t="n">
        <f aca="false">rent_ext_f</f>
        <v>756</v>
      </c>
      <c r="G1415" s="29" t="n">
        <f aca="false">rent_ext_f</f>
        <v>756</v>
      </c>
      <c r="H1415" s="29" t="n">
        <f aca="false">rent_ext_f</f>
        <v>756</v>
      </c>
      <c r="I1415" s="29" t="n">
        <f aca="false">rent_ext_f</f>
        <v>756</v>
      </c>
      <c r="J1415" s="29" t="n">
        <f aca="false">rent_ext_f</f>
        <v>756</v>
      </c>
      <c r="K1415" s="29" t="n">
        <f aca="false">rent_ext_f</f>
        <v>756</v>
      </c>
      <c r="L1415" s="1" t="s">
        <v>803</v>
      </c>
    </row>
    <row r="1416" customFormat="false" ht="17.15" hidden="false" customHeight="false" outlineLevel="0" collapsed="false">
      <c r="A1416" s="1" t="s">
        <v>804</v>
      </c>
      <c r="B1416" s="0" t="s">
        <v>392</v>
      </c>
      <c r="C1416" s="29" t="n">
        <f aca="false">Sens!C1414-Sens!C1415</f>
        <v>490</v>
      </c>
      <c r="D1416" s="29" t="n">
        <f aca="false">Sens!D1414-Sens!D1415</f>
        <v>1230</v>
      </c>
      <c r="E1416" s="29" t="n">
        <f aca="false">Sens!E1414-Sens!E1415</f>
        <v>2700</v>
      </c>
      <c r="F1416" s="29" t="n">
        <f aca="false">Sens!F1414-Sens!F1415</f>
        <v>5021.2</v>
      </c>
      <c r="G1416" s="29" t="n">
        <f aca="false">Sens!G1414-Sens!G1415</f>
        <v>7548.4</v>
      </c>
      <c r="H1416" s="29" t="n">
        <f aca="false">Sens!H1414-Sens!H1415</f>
        <v>10075.6</v>
      </c>
      <c r="I1416" s="29" t="n">
        <f aca="false">Sens!I1414-Sens!I1415</f>
        <v>11868.716</v>
      </c>
      <c r="J1416" s="29" t="n">
        <f aca="false">Sens!J1414-Sens!J1415</f>
        <v>12927.748</v>
      </c>
      <c r="K1416" s="29" t="n">
        <f aca="false">Sens!K1414-Sens!K1415</f>
        <v>13252.696</v>
      </c>
    </row>
    <row r="1417" customFormat="false" ht="17.15" hidden="false" customHeight="false" outlineLevel="0" collapsed="false">
      <c r="A1417" s="1" t="s">
        <v>805</v>
      </c>
      <c r="B1417" s="0" t="s">
        <v>392</v>
      </c>
      <c r="C1417" s="29" t="n">
        <f aca="false">Sens!C1416/ext_sh</f>
        <v>816.666666666667</v>
      </c>
      <c r="D1417" s="29" t="n">
        <f aca="false">Sens!D1416/ext_sh</f>
        <v>2050</v>
      </c>
      <c r="E1417" s="29" t="n">
        <f aca="false">Sens!E1416/ext_sh</f>
        <v>4500</v>
      </c>
      <c r="F1417" s="29" t="n">
        <f aca="false">Sens!F1416/ext_sh</f>
        <v>8368.66666666667</v>
      </c>
      <c r="G1417" s="29" t="n">
        <f aca="false">Sens!G1416/ext_sh</f>
        <v>12580.6666666667</v>
      </c>
      <c r="H1417" s="29" t="n">
        <f aca="false">Sens!H1416/ext_sh</f>
        <v>16792.6666666667</v>
      </c>
      <c r="I1417" s="29" t="n">
        <f aca="false">Sens!I1416/ext_sh</f>
        <v>19781.1933333333</v>
      </c>
      <c r="J1417" s="29" t="n">
        <f aca="false">Sens!J1416/ext_sh</f>
        <v>21546.2466666667</v>
      </c>
      <c r="K1417" s="29" t="n">
        <f aca="false">Sens!K1416/ext_sh</f>
        <v>22087.8266666667</v>
      </c>
      <c r="L1417" s="1" t="s">
        <v>806</v>
      </c>
    </row>
    <row r="1418" customFormat="false" ht="17.15" hidden="false" customHeight="false" outlineLevel="0" collapsed="false">
      <c r="A1418" s="1" t="s">
        <v>807</v>
      </c>
      <c r="B1418" s="0" t="s">
        <v>392</v>
      </c>
      <c r="C1418" s="29" t="n">
        <f aca="false">Sens!C1417-Sens!C1416</f>
        <v>326.666666666667</v>
      </c>
      <c r="D1418" s="29" t="n">
        <f aca="false">Sens!D1417-Sens!D1416</f>
        <v>820</v>
      </c>
      <c r="E1418" s="29" t="n">
        <f aca="false">Sens!E1417-Sens!E1416</f>
        <v>1800</v>
      </c>
      <c r="F1418" s="29" t="n">
        <f aca="false">Sens!F1417-Sens!F1416</f>
        <v>3347.46666666667</v>
      </c>
      <c r="G1418" s="29" t="n">
        <f aca="false">Sens!G1417-Sens!G1416</f>
        <v>5032.26666666667</v>
      </c>
      <c r="H1418" s="29" t="n">
        <f aca="false">Sens!H1417-Sens!H1416</f>
        <v>6717.06666666667</v>
      </c>
      <c r="I1418" s="29" t="n">
        <f aca="false">Sens!I1417-Sens!I1416</f>
        <v>7912.47733333333</v>
      </c>
      <c r="J1418" s="29" t="n">
        <f aca="false">Sens!J1417-Sens!J1416</f>
        <v>8618.49866666667</v>
      </c>
      <c r="K1418" s="29" t="n">
        <f aca="false">Sens!K1417-Sens!K1416</f>
        <v>8835.13066666667</v>
      </c>
    </row>
    <row r="1419" customFormat="false" ht="17.15" hidden="false" customHeight="false" outlineLevel="0" collapsed="false">
      <c r="A1419" s="1" t="s">
        <v>808</v>
      </c>
      <c r="B1419" s="0" t="s">
        <v>392</v>
      </c>
      <c r="C1419" s="29" t="n">
        <f aca="false">Sens!C1417</f>
        <v>816.666666666667</v>
      </c>
      <c r="D1419" s="29" t="n">
        <f aca="false">Sens!D1417-Sens!C1417</f>
        <v>1233.33333333333</v>
      </c>
      <c r="E1419" s="29" t="n">
        <f aca="false">Sens!E1417-Sens!D1417</f>
        <v>2450</v>
      </c>
      <c r="F1419" s="29" t="n">
        <f aca="false">Sens!F1417-Sens!E1417</f>
        <v>3868.66666666667</v>
      </c>
      <c r="G1419" s="29" t="n">
        <f aca="false">Sens!G1417-Sens!F1417</f>
        <v>4212</v>
      </c>
      <c r="H1419" s="29" t="n">
        <f aca="false">Sens!H1417-Sens!G1417</f>
        <v>4212</v>
      </c>
      <c r="I1419" s="29" t="n">
        <f aca="false">Sens!I1417-Sens!H1417</f>
        <v>2988.52666666667</v>
      </c>
      <c r="J1419" s="29" t="n">
        <f aca="false">Sens!J1417-Sens!I1417</f>
        <v>1765.05333333333</v>
      </c>
      <c r="K1419" s="29" t="n">
        <f aca="false">Sens!K1417-Sens!J1417</f>
        <v>541.580000000002</v>
      </c>
    </row>
    <row r="1420" customFormat="false" ht="17.15" hidden="false" customHeight="false" outlineLevel="0" collapsed="false">
      <c r="A1420" s="1" t="s">
        <v>809</v>
      </c>
      <c r="B1420" s="0" t="s">
        <v>392</v>
      </c>
      <c r="D1420" s="29" t="n">
        <f aca="false">Sens!D1414-Sens!C1414</f>
        <v>990</v>
      </c>
      <c r="E1420" s="29" t="n">
        <f aca="false">Sens!E1414-Sens!D1414</f>
        <v>1620</v>
      </c>
      <c r="F1420" s="29" t="n">
        <f aca="false">Sens!F1414-Sens!E1414</f>
        <v>2527.2</v>
      </c>
      <c r="G1420" s="29" t="n">
        <f aca="false">Sens!G1414-Sens!F1414</f>
        <v>2527.2</v>
      </c>
      <c r="H1420" s="29" t="n">
        <f aca="false">Sens!H1414-Sens!G1414</f>
        <v>2527.2</v>
      </c>
      <c r="I1420" s="29" t="n">
        <f aca="false">Sens!I1414-Sens!H1414</f>
        <v>1793.116</v>
      </c>
      <c r="J1420" s="29" t="n">
        <f aca="false">Sens!J1414-Sens!I1414</f>
        <v>1059.032</v>
      </c>
      <c r="K1420" s="29" t="n">
        <f aca="false">Sens!K1414-Sens!J1414</f>
        <v>324.948</v>
      </c>
    </row>
    <row r="1421" customFormat="false" ht="17.15" hidden="false" customHeight="false" outlineLevel="0" collapsed="false">
      <c r="A1421" s="1" t="s">
        <v>810</v>
      </c>
      <c r="B1421" s="0" t="s">
        <v>392</v>
      </c>
      <c r="F1421" s="29" t="n">
        <f aca="false">Sens!F1438*ext_sh</f>
        <v>0</v>
      </c>
      <c r="G1421" s="29" t="n">
        <f aca="false">Sens!G1438*ext_sh</f>
        <v>0</v>
      </c>
      <c r="H1421" s="29" t="n">
        <f aca="false">Sens!H1438*ext_sh</f>
        <v>0</v>
      </c>
      <c r="I1421" s="29" t="n">
        <f aca="false">Sens!I1438*ext_sh</f>
        <v>490</v>
      </c>
      <c r="J1421" s="29" t="n">
        <f aca="false">Sens!J1438*ext_sh</f>
        <v>740</v>
      </c>
      <c r="K1421" s="29" t="n">
        <f aca="false">Sens!K1438*ext_sh</f>
        <v>1470</v>
      </c>
      <c r="L1421" s="1" t="s">
        <v>811</v>
      </c>
    </row>
    <row r="1422" customFormat="false" ht="17.15" hidden="false" customHeight="false" outlineLevel="0" collapsed="false">
      <c r="A1422" s="1" t="s">
        <v>812</v>
      </c>
      <c r="B1422" s="0" t="s">
        <v>392</v>
      </c>
      <c r="C1422" s="29" t="n">
        <f aca="false">mix_h*Sens!C1414</f>
        <v>128</v>
      </c>
      <c r="D1422" s="29" t="n">
        <f aca="false">mix_h*Sens!D1414</f>
        <v>326</v>
      </c>
      <c r="E1422" s="29" t="n">
        <f aca="false">mix_h*Sens!E1414</f>
        <v>650</v>
      </c>
      <c r="F1422" s="29" t="n">
        <f aca="false">Sens!E1422-Sens!F1421*mix_h</f>
        <v>650</v>
      </c>
      <c r="G1422" s="29" t="n">
        <f aca="false">Sens!F1422-Sens!G1421*mix_h</f>
        <v>650</v>
      </c>
      <c r="H1422" s="29" t="n">
        <f aca="false">Sens!G1422-Sens!H1421*mix_h</f>
        <v>650</v>
      </c>
      <c r="I1422" s="29" t="n">
        <f aca="false">Sens!H1422-Sens!I1421*mix_h</f>
        <v>552</v>
      </c>
      <c r="J1422" s="29" t="n">
        <f aca="false">Sens!I1422-Sens!J1421*mix_h</f>
        <v>404</v>
      </c>
      <c r="K1422" s="29" t="n">
        <f aca="false">Sens!J1422-Sens!K1421*mix_h</f>
        <v>110</v>
      </c>
    </row>
    <row r="1423" customFormat="false" ht="17.15" hidden="false" customHeight="false" outlineLevel="0" collapsed="false">
      <c r="A1423" s="1" t="s">
        <v>813</v>
      </c>
      <c r="B1423" s="0" t="s">
        <v>392</v>
      </c>
      <c r="C1423" s="29" t="n">
        <f aca="false">mix_g2*Sens!C1414</f>
        <v>288</v>
      </c>
      <c r="D1423" s="29" t="n">
        <f aca="false">mix_g2*Sens!D1414</f>
        <v>733.5</v>
      </c>
      <c r="E1423" s="29" t="n">
        <f aca="false">mix_g2*Sens!E1414</f>
        <v>1462.5</v>
      </c>
      <c r="F1423" s="29" t="n">
        <f aca="false">Sens!E1423-Sens!F1421*mix_g2</f>
        <v>1462.5</v>
      </c>
      <c r="G1423" s="29" t="n">
        <f aca="false">Sens!F1423-Sens!G1421*mix_g2</f>
        <v>1462.5</v>
      </c>
      <c r="H1423" s="29" t="n">
        <f aca="false">Sens!G1423-Sens!H1421*mix_g2</f>
        <v>1462.5</v>
      </c>
      <c r="I1423" s="29" t="n">
        <f aca="false">Sens!H1423-Sens!I1421*mix_g2</f>
        <v>1242</v>
      </c>
      <c r="J1423" s="29" t="n">
        <f aca="false">Sens!I1423-Sens!J1421*mix_g2</f>
        <v>909</v>
      </c>
      <c r="K1423" s="29" t="n">
        <f aca="false">Sens!J1423-Sens!K1421*mix_g2</f>
        <v>247.5</v>
      </c>
    </row>
    <row r="1424" customFormat="false" ht="17.15" hidden="false" customHeight="false" outlineLevel="0" collapsed="false">
      <c r="A1424" s="1" t="s">
        <v>814</v>
      </c>
      <c r="B1424" s="0" t="s">
        <v>392</v>
      </c>
      <c r="C1424" s="29" t="n">
        <f aca="false">mix_g3*Sens!C1414</f>
        <v>224</v>
      </c>
      <c r="D1424" s="29" t="n">
        <f aca="false">mix_g3*Sens!D1414</f>
        <v>570.5</v>
      </c>
      <c r="E1424" s="29" t="n">
        <f aca="false">mix_g3*Sens!E1414</f>
        <v>1137.5</v>
      </c>
      <c r="F1424" s="29" t="n">
        <f aca="false">Sens!E1424+(Sens!F1420+Sens!F1421)*a_g3_27-Sens!F1421*mix_g3</f>
        <v>2906.54</v>
      </c>
      <c r="G1424" s="29" t="n">
        <f aca="false">Sens!F1424+(Sens!G1420+Sens!G1421)*a_g3_28-Sens!G1421*mix_g3</f>
        <v>3664.7</v>
      </c>
      <c r="H1424" s="29" t="n">
        <f aca="false">Sens!G1424+(Sens!H1420+Sens!H1421)*a_g3_29-Sens!H1421*mix_g3</f>
        <v>3917.42</v>
      </c>
      <c r="I1424" s="29" t="n">
        <f aca="false">Sens!H1424+(Sens!I1420+Sens!I1421)*a_g3_29-Sens!I1421*mix_g3</f>
        <v>3974.2316</v>
      </c>
      <c r="J1424" s="29" t="n">
        <f aca="false">Sens!I1424+(Sens!J1420+Sens!J1421)*a_g3_29-Sens!J1421*mix_g3</f>
        <v>3895.1348</v>
      </c>
      <c r="K1424" s="29" t="n">
        <f aca="false">Sens!J1424+(Sens!K1420+Sens!K1421)*a_g3_29-Sens!K1421*mix_g3</f>
        <v>3560.1296</v>
      </c>
    </row>
    <row r="1425" customFormat="false" ht="17.15" hidden="false" customHeight="false" outlineLevel="0" collapsed="false">
      <c r="A1425" s="1" t="s">
        <v>815</v>
      </c>
      <c r="B1425" s="0" t="s">
        <v>392</v>
      </c>
      <c r="C1425" s="29" t="n">
        <v>0</v>
      </c>
      <c r="D1425" s="29" t="n">
        <v>0</v>
      </c>
      <c r="E1425" s="29" t="n">
        <v>0</v>
      </c>
      <c r="F1425" s="29" t="n">
        <f aca="false">Sens!E1425+(Sens!F1420+Sens!F1421)*(1-a_g3_27)</f>
        <v>758.16</v>
      </c>
      <c r="G1425" s="29" t="n">
        <f aca="false">Sens!F1425+(Sens!G1420+Sens!G1421)*(1-a_g3_28)</f>
        <v>2527.2</v>
      </c>
      <c r="H1425" s="29" t="n">
        <f aca="false">Sens!G1425+(Sens!H1420+Sens!H1421)*(1-a_g3_29)</f>
        <v>4801.68</v>
      </c>
      <c r="I1425" s="29" t="n">
        <f aca="false">Sens!H1425+(Sens!I1420+Sens!I1421)*(1-a_g3_29)</f>
        <v>6856.4844</v>
      </c>
      <c r="J1425" s="29" t="n">
        <f aca="false">Sens!I1425+(Sens!J1420+Sens!J1421)*(1-a_g3_29)</f>
        <v>8475.6132</v>
      </c>
      <c r="K1425" s="29" t="n">
        <f aca="false">Sens!J1425+(Sens!K1420+Sens!K1421)*(1-a_g3_29)</f>
        <v>10091.0664</v>
      </c>
    </row>
    <row r="1426" customFormat="false" ht="17.15" hidden="false" customHeight="false" outlineLevel="0" collapsed="false">
      <c r="A1426" s="1" t="s">
        <v>816</v>
      </c>
      <c r="B1426" s="0" t="s">
        <v>339</v>
      </c>
      <c r="C1426" s="14" t="n">
        <f aca="false">(Sens!C1422*tk_hold_h100+Sens!C1423*tk_hold_gb200+Sens!C1424*tk_hold_gb300+Sens!C1425*tk_hold_vr200)/Sens!C1414</f>
        <v>9.7235358126469</v>
      </c>
      <c r="D1426" s="14" t="n">
        <f aca="false">(Sens!D1422*tk_hold_h100+Sens!D1423*tk_hold_gb200+Sens!D1424*tk_hold_gb300+Sens!D1425*tk_hold_vr200)/Sens!D1414</f>
        <v>9.7235358126469</v>
      </c>
      <c r="E1426" s="14" t="n">
        <f aca="false">(Sens!E1422*tk_hold_h100+Sens!E1423*tk_hold_gb200+Sens!E1424*tk_hold_gb300+Sens!E1425*tk_hold_vr200)/Sens!E1414</f>
        <v>9.7235358126469</v>
      </c>
      <c r="F1426" s="14" t="n">
        <f aca="false">(Sens!F1422*tk_hold_h100+Sens!F1423*tk_hold_gb200+Sens!F1424*tk_hold_gb300+Sens!F1425*tk_hold_vr200)/Sens!F1414</f>
        <v>10.4079573161931</v>
      </c>
      <c r="G1426" s="14" t="n">
        <f aca="false">(Sens!G1422*tk_hold_h100+Sens!G1423*tk_hold_gb200+Sens!G1424*tk_hold_gb300+Sens!G1425*tk_hold_vr200)/Sens!G1414</f>
        <v>10.8388131109316</v>
      </c>
      <c r="H1426" s="14" t="n">
        <f aca="false">(Sens!H1422*tk_hold_h100+Sens!H1423*tk_hold_gb200+Sens!H1424*tk_hold_gb300+Sens!H1425*tk_hold_vr200)/Sens!H1414</f>
        <v>11.1311018388216</v>
      </c>
      <c r="I1426" s="14" t="n">
        <f aca="false">(Sens!I1422*tk_hold_h100+Sens!I1423*tk_hold_gb200+Sens!I1424*tk_hold_gb300+Sens!I1425*tk_hold_vr200)/Sens!I1414</f>
        <v>11.3594282560989</v>
      </c>
      <c r="J1426" s="14" t="n">
        <f aca="false">(Sens!J1422*tk_hold_h100+Sens!J1423*tk_hold_gb200+Sens!J1424*tk_hold_gb300+Sens!J1425*tk_hold_vr200)/Sens!J1414</f>
        <v>11.5441508808221</v>
      </c>
      <c r="K1426" s="14" t="n">
        <f aca="false">(Sens!K1422*tk_hold_h100+Sens!K1423*tk_hold_gb200+Sens!K1424*tk_hold_gb300+Sens!K1425*tk_hold_vr200)/Sens!K1414</f>
        <v>11.8053375063575</v>
      </c>
    </row>
    <row r="1427" customFormat="false" ht="17.15" hidden="false" customHeight="false" outlineLevel="0" collapsed="false">
      <c r="A1427" s="0" t="s">
        <v>817</v>
      </c>
      <c r="B1427" s="0" t="s">
        <v>185</v>
      </c>
      <c r="C1427" s="14" t="n">
        <f aca="false">k_B</f>
        <v>1.17213932619116</v>
      </c>
      <c r="D1427" s="14" t="n">
        <f aca="false">k_B</f>
        <v>1.17213932619116</v>
      </c>
      <c r="E1427" s="14" t="n">
        <f aca="false">k_B</f>
        <v>1.17213932619116</v>
      </c>
      <c r="F1427" s="14" t="n">
        <f aca="false">(k_B+((ls_B*k_long+(1-ls_B)*k_spot)-k_B)*MIN(1,(Sens!F1412-base_fy)/k_ramp))*1.15</f>
        <v>1.34796022511983</v>
      </c>
      <c r="G1427" s="14" t="n">
        <f aca="false">(k_B+((ls_B*k_long+(1-ls_B)*k_spot)-k_B)*MIN(1,(Sens!G1412-base_fy)/k_ramp))*1.15</f>
        <v>1.34796022511983</v>
      </c>
      <c r="H1427" s="14" t="n">
        <f aca="false">(k_B+((ls_B*k_long+(1-ls_B)*k_spot)-k_B)*MIN(1,(Sens!H1412-base_fy)/k_ramp))*1.15</f>
        <v>1.34796022511983</v>
      </c>
      <c r="I1427" s="14" t="n">
        <f aca="false">(k_B+((ls_B*k_long+(1-ls_B)*k_spot)-k_B)*MIN(1,(Sens!I1412-base_fy)/k_ramp))*1.15</f>
        <v>1.34796022511983</v>
      </c>
      <c r="J1427" s="14" t="n">
        <f aca="false">(k_B+((ls_B*k_long+(1-ls_B)*k_spot)-k_B)*MIN(1,(Sens!J1412-base_fy)/k_ramp))*1.15</f>
        <v>1.34796022511983</v>
      </c>
      <c r="K1427" s="14" t="n">
        <f aca="false">(k_B+((ls_B*k_long+(1-ls_B)*k_spot)-k_B)*MIN(1,(Sens!K1412-base_fy)/k_ramp))*1.15</f>
        <v>1.34796022511983</v>
      </c>
      <c r="L1427" s="1" t="s">
        <v>818</v>
      </c>
    </row>
    <row r="1428" customFormat="false" ht="17.15" hidden="false" customHeight="false" outlineLevel="0" collapsed="false">
      <c r="A1428" s="1" t="s">
        <v>819</v>
      </c>
      <c r="B1428" s="0" t="s">
        <v>339</v>
      </c>
      <c r="C1428" s="14" t="n">
        <f aca="false">Sens!C1426*Sens!C1427*chip_f</f>
        <v>11.3973387156315</v>
      </c>
      <c r="D1428" s="14" t="n">
        <f aca="false">Sens!D1426*Sens!D1427*chip_f</f>
        <v>11.3973387156315</v>
      </c>
      <c r="E1428" s="14" t="n">
        <f aca="false">Sens!E1426*Sens!E1427*chip_f</f>
        <v>11.3973387156315</v>
      </c>
      <c r="F1428" s="14" t="n">
        <f aca="false">Sens!F1426*Sens!F1427*chip_f</f>
        <v>14.0295124869732</v>
      </c>
      <c r="G1428" s="14" t="n">
        <f aca="false">Sens!G1426*Sens!G1427*chip_f</f>
        <v>14.610288961043</v>
      </c>
      <c r="H1428" s="14" t="n">
        <f aca="false">Sens!H1426*Sens!H1427*chip_f</f>
        <v>15.0042825404897</v>
      </c>
      <c r="I1428" s="14" t="n">
        <f aca="false">Sens!I1426*Sens!I1427*chip_f</f>
        <v>15.3120574693236</v>
      </c>
      <c r="J1428" s="14" t="n">
        <f aca="false">Sens!J1426*Sens!J1427*chip_f</f>
        <v>15.5610562201302</v>
      </c>
      <c r="K1428" s="14" t="n">
        <f aca="false">Sens!K1426*Sens!K1427*chip_f</f>
        <v>15.9131254026852</v>
      </c>
      <c r="L1428" s="1" t="s">
        <v>820</v>
      </c>
    </row>
    <row r="1429" customFormat="false" ht="17.15" hidden="false" customHeight="false" outlineLevel="0" collapsed="false">
      <c r="A1429" s="0" t="s">
        <v>821</v>
      </c>
      <c r="B1429" s="0" t="s">
        <v>98</v>
      </c>
      <c r="D1429" s="6" t="n">
        <f aca="false">(Sens!C1414+Sens!D1414)/2*Sens!D1428/1000</f>
        <v>12.9359794422418</v>
      </c>
      <c r="E1429" s="6" t="n">
        <f aca="false">(Sens!D1414+Sens!E1414)/2*Sens!E1428/1000</f>
        <v>27.8095064661409</v>
      </c>
      <c r="F1429" s="6" t="n">
        <f aca="false">(Sens!E1414+Sens!F1414)/2*Sens!F1428/1000</f>
        <v>63.3236075612023</v>
      </c>
      <c r="G1429" s="6" t="n">
        <f aca="false">(Sens!F1414+Sens!G1414)/2*Sens!G1428/1000</f>
        <v>102.868122516912</v>
      </c>
      <c r="H1429" s="6" t="n">
        <f aca="false">(Sens!G1414+Sens!H1414)/2*Sens!H1428/1000</f>
        <v>143.560975347405</v>
      </c>
      <c r="I1429" s="6" t="n">
        <f aca="false">(Sens!H1414+Sens!I1414)/2*Sens!I1428/1000</f>
        <v>179.582229305308</v>
      </c>
      <c r="J1429" s="6" t="n">
        <f aca="false">(Sens!I1414+Sens!J1414)/2*Sens!J1428/1000</f>
        <v>204.693743684635</v>
      </c>
      <c r="K1429" s="6" t="n">
        <f aca="false">(Sens!J1414+Sens!K1414)/2*Sens!K1428/1000</f>
        <v>220.336667039419</v>
      </c>
      <c r="L1429" s="11" t="s">
        <v>822</v>
      </c>
    </row>
    <row r="1430" customFormat="false" ht="17.15" hidden="false" customHeight="false" outlineLevel="0" collapsed="false">
      <c r="A1430" s="1" t="s">
        <v>823</v>
      </c>
      <c r="B1430" s="0" t="s">
        <v>339</v>
      </c>
      <c r="C1430" s="14" t="n">
        <f aca="false">(Sens!C1422*tk_opex_h100+Sens!C1423*tk_opex_gb200+Sens!C1424*tk_opex_gb300+Sens!C1425*tk_opex_vr200)/Sens!C1414</f>
        <v>1.88636041306092</v>
      </c>
      <c r="D1430" s="14" t="n">
        <f aca="false">(Sens!D1422*tk_opex_h100+Sens!D1423*tk_opex_gb200+Sens!D1424*tk_opex_gb300+Sens!D1425*tk_opex_vr200)/Sens!D1414</f>
        <v>1.88636041306092</v>
      </c>
      <c r="E1430" s="14" t="n">
        <f aca="false">(Sens!E1422*tk_opex_h100+Sens!E1423*tk_opex_gb200+Sens!E1424*tk_opex_gb300+Sens!E1425*tk_opex_vr200)/Sens!E1414</f>
        <v>1.88636041306092</v>
      </c>
      <c r="F1430" s="14" t="n">
        <f aca="false">(Sens!F1422*tk_opex_h100+Sens!F1423*tk_opex_gb200+Sens!F1424*tk_opex_gb300+Sens!F1425*tk_opex_vr200)/Sens!F1414</f>
        <v>1.9430236476499</v>
      </c>
      <c r="G1430" s="14" t="n">
        <f aca="false">(Sens!G1422*tk_opex_h100+Sens!G1423*tk_opex_gb200+Sens!G1424*tk_opex_gb300+Sens!G1425*tk_opex_vr200)/Sens!G1414</f>
        <v>1.9786941852423</v>
      </c>
      <c r="H1430" s="14" t="n">
        <f aca="false">(Sens!H1422*tk_opex_h100+Sens!H1423*tk_opex_gb200+Sens!H1424*tk_opex_gb300+Sens!H1425*tk_opex_vr200)/Sens!H1414</f>
        <v>2.00289275976156</v>
      </c>
      <c r="I1430" s="14" t="n">
        <f aca="false">(Sens!I1422*tk_opex_h100+Sens!I1423*tk_opex_gb200+Sens!I1424*tk_opex_gb300+Sens!I1425*tk_opex_vr200)/Sens!I1414</f>
        <v>2.02179589661219</v>
      </c>
      <c r="J1430" s="14" t="n">
        <f aca="false">(Sens!J1422*tk_opex_h100+Sens!J1423*tk_opex_gb200+Sens!J1424*tk_opex_gb300+Sens!J1425*tk_opex_vr200)/Sens!J1414</f>
        <v>2.03708907685909</v>
      </c>
      <c r="K1430" s="14" t="n">
        <f aca="false">(Sens!K1422*tk_opex_h100+Sens!K1423*tk_opex_gb200+Sens!K1424*tk_opex_gb300+Sens!K1425*tk_opex_vr200)/Sens!K1414</f>
        <v>2.05871270931005</v>
      </c>
    </row>
    <row r="1431" customFormat="false" ht="17.15" hidden="false" customHeight="false" outlineLevel="0" collapsed="false">
      <c r="A1431" s="0" t="s">
        <v>824</v>
      </c>
      <c r="B1431" s="0" t="s">
        <v>98</v>
      </c>
      <c r="D1431" s="6" t="n">
        <f aca="false">(Sens!C1417+Sens!D1417)/2*Sens!D1430/1000</f>
        <v>2.70378325872065</v>
      </c>
      <c r="E1431" s="6" t="n">
        <f aca="false">(Sens!D1417+Sens!E1417)/2*Sens!E1430/1000</f>
        <v>6.17783035277451</v>
      </c>
      <c r="F1431" s="6" t="n">
        <f aca="false">(Sens!E1417+Sens!F1417)/2*Sens!F1430/1000</f>
        <v>12.5020618235287</v>
      </c>
      <c r="G1431" s="6" t="n">
        <f aca="false">(Sens!F1417+Sens!G1417)/2*Sens!G1430/1000</f>
        <v>20.7261620256847</v>
      </c>
      <c r="H1431" s="6" t="n">
        <f aca="false">(Sens!G1417+Sens!H1417)/2*Sens!H1430/1000</f>
        <v>29.4158183316982</v>
      </c>
      <c r="I1431" s="6" t="n">
        <f aca="false">(Sens!H1417+Sens!I1417)/2*Sens!I1430/1000</f>
        <v>36.9724400356344</v>
      </c>
      <c r="J1431" s="6" t="n">
        <f aca="false">(Sens!I1417+Sens!J1417)/2*Sens!J1430/1000</f>
        <v>42.0938382992747</v>
      </c>
      <c r="K1431" s="6" t="n">
        <f aca="false">(Sens!J1417+Sens!K1417)/2*Sens!K1430/1000</f>
        <v>44.9150106651501</v>
      </c>
    </row>
    <row r="1432" customFormat="false" ht="17.15" hidden="false" customHeight="false" outlineLevel="0" collapsed="false">
      <c r="A1432" s="0" t="s">
        <v>825</v>
      </c>
      <c r="B1432" s="0" t="s">
        <v>98</v>
      </c>
      <c r="D1432" s="6" t="n">
        <f aca="false">(Sens!C1415+Sens!D1415)/2*rent_mw/1000</f>
        <v>2.44475</v>
      </c>
      <c r="E1432" s="6" t="n">
        <f aca="false">(Sens!D1415+Sens!E1415)/2*rent_mw/1000</f>
        <v>4.22275</v>
      </c>
      <c r="F1432" s="6" t="n">
        <f aca="false">(Sens!E1415+Sens!F1415)/2*rent_mw/1000</f>
        <v>5.80517</v>
      </c>
      <c r="G1432" s="6" t="n">
        <f aca="false">(Sens!F1415+Sens!G1415)/2*rent_mw/1000</f>
        <v>6.72084</v>
      </c>
      <c r="H1432" s="6" t="n">
        <f aca="false">(Sens!G1415+Sens!H1415)/2*rent_mw/1000</f>
        <v>6.72084</v>
      </c>
      <c r="I1432" s="6" t="n">
        <f aca="false">(Sens!H1415+Sens!I1415)/2*rent_mw/1000</f>
        <v>6.72084</v>
      </c>
      <c r="J1432" s="6" t="n">
        <f aca="false">(Sens!I1415+Sens!J1415)/2*rent_mw/1000</f>
        <v>6.72084</v>
      </c>
      <c r="K1432" s="6" t="n">
        <f aca="false">(Sens!J1415+Sens!K1415)/2*rent_mw/1000</f>
        <v>6.72084</v>
      </c>
    </row>
    <row r="1433" customFormat="false" ht="17.15" hidden="false" customHeight="false" outlineLevel="0" collapsed="false">
      <c r="A1433" s="0" t="s">
        <v>826</v>
      </c>
      <c r="B1433" s="0" t="s">
        <v>98</v>
      </c>
      <c r="D1433" s="6" t="n">
        <f aca="false">(Sens!C1417+Sens!D1417)/2*(1-self_build)*fac_rent/1000</f>
        <v>0.853242375631075</v>
      </c>
      <c r="E1433" s="6" t="n">
        <f aca="false">(Sens!D1417+Sens!E1417)/2*(1-self_build)*fac_rent/1000</f>
        <v>1.94955961408728</v>
      </c>
      <c r="F1433" s="6" t="n">
        <f aca="false">(Sens!E1417+Sens!F1417)/2*(1-self_build)*fac_rent/1000</f>
        <v>3.83026455274573</v>
      </c>
      <c r="G1433" s="6" t="n">
        <f aca="false">(Sens!F1417+Sens!G1417)/2*(1-self_build)*fac_rent/1000</f>
        <v>6.23541590972812</v>
      </c>
      <c r="H1433" s="6" t="n">
        <f aca="false">(Sens!G1417+Sens!H1417)/2*(1-self_build)*fac_rent/1000</f>
        <v>8.74275792332679</v>
      </c>
      <c r="I1433" s="6" t="n">
        <f aca="false">(Sens!H1417+Sens!I1417)/2*(1-self_build)*fac_rent/1000</f>
        <v>10.8859420438599</v>
      </c>
      <c r="J1433" s="6" t="n">
        <f aca="false">(Sens!I1417+Sens!J1417)/2*(1-self_build)*fac_rent/1000</f>
        <v>12.3008103782619</v>
      </c>
      <c r="K1433" s="6" t="n">
        <f aca="false">(Sens!J1417+Sens!K1417)/2*(1-self_build)*fac_rent/1000</f>
        <v>12.9873629265328</v>
      </c>
      <c r="L1433" s="11" t="s">
        <v>827</v>
      </c>
    </row>
    <row r="1434" customFormat="false" ht="17.15" hidden="false" customHeight="false" outlineLevel="0" collapsed="false">
      <c r="A1434" s="1" t="s">
        <v>828</v>
      </c>
      <c r="B1434" s="0" t="s">
        <v>129</v>
      </c>
      <c r="D1434" s="7" t="n">
        <f aca="false">(Sens!C1416+Sens!D1416)/(Sens!C1417+Sens!D1417)</f>
        <v>0.6</v>
      </c>
      <c r="E1434" s="7" t="n">
        <f aca="false">(Sens!D1416+Sens!E1416)/(Sens!D1417+Sens!E1417)</f>
        <v>0.6</v>
      </c>
      <c r="F1434" s="7" t="n">
        <f aca="false">(Sens!E1416+Sens!F1416)/(Sens!E1417+Sens!F1417)</f>
        <v>0.6</v>
      </c>
      <c r="G1434" s="7" t="n">
        <f aca="false">(Sens!F1416+Sens!G1416)/(Sens!F1417+Sens!G1417)</f>
        <v>0.6</v>
      </c>
      <c r="H1434" s="7" t="n">
        <f aca="false">(Sens!G1416+Sens!H1416)/(Sens!G1417+Sens!H1417)</f>
        <v>0.6</v>
      </c>
      <c r="I1434" s="7" t="n">
        <f aca="false">(Sens!H1416+Sens!I1416)/(Sens!H1417+Sens!I1417)</f>
        <v>0.6</v>
      </c>
      <c r="J1434" s="7" t="n">
        <f aca="false">(Sens!I1416+Sens!J1416)/(Sens!I1417+Sens!J1417)</f>
        <v>0.6</v>
      </c>
      <c r="K1434" s="7" t="n">
        <f aca="false">(Sens!J1416+Sens!K1416)/(Sens!J1417+Sens!K1417)</f>
        <v>0.6</v>
      </c>
    </row>
    <row r="1435" customFormat="false" ht="17.15" hidden="false" customHeight="false" outlineLevel="0" collapsed="false">
      <c r="A1435" s="0" t="s">
        <v>829</v>
      </c>
      <c r="B1435" s="0" t="s">
        <v>98</v>
      </c>
      <c r="D1435" s="6" t="n">
        <f aca="false">Sens!D1429-Sens!D1434*(Sens!D1431+Sens!D1433)-Sens!D1432</f>
        <v>8.35701406163072</v>
      </c>
      <c r="E1435" s="6" t="n">
        <f aca="false">Sens!E1429-Sens!E1434*(Sens!E1431+Sens!E1433)-Sens!E1432</f>
        <v>18.7103224860238</v>
      </c>
      <c r="F1435" s="6" t="n">
        <f aca="false">Sens!F1429-Sens!F1434*(Sens!F1431+Sens!F1433)-Sens!F1432</f>
        <v>47.7190417354376</v>
      </c>
      <c r="G1435" s="6" t="n">
        <f aca="false">Sens!G1429-Sens!G1434*(Sens!G1431+Sens!G1433)-Sens!G1432</f>
        <v>79.9703357556642</v>
      </c>
      <c r="H1435" s="6" t="n">
        <f aca="false">Sens!H1429-Sens!H1434*(Sens!H1431+Sens!H1433)-Sens!H1432</f>
        <v>113.94498959439</v>
      </c>
      <c r="I1435" s="6" t="n">
        <f aca="false">Sens!I1429-Sens!I1434*(Sens!I1431+Sens!I1433)-Sens!I1432</f>
        <v>144.146360057611</v>
      </c>
      <c r="J1435" s="6" t="n">
        <f aca="false">Sens!J1429-Sens!J1434*(Sens!J1431+Sens!J1433)-Sens!J1432</f>
        <v>165.336114478113</v>
      </c>
      <c r="K1435" s="6" t="n">
        <f aca="false">Sens!K1429-Sens!K1434*(Sens!K1431+Sens!K1433)-Sens!K1432</f>
        <v>178.874402884409</v>
      </c>
    </row>
    <row r="1436" customFormat="false" ht="17.15" hidden="false" customHeight="false" outlineLevel="0" collapsed="false">
      <c r="A1436" s="1" t="s">
        <v>830</v>
      </c>
      <c r="B1436" s="0" t="s">
        <v>98</v>
      </c>
      <c r="D1436" s="6" t="n">
        <f aca="false">(1-Sens!D1434)*(Sens!D1431+Sens!D1433)</f>
        <v>1.42281025374069</v>
      </c>
      <c r="E1436" s="6" t="n">
        <f aca="false">(1-Sens!E1434)*(Sens!E1431+Sens!E1433)</f>
        <v>3.25095598674472</v>
      </c>
      <c r="F1436" s="6" t="n">
        <f aca="false">(1-Sens!F1434)*(Sens!F1431+Sens!F1433)</f>
        <v>6.53293055050977</v>
      </c>
      <c r="G1436" s="6" t="n">
        <f aca="false">(1-Sens!G1434)*(Sens!G1431+Sens!G1433)</f>
        <v>10.7846311741651</v>
      </c>
      <c r="H1436" s="6" t="n">
        <f aca="false">(1-Sens!H1434)*(Sens!H1431+Sens!H1433)</f>
        <v>15.26343050201</v>
      </c>
      <c r="I1436" s="6" t="n">
        <f aca="false">(1-Sens!I1434)*(Sens!I1431+Sens!I1433)</f>
        <v>19.1433528317977</v>
      </c>
      <c r="J1436" s="6" t="n">
        <f aca="false">(1-Sens!J1434)*(Sens!J1431+Sens!J1433)</f>
        <v>21.7578594710146</v>
      </c>
      <c r="K1436" s="6" t="n">
        <f aca="false">(1-Sens!K1434)*(Sens!K1431+Sens!K1433)</f>
        <v>23.1609494366731</v>
      </c>
    </row>
    <row r="1437" customFormat="false" ht="17.15" hidden="false" customHeight="false" outlineLevel="0" collapsed="false">
      <c r="A1437" s="1" t="s">
        <v>831</v>
      </c>
      <c r="B1437" s="0" t="s">
        <v>350</v>
      </c>
      <c r="C1437" s="8" t="n">
        <f aca="false">cxit_open</f>
        <v>27.5918995</v>
      </c>
      <c r="D1437" s="8" t="n">
        <f aca="false">cxit_open</f>
        <v>27.5918995</v>
      </c>
      <c r="E1437" s="8" t="n">
        <f aca="false">cxit_open</f>
        <v>27.5918995</v>
      </c>
      <c r="F1437" s="8" t="n">
        <f aca="false">(a_g3_27*tk_cxit_gb300+(1-a_g3_27)*tk_cxit_vr200)</f>
        <v>33.8419624</v>
      </c>
      <c r="G1437" s="8" t="n">
        <f aca="false">(a_g3_28*tk_cxit_gb300+(1-a_g3_28)*tk_cxit_vr200)</f>
        <v>35.9816136</v>
      </c>
      <c r="H1437" s="8" t="n">
        <f aca="false">(a_g3_29*tk_cxit_gb300+(1-a_g3_29)*tk_cxit_vr200)</f>
        <v>37.0514392</v>
      </c>
      <c r="I1437" s="8" t="n">
        <f aca="false">(a_g3_29*tk_cxit_gb300+(1-a_g3_29)*tk_cxit_vr200)</f>
        <v>37.0514392</v>
      </c>
      <c r="J1437" s="8" t="n">
        <f aca="false">(a_g3_29*tk_cxit_gb300+(1-a_g3_29)*tk_cxit_vr200)</f>
        <v>37.0514392</v>
      </c>
      <c r="K1437" s="8" t="n">
        <f aca="false">(a_g3_29*tk_cxit_gb300+(1-a_g3_29)*tk_cxit_vr200)</f>
        <v>37.0514392</v>
      </c>
      <c r="L1437" s="11" t="s">
        <v>832</v>
      </c>
    </row>
    <row r="1438" customFormat="false" ht="17.15" hidden="false" customHeight="false" outlineLevel="0" collapsed="false">
      <c r="A1438" s="0" t="s">
        <v>833</v>
      </c>
      <c r="B1438" s="0" t="s">
        <v>392</v>
      </c>
      <c r="F1438" s="29" t="n">
        <f aca="false">Sens!C1419*IF(Sens!F1412-Sens!C1412=life_it,1,0)+Sens!D1419*IF(Sens!F1412-Sens!D1412=life_it,1,0)+Sens!E1419*IF(Sens!F1412-Sens!E1412=life_it,1,0)</f>
        <v>0</v>
      </c>
      <c r="G1438" s="29" t="n">
        <f aca="false">Sens!C1419*IF(Sens!G1412-Sens!C1412=life_it,1,0)+Sens!D1419*IF(Sens!G1412-Sens!D1412=life_it,1,0)+Sens!E1419*IF(Sens!G1412-Sens!E1412=life_it,1,0)+Sens!F1419*IF(Sens!G1412-Sens!F1412=life_it,1,0)</f>
        <v>0</v>
      </c>
      <c r="H1438" s="29" t="n">
        <f aca="false">Sens!C1419*IF(Sens!H1412-Sens!C1412=life_it,1,0)+Sens!D1419*IF(Sens!H1412-Sens!D1412=life_it,1,0)+Sens!E1419*IF(Sens!H1412-Sens!E1412=life_it,1,0)+Sens!F1419*IF(Sens!H1412-Sens!F1412=life_it,1,0)+Sens!G1419*IF(Sens!H1412-Sens!G1412=life_it,1,0)</f>
        <v>0</v>
      </c>
      <c r="I1438" s="29" t="n">
        <f aca="false">Sens!C1419*IF(Sens!I1412-Sens!C1412=life_it,1,0)+Sens!D1419*IF(Sens!I1412-Sens!D1412=life_it,1,0)+Sens!E1419*IF(Sens!I1412-Sens!E1412=life_it,1,0)+Sens!F1419*IF(Sens!I1412-Sens!F1412=life_it,1,0)+Sens!G1419*IF(Sens!I1412-Sens!G1412=life_it,1,0)+Sens!H1419*IF(Sens!I1412-Sens!H1412=life_it,1,0)</f>
        <v>816.666666666667</v>
      </c>
      <c r="J1438" s="29" t="n">
        <f aca="false">Sens!C1419*IF(Sens!J1412-Sens!C1412=life_it,1,0)+Sens!D1419*IF(Sens!J1412-Sens!D1412=life_it,1,0)+Sens!E1419*IF(Sens!J1412-Sens!E1412=life_it,1,0)+Sens!F1419*IF(Sens!J1412-Sens!F1412=life_it,1,0)+Sens!G1419*IF(Sens!J1412-Sens!G1412=life_it,1,0)+Sens!H1419*IF(Sens!J1412-Sens!H1412=life_it,1,0)+Sens!I1419*IF(Sens!J1412-Sens!I1412=life_it,1,0)</f>
        <v>1233.33333333333</v>
      </c>
      <c r="K1438" s="29" t="n">
        <f aca="false">Sens!C1419*IF(Sens!K1412-Sens!C1412=life_it,1,0)+Sens!D1419*IF(Sens!K1412-Sens!D1412=life_it,1,0)+Sens!E1419*IF(Sens!K1412-Sens!E1412=life_it,1,0)+Sens!F1419*IF(Sens!K1412-Sens!F1412=life_it,1,0)+Sens!G1419*IF(Sens!K1412-Sens!G1412=life_it,1,0)+Sens!H1419*IF(Sens!K1412-Sens!H1412=life_it,1,0)+Sens!I1419*IF(Sens!K1412-Sens!I1412=life_it,1,0)+Sens!J1419*IF(Sens!K1412-Sens!J1412=life_it,1,0)</f>
        <v>2450</v>
      </c>
      <c r="L1438" s="1" t="s">
        <v>834</v>
      </c>
    </row>
    <row r="1439" customFormat="false" ht="17.15" hidden="false" customHeight="false" outlineLevel="0" collapsed="false">
      <c r="A1439" s="0" t="s">
        <v>835</v>
      </c>
      <c r="B1439" s="0" t="s">
        <v>98</v>
      </c>
      <c r="C1439" s="6" t="n">
        <f aca="false">Sens!C1419*Sens!C1437/1000</f>
        <v>22.5333845916667</v>
      </c>
      <c r="D1439" s="6" t="n">
        <f aca="false">Sens!D1419*Sens!D1437/1000</f>
        <v>34.0300093833333</v>
      </c>
      <c r="E1439" s="6" t="n">
        <f aca="false">Sens!E1419*Sens!E1437/1000</f>
        <v>67.600153775</v>
      </c>
      <c r="F1439" s="6" t="n">
        <f aca="false">(Sens!F1419+Sens!F1438)*Sens!F1437/1000</f>
        <v>130.923271871467</v>
      </c>
      <c r="G1439" s="6" t="n">
        <f aca="false">(Sens!G1419+Sens!G1438)*Sens!G1437/1000</f>
        <v>151.5545564832</v>
      </c>
      <c r="H1439" s="6" t="n">
        <f aca="false">(Sens!H1419+Sens!H1438)*Sens!H1437/1000</f>
        <v>156.0606619104</v>
      </c>
      <c r="I1439" s="6" t="n">
        <f aca="false">(Sens!I1419+Sens!I1438)*Sens!I1437/1000</f>
        <v>140.987889434245</v>
      </c>
      <c r="J1439" s="6" t="n">
        <f aca="false">(Sens!J1419+Sens!J1438)*Sens!J1437/1000</f>
        <v>111.094541278091</v>
      </c>
      <c r="K1439" s="6" t="n">
        <f aca="false">(Sens!K1419+Sens!K1438)*Sens!K1437/1000</f>
        <v>110.842344481936</v>
      </c>
    </row>
    <row r="1440" customFormat="false" ht="17.15" hidden="false" customHeight="false" outlineLevel="0" collapsed="false">
      <c r="A1440" s="0" t="s">
        <v>836</v>
      </c>
      <c r="B1440" s="0" t="s">
        <v>98</v>
      </c>
      <c r="C1440" s="6" t="n">
        <f aca="false">Sens!C1419*self_build*tk_cxfac/1000</f>
        <v>6.2083</v>
      </c>
      <c r="D1440" s="6" t="n">
        <f aca="false">Sens!D1419*self_build*tk_cxfac/1000</f>
        <v>9.3758</v>
      </c>
      <c r="E1440" s="6" t="n">
        <f aca="false">Sens!E1419*self_build*tk_cxfac/1000</f>
        <v>18.6249</v>
      </c>
      <c r="F1440" s="6" t="n">
        <f aca="false">Sens!F1419*self_build*tk_cxfac/1000</f>
        <v>29.409604</v>
      </c>
      <c r="G1440" s="6" t="n">
        <f aca="false">Sens!G1419*self_build*tk_cxfac/1000</f>
        <v>32.019624</v>
      </c>
      <c r="H1440" s="6" t="n">
        <f aca="false">Sens!H1419*self_build*tk_cxfac/1000</f>
        <v>32.019624</v>
      </c>
      <c r="I1440" s="6" t="n">
        <f aca="false">Sens!I1419*self_build*tk_cxfac/1000</f>
        <v>22.71877972</v>
      </c>
      <c r="J1440" s="6" t="n">
        <f aca="false">Sens!J1419*self_build*tk_cxfac/1000</f>
        <v>13.41793544</v>
      </c>
      <c r="K1440" s="6" t="n">
        <f aca="false">Sens!K1419*self_build*tk_cxfac/1000</f>
        <v>4.11709116000001</v>
      </c>
    </row>
    <row r="1441" customFormat="false" ht="17.15" hidden="false" customHeight="false" outlineLevel="0" collapsed="false">
      <c r="A1441" s="0" t="s">
        <v>837</v>
      </c>
      <c r="B1441" s="0" t="s">
        <v>98</v>
      </c>
      <c r="F1441" s="6" t="n">
        <f aca="false">MAX(0,capex_floor27-Sens!F1439-Sens!F1440-Sens!F1534)</f>
        <v>8.28777689897088</v>
      </c>
      <c r="L1441" s="1" t="s">
        <v>838</v>
      </c>
    </row>
    <row r="1442" customFormat="false" ht="17.15" hidden="false" customHeight="false" outlineLevel="0" collapsed="false">
      <c r="A1442" s="0" t="s">
        <v>839</v>
      </c>
      <c r="B1442" s="0" t="s">
        <v>98</v>
      </c>
      <c r="C1442" s="6" t="n">
        <f aca="false">Sens!C1439</f>
        <v>22.5333845916667</v>
      </c>
      <c r="D1442" s="6" t="n">
        <f aca="false">Sens!D1439</f>
        <v>34.0300093833333</v>
      </c>
      <c r="E1442" s="6" t="n">
        <f aca="false">Sens!E1439</f>
        <v>67.600153775</v>
      </c>
      <c r="F1442" s="6" t="n">
        <f aca="false">Sens!F1439+Sens!F1441</f>
        <v>139.211048770438</v>
      </c>
      <c r="G1442" s="6" t="n">
        <f aca="false">Sens!G1439</f>
        <v>151.5545564832</v>
      </c>
      <c r="H1442" s="6" t="n">
        <f aca="false">Sens!H1439</f>
        <v>156.0606619104</v>
      </c>
      <c r="I1442" s="6" t="n">
        <f aca="false">Sens!I1439</f>
        <v>140.987889434245</v>
      </c>
      <c r="J1442" s="6" t="n">
        <f aca="false">Sens!J1439</f>
        <v>111.094541278091</v>
      </c>
      <c r="K1442" s="6" t="n">
        <f aca="false">Sens!K1439</f>
        <v>110.842344481936</v>
      </c>
    </row>
    <row r="1443" customFormat="false" ht="17.15" hidden="false" customHeight="false" outlineLevel="0" collapsed="false">
      <c r="A1443" s="0" t="s">
        <v>840</v>
      </c>
      <c r="B1443" s="0" t="s">
        <v>98</v>
      </c>
      <c r="C1443" s="6" t="n">
        <f aca="false">Sens!C1442+Sens!C1440</f>
        <v>28.7416845916667</v>
      </c>
      <c r="D1443" s="6" t="n">
        <f aca="false">Sens!D1442+Sens!D1440</f>
        <v>43.4058093833333</v>
      </c>
      <c r="E1443" s="6" t="n">
        <f aca="false">Sens!E1442+Sens!E1440</f>
        <v>86.225053775</v>
      </c>
      <c r="F1443" s="6" t="n">
        <f aca="false">Sens!F1442+Sens!F1440</f>
        <v>168.620652770438</v>
      </c>
      <c r="G1443" s="6" t="n">
        <f aca="false">Sens!G1442+Sens!G1440</f>
        <v>183.5741804832</v>
      </c>
      <c r="H1443" s="6" t="n">
        <f aca="false">Sens!H1442+Sens!H1440</f>
        <v>188.0802859104</v>
      </c>
      <c r="I1443" s="6" t="n">
        <f aca="false">Sens!I1442+Sens!I1440</f>
        <v>163.706669154245</v>
      </c>
      <c r="J1443" s="6" t="n">
        <f aca="false">Sens!J1442+Sens!J1440</f>
        <v>124.51247671809</v>
      </c>
      <c r="K1443" s="6" t="n">
        <f aca="false">Sens!K1442+Sens!K1440</f>
        <v>114.959435641936</v>
      </c>
      <c r="L1443" s="11" t="s">
        <v>841</v>
      </c>
    </row>
    <row r="1444" customFormat="false" ht="17.15" hidden="false" customHeight="false" outlineLevel="0" collapsed="false">
      <c r="A1444" s="0" t="s">
        <v>842</v>
      </c>
      <c r="B1444" s="0" t="s">
        <v>98</v>
      </c>
      <c r="E1444" s="6" t="n">
        <f aca="false">(Sens!C1442*IF(2&lt;life_it,1,IF(2=life_it,0.5,0))+Sens!D1442*IF(1&lt;life_it,1,IF(1=life_it,0.5,0))+Sens!E1442*0.5)/life_it</f>
        <v>15.0605784770833</v>
      </c>
      <c r="F1444" s="6" t="n">
        <f aca="false">(Sens!C1442*IF(3&lt;life_it,1,IF(3=life_it,0.5,0))+Sens!D1442*IF(2&lt;life_it,1,IF(2=life_it,0.5,0))+Sens!E1442*IF(1&lt;life_it,1,IF(1=life_it,0.5,0))+Sens!F1442*0.5)/life_it</f>
        <v>32.2948453558698</v>
      </c>
      <c r="G1444" s="6" t="n">
        <f aca="false">(Sens!C1442*IF(4&lt;life_it,1,IF(4=life_it,0.5,0))+Sens!D1442*IF(3&lt;life_it,1,IF(3=life_it,0.5,0))+Sens!E1442*IF(2&lt;life_it,1,IF(2=life_it,0.5,0))+Sens!F1442*IF(1&lt;life_it,1,IF(1=life_it,0.5,0))+Sens!G1442*0.5)/life_it</f>
        <v>56.5253124603396</v>
      </c>
      <c r="H1444" s="6" t="n">
        <f aca="false">(Sens!C1442*IF(5&lt;life_it,1,IF(5=life_it,0.5,0))+Sens!D1442*IF(4&lt;life_it,1,IF(4=life_it,0.5,0))+Sens!E1442*IF(3&lt;life_it,1,IF(3=life_it,0.5,0))+Sens!F1442*IF(2&lt;life_it,1,IF(2=life_it,0.5,0))+Sens!G1442*IF(1&lt;life_it,1,IF(1=life_it,0.5,0))+Sens!H1442*0.5)/life_it</f>
        <v>82.1599139931396</v>
      </c>
      <c r="I1444" s="6" t="n">
        <f aca="false">(Sens!C1442*IF(6&lt;life_it,1,IF(6=life_it,0.5,0))+Sens!D1442*IF(5&lt;life_it,1,IF(5=life_it,0.5,0))+Sens!E1442*IF(4&lt;life_it,1,IF(4=life_it,0.5,0))+Sens!F1442*IF(3&lt;life_it,1,IF(3=life_it,0.5,0))+Sens!G1442*IF(2&lt;life_it,1,IF(2=life_it,0.5,0))+Sens!H1442*IF(1&lt;life_it,1,IF(1=life_it,0.5,0))+Sens!I1442*0.5)/life_it</f>
        <v>105.036177889221</v>
      </c>
      <c r="J1444" s="6" t="n">
        <f aca="false">(Sens!C1442*IF(7&lt;life_it,1,IF(7=life_it,0.5,0))+Sens!D1442*IF(6&lt;life_it,1,IF(6=life_it,0.5,0))+Sens!E1442*IF(5&lt;life_it,1,IF(5=life_it,0.5,0))+Sens!F1442*IF(4&lt;life_it,1,IF(4=life_it,0.5,0))+Sens!G1442*IF(3&lt;life_it,1,IF(3=life_it,0.5,0))+Sens!H1442*IF(2&lt;life_it,1,IF(2=life_it,0.5,0))+Sens!I1442*IF(1&lt;life_it,1,IF(1=life_it,0.5,0))+Sens!J1442*0.5)/life_it</f>
        <v>121.329430950666</v>
      </c>
      <c r="K1444" s="6" t="n">
        <f aca="false">(Sens!C1442*IF(8&lt;life_it,1,IF(8=life_it,0.5,0))+Sens!D1442*IF(7&lt;life_it,1,IF(7=life_it,0.5,0))+Sens!E1442*IF(6&lt;life_it,1,IF(6=life_it,0.5,0))+Sens!F1442*IF(5&lt;life_it,1,IF(5=life_it,0.5,0))+Sens!G1442*IF(4&lt;life_it,1,IF(4=life_it,0.5,0))+Sens!H1442*IF(3&lt;life_it,1,IF(3=life_it,0.5,0))+Sens!I1442*IF(2&lt;life_it,1,IF(2=life_it,0.5,0))+Sens!J1442*IF(1&lt;life_it,1,IF(1=life_it,0.5,0))+Sens!K1442*0.5)/life_it</f>
        <v>131.354991167474</v>
      </c>
    </row>
    <row r="1445" customFormat="false" ht="17.15" hidden="false" customHeight="false" outlineLevel="0" collapsed="false">
      <c r="A1445" s="0" t="s">
        <v>843</v>
      </c>
      <c r="B1445" s="0" t="s">
        <v>98</v>
      </c>
      <c r="E1445" s="6" t="n">
        <f aca="false">(Sens!C1440*IF(2&lt;life_fac,1,IF(2=life_fac,0.5,0))+Sens!D1440*IF(1&lt;life_fac,1,IF(1=life_fac,0.5,0))+Sens!E1440*0.5)/life_fac</f>
        <v>1.2448275</v>
      </c>
      <c r="F1445" s="6" t="n">
        <f aca="false">(Sens!C1440*IF(3&lt;life_fac,1,IF(3=life_fac,0.5,0))+Sens!D1440*IF(2&lt;life_fac,1,IF(2=life_fac,0.5,0))+Sens!E1440*IF(1&lt;life_fac,1,IF(1=life_fac,0.5,0))+Sens!F1440*0.5)/life_fac</f>
        <v>2.4456901</v>
      </c>
      <c r="G1445" s="6" t="n">
        <f aca="false">(Sens!C1440*IF(4&lt;life_fac,1,IF(4=life_fac,0.5,0))+Sens!D1440*IF(3&lt;life_fac,1,IF(3=life_fac,0.5,0))+Sens!E1440*IF(2&lt;life_fac,1,IF(2=life_fac,0.5,0))+Sens!F1440*IF(1&lt;life_fac,1,IF(1=life_fac,0.5,0))+Sens!G1440*0.5)/life_fac</f>
        <v>3.9814208</v>
      </c>
      <c r="H1445" s="6" t="n">
        <f aca="false">(Sens!C1440*IF(5&lt;life_fac,1,IF(5=life_fac,0.5,0))+Sens!D1440*IF(4&lt;life_fac,1,IF(4=life_fac,0.5,0))+Sens!E1440*IF(3&lt;life_fac,1,IF(3=life_fac,0.5,0))+Sens!F1440*IF(2&lt;life_fac,1,IF(2=life_fac,0.5,0))+Sens!G1440*IF(1&lt;life_fac,1,IF(1=life_fac,0.5,0))+Sens!H1440*0.5)/life_fac</f>
        <v>5.582402</v>
      </c>
      <c r="I1445" s="6" t="n">
        <f aca="false">(Sens!C1440*IF(6&lt;life_fac,1,IF(6=life_fac,0.5,0))+Sens!D1440*IF(5&lt;life_fac,1,IF(5=life_fac,0.5,0))+Sens!E1440*IF(4&lt;life_fac,1,IF(4=life_fac,0.5,0))+Sens!F1440*IF(3&lt;life_fac,1,IF(3=life_fac,0.5,0))+Sens!G1440*IF(2&lt;life_fac,1,IF(2=life_fac,0.5,0))+Sens!H1440*IF(1&lt;life_fac,1,IF(1=life_fac,0.5,0))+Sens!I1440*0.5)/life_fac</f>
        <v>6.950862093</v>
      </c>
      <c r="J1445" s="6" t="n">
        <f aca="false">(Sens!C1440*IF(7&lt;life_fac,1,IF(7=life_fac,0.5,0))+Sens!D1440*IF(6&lt;life_fac,1,IF(6=life_fac,0.5,0))+Sens!E1440*IF(5&lt;life_fac,1,IF(5=life_fac,0.5,0))+Sens!F1440*IF(4&lt;life_fac,1,IF(4=life_fac,0.5,0))+Sens!G1440*IF(3&lt;life_fac,1,IF(3=life_fac,0.5,0))+Sens!H1440*IF(2&lt;life_fac,1,IF(2=life_fac,0.5,0))+Sens!I1440*IF(1&lt;life_fac,1,IF(1=life_fac,0.5,0))+Sens!J1440*0.5)/life_fac</f>
        <v>7.854279972</v>
      </c>
      <c r="K1445" s="6" t="n">
        <f aca="false">(Sens!C1440*IF(8&lt;life_fac,1,IF(8=life_fac,0.5,0))+Sens!D1440*IF(7&lt;life_fac,1,IF(7=life_fac,0.5,0))+Sens!E1440*IF(6&lt;life_fac,1,IF(6=life_fac,0.5,0))+Sens!F1440*IF(5&lt;life_fac,1,IF(5=life_fac,0.5,0))+Sens!G1440*IF(4&lt;life_fac,1,IF(4=life_fac,0.5,0))+Sens!H1440*IF(3&lt;life_fac,1,IF(3=life_fac,0.5,0))+Sens!I1440*IF(2&lt;life_fac,1,IF(2=life_fac,0.5,0))+Sens!J1440*IF(1&lt;life_fac,1,IF(1=life_fac,0.5,0))+Sens!K1440*0.5)/life_fac</f>
        <v>8.292655637</v>
      </c>
    </row>
    <row r="1446" customFormat="false" ht="17.15" hidden="false" customHeight="false" outlineLevel="0" collapsed="false">
      <c r="A1446" s="0" t="s">
        <v>844</v>
      </c>
      <c r="B1446" s="0" t="s">
        <v>98</v>
      </c>
      <c r="E1446" s="6" t="n">
        <f aca="false">Sens!E1444+Sens!E1445</f>
        <v>16.3054059770833</v>
      </c>
      <c r="F1446" s="6" t="n">
        <f aca="false">Sens!F1444+Sens!F1445</f>
        <v>34.7405354558698</v>
      </c>
      <c r="G1446" s="6" t="n">
        <f aca="false">Sens!G1444+Sens!G1445</f>
        <v>60.5067332603396</v>
      </c>
      <c r="H1446" s="6" t="n">
        <f aca="false">Sens!H1444+Sens!H1445</f>
        <v>87.7423159931396</v>
      </c>
      <c r="I1446" s="6" t="n">
        <f aca="false">Sens!I1444+Sens!I1445</f>
        <v>111.987039982221</v>
      </c>
      <c r="J1446" s="6" t="n">
        <f aca="false">Sens!J1444+Sens!J1445</f>
        <v>129.183710922666</v>
      </c>
      <c r="K1446" s="6" t="n">
        <f aca="false">Sens!K1444+Sens!K1445</f>
        <v>139.647646804474</v>
      </c>
    </row>
    <row r="1447" customFormat="false" ht="17.15" hidden="false" customHeight="false" outlineLevel="0" collapsed="false">
      <c r="A1447" s="0" t="s">
        <v>845</v>
      </c>
      <c r="B1447" s="0" t="s">
        <v>98</v>
      </c>
      <c r="E1447" s="6" t="n">
        <f aca="false">Sens!E1435-Sens!E1434*Sens!E1446</f>
        <v>8.92707889977379</v>
      </c>
      <c r="F1447" s="6" t="n">
        <f aca="false">Sens!F1435-Sens!F1434*Sens!F1446</f>
        <v>26.8747204619158</v>
      </c>
      <c r="G1447" s="6" t="n">
        <f aca="false">Sens!G1435-Sens!G1434*Sens!G1446</f>
        <v>43.6662957994604</v>
      </c>
      <c r="H1447" s="6" t="n">
        <f aca="false">Sens!H1435-Sens!H1434*Sens!H1446</f>
        <v>61.2995999985063</v>
      </c>
      <c r="I1447" s="6" t="n">
        <f aca="false">Sens!I1435-Sens!I1434*Sens!I1446</f>
        <v>76.9541360682782</v>
      </c>
      <c r="J1447" s="6" t="n">
        <f aca="false">Sens!J1435-Sens!J1434*Sens!J1446</f>
        <v>87.8258879245138</v>
      </c>
      <c r="K1447" s="6" t="n">
        <f aca="false">Sens!K1435-Sens!K1434*Sens!K1446</f>
        <v>95.0858148017248</v>
      </c>
    </row>
    <row r="1448" customFormat="false" ht="17.15" hidden="false" customHeight="false" outlineLevel="0" collapsed="false">
      <c r="A1448" s="3" t="s">
        <v>1270</v>
      </c>
    </row>
    <row r="1449" customFormat="false" ht="15" hidden="false" customHeight="false" outlineLevel="0" collapsed="false">
      <c r="A1449" s="4" t="s">
        <v>43</v>
      </c>
      <c r="B1449" s="4" t="s">
        <v>65</v>
      </c>
      <c r="C1449" s="20" t="s">
        <v>788</v>
      </c>
      <c r="D1449" s="20" t="s">
        <v>789</v>
      </c>
      <c r="E1449" s="20" t="s">
        <v>790</v>
      </c>
      <c r="F1449" s="20" t="s">
        <v>791</v>
      </c>
      <c r="G1449" s="20" t="s">
        <v>792</v>
      </c>
      <c r="H1449" s="20" t="s">
        <v>793</v>
      </c>
      <c r="I1449" s="20" t="s">
        <v>794</v>
      </c>
      <c r="J1449" s="20" t="s">
        <v>795</v>
      </c>
      <c r="K1449" s="20" t="s">
        <v>796</v>
      </c>
      <c r="L1449" s="4" t="s">
        <v>47</v>
      </c>
    </row>
    <row r="1450" customFormat="false" ht="17.15" hidden="false" customHeight="false" outlineLevel="0" collapsed="false">
      <c r="A1450" s="0" t="s">
        <v>864</v>
      </c>
      <c r="B1450" s="0" t="s">
        <v>98</v>
      </c>
      <c r="D1450" s="6" t="n">
        <f aca="false">Sens!D1429</f>
        <v>12.9359794422418</v>
      </c>
      <c r="E1450" s="6" t="n">
        <f aca="false">Sens!E1429</f>
        <v>27.8095064661409</v>
      </c>
      <c r="F1450" s="6" t="n">
        <f aca="false">Sens!F1429</f>
        <v>63.3236075612023</v>
      </c>
      <c r="G1450" s="6" t="n">
        <f aca="false">Sens!G1429</f>
        <v>102.868122516912</v>
      </c>
      <c r="H1450" s="6" t="n">
        <f aca="false">Sens!H1429</f>
        <v>143.560975347405</v>
      </c>
      <c r="I1450" s="6" t="n">
        <f aca="false">Sens!I1429</f>
        <v>179.582229305308</v>
      </c>
      <c r="J1450" s="6" t="n">
        <f aca="false">Sens!J1429</f>
        <v>204.693743684635</v>
      </c>
      <c r="K1450" s="6" t="n">
        <f aca="false">Sens!K1429</f>
        <v>220.336667039419</v>
      </c>
    </row>
    <row r="1451" customFormat="false" ht="17.15" hidden="false" customHeight="false" outlineLevel="0" collapsed="false">
      <c r="A1451" s="0" t="s">
        <v>865</v>
      </c>
      <c r="B1451" s="0" t="s">
        <v>98</v>
      </c>
      <c r="D1451" s="6" t="n">
        <f aca="false">Q!L6-Sens!D1450</f>
        <v>59.6740205577583</v>
      </c>
      <c r="E1451" s="6" t="n">
        <f aca="false">Q!M6-Sens!E1450</f>
        <v>74.1284935338591</v>
      </c>
      <c r="F1451" s="6" t="n">
        <f aca="false">Sens!E1451*(1+Sens!F1452)</f>
        <v>90.0799497373663</v>
      </c>
      <c r="G1451" s="6" t="n">
        <f aca="false">Sens!F1451*(1+Sens!G1452)</f>
        <v>107.02842520331</v>
      </c>
      <c r="H1451" s="6" t="n">
        <f aca="false">Sens!G1451*(1+Sens!H1452)</f>
        <v>124.271982585636</v>
      </c>
      <c r="I1451" s="6" t="n">
        <f aca="false">Sens!H1451*(1+Sens!I1452)</f>
        <v>140.933702381855</v>
      </c>
      <c r="J1451" s="6" t="n">
        <f aca="false">Sens!I1451*(1+Sens!J1452)</f>
        <v>156.018867314332</v>
      </c>
      <c r="K1451" s="6" t="n">
        <f aca="false">Sens!J1451*(1+Sens!K1452)</f>
        <v>168.500376699478</v>
      </c>
    </row>
    <row r="1452" customFormat="false" ht="15" hidden="false" customHeight="false" outlineLevel="0" collapsed="false">
      <c r="A1452" s="1" t="s">
        <v>866</v>
      </c>
      <c r="B1452" s="0" t="s">
        <v>129</v>
      </c>
      <c r="E1452" s="7" t="n">
        <f aca="false">Sens!E1451/Sens!D1451-1</f>
        <v>0.242223883039864</v>
      </c>
      <c r="F1452" s="7" t="n">
        <f aca="false">Sens!$E$1452+(glt_azo-Sens!$E$1452)*MIN(1,(Sens!F1412-base_fy)/n_conv)</f>
        <v>0.215186569199887</v>
      </c>
      <c r="G1452" s="7" t="n">
        <f aca="false">Sens!$E$1452+(glt_azo-Sens!$E$1452)*MIN(1,(Sens!G1412-base_fy)/n_conv)</f>
        <v>0.18814925535991</v>
      </c>
      <c r="H1452" s="7" t="n">
        <f aca="false">Sens!$E$1452+(glt_azo-Sens!$E$1452)*MIN(1,(Sens!H1412-base_fy)/n_conv)</f>
        <v>0.161111941519932</v>
      </c>
      <c r="I1452" s="7" t="n">
        <f aca="false">Sens!$E$1452+(glt_azo-Sens!$E$1452)*MIN(1,(Sens!I1412-base_fy)/n_conv)</f>
        <v>0.134074627679955</v>
      </c>
      <c r="J1452" s="7" t="n">
        <f aca="false">Sens!$E$1452+(glt_azo-Sens!$E$1452)*MIN(1,(Sens!J1412-base_fy)/n_conv)</f>
        <v>0.107037313839977</v>
      </c>
      <c r="K1452" s="7" t="n">
        <f aca="false">Sens!$E$1452+(glt_azo-Sens!$E$1452)*MIN(1,(Sens!K1412-base_fy)/n_conv)</f>
        <v>0.08</v>
      </c>
    </row>
    <row r="1453" customFormat="false" ht="15" hidden="false" customHeight="false" outlineLevel="0" collapsed="false">
      <c r="A1453" s="0" t="s">
        <v>867</v>
      </c>
      <c r="B1453" s="0" t="s">
        <v>98</v>
      </c>
      <c r="D1453" s="6" t="n">
        <f aca="false">Sens!D1450+Sens!D1451</f>
        <v>72.61</v>
      </c>
      <c r="E1453" s="6" t="n">
        <f aca="false">Sens!E1450+Sens!E1451</f>
        <v>101.938</v>
      </c>
      <c r="F1453" s="6" t="n">
        <f aca="false">Sens!F1450+Sens!F1451</f>
        <v>153.403557298569</v>
      </c>
      <c r="G1453" s="6" t="n">
        <f aca="false">Sens!G1450+Sens!G1451</f>
        <v>209.896547720222</v>
      </c>
      <c r="H1453" s="6" t="n">
        <f aca="false">Sens!H1450+Sens!H1451</f>
        <v>267.832957933041</v>
      </c>
      <c r="I1453" s="6" t="n">
        <f aca="false">Sens!I1450+Sens!I1451</f>
        <v>320.515931687162</v>
      </c>
      <c r="J1453" s="6" t="n">
        <f aca="false">Sens!J1450+Sens!J1451</f>
        <v>360.712610998967</v>
      </c>
      <c r="K1453" s="6" t="n">
        <f aca="false">Sens!K1450+Sens!K1451</f>
        <v>388.837043738897</v>
      </c>
    </row>
    <row r="1454" customFormat="false" ht="17.15" hidden="false" customHeight="false" outlineLevel="0" collapsed="false">
      <c r="A1454" s="0" t="s">
        <v>868</v>
      </c>
      <c r="B1454" s="1" t="s">
        <v>521</v>
      </c>
      <c r="C1454" s="29" t="n">
        <f aca="false">cop_s24</f>
        <v>1</v>
      </c>
      <c r="D1454" s="29" t="n">
        <f aca="false">cop_s25</f>
        <v>5</v>
      </c>
      <c r="E1454" s="29" t="n">
        <f aca="false">cop_s26</f>
        <v>30</v>
      </c>
      <c r="F1454" s="29" t="n">
        <f aca="false">Sens!E1454+cop_add_B</f>
        <v>50</v>
      </c>
      <c r="G1454" s="29" t="n">
        <f aca="false">Sens!F1454+cop_add_B</f>
        <v>70</v>
      </c>
      <c r="H1454" s="29" t="n">
        <f aca="false">Sens!G1454+cop_add_B</f>
        <v>90</v>
      </c>
      <c r="I1454" s="29" t="n">
        <f aca="false">Sens!H1454+cop_add_B*cop_tail</f>
        <v>100</v>
      </c>
      <c r="J1454" s="29" t="n">
        <f aca="false">Sens!I1454+cop_add_B*cop_tail</f>
        <v>110</v>
      </c>
      <c r="K1454" s="29" t="n">
        <f aca="false">Sens!J1454+cop_add_B*cop_tail</f>
        <v>120</v>
      </c>
      <c r="L1454" s="11" t="s">
        <v>869</v>
      </c>
    </row>
    <row r="1455" customFormat="false" ht="17.15" hidden="false" customHeight="false" outlineLevel="0" collapsed="false">
      <c r="A1455" s="0" t="s">
        <v>870</v>
      </c>
      <c r="B1455" s="0" t="s">
        <v>98</v>
      </c>
      <c r="D1455" s="6" t="n">
        <f aca="false">(Sens!C1454+Sens!D1454)/2*cop_px*12/1000</f>
        <v>0.9</v>
      </c>
      <c r="E1455" s="6" t="n">
        <f aca="false">(Sens!D1454+Sens!E1454)/2*cop_px*12/1000</f>
        <v>5.25</v>
      </c>
      <c r="F1455" s="6" t="n">
        <f aca="false">(Sens!E1454+Sens!F1454)/2*cop_px*12/1000</f>
        <v>12</v>
      </c>
      <c r="G1455" s="6" t="n">
        <f aca="false">(Sens!F1454+Sens!G1454)/2*cop_px*12/1000</f>
        <v>18</v>
      </c>
      <c r="H1455" s="6" t="n">
        <f aca="false">(Sens!G1454+Sens!H1454)/2*cop_px*12/1000</f>
        <v>24</v>
      </c>
      <c r="I1455" s="6" t="n">
        <f aca="false">(Sens!H1454+Sens!I1454)/2*cop_px*12/1000</f>
        <v>28.5</v>
      </c>
      <c r="J1455" s="6" t="n">
        <f aca="false">(Sens!I1454+Sens!J1454)/2*cop_px*12/1000</f>
        <v>31.5</v>
      </c>
      <c r="K1455" s="6" t="n">
        <f aca="false">(Sens!J1454+Sens!K1454)/2*cop_px*12/1000</f>
        <v>34.5</v>
      </c>
      <c r="L1455" s="1" t="s">
        <v>871</v>
      </c>
    </row>
    <row r="1456" customFormat="false" ht="17.15" hidden="false" customHeight="false" outlineLevel="0" collapsed="false">
      <c r="A1456" s="0" t="s">
        <v>872</v>
      </c>
      <c r="B1456" s="0" t="s">
        <v>98</v>
      </c>
      <c r="D1456" s="6" t="n">
        <f aca="false">Q!L7-Sens!D1455</f>
        <v>83.705</v>
      </c>
      <c r="E1456" s="6" t="n">
        <f aca="false">Q!M7-Sens!E1455</f>
        <v>95.049</v>
      </c>
      <c r="F1456" s="6" t="n">
        <f aca="false">Sens!E1456*(1+Sens!F1457)</f>
        <v>106.89238776686</v>
      </c>
      <c r="G1456" s="6" t="n">
        <f aca="false">Sens!F1456*(1+Sens!G1457)</f>
        <v>119.044168448684</v>
      </c>
      <c r="H1456" s="6" t="n">
        <f aca="false">Sens!G1456*(1+Sens!H1457)</f>
        <v>131.277359388781</v>
      </c>
      <c r="I1456" s="6" t="n">
        <f aca="false">Sens!H1456*(1+Sens!I1457)</f>
        <v>143.334028071957</v>
      </c>
      <c r="J1456" s="6" t="n">
        <f aca="false">Sens!I1456*(1+Sens!J1457)</f>
        <v>154.932702785465</v>
      </c>
      <c r="K1456" s="6" t="n">
        <f aca="false">Sens!J1456*(1+Sens!K1457)</f>
        <v>165.777991980448</v>
      </c>
    </row>
    <row r="1457" customFormat="false" ht="15" hidden="false" customHeight="false" outlineLevel="0" collapsed="false">
      <c r="A1457" s="1" t="s">
        <v>866</v>
      </c>
      <c r="B1457" s="0" t="s">
        <v>129</v>
      </c>
      <c r="E1457" s="7" t="n">
        <f aca="false">Sens!E1456/Sens!D1456-1</f>
        <v>0.135523564900544</v>
      </c>
      <c r="F1457" s="7" t="n">
        <f aca="false">Sens!$E$1457+(glt_m365b-Sens!$E$1457)*MIN(1,(Sens!F1412-base_fy)/n_conv)</f>
        <v>0.124602970750453</v>
      </c>
      <c r="G1457" s="7" t="n">
        <f aca="false">Sens!$E$1457+(glt_m365b-Sens!$E$1457)*MIN(1,(Sens!G1412-base_fy)/n_conv)</f>
        <v>0.113682376600363</v>
      </c>
      <c r="H1457" s="7" t="n">
        <f aca="false">Sens!$E$1457+(glt_m365b-Sens!$E$1457)*MIN(1,(Sens!H1412-base_fy)/n_conv)</f>
        <v>0.102761782450272</v>
      </c>
      <c r="I1457" s="7" t="n">
        <f aca="false">Sens!$E$1457+(glt_m365b-Sens!$E$1457)*MIN(1,(Sens!I1412-base_fy)/n_conv)</f>
        <v>0.0918411883001813</v>
      </c>
      <c r="J1457" s="7" t="n">
        <f aca="false">Sens!$E$1457+(glt_m365b-Sens!$E$1457)*MIN(1,(Sens!J1412-base_fy)/n_conv)</f>
        <v>0.0809205941500906</v>
      </c>
      <c r="K1457" s="7" t="n">
        <f aca="false">Sens!$E$1457+(glt_m365b-Sens!$E$1457)*MIN(1,(Sens!K1412-base_fy)/n_conv)</f>
        <v>0.07</v>
      </c>
    </row>
    <row r="1458" customFormat="false" ht="15" hidden="false" customHeight="false" outlineLevel="0" collapsed="false">
      <c r="A1458" s="0" t="s">
        <v>873</v>
      </c>
      <c r="B1458" s="0" t="s">
        <v>98</v>
      </c>
      <c r="D1458" s="6" t="n">
        <f aca="false">Sens!D1456+Sens!D1455</f>
        <v>84.605</v>
      </c>
      <c r="E1458" s="6" t="n">
        <f aca="false">Sens!E1456+Sens!E1455</f>
        <v>100.299</v>
      </c>
      <c r="F1458" s="6" t="n">
        <f aca="false">Sens!F1456+Sens!F1455</f>
        <v>118.89238776686</v>
      </c>
      <c r="G1458" s="6" t="n">
        <f aca="false">Sens!G1456+Sens!G1455</f>
        <v>137.044168448684</v>
      </c>
      <c r="H1458" s="6" t="n">
        <f aca="false">Sens!H1456+Sens!H1455</f>
        <v>155.277359388781</v>
      </c>
      <c r="I1458" s="6" t="n">
        <f aca="false">Sens!I1456+Sens!I1455</f>
        <v>171.834028071957</v>
      </c>
      <c r="J1458" s="6" t="n">
        <f aca="false">Sens!J1456+Sens!J1455</f>
        <v>186.432702785465</v>
      </c>
      <c r="K1458" s="6" t="n">
        <f aca="false">Sens!K1456+Sens!K1455</f>
        <v>200.277991980448</v>
      </c>
    </row>
    <row r="1459" customFormat="false" ht="15" hidden="false" customHeight="false" outlineLevel="0" collapsed="false">
      <c r="A1459" s="0" t="s">
        <v>874</v>
      </c>
      <c r="B1459" s="0" t="s">
        <v>98</v>
      </c>
      <c r="D1459" s="6" t="n">
        <f aca="false">Q!L8</f>
        <v>35.391</v>
      </c>
      <c r="E1459" s="6" t="n">
        <f aca="false">Q!M8</f>
        <v>37.285</v>
      </c>
      <c r="F1459" s="6" t="n">
        <f aca="false">Sens!E1459*(1+Sens!F1460)</f>
        <v>39.0720834331704</v>
      </c>
      <c r="G1459" s="6" t="n">
        <f aca="false">Sens!F1459*(1+Sens!G1460)</f>
        <v>40.726562953769</v>
      </c>
      <c r="H1459" s="6" t="n">
        <f aca="false">Sens!G1459*(1+Sens!H1460)</f>
        <v>42.2235987259198</v>
      </c>
      <c r="I1459" s="6" t="n">
        <f aca="false">Sens!H1459*(1+Sens!I1460)</f>
        <v>43.5397988077414</v>
      </c>
      <c r="J1459" s="6" t="n">
        <f aca="false">Sens!I1459*(1+Sens!J1460)</f>
        <v>44.653811225693</v>
      </c>
      <c r="K1459" s="6" t="n">
        <f aca="false">Sens!J1459*(1+Sens!K1460)</f>
        <v>45.5468874502068</v>
      </c>
    </row>
    <row r="1460" customFormat="false" ht="15" hidden="false" customHeight="false" outlineLevel="0" collapsed="false">
      <c r="A1460" s="1" t="s">
        <v>866</v>
      </c>
      <c r="B1460" s="0" t="s">
        <v>129</v>
      </c>
      <c r="E1460" s="7" t="n">
        <f aca="false">Sens!E1459/Sens!D1459-1</f>
        <v>0.0535164307309768</v>
      </c>
      <c r="F1460" s="7" t="n">
        <f aca="false">Sens!$E$1460+(glt_lic-Sens!$E$1460)*MIN(1,(Sens!F1412-base_fy)/n_conv)</f>
        <v>0.0479303589424807</v>
      </c>
      <c r="G1460" s="7" t="n">
        <f aca="false">Sens!$E$1460+(glt_lic-Sens!$E$1460)*MIN(1,(Sens!G1412-base_fy)/n_conv)</f>
        <v>0.0423442871539845</v>
      </c>
      <c r="H1460" s="7" t="n">
        <f aca="false">Sens!$E$1460+(glt_lic-Sens!$E$1460)*MIN(1,(Sens!H1412-base_fy)/n_conv)</f>
        <v>0.0367582153654884</v>
      </c>
      <c r="I1460" s="7" t="n">
        <f aca="false">Sens!$E$1460+(glt_lic-Sens!$E$1460)*MIN(1,(Sens!I1412-base_fy)/n_conv)</f>
        <v>0.0311721435769923</v>
      </c>
      <c r="J1460" s="7" t="n">
        <f aca="false">Sens!$E$1460+(glt_lic-Sens!$E$1460)*MIN(1,(Sens!J1412-base_fy)/n_conv)</f>
        <v>0.0255860717884961</v>
      </c>
      <c r="K1460" s="7" t="n">
        <f aca="false">Sens!$E$1460+(glt_lic-Sens!$E$1460)*MIN(1,(Sens!K1412-base_fy)/n_conv)</f>
        <v>0.02</v>
      </c>
    </row>
    <row r="1461" customFormat="false" ht="15" hidden="false" customHeight="false" outlineLevel="0" collapsed="false">
      <c r="A1461" s="0" t="s">
        <v>875</v>
      </c>
      <c r="B1461" s="0" t="s">
        <v>98</v>
      </c>
      <c r="D1461" s="6" t="n">
        <f aca="false">Q!L9</f>
        <v>18.417</v>
      </c>
      <c r="E1461" s="6" t="n">
        <f aca="false">Q!M9</f>
        <v>20.345</v>
      </c>
      <c r="F1461" s="6" t="n">
        <f aca="false">Sens!E1461*(1+Sens!F1462)</f>
        <v>22.3572203267814</v>
      </c>
      <c r="G1461" s="6" t="n">
        <f aca="false">Sens!F1461*(1+Sens!G1462)</f>
        <v>24.4392124437232</v>
      </c>
      <c r="H1461" s="6" t="n">
        <f aca="false">Sens!G1461*(1+Sens!H1462)</f>
        <v>26.5738052080665</v>
      </c>
      <c r="I1461" s="6" t="n">
        <f aca="false">Sens!H1461*(1+Sens!I1462)</f>
        <v>28.7412169166967</v>
      </c>
      <c r="J1461" s="6" t="n">
        <f aca="false">Sens!I1461*(1+Sens!J1462)</f>
        <v>30.9192545395413</v>
      </c>
      <c r="K1461" s="6" t="n">
        <f aca="false">Sens!J1461*(1+Sens!K1462)</f>
        <v>33.0836023573092</v>
      </c>
    </row>
    <row r="1462" customFormat="false" ht="15" hidden="false" customHeight="false" outlineLevel="0" collapsed="false">
      <c r="A1462" s="1" t="s">
        <v>866</v>
      </c>
      <c r="B1462" s="0" t="s">
        <v>129</v>
      </c>
      <c r="E1462" s="7" t="n">
        <f aca="false">Sens!E1461/Sens!D1461-1</f>
        <v>0.104685888038225</v>
      </c>
      <c r="F1462" s="7" t="n">
        <f aca="false">Sens!$E$1462+(glt_ind-Sens!$E$1462)*MIN(1,(Sens!F1412-base_fy)/n_conv)</f>
        <v>0.0989049066985211</v>
      </c>
      <c r="G1462" s="7" t="n">
        <f aca="false">Sens!$E$1462+(glt_ind-Sens!$E$1462)*MIN(1,(Sens!G1412-base_fy)/n_conv)</f>
        <v>0.0931239253588169</v>
      </c>
      <c r="H1462" s="7" t="n">
        <f aca="false">Sens!$E$1462+(glt_ind-Sens!$E$1462)*MIN(1,(Sens!H1412-base_fy)/n_conv)</f>
        <v>0.0873429440191127</v>
      </c>
      <c r="I1462" s="7" t="n">
        <f aca="false">Sens!$E$1462+(glt_ind-Sens!$E$1462)*MIN(1,(Sens!I1412-base_fy)/n_conv)</f>
        <v>0.0815619626794085</v>
      </c>
      <c r="J1462" s="7" t="n">
        <f aca="false">Sens!$E$1462+(glt_ind-Sens!$E$1462)*MIN(1,(Sens!J1412-base_fy)/n_conv)</f>
        <v>0.0757809813397042</v>
      </c>
      <c r="K1462" s="7" t="n">
        <f aca="false">Sens!$E$1462+(glt_ind-Sens!$E$1462)*MIN(1,(Sens!K1412-base_fy)/n_conv)</f>
        <v>0.07</v>
      </c>
    </row>
    <row r="1463" customFormat="false" ht="15" hidden="false" customHeight="false" outlineLevel="0" collapsed="false">
      <c r="A1463" s="0" t="s">
        <v>876</v>
      </c>
      <c r="B1463" s="0" t="s">
        <v>98</v>
      </c>
      <c r="D1463" s="6" t="n">
        <f aca="false">Q!L10</f>
        <v>7.76</v>
      </c>
      <c r="E1463" s="6" t="n">
        <f aca="false">Q!M10</f>
        <v>8.26</v>
      </c>
      <c r="F1463" s="6" t="n">
        <f aca="false">Sens!E1463*(1+Sens!F1464)</f>
        <v>8.79988041237113</v>
      </c>
      <c r="G1463" s="6" t="n">
        <f aca="false">Sens!F1463*(1+Sens!G1464)</f>
        <v>9.38321269125306</v>
      </c>
      <c r="H1463" s="6" t="n">
        <f aca="false">Sens!G1463*(1+Sens!H1464)</f>
        <v>10.0139193587476</v>
      </c>
      <c r="I1463" s="6" t="n">
        <f aca="false">Sens!H1463*(1+Sens!I1464)</f>
        <v>10.6963111830911</v>
      </c>
      <c r="J1463" s="6" t="n">
        <f aca="false">Sens!I1463*(1+Sens!J1464)</f>
        <v>11.4351285534696</v>
      </c>
      <c r="K1463" s="6" t="n">
        <f aca="false">Sens!J1463*(1+Sens!K1464)</f>
        <v>12.2355875522124</v>
      </c>
    </row>
    <row r="1464" customFormat="false" ht="15" hidden="false" customHeight="false" outlineLevel="0" collapsed="false">
      <c r="A1464" s="1" t="s">
        <v>866</v>
      </c>
      <c r="B1464" s="0" t="s">
        <v>129</v>
      </c>
      <c r="E1464" s="7" t="n">
        <f aca="false">Sens!E1463/Sens!D1463-1</f>
        <v>0.0644329896907216</v>
      </c>
      <c r="F1464" s="7" t="n">
        <f aca="false">Sens!$E$1464+(glt_fro-Sens!$E$1464)*MIN(1,(Sens!F1412-base_fy)/n_conv)</f>
        <v>0.065360824742268</v>
      </c>
      <c r="G1464" s="7" t="n">
        <f aca="false">Sens!$E$1464+(glt_fro-Sens!$E$1464)*MIN(1,(Sens!G1412-base_fy)/n_conv)</f>
        <v>0.0662886597938144</v>
      </c>
      <c r="H1464" s="7" t="n">
        <f aca="false">Sens!$E$1464+(glt_fro-Sens!$E$1464)*MIN(1,(Sens!H1412-base_fy)/n_conv)</f>
        <v>0.0672164948453608</v>
      </c>
      <c r="I1464" s="7" t="n">
        <f aca="false">Sens!$E$1464+(glt_fro-Sens!$E$1464)*MIN(1,(Sens!I1412-base_fy)/n_conv)</f>
        <v>0.0681443298969072</v>
      </c>
      <c r="J1464" s="7" t="n">
        <f aca="false">Sens!$E$1464+(glt_fro-Sens!$E$1464)*MIN(1,(Sens!J1412-base_fy)/n_conv)</f>
        <v>0.0690721649484536</v>
      </c>
      <c r="K1464" s="7" t="n">
        <f aca="false">Sens!$E$1464+(glt_fro-Sens!$E$1464)*MIN(1,(Sens!K1412-base_fy)/n_conv)</f>
        <v>0.07</v>
      </c>
    </row>
    <row r="1465" customFormat="false" ht="15" hidden="false" customHeight="false" outlineLevel="0" collapsed="false">
      <c r="A1465" s="0" t="s">
        <v>704</v>
      </c>
      <c r="B1465" s="0" t="s">
        <v>98</v>
      </c>
      <c r="D1465" s="6" t="n">
        <f aca="false">Sens!D1453+Sens!D1458+Sens!D1459+Sens!D1461+Sens!D1463</f>
        <v>218.783</v>
      </c>
      <c r="E1465" s="6" t="n">
        <f aca="false">Sens!E1453+Sens!E1458+Sens!E1459+Sens!E1461+Sens!E1463</f>
        <v>268.127</v>
      </c>
      <c r="F1465" s="6" t="n">
        <f aca="false">Sens!F1453+Sens!F1458+Sens!F1459+Sens!F1461+Sens!F1463</f>
        <v>342.525129237751</v>
      </c>
      <c r="G1465" s="6" t="n">
        <f aca="false">Sens!G1453+Sens!G1458+Sens!G1459+Sens!G1461+Sens!G1463</f>
        <v>421.489704257651</v>
      </c>
      <c r="H1465" s="6" t="n">
        <f aca="false">Sens!H1453+Sens!H1458+Sens!H1459+Sens!H1461+Sens!H1463</f>
        <v>501.921640614556</v>
      </c>
      <c r="I1465" s="6" t="n">
        <f aca="false">Sens!I1453+Sens!I1458+Sens!I1459+Sens!I1461+Sens!I1463</f>
        <v>575.327286666648</v>
      </c>
      <c r="J1465" s="6" t="n">
        <f aca="false">Sens!J1453+Sens!J1458+Sens!J1459+Sens!J1461+Sens!J1463</f>
        <v>634.153508103136</v>
      </c>
      <c r="K1465" s="6" t="n">
        <f aca="false">Sens!K1453+Sens!K1458+Sens!K1459+Sens!K1461+Sens!K1463</f>
        <v>679.981113079073</v>
      </c>
    </row>
    <row r="1466" customFormat="false" ht="15" hidden="false" customHeight="false" outlineLevel="0" collapsed="false">
      <c r="A1466" s="0" t="s">
        <v>877</v>
      </c>
      <c r="B1466" s="0" t="s">
        <v>98</v>
      </c>
      <c r="D1466" s="6" t="n">
        <f aca="false">Q!L13</f>
        <v>22.171</v>
      </c>
      <c r="E1466" s="6" t="n">
        <f aca="false">Q!M13</f>
        <v>24.835</v>
      </c>
      <c r="F1466" s="6" t="n">
        <f aca="false">Sens!E1466*(1+Sens!F1467)</f>
        <v>27.6114901218559</v>
      </c>
      <c r="G1466" s="6" t="n">
        <f aca="false">Sens!F1466*(1+Sens!G1467)</f>
        <v>30.4675667338515</v>
      </c>
      <c r="H1466" s="6" t="n">
        <f aca="false">Sens!G1466*(1+Sens!H1467)</f>
        <v>33.3643766955789</v>
      </c>
      <c r="I1466" s="6" t="n">
        <f aca="false">Sens!H1466*(1+Sens!I1467)</f>
        <v>36.2577016533691</v>
      </c>
      <c r="J1466" s="6" t="n">
        <f aca="false">Sens!I1466*(1+Sens!J1467)</f>
        <v>39.0988367952171</v>
      </c>
      <c r="K1466" s="6" t="n">
        <f aca="false">Sens!J1466*(1+Sens!K1467)</f>
        <v>41.8357553708823</v>
      </c>
    </row>
    <row r="1467" customFormat="false" ht="15" hidden="false" customHeight="false" outlineLevel="0" collapsed="false">
      <c r="A1467" s="1" t="s">
        <v>866</v>
      </c>
      <c r="B1467" s="0" t="s">
        <v>129</v>
      </c>
      <c r="E1467" s="7" t="n">
        <f aca="false">Sens!E1466/Sens!D1466-1</f>
        <v>0.120156961796942</v>
      </c>
      <c r="F1467" s="7" t="n">
        <f aca="false">Sens!$E$1467+(glt_srch-Sens!$E$1467)*MIN(1,(Sens!F1412-base_fy)/n_conv)</f>
        <v>0.111797468164118</v>
      </c>
      <c r="G1467" s="7" t="n">
        <f aca="false">Sens!$E$1467+(glt_srch-Sens!$E$1467)*MIN(1,(Sens!G1412-base_fy)/n_conv)</f>
        <v>0.103437974531295</v>
      </c>
      <c r="H1467" s="7" t="n">
        <f aca="false">Sens!$E$1467+(glt_srch-Sens!$E$1467)*MIN(1,(Sens!H1412-base_fy)/n_conv)</f>
        <v>0.095078480898471</v>
      </c>
      <c r="I1467" s="7" t="n">
        <f aca="false">Sens!$E$1467+(glt_srch-Sens!$E$1467)*MIN(1,(Sens!I1412-base_fy)/n_conv)</f>
        <v>0.0867189872656474</v>
      </c>
      <c r="J1467" s="7" t="n">
        <f aca="false">Sens!$E$1467+(glt_srch-Sens!$E$1467)*MIN(1,(Sens!J1412-base_fy)/n_conv)</f>
        <v>0.0783594936328237</v>
      </c>
      <c r="K1467" s="7" t="n">
        <f aca="false">Sens!$E$1467+(glt_srch-Sens!$E$1467)*MIN(1,(Sens!K1412-base_fy)/n_conv)</f>
        <v>0.07</v>
      </c>
    </row>
    <row r="1468" customFormat="false" ht="15" hidden="false" customHeight="false" outlineLevel="0" collapsed="false">
      <c r="A1468" s="0" t="s">
        <v>878</v>
      </c>
      <c r="B1468" s="0" t="s">
        <v>98</v>
      </c>
      <c r="D1468" s="6" t="n">
        <f aca="false">Q!L14</f>
        <v>23.455</v>
      </c>
      <c r="E1468" s="6" t="n">
        <f aca="false">Q!M14</f>
        <v>21.79</v>
      </c>
      <c r="F1468" s="6" t="n">
        <f aca="false">Sens!E1468*(1+Sens!F1469)</f>
        <v>20.5736277908051</v>
      </c>
      <c r="G1468" s="6" t="n">
        <f aca="false">Sens!F1468*(1+Sens!G1469)</f>
        <v>19.7371452817919</v>
      </c>
      <c r="H1468" s="6" t="n">
        <f aca="false">Sens!G1468*(1+Sens!H1469)</f>
        <v>19.2339764043138</v>
      </c>
      <c r="I1468" s="6" t="n">
        <f aca="false">Sens!H1468*(1+Sens!I1469)</f>
        <v>19.0353086852681</v>
      </c>
      <c r="J1468" s="6" t="n">
        <f aca="false">Sens!I1468*(1+Sens!J1469)</f>
        <v>19.1273539319129</v>
      </c>
      <c r="K1468" s="6" t="n">
        <f aca="false">Sens!J1468*(1+Sens!K1469)</f>
        <v>19.5099010105511</v>
      </c>
    </row>
    <row r="1469" customFormat="false" ht="15" hidden="false" customHeight="false" outlineLevel="0" collapsed="false">
      <c r="A1469" s="1" t="s">
        <v>866</v>
      </c>
      <c r="B1469" s="0" t="s">
        <v>129</v>
      </c>
      <c r="E1469" s="7" t="n">
        <f aca="false">Sens!E1468/Sens!D1468-1</f>
        <v>-0.0709869963760392</v>
      </c>
      <c r="F1469" s="7" t="n">
        <f aca="false">Sens!$E$1469+(glt_xbox-Sens!$E$1469)*MIN(1,(Sens!F1412-base_fy)/n_conv)</f>
        <v>-0.0558224969800327</v>
      </c>
      <c r="G1469" s="7" t="n">
        <f aca="false">Sens!$E$1469+(glt_xbox-Sens!$E$1469)*MIN(1,(Sens!G1412-base_fy)/n_conv)</f>
        <v>-0.0406579975840262</v>
      </c>
      <c r="H1469" s="7" t="n">
        <f aca="false">Sens!$E$1469+(glt_xbox-Sens!$E$1469)*MIN(1,(Sens!H1412-base_fy)/n_conv)</f>
        <v>-0.0254934981880196</v>
      </c>
      <c r="I1469" s="7" t="n">
        <f aca="false">Sens!$E$1469+(glt_xbox-Sens!$E$1469)*MIN(1,(Sens!I1412-base_fy)/n_conv)</f>
        <v>-0.0103289987920131</v>
      </c>
      <c r="J1469" s="7" t="n">
        <f aca="false">Sens!$E$1469+(glt_xbox-Sens!$E$1469)*MIN(1,(Sens!J1412-base_fy)/n_conv)</f>
        <v>0.00483550060399347</v>
      </c>
      <c r="K1469" s="7" t="n">
        <f aca="false">Sens!$E$1469+(glt_xbox-Sens!$E$1469)*MIN(1,(Sens!K1412-base_fy)/n_conv)</f>
        <v>0.02</v>
      </c>
    </row>
    <row r="1470" customFormat="false" ht="15" hidden="false" customHeight="false" outlineLevel="0" collapsed="false">
      <c r="A1470" s="0" t="s">
        <v>879</v>
      </c>
      <c r="B1470" s="0" t="s">
        <v>98</v>
      </c>
      <c r="D1470" s="6" t="n">
        <f aca="false">Q!L15</f>
        <v>17.315</v>
      </c>
      <c r="E1470" s="6" t="n">
        <f aca="false">Q!M15</f>
        <v>17.087</v>
      </c>
      <c r="F1470" s="6" t="n">
        <f aca="false">Sens!E1470*(1+Sens!F1471)</f>
        <v>16.9564585436519</v>
      </c>
      <c r="G1470" s="6" t="n">
        <f aca="false">Sens!F1470*(1+Sens!G1471)</f>
        <v>16.9206490624268</v>
      </c>
      <c r="H1470" s="6" t="n">
        <f aca="false">Sens!G1470*(1+Sens!H1471)</f>
        <v>16.9784519149849</v>
      </c>
      <c r="I1470" s="6" t="n">
        <f aca="false">Sens!H1470*(1+Sens!I1471)</f>
        <v>17.1303084701817</v>
      </c>
      <c r="J1470" s="6" t="n">
        <f aca="false">Sens!I1470*(1+Sens!J1471)</f>
        <v>17.3782189407267</v>
      </c>
      <c r="K1470" s="6" t="n">
        <f aca="false">Sens!J1470*(1+Sens!K1471)</f>
        <v>17.7257833195413</v>
      </c>
    </row>
    <row r="1471" customFormat="false" ht="15" hidden="false" customHeight="false" outlineLevel="0" collapsed="false">
      <c r="A1471" s="1" t="s">
        <v>866</v>
      </c>
      <c r="B1471" s="0" t="s">
        <v>129</v>
      </c>
      <c r="E1471" s="7" t="n">
        <f aca="false">Sens!E1470/Sens!D1470-1</f>
        <v>-0.0131677736066995</v>
      </c>
      <c r="F1471" s="7" t="n">
        <f aca="false">Sens!$E$1471+(glt_win-Sens!$E$1471)*MIN(1,(Sens!F1412-base_fy)/n_conv)</f>
        <v>-0.00763981133891627</v>
      </c>
      <c r="G1471" s="7" t="n">
        <f aca="false">Sens!$E$1471+(glt_win-Sens!$E$1471)*MIN(1,(Sens!G1412-base_fy)/n_conv)</f>
        <v>-0.00211184907113301</v>
      </c>
      <c r="H1471" s="7" t="n">
        <f aca="false">Sens!$E$1471+(glt_win-Sens!$E$1471)*MIN(1,(Sens!H1412-base_fy)/n_conv)</f>
        <v>0.00341611319665024</v>
      </c>
      <c r="I1471" s="7" t="n">
        <f aca="false">Sens!$E$1471+(glt_win-Sens!$E$1471)*MIN(1,(Sens!I1412-base_fy)/n_conv)</f>
        <v>0.00894407546443349</v>
      </c>
      <c r="J1471" s="7" t="n">
        <f aca="false">Sens!$E$1471+(glt_win-Sens!$E$1471)*MIN(1,(Sens!J1412-base_fy)/n_conv)</f>
        <v>0.0144720377322168</v>
      </c>
      <c r="K1471" s="7" t="n">
        <f aca="false">Sens!$E$1471+(glt_win-Sens!$E$1471)*MIN(1,(Sens!K1412-base_fy)/n_conv)</f>
        <v>0.02</v>
      </c>
    </row>
    <row r="1472" customFormat="false" ht="15" hidden="false" customHeight="false" outlineLevel="0" collapsed="false">
      <c r="A1472" s="0" t="s">
        <v>718</v>
      </c>
      <c r="B1472" s="0" t="s">
        <v>98</v>
      </c>
      <c r="D1472" s="6" t="n">
        <f aca="false">Sens!D1466+Sens!D1468+Sens!D1470</f>
        <v>62.941</v>
      </c>
      <c r="E1472" s="6" t="n">
        <f aca="false">Sens!E1466+Sens!E1468+Sens!E1470</f>
        <v>63.712</v>
      </c>
      <c r="F1472" s="6" t="n">
        <f aca="false">Sens!F1466+Sens!F1468+Sens!F1470</f>
        <v>65.1415764563129</v>
      </c>
      <c r="G1472" s="6" t="n">
        <f aca="false">Sens!G1466+Sens!G1468+Sens!G1470</f>
        <v>67.1253610780702</v>
      </c>
      <c r="H1472" s="6" t="n">
        <f aca="false">Sens!H1466+Sens!H1468+Sens!H1470</f>
        <v>69.5768050148776</v>
      </c>
      <c r="I1472" s="6" t="n">
        <f aca="false">Sens!I1466+Sens!I1468+Sens!I1470</f>
        <v>72.4233188088189</v>
      </c>
      <c r="J1472" s="6" t="n">
        <f aca="false">Sens!J1466+Sens!J1468+Sens!J1470</f>
        <v>75.6044096678567</v>
      </c>
      <c r="K1472" s="6" t="n">
        <f aca="false">Sens!K1466+Sens!K1468+Sens!K1470</f>
        <v>79.0714397009747</v>
      </c>
    </row>
    <row r="1473" customFormat="false" ht="15" hidden="false" customHeight="false" outlineLevel="0" collapsed="false">
      <c r="A1473" s="1" t="s">
        <v>880</v>
      </c>
      <c r="B1473" s="0" t="s">
        <v>98</v>
      </c>
      <c r="D1473" s="6" t="n">
        <f aca="false">Sens!D1465+Sens!D1472</f>
        <v>281.724</v>
      </c>
      <c r="E1473" s="6" t="n">
        <f aca="false">Sens!E1465+Sens!E1472</f>
        <v>331.839</v>
      </c>
      <c r="F1473" s="6" t="n">
        <f aca="false">Sens!F1465+Sens!F1472</f>
        <v>407.666705694064</v>
      </c>
      <c r="G1473" s="6" t="n">
        <f aca="false">Sens!G1465+Sens!G1472</f>
        <v>488.615065335721</v>
      </c>
      <c r="H1473" s="6" t="n">
        <f aca="false">Sens!H1465+Sens!H1472</f>
        <v>571.498445629434</v>
      </c>
      <c r="I1473" s="6" t="n">
        <f aca="false">Sens!I1465+Sens!I1472</f>
        <v>647.750605475467</v>
      </c>
      <c r="J1473" s="6" t="n">
        <f aca="false">Sens!J1465+Sens!J1472</f>
        <v>709.757917770992</v>
      </c>
      <c r="K1473" s="6" t="n">
        <f aca="false">Sens!K1465+Sens!K1472</f>
        <v>759.052552780048</v>
      </c>
    </row>
    <row r="1474" customFormat="false" ht="15" hidden="false" customHeight="false" outlineLevel="0" collapsed="false">
      <c r="A1474" s="23" t="s">
        <v>881</v>
      </c>
      <c r="B1474" s="30" t="s">
        <v>98</v>
      </c>
      <c r="C1474" s="30"/>
      <c r="D1474" s="24" t="n">
        <f aca="false">(Sens!D1453+Sens!D1458+Sens!D1459+Sens!D1461+Sens!D1463-Sens!D1465)+(Sens!D1466+Sens!D1468+Sens!D1470-Sens!D1472)+(Sens!D1465-Q!L5)+(Sens!D1472-Q!L12)+(Sens!D1453-Q!L6)+(Sens!D1458-Q!L7)</f>
        <v>0</v>
      </c>
      <c r="E1474" s="24" t="n">
        <f aca="false">(Sens!E1453+Sens!E1458+Sens!E1459+Sens!E1461+Sens!E1463-Sens!E1465)+(Sens!E1466+Sens!E1468+Sens!E1470-Sens!E1472)+(Sens!E1465-Q!M5)+(Sens!E1472-Q!M12)+(Sens!E1453-Q!M6)+(Sens!E1458-Q!M7)</f>
        <v>0</v>
      </c>
      <c r="F1474" s="24" t="n">
        <f aca="false">(Sens!F1453+Sens!F1458+Sens!F1459+Sens!F1461+Sens!F1463-Sens!F1465)+(Sens!F1466+Sens!F1468+Sens!F1470-Sens!F1472)</f>
        <v>0</v>
      </c>
      <c r="G1474" s="24" t="n">
        <f aca="false">(Sens!G1453+Sens!G1458+Sens!G1459+Sens!G1461+Sens!G1463-Sens!G1465)+(Sens!G1466+Sens!G1468+Sens!G1470-Sens!G1472)</f>
        <v>0</v>
      </c>
      <c r="H1474" s="24" t="n">
        <f aca="false">(Sens!H1453+Sens!H1458+Sens!H1459+Sens!H1461+Sens!H1463-Sens!H1465)+(Sens!H1466+Sens!H1468+Sens!H1470-Sens!H1472)</f>
        <v>0</v>
      </c>
      <c r="I1474" s="24" t="n">
        <f aca="false">(Sens!I1453+Sens!I1458+Sens!I1459+Sens!I1461+Sens!I1463-Sens!I1465)+(Sens!I1466+Sens!I1468+Sens!I1470-Sens!I1472)</f>
        <v>0</v>
      </c>
      <c r="J1474" s="24" t="n">
        <f aca="false">(Sens!J1453+Sens!J1458+Sens!J1459+Sens!J1461+Sens!J1463-Sens!J1465)+(Sens!J1466+Sens!J1468+Sens!J1470-Sens!J1472)</f>
        <v>0</v>
      </c>
      <c r="K1474" s="24" t="n">
        <f aca="false">(Sens!K1453+Sens!K1458+Sens!K1459+Sens!K1461+Sens!K1463-Sens!K1465)+(Sens!K1466+Sens!K1468+Sens!K1470-Sens!K1472)</f>
        <v>0</v>
      </c>
    </row>
    <row r="1475" customFormat="false" ht="17.15" hidden="false" customHeight="false" outlineLevel="0" collapsed="false">
      <c r="A1475" s="3" t="s">
        <v>1271</v>
      </c>
    </row>
    <row r="1476" customFormat="false" ht="15" hidden="false" customHeight="false" outlineLevel="0" collapsed="false">
      <c r="A1476" s="4" t="s">
        <v>43</v>
      </c>
      <c r="B1476" s="4" t="s">
        <v>65</v>
      </c>
      <c r="C1476" s="20" t="s">
        <v>788</v>
      </c>
      <c r="D1476" s="20" t="s">
        <v>789</v>
      </c>
      <c r="E1476" s="20" t="s">
        <v>790</v>
      </c>
      <c r="F1476" s="20" t="s">
        <v>791</v>
      </c>
      <c r="G1476" s="20" t="s">
        <v>792</v>
      </c>
      <c r="H1476" s="20" t="s">
        <v>793</v>
      </c>
      <c r="I1476" s="20" t="s">
        <v>794</v>
      </c>
      <c r="J1476" s="20" t="s">
        <v>795</v>
      </c>
      <c r="K1476" s="20" t="s">
        <v>796</v>
      </c>
      <c r="L1476" s="4" t="s">
        <v>47</v>
      </c>
    </row>
    <row r="1477" customFormat="false" ht="15" hidden="false" customHeight="false" outlineLevel="0" collapsed="false">
      <c r="A1477" s="0" t="s">
        <v>867</v>
      </c>
      <c r="B1477" s="0" t="s">
        <v>98</v>
      </c>
      <c r="D1477" s="6" t="n">
        <f aca="false">Sens!D1453</f>
        <v>72.61</v>
      </c>
      <c r="E1477" s="6" t="n">
        <f aca="false">Sens!E1453</f>
        <v>101.938</v>
      </c>
      <c r="F1477" s="6" t="n">
        <f aca="false">Sens!F1453</f>
        <v>153.403557298569</v>
      </c>
      <c r="G1477" s="6" t="n">
        <f aca="false">Sens!G1453</f>
        <v>209.896547720222</v>
      </c>
      <c r="H1477" s="6" t="n">
        <f aca="false">Sens!H1453</f>
        <v>267.832957933041</v>
      </c>
      <c r="I1477" s="6" t="n">
        <f aca="false">Sens!I1453</f>
        <v>320.515931687162</v>
      </c>
      <c r="J1477" s="6" t="n">
        <f aca="false">Sens!J1453</f>
        <v>360.712610998967</v>
      </c>
      <c r="K1477" s="6" t="n">
        <f aca="false">Sens!K1453</f>
        <v>388.837043738897</v>
      </c>
    </row>
    <row r="1478" customFormat="false" ht="17.15" hidden="false" customHeight="false" outlineLevel="0" collapsed="false">
      <c r="A1478" s="0" t="s">
        <v>864</v>
      </c>
      <c r="B1478" s="0" t="s">
        <v>98</v>
      </c>
      <c r="D1478" s="6" t="n">
        <f aca="false">Sens!D1450</f>
        <v>12.9359794422418</v>
      </c>
      <c r="E1478" s="6" t="n">
        <f aca="false">Sens!E1450</f>
        <v>27.8095064661409</v>
      </c>
      <c r="F1478" s="6" t="n">
        <f aca="false">Sens!F1450</f>
        <v>63.3236075612023</v>
      </c>
      <c r="G1478" s="6" t="n">
        <f aca="false">Sens!G1450</f>
        <v>102.868122516912</v>
      </c>
      <c r="H1478" s="6" t="n">
        <f aca="false">Sens!H1450</f>
        <v>143.560975347405</v>
      </c>
      <c r="I1478" s="6" t="n">
        <f aca="false">Sens!I1450</f>
        <v>179.582229305308</v>
      </c>
      <c r="J1478" s="6" t="n">
        <f aca="false">Sens!J1450</f>
        <v>204.693743684635</v>
      </c>
      <c r="K1478" s="6" t="n">
        <f aca="false">Sens!K1450</f>
        <v>220.336667039419</v>
      </c>
    </row>
    <row r="1479" customFormat="false" ht="17.15" hidden="false" customHeight="false" outlineLevel="0" collapsed="false">
      <c r="A1479" s="0" t="s">
        <v>892</v>
      </c>
      <c r="B1479" s="0" t="s">
        <v>98</v>
      </c>
      <c r="D1479" s="6" t="n">
        <f aca="false">Sens!D1451</f>
        <v>59.6740205577583</v>
      </c>
      <c r="E1479" s="6" t="n">
        <f aca="false">Sens!E1451</f>
        <v>74.1284935338591</v>
      </c>
      <c r="F1479" s="6" t="n">
        <f aca="false">Sens!F1451</f>
        <v>90.0799497373663</v>
      </c>
      <c r="G1479" s="6" t="n">
        <f aca="false">Sens!G1451</f>
        <v>107.02842520331</v>
      </c>
      <c r="H1479" s="6" t="n">
        <f aca="false">Sens!H1451</f>
        <v>124.271982585636</v>
      </c>
      <c r="I1479" s="6" t="n">
        <f aca="false">Sens!I1451</f>
        <v>140.933702381855</v>
      </c>
      <c r="J1479" s="6" t="n">
        <f aca="false">Sens!J1451</f>
        <v>156.018867314332</v>
      </c>
      <c r="K1479" s="6" t="n">
        <f aca="false">Sens!K1451</f>
        <v>168.500376699478</v>
      </c>
    </row>
    <row r="1480" customFormat="false" ht="15" hidden="false" customHeight="false" outlineLevel="0" collapsed="false">
      <c r="A1480" s="0" t="s">
        <v>873</v>
      </c>
      <c r="B1480" s="0" t="s">
        <v>98</v>
      </c>
      <c r="D1480" s="6" t="n">
        <f aca="false">Sens!D1458</f>
        <v>84.605</v>
      </c>
      <c r="E1480" s="6" t="n">
        <f aca="false">Sens!E1458</f>
        <v>100.299</v>
      </c>
      <c r="F1480" s="6" t="n">
        <f aca="false">Sens!F1458</f>
        <v>118.89238776686</v>
      </c>
      <c r="G1480" s="6" t="n">
        <f aca="false">Sens!G1458</f>
        <v>137.044168448684</v>
      </c>
      <c r="H1480" s="6" t="n">
        <f aca="false">Sens!H1458</f>
        <v>155.277359388781</v>
      </c>
      <c r="I1480" s="6" t="n">
        <f aca="false">Sens!I1458</f>
        <v>171.834028071957</v>
      </c>
      <c r="J1480" s="6" t="n">
        <f aca="false">Sens!J1458</f>
        <v>186.432702785465</v>
      </c>
      <c r="K1480" s="6" t="n">
        <f aca="false">Sens!K1458</f>
        <v>200.277991980448</v>
      </c>
    </row>
    <row r="1481" customFormat="false" ht="17.15" hidden="false" customHeight="false" outlineLevel="0" collapsed="false">
      <c r="A1481" s="0" t="s">
        <v>893</v>
      </c>
      <c r="B1481" s="0" t="s">
        <v>98</v>
      </c>
      <c r="D1481" s="6" t="n">
        <f aca="false">Sens!D1456</f>
        <v>83.705</v>
      </c>
      <c r="E1481" s="6" t="n">
        <f aca="false">Sens!E1456</f>
        <v>95.049</v>
      </c>
      <c r="F1481" s="6" t="n">
        <f aca="false">Sens!F1456</f>
        <v>106.89238776686</v>
      </c>
      <c r="G1481" s="6" t="n">
        <f aca="false">Sens!G1456</f>
        <v>119.044168448684</v>
      </c>
      <c r="H1481" s="6" t="n">
        <f aca="false">Sens!H1456</f>
        <v>131.277359388781</v>
      </c>
      <c r="I1481" s="6" t="n">
        <f aca="false">Sens!I1456</f>
        <v>143.334028071957</v>
      </c>
      <c r="J1481" s="6" t="n">
        <f aca="false">Sens!J1456</f>
        <v>154.932702785465</v>
      </c>
      <c r="K1481" s="6" t="n">
        <f aca="false">Sens!K1456</f>
        <v>165.777991980448</v>
      </c>
    </row>
    <row r="1482" customFormat="false" ht="17.15" hidden="false" customHeight="false" outlineLevel="0" collapsed="false">
      <c r="A1482" s="0" t="s">
        <v>894</v>
      </c>
      <c r="B1482" s="0" t="s">
        <v>98</v>
      </c>
      <c r="D1482" s="6" t="n">
        <f aca="false">Sens!D1455</f>
        <v>0.9</v>
      </c>
      <c r="E1482" s="6" t="n">
        <f aca="false">Sens!E1455</f>
        <v>5.25</v>
      </c>
      <c r="F1482" s="6" t="n">
        <f aca="false">Sens!F1455</f>
        <v>12</v>
      </c>
      <c r="G1482" s="6" t="n">
        <f aca="false">Sens!G1455</f>
        <v>18</v>
      </c>
      <c r="H1482" s="6" t="n">
        <f aca="false">Sens!H1455</f>
        <v>24</v>
      </c>
      <c r="I1482" s="6" t="n">
        <f aca="false">Sens!I1455</f>
        <v>28.5</v>
      </c>
      <c r="J1482" s="6" t="n">
        <f aca="false">Sens!J1455</f>
        <v>31.5</v>
      </c>
      <c r="K1482" s="6" t="n">
        <f aca="false">Sens!K1455</f>
        <v>34.5</v>
      </c>
    </row>
    <row r="1483" customFormat="false" ht="15" hidden="false" customHeight="false" outlineLevel="0" collapsed="false">
      <c r="A1483" s="0" t="s">
        <v>874</v>
      </c>
      <c r="B1483" s="0" t="s">
        <v>98</v>
      </c>
      <c r="D1483" s="6" t="n">
        <f aca="false">Sens!D1459</f>
        <v>35.391</v>
      </c>
      <c r="E1483" s="6" t="n">
        <f aca="false">Sens!E1459</f>
        <v>37.285</v>
      </c>
      <c r="F1483" s="6" t="n">
        <f aca="false">Sens!F1459</f>
        <v>39.0720834331704</v>
      </c>
      <c r="G1483" s="6" t="n">
        <f aca="false">Sens!G1459</f>
        <v>40.726562953769</v>
      </c>
      <c r="H1483" s="6" t="n">
        <f aca="false">Sens!H1459</f>
        <v>42.2235987259198</v>
      </c>
      <c r="I1483" s="6" t="n">
        <f aca="false">Sens!I1459</f>
        <v>43.5397988077414</v>
      </c>
      <c r="J1483" s="6" t="n">
        <f aca="false">Sens!J1459</f>
        <v>44.653811225693</v>
      </c>
      <c r="K1483" s="6" t="n">
        <f aca="false">Sens!K1459</f>
        <v>45.5468874502068</v>
      </c>
    </row>
    <row r="1484" customFormat="false" ht="15" hidden="false" customHeight="false" outlineLevel="0" collapsed="false">
      <c r="A1484" s="0" t="s">
        <v>875</v>
      </c>
      <c r="B1484" s="0" t="s">
        <v>98</v>
      </c>
      <c r="D1484" s="6" t="n">
        <f aca="false">Sens!D1461</f>
        <v>18.417</v>
      </c>
      <c r="E1484" s="6" t="n">
        <f aca="false">Sens!E1461</f>
        <v>20.345</v>
      </c>
      <c r="F1484" s="6" t="n">
        <f aca="false">Sens!F1461</f>
        <v>22.3572203267814</v>
      </c>
      <c r="G1484" s="6" t="n">
        <f aca="false">Sens!G1461</f>
        <v>24.4392124437232</v>
      </c>
      <c r="H1484" s="6" t="n">
        <f aca="false">Sens!H1461</f>
        <v>26.5738052080665</v>
      </c>
      <c r="I1484" s="6" t="n">
        <f aca="false">Sens!I1461</f>
        <v>28.7412169166967</v>
      </c>
      <c r="J1484" s="6" t="n">
        <f aca="false">Sens!J1461</f>
        <v>30.9192545395413</v>
      </c>
      <c r="K1484" s="6" t="n">
        <f aca="false">Sens!K1461</f>
        <v>33.0836023573092</v>
      </c>
    </row>
    <row r="1485" customFormat="false" ht="15" hidden="false" customHeight="false" outlineLevel="0" collapsed="false">
      <c r="A1485" s="0" t="s">
        <v>876</v>
      </c>
      <c r="B1485" s="0" t="s">
        <v>98</v>
      </c>
      <c r="D1485" s="6" t="n">
        <f aca="false">Sens!D1463</f>
        <v>7.76</v>
      </c>
      <c r="E1485" s="6" t="n">
        <f aca="false">Sens!E1463</f>
        <v>8.26</v>
      </c>
      <c r="F1485" s="6" t="n">
        <f aca="false">Sens!F1463</f>
        <v>8.79988041237113</v>
      </c>
      <c r="G1485" s="6" t="n">
        <f aca="false">Sens!G1463</f>
        <v>9.38321269125306</v>
      </c>
      <c r="H1485" s="6" t="n">
        <f aca="false">Sens!H1463</f>
        <v>10.0139193587476</v>
      </c>
      <c r="I1485" s="6" t="n">
        <f aca="false">Sens!I1463</f>
        <v>10.6963111830911</v>
      </c>
      <c r="J1485" s="6" t="n">
        <f aca="false">Sens!J1463</f>
        <v>11.4351285534696</v>
      </c>
      <c r="K1485" s="6" t="n">
        <f aca="false">Sens!K1463</f>
        <v>12.2355875522124</v>
      </c>
    </row>
    <row r="1486" customFormat="false" ht="15" hidden="false" customHeight="false" outlineLevel="0" collapsed="false">
      <c r="A1486" s="0" t="s">
        <v>704</v>
      </c>
      <c r="B1486" s="0" t="s">
        <v>98</v>
      </c>
      <c r="D1486" s="6" t="n">
        <f aca="false">Sens!D1465</f>
        <v>218.783</v>
      </c>
      <c r="E1486" s="6" t="n">
        <f aca="false">Sens!E1465</f>
        <v>268.127</v>
      </c>
      <c r="F1486" s="6" t="n">
        <f aca="false">Sens!F1465</f>
        <v>342.525129237751</v>
      </c>
      <c r="G1486" s="6" t="n">
        <f aca="false">Sens!G1465</f>
        <v>421.489704257651</v>
      </c>
      <c r="H1486" s="6" t="n">
        <f aca="false">Sens!H1465</f>
        <v>501.921640614556</v>
      </c>
      <c r="I1486" s="6" t="n">
        <f aca="false">Sens!I1465</f>
        <v>575.327286666648</v>
      </c>
      <c r="J1486" s="6" t="n">
        <f aca="false">Sens!J1465</f>
        <v>634.153508103136</v>
      </c>
      <c r="K1486" s="6" t="n">
        <f aca="false">Sens!K1465</f>
        <v>679.981113079073</v>
      </c>
    </row>
    <row r="1487" customFormat="false" ht="15" hidden="false" customHeight="false" outlineLevel="0" collapsed="false">
      <c r="A1487" s="0" t="s">
        <v>877</v>
      </c>
      <c r="B1487" s="0" t="s">
        <v>98</v>
      </c>
      <c r="D1487" s="6" t="n">
        <f aca="false">Sens!D1466</f>
        <v>22.171</v>
      </c>
      <c r="E1487" s="6" t="n">
        <f aca="false">Sens!E1466</f>
        <v>24.835</v>
      </c>
      <c r="F1487" s="6" t="n">
        <f aca="false">Sens!F1466</f>
        <v>27.6114901218559</v>
      </c>
      <c r="G1487" s="6" t="n">
        <f aca="false">Sens!G1466</f>
        <v>30.4675667338515</v>
      </c>
      <c r="H1487" s="6" t="n">
        <f aca="false">Sens!H1466</f>
        <v>33.3643766955789</v>
      </c>
      <c r="I1487" s="6" t="n">
        <f aca="false">Sens!I1466</f>
        <v>36.2577016533691</v>
      </c>
      <c r="J1487" s="6" t="n">
        <f aca="false">Sens!J1466</f>
        <v>39.0988367952171</v>
      </c>
      <c r="K1487" s="6" t="n">
        <f aca="false">Sens!K1466</f>
        <v>41.8357553708823</v>
      </c>
    </row>
    <row r="1488" customFormat="false" ht="15" hidden="false" customHeight="false" outlineLevel="0" collapsed="false">
      <c r="A1488" s="0" t="s">
        <v>878</v>
      </c>
      <c r="B1488" s="0" t="s">
        <v>98</v>
      </c>
      <c r="D1488" s="6" t="n">
        <f aca="false">Sens!D1468</f>
        <v>23.455</v>
      </c>
      <c r="E1488" s="6" t="n">
        <f aca="false">Sens!E1468</f>
        <v>21.79</v>
      </c>
      <c r="F1488" s="6" t="n">
        <f aca="false">Sens!F1468</f>
        <v>20.5736277908051</v>
      </c>
      <c r="G1488" s="6" t="n">
        <f aca="false">Sens!G1468</f>
        <v>19.7371452817919</v>
      </c>
      <c r="H1488" s="6" t="n">
        <f aca="false">Sens!H1468</f>
        <v>19.2339764043138</v>
      </c>
      <c r="I1488" s="6" t="n">
        <f aca="false">Sens!I1468</f>
        <v>19.0353086852681</v>
      </c>
      <c r="J1488" s="6" t="n">
        <f aca="false">Sens!J1468</f>
        <v>19.1273539319129</v>
      </c>
      <c r="K1488" s="6" t="n">
        <f aca="false">Sens!K1468</f>
        <v>19.5099010105511</v>
      </c>
    </row>
    <row r="1489" customFormat="false" ht="15" hidden="false" customHeight="false" outlineLevel="0" collapsed="false">
      <c r="A1489" s="0" t="s">
        <v>879</v>
      </c>
      <c r="B1489" s="0" t="s">
        <v>98</v>
      </c>
      <c r="D1489" s="6" t="n">
        <f aca="false">Sens!D1470</f>
        <v>17.315</v>
      </c>
      <c r="E1489" s="6" t="n">
        <f aca="false">Sens!E1470</f>
        <v>17.087</v>
      </c>
      <c r="F1489" s="6" t="n">
        <f aca="false">Sens!F1470</f>
        <v>16.9564585436519</v>
      </c>
      <c r="G1489" s="6" t="n">
        <f aca="false">Sens!G1470</f>
        <v>16.9206490624268</v>
      </c>
      <c r="H1489" s="6" t="n">
        <f aca="false">Sens!H1470</f>
        <v>16.9784519149849</v>
      </c>
      <c r="I1489" s="6" t="n">
        <f aca="false">Sens!I1470</f>
        <v>17.1303084701817</v>
      </c>
      <c r="J1489" s="6" t="n">
        <f aca="false">Sens!J1470</f>
        <v>17.3782189407267</v>
      </c>
      <c r="K1489" s="6" t="n">
        <f aca="false">Sens!K1470</f>
        <v>17.7257833195413</v>
      </c>
    </row>
    <row r="1490" customFormat="false" ht="15" hidden="false" customHeight="false" outlineLevel="0" collapsed="false">
      <c r="A1490" s="0" t="s">
        <v>718</v>
      </c>
      <c r="B1490" s="0" t="s">
        <v>98</v>
      </c>
      <c r="D1490" s="6" t="n">
        <f aca="false">Sens!D1472</f>
        <v>62.941</v>
      </c>
      <c r="E1490" s="6" t="n">
        <f aca="false">Sens!E1472</f>
        <v>63.712</v>
      </c>
      <c r="F1490" s="6" t="n">
        <f aca="false">Sens!F1472</f>
        <v>65.1415764563129</v>
      </c>
      <c r="G1490" s="6" t="n">
        <f aca="false">Sens!G1472</f>
        <v>67.1253610780702</v>
      </c>
      <c r="H1490" s="6" t="n">
        <f aca="false">Sens!H1472</f>
        <v>69.5768050148776</v>
      </c>
      <c r="I1490" s="6" t="n">
        <f aca="false">Sens!I1472</f>
        <v>72.4233188088189</v>
      </c>
      <c r="J1490" s="6" t="n">
        <f aca="false">Sens!J1472</f>
        <v>75.6044096678567</v>
      </c>
      <c r="K1490" s="6" t="n">
        <f aca="false">Sens!K1472</f>
        <v>79.0714397009747</v>
      </c>
    </row>
    <row r="1491" customFormat="false" ht="15" hidden="false" customHeight="false" outlineLevel="0" collapsed="false">
      <c r="A1491" s="1" t="s">
        <v>895</v>
      </c>
      <c r="B1491" s="0" t="s">
        <v>98</v>
      </c>
      <c r="D1491" s="6" t="n">
        <f aca="false">Sens!D1473</f>
        <v>281.724</v>
      </c>
      <c r="E1491" s="6" t="n">
        <f aca="false">Sens!E1473</f>
        <v>331.839</v>
      </c>
      <c r="F1491" s="6" t="n">
        <f aca="false">Sens!F1473</f>
        <v>407.666705694064</v>
      </c>
      <c r="G1491" s="6" t="n">
        <f aca="false">Sens!G1473</f>
        <v>488.615065335721</v>
      </c>
      <c r="H1491" s="6" t="n">
        <f aca="false">Sens!H1473</f>
        <v>571.498445629434</v>
      </c>
      <c r="I1491" s="6" t="n">
        <f aca="false">Sens!I1473</f>
        <v>647.750605475467</v>
      </c>
      <c r="J1491" s="6" t="n">
        <f aca="false">Sens!J1473</f>
        <v>709.757917770992</v>
      </c>
      <c r="K1491" s="6" t="n">
        <f aca="false">Sens!K1473</f>
        <v>759.052552780048</v>
      </c>
    </row>
    <row r="1492" customFormat="false" ht="15" hidden="false" customHeight="false" outlineLevel="0" collapsed="false">
      <c r="A1492" s="1" t="s">
        <v>896</v>
      </c>
      <c r="B1492" s="0" t="s">
        <v>129</v>
      </c>
      <c r="E1492" s="7" t="n">
        <f aca="false">Sens!E1491/Sens!D1491-1</f>
        <v>0.177886867998467</v>
      </c>
      <c r="F1492" s="7" t="n">
        <f aca="false">Sens!F1491/Sens!E1491-1</f>
        <v>0.228507516277666</v>
      </c>
      <c r="G1492" s="7" t="n">
        <f aca="false">Sens!G1491/Sens!F1491-1</f>
        <v>0.198565049612869</v>
      </c>
      <c r="H1492" s="7" t="n">
        <f aca="false">Sens!H1491/Sens!G1491-1</f>
        <v>0.169629195196354</v>
      </c>
      <c r="I1492" s="7" t="n">
        <f aca="false">Sens!I1491/Sens!H1491-1</f>
        <v>0.133424964545707</v>
      </c>
      <c r="J1492" s="7" t="n">
        <f aca="false">Sens!J1491/Sens!I1491-1</f>
        <v>0.0957271390738568</v>
      </c>
      <c r="K1492" s="7" t="n">
        <f aca="false">Sens!K1491/Sens!J1491-1</f>
        <v>0.0694527440621813</v>
      </c>
    </row>
    <row r="1493" customFormat="false" ht="17.15" hidden="false" customHeight="false" outlineLevel="0" collapsed="false">
      <c r="A1493" s="23" t="s">
        <v>897</v>
      </c>
      <c r="B1493" s="30" t="s">
        <v>98</v>
      </c>
      <c r="C1493" s="30"/>
      <c r="D1493" s="24" t="n">
        <f aca="false">(Sens!D1486+Sens!D1490-Sens!D1491)+(Sens!D1478+Sens!D1479-Sens!D1477)+(Sens!D1481+Sens!D1482-Sens!D1480)+(Sens!D1491-Q!L18)</f>
        <v>0</v>
      </c>
      <c r="E1493" s="24" t="n">
        <f aca="false">(Sens!E1486+Sens!E1490-Sens!E1491)+(Sens!E1478+Sens!E1479-Sens!E1477)+(Sens!E1481+Sens!E1482-Sens!E1480)+(Sens!E1491-Q!M18)</f>
        <v>0</v>
      </c>
      <c r="F1493" s="24" t="n">
        <f aca="false">(Sens!F1486+Sens!F1490-Sens!F1491)+(Sens!F1478+Sens!F1479-Sens!F1477)+(Sens!F1481+Sens!F1482-Sens!F1480)</f>
        <v>0</v>
      </c>
      <c r="G1493" s="24" t="n">
        <f aca="false">(Sens!G1486+Sens!G1490-Sens!G1491)+(Sens!G1478+Sens!G1479-Sens!G1477)+(Sens!G1481+Sens!G1482-Sens!G1480)</f>
        <v>0</v>
      </c>
      <c r="H1493" s="24" t="n">
        <f aca="false">(Sens!H1486+Sens!H1490-Sens!H1491)+(Sens!H1478+Sens!H1479-Sens!H1477)+(Sens!H1481+Sens!H1482-Sens!H1480)</f>
        <v>0</v>
      </c>
      <c r="I1493" s="24" t="n">
        <f aca="false">(Sens!I1486+Sens!I1490-Sens!I1491)+(Sens!I1478+Sens!I1479-Sens!I1477)+(Sens!I1481+Sens!I1482-Sens!I1480)</f>
        <v>0</v>
      </c>
      <c r="J1493" s="24" t="n">
        <f aca="false">(Sens!J1486+Sens!J1490-Sens!J1491)+(Sens!J1478+Sens!J1479-Sens!J1477)+(Sens!J1481+Sens!J1482-Sens!J1480)</f>
        <v>0</v>
      </c>
      <c r="K1493" s="24" t="n">
        <f aca="false">(Sens!K1486+Sens!K1490-Sens!K1491)+(Sens!K1478+Sens!K1479-Sens!K1477)+(Sens!K1481+Sens!K1482-Sens!K1480)</f>
        <v>0</v>
      </c>
    </row>
    <row r="1494" customFormat="false" ht="17.15" hidden="false" customHeight="false" outlineLevel="0" collapsed="false">
      <c r="A1494" s="0" t="s">
        <v>898</v>
      </c>
      <c r="B1494" s="0" t="s">
        <v>129</v>
      </c>
      <c r="E1494" s="7" t="n">
        <f aca="false">(Q!M21+Sens!E1431+Sens!E1432+Sens!E1433+Sens!E1446-Sens!E1429)/(Q!M5-Sens!E1429)</f>
        <v>0.570957350878296</v>
      </c>
      <c r="F1494" s="7" t="n">
        <f aca="false">Sens!$E$1494+dm_seg</f>
        <v>0.570957350878296</v>
      </c>
      <c r="G1494" s="7" t="n">
        <f aca="false">Sens!$E$1494+dm_seg</f>
        <v>0.570957350878296</v>
      </c>
      <c r="H1494" s="7" t="n">
        <f aca="false">Sens!$E$1494+dm_seg</f>
        <v>0.570957350878296</v>
      </c>
      <c r="I1494" s="7" t="n">
        <f aca="false">Sens!$E$1494+dm_seg</f>
        <v>0.570957350878296</v>
      </c>
      <c r="J1494" s="7" t="n">
        <f aca="false">Sens!$E$1494+dm_seg</f>
        <v>0.570957350878296</v>
      </c>
      <c r="K1494" s="7" t="n">
        <f aca="false">Sens!$E$1494+dm_seg</f>
        <v>0.570957350878296</v>
      </c>
      <c r="L1494" s="11" t="s">
        <v>899</v>
      </c>
    </row>
    <row r="1495" customFormat="false" ht="17.15" hidden="false" customHeight="false" outlineLevel="0" collapsed="false">
      <c r="A1495" s="0" t="s">
        <v>732</v>
      </c>
      <c r="B1495" s="0" t="s">
        <v>98</v>
      </c>
      <c r="D1495" s="6" t="n">
        <f aca="false">Q!L21</f>
        <v>110.814</v>
      </c>
      <c r="E1495" s="6" t="n">
        <f aca="false">Q!M21</f>
        <v>136.365</v>
      </c>
      <c r="F1495" s="6" t="n">
        <f aca="false">Sens!F1494*(Sens!F1465-Sens!F1429)+Sens!F1429-(Sens!F1431+Sens!F1432+Sens!F1433)-Sens!F1446</f>
        <v>165.85773690669</v>
      </c>
      <c r="G1495" s="6" t="n">
        <f aca="false">Sens!G1494*(Sens!G1465-Sens!G1429)+Sens!G1429-(Sens!G1431+Sens!G1432+Sens!G1433)-Sens!G1446</f>
        <v>190.598305564504</v>
      </c>
      <c r="H1495" s="6" t="n">
        <f aca="false">Sens!H1494*(Sens!H1465-Sens!H1429)+Sens!H1429-(Sens!H1431+Sens!H1432+Sens!H1433)-Sens!H1446</f>
        <v>215.547899199157</v>
      </c>
      <c r="I1495" s="6" t="n">
        <f aca="false">Sens!I1494*(Sens!I1465-Sens!I1429)+Sens!I1429-(Sens!I1431+Sens!I1432+Sens!I1433)-Sens!I1446</f>
        <v>238.969516817803</v>
      </c>
      <c r="J1495" s="6" t="n">
        <f aca="false">Sens!J1494*(Sens!J1465-Sens!J1429)+Sens!J1429-(Sens!J1431+Sens!J1432+Sens!J1433)-Sens!J1446</f>
        <v>259.597753485637</v>
      </c>
      <c r="K1495" s="6" t="n">
        <f aca="false">Sens!K1494*(Sens!K1465-Sens!K1429)+Sens!K1429-(Sens!K1431+Sens!K1432+Sens!K1433)-Sens!K1446</f>
        <v>278.503181899985</v>
      </c>
      <c r="L1495" s="1" t="s">
        <v>900</v>
      </c>
    </row>
    <row r="1496" customFormat="false" ht="17.15" hidden="false" customHeight="false" outlineLevel="0" collapsed="false">
      <c r="A1496" s="0" t="s">
        <v>901</v>
      </c>
      <c r="B1496" s="0" t="s">
        <v>129</v>
      </c>
      <c r="E1496" s="7" t="n">
        <f aca="false">Q!M22/Q!M12</f>
        <v>0.296207935710698</v>
      </c>
      <c r="F1496" s="7" t="n">
        <f aca="false">Sens!$E$1496+dm_seg</f>
        <v>0.296207935710698</v>
      </c>
      <c r="G1496" s="7" t="n">
        <f aca="false">Sens!$E$1496+dm_seg</f>
        <v>0.296207935710698</v>
      </c>
      <c r="H1496" s="7" t="n">
        <f aca="false">Sens!$E$1496+dm_seg</f>
        <v>0.296207935710698</v>
      </c>
      <c r="I1496" s="7" t="n">
        <f aca="false">Sens!$E$1496+dm_seg</f>
        <v>0.296207935710698</v>
      </c>
      <c r="J1496" s="7" t="n">
        <f aca="false">Sens!$E$1496+dm_seg</f>
        <v>0.296207935710698</v>
      </c>
      <c r="K1496" s="7" t="n">
        <f aca="false">Sens!$E$1496+dm_seg</f>
        <v>0.296207935710698</v>
      </c>
      <c r="L1496" s="11" t="s">
        <v>902</v>
      </c>
    </row>
    <row r="1497" customFormat="false" ht="17.15" hidden="false" customHeight="false" outlineLevel="0" collapsed="false">
      <c r="A1497" s="0" t="s">
        <v>734</v>
      </c>
      <c r="B1497" s="0" t="s">
        <v>98</v>
      </c>
      <c r="D1497" s="6" t="n">
        <f aca="false">Q!L22</f>
        <v>17.714</v>
      </c>
      <c r="E1497" s="6" t="n">
        <f aca="false">Q!M22</f>
        <v>18.872</v>
      </c>
      <c r="F1497" s="6" t="n">
        <f aca="false">Sens!F1472*Sens!F1496</f>
        <v>19.2954518910651</v>
      </c>
      <c r="G1497" s="6" t="n">
        <f aca="false">Sens!G1472*Sens!G1496</f>
        <v>19.8830646387704</v>
      </c>
      <c r="H1497" s="6" t="n">
        <f aca="false">Sens!H1472*Sens!H1496</f>
        <v>20.6092017868026</v>
      </c>
      <c r="I1497" s="6" t="n">
        <f aca="false">Sens!I1472*Sens!I1496</f>
        <v>21.452361761678</v>
      </c>
      <c r="J1497" s="6" t="n">
        <f aca="false">Sens!J1472*Sens!J1496</f>
        <v>22.3946261183418</v>
      </c>
      <c r="K1497" s="6" t="n">
        <f aca="false">Sens!K1472*Sens!K1496</f>
        <v>23.4215879274986</v>
      </c>
    </row>
    <row r="1498" customFormat="false" ht="15" hidden="false" customHeight="false" outlineLevel="0" collapsed="false">
      <c r="A1498" s="1" t="s">
        <v>903</v>
      </c>
      <c r="B1498" s="0" t="s">
        <v>98</v>
      </c>
      <c r="D1498" s="6" t="n">
        <f aca="false">Sens!D1495+Sens!D1497</f>
        <v>128.528</v>
      </c>
      <c r="E1498" s="6" t="n">
        <f aca="false">Sens!E1495+Sens!E1497</f>
        <v>155.237</v>
      </c>
      <c r="F1498" s="6" t="n">
        <f aca="false">Sens!F1495+Sens!F1497</f>
        <v>185.153188797755</v>
      </c>
      <c r="G1498" s="6" t="n">
        <f aca="false">Sens!G1495+Sens!G1497</f>
        <v>210.481370203275</v>
      </c>
      <c r="H1498" s="6" t="n">
        <f aca="false">Sens!H1495+Sens!H1497</f>
        <v>236.157100985959</v>
      </c>
      <c r="I1498" s="6" t="n">
        <f aca="false">Sens!I1495+Sens!I1497</f>
        <v>260.421878579481</v>
      </c>
      <c r="J1498" s="6" t="n">
        <f aca="false">Sens!J1495+Sens!J1497</f>
        <v>281.992379603979</v>
      </c>
      <c r="K1498" s="6" t="n">
        <f aca="false">Sens!K1495+Sens!K1497</f>
        <v>301.924769827484</v>
      </c>
    </row>
    <row r="1499" customFormat="false" ht="15" hidden="false" customHeight="false" outlineLevel="0" collapsed="false">
      <c r="A1499" s="23" t="s">
        <v>904</v>
      </c>
      <c r="B1499" s="30" t="s">
        <v>98</v>
      </c>
      <c r="C1499" s="30"/>
      <c r="D1499" s="24" t="n">
        <f aca="false">Sens!D1498-Q!L23</f>
        <v>0</v>
      </c>
      <c r="E1499" s="24" t="n">
        <f aca="false">Sens!E1498-Q!M23</f>
        <v>0</v>
      </c>
      <c r="F1499" s="30"/>
      <c r="G1499" s="30"/>
      <c r="H1499" s="30"/>
      <c r="I1499" s="30"/>
      <c r="J1499" s="30"/>
      <c r="K1499" s="30"/>
    </row>
    <row r="1500" customFormat="false" ht="15" hidden="false" customHeight="false" outlineLevel="0" collapsed="false">
      <c r="A1500" s="1" t="s">
        <v>905</v>
      </c>
      <c r="B1500" s="0" t="s">
        <v>129</v>
      </c>
      <c r="D1500" s="7" t="n">
        <f aca="false">Sens!D1498/Sens!D1491</f>
        <v>0.456219562408598</v>
      </c>
      <c r="E1500" s="7" t="n">
        <f aca="false">Sens!E1498/Sens!E1491</f>
        <v>0.467808184089272</v>
      </c>
      <c r="F1500" s="7" t="n">
        <f aca="false">Sens!F1498/Sens!F1491</f>
        <v>0.454177852180806</v>
      </c>
      <c r="G1500" s="7" t="n">
        <f aca="false">Sens!G1498/Sens!G1491</f>
        <v>0.430771347704262</v>
      </c>
      <c r="H1500" s="7" t="n">
        <f aca="false">Sens!H1498/Sens!H1491</f>
        <v>0.413224397707438</v>
      </c>
      <c r="I1500" s="7" t="n">
        <f aca="false">Sens!I1498/Sens!I1491</f>
        <v>0.402040347593845</v>
      </c>
      <c r="J1500" s="7" t="n">
        <f aca="false">Sens!J1498/Sens!J1491</f>
        <v>0.397307832069815</v>
      </c>
      <c r="K1500" s="7" t="n">
        <f aca="false">Sens!K1498/Sens!K1491</f>
        <v>0.397765304551941</v>
      </c>
    </row>
    <row r="1501" customFormat="false" ht="17.15" hidden="false" customHeight="false" outlineLevel="0" collapsed="false">
      <c r="A1501" s="1" t="s">
        <v>906</v>
      </c>
      <c r="B1501" s="0" t="s">
        <v>98</v>
      </c>
      <c r="F1501" s="6" t="n">
        <f aca="false">Sens!F1516</f>
        <v>19.9358184660572</v>
      </c>
      <c r="G1501" s="6" t="n">
        <f aca="false">Sens!G1516</f>
        <v>35.1359494439124</v>
      </c>
      <c r="H1501" s="6" t="n">
        <f aca="false">Sens!H1516</f>
        <v>51.688536514718</v>
      </c>
      <c r="I1501" s="6" t="n">
        <f aca="false">Sens!I1516</f>
        <v>66.8193432436896</v>
      </c>
      <c r="J1501" s="6" t="n">
        <f aca="false">Sens!J1516</f>
        <v>77.4328840229578</v>
      </c>
      <c r="K1501" s="6" t="n">
        <f aca="false">Sens!K1516</f>
        <v>83.3249638901295</v>
      </c>
      <c r="L1501" s="1" t="s">
        <v>907</v>
      </c>
    </row>
    <row r="1502" customFormat="false" ht="17.15" hidden="false" customHeight="false" outlineLevel="0" collapsed="false">
      <c r="A1502" s="1" t="s">
        <v>908</v>
      </c>
      <c r="B1502" s="0" t="s">
        <v>98</v>
      </c>
      <c r="D1502" s="6" t="n">
        <f aca="false">Sens!D1498</f>
        <v>128.528</v>
      </c>
      <c r="E1502" s="6" t="n">
        <f aca="false">Sens!E1498</f>
        <v>155.237</v>
      </c>
      <c r="F1502" s="6" t="n">
        <f aca="false">Sens!F1498+Sens!F1501</f>
        <v>205.089007263812</v>
      </c>
      <c r="G1502" s="6" t="n">
        <f aca="false">Sens!G1498+Sens!G1501</f>
        <v>245.617319647187</v>
      </c>
      <c r="H1502" s="6" t="n">
        <f aca="false">Sens!H1498+Sens!H1501</f>
        <v>287.845637500677</v>
      </c>
      <c r="I1502" s="6" t="n">
        <f aca="false">Sens!I1498+Sens!I1501</f>
        <v>327.24122182317</v>
      </c>
      <c r="J1502" s="6" t="n">
        <f aca="false">Sens!J1498+Sens!J1501</f>
        <v>359.425263626937</v>
      </c>
      <c r="K1502" s="6" t="n">
        <f aca="false">Sens!K1498+Sens!K1501</f>
        <v>385.249733717613</v>
      </c>
    </row>
    <row r="1503" customFormat="false" ht="17.15" hidden="false" customHeight="false" outlineLevel="0" collapsed="false">
      <c r="A1503" s="1" t="s">
        <v>909</v>
      </c>
      <c r="B1503" s="0" t="s">
        <v>98</v>
      </c>
      <c r="E1503" s="6" t="n">
        <f aca="false">Sens!E1446</f>
        <v>16.3054059770833</v>
      </c>
      <c r="F1503" s="6" t="n">
        <f aca="false">Sens!F1446</f>
        <v>34.7405354558698</v>
      </c>
      <c r="G1503" s="6" t="n">
        <f aca="false">Sens!G1446</f>
        <v>60.5067332603396</v>
      </c>
      <c r="H1503" s="6" t="n">
        <f aca="false">Sens!H1446</f>
        <v>87.7423159931396</v>
      </c>
      <c r="I1503" s="6" t="n">
        <f aca="false">Sens!I1446</f>
        <v>111.987039982221</v>
      </c>
      <c r="J1503" s="6" t="n">
        <f aca="false">Sens!J1446</f>
        <v>129.183710922666</v>
      </c>
      <c r="K1503" s="6" t="n">
        <f aca="false">Sens!K1446</f>
        <v>139.647646804474</v>
      </c>
    </row>
    <row r="1504" customFormat="false" ht="17.15" hidden="false" customHeight="false" outlineLevel="0" collapsed="false">
      <c r="A1504" s="1" t="s">
        <v>910</v>
      </c>
      <c r="B1504" s="0" t="s">
        <v>98</v>
      </c>
      <c r="E1504" s="6" t="n">
        <f aca="false">Sens!E1528</f>
        <v>22.2285940229167</v>
      </c>
      <c r="F1504" s="6" t="n">
        <f aca="false">Sens!F1528</f>
        <v>23.5636693435813</v>
      </c>
      <c r="G1504" s="6" t="n">
        <f aca="false">Sens!G1528</f>
        <v>25.3225917662621</v>
      </c>
      <c r="H1504" s="6" t="n">
        <f aca="false">Sens!H1528</f>
        <v>27.4714839540448</v>
      </c>
      <c r="I1504" s="6" t="n">
        <f aca="false">Sens!I1528</f>
        <v>29.9441755898047</v>
      </c>
      <c r="J1504" s="6" t="n">
        <f aca="false">Sens!J1528</f>
        <v>32.6578493558616</v>
      </c>
      <c r="K1504" s="6" t="n">
        <f aca="false">Sens!K1528</f>
        <v>35.5289346944749</v>
      </c>
    </row>
    <row r="1505" customFormat="false" ht="17.15" hidden="false" customHeight="false" outlineLevel="0" collapsed="false">
      <c r="A1505" s="1" t="s">
        <v>911</v>
      </c>
      <c r="B1505" s="0" t="s">
        <v>98</v>
      </c>
      <c r="D1505" s="6" t="n">
        <f aca="false">Q!L27</f>
        <v>-4.901</v>
      </c>
      <c r="E1505" s="6" t="n">
        <f aca="false">Q!M27</f>
        <v>10.697</v>
      </c>
      <c r="F1505" s="6" t="n">
        <f aca="false">oie_f</f>
        <v>-0.4</v>
      </c>
      <c r="G1505" s="6" t="n">
        <f aca="false">oie_f</f>
        <v>-0.4</v>
      </c>
      <c r="H1505" s="6" t="n">
        <f aca="false">oie_f</f>
        <v>-0.4</v>
      </c>
      <c r="I1505" s="6" t="n">
        <f aca="false">oie_f</f>
        <v>-0.4</v>
      </c>
      <c r="J1505" s="6" t="n">
        <f aca="false">oie_f</f>
        <v>-0.4</v>
      </c>
      <c r="K1505" s="6" t="n">
        <f aca="false">oie_f</f>
        <v>-0.4</v>
      </c>
      <c r="L1505" s="11" t="s">
        <v>912</v>
      </c>
    </row>
    <row r="1506" customFormat="false" ht="15" hidden="false" customHeight="false" outlineLevel="0" collapsed="false">
      <c r="A1506" s="1" t="s">
        <v>913</v>
      </c>
      <c r="B1506" s="0" t="s">
        <v>98</v>
      </c>
      <c r="D1506" s="6" t="n">
        <f aca="false">Sens!D1498+Sens!D1505</f>
        <v>123.627</v>
      </c>
      <c r="E1506" s="6" t="n">
        <f aca="false">Sens!E1498+Sens!E1505</f>
        <v>165.934</v>
      </c>
      <c r="F1506" s="6" t="n">
        <f aca="false">Sens!F1498+Sens!F1505</f>
        <v>184.753188797755</v>
      </c>
      <c r="G1506" s="6" t="n">
        <f aca="false">Sens!G1498+Sens!G1505</f>
        <v>210.081370203275</v>
      </c>
      <c r="H1506" s="6" t="n">
        <f aca="false">Sens!H1498+Sens!H1505</f>
        <v>235.757100985959</v>
      </c>
      <c r="I1506" s="6" t="n">
        <f aca="false">Sens!I1498+Sens!I1505</f>
        <v>260.021878579481</v>
      </c>
      <c r="J1506" s="6" t="n">
        <f aca="false">Sens!J1498+Sens!J1505</f>
        <v>281.592379603979</v>
      </c>
      <c r="K1506" s="6" t="n">
        <f aca="false">Sens!K1498+Sens!K1505</f>
        <v>301.524769827484</v>
      </c>
    </row>
    <row r="1507" customFormat="false" ht="15" hidden="false" customHeight="false" outlineLevel="0" collapsed="false">
      <c r="A1507" s="1" t="s">
        <v>914</v>
      </c>
      <c r="B1507" s="0" t="s">
        <v>98</v>
      </c>
      <c r="D1507" s="6" t="n">
        <f aca="false">Q!L29</f>
        <v>21.795</v>
      </c>
      <c r="E1507" s="6" t="n">
        <f aca="false">Q!M29</f>
        <v>32.185</v>
      </c>
      <c r="F1507" s="6" t="n">
        <f aca="false">Sens!F1506*tax_f</f>
        <v>36.9506377595509</v>
      </c>
      <c r="G1507" s="6" t="n">
        <f aca="false">Sens!G1506*tax_f</f>
        <v>42.0162740406549</v>
      </c>
      <c r="H1507" s="6" t="n">
        <f aca="false">Sens!H1506*tax_f</f>
        <v>47.1514201971919</v>
      </c>
      <c r="I1507" s="6" t="n">
        <f aca="false">Sens!I1506*tax_f</f>
        <v>52.0043757158961</v>
      </c>
      <c r="J1507" s="6" t="n">
        <f aca="false">Sens!J1506*tax_f</f>
        <v>56.3184759207958</v>
      </c>
      <c r="K1507" s="6" t="n">
        <f aca="false">Sens!K1506*tax_f</f>
        <v>60.3049539654968</v>
      </c>
    </row>
    <row r="1508" customFormat="false" ht="15" hidden="false" customHeight="false" outlineLevel="0" collapsed="false">
      <c r="A1508" s="1" t="s">
        <v>915</v>
      </c>
      <c r="B1508" s="0" t="s">
        <v>98</v>
      </c>
      <c r="D1508" s="6" t="n">
        <f aca="false">Sens!D1506-Sens!D1507</f>
        <v>101.832</v>
      </c>
      <c r="E1508" s="6" t="n">
        <f aca="false">Sens!E1506-Sens!E1507</f>
        <v>133.749</v>
      </c>
      <c r="F1508" s="6" t="n">
        <f aca="false">Sens!F1506-Sens!F1507</f>
        <v>147.802551038204</v>
      </c>
      <c r="G1508" s="6" t="n">
        <f aca="false">Sens!G1506-Sens!G1507</f>
        <v>168.06509616262</v>
      </c>
      <c r="H1508" s="6" t="n">
        <f aca="false">Sens!H1506-Sens!H1507</f>
        <v>188.605680788768</v>
      </c>
      <c r="I1508" s="6" t="n">
        <f aca="false">Sens!I1506-Sens!I1507</f>
        <v>208.017502863584</v>
      </c>
      <c r="J1508" s="6" t="n">
        <f aca="false">Sens!J1506-Sens!J1507</f>
        <v>225.273903683183</v>
      </c>
      <c r="K1508" s="6" t="n">
        <f aca="false">Sens!K1506-Sens!K1507</f>
        <v>241.219815861987</v>
      </c>
    </row>
    <row r="1509" customFormat="false" ht="17.15" hidden="false" customHeight="false" outlineLevel="0" collapsed="false">
      <c r="A1509" s="1" t="s">
        <v>916</v>
      </c>
      <c r="B1509" s="1" t="s">
        <v>81</v>
      </c>
      <c r="D1509" s="14" t="n">
        <f aca="false">Q!L31</f>
        <v>7.465</v>
      </c>
      <c r="E1509" s="14" t="n">
        <f aca="false">Q!M31</f>
        <v>7.453</v>
      </c>
      <c r="F1509" s="14" t="n">
        <f aca="false">Sens!F1550</f>
        <v>7.4735</v>
      </c>
      <c r="G1509" s="14" t="n">
        <f aca="false">Sens!G1550</f>
        <v>7.50856178761354</v>
      </c>
      <c r="H1509" s="14" t="n">
        <f aca="false">Sens!H1550</f>
        <v>7.52637516107703</v>
      </c>
      <c r="I1509" s="14" t="n">
        <f aca="false">Sens!I1550</f>
        <v>7.53815599308434</v>
      </c>
      <c r="J1509" s="14" t="n">
        <f aca="false">Sens!J1550</f>
        <v>7.55239750420222</v>
      </c>
      <c r="K1509" s="14" t="n">
        <f aca="false">Sens!K1550</f>
        <v>7.56891742190397</v>
      </c>
    </row>
    <row r="1510" customFormat="false" ht="17.15" hidden="false" customHeight="false" outlineLevel="0" collapsed="false">
      <c r="A1510" s="0" t="s">
        <v>917</v>
      </c>
      <c r="B1510" s="0" t="s">
        <v>75</v>
      </c>
      <c r="D1510" s="8" t="n">
        <f aca="false">Sens!D1508/Sens!D1509</f>
        <v>13.641259209645</v>
      </c>
      <c r="E1510" s="8" t="n">
        <f aca="false">Sens!E1508/Sens!E1509</f>
        <v>17.9456594659869</v>
      </c>
      <c r="F1510" s="8" t="n">
        <f aca="false">Sens!F1508/Sens!F1509</f>
        <v>19.7768851325622</v>
      </c>
      <c r="G1510" s="8" t="n">
        <f aca="false">Sens!G1508/Sens!G1509</f>
        <v>22.3831275437951</v>
      </c>
      <c r="H1510" s="8" t="n">
        <f aca="false">Sens!H1508/Sens!H1509</f>
        <v>25.0592983677122</v>
      </c>
      <c r="I1510" s="8" t="n">
        <f aca="false">Sens!I1508/Sens!I1509</f>
        <v>27.5952770219168</v>
      </c>
      <c r="J1510" s="8" t="n">
        <f aca="false">Sens!J1508/Sens!J1509</f>
        <v>29.8281312070556</v>
      </c>
      <c r="K1510" s="8" t="n">
        <f aca="false">Sens!K1508/Sens!K1509</f>
        <v>31.8697909378575</v>
      </c>
      <c r="L1510" s="1" t="s">
        <v>918</v>
      </c>
    </row>
    <row r="1511" customFormat="false" ht="17.15" hidden="false" customHeight="false" outlineLevel="0" collapsed="false">
      <c r="A1511" s="1" t="s">
        <v>919</v>
      </c>
      <c r="B1511" s="0" t="s">
        <v>98</v>
      </c>
      <c r="D1511" s="6" t="n">
        <f aca="false">Sens!D1508</f>
        <v>101.832</v>
      </c>
      <c r="E1511" s="6" t="n">
        <f aca="false">Sens!E1508</f>
        <v>133.749</v>
      </c>
      <c r="F1511" s="6" t="n">
        <f aca="false">Sens!F1508+Sens!F1501*(1-tax_f)</f>
        <v>163.75120581105</v>
      </c>
      <c r="G1511" s="6" t="n">
        <f aca="false">Sens!G1508+Sens!G1501*(1-tax_f)</f>
        <v>196.17385571775</v>
      </c>
      <c r="H1511" s="6" t="n">
        <f aca="false">Sens!H1508+Sens!H1501*(1-tax_f)</f>
        <v>229.956510000542</v>
      </c>
      <c r="I1511" s="6" t="n">
        <f aca="false">Sens!I1508+Sens!I1501*(1-tax_f)</f>
        <v>261.472977458536</v>
      </c>
      <c r="J1511" s="6" t="n">
        <f aca="false">Sens!J1508+Sens!J1501*(1-tax_f)</f>
        <v>287.220210901549</v>
      </c>
      <c r="K1511" s="6" t="n">
        <f aca="false">Sens!K1508+Sens!K1501*(1-tax_f)</f>
        <v>307.879786974091</v>
      </c>
    </row>
    <row r="1512" customFormat="false" ht="17.15" hidden="false" customHeight="false" outlineLevel="0" collapsed="false">
      <c r="A1512" s="0" t="s">
        <v>920</v>
      </c>
      <c r="B1512" s="0" t="s">
        <v>75</v>
      </c>
      <c r="D1512" s="8" t="n">
        <f aca="false">Sens!D1511/Sens!D1509</f>
        <v>13.641259209645</v>
      </c>
      <c r="E1512" s="8" t="n">
        <f aca="false">Sens!E1511/Sens!E1509</f>
        <v>17.9456594659869</v>
      </c>
      <c r="F1512" s="8" t="n">
        <f aca="false">Sens!F1511/Sens!F1509</f>
        <v>21.9109126662273</v>
      </c>
      <c r="G1512" s="8" t="n">
        <f aca="false">Sens!G1511/Sens!G1509</f>
        <v>26.1266886078459</v>
      </c>
      <c r="H1512" s="8" t="n">
        <f aca="false">Sens!H1511/Sens!H1509</f>
        <v>30.553421146181</v>
      </c>
      <c r="I1512" s="8" t="n">
        <f aca="false">Sens!I1511/Sens!I1509</f>
        <v>34.6865967881823</v>
      </c>
      <c r="J1512" s="8" t="n">
        <f aca="false">Sens!J1511/Sens!J1509</f>
        <v>38.0303354983285</v>
      </c>
      <c r="K1512" s="8" t="n">
        <f aca="false">Sens!K1511/Sens!K1509</f>
        <v>40.6768590291534</v>
      </c>
      <c r="L1512" s="1" t="s">
        <v>921</v>
      </c>
    </row>
    <row r="1513" customFormat="false" ht="17.15" hidden="false" customHeight="false" outlineLevel="0" collapsed="false">
      <c r="A1513" s="0" t="s">
        <v>922</v>
      </c>
      <c r="B1513" s="0" t="s">
        <v>129</v>
      </c>
      <c r="E1513" s="7" t="n">
        <f aca="false">Sens!E1512/Sens!D1512-1</f>
        <v>0.315542736208578</v>
      </c>
      <c r="F1513" s="7" t="n">
        <f aca="false">Sens!F1512/Sens!E1512-1</f>
        <v>0.22095890138537</v>
      </c>
      <c r="G1513" s="7" t="n">
        <f aca="false">Sens!G1512/Sens!F1512-1</f>
        <v>0.192405309894585</v>
      </c>
      <c r="H1513" s="7" t="n">
        <f aca="false">Sens!H1512/Sens!G1512-1</f>
        <v>0.169433356242693</v>
      </c>
      <c r="I1513" s="7" t="n">
        <f aca="false">Sens!I1512/Sens!H1512-1</f>
        <v>0.1352770160247</v>
      </c>
      <c r="J1513" s="7" t="n">
        <f aca="false">Sens!J1512/Sens!I1512-1</f>
        <v>0.0963985810013344</v>
      </c>
      <c r="K1513" s="7" t="n">
        <f aca="false">Sens!K1512/Sens!J1512-1</f>
        <v>0.0695898023550492</v>
      </c>
    </row>
    <row r="1514" customFormat="false" ht="17.15" hidden="false" customHeight="false" outlineLevel="0" collapsed="false">
      <c r="A1514" s="0" t="s">
        <v>846</v>
      </c>
      <c r="B1514" s="0" t="s">
        <v>98</v>
      </c>
      <c r="E1514" s="6" t="n">
        <f aca="false">Sens!E1455</f>
        <v>5.25</v>
      </c>
      <c r="F1514" s="6" t="n">
        <f aca="false">Sens!F1455</f>
        <v>12</v>
      </c>
      <c r="G1514" s="6" t="n">
        <f aca="false">Sens!G1455</f>
        <v>18</v>
      </c>
      <c r="H1514" s="6" t="n">
        <f aca="false">Sens!H1455</f>
        <v>24</v>
      </c>
      <c r="I1514" s="6" t="n">
        <f aca="false">Sens!I1455</f>
        <v>28.5</v>
      </c>
      <c r="J1514" s="6" t="n">
        <f aca="false">Sens!J1455</f>
        <v>31.5</v>
      </c>
      <c r="K1514" s="6" t="n">
        <f aca="false">Sens!K1455</f>
        <v>34.5</v>
      </c>
    </row>
    <row r="1515" customFormat="false" ht="17.15" hidden="false" customHeight="false" outlineLevel="0" collapsed="false">
      <c r="A1515" s="1" t="s">
        <v>847</v>
      </c>
      <c r="B1515" s="0" t="s">
        <v>98</v>
      </c>
      <c r="F1515" s="6" t="n">
        <f aca="false">MAX(0,(Sens!E1418+Sens!F1418)/2*Sens!F1426/1000-Sens!F1514*Sens!F1494)</f>
        <v>19.9358184660572</v>
      </c>
      <c r="G1515" s="6" t="n">
        <f aca="false">MAX(0,(Sens!F1418+Sens!G1418)/2*Sens!G1426/1000-Sens!G1514*Sens!G1494)</f>
        <v>35.1359494439124</v>
      </c>
      <c r="H1515" s="6" t="n">
        <f aca="false">MAX(0,(Sens!G1418+Sens!H1418)/2*Sens!H1426/1000-Sens!H1514*Sens!H1494)</f>
        <v>51.688536514718</v>
      </c>
      <c r="I1515" s="6" t="n">
        <f aca="false">MAX(0,(Sens!H1418+Sens!I1418)/2*Sens!I1426/1000-Sens!I1514*Sens!I1494)</f>
        <v>66.8193432436896</v>
      </c>
      <c r="J1515" s="6" t="n">
        <f aca="false">MAX(0,(Sens!I1418+Sens!J1418)/2*Sens!J1426/1000-Sens!J1514*Sens!J1494)</f>
        <v>77.4328840229578</v>
      </c>
      <c r="K1515" s="6" t="n">
        <f aca="false">MAX(0,(Sens!J1418+Sens!K1418)/2*Sens!K1426/1000-Sens!K1514*Sens!K1494)</f>
        <v>83.3249638901295</v>
      </c>
      <c r="L1515" s="1" t="s">
        <v>848</v>
      </c>
    </row>
    <row r="1516" customFormat="false" ht="17.15" hidden="false" customHeight="false" outlineLevel="0" collapsed="false">
      <c r="A1516" s="1" t="s">
        <v>849</v>
      </c>
      <c r="B1516" s="0" t="s">
        <v>98</v>
      </c>
      <c r="F1516" s="6" t="n">
        <f aca="false">IF(internal_ai_reading=2,1,0)*Sens!F1515</f>
        <v>19.9358184660572</v>
      </c>
      <c r="G1516" s="6" t="n">
        <f aca="false">IF(internal_ai_reading=2,1,0)*Sens!G1515</f>
        <v>35.1359494439124</v>
      </c>
      <c r="H1516" s="6" t="n">
        <f aca="false">IF(internal_ai_reading=2,1,0)*Sens!H1515</f>
        <v>51.688536514718</v>
      </c>
      <c r="I1516" s="6" t="n">
        <f aca="false">IF(internal_ai_reading=2,1,0)*Sens!I1515</f>
        <v>66.8193432436896</v>
      </c>
      <c r="J1516" s="6" t="n">
        <f aca="false">IF(internal_ai_reading=2,1,0)*Sens!J1515</f>
        <v>77.4328840229578</v>
      </c>
      <c r="K1516" s="6" t="n">
        <f aca="false">IF(internal_ai_reading=2,1,0)*Sens!K1515</f>
        <v>83.3249638901295</v>
      </c>
    </row>
    <row r="1517" customFormat="false" ht="17.15" hidden="false" customHeight="false" outlineLevel="0" collapsed="false">
      <c r="A1517" s="0" t="s">
        <v>850</v>
      </c>
      <c r="B1517" s="0" t="s">
        <v>98</v>
      </c>
      <c r="F1517" s="6" t="n">
        <f aca="false">Sens!F1435+Sens!F1514*Sens!F1494+Sens!F1516-Sens!F1436-Sens!F1446</f>
        <v>33.2328824056548</v>
      </c>
      <c r="G1517" s="6" t="n">
        <f aca="false">Sens!G1435+Sens!G1514*Sens!G1494+Sens!G1516-Sens!G1436-Sens!G1446</f>
        <v>54.0921530808812</v>
      </c>
      <c r="H1517" s="6" t="n">
        <f aca="false">Sens!H1435+Sens!H1514*Sens!H1494+Sens!H1516-Sens!H1436-Sens!H1446</f>
        <v>76.3307560350376</v>
      </c>
      <c r="I1517" s="6" t="n">
        <f aca="false">Sens!I1435+Sens!I1514*Sens!I1494+Sens!I1516-Sens!I1436-Sens!I1446</f>
        <v>96.1075949873131</v>
      </c>
      <c r="J1517" s="6" t="n">
        <f aca="false">Sens!J1435+Sens!J1514*Sens!J1494+Sens!J1516-Sens!J1436-Sens!J1446</f>
        <v>109.812584660057</v>
      </c>
      <c r="K1517" s="6" t="n">
        <f aca="false">Sens!K1435+Sens!K1514*Sens!K1494+Sens!K1516-Sens!K1436-Sens!K1446</f>
        <v>119.088799138693</v>
      </c>
    </row>
    <row r="1518" customFormat="false" ht="17.15" hidden="false" customHeight="false" outlineLevel="0" collapsed="false">
      <c r="A1518" s="0" t="s">
        <v>851</v>
      </c>
      <c r="B1518" s="0" t="s">
        <v>98</v>
      </c>
      <c r="E1518" s="6" t="n">
        <f aca="false">Sens!E1417*(cxit_open+self_build*tk_cxfac)/1000*ai_net_open</f>
        <v>126.6980382</v>
      </c>
      <c r="F1518" s="6" t="n">
        <f aca="false">Sens!E1518+Sens!F1443-Sens!F1446</f>
        <v>260.578155514568</v>
      </c>
      <c r="G1518" s="6" t="n">
        <f aca="false">Sens!F1518+Sens!G1443-Sens!G1446</f>
        <v>383.645602737428</v>
      </c>
      <c r="H1518" s="6" t="n">
        <f aca="false">Sens!G1518+Sens!H1443-Sens!H1446</f>
        <v>483.983572654688</v>
      </c>
      <c r="I1518" s="6" t="n">
        <f aca="false">Sens!H1518+Sens!I1443-Sens!I1446</f>
        <v>535.703201826713</v>
      </c>
      <c r="J1518" s="6" t="n">
        <f aca="false">Sens!I1518+Sens!J1443-Sens!J1446</f>
        <v>531.031967622137</v>
      </c>
      <c r="K1518" s="6" t="n">
        <f aca="false">Sens!J1518+Sens!K1443-Sens!K1446</f>
        <v>506.3437564596</v>
      </c>
      <c r="L1518" s="1" t="s">
        <v>852</v>
      </c>
    </row>
    <row r="1519" customFormat="false" ht="17.15" hidden="false" customHeight="false" outlineLevel="0" collapsed="false">
      <c r="A1519" s="0" t="s">
        <v>853</v>
      </c>
      <c r="B1519" s="0" t="s">
        <v>129</v>
      </c>
      <c r="F1519" s="7" t="n">
        <f aca="false">Sens!F1517*(1-tax_f)/((Sens!E1518+Sens!F1518)/2)</f>
        <v>0.137298942491253</v>
      </c>
      <c r="G1519" s="7" t="n">
        <f aca="false">Sens!G1517*(1-tax_f)/((Sens!F1518+Sens!G1518)/2)</f>
        <v>0.134343764601671</v>
      </c>
      <c r="H1519" s="7" t="n">
        <f aca="false">Sens!H1517*(1-tax_f)/((Sens!G1518+Sens!H1518)/2)</f>
        <v>0.140761990398565</v>
      </c>
      <c r="I1519" s="7" t="n">
        <f aca="false">Sens!I1517*(1-tax_f)/((Sens!H1518+Sens!I1518)/2)</f>
        <v>0.150803321007971</v>
      </c>
      <c r="J1519" s="7" t="n">
        <f aca="false">Sens!J1517*(1-tax_f)/((Sens!I1518+Sens!J1518)/2)</f>
        <v>0.164708299199388</v>
      </c>
      <c r="K1519" s="7" t="n">
        <f aca="false">Sens!K1517*(1-tax_f)/((Sens!J1518+Sens!K1518)/2)</f>
        <v>0.18367701711024</v>
      </c>
    </row>
    <row r="1520" customFormat="false" ht="17.15" hidden="false" customHeight="false" outlineLevel="0" collapsed="false">
      <c r="A1520" s="1" t="s">
        <v>854</v>
      </c>
      <c r="B1520" s="0" t="s">
        <v>129</v>
      </c>
      <c r="F1520" s="7" t="n">
        <f aca="false">(Sens!F1517-Sens!F1516)*(1-tax_f)/((Sens!E1518+Sens!F1518)/2)</f>
        <v>0.0549357348803025</v>
      </c>
      <c r="G1520" s="7" t="n">
        <f aca="false">(Sens!G1517-Sens!G1516)*(1-tax_f)/((Sens!F1518+Sens!G1518)/2)</f>
        <v>0.0470798001946494</v>
      </c>
      <c r="H1520" s="7" t="n">
        <f aca="false">(Sens!H1517-Sens!H1516)*(1-tax_f)/((Sens!G1518+Sens!H1518)/2)</f>
        <v>0.0454428600959534</v>
      </c>
      <c r="I1520" s="7" t="n">
        <f aca="false">(Sens!I1517-Sens!I1516)*(1-tax_f)/((Sens!H1518+Sens!I1518)/2)</f>
        <v>0.0459564681650701</v>
      </c>
      <c r="J1520" s="7" t="n">
        <f aca="false">(Sens!J1517-Sens!J1516)*(1-tax_f)/((Sens!I1518+Sens!J1518)/2)</f>
        <v>0.048566431953421</v>
      </c>
      <c r="K1520" s="7" t="n">
        <f aca="false">(Sens!K1517-Sens!K1516)*(1-tax_f)/((Sens!J1518+Sens!K1518)/2)</f>
        <v>0.0551604737505819</v>
      </c>
    </row>
    <row r="1521" customFormat="false" ht="17.15" hidden="false" customHeight="false" outlineLevel="0" collapsed="false">
      <c r="A1521" s="1" t="s">
        <v>855</v>
      </c>
      <c r="B1521" s="0" t="s">
        <v>129</v>
      </c>
      <c r="F1521" s="7" t="n">
        <f aca="false">(Sens!F1517-Sens!F1516+Sens!F1515)*(1-tax_f)/((Sens!E1518+Sens!F1518)/2)</f>
        <v>0.137298942491253</v>
      </c>
      <c r="G1521" s="7" t="n">
        <f aca="false">(Sens!G1517-Sens!G1516+Sens!G1515)*(1-tax_f)/((Sens!F1518+Sens!G1518)/2)</f>
        <v>0.134343764601671</v>
      </c>
      <c r="H1521" s="7" t="n">
        <f aca="false">(Sens!H1517-Sens!H1516+Sens!H1515)*(1-tax_f)/((Sens!G1518+Sens!H1518)/2)</f>
        <v>0.140761990398565</v>
      </c>
      <c r="I1521" s="7" t="n">
        <f aca="false">(Sens!I1517-Sens!I1516+Sens!I1515)*(1-tax_f)/((Sens!H1518+Sens!I1518)/2)</f>
        <v>0.150803321007971</v>
      </c>
      <c r="J1521" s="7" t="n">
        <f aca="false">(Sens!J1517-Sens!J1516+Sens!J1515)*(1-tax_f)/((Sens!I1518+Sens!J1518)/2)</f>
        <v>0.164708299199388</v>
      </c>
      <c r="K1521" s="7" t="n">
        <f aca="false">(Sens!K1517-Sens!K1516+Sens!K1515)*(1-tax_f)/((Sens!J1518+Sens!K1518)/2)</f>
        <v>0.18367701711024</v>
      </c>
    </row>
    <row r="1522" customFormat="false" ht="17.15" hidden="false" customHeight="false" outlineLevel="0" collapsed="false">
      <c r="A1522" s="1" t="s">
        <v>856</v>
      </c>
      <c r="B1522" s="0" t="s">
        <v>129</v>
      </c>
      <c r="F1522" s="7" t="n">
        <f aca="false">Sens!F1447*(1-tax_f)/(Sens!F1434*(Sens!E1518+Sens!F1518)/2)</f>
        <v>0.18505119187521</v>
      </c>
      <c r="G1522" s="7" t="n">
        <f aca="false">Sens!G1447*(1-tax_f)/(Sens!G1434*(Sens!F1518+Sens!G1518)/2)</f>
        <v>0.180750017325005</v>
      </c>
      <c r="H1522" s="7" t="n">
        <f aca="false">Sens!H1447*(1-tax_f)/(Sens!H1434*(Sens!G1518+Sens!H1518)/2)</f>
        <v>0.188404913795274</v>
      </c>
      <c r="I1522" s="7" t="n">
        <f aca="false">Sens!I1447*(1-tax_f)/(Sens!I1434*(Sens!H1518+Sens!I1518)/2)</f>
        <v>0.201249084180557</v>
      </c>
      <c r="J1522" s="7" t="n">
        <f aca="false">Sens!J1447*(1-tax_f)/(Sens!J1434*(Sens!I1518+Sens!J1518)/2)</f>
        <v>0.219550619972255</v>
      </c>
      <c r="K1522" s="7" t="n">
        <f aca="false">Sens!K1447*(1-tax_f)/(Sens!K1434*(Sens!J1518+Sens!K1518)/2)</f>
        <v>0.244426553386959</v>
      </c>
    </row>
    <row r="1523" customFormat="false" ht="17.15" hidden="false" customHeight="false" outlineLevel="0" collapsed="false">
      <c r="A1523" s="0" t="s">
        <v>857</v>
      </c>
      <c r="B1523" s="0" t="s">
        <v>209</v>
      </c>
      <c r="F1523" s="7" t="n">
        <f aca="false">Sens!F1519-wacc</f>
        <v>0.0343645223983768</v>
      </c>
      <c r="G1523" s="7" t="n">
        <f aca="false">Sens!G1519-wacc</f>
        <v>0.0314093445087953</v>
      </c>
      <c r="H1523" s="7" t="n">
        <f aca="false">Sens!H1519-wacc</f>
        <v>0.0378275703056895</v>
      </c>
      <c r="I1523" s="7" t="n">
        <f aca="false">Sens!I1519-wacc</f>
        <v>0.047868900915095</v>
      </c>
      <c r="J1523" s="7" t="n">
        <f aca="false">Sens!J1519-wacc</f>
        <v>0.0617738791065124</v>
      </c>
      <c r="K1523" s="7" t="n">
        <f aca="false">Sens!K1519-wacc</f>
        <v>0.0807425970173641</v>
      </c>
    </row>
    <row r="1524" customFormat="false" ht="17.15" hidden="false" customHeight="false" outlineLevel="0" collapsed="false">
      <c r="A1524" s="0" t="s">
        <v>858</v>
      </c>
      <c r="B1524" s="0" t="s">
        <v>98</v>
      </c>
      <c r="F1524" s="6" t="n">
        <f aca="false">Sens!F1517*(1-tax_f)-wacc*(Sens!E1518+Sens!F1518)/2</f>
        <v>6.65428071663119</v>
      </c>
      <c r="G1524" s="6" t="n">
        <f aca="false">Sens!G1517*(1-tax_f)-wacc*(Sens!F1518+Sens!G1518)/2</f>
        <v>10.1173229818439</v>
      </c>
      <c r="H1524" s="6" t="n">
        <f aca="false">Sens!H1517*(1-tax_f)-wacc*(Sens!G1518+Sens!H1518)/2</f>
        <v>16.4101518157063</v>
      </c>
      <c r="I1524" s="6" t="n">
        <f aca="false">Sens!I1517*(1-tax_f)-wacc*(Sens!H1518+Sens!I1518)/2</f>
        <v>24.4056425860415</v>
      </c>
      <c r="J1524" s="6" t="n">
        <f aca="false">Sens!J1517*(1-tax_f)-wacc*(Sens!I1518+Sens!J1518)/2</f>
        <v>32.9481846980991</v>
      </c>
      <c r="K1524" s="6" t="n">
        <f aca="false">Sens!K1517*(1-tax_f)-wacc*(Sens!J1518+Sens!K1518)/2</f>
        <v>41.880205022564</v>
      </c>
    </row>
    <row r="1525" customFormat="false" ht="17.15" hidden="false" customHeight="false" outlineLevel="0" collapsed="false">
      <c r="A1525" s="3" t="s">
        <v>1272</v>
      </c>
    </row>
    <row r="1526" customFormat="false" ht="15" hidden="false" customHeight="false" outlineLevel="0" collapsed="false">
      <c r="A1526" s="4" t="s">
        <v>43</v>
      </c>
      <c r="B1526" s="4" t="s">
        <v>65</v>
      </c>
      <c r="C1526" s="20" t="s">
        <v>788</v>
      </c>
      <c r="D1526" s="20" t="s">
        <v>789</v>
      </c>
      <c r="E1526" s="20" t="s">
        <v>790</v>
      </c>
      <c r="F1526" s="20" t="s">
        <v>791</v>
      </c>
      <c r="G1526" s="20" t="s">
        <v>792</v>
      </c>
      <c r="H1526" s="20" t="s">
        <v>793</v>
      </c>
      <c r="I1526" s="20" t="s">
        <v>794</v>
      </c>
      <c r="J1526" s="20" t="s">
        <v>795</v>
      </c>
      <c r="K1526" s="20" t="s">
        <v>796</v>
      </c>
      <c r="L1526" s="4" t="s">
        <v>47</v>
      </c>
    </row>
    <row r="1527" customFormat="false" ht="15" hidden="false" customHeight="false" outlineLevel="0" collapsed="false">
      <c r="A1527" s="1" t="s">
        <v>915</v>
      </c>
      <c r="B1527" s="0" t="s">
        <v>98</v>
      </c>
      <c r="F1527" s="6" t="n">
        <f aca="false">Sens!F1508</f>
        <v>147.802551038204</v>
      </c>
      <c r="G1527" s="6" t="n">
        <f aca="false">Sens!G1508</f>
        <v>168.06509616262</v>
      </c>
      <c r="H1527" s="6" t="n">
        <f aca="false">Sens!H1508</f>
        <v>188.605680788768</v>
      </c>
      <c r="I1527" s="6" t="n">
        <f aca="false">Sens!I1508</f>
        <v>208.017502863584</v>
      </c>
      <c r="J1527" s="6" t="n">
        <f aca="false">Sens!J1508</f>
        <v>225.273903683183</v>
      </c>
      <c r="K1527" s="6" t="n">
        <f aca="false">Sens!K1508</f>
        <v>241.219815861987</v>
      </c>
    </row>
    <row r="1528" customFormat="false" ht="17.15" hidden="false" customHeight="false" outlineLevel="0" collapsed="false">
      <c r="A1528" s="1" t="s">
        <v>937</v>
      </c>
      <c r="B1528" s="0" t="s">
        <v>98</v>
      </c>
      <c r="E1528" s="6" t="n">
        <f aca="false">Q!M38-Sens!E1446</f>
        <v>22.2285940229167</v>
      </c>
      <c r="F1528" s="6" t="n">
        <f aca="false">Sens!E1528*(1-1/life_nonai)+Sens!F1534/life_nonai</f>
        <v>23.5636693435813</v>
      </c>
      <c r="G1528" s="6" t="n">
        <f aca="false">Sens!F1528*(1-1/life_nonai)+Sens!G1534/life_nonai</f>
        <v>25.3225917662621</v>
      </c>
      <c r="H1528" s="6" t="n">
        <f aca="false">Sens!G1528*(1-1/life_nonai)+Sens!H1534/life_nonai</f>
        <v>27.4714839540448</v>
      </c>
      <c r="I1528" s="6" t="n">
        <f aca="false">Sens!H1528*(1-1/life_nonai)+Sens!I1534/life_nonai</f>
        <v>29.9441755898047</v>
      </c>
      <c r="J1528" s="6" t="n">
        <f aca="false">Sens!I1528*(1-1/life_nonai)+Sens!J1534/life_nonai</f>
        <v>32.6578493558616</v>
      </c>
      <c r="K1528" s="6" t="n">
        <f aca="false">Sens!J1528*(1-1/life_nonai)+Sens!K1534/life_nonai</f>
        <v>35.5289346944749</v>
      </c>
      <c r="L1528" s="11" t="s">
        <v>938</v>
      </c>
    </row>
    <row r="1529" customFormat="false" ht="17.15" hidden="false" customHeight="false" outlineLevel="0" collapsed="false">
      <c r="A1529" s="1" t="s">
        <v>939</v>
      </c>
      <c r="B1529" s="0" t="s">
        <v>98</v>
      </c>
      <c r="E1529" s="6" t="n">
        <f aca="false">Sens!E1446+Sens!E1528</f>
        <v>38.534</v>
      </c>
      <c r="F1529" s="6" t="n">
        <f aca="false">Sens!F1446+Sens!F1528</f>
        <v>58.304204799451</v>
      </c>
      <c r="G1529" s="6" t="n">
        <f aca="false">Sens!G1446+Sens!G1528</f>
        <v>85.8293250266017</v>
      </c>
      <c r="H1529" s="6" t="n">
        <f aca="false">Sens!H1446+Sens!H1528</f>
        <v>115.213799947184</v>
      </c>
      <c r="I1529" s="6" t="n">
        <f aca="false">Sens!I1446+Sens!I1528</f>
        <v>141.931215572026</v>
      </c>
      <c r="J1529" s="6" t="n">
        <f aca="false">Sens!J1446+Sens!J1528</f>
        <v>161.841560278527</v>
      </c>
      <c r="K1529" s="6" t="n">
        <f aca="false">Sens!K1446+Sens!K1528</f>
        <v>175.176581498948</v>
      </c>
    </row>
    <row r="1530" customFormat="false" ht="17.15" hidden="false" customHeight="false" outlineLevel="0" collapsed="false">
      <c r="A1530" s="1" t="s">
        <v>940</v>
      </c>
      <c r="B1530" s="0" t="s">
        <v>98</v>
      </c>
      <c r="F1530" s="6" t="n">
        <f aca="false">Sens!F1473*sbc_r</f>
        <v>15.2396357394244</v>
      </c>
      <c r="G1530" s="6" t="n">
        <f aca="false">Sens!G1473*sbc_r</f>
        <v>18.2656947661053</v>
      </c>
      <c r="H1530" s="6" t="n">
        <f aca="false">Sens!H1473*sbc_r</f>
        <v>21.364089868982</v>
      </c>
      <c r="I1530" s="6" t="n">
        <f aca="false">Sens!I1473*sbc_r</f>
        <v>24.2145928023022</v>
      </c>
      <c r="J1530" s="6" t="n">
        <f aca="false">Sens!J1473*sbc_r</f>
        <v>26.532586495105</v>
      </c>
      <c r="K1530" s="6" t="n">
        <f aca="false">Sens!K1473*sbc_r</f>
        <v>28.3753474342572</v>
      </c>
    </row>
    <row r="1531" customFormat="false" ht="17.15" hidden="false" customHeight="false" outlineLevel="0" collapsed="false">
      <c r="A1531" s="1" t="s">
        <v>941</v>
      </c>
      <c r="B1531" s="0" t="s">
        <v>98</v>
      </c>
      <c r="F1531" s="6" t="n">
        <f aca="false">wc27</f>
        <v>-4.895</v>
      </c>
      <c r="G1531" s="6" t="n">
        <f aca="false">wc_f</f>
        <v>0</v>
      </c>
      <c r="H1531" s="6" t="n">
        <f aca="false">wc_f</f>
        <v>0</v>
      </c>
      <c r="I1531" s="6" t="n">
        <f aca="false">wc_f</f>
        <v>0</v>
      </c>
      <c r="J1531" s="6" t="n">
        <f aca="false">wc_f</f>
        <v>0</v>
      </c>
      <c r="K1531" s="6" t="n">
        <f aca="false">wc_f</f>
        <v>0</v>
      </c>
      <c r="L1531" s="11" t="s">
        <v>942</v>
      </c>
    </row>
    <row r="1532" customFormat="false" ht="15" hidden="false" customHeight="false" outlineLevel="0" collapsed="false">
      <c r="A1532" s="1" t="s">
        <v>756</v>
      </c>
      <c r="B1532" s="0" t="s">
        <v>98</v>
      </c>
      <c r="E1532" s="6" t="n">
        <f aca="false">Q!M35</f>
        <v>182.935</v>
      </c>
      <c r="F1532" s="6" t="n">
        <f aca="false">Sens!F1527+Sens!F1529+Sens!F1530+Sens!F1531</f>
        <v>216.451391577079</v>
      </c>
      <c r="G1532" s="6" t="n">
        <f aca="false">Sens!G1527+Sens!G1529+Sens!G1530+Sens!G1531</f>
        <v>272.160115955327</v>
      </c>
      <c r="H1532" s="6" t="n">
        <f aca="false">Sens!H1527+Sens!H1529+Sens!H1530+Sens!H1531</f>
        <v>325.183570604934</v>
      </c>
      <c r="I1532" s="6" t="n">
        <f aca="false">Sens!I1527+Sens!I1529+Sens!I1530+Sens!I1531</f>
        <v>374.163311237913</v>
      </c>
      <c r="J1532" s="6" t="n">
        <f aca="false">Sens!J1527+Sens!J1529+Sens!J1530+Sens!J1531</f>
        <v>413.648050456815</v>
      </c>
      <c r="K1532" s="6" t="n">
        <f aca="false">Sens!K1527+Sens!K1529+Sens!K1530+Sens!K1531</f>
        <v>444.771744795193</v>
      </c>
    </row>
    <row r="1533" customFormat="false" ht="17.15" hidden="false" customHeight="false" outlineLevel="0" collapsed="false">
      <c r="A1533" s="0" t="s">
        <v>943</v>
      </c>
      <c r="B1533" s="0" t="s">
        <v>98</v>
      </c>
      <c r="F1533" s="6" t="n">
        <f aca="false">Sens!F1443</f>
        <v>168.620652770438</v>
      </c>
      <c r="G1533" s="6" t="n">
        <f aca="false">Sens!G1443</f>
        <v>183.5741804832</v>
      </c>
      <c r="H1533" s="6" t="n">
        <f aca="false">Sens!H1443</f>
        <v>188.0802859104</v>
      </c>
      <c r="I1533" s="6" t="n">
        <f aca="false">Sens!I1443</f>
        <v>163.706669154245</v>
      </c>
      <c r="J1533" s="6" t="n">
        <f aca="false">Sens!J1443</f>
        <v>124.51247671809</v>
      </c>
      <c r="K1533" s="6" t="n">
        <f aca="false">Sens!K1443</f>
        <v>114.959435641936</v>
      </c>
    </row>
    <row r="1534" customFormat="false" ht="17.15" hidden="false" customHeight="false" outlineLevel="0" collapsed="false">
      <c r="A1534" s="1" t="s">
        <v>944</v>
      </c>
      <c r="B1534" s="0" t="s">
        <v>98</v>
      </c>
      <c r="E1534" s="6" t="n">
        <f aca="false">Sens!E1451*cx_azo+Sens!E1458*cx_m365+Sens!E1459*cx_lic+(Sens!E1461+Sens!E1463)*cx_ind+Sens!E1466*cx_srch+(Sens!E1468+Sens!E1470)*cx_dev</f>
        <v>30.1846587067718</v>
      </c>
      <c r="F1534" s="6" t="n">
        <f aca="false">Sens!F1451*cx_azo+Sens!F1458*cx_m365+Sens!F1459*cx_lic+(Sens!F1461+Sens!F1463)*cx_ind+Sens!F1466*cx_srch+(Sens!F1468+Sens!F1470)*cx_dev</f>
        <v>35.5793472295625</v>
      </c>
      <c r="G1534" s="6" t="n">
        <f aca="false">Sens!G1451*cx_azo+Sens!G1458*cx_m365+Sens!G1459*cx_lic+(Sens!G1461+Sens!G1463)*cx_ind+Sens!G1466*cx_srch+(Sens!G1468+Sens!G1470)*cx_dev</f>
        <v>41.1528935703892</v>
      </c>
      <c r="H1534" s="6" t="n">
        <f aca="false">Sens!H1451*cx_azo+Sens!H1458*cx_m365+Sens!H1459*cx_lic+(Sens!H1461+Sens!H1463)*cx_ind+Sens!H1466*cx_srch+(Sens!H1468+Sens!H1470)*cx_dev</f>
        <v>46.8115136440897</v>
      </c>
      <c r="I1534" s="6" t="n">
        <f aca="false">Sens!I1451*cx_azo+Sens!I1458*cx_m365+Sens!I1459*cx_lic+(Sens!I1461+Sens!I1463)*cx_ind+Sens!I1466*cx_srch+(Sens!I1468+Sens!I1470)*cx_dev</f>
        <v>52.1984003116439</v>
      </c>
      <c r="J1534" s="6" t="n">
        <f aca="false">Sens!J1451*cx_azo+Sens!J1458*cx_m365+Sens!J1459*cx_lic+(Sens!J1461+Sens!J1463)*cx_ind+Sens!J1466*cx_srch+(Sens!J1468+Sens!J1470)*cx_dev</f>
        <v>57.0809132503738</v>
      </c>
      <c r="K1534" s="6" t="n">
        <f aca="false">Sens!K1451*cx_azo+Sens!K1458*cx_m365+Sens!K1459*cx_lic+(Sens!K1461+Sens!K1463)*cx_ind+Sens!K1466*cx_srch+(Sens!K1468+Sens!K1470)*cx_dev</f>
        <v>61.368702741994</v>
      </c>
    </row>
    <row r="1535" customFormat="false" ht="17.15" hidden="false" customHeight="false" outlineLevel="0" collapsed="false">
      <c r="A1535" s="1" t="s">
        <v>945</v>
      </c>
      <c r="B1535" s="0" t="s">
        <v>98</v>
      </c>
      <c r="E1535" s="6" t="n">
        <f aca="false">Q!M42</f>
        <v>145.3</v>
      </c>
      <c r="F1535" s="6" t="n">
        <f aca="false">Sens!F1533+Sens!F1534</f>
        <v>204.2</v>
      </c>
      <c r="G1535" s="6" t="n">
        <f aca="false">Sens!G1533+Sens!G1534</f>
        <v>224.727074053589</v>
      </c>
      <c r="H1535" s="6" t="n">
        <f aca="false">Sens!H1533+Sens!H1534</f>
        <v>234.89179955449</v>
      </c>
      <c r="I1535" s="6" t="n">
        <f aca="false">Sens!I1533+Sens!I1534</f>
        <v>215.905069465889</v>
      </c>
      <c r="J1535" s="6" t="n">
        <f aca="false">Sens!J1533+Sens!J1534</f>
        <v>181.593389968464</v>
      </c>
      <c r="K1535" s="6" t="n">
        <f aca="false">Sens!K1533+Sens!K1534</f>
        <v>176.32813838393</v>
      </c>
      <c r="L1535" s="1" t="s">
        <v>946</v>
      </c>
    </row>
    <row r="1536" customFormat="false" ht="15" hidden="false" customHeight="false" outlineLevel="0" collapsed="false">
      <c r="A1536" s="1" t="s">
        <v>947</v>
      </c>
      <c r="B1536" s="0" t="s">
        <v>98</v>
      </c>
      <c r="E1536" s="6" t="n">
        <f aca="false">fl_liab</f>
        <v>66.594</v>
      </c>
      <c r="F1536" s="6" t="n">
        <f aca="false">Sens!E1536-Sens!F1537</f>
        <v>62.46973</v>
      </c>
      <c r="G1536" s="6" t="n">
        <f aca="false">Sens!F1536-Sens!G1537</f>
        <v>57.98686785</v>
      </c>
      <c r="H1536" s="6" t="n">
        <f aca="false">Sens!G1536-Sens!H1537</f>
        <v>53.92827690325</v>
      </c>
      <c r="I1536" s="6" t="n">
        <f aca="false">Sens!H1536-Sens!I1537</f>
        <v>49.7850493638962</v>
      </c>
      <c r="J1536" s="6" t="n">
        <f aca="false">Sens!I1536-Sens!J1537</f>
        <v>45.4823765852716</v>
      </c>
      <c r="K1536" s="6" t="n">
        <f aca="false">Sens!J1536-Sens!K1537</f>
        <v>40.9860835316088</v>
      </c>
    </row>
    <row r="1537" customFormat="false" ht="15" hidden="false" customHeight="false" outlineLevel="0" collapsed="false">
      <c r="A1537" s="1" t="s">
        <v>948</v>
      </c>
      <c r="B1537" s="0" t="s">
        <v>98</v>
      </c>
      <c r="F1537" s="6" t="n">
        <f aca="false">fl_pay_27-Sens!E1536*fl_rate</f>
        <v>4.12427</v>
      </c>
      <c r="G1537" s="6" t="n">
        <f aca="false">fl_pay_28-Sens!F1536*fl_rate</f>
        <v>4.48286215</v>
      </c>
      <c r="H1537" s="6" t="n">
        <f aca="false">fl_pay_29-Sens!G1536*fl_rate</f>
        <v>4.05859094675</v>
      </c>
      <c r="I1537" s="6" t="n">
        <f aca="false">fl_pay_30-Sens!H1536*fl_rate</f>
        <v>4.14322753935375</v>
      </c>
      <c r="J1537" s="6" t="n">
        <f aca="false">fl_pay_31-Sens!I1536*fl_rate</f>
        <v>4.30267277862467</v>
      </c>
      <c r="K1537" s="6" t="n">
        <f aca="false">fl_pay_32-Sens!J1536*fl_rate</f>
        <v>4.49629305366278</v>
      </c>
    </row>
    <row r="1538" customFormat="false" ht="17.15" hidden="false" customHeight="false" outlineLevel="0" collapsed="false">
      <c r="A1538" s="1" t="s">
        <v>949</v>
      </c>
      <c r="B1538" s="0" t="s">
        <v>98</v>
      </c>
      <c r="E1538" s="6" t="n">
        <f aca="false">Q!M35-Q!M36-Q!M43</f>
        <v>63.886</v>
      </c>
      <c r="F1538" s="6" t="n">
        <f aca="false">Sens!F1532-Sens!F1535-Sens!F1537</f>
        <v>8.12712157707923</v>
      </c>
      <c r="G1538" s="6" t="n">
        <f aca="false">Sens!G1532-Sens!G1535-Sens!G1537</f>
        <v>42.9501797517375</v>
      </c>
      <c r="H1538" s="6" t="n">
        <f aca="false">Sens!H1532-Sens!H1535-Sens!H1537</f>
        <v>86.2331801036944</v>
      </c>
      <c r="I1538" s="6" t="n">
        <f aca="false">Sens!I1532-Sens!I1535-Sens!I1537</f>
        <v>154.115014232669</v>
      </c>
      <c r="J1538" s="6" t="n">
        <f aca="false">Sens!J1532-Sens!J1535-Sens!J1537</f>
        <v>227.751987709727</v>
      </c>
      <c r="K1538" s="6" t="n">
        <f aca="false">Sens!K1532-Sens!K1535-Sens!K1537</f>
        <v>263.9473133576</v>
      </c>
      <c r="L1538" s="11" t="s">
        <v>950</v>
      </c>
    </row>
    <row r="1539" customFormat="false" ht="15" hidden="false" customHeight="false" outlineLevel="0" collapsed="false">
      <c r="A1539" s="1" t="s">
        <v>951</v>
      </c>
      <c r="B1539" s="0" t="s">
        <v>75</v>
      </c>
      <c r="F1539" s="8" t="n">
        <f aca="false">dps_27</f>
        <v>3.85</v>
      </c>
      <c r="G1539" s="8" t="n">
        <f aca="false">Sens!F1539*(1+dps_g)</f>
        <v>4.158</v>
      </c>
      <c r="H1539" s="8" t="n">
        <f aca="false">Sens!G1539*(1+dps_g)</f>
        <v>4.49064</v>
      </c>
      <c r="I1539" s="8" t="n">
        <f aca="false">Sens!H1539*(1+dps_g)</f>
        <v>4.8498912</v>
      </c>
      <c r="J1539" s="8" t="n">
        <f aca="false">Sens!I1539*(1+dps_g)</f>
        <v>5.237882496</v>
      </c>
      <c r="K1539" s="8" t="n">
        <f aca="false">Sens!J1539*(1+dps_g)</f>
        <v>5.65691309568</v>
      </c>
    </row>
    <row r="1540" customFormat="false" ht="17.15" hidden="false" customHeight="false" outlineLevel="0" collapsed="false">
      <c r="A1540" s="1" t="s">
        <v>952</v>
      </c>
      <c r="B1540" s="0" t="s">
        <v>98</v>
      </c>
      <c r="E1540" s="6" t="n">
        <f aca="false">Q!M41</f>
        <v>26.445</v>
      </c>
      <c r="F1540" s="6" t="n">
        <f aca="false">Sens!F1539*Sens!E1549</f>
        <v>28.59395</v>
      </c>
      <c r="G1540" s="6" t="n">
        <f aca="false">Sens!G1539*Sens!F1549</f>
        <v>31.068576</v>
      </c>
      <c r="H1540" s="6" t="n">
        <f aca="false">Sens!H1539*Sens!G1549</f>
        <v>33.6668830118577</v>
      </c>
      <c r="I1540" s="6" t="n">
        <f aca="false">Sens!I1539*Sens!H1549</f>
        <v>36.4111728928058</v>
      </c>
      <c r="J1540" s="6" t="n">
        <f aca="false">Sens!J1539*Sens!I1549</f>
        <v>39.3924655725497</v>
      </c>
      <c r="K1540" s="6" t="n">
        <f aca="false">Sens!K1539*Sens!J1549</f>
        <v>42.6311180436587</v>
      </c>
      <c r="L1540" s="1" t="s">
        <v>953</v>
      </c>
    </row>
    <row r="1541" customFormat="false" ht="15" hidden="false" customHeight="false" outlineLevel="0" collapsed="false">
      <c r="A1541" s="1" t="s">
        <v>954</v>
      </c>
      <c r="B1541" s="0" t="s">
        <v>98</v>
      </c>
      <c r="E1541" s="6" t="n">
        <f aca="false">Sens!E1538-Sens!E1540</f>
        <v>37.441</v>
      </c>
      <c r="F1541" s="6" t="n">
        <f aca="false">Sens!F1538-Sens!F1540</f>
        <v>-20.4668284229208</v>
      </c>
      <c r="G1541" s="6" t="n">
        <f aca="false">Sens!G1538-Sens!G1540</f>
        <v>11.8816037517375</v>
      </c>
      <c r="H1541" s="6" t="n">
        <f aca="false">Sens!H1538-Sens!H1540</f>
        <v>52.5662970918367</v>
      </c>
      <c r="I1541" s="6" t="n">
        <f aca="false">Sens!I1538-Sens!I1540</f>
        <v>117.703841339864</v>
      </c>
      <c r="J1541" s="6" t="n">
        <f aca="false">Sens!J1538-Sens!J1540</f>
        <v>188.359522137177</v>
      </c>
      <c r="K1541" s="6" t="n">
        <f aca="false">Sens!K1538-Sens!K1540</f>
        <v>221.316195313941</v>
      </c>
    </row>
    <row r="1542" customFormat="false" ht="15" hidden="false" customHeight="false" outlineLevel="0" collapsed="false">
      <c r="A1542" s="1" t="s">
        <v>955</v>
      </c>
      <c r="B1542" s="0" t="s">
        <v>98</v>
      </c>
      <c r="F1542" s="6" t="n">
        <f aca="false">debt_mat_27</f>
        <v>9.25</v>
      </c>
      <c r="G1542" s="6" t="n">
        <f aca="false">debt_mat_28</f>
        <v>0</v>
      </c>
      <c r="H1542" s="6" t="n">
        <f aca="false">debt_mat_29</f>
        <v>2.001</v>
      </c>
      <c r="I1542" s="6" t="n">
        <f aca="false">debt_mat_30</f>
        <v>0</v>
      </c>
      <c r="J1542" s="6" t="n">
        <f aca="false">debt_mat_31</f>
        <v>0.5</v>
      </c>
      <c r="K1542" s="6" t="n">
        <f aca="false">debt_mat_32</f>
        <v>0</v>
      </c>
    </row>
    <row r="1543" customFormat="false" ht="15" hidden="false" customHeight="false" outlineLevel="0" collapsed="false">
      <c r="A1543" s="1" t="s">
        <v>956</v>
      </c>
      <c r="B1543" s="0" t="s">
        <v>98</v>
      </c>
      <c r="E1543" s="6" t="n">
        <f aca="false">Q!M40</f>
        <v>22.271</v>
      </c>
      <c r="F1543" s="6" t="n">
        <f aca="false">MAX(0,MIN(bb_target,Sens!E1545+Sens!F1541-Sens!F1542-min_cash))</f>
        <v>0</v>
      </c>
      <c r="G1543" s="6" t="n">
        <f aca="false">MAX(0,MIN(bb_target,Sens!F1545+Sens!G1541-Sens!G1542-min_cash))</f>
        <v>11.8816037517375</v>
      </c>
      <c r="H1543" s="6" t="n">
        <f aca="false">MAX(0,MIN(bb_target,Sens!G1545+Sens!H1541-Sens!H1542-min_cash))</f>
        <v>22.271</v>
      </c>
      <c r="I1543" s="6" t="n">
        <f aca="false">MAX(0,MIN(bb_target,Sens!H1545+Sens!I1541-Sens!I1542-min_cash))</f>
        <v>22.271</v>
      </c>
      <c r="J1543" s="6" t="n">
        <f aca="false">MAX(0,MIN(bb_target,Sens!I1545+Sens!J1541-Sens!J1542-min_cash))</f>
        <v>22.271</v>
      </c>
      <c r="K1543" s="6" t="n">
        <f aca="false">MAX(0,MIN(bb_target,Sens!J1545+Sens!K1541-Sens!K1542-min_cash))</f>
        <v>22.271</v>
      </c>
    </row>
    <row r="1544" customFormat="false" ht="15" hidden="false" customHeight="false" outlineLevel="0" collapsed="false">
      <c r="A1544" s="1" t="s">
        <v>957</v>
      </c>
      <c r="B1544" s="0" t="s">
        <v>98</v>
      </c>
      <c r="F1544" s="6" t="n">
        <f aca="false">MAX(0,min_cash-(Sens!E1545+Sens!F1541-Sens!F1542-Sens!F1543))</f>
        <v>2.87382842292077</v>
      </c>
      <c r="G1544" s="6" t="n">
        <f aca="false">MAX(0,min_cash-(Sens!F1545+Sens!G1541-Sens!G1542-Sens!G1543))</f>
        <v>0</v>
      </c>
      <c r="H1544" s="6" t="n">
        <f aca="false">MAX(0,min_cash-(Sens!G1545+Sens!H1541-Sens!H1542-Sens!H1543))</f>
        <v>0</v>
      </c>
      <c r="I1544" s="6" t="n">
        <f aca="false">MAX(0,min_cash-(Sens!H1545+Sens!I1541-Sens!I1542-Sens!I1543))</f>
        <v>0</v>
      </c>
      <c r="J1544" s="6" t="n">
        <f aca="false">MAX(0,min_cash-(Sens!I1545+Sens!J1541-Sens!J1542-Sens!J1543))</f>
        <v>0</v>
      </c>
      <c r="K1544" s="6" t="n">
        <f aca="false">MAX(0,min_cash-(Sens!J1545+Sens!K1541-Sens!K1542-Sens!K1543))</f>
        <v>0</v>
      </c>
    </row>
    <row r="1545" customFormat="false" ht="15" hidden="false" customHeight="false" outlineLevel="0" collapsed="false">
      <c r="A1545" s="1" t="s">
        <v>958</v>
      </c>
      <c r="B1545" s="0" t="s">
        <v>98</v>
      </c>
      <c r="E1545" s="6" t="n">
        <f aca="false">cash_open</f>
        <v>76.843</v>
      </c>
      <c r="F1545" s="6" t="n">
        <f aca="false">Sens!E1545+Sens!F1541-Sens!F1542-Sens!F1543+Sens!F1544</f>
        <v>50</v>
      </c>
      <c r="G1545" s="6" t="n">
        <f aca="false">Sens!F1545+Sens!G1541-Sens!G1542-Sens!G1543+Sens!G1544</f>
        <v>50</v>
      </c>
      <c r="H1545" s="6" t="n">
        <f aca="false">Sens!G1545+Sens!H1541-Sens!H1542-Sens!H1543+Sens!H1544</f>
        <v>78.2942970918367</v>
      </c>
      <c r="I1545" s="6" t="n">
        <f aca="false">Sens!H1545+Sens!I1541-Sens!I1542-Sens!I1543+Sens!I1544</f>
        <v>173.7271384317</v>
      </c>
      <c r="J1545" s="6" t="n">
        <f aca="false">Sens!I1545+Sens!J1541-Sens!J1542-Sens!J1543+Sens!J1544</f>
        <v>339.315660568877</v>
      </c>
      <c r="K1545" s="6" t="n">
        <f aca="false">Sens!J1545+Sens!K1541-Sens!K1542-Sens!K1543+Sens!K1544</f>
        <v>538.360855882818</v>
      </c>
    </row>
    <row r="1546" customFormat="false" ht="15" hidden="false" customHeight="false" outlineLevel="0" collapsed="false">
      <c r="A1546" s="1" t="s">
        <v>959</v>
      </c>
      <c r="B1546" s="0" t="s">
        <v>98</v>
      </c>
      <c r="E1546" s="6" t="n">
        <f aca="false">debt_face</f>
        <v>46.136</v>
      </c>
      <c r="F1546" s="6" t="n">
        <f aca="false">Sens!E1546-Sens!F1542+Sens!F1544</f>
        <v>39.7598284229208</v>
      </c>
      <c r="G1546" s="6" t="n">
        <f aca="false">Sens!F1546-Sens!G1542+Sens!G1544</f>
        <v>39.7598284229208</v>
      </c>
      <c r="H1546" s="6" t="n">
        <f aca="false">Sens!G1546-Sens!H1542+Sens!H1544</f>
        <v>37.7588284229208</v>
      </c>
      <c r="I1546" s="6" t="n">
        <f aca="false">Sens!H1546-Sens!I1542+Sens!I1544</f>
        <v>37.7588284229208</v>
      </c>
      <c r="J1546" s="6" t="n">
        <f aca="false">Sens!I1546-Sens!J1542+Sens!J1544</f>
        <v>37.2588284229208</v>
      </c>
      <c r="K1546" s="6" t="n">
        <f aca="false">Sens!J1546-Sens!K1542+Sens!K1544</f>
        <v>37.2588284229208</v>
      </c>
    </row>
    <row r="1547" customFormat="false" ht="15" hidden="false" customHeight="false" outlineLevel="0" collapsed="false">
      <c r="A1547" s="1" t="s">
        <v>960</v>
      </c>
      <c r="B1547" s="0" t="s">
        <v>98</v>
      </c>
      <c r="E1547" s="6" t="n">
        <f aca="false">Sens!E1545-Sens!E1546</f>
        <v>30.707</v>
      </c>
      <c r="F1547" s="6" t="n">
        <f aca="false">Sens!F1545-Sens!F1546</f>
        <v>10.2401715770792</v>
      </c>
      <c r="G1547" s="6" t="n">
        <f aca="false">Sens!G1545-Sens!G1546</f>
        <v>10.2401715770792</v>
      </c>
      <c r="H1547" s="6" t="n">
        <f aca="false">Sens!H1545-Sens!H1546</f>
        <v>40.5354686689159</v>
      </c>
      <c r="I1547" s="6" t="n">
        <f aca="false">Sens!I1545-Sens!I1546</f>
        <v>135.96831000878</v>
      </c>
      <c r="J1547" s="6" t="n">
        <f aca="false">Sens!J1545-Sens!J1546</f>
        <v>302.056832145956</v>
      </c>
      <c r="K1547" s="6" t="n">
        <f aca="false">Sens!K1545-Sens!K1546</f>
        <v>501.102027459898</v>
      </c>
    </row>
    <row r="1548" customFormat="false" ht="15" hidden="false" customHeight="false" outlineLevel="0" collapsed="false">
      <c r="A1548" s="1" t="s">
        <v>961</v>
      </c>
      <c r="B1548" s="0" t="s">
        <v>75</v>
      </c>
      <c r="F1548" s="29" t="n">
        <f aca="false">px*(1+bb_g)^(Sens!F1412-base_fy-mid_yr)</f>
        <v>553.494156066711</v>
      </c>
      <c r="G1548" s="29" t="n">
        <f aca="false">px*(1+bb_g)^(Sens!G1412-base_fy-mid_yr)</f>
        <v>597.773688552047</v>
      </c>
      <c r="H1548" s="29" t="n">
        <f aca="false">px*(1+bb_g)^(Sens!H1412-base_fy-mid_yr)</f>
        <v>645.595583636211</v>
      </c>
      <c r="I1548" s="29" t="n">
        <f aca="false">px*(1+bb_g)^(Sens!I1412-base_fy-mid_yr)</f>
        <v>697.243230327108</v>
      </c>
      <c r="J1548" s="29" t="n">
        <f aca="false">px*(1+bb_g)^(Sens!J1412-base_fy-mid_yr)</f>
        <v>753.022688753277</v>
      </c>
      <c r="K1548" s="29" t="n">
        <f aca="false">px*(1+bb_g)^(Sens!K1412-base_fy-mid_yr)</f>
        <v>813.264503853539</v>
      </c>
    </row>
    <row r="1549" customFormat="false" ht="15" hidden="false" customHeight="false" outlineLevel="0" collapsed="false">
      <c r="A1549" s="1" t="s">
        <v>962</v>
      </c>
      <c r="B1549" s="1" t="s">
        <v>81</v>
      </c>
      <c r="E1549" s="14" t="n">
        <f aca="false">sh_out26</f>
        <v>7.427</v>
      </c>
      <c r="F1549" s="14" t="n">
        <f aca="false">Sens!E1549+sh_iss-Sens!F1543/Sens!F1548</f>
        <v>7.472</v>
      </c>
      <c r="G1549" s="14" t="n">
        <f aca="false">Sens!F1549+sh_iss-Sens!G1543/Sens!G1548</f>
        <v>7.49712357522708</v>
      </c>
      <c r="H1549" s="14" t="n">
        <f aca="false">Sens!G1549+sh_iss-Sens!H1543/Sens!H1548</f>
        <v>7.50762674692698</v>
      </c>
      <c r="I1549" s="14" t="n">
        <f aca="false">Sens!H1549+sh_iss-Sens!I1543/Sens!I1548</f>
        <v>7.5206852392417</v>
      </c>
      <c r="J1549" s="14" t="n">
        <f aca="false">Sens!I1549+sh_iss-Sens!J1543/Sens!J1548</f>
        <v>7.53610976916274</v>
      </c>
      <c r="K1549" s="14" t="n">
        <f aca="false">Sens!J1549+sh_iss-Sens!K1543/Sens!K1548</f>
        <v>7.55372507464519</v>
      </c>
    </row>
    <row r="1550" customFormat="false" ht="15" hidden="false" customHeight="false" outlineLevel="0" collapsed="false">
      <c r="A1550" s="1" t="s">
        <v>963</v>
      </c>
      <c r="B1550" s="1" t="s">
        <v>81</v>
      </c>
      <c r="E1550" s="14" t="n">
        <f aca="false">sh_dil26</f>
        <v>7.453</v>
      </c>
      <c r="F1550" s="14" t="n">
        <f aca="false">(Sens!E1549+Sens!F1549)/2+dil_gap</f>
        <v>7.4735</v>
      </c>
      <c r="G1550" s="14" t="n">
        <f aca="false">(Sens!F1549+Sens!G1549)/2+dil_gap</f>
        <v>7.50856178761354</v>
      </c>
      <c r="H1550" s="14" t="n">
        <f aca="false">(Sens!G1549+Sens!H1549)/2+dil_gap</f>
        <v>7.52637516107703</v>
      </c>
      <c r="I1550" s="14" t="n">
        <f aca="false">(Sens!H1549+Sens!I1549)/2+dil_gap</f>
        <v>7.53815599308434</v>
      </c>
      <c r="J1550" s="14" t="n">
        <f aca="false">(Sens!I1549+Sens!J1549)/2+dil_gap</f>
        <v>7.55239750420222</v>
      </c>
      <c r="K1550" s="14" t="n">
        <f aca="false">(Sens!J1549+Sens!K1549)/2+dil_gap</f>
        <v>7.56891742190397</v>
      </c>
    </row>
    <row r="1551" customFormat="false" ht="17.15" hidden="false" customHeight="false" outlineLevel="0" collapsed="false">
      <c r="A1551" s="1" t="s">
        <v>964</v>
      </c>
      <c r="B1551" s="0" t="s">
        <v>98</v>
      </c>
      <c r="C1551" s="6" t="n">
        <f aca="false">SUM(Sens!F1541:J1541)</f>
        <v>350.044435897694</v>
      </c>
    </row>
    <row r="1552" customFormat="false" ht="15" hidden="false" customHeight="false" outlineLevel="0" collapsed="false">
      <c r="A1552" s="23" t="s">
        <v>935</v>
      </c>
      <c r="B1552" s="30" t="s">
        <v>98</v>
      </c>
      <c r="C1552" s="24" t="n">
        <f aca="false">Sens!$C$1551-(Sens!F1541+Sens!G1541+Sens!H1541+Sens!I1541+Sens!J1541)</f>
        <v>0</v>
      </c>
      <c r="D1552" s="30"/>
      <c r="E1552" s="30"/>
      <c r="F1552" s="30"/>
      <c r="G1552" s="30"/>
      <c r="H1552" s="30"/>
      <c r="I1552" s="30"/>
      <c r="J1552" s="30"/>
      <c r="K1552" s="30"/>
    </row>
    <row r="1553" customFormat="false" ht="17.15" hidden="false" customHeight="false" outlineLevel="0" collapsed="false">
      <c r="A1553" s="1" t="s">
        <v>929</v>
      </c>
      <c r="B1553" s="1" t="s">
        <v>965</v>
      </c>
      <c r="C1553" s="32" t="str">
        <f aca="false">IF(SUM(Sens!F1544:J1544)&gt;0.05,"需要舉債 "&amp;TEXT(SUM(Sens!F1544:J1544),"0.0")&amp;" 十億美元","不需舉債")&amp;"；"&amp;IF(SUM(Sens!F1543:J1543)&lt;COUNT(Sens!F1543:J1543)*bb_target-0.05,"回購較每年 "&amp;TEXT(bb_target,"0.0")&amp;" 的目標少 "&amp;TEXT(COUNT(Sens!F1543:J1543)*bb_target-SUM(Sens!F1543:J1543),"0.0")&amp;" 十億美元（"&amp;TEXT(COUNTIF(Sens!F1543:J1543,"&lt;"&amp;(bb_target-0.05)),"0")&amp;" 年減少）","回購不減")</f>
        <v>需要舉債 2.9 十億美元；回購較每年 22.3 的目標少 32.7 十億美元（2 年減少）</v>
      </c>
    </row>
    <row r="1554" customFormat="false" ht="17.15" hidden="false" customHeight="false" outlineLevel="0" collapsed="false">
      <c r="A1554" s="3" t="s">
        <v>1273</v>
      </c>
    </row>
    <row r="1555" customFormat="false" ht="15" hidden="false" customHeight="false" outlineLevel="0" collapsed="false">
      <c r="A1555" s="4" t="s">
        <v>43</v>
      </c>
      <c r="B1555" s="4" t="s">
        <v>65</v>
      </c>
      <c r="C1555" s="20" t="s">
        <v>788</v>
      </c>
      <c r="D1555" s="20" t="s">
        <v>789</v>
      </c>
      <c r="E1555" s="20" t="s">
        <v>790</v>
      </c>
      <c r="F1555" s="20" t="s">
        <v>791</v>
      </c>
      <c r="G1555" s="20" t="s">
        <v>792</v>
      </c>
      <c r="H1555" s="20" t="s">
        <v>793</v>
      </c>
      <c r="I1555" s="20" t="s">
        <v>794</v>
      </c>
      <c r="J1555" s="20" t="s">
        <v>795</v>
      </c>
      <c r="K1555" s="20" t="s">
        <v>796</v>
      </c>
      <c r="L1555" s="4" t="s">
        <v>47</v>
      </c>
    </row>
    <row r="1556" customFormat="false" ht="15" hidden="false" customHeight="false" outlineLevel="0" collapsed="false">
      <c r="A1556" s="1" t="s">
        <v>1042</v>
      </c>
      <c r="B1556" s="1" t="s">
        <v>235</v>
      </c>
      <c r="F1556" s="36" t="n">
        <f aca="false">Sens!F1412-base_fy-mid_yr</f>
        <v>0.5</v>
      </c>
      <c r="G1556" s="36" t="n">
        <f aca="false">Sens!G1412-base_fy-mid_yr</f>
        <v>1.5</v>
      </c>
      <c r="H1556" s="36" t="n">
        <f aca="false">Sens!H1412-base_fy-mid_yr</f>
        <v>2.5</v>
      </c>
      <c r="I1556" s="36" t="n">
        <f aca="false">Sens!I1412-base_fy-mid_yr</f>
        <v>3.5</v>
      </c>
      <c r="J1556" s="36" t="n">
        <f aca="false">Sens!J1412-base_fy-mid_yr</f>
        <v>4.5</v>
      </c>
      <c r="K1556" s="36" t="n">
        <f aca="false">Sens!K1412-base_fy-mid_yr</f>
        <v>5.5</v>
      </c>
    </row>
    <row r="1557" customFormat="false" ht="15" hidden="false" customHeight="false" outlineLevel="0" collapsed="false">
      <c r="A1557" s="1" t="s">
        <v>1043</v>
      </c>
      <c r="B1557" s="0" t="s">
        <v>185</v>
      </c>
      <c r="F1557" s="14" t="n">
        <f aca="false">1/(1+wacc)^Sens!F1556</f>
        <v>0.952193373608246</v>
      </c>
      <c r="G1557" s="14" t="n">
        <f aca="false">1/(1+wacc)^Sens!G1556</f>
        <v>0.863327280626589</v>
      </c>
      <c r="H1557" s="14" t="n">
        <f aca="false">1/(1+wacc)^Sens!H1556</f>
        <v>0.782754862754115</v>
      </c>
      <c r="I1557" s="14" t="n">
        <f aca="false">1/(1+wacc)^Sens!I1556</f>
        <v>0.709702089711011</v>
      </c>
      <c r="J1557" s="14" t="n">
        <f aca="false">1/(1+wacc)^Sens!J1556</f>
        <v>0.643467169744551</v>
      </c>
      <c r="K1557" s="14" t="n">
        <f aca="false">1/(1+wacc)^Sens!K1556</f>
        <v>0.583413807767797</v>
      </c>
    </row>
    <row r="1558" customFormat="false" ht="17.15" hidden="false" customHeight="false" outlineLevel="0" collapsed="false">
      <c r="A1558" s="1" t="s">
        <v>1044</v>
      </c>
      <c r="B1558" s="0" t="s">
        <v>98</v>
      </c>
      <c r="F1558" s="6" t="n">
        <f aca="false">Sens!F1532-Sens!F1530-Sens!F1535+Sens!F1516*(1-tax_f)</f>
        <v>12.9604106105005</v>
      </c>
      <c r="G1558" s="6" t="n">
        <f aca="false">Sens!G1532-Sens!G1530-Sens!G1535+Sens!G1516*(1-tax_f)</f>
        <v>57.2761066907621</v>
      </c>
      <c r="H1558" s="6" t="n">
        <f aca="false">Sens!H1532-Sens!H1530-Sens!H1535+Sens!H1516*(1-tax_f)</f>
        <v>110.278510393237</v>
      </c>
      <c r="I1558" s="6" t="n">
        <f aca="false">Sens!I1532-Sens!I1530-Sens!I1535+Sens!I1516*(1-tax_f)</f>
        <v>187.499123564673</v>
      </c>
      <c r="J1558" s="6" t="n">
        <f aca="false">Sens!J1532-Sens!J1530-Sens!J1535+Sens!J1516*(1-tax_f)</f>
        <v>267.468381211612</v>
      </c>
      <c r="K1558" s="6" t="n">
        <f aca="false">Sens!K1532-Sens!K1530-Sens!K1535+Sens!K1516*(1-tax_f)</f>
        <v>306.728230089109</v>
      </c>
      <c r="L1558" s="1" t="s">
        <v>1045</v>
      </c>
    </row>
    <row r="1559" customFormat="false" ht="15" hidden="false" customHeight="false" outlineLevel="0" collapsed="false">
      <c r="A1559" s="1" t="s">
        <v>1046</v>
      </c>
      <c r="B1559" s="0" t="s">
        <v>98</v>
      </c>
      <c r="F1559" s="6" t="n">
        <f aca="false">Sens!F1558*Sens!F1557</f>
        <v>12.3408171025606</v>
      </c>
      <c r="G1559" s="6" t="n">
        <f aca="false">Sens!G1558*Sens!G1557</f>
        <v>49.448025434214</v>
      </c>
      <c r="H1559" s="6" t="n">
        <f aca="false">Sens!H1558*Sens!H1557</f>
        <v>86.3210402675864</v>
      </c>
      <c r="I1559" s="6" t="n">
        <f aca="false">Sens!I1558*Sens!I1557</f>
        <v>133.068519812831</v>
      </c>
      <c r="J1559" s="6" t="n">
        <f aca="false">Sens!J1558*Sens!J1557</f>
        <v>172.107122254393</v>
      </c>
      <c r="K1559" s="6" t="n">
        <f aca="false">Sens!K1558*Sens!K1557</f>
        <v>178.949484666164</v>
      </c>
    </row>
    <row r="1560" customFormat="false" ht="17.15" hidden="false" customHeight="false" outlineLevel="0" collapsed="false">
      <c r="A1560" s="1" t="s">
        <v>1047</v>
      </c>
      <c r="B1560" s="0" t="s">
        <v>98</v>
      </c>
      <c r="C1560" s="6" t="n">
        <f aca="false">SUM(Sens!F1559:K1559)</f>
        <v>632.235009537749</v>
      </c>
    </row>
    <row r="1561" customFormat="false" ht="17.15" hidden="false" customHeight="false" outlineLevel="0" collapsed="false">
      <c r="A1561" s="1" t="s">
        <v>1048</v>
      </c>
      <c r="B1561" s="0" t="s">
        <v>98</v>
      </c>
      <c r="C1561" s="6" t="n">
        <f aca="false">Sens!K1502*(1+g_tv)*(1-tax_f)</f>
        <v>317.445780583313</v>
      </c>
    </row>
    <row r="1562" customFormat="false" ht="17.15" hidden="false" customHeight="false" outlineLevel="0" collapsed="false">
      <c r="A1562" s="1" t="s">
        <v>1049</v>
      </c>
      <c r="B1562" s="0" t="s">
        <v>98</v>
      </c>
      <c r="C1562" s="6" t="n">
        <f aca="false">Sens!$C$1561*(1-g_tv/(wacc+ronic_prem))</f>
        <v>224.92693791721</v>
      </c>
    </row>
    <row r="1563" customFormat="false" ht="17.15" hidden="false" customHeight="false" outlineLevel="0" collapsed="false">
      <c r="A1563" s="1" t="s">
        <v>1050</v>
      </c>
      <c r="B1563" s="0" t="s">
        <v>98</v>
      </c>
      <c r="C1563" s="6" t="n">
        <f aca="false">Sens!$C$1562/(wacc-g_tv)</f>
        <v>3083.96142220346</v>
      </c>
    </row>
    <row r="1564" customFormat="false" ht="15" hidden="false" customHeight="false" outlineLevel="0" collapsed="false">
      <c r="A1564" s="1" t="s">
        <v>1051</v>
      </c>
      <c r="B1564" s="0" t="s">
        <v>98</v>
      </c>
      <c r="C1564" s="6" t="n">
        <f aca="false">Sens!$C$1563/(1+wacc)^(Sens!K1556+mid_yr)</f>
        <v>1713.21076663363</v>
      </c>
    </row>
    <row r="1565" customFormat="false" ht="17.15" hidden="false" customHeight="false" outlineLevel="0" collapsed="false">
      <c r="A1565" s="0" t="s">
        <v>972</v>
      </c>
      <c r="B1565" s="0" t="s">
        <v>98</v>
      </c>
      <c r="C1565" s="6" t="n">
        <f aca="false">Sens!$C$1560+Sens!$C$1564</f>
        <v>2345.44577617138</v>
      </c>
    </row>
    <row r="1566" customFormat="false" ht="15" hidden="false" customHeight="false" outlineLevel="0" collapsed="false">
      <c r="A1566" s="1" t="s">
        <v>973</v>
      </c>
      <c r="B1566" s="0" t="s">
        <v>129</v>
      </c>
      <c r="C1566" s="7" t="n">
        <f aca="false">Sens!$C$1564/Sens!$C$1565</f>
        <v>0.730441429957171</v>
      </c>
    </row>
    <row r="1567" customFormat="false" ht="17.15" hidden="false" customHeight="false" outlineLevel="0" collapsed="false">
      <c r="A1567" s="1" t="s">
        <v>1052</v>
      </c>
      <c r="B1567" s="0" t="s">
        <v>98</v>
      </c>
      <c r="C1567" s="6" t="n">
        <f aca="false">Sens!$C$1565+Sens!E1547-Sens!E1536+oai_v</f>
        <v>2479.95877617138</v>
      </c>
    </row>
    <row r="1568" customFormat="false" ht="17.15" hidden="false" customHeight="false" outlineLevel="0" collapsed="false">
      <c r="A1568" s="0" t="s">
        <v>980</v>
      </c>
      <c r="B1568" s="0" t="s">
        <v>75</v>
      </c>
      <c r="C1568" s="5" t="n">
        <f aca="false">Sens!$C$1567/sh_dil26</f>
        <v>332.746380809255</v>
      </c>
    </row>
    <row r="1569" customFormat="false" ht="15" hidden="false" customHeight="false" outlineLevel="0" collapsed="false">
      <c r="A1569" s="1" t="s">
        <v>1053</v>
      </c>
      <c r="B1569" s="0" t="s">
        <v>75</v>
      </c>
      <c r="C1569" s="8" t="n">
        <f aca="false">dps_27+Sens!G1539*roll_div_q/q_per_yr</f>
        <v>4.8895</v>
      </c>
    </row>
    <row r="1570" customFormat="false" ht="17.15" hidden="false" customHeight="false" outlineLevel="0" collapsed="false">
      <c r="A1570" s="0" t="s">
        <v>1054</v>
      </c>
      <c r="B1570" s="0" t="s">
        <v>75</v>
      </c>
      <c r="C1570" s="5" t="n">
        <f aca="false">Sens!$C$1568*(1+wacc)^t_roll-Sens!$C$1569</f>
        <v>374.019914071347</v>
      </c>
    </row>
    <row r="1571" customFormat="false" ht="17.15" hidden="false" customHeight="false" outlineLevel="0" collapsed="false">
      <c r="A1571" s="1" t="s">
        <v>1055</v>
      </c>
      <c r="B1571" s="0" t="s">
        <v>129</v>
      </c>
      <c r="F1571" s="7" t="n">
        <f aca="false">Sens!F1528/(Sens!F1473-Sens!F1429)</f>
        <v>0.0684307874075333</v>
      </c>
      <c r="G1571" s="7" t="n">
        <f aca="false">Sens!G1528/(Sens!G1473-Sens!G1429)</f>
        <v>0.0656456058503526</v>
      </c>
      <c r="H1571" s="7" t="n">
        <f aca="false">Sens!H1528/(Sens!H1473-Sens!H1429)</f>
        <v>0.0641950889132003</v>
      </c>
      <c r="I1571" s="7" t="n">
        <f aca="false">Sens!I1528/(Sens!I1473-Sens!I1429)</f>
        <v>0.063960269667854</v>
      </c>
      <c r="J1571" s="7" t="n">
        <f aca="false">Sens!J1528/(Sens!J1473-Sens!J1429)</f>
        <v>0.0646607917002597</v>
      </c>
      <c r="K1571" s="7" t="n">
        <f aca="false">Sens!K1528/(Sens!K1473-Sens!K1429)</f>
        <v>0.0659511546529383</v>
      </c>
    </row>
    <row r="1572" customFormat="false" ht="17.15" hidden="false" customHeight="false" outlineLevel="0" collapsed="false">
      <c r="A1572" s="0" t="s">
        <v>1056</v>
      </c>
      <c r="B1572" s="0" t="s">
        <v>98</v>
      </c>
      <c r="F1572" s="6" t="n">
        <f aca="false">Sens!F1458*(al_m365+Sens!F1571+sbc_r)</f>
        <v>83.9158372980923</v>
      </c>
      <c r="G1572" s="6" t="n">
        <f aca="false">Sens!G1458*(al_m365+Sens!G1571+sbc_r)</f>
        <v>96.3459139664276</v>
      </c>
      <c r="H1572" s="6" t="n">
        <f aca="false">Sens!H1458*(al_m365+Sens!H1571+sbc_r)</f>
        <v>108.939128787393</v>
      </c>
      <c r="I1572" s="6" t="n">
        <f aca="false">Sens!I1458*(al_m365+Sens!I1571+sbc_r)</f>
        <v>120.51456797186</v>
      </c>
      <c r="J1572" s="6" t="n">
        <f aca="false">Sens!J1458*(al_m365+Sens!J1571+sbc_r)</f>
        <v>130.883844402211</v>
      </c>
      <c r="K1572" s="6" t="n">
        <f aca="false">Sens!K1458*(al_m365+Sens!K1571+sbc_r)</f>
        <v>140.862269296832</v>
      </c>
      <c r="L1572" s="11" t="s">
        <v>1057</v>
      </c>
    </row>
    <row r="1573" customFormat="false" ht="17.15" hidden="false" customHeight="false" outlineLevel="0" collapsed="false">
      <c r="A1573" s="0" t="s">
        <v>1058</v>
      </c>
      <c r="B1573" s="0" t="s">
        <v>98</v>
      </c>
      <c r="F1573" s="6" t="n">
        <f aca="false">Sens!F1459*(al_lic+Sens!F1571+sbc_r)</f>
        <v>33.4384115342236</v>
      </c>
      <c r="G1573" s="6" t="n">
        <f aca="false">Sens!G1459*(al_lic+Sens!G1571+sbc_r)</f>
        <v>34.7409063621757</v>
      </c>
      <c r="H1573" s="6" t="n">
        <f aca="false">Sens!H1459*(al_lic+Sens!H1571+sbc_r)</f>
        <v>35.9566740351293</v>
      </c>
      <c r="I1573" s="6" t="n">
        <f aca="false">Sens!I1459*(al_lic+Sens!I1571+sbc_r)</f>
        <v>37.0672966580049</v>
      </c>
      <c r="J1573" s="6" t="n">
        <f aca="false">Sens!J1459*(al_lic+Sens!J1571+sbc_r)</f>
        <v>38.0469841498966</v>
      </c>
      <c r="K1573" s="6" t="n">
        <f aca="false">Sens!K1459*(al_lic+Sens!K1571+sbc_r)</f>
        <v>38.8666958490701</v>
      </c>
    </row>
    <row r="1574" customFormat="false" ht="17.15" hidden="false" customHeight="false" outlineLevel="0" collapsed="false">
      <c r="A1574" s="0" t="s">
        <v>1059</v>
      </c>
      <c r="B1574" s="0" t="s">
        <v>98</v>
      </c>
      <c r="F1574" s="6" t="n">
        <f aca="false">Sens!F1461*(al_ind+Sens!F1571+sbc_r)</f>
        <v>9.07285900381439</v>
      </c>
      <c r="G1574" s="6" t="n">
        <f aca="false">Sens!G1461*(al_ind+Sens!G1571+sbc_r)</f>
        <v>9.84969160470639</v>
      </c>
      <c r="H1574" s="6" t="n">
        <f aca="false">Sens!H1461*(al_ind+Sens!H1571+sbc_r)</f>
        <v>10.6714469126029</v>
      </c>
      <c r="I1574" s="6" t="n">
        <f aca="false">Sens!I1461*(al_ind+Sens!I1571+sbc_r)</f>
        <v>11.5350820765572</v>
      </c>
      <c r="J1574" s="6" t="n">
        <f aca="false">Sens!J1461*(al_ind+Sens!J1571+sbc_r)</f>
        <v>12.4308815351832</v>
      </c>
      <c r="K1574" s="6" t="n">
        <f aca="false">Sens!K1461*(al_ind+Sens!K1571+sbc_r)</f>
        <v>13.3437330974691</v>
      </c>
    </row>
    <row r="1575" customFormat="false" ht="17.15" hidden="false" customHeight="false" outlineLevel="0" collapsed="false">
      <c r="A1575" s="0" t="s">
        <v>1060</v>
      </c>
      <c r="B1575" s="0" t="s">
        <v>98</v>
      </c>
      <c r="F1575" s="6" t="n">
        <f aca="false">Sens!F1463*(al_fro+Sens!F1571+sbc_r)</f>
        <v>3.5711091569032</v>
      </c>
      <c r="G1575" s="6" t="n">
        <f aca="false">Sens!G1463*(al_fro+Sens!G1571+sbc_r)</f>
        <v>3.78169924595695</v>
      </c>
      <c r="H1575" s="6" t="n">
        <f aca="false">Sens!H1463*(al_fro+Sens!H1571+sbc_r)</f>
        <v>4.02136645419237</v>
      </c>
      <c r="I1575" s="6" t="n">
        <f aca="false">Sens!I1463*(al_fro+Sens!I1571+sbc_r)</f>
        <v>4.29288807676321</v>
      </c>
      <c r="J1575" s="6" t="n">
        <f aca="false">Sens!J1463*(al_fro+Sens!J1571+sbc_r)</f>
        <v>4.59741770960175</v>
      </c>
      <c r="K1575" s="6" t="n">
        <f aca="false">Sens!K1463*(al_fro+Sens!K1571+sbc_r)</f>
        <v>4.9350252981555</v>
      </c>
    </row>
    <row r="1576" customFormat="false" ht="17.15" hidden="false" customHeight="false" outlineLevel="0" collapsed="false">
      <c r="A1576" s="0" t="s">
        <v>1061</v>
      </c>
      <c r="B1576" s="0" t="s">
        <v>98</v>
      </c>
      <c r="F1576" s="6" t="n">
        <f aca="false">Sens!F1466*(al_srch+Sens!F1571+sbc_r)</f>
        <v>11.205111954849</v>
      </c>
      <c r="G1576" s="6" t="n">
        <f aca="false">Sens!G1466*(al_srch+Sens!G1571+sbc_r)</f>
        <v>12.2792883348957</v>
      </c>
      <c r="H1576" s="6" t="n">
        <f aca="false">Sens!H1466*(al_srch+Sens!H1571+sbc_r)</f>
        <v>13.3983888227975</v>
      </c>
      <c r="I1576" s="6" t="n">
        <f aca="false">Sens!I1466*(al_srch+Sens!I1571+sbc_r)</f>
        <v>14.5517695263616</v>
      </c>
      <c r="J1576" s="6" t="n">
        <f aca="false">Sens!J1466*(al_srch+Sens!J1571+sbc_r)</f>
        <v>15.7194284145253</v>
      </c>
      <c r="K1576" s="6" t="n">
        <f aca="false">Sens!K1466*(al_srch+Sens!K1571+sbc_r)</f>
        <v>16.87377171237</v>
      </c>
    </row>
    <row r="1577" customFormat="false" ht="17.15" hidden="false" customHeight="false" outlineLevel="0" collapsed="false">
      <c r="A1577" s="0" t="s">
        <v>1062</v>
      </c>
      <c r="B1577" s="0" t="s">
        <v>98</v>
      </c>
      <c r="F1577" s="6" t="n">
        <f aca="false">Sens!F1435-Sens!F1436+Sens!F1516</f>
        <v>61.121929650985</v>
      </c>
      <c r="G1577" s="6" t="n">
        <f aca="false">Sens!G1435-Sens!G1436+Sens!G1516</f>
        <v>104.321654025411</v>
      </c>
      <c r="H1577" s="6" t="n">
        <f aca="false">Sens!H1435-Sens!H1436+Sens!H1516</f>
        <v>150.370095607098</v>
      </c>
      <c r="I1577" s="6" t="n">
        <f aca="false">Sens!I1435-Sens!I1436+Sens!I1516</f>
        <v>191.822350469503</v>
      </c>
      <c r="J1577" s="6" t="n">
        <f aca="false">Sens!J1435-Sens!J1436+Sens!J1516</f>
        <v>221.011139030056</v>
      </c>
      <c r="K1577" s="6" t="n">
        <f aca="false">Sens!K1435-Sens!K1436+Sens!K1516</f>
        <v>239.038417337865</v>
      </c>
    </row>
    <row r="1578" customFormat="false" ht="17.15" hidden="false" customHeight="false" outlineLevel="0" collapsed="false">
      <c r="A1578" s="0" t="s">
        <v>1063</v>
      </c>
      <c r="B1578" s="0" t="s">
        <v>98</v>
      </c>
      <c r="F1578" s="6" t="n">
        <f aca="false">Sens!F1495+Sens!F1516+Sens!F1446+Sens!F1571*(Sens!F1465-Sens!F1429)+sbc_r*Sens!F1465</f>
        <v>252.44454594899</v>
      </c>
      <c r="G1578" s="6" t="n">
        <f aca="false">Sens!G1495+Sens!G1516+Sens!G1446+Sens!G1571*(Sens!G1465-Sens!G1429)+sbc_r*Sens!G1465</f>
        <v>322.913470212978</v>
      </c>
      <c r="H1578" s="6" t="n">
        <f aca="false">Sens!H1495+Sens!H1516+Sens!H1446+Sens!H1571*(Sens!H1465-Sens!H1429)+sbc_r*Sens!H1465</f>
        <v>396.746875439443</v>
      </c>
      <c r="I1578" s="6" t="n">
        <f aca="false">Sens!I1495+Sens!I1516+Sens!I1446+Sens!I1571*(Sens!I1465-Sens!I1429)+sbc_r*Sens!I1465</f>
        <v>464.595082481113</v>
      </c>
      <c r="J1578" s="6" t="n">
        <f aca="false">Sens!J1495+Sens!J1516+Sens!J1446+Sens!J1571*(Sens!J1465-Sens!J1429)+sbc_r*Sens!J1465</f>
        <v>517.689854940581</v>
      </c>
      <c r="K1578" s="6" t="n">
        <f aca="false">Sens!K1495+Sens!K1516+Sens!K1446+Sens!K1571*(Sens!K1465-Sens!K1429)+sbc_r*Sens!K1465</f>
        <v>557.209327069639</v>
      </c>
    </row>
    <row r="1579" customFormat="false" ht="17.15" hidden="false" customHeight="false" outlineLevel="0" collapsed="false">
      <c r="A1579" s="0" t="s">
        <v>1064</v>
      </c>
      <c r="B1579" s="0" t="s">
        <v>98</v>
      </c>
      <c r="F1579" s="6" t="n">
        <f aca="false">Sens!F1578-Sens!F1572-Sens!F1573-Sens!F1574-Sens!F1575-Sens!F1577</f>
        <v>61.3243993049713</v>
      </c>
      <c r="G1579" s="6" t="n">
        <f aca="false">Sens!G1578-Sens!G1572-Sens!G1573-Sens!G1574-Sens!G1575-Sens!G1577</f>
        <v>73.8736050082995</v>
      </c>
      <c r="H1579" s="6" t="n">
        <f aca="false">Sens!H1578-Sens!H1572-Sens!H1573-Sens!H1574-Sens!H1575-Sens!H1577</f>
        <v>86.7881636430269</v>
      </c>
      <c r="I1579" s="6" t="n">
        <f aca="false">Sens!I1578-Sens!I1572-Sens!I1573-Sens!I1574-Sens!I1575-Sens!I1577</f>
        <v>99.3628972284249</v>
      </c>
      <c r="J1579" s="6" t="n">
        <f aca="false">Sens!J1578-Sens!J1572-Sens!J1573-Sens!J1574-Sens!J1575-Sens!J1577</f>
        <v>110.719588113632</v>
      </c>
      <c r="K1579" s="6" t="n">
        <f aca="false">Sens!K1578-Sens!K1572-Sens!K1573-Sens!K1574-Sens!K1575-Sens!K1577</f>
        <v>120.163186190246</v>
      </c>
    </row>
    <row r="1580" customFormat="false" ht="17.15" hidden="false" customHeight="false" outlineLevel="0" collapsed="false">
      <c r="A1580" s="0" t="s">
        <v>1065</v>
      </c>
      <c r="B1580" s="0" t="s">
        <v>98</v>
      </c>
      <c r="F1580" s="6" t="n">
        <f aca="false">Sens!F1497+Sens!F1571*Sens!F1472+sbc_r*Sens!F1472</f>
        <v>26.1883018536976</v>
      </c>
      <c r="G1580" s="6" t="n">
        <f aca="false">Sens!G1497+Sens!G1571*Sens!G1472+sbc_r*Sens!G1472</f>
        <v>26.7988692269165</v>
      </c>
      <c r="H1580" s="6" t="n">
        <f aca="false">Sens!H1497+Sens!H1571*Sens!H1472+sbc_r*Sens!H1472</f>
        <v>27.676651877401</v>
      </c>
      <c r="I1580" s="6" t="n">
        <f aca="false">Sens!I1497+Sens!I1571*Sens!I1472+sbc_r*Sens!I1472</f>
        <v>28.7919477163856</v>
      </c>
      <c r="J1580" s="6" t="n">
        <f aca="false">Sens!J1497+Sens!J1571*Sens!J1472+sbc_r*Sens!J1472</f>
        <v>30.1095554599876</v>
      </c>
      <c r="K1580" s="6" t="n">
        <f aca="false">Sens!K1497+Sens!K1571*Sens!K1472+sbc_r*Sens!K1472</f>
        <v>31.5923355811805</v>
      </c>
    </row>
    <row r="1581" customFormat="false" ht="17.15" hidden="false" customHeight="false" outlineLevel="0" collapsed="false">
      <c r="A1581" s="0" t="s">
        <v>1066</v>
      </c>
      <c r="B1581" s="0" t="s">
        <v>98</v>
      </c>
      <c r="F1581" s="6" t="n">
        <f aca="false">(Sens!F1580-Sens!F1576)*Sens!F1468/(Sens!F1468+Sens!F1470)</f>
        <v>8.21363876839376</v>
      </c>
      <c r="G1581" s="6" t="n">
        <f aca="false">(Sens!G1580-Sens!G1576)*Sens!G1468/(Sens!G1468+Sens!G1470)</f>
        <v>7.81757556948427</v>
      </c>
      <c r="H1581" s="6" t="n">
        <f aca="false">(Sens!H1580-Sens!H1576)*Sens!H1468/(Sens!H1468+Sens!H1470)</f>
        <v>7.58379891746928</v>
      </c>
      <c r="I1581" s="6" t="n">
        <f aca="false">(Sens!I1580-Sens!I1576)*Sens!I1468/(Sens!I1468+Sens!I1470)</f>
        <v>7.49513512835163</v>
      </c>
      <c r="J1581" s="6" t="n">
        <f aca="false">(Sens!J1580-Sens!J1576)*Sens!J1468/(Sens!J1468+Sens!J1470)</f>
        <v>7.53980917061682</v>
      </c>
      <c r="K1581" s="6" t="n">
        <f aca="false">(Sens!K1580-Sens!K1576)*Sens!K1468/(Sens!K1468+Sens!K1470)</f>
        <v>7.71189597463361</v>
      </c>
    </row>
    <row r="1582" customFormat="false" ht="17.15" hidden="false" customHeight="false" outlineLevel="0" collapsed="false">
      <c r="A1582" s="0" t="s">
        <v>1067</v>
      </c>
      <c r="B1582" s="0" t="s">
        <v>98</v>
      </c>
      <c r="F1582" s="6" t="n">
        <f aca="false">Sens!F1580-Sens!F1576-Sens!F1581</f>
        <v>6.76955113045481</v>
      </c>
      <c r="G1582" s="6" t="n">
        <f aca="false">Sens!G1580-Sens!G1576-Sens!G1581</f>
        <v>6.70200532253647</v>
      </c>
      <c r="H1582" s="6" t="n">
        <f aca="false">Sens!H1580-Sens!H1576-Sens!H1581</f>
        <v>6.69446413713431</v>
      </c>
      <c r="I1582" s="6" t="n">
        <f aca="false">Sens!I1580-Sens!I1576-Sens!I1581</f>
        <v>6.74504306167234</v>
      </c>
      <c r="J1582" s="6" t="n">
        <f aca="false">Sens!J1580-Sens!J1576-Sens!J1581</f>
        <v>6.85031787484545</v>
      </c>
      <c r="K1582" s="6" t="n">
        <f aca="false">Sens!K1580-Sens!K1576-Sens!K1581</f>
        <v>7.00666789417688</v>
      </c>
    </row>
    <row r="1583" customFormat="false" ht="17.15" hidden="false" customHeight="false" outlineLevel="0" collapsed="false">
      <c r="A1583" s="0" t="s">
        <v>1068</v>
      </c>
      <c r="B1583" s="0" t="s">
        <v>98</v>
      </c>
      <c r="F1583" s="6" t="n">
        <f aca="false">Sens!F1577-tax_f*(Sens!F1577-Sens!F1446)-Sens!F1443</f>
        <v>-112.775001958476</v>
      </c>
      <c r="G1583" s="6" t="n">
        <f aca="false">Sens!G1577-tax_f*(Sens!G1577-Sens!G1446)-Sens!G1443</f>
        <v>-88.0155106108029</v>
      </c>
      <c r="H1583" s="6" t="n">
        <f aca="false">Sens!H1577-tax_f*(Sens!H1577-Sens!H1446)-Sens!H1443</f>
        <v>-50.2357462260935</v>
      </c>
      <c r="I1583" s="6" t="n">
        <f aca="false">Sens!I1577-tax_f*(Sens!I1577-Sens!I1446)-Sens!I1443</f>
        <v>12.148619217801</v>
      </c>
      <c r="J1583" s="6" t="n">
        <f aca="false">Sens!J1577-tax_f*(Sens!J1577-Sens!J1446)-Sens!J1443</f>
        <v>78.1331766904878</v>
      </c>
      <c r="K1583" s="6" t="n">
        <f aca="false">Sens!K1577-tax_f*(Sens!K1577-Sens!K1446)-Sens!K1443</f>
        <v>104.200827589251</v>
      </c>
    </row>
    <row r="1584" customFormat="false" ht="17.15" hidden="false" customHeight="false" outlineLevel="0" collapsed="false">
      <c r="A1584" s="0" t="s">
        <v>1069</v>
      </c>
      <c r="B1584" s="0" t="s">
        <v>98</v>
      </c>
      <c r="F1584" s="6" t="n">
        <f aca="false">Sens!F1583*Sens!F1557</f>
        <v>-107.383609573517</v>
      </c>
      <c r="G1584" s="6" t="n">
        <f aca="false">Sens!G1583*Sens!G1557</f>
        <v>-75.9861914285851</v>
      </c>
      <c r="H1584" s="6" t="n">
        <f aca="false">Sens!H1583*Sens!H1557</f>
        <v>-39.3222746425564</v>
      </c>
      <c r="I1584" s="6" t="n">
        <f aca="false">Sens!I1583*Sens!I1557</f>
        <v>8.62190044597674</v>
      </c>
      <c r="J1584" s="6" t="n">
        <f aca="false">Sens!J1583*Sens!J1557</f>
        <v>50.2761340681791</v>
      </c>
      <c r="K1584" s="6" t="n">
        <f aca="false">Sens!K1583*Sens!K1557</f>
        <v>60.7922015964005</v>
      </c>
    </row>
    <row r="1585" customFormat="false" ht="17.15" hidden="false" customHeight="false" outlineLevel="0" collapsed="false">
      <c r="A1585" s="0" t="s">
        <v>1070</v>
      </c>
      <c r="B1585" s="0" t="s">
        <v>98</v>
      </c>
      <c r="C1585" s="6" t="n">
        <f aca="false">(Sens!K1577-Sens!K1446)*(1-tax_f)*(1+g_tv)*(1-g_tv/(wacc+ronic_prem))/(wacc-g_tv)/(1+wacc)^(Sens!K1556+mid_yr)</f>
        <v>441.992098316756</v>
      </c>
    </row>
    <row r="1586" customFormat="false" ht="17.15" hidden="false" customHeight="false" outlineLevel="0" collapsed="false">
      <c r="A1586" s="1" t="s">
        <v>1071</v>
      </c>
      <c r="B1586" s="0" t="s">
        <v>98</v>
      </c>
      <c r="C1586" s="6" t="n">
        <f aca="false">(SUM(Sens!F1584:K1584)+Sens!$C$1585)*(1+wacc)^t_roll</f>
        <v>386.019526399779</v>
      </c>
      <c r="L1586" s="11" t="s">
        <v>1072</v>
      </c>
    </row>
    <row r="1587" customFormat="false" ht="17.15" hidden="false" customHeight="false" outlineLevel="0" collapsed="false">
      <c r="A1587" s="1" t="s">
        <v>1073</v>
      </c>
      <c r="B1587" s="0" t="s">
        <v>98</v>
      </c>
      <c r="C1587" s="6" t="n">
        <f aca="false">(w_ntm28*Sens!G1435+(1-w_ntm28)*Sens!H1435)*m_ai</f>
        <v>545.723534856774</v>
      </c>
    </row>
    <row r="1588" customFormat="false" ht="17.15" hidden="false" customHeight="false" outlineLevel="0" collapsed="false">
      <c r="A1588" s="1" t="s">
        <v>1074</v>
      </c>
      <c r="B1588" s="0" t="s">
        <v>98</v>
      </c>
      <c r="C1588" s="6" t="n">
        <f aca="false">(w_ntm28*Sens!G1579+(1-w_ntm28)*Sens!H1579)*m_cloud</f>
        <v>1078.63334625352</v>
      </c>
    </row>
    <row r="1589" customFormat="false" ht="17.15" hidden="false" customHeight="false" outlineLevel="0" collapsed="false">
      <c r="A1589" s="1" t="s">
        <v>1075</v>
      </c>
      <c r="B1589" s="0" t="s">
        <v>98</v>
      </c>
      <c r="C1589" s="6" t="n">
        <f aca="false">(w_ntm28*Sens!G1572+(1-w_ntm28)*Sens!H1572)*m_sw</f>
        <v>1084.50516663972</v>
      </c>
    </row>
    <row r="1590" customFormat="false" ht="17.15" hidden="false" customHeight="false" outlineLevel="0" collapsed="false">
      <c r="A1590" s="1" t="s">
        <v>1076</v>
      </c>
      <c r="B1590" s="0" t="s">
        <v>98</v>
      </c>
      <c r="C1590" s="6" t="n">
        <f aca="false">(w_ntm28*Sens!G1573+(1-w_ntm28)*Sens!H1573)*m_sw</f>
        <v>379.446649868791</v>
      </c>
    </row>
    <row r="1591" customFormat="false" ht="17.15" hidden="false" customHeight="false" outlineLevel="0" collapsed="false">
      <c r="A1591" s="1" t="s">
        <v>1077</v>
      </c>
      <c r="B1591" s="0" t="s">
        <v>98</v>
      </c>
      <c r="C1591" s="6" t="n">
        <f aca="false">(w_ntm28*Sens!G1574+(1-w_ntm28)*Sens!H1574)*m_sw</f>
        <v>109.245833616811</v>
      </c>
    </row>
    <row r="1592" customFormat="false" ht="17.15" hidden="false" customHeight="false" outlineLevel="0" collapsed="false">
      <c r="A1592" s="1" t="s">
        <v>1078</v>
      </c>
      <c r="B1592" s="0" t="s">
        <v>98</v>
      </c>
      <c r="C1592" s="6" t="n">
        <f aca="false">(w_ntm28*Sens!G1575+(1-w_ntm28)*Sens!H1575)*m_sw</f>
        <v>41.6791515554452</v>
      </c>
    </row>
    <row r="1593" customFormat="false" ht="17.15" hidden="false" customHeight="false" outlineLevel="0" collapsed="false">
      <c r="A1593" s="1" t="s">
        <v>1079</v>
      </c>
      <c r="B1593" s="0" t="s">
        <v>98</v>
      </c>
      <c r="C1593" s="6" t="n">
        <f aca="false">(w_ntm28*Sens!G1576+(1-w_ntm28)*Sens!H1576)*m_ads</f>
        <v>115.160236299351</v>
      </c>
    </row>
    <row r="1594" customFormat="false" ht="17.15" hidden="false" customHeight="false" outlineLevel="0" collapsed="false">
      <c r="A1594" s="1" t="s">
        <v>1080</v>
      </c>
      <c r="B1594" s="0" t="s">
        <v>98</v>
      </c>
      <c r="C1594" s="6" t="n">
        <f aca="false">(w_ntm28*Sens!G1581+(1-w_ntm28)*Sens!H1581)*m_game</f>
        <v>97.7814405506301</v>
      </c>
    </row>
    <row r="1595" customFormat="false" ht="17.15" hidden="false" customHeight="false" outlineLevel="0" collapsed="false">
      <c r="A1595" s="1" t="s">
        <v>1081</v>
      </c>
      <c r="B1595" s="0" t="s">
        <v>98</v>
      </c>
      <c r="C1595" s="6" t="n">
        <f aca="false">(w_ntm28*Sens!G1582+(1-w_ntm28)*Sens!H1582)*m_pc</f>
        <v>96.9427395583992</v>
      </c>
    </row>
    <row r="1596" customFormat="false" ht="17.15" hidden="false" customHeight="false" outlineLevel="0" collapsed="false">
      <c r="A1596" s="1" t="s">
        <v>1082</v>
      </c>
      <c r="B1596" s="0" t="s">
        <v>98</v>
      </c>
      <c r="C1596" s="6" t="n">
        <f aca="false">Sens!$C$1586+Sens!$C$1588+Sens!$C$1589+Sens!$C$1590+Sens!$C$1591+Sens!$C$1592+Sens!$C$1593+Sens!$C$1594+Sens!$C$1595</f>
        <v>3389.41409074244</v>
      </c>
    </row>
    <row r="1597" customFormat="false" ht="17.15" hidden="false" customHeight="false" outlineLevel="0" collapsed="false">
      <c r="A1597" s="1" t="s">
        <v>1000</v>
      </c>
      <c r="B1597" s="0" t="s">
        <v>98</v>
      </c>
      <c r="C1597" s="6" t="n">
        <f aca="false">Sens!F1547+oai_v-Sens!F1536</f>
        <v>118.170441577079</v>
      </c>
      <c r="L1597" s="1" t="s">
        <v>1083</v>
      </c>
    </row>
    <row r="1598" customFormat="false" ht="15" hidden="false" customHeight="false" outlineLevel="0" collapsed="false">
      <c r="A1598" s="1" t="s">
        <v>1001</v>
      </c>
      <c r="B1598" s="0" t="s">
        <v>75</v>
      </c>
      <c r="C1598" s="5" t="n">
        <f aca="false">(Sens!$C$1596+Sens!$C$1597)/Sens!F1549</f>
        <v>469.430478094154</v>
      </c>
    </row>
    <row r="1599" customFormat="false" ht="17.15" hidden="false" customHeight="false" outlineLevel="0" collapsed="false">
      <c r="A1599" s="1" t="s">
        <v>1084</v>
      </c>
      <c r="B1599" s="0" t="s">
        <v>75</v>
      </c>
      <c r="C1599" s="5" t="n">
        <f aca="false">w_dcf*Sens!$C$1570+(1-w_dcf)*Sens!$C$1598</f>
        <v>421.72519608275</v>
      </c>
    </row>
    <row r="1600" customFormat="false" ht="17.15" hidden="false" customHeight="false" outlineLevel="0" collapsed="false">
      <c r="A1600" s="3" t="s">
        <v>1274</v>
      </c>
    </row>
    <row r="1601" customFormat="false" ht="15" hidden="false" customHeight="false" outlineLevel="0" collapsed="false">
      <c r="A1601" s="4" t="s">
        <v>43</v>
      </c>
      <c r="B1601" s="4" t="s">
        <v>65</v>
      </c>
      <c r="C1601" s="20" t="s">
        <v>788</v>
      </c>
      <c r="D1601" s="20" t="s">
        <v>789</v>
      </c>
      <c r="E1601" s="20" t="s">
        <v>790</v>
      </c>
      <c r="F1601" s="20" t="s">
        <v>791</v>
      </c>
      <c r="G1601" s="20" t="s">
        <v>792</v>
      </c>
      <c r="H1601" s="20" t="s">
        <v>793</v>
      </c>
      <c r="I1601" s="20" t="s">
        <v>794</v>
      </c>
      <c r="J1601" s="20" t="s">
        <v>795</v>
      </c>
      <c r="K1601" s="20" t="s">
        <v>796</v>
      </c>
      <c r="L1601" s="4" t="s">
        <v>47</v>
      </c>
    </row>
    <row r="1602" customFormat="false" ht="17.15" hidden="false" customHeight="false" outlineLevel="0" collapsed="false">
      <c r="A1602" s="1" t="s">
        <v>797</v>
      </c>
      <c r="B1602" s="1" t="s">
        <v>235</v>
      </c>
      <c r="C1602" s="28" t="n">
        <v>2024</v>
      </c>
      <c r="D1602" s="28" t="n">
        <v>2025</v>
      </c>
      <c r="E1602" s="28" t="n">
        <v>2026</v>
      </c>
      <c r="F1602" s="28" t="n">
        <v>2027</v>
      </c>
      <c r="G1602" s="28" t="n">
        <v>2028</v>
      </c>
      <c r="H1602" s="28" t="n">
        <v>2029</v>
      </c>
      <c r="I1602" s="28" t="n">
        <v>2030</v>
      </c>
      <c r="J1602" s="28" t="n">
        <v>2031</v>
      </c>
      <c r="K1602" s="28" t="n">
        <v>2032</v>
      </c>
    </row>
    <row r="1603" customFormat="false" ht="17.15" hidden="false" customHeight="false" outlineLevel="0" collapsed="false">
      <c r="A1603" s="1" t="s">
        <v>798</v>
      </c>
      <c r="B1603" s="0" t="s">
        <v>392</v>
      </c>
      <c r="F1603" s="29" t="n">
        <f aca="false">pace</f>
        <v>2527.2</v>
      </c>
      <c r="G1603" s="29" t="n">
        <f aca="false">pace</f>
        <v>2527.2</v>
      </c>
      <c r="H1603" s="29" t="n">
        <f aca="false">pace</f>
        <v>2527.2</v>
      </c>
      <c r="I1603" s="29" t="n">
        <f aca="false">pace+(g_tv*Sens!H1604-pace)*MIN(1,(Sens!I1602-pace_y0)/(pace_y1-pace_y0))</f>
        <v>1793.116</v>
      </c>
      <c r="J1603" s="29" t="n">
        <f aca="false">pace+(g_tv*Sens!H1604-pace)*MIN(1,(Sens!J1602-pace_y0)/(pace_y1-pace_y0))</f>
        <v>1059.032</v>
      </c>
      <c r="K1603" s="29" t="n">
        <f aca="false">pace+(g_tv*Sens!H1604-pace)*MIN(1,(Sens!K1602-pace_y0)/(pace_y1-pace_y0))</f>
        <v>324.948</v>
      </c>
      <c r="L1603" s="11" t="s">
        <v>799</v>
      </c>
    </row>
    <row r="1604" customFormat="false" ht="17.15" hidden="false" customHeight="false" outlineLevel="0" collapsed="false">
      <c r="A1604" s="1" t="s">
        <v>800</v>
      </c>
      <c r="B1604" s="0" t="s">
        <v>392</v>
      </c>
      <c r="C1604" s="29" t="n">
        <f aca="false">mw_ext_24</f>
        <v>640</v>
      </c>
      <c r="D1604" s="29" t="n">
        <f aca="false">mw_ext_25</f>
        <v>1630</v>
      </c>
      <c r="E1604" s="29" t="n">
        <f aca="false">mw_ext_26</f>
        <v>3250</v>
      </c>
      <c r="F1604" s="29" t="n">
        <f aca="false">Sens!E1604+Sens!F1603</f>
        <v>5777.2</v>
      </c>
      <c r="G1604" s="29" t="n">
        <f aca="false">Sens!F1604+Sens!G1603</f>
        <v>8304.4</v>
      </c>
      <c r="H1604" s="29" t="n">
        <f aca="false">Sens!G1604+Sens!H1603</f>
        <v>10831.6</v>
      </c>
      <c r="I1604" s="29" t="n">
        <f aca="false">Sens!H1604+Sens!I1603</f>
        <v>12624.716</v>
      </c>
      <c r="J1604" s="29" t="n">
        <f aca="false">Sens!I1604+Sens!J1603</f>
        <v>13683.748</v>
      </c>
      <c r="K1604" s="29" t="n">
        <f aca="false">Sens!J1604+Sens!K1603</f>
        <v>14008.696</v>
      </c>
      <c r="L1604" s="1" t="s">
        <v>801</v>
      </c>
    </row>
    <row r="1605" customFormat="false" ht="17.15" hidden="false" customHeight="false" outlineLevel="0" collapsed="false">
      <c r="A1605" s="1" t="s">
        <v>802</v>
      </c>
      <c r="B1605" s="0" t="s">
        <v>392</v>
      </c>
      <c r="C1605" s="29" t="n">
        <f aca="false">rent_ext_24</f>
        <v>150</v>
      </c>
      <c r="D1605" s="29" t="n">
        <f aca="false">rent_ext_25</f>
        <v>400</v>
      </c>
      <c r="E1605" s="29" t="n">
        <f aca="false">rent_ext_26</f>
        <v>550</v>
      </c>
      <c r="F1605" s="29" t="n">
        <f aca="false">rent_ext_f</f>
        <v>756</v>
      </c>
      <c r="G1605" s="29" t="n">
        <f aca="false">rent_ext_f</f>
        <v>756</v>
      </c>
      <c r="H1605" s="29" t="n">
        <f aca="false">rent_ext_f</f>
        <v>756</v>
      </c>
      <c r="I1605" s="29" t="n">
        <f aca="false">rent_ext_f</f>
        <v>756</v>
      </c>
      <c r="J1605" s="29" t="n">
        <f aca="false">rent_ext_f</f>
        <v>756</v>
      </c>
      <c r="K1605" s="29" t="n">
        <f aca="false">rent_ext_f</f>
        <v>756</v>
      </c>
      <c r="L1605" s="1" t="s">
        <v>803</v>
      </c>
    </row>
    <row r="1606" customFormat="false" ht="17.15" hidden="false" customHeight="false" outlineLevel="0" collapsed="false">
      <c r="A1606" s="1" t="s">
        <v>804</v>
      </c>
      <c r="B1606" s="0" t="s">
        <v>392</v>
      </c>
      <c r="C1606" s="29" t="n">
        <f aca="false">Sens!C1604-Sens!C1605</f>
        <v>490</v>
      </c>
      <c r="D1606" s="29" t="n">
        <f aca="false">Sens!D1604-Sens!D1605</f>
        <v>1230</v>
      </c>
      <c r="E1606" s="29" t="n">
        <f aca="false">Sens!E1604-Sens!E1605</f>
        <v>2700</v>
      </c>
      <c r="F1606" s="29" t="n">
        <f aca="false">Sens!F1604-Sens!F1605</f>
        <v>5021.2</v>
      </c>
      <c r="G1606" s="29" t="n">
        <f aca="false">Sens!G1604-Sens!G1605</f>
        <v>7548.4</v>
      </c>
      <c r="H1606" s="29" t="n">
        <f aca="false">Sens!H1604-Sens!H1605</f>
        <v>10075.6</v>
      </c>
      <c r="I1606" s="29" t="n">
        <f aca="false">Sens!I1604-Sens!I1605</f>
        <v>11868.716</v>
      </c>
      <c r="J1606" s="29" t="n">
        <f aca="false">Sens!J1604-Sens!J1605</f>
        <v>12927.748</v>
      </c>
      <c r="K1606" s="29" t="n">
        <f aca="false">Sens!K1604-Sens!K1605</f>
        <v>13252.696</v>
      </c>
    </row>
    <row r="1607" customFormat="false" ht="17.15" hidden="false" customHeight="false" outlineLevel="0" collapsed="false">
      <c r="A1607" s="1" t="s">
        <v>805</v>
      </c>
      <c r="B1607" s="0" t="s">
        <v>392</v>
      </c>
      <c r="C1607" s="29" t="n">
        <f aca="false">Sens!C1606/ext_sh</f>
        <v>816.666666666667</v>
      </c>
      <c r="D1607" s="29" t="n">
        <f aca="false">Sens!D1606/ext_sh</f>
        <v>2050</v>
      </c>
      <c r="E1607" s="29" t="n">
        <f aca="false">Sens!E1606/ext_sh</f>
        <v>4500</v>
      </c>
      <c r="F1607" s="29" t="n">
        <f aca="false">Sens!F1606/ext_sh</f>
        <v>8368.66666666667</v>
      </c>
      <c r="G1607" s="29" t="n">
        <f aca="false">Sens!G1606/ext_sh</f>
        <v>12580.6666666667</v>
      </c>
      <c r="H1607" s="29" t="n">
        <f aca="false">Sens!H1606/ext_sh</f>
        <v>16792.6666666667</v>
      </c>
      <c r="I1607" s="29" t="n">
        <f aca="false">Sens!I1606/ext_sh</f>
        <v>19781.1933333333</v>
      </c>
      <c r="J1607" s="29" t="n">
        <f aca="false">Sens!J1606/ext_sh</f>
        <v>21546.2466666667</v>
      </c>
      <c r="K1607" s="29" t="n">
        <f aca="false">Sens!K1606/ext_sh</f>
        <v>22087.8266666667</v>
      </c>
      <c r="L1607" s="1" t="s">
        <v>806</v>
      </c>
    </row>
    <row r="1608" customFormat="false" ht="17.15" hidden="false" customHeight="false" outlineLevel="0" collapsed="false">
      <c r="A1608" s="1" t="s">
        <v>807</v>
      </c>
      <c r="B1608" s="0" t="s">
        <v>392</v>
      </c>
      <c r="C1608" s="29" t="n">
        <f aca="false">Sens!C1607-Sens!C1606</f>
        <v>326.666666666667</v>
      </c>
      <c r="D1608" s="29" t="n">
        <f aca="false">Sens!D1607-Sens!D1606</f>
        <v>820</v>
      </c>
      <c r="E1608" s="29" t="n">
        <f aca="false">Sens!E1607-Sens!E1606</f>
        <v>1800</v>
      </c>
      <c r="F1608" s="29" t="n">
        <f aca="false">Sens!F1607-Sens!F1606</f>
        <v>3347.46666666667</v>
      </c>
      <c r="G1608" s="29" t="n">
        <f aca="false">Sens!G1607-Sens!G1606</f>
        <v>5032.26666666667</v>
      </c>
      <c r="H1608" s="29" t="n">
        <f aca="false">Sens!H1607-Sens!H1606</f>
        <v>6717.06666666667</v>
      </c>
      <c r="I1608" s="29" t="n">
        <f aca="false">Sens!I1607-Sens!I1606</f>
        <v>7912.47733333333</v>
      </c>
      <c r="J1608" s="29" t="n">
        <f aca="false">Sens!J1607-Sens!J1606</f>
        <v>8618.49866666667</v>
      </c>
      <c r="K1608" s="29" t="n">
        <f aca="false">Sens!K1607-Sens!K1606</f>
        <v>8835.13066666667</v>
      </c>
    </row>
    <row r="1609" customFormat="false" ht="17.15" hidden="false" customHeight="false" outlineLevel="0" collapsed="false">
      <c r="A1609" s="1" t="s">
        <v>808</v>
      </c>
      <c r="B1609" s="0" t="s">
        <v>392</v>
      </c>
      <c r="C1609" s="29" t="n">
        <f aca="false">Sens!C1607</f>
        <v>816.666666666667</v>
      </c>
      <c r="D1609" s="29" t="n">
        <f aca="false">Sens!D1607-Sens!C1607</f>
        <v>1233.33333333333</v>
      </c>
      <c r="E1609" s="29" t="n">
        <f aca="false">Sens!E1607-Sens!D1607</f>
        <v>2450</v>
      </c>
      <c r="F1609" s="29" t="n">
        <f aca="false">Sens!F1607-Sens!E1607</f>
        <v>3868.66666666667</v>
      </c>
      <c r="G1609" s="29" t="n">
        <f aca="false">Sens!G1607-Sens!F1607</f>
        <v>4212</v>
      </c>
      <c r="H1609" s="29" t="n">
        <f aca="false">Sens!H1607-Sens!G1607</f>
        <v>4212</v>
      </c>
      <c r="I1609" s="29" t="n">
        <f aca="false">Sens!I1607-Sens!H1607</f>
        <v>2988.52666666667</v>
      </c>
      <c r="J1609" s="29" t="n">
        <f aca="false">Sens!J1607-Sens!I1607</f>
        <v>1765.05333333333</v>
      </c>
      <c r="K1609" s="29" t="n">
        <f aca="false">Sens!K1607-Sens!J1607</f>
        <v>541.580000000002</v>
      </c>
    </row>
    <row r="1610" customFormat="false" ht="17.15" hidden="false" customHeight="false" outlineLevel="0" collapsed="false">
      <c r="A1610" s="1" t="s">
        <v>809</v>
      </c>
      <c r="B1610" s="0" t="s">
        <v>392</v>
      </c>
      <c r="D1610" s="29" t="n">
        <f aca="false">Sens!D1604-Sens!C1604</f>
        <v>990</v>
      </c>
      <c r="E1610" s="29" t="n">
        <f aca="false">Sens!E1604-Sens!D1604</f>
        <v>1620</v>
      </c>
      <c r="F1610" s="29" t="n">
        <f aca="false">Sens!F1604-Sens!E1604</f>
        <v>2527.2</v>
      </c>
      <c r="G1610" s="29" t="n">
        <f aca="false">Sens!G1604-Sens!F1604</f>
        <v>2527.2</v>
      </c>
      <c r="H1610" s="29" t="n">
        <f aca="false">Sens!H1604-Sens!G1604</f>
        <v>2527.2</v>
      </c>
      <c r="I1610" s="29" t="n">
        <f aca="false">Sens!I1604-Sens!H1604</f>
        <v>1793.116</v>
      </c>
      <c r="J1610" s="29" t="n">
        <f aca="false">Sens!J1604-Sens!I1604</f>
        <v>1059.032</v>
      </c>
      <c r="K1610" s="29" t="n">
        <f aca="false">Sens!K1604-Sens!J1604</f>
        <v>324.948</v>
      </c>
    </row>
    <row r="1611" customFormat="false" ht="17.15" hidden="false" customHeight="false" outlineLevel="0" collapsed="false">
      <c r="A1611" s="1" t="s">
        <v>810</v>
      </c>
      <c r="B1611" s="0" t="s">
        <v>392</v>
      </c>
      <c r="F1611" s="29" t="n">
        <f aca="false">Sens!F1628*ext_sh</f>
        <v>0</v>
      </c>
      <c r="G1611" s="29" t="n">
        <f aca="false">Sens!G1628*ext_sh</f>
        <v>0</v>
      </c>
      <c r="H1611" s="29" t="n">
        <f aca="false">Sens!H1628*ext_sh</f>
        <v>0</v>
      </c>
      <c r="I1611" s="29" t="n">
        <f aca="false">Sens!I1628*ext_sh</f>
        <v>490</v>
      </c>
      <c r="J1611" s="29" t="n">
        <f aca="false">Sens!J1628*ext_sh</f>
        <v>740</v>
      </c>
      <c r="K1611" s="29" t="n">
        <f aca="false">Sens!K1628*ext_sh</f>
        <v>1470</v>
      </c>
      <c r="L1611" s="1" t="s">
        <v>811</v>
      </c>
    </row>
    <row r="1612" customFormat="false" ht="17.15" hidden="false" customHeight="false" outlineLevel="0" collapsed="false">
      <c r="A1612" s="1" t="s">
        <v>812</v>
      </c>
      <c r="B1612" s="0" t="s">
        <v>392</v>
      </c>
      <c r="C1612" s="29" t="n">
        <f aca="false">mix_h*Sens!C1604</f>
        <v>128</v>
      </c>
      <c r="D1612" s="29" t="n">
        <f aca="false">mix_h*Sens!D1604</f>
        <v>326</v>
      </c>
      <c r="E1612" s="29" t="n">
        <f aca="false">mix_h*Sens!E1604</f>
        <v>650</v>
      </c>
      <c r="F1612" s="29" t="n">
        <f aca="false">Sens!E1612-Sens!F1611*mix_h</f>
        <v>650</v>
      </c>
      <c r="G1612" s="29" t="n">
        <f aca="false">Sens!F1612-Sens!G1611*mix_h</f>
        <v>650</v>
      </c>
      <c r="H1612" s="29" t="n">
        <f aca="false">Sens!G1612-Sens!H1611*mix_h</f>
        <v>650</v>
      </c>
      <c r="I1612" s="29" t="n">
        <f aca="false">Sens!H1612-Sens!I1611*mix_h</f>
        <v>552</v>
      </c>
      <c r="J1612" s="29" t="n">
        <f aca="false">Sens!I1612-Sens!J1611*mix_h</f>
        <v>404</v>
      </c>
      <c r="K1612" s="29" t="n">
        <f aca="false">Sens!J1612-Sens!K1611*mix_h</f>
        <v>110</v>
      </c>
    </row>
    <row r="1613" customFormat="false" ht="17.15" hidden="false" customHeight="false" outlineLevel="0" collapsed="false">
      <c r="A1613" s="1" t="s">
        <v>813</v>
      </c>
      <c r="B1613" s="0" t="s">
        <v>392</v>
      </c>
      <c r="C1613" s="29" t="n">
        <f aca="false">mix_g2*Sens!C1604</f>
        <v>288</v>
      </c>
      <c r="D1613" s="29" t="n">
        <f aca="false">mix_g2*Sens!D1604</f>
        <v>733.5</v>
      </c>
      <c r="E1613" s="29" t="n">
        <f aca="false">mix_g2*Sens!E1604</f>
        <v>1462.5</v>
      </c>
      <c r="F1613" s="29" t="n">
        <f aca="false">Sens!E1613-Sens!F1611*mix_g2</f>
        <v>1462.5</v>
      </c>
      <c r="G1613" s="29" t="n">
        <f aca="false">Sens!F1613-Sens!G1611*mix_g2</f>
        <v>1462.5</v>
      </c>
      <c r="H1613" s="29" t="n">
        <f aca="false">Sens!G1613-Sens!H1611*mix_g2</f>
        <v>1462.5</v>
      </c>
      <c r="I1613" s="29" t="n">
        <f aca="false">Sens!H1613-Sens!I1611*mix_g2</f>
        <v>1242</v>
      </c>
      <c r="J1613" s="29" t="n">
        <f aca="false">Sens!I1613-Sens!J1611*mix_g2</f>
        <v>909</v>
      </c>
      <c r="K1613" s="29" t="n">
        <f aca="false">Sens!J1613-Sens!K1611*mix_g2</f>
        <v>247.5</v>
      </c>
    </row>
    <row r="1614" customFormat="false" ht="17.15" hidden="false" customHeight="false" outlineLevel="0" collapsed="false">
      <c r="A1614" s="1" t="s">
        <v>814</v>
      </c>
      <c r="B1614" s="0" t="s">
        <v>392</v>
      </c>
      <c r="C1614" s="29" t="n">
        <f aca="false">mix_g3*Sens!C1604</f>
        <v>224</v>
      </c>
      <c r="D1614" s="29" t="n">
        <f aca="false">mix_g3*Sens!D1604</f>
        <v>570.5</v>
      </c>
      <c r="E1614" s="29" t="n">
        <f aca="false">mix_g3*Sens!E1604</f>
        <v>1137.5</v>
      </c>
      <c r="F1614" s="29" t="n">
        <f aca="false">Sens!E1614+(Sens!F1610+Sens!F1611)*a_g3_27-Sens!F1611*mix_g3</f>
        <v>2906.54</v>
      </c>
      <c r="G1614" s="29" t="n">
        <f aca="false">Sens!F1614+(Sens!G1610+Sens!G1611)*a_g3_28-Sens!G1611*mix_g3</f>
        <v>3664.7</v>
      </c>
      <c r="H1614" s="29" t="n">
        <f aca="false">Sens!G1614+(Sens!H1610+Sens!H1611)*a_g3_29-Sens!H1611*mix_g3</f>
        <v>3917.42</v>
      </c>
      <c r="I1614" s="29" t="n">
        <f aca="false">Sens!H1614+(Sens!I1610+Sens!I1611)*a_g3_29-Sens!I1611*mix_g3</f>
        <v>3974.2316</v>
      </c>
      <c r="J1614" s="29" t="n">
        <f aca="false">Sens!I1614+(Sens!J1610+Sens!J1611)*a_g3_29-Sens!J1611*mix_g3</f>
        <v>3895.1348</v>
      </c>
      <c r="K1614" s="29" t="n">
        <f aca="false">Sens!J1614+(Sens!K1610+Sens!K1611)*a_g3_29-Sens!K1611*mix_g3</f>
        <v>3560.1296</v>
      </c>
    </row>
    <row r="1615" customFormat="false" ht="17.15" hidden="false" customHeight="false" outlineLevel="0" collapsed="false">
      <c r="A1615" s="1" t="s">
        <v>815</v>
      </c>
      <c r="B1615" s="0" t="s">
        <v>392</v>
      </c>
      <c r="C1615" s="29" t="n">
        <v>0</v>
      </c>
      <c r="D1615" s="29" t="n">
        <v>0</v>
      </c>
      <c r="E1615" s="29" t="n">
        <v>0</v>
      </c>
      <c r="F1615" s="29" t="n">
        <f aca="false">Sens!E1615+(Sens!F1610+Sens!F1611)*(1-a_g3_27)</f>
        <v>758.16</v>
      </c>
      <c r="G1615" s="29" t="n">
        <f aca="false">Sens!F1615+(Sens!G1610+Sens!G1611)*(1-a_g3_28)</f>
        <v>2527.2</v>
      </c>
      <c r="H1615" s="29" t="n">
        <f aca="false">Sens!G1615+(Sens!H1610+Sens!H1611)*(1-a_g3_29)</f>
        <v>4801.68</v>
      </c>
      <c r="I1615" s="29" t="n">
        <f aca="false">Sens!H1615+(Sens!I1610+Sens!I1611)*(1-a_g3_29)</f>
        <v>6856.4844</v>
      </c>
      <c r="J1615" s="29" t="n">
        <f aca="false">Sens!I1615+(Sens!J1610+Sens!J1611)*(1-a_g3_29)</f>
        <v>8475.6132</v>
      </c>
      <c r="K1615" s="29" t="n">
        <f aca="false">Sens!J1615+(Sens!K1610+Sens!K1611)*(1-a_g3_29)</f>
        <v>10091.0664</v>
      </c>
    </row>
    <row r="1616" customFormat="false" ht="17.15" hidden="false" customHeight="false" outlineLevel="0" collapsed="false">
      <c r="A1616" s="1" t="s">
        <v>816</v>
      </c>
      <c r="B1616" s="0" t="s">
        <v>339</v>
      </c>
      <c r="C1616" s="14" t="n">
        <f aca="false">(Sens!C1612*tk_hold_h100+Sens!C1613*tk_hold_gb200+Sens!C1614*tk_hold_gb300+Sens!C1615*tk_hold_vr200)/Sens!C1604</f>
        <v>9.7235358126469</v>
      </c>
      <c r="D1616" s="14" t="n">
        <f aca="false">(Sens!D1612*tk_hold_h100+Sens!D1613*tk_hold_gb200+Sens!D1614*tk_hold_gb300+Sens!D1615*tk_hold_vr200)/Sens!D1604</f>
        <v>9.7235358126469</v>
      </c>
      <c r="E1616" s="14" t="n">
        <f aca="false">(Sens!E1612*tk_hold_h100+Sens!E1613*tk_hold_gb200+Sens!E1614*tk_hold_gb300+Sens!E1615*tk_hold_vr200)/Sens!E1604</f>
        <v>9.7235358126469</v>
      </c>
      <c r="F1616" s="14" t="n">
        <f aca="false">(Sens!F1612*tk_hold_h100+Sens!F1613*tk_hold_gb200+Sens!F1614*tk_hold_gb300+Sens!F1615*tk_hold_vr200)/Sens!F1604</f>
        <v>10.4079573161931</v>
      </c>
      <c r="G1616" s="14" t="n">
        <f aca="false">(Sens!G1612*tk_hold_h100+Sens!G1613*tk_hold_gb200+Sens!G1614*tk_hold_gb300+Sens!G1615*tk_hold_vr200)/Sens!G1604</f>
        <v>10.8388131109316</v>
      </c>
      <c r="H1616" s="14" t="n">
        <f aca="false">(Sens!H1612*tk_hold_h100+Sens!H1613*tk_hold_gb200+Sens!H1614*tk_hold_gb300+Sens!H1615*tk_hold_vr200)/Sens!H1604</f>
        <v>11.1311018388216</v>
      </c>
      <c r="I1616" s="14" t="n">
        <f aca="false">(Sens!I1612*tk_hold_h100+Sens!I1613*tk_hold_gb200+Sens!I1614*tk_hold_gb300+Sens!I1615*tk_hold_vr200)/Sens!I1604</f>
        <v>11.3594282560989</v>
      </c>
      <c r="J1616" s="14" t="n">
        <f aca="false">(Sens!J1612*tk_hold_h100+Sens!J1613*tk_hold_gb200+Sens!J1614*tk_hold_gb300+Sens!J1615*tk_hold_vr200)/Sens!J1604</f>
        <v>11.5441508808221</v>
      </c>
      <c r="K1616" s="14" t="n">
        <f aca="false">(Sens!K1612*tk_hold_h100+Sens!K1613*tk_hold_gb200+Sens!K1614*tk_hold_gb300+Sens!K1615*tk_hold_vr200)/Sens!K1604</f>
        <v>11.8053375063575</v>
      </c>
    </row>
    <row r="1617" customFormat="false" ht="17.15" hidden="false" customHeight="false" outlineLevel="0" collapsed="false">
      <c r="A1617" s="0" t="s">
        <v>817</v>
      </c>
      <c r="B1617" s="0" t="s">
        <v>185</v>
      </c>
      <c r="C1617" s="14" t="n">
        <f aca="false">k_B</f>
        <v>1.17213932619116</v>
      </c>
      <c r="D1617" s="14" t="n">
        <f aca="false">k_B</f>
        <v>1.17213932619116</v>
      </c>
      <c r="E1617" s="14" t="n">
        <f aca="false">k_B</f>
        <v>1.17213932619116</v>
      </c>
      <c r="F1617" s="14" t="n">
        <f aca="false">(k_B+((ls_C*k_long+(1-ls_C)*k_spot)-k_B)*MIN(1,(Sens!F1602-base_fy)/k_ramp))*1.15</f>
        <v>1.24019746705172</v>
      </c>
      <c r="G1617" s="14" t="n">
        <f aca="false">(k_B+((ls_C*k_long+(1-ls_C)*k_spot)-k_B)*MIN(1,(Sens!G1602-base_fy)/k_ramp))*1.15</f>
        <v>1.1324347089836</v>
      </c>
      <c r="H1617" s="14" t="n">
        <f aca="false">(k_B+((ls_C*k_long+(1-ls_C)*k_spot)-k_B)*MIN(1,(Sens!H1602-base_fy)/k_ramp))*1.15</f>
        <v>1.02467195091549</v>
      </c>
      <c r="I1617" s="14" t="n">
        <f aca="false">(k_B+((ls_C*k_long+(1-ls_C)*k_spot)-k_B)*MIN(1,(Sens!I1602-base_fy)/k_ramp))*1.15</f>
        <v>1.02467195091549</v>
      </c>
      <c r="J1617" s="14" t="n">
        <f aca="false">(k_B+((ls_C*k_long+(1-ls_C)*k_spot)-k_B)*MIN(1,(Sens!J1602-base_fy)/k_ramp))*1.15</f>
        <v>1.02467195091549</v>
      </c>
      <c r="K1617" s="14" t="n">
        <f aca="false">(k_B+((ls_C*k_long+(1-ls_C)*k_spot)-k_B)*MIN(1,(Sens!K1602-base_fy)/k_ramp))*1.15</f>
        <v>1.02467195091549</v>
      </c>
      <c r="L1617" s="1" t="s">
        <v>818</v>
      </c>
    </row>
    <row r="1618" customFormat="false" ht="17.15" hidden="false" customHeight="false" outlineLevel="0" collapsed="false">
      <c r="A1618" s="1" t="s">
        <v>819</v>
      </c>
      <c r="B1618" s="0" t="s">
        <v>339</v>
      </c>
      <c r="C1618" s="14" t="n">
        <f aca="false">Sens!C1616*Sens!C1617*chip_f</f>
        <v>11.3973387156315</v>
      </c>
      <c r="D1618" s="14" t="n">
        <f aca="false">Sens!D1616*Sens!D1617*chip_f</f>
        <v>11.3973387156315</v>
      </c>
      <c r="E1618" s="14" t="n">
        <f aca="false">Sens!E1616*Sens!E1617*chip_f</f>
        <v>11.3973387156315</v>
      </c>
      <c r="F1618" s="14" t="n">
        <f aca="false">Sens!F1616*Sens!F1617*chip_f</f>
        <v>12.907922300725</v>
      </c>
      <c r="G1618" s="14" t="n">
        <f aca="false">Sens!G1616*Sens!G1617*chip_f</f>
        <v>12.2742481710054</v>
      </c>
      <c r="H1618" s="14" t="n">
        <f aca="false">Sens!H1616*Sens!H1617*chip_f</f>
        <v>11.4057278370243</v>
      </c>
      <c r="I1618" s="14" t="n">
        <f aca="false">Sens!I1616*Sens!I1617*chip_f</f>
        <v>11.6396875124614</v>
      </c>
      <c r="J1618" s="14" t="n">
        <f aca="false">Sens!J1616*Sens!J1617*chip_f</f>
        <v>11.8289676047147</v>
      </c>
      <c r="K1618" s="14" t="n">
        <f aca="false">Sens!K1616*Sens!K1617*chip_f</f>
        <v>12.0965982138551</v>
      </c>
      <c r="L1618" s="1" t="s">
        <v>820</v>
      </c>
    </row>
    <row r="1619" customFormat="false" ht="17.15" hidden="false" customHeight="false" outlineLevel="0" collapsed="false">
      <c r="A1619" s="0" t="s">
        <v>821</v>
      </c>
      <c r="B1619" s="0" t="s">
        <v>98</v>
      </c>
      <c r="D1619" s="6" t="n">
        <f aca="false">(Sens!C1604+Sens!D1604)/2*Sens!D1618/1000</f>
        <v>12.9359794422418</v>
      </c>
      <c r="E1619" s="6" t="n">
        <f aca="false">(Sens!D1604+Sens!E1604)/2*Sens!E1618/1000</f>
        <v>27.8095064661409</v>
      </c>
      <c r="F1619" s="6" t="n">
        <f aca="false">(Sens!E1604+Sens!F1604)/2*Sens!F1618/1000</f>
        <v>58.2611980965526</v>
      </c>
      <c r="G1619" s="6" t="n">
        <f aca="false">(Sens!F1604+Sens!G1604)/2*Sens!G1618/1000</f>
        <v>86.420526522415</v>
      </c>
      <c r="H1619" s="6" t="n">
        <f aca="false">(Sens!G1604+Sens!H1604)/2*Sens!H1618/1000</f>
        <v>109.130003944648</v>
      </c>
      <c r="I1619" s="6" t="n">
        <f aca="false">(Sens!H1604+Sens!I1604)/2*Sens!I1618/1000</f>
        <v>136.512094216774</v>
      </c>
      <c r="J1619" s="6" t="n">
        <f aca="false">(Sens!I1604+Sens!J1604)/2*Sens!J1618/1000</f>
        <v>155.600984192901</v>
      </c>
      <c r="K1619" s="6" t="n">
        <f aca="false">(Sens!J1604+Sens!K1604)/2*Sens!K1618/1000</f>
        <v>167.492184313842</v>
      </c>
      <c r="L1619" s="11" t="s">
        <v>822</v>
      </c>
    </row>
    <row r="1620" customFormat="false" ht="17.15" hidden="false" customHeight="false" outlineLevel="0" collapsed="false">
      <c r="A1620" s="1" t="s">
        <v>823</v>
      </c>
      <c r="B1620" s="0" t="s">
        <v>339</v>
      </c>
      <c r="C1620" s="14" t="n">
        <f aca="false">(Sens!C1612*tk_opex_h100+Sens!C1613*tk_opex_gb200+Sens!C1614*tk_opex_gb300+Sens!C1615*tk_opex_vr200)/Sens!C1604</f>
        <v>1.88636041306092</v>
      </c>
      <c r="D1620" s="14" t="n">
        <f aca="false">(Sens!D1612*tk_opex_h100+Sens!D1613*tk_opex_gb200+Sens!D1614*tk_opex_gb300+Sens!D1615*tk_opex_vr200)/Sens!D1604</f>
        <v>1.88636041306092</v>
      </c>
      <c r="E1620" s="14" t="n">
        <f aca="false">(Sens!E1612*tk_opex_h100+Sens!E1613*tk_opex_gb200+Sens!E1614*tk_opex_gb300+Sens!E1615*tk_opex_vr200)/Sens!E1604</f>
        <v>1.88636041306092</v>
      </c>
      <c r="F1620" s="14" t="n">
        <f aca="false">(Sens!F1612*tk_opex_h100+Sens!F1613*tk_opex_gb200+Sens!F1614*tk_opex_gb300+Sens!F1615*tk_opex_vr200)/Sens!F1604</f>
        <v>1.9430236476499</v>
      </c>
      <c r="G1620" s="14" t="n">
        <f aca="false">(Sens!G1612*tk_opex_h100+Sens!G1613*tk_opex_gb200+Sens!G1614*tk_opex_gb300+Sens!G1615*tk_opex_vr200)/Sens!G1604</f>
        <v>1.9786941852423</v>
      </c>
      <c r="H1620" s="14" t="n">
        <f aca="false">(Sens!H1612*tk_opex_h100+Sens!H1613*tk_opex_gb200+Sens!H1614*tk_opex_gb300+Sens!H1615*tk_opex_vr200)/Sens!H1604</f>
        <v>2.00289275976156</v>
      </c>
      <c r="I1620" s="14" t="n">
        <f aca="false">(Sens!I1612*tk_opex_h100+Sens!I1613*tk_opex_gb200+Sens!I1614*tk_opex_gb300+Sens!I1615*tk_opex_vr200)/Sens!I1604</f>
        <v>2.02179589661219</v>
      </c>
      <c r="J1620" s="14" t="n">
        <f aca="false">(Sens!J1612*tk_opex_h100+Sens!J1613*tk_opex_gb200+Sens!J1614*tk_opex_gb300+Sens!J1615*tk_opex_vr200)/Sens!J1604</f>
        <v>2.03708907685909</v>
      </c>
      <c r="K1620" s="14" t="n">
        <f aca="false">(Sens!K1612*tk_opex_h100+Sens!K1613*tk_opex_gb200+Sens!K1614*tk_opex_gb300+Sens!K1615*tk_opex_vr200)/Sens!K1604</f>
        <v>2.05871270931005</v>
      </c>
    </row>
    <row r="1621" customFormat="false" ht="17.15" hidden="false" customHeight="false" outlineLevel="0" collapsed="false">
      <c r="A1621" s="0" t="s">
        <v>824</v>
      </c>
      <c r="B1621" s="0" t="s">
        <v>98</v>
      </c>
      <c r="D1621" s="6" t="n">
        <f aca="false">(Sens!C1607+Sens!D1607)/2*Sens!D1620/1000</f>
        <v>2.70378325872065</v>
      </c>
      <c r="E1621" s="6" t="n">
        <f aca="false">(Sens!D1607+Sens!E1607)/2*Sens!E1620/1000</f>
        <v>6.17783035277451</v>
      </c>
      <c r="F1621" s="6" t="n">
        <f aca="false">(Sens!E1607+Sens!F1607)/2*Sens!F1620/1000</f>
        <v>12.5020618235287</v>
      </c>
      <c r="G1621" s="6" t="n">
        <f aca="false">(Sens!F1607+Sens!G1607)/2*Sens!G1620/1000</f>
        <v>20.7261620256847</v>
      </c>
      <c r="H1621" s="6" t="n">
        <f aca="false">(Sens!G1607+Sens!H1607)/2*Sens!H1620/1000</f>
        <v>29.4158183316982</v>
      </c>
      <c r="I1621" s="6" t="n">
        <f aca="false">(Sens!H1607+Sens!I1607)/2*Sens!I1620/1000</f>
        <v>36.9724400356344</v>
      </c>
      <c r="J1621" s="6" t="n">
        <f aca="false">(Sens!I1607+Sens!J1607)/2*Sens!J1620/1000</f>
        <v>42.0938382992747</v>
      </c>
      <c r="K1621" s="6" t="n">
        <f aca="false">(Sens!J1607+Sens!K1607)/2*Sens!K1620/1000</f>
        <v>44.9150106651501</v>
      </c>
    </row>
    <row r="1622" customFormat="false" ht="17.15" hidden="false" customHeight="false" outlineLevel="0" collapsed="false">
      <c r="A1622" s="0" t="s">
        <v>825</v>
      </c>
      <c r="B1622" s="0" t="s">
        <v>98</v>
      </c>
      <c r="D1622" s="6" t="n">
        <f aca="false">(Sens!C1605+Sens!D1605)/2*rent_mw/1000</f>
        <v>2.44475</v>
      </c>
      <c r="E1622" s="6" t="n">
        <f aca="false">(Sens!D1605+Sens!E1605)/2*rent_mw/1000</f>
        <v>4.22275</v>
      </c>
      <c r="F1622" s="6" t="n">
        <f aca="false">(Sens!E1605+Sens!F1605)/2*rent_mw/1000</f>
        <v>5.80517</v>
      </c>
      <c r="G1622" s="6" t="n">
        <f aca="false">(Sens!F1605+Sens!G1605)/2*rent_mw/1000</f>
        <v>6.72084</v>
      </c>
      <c r="H1622" s="6" t="n">
        <f aca="false">(Sens!G1605+Sens!H1605)/2*rent_mw/1000</f>
        <v>6.72084</v>
      </c>
      <c r="I1622" s="6" t="n">
        <f aca="false">(Sens!H1605+Sens!I1605)/2*rent_mw/1000</f>
        <v>6.72084</v>
      </c>
      <c r="J1622" s="6" t="n">
        <f aca="false">(Sens!I1605+Sens!J1605)/2*rent_mw/1000</f>
        <v>6.72084</v>
      </c>
      <c r="K1622" s="6" t="n">
        <f aca="false">(Sens!J1605+Sens!K1605)/2*rent_mw/1000</f>
        <v>6.72084</v>
      </c>
    </row>
    <row r="1623" customFormat="false" ht="17.15" hidden="false" customHeight="false" outlineLevel="0" collapsed="false">
      <c r="A1623" s="0" t="s">
        <v>826</v>
      </c>
      <c r="B1623" s="0" t="s">
        <v>98</v>
      </c>
      <c r="D1623" s="6" t="n">
        <f aca="false">(Sens!C1607+Sens!D1607)/2*(1-self_build)*fac_rent/1000</f>
        <v>0.853242375631075</v>
      </c>
      <c r="E1623" s="6" t="n">
        <f aca="false">(Sens!D1607+Sens!E1607)/2*(1-self_build)*fac_rent/1000</f>
        <v>1.94955961408728</v>
      </c>
      <c r="F1623" s="6" t="n">
        <f aca="false">(Sens!E1607+Sens!F1607)/2*(1-self_build)*fac_rent/1000</f>
        <v>3.83026455274573</v>
      </c>
      <c r="G1623" s="6" t="n">
        <f aca="false">(Sens!F1607+Sens!G1607)/2*(1-self_build)*fac_rent/1000</f>
        <v>6.23541590972812</v>
      </c>
      <c r="H1623" s="6" t="n">
        <f aca="false">(Sens!G1607+Sens!H1607)/2*(1-self_build)*fac_rent/1000</f>
        <v>8.74275792332679</v>
      </c>
      <c r="I1623" s="6" t="n">
        <f aca="false">(Sens!H1607+Sens!I1607)/2*(1-self_build)*fac_rent/1000</f>
        <v>10.8859420438599</v>
      </c>
      <c r="J1623" s="6" t="n">
        <f aca="false">(Sens!I1607+Sens!J1607)/2*(1-self_build)*fac_rent/1000</f>
        <v>12.3008103782619</v>
      </c>
      <c r="K1623" s="6" t="n">
        <f aca="false">(Sens!J1607+Sens!K1607)/2*(1-self_build)*fac_rent/1000</f>
        <v>12.9873629265328</v>
      </c>
      <c r="L1623" s="11" t="s">
        <v>827</v>
      </c>
    </row>
    <row r="1624" customFormat="false" ht="17.15" hidden="false" customHeight="false" outlineLevel="0" collapsed="false">
      <c r="A1624" s="1" t="s">
        <v>828</v>
      </c>
      <c r="B1624" s="0" t="s">
        <v>129</v>
      </c>
      <c r="D1624" s="7" t="n">
        <f aca="false">(Sens!C1606+Sens!D1606)/(Sens!C1607+Sens!D1607)</f>
        <v>0.6</v>
      </c>
      <c r="E1624" s="7" t="n">
        <f aca="false">(Sens!D1606+Sens!E1606)/(Sens!D1607+Sens!E1607)</f>
        <v>0.6</v>
      </c>
      <c r="F1624" s="7" t="n">
        <f aca="false">(Sens!E1606+Sens!F1606)/(Sens!E1607+Sens!F1607)</f>
        <v>0.6</v>
      </c>
      <c r="G1624" s="7" t="n">
        <f aca="false">(Sens!F1606+Sens!G1606)/(Sens!F1607+Sens!G1607)</f>
        <v>0.6</v>
      </c>
      <c r="H1624" s="7" t="n">
        <f aca="false">(Sens!G1606+Sens!H1606)/(Sens!G1607+Sens!H1607)</f>
        <v>0.6</v>
      </c>
      <c r="I1624" s="7" t="n">
        <f aca="false">(Sens!H1606+Sens!I1606)/(Sens!H1607+Sens!I1607)</f>
        <v>0.6</v>
      </c>
      <c r="J1624" s="7" t="n">
        <f aca="false">(Sens!I1606+Sens!J1606)/(Sens!I1607+Sens!J1607)</f>
        <v>0.6</v>
      </c>
      <c r="K1624" s="7" t="n">
        <f aca="false">(Sens!J1606+Sens!K1606)/(Sens!J1607+Sens!K1607)</f>
        <v>0.6</v>
      </c>
    </row>
    <row r="1625" customFormat="false" ht="17.15" hidden="false" customHeight="false" outlineLevel="0" collapsed="false">
      <c r="A1625" s="0" t="s">
        <v>829</v>
      </c>
      <c r="B1625" s="0" t="s">
        <v>98</v>
      </c>
      <c r="D1625" s="6" t="n">
        <f aca="false">Sens!D1619-Sens!D1624*(Sens!D1621+Sens!D1623)-Sens!D1622</f>
        <v>8.35701406163072</v>
      </c>
      <c r="E1625" s="6" t="n">
        <f aca="false">Sens!E1619-Sens!E1624*(Sens!E1621+Sens!E1623)-Sens!E1622</f>
        <v>18.7103224860238</v>
      </c>
      <c r="F1625" s="6" t="n">
        <f aca="false">Sens!F1619-Sens!F1624*(Sens!F1621+Sens!F1623)-Sens!F1622</f>
        <v>42.6566322707879</v>
      </c>
      <c r="G1625" s="6" t="n">
        <f aca="false">Sens!G1619-Sens!G1624*(Sens!G1621+Sens!G1623)-Sens!G1622</f>
        <v>63.5227397611673</v>
      </c>
      <c r="H1625" s="6" t="n">
        <f aca="false">Sens!H1619-Sens!H1624*(Sens!H1621+Sens!H1623)-Sens!H1622</f>
        <v>79.5140181916334</v>
      </c>
      <c r="I1625" s="6" t="n">
        <f aca="false">Sens!I1619-Sens!I1624*(Sens!I1621+Sens!I1623)-Sens!I1622</f>
        <v>101.076224969078</v>
      </c>
      <c r="J1625" s="6" t="n">
        <f aca="false">Sens!J1619-Sens!J1624*(Sens!J1621+Sens!J1623)-Sens!J1622</f>
        <v>116.243354986379</v>
      </c>
      <c r="K1625" s="6" t="n">
        <f aca="false">Sens!K1619-Sens!K1624*(Sens!K1621+Sens!K1623)-Sens!K1622</f>
        <v>126.029920158832</v>
      </c>
    </row>
    <row r="1626" customFormat="false" ht="17.15" hidden="false" customHeight="false" outlineLevel="0" collapsed="false">
      <c r="A1626" s="1" t="s">
        <v>830</v>
      </c>
      <c r="B1626" s="0" t="s">
        <v>98</v>
      </c>
      <c r="D1626" s="6" t="n">
        <f aca="false">(1-Sens!D1624)*(Sens!D1621+Sens!D1623)</f>
        <v>1.42281025374069</v>
      </c>
      <c r="E1626" s="6" t="n">
        <f aca="false">(1-Sens!E1624)*(Sens!E1621+Sens!E1623)</f>
        <v>3.25095598674472</v>
      </c>
      <c r="F1626" s="6" t="n">
        <f aca="false">(1-Sens!F1624)*(Sens!F1621+Sens!F1623)</f>
        <v>6.53293055050977</v>
      </c>
      <c r="G1626" s="6" t="n">
        <f aca="false">(1-Sens!G1624)*(Sens!G1621+Sens!G1623)</f>
        <v>10.7846311741651</v>
      </c>
      <c r="H1626" s="6" t="n">
        <f aca="false">(1-Sens!H1624)*(Sens!H1621+Sens!H1623)</f>
        <v>15.26343050201</v>
      </c>
      <c r="I1626" s="6" t="n">
        <f aca="false">(1-Sens!I1624)*(Sens!I1621+Sens!I1623)</f>
        <v>19.1433528317977</v>
      </c>
      <c r="J1626" s="6" t="n">
        <f aca="false">(1-Sens!J1624)*(Sens!J1621+Sens!J1623)</f>
        <v>21.7578594710146</v>
      </c>
      <c r="K1626" s="6" t="n">
        <f aca="false">(1-Sens!K1624)*(Sens!K1621+Sens!K1623)</f>
        <v>23.1609494366731</v>
      </c>
    </row>
    <row r="1627" customFormat="false" ht="17.15" hidden="false" customHeight="false" outlineLevel="0" collapsed="false">
      <c r="A1627" s="1" t="s">
        <v>831</v>
      </c>
      <c r="B1627" s="0" t="s">
        <v>350</v>
      </c>
      <c r="C1627" s="8" t="n">
        <f aca="false">cxit_open</f>
        <v>27.5918995</v>
      </c>
      <c r="D1627" s="8" t="n">
        <f aca="false">cxit_open</f>
        <v>27.5918995</v>
      </c>
      <c r="E1627" s="8" t="n">
        <f aca="false">cxit_open</f>
        <v>27.5918995</v>
      </c>
      <c r="F1627" s="8" t="n">
        <f aca="false">(a_g3_27*tk_cxit_gb300+(1-a_g3_27)*tk_cxit_vr200)</f>
        <v>33.8419624</v>
      </c>
      <c r="G1627" s="8" t="n">
        <f aca="false">(a_g3_28*tk_cxit_gb300+(1-a_g3_28)*tk_cxit_vr200)</f>
        <v>35.9816136</v>
      </c>
      <c r="H1627" s="8" t="n">
        <f aca="false">(a_g3_29*tk_cxit_gb300+(1-a_g3_29)*tk_cxit_vr200)</f>
        <v>37.0514392</v>
      </c>
      <c r="I1627" s="8" t="n">
        <f aca="false">(a_g3_29*tk_cxit_gb300+(1-a_g3_29)*tk_cxit_vr200)</f>
        <v>37.0514392</v>
      </c>
      <c r="J1627" s="8" t="n">
        <f aca="false">(a_g3_29*tk_cxit_gb300+(1-a_g3_29)*tk_cxit_vr200)</f>
        <v>37.0514392</v>
      </c>
      <c r="K1627" s="8" t="n">
        <f aca="false">(a_g3_29*tk_cxit_gb300+(1-a_g3_29)*tk_cxit_vr200)</f>
        <v>37.0514392</v>
      </c>
      <c r="L1627" s="11" t="s">
        <v>832</v>
      </c>
    </row>
    <row r="1628" customFormat="false" ht="17.15" hidden="false" customHeight="false" outlineLevel="0" collapsed="false">
      <c r="A1628" s="0" t="s">
        <v>833</v>
      </c>
      <c r="B1628" s="0" t="s">
        <v>392</v>
      </c>
      <c r="F1628" s="29" t="n">
        <f aca="false">Sens!C1609*IF(Sens!F1602-Sens!C1602=life_it,1,0)+Sens!D1609*IF(Sens!F1602-Sens!D1602=life_it,1,0)+Sens!E1609*IF(Sens!F1602-Sens!E1602=life_it,1,0)</f>
        <v>0</v>
      </c>
      <c r="G1628" s="29" t="n">
        <f aca="false">Sens!C1609*IF(Sens!G1602-Sens!C1602=life_it,1,0)+Sens!D1609*IF(Sens!G1602-Sens!D1602=life_it,1,0)+Sens!E1609*IF(Sens!G1602-Sens!E1602=life_it,1,0)+Sens!F1609*IF(Sens!G1602-Sens!F1602=life_it,1,0)</f>
        <v>0</v>
      </c>
      <c r="H1628" s="29" t="n">
        <f aca="false">Sens!C1609*IF(Sens!H1602-Sens!C1602=life_it,1,0)+Sens!D1609*IF(Sens!H1602-Sens!D1602=life_it,1,0)+Sens!E1609*IF(Sens!H1602-Sens!E1602=life_it,1,0)+Sens!F1609*IF(Sens!H1602-Sens!F1602=life_it,1,0)+Sens!G1609*IF(Sens!H1602-Sens!G1602=life_it,1,0)</f>
        <v>0</v>
      </c>
      <c r="I1628" s="29" t="n">
        <f aca="false">Sens!C1609*IF(Sens!I1602-Sens!C1602=life_it,1,0)+Sens!D1609*IF(Sens!I1602-Sens!D1602=life_it,1,0)+Sens!E1609*IF(Sens!I1602-Sens!E1602=life_it,1,0)+Sens!F1609*IF(Sens!I1602-Sens!F1602=life_it,1,0)+Sens!G1609*IF(Sens!I1602-Sens!G1602=life_it,1,0)+Sens!H1609*IF(Sens!I1602-Sens!H1602=life_it,1,0)</f>
        <v>816.666666666667</v>
      </c>
      <c r="J1628" s="29" t="n">
        <f aca="false">Sens!C1609*IF(Sens!J1602-Sens!C1602=life_it,1,0)+Sens!D1609*IF(Sens!J1602-Sens!D1602=life_it,1,0)+Sens!E1609*IF(Sens!J1602-Sens!E1602=life_it,1,0)+Sens!F1609*IF(Sens!J1602-Sens!F1602=life_it,1,0)+Sens!G1609*IF(Sens!J1602-Sens!G1602=life_it,1,0)+Sens!H1609*IF(Sens!J1602-Sens!H1602=life_it,1,0)+Sens!I1609*IF(Sens!J1602-Sens!I1602=life_it,1,0)</f>
        <v>1233.33333333333</v>
      </c>
      <c r="K1628" s="29" t="n">
        <f aca="false">Sens!C1609*IF(Sens!K1602-Sens!C1602=life_it,1,0)+Sens!D1609*IF(Sens!K1602-Sens!D1602=life_it,1,0)+Sens!E1609*IF(Sens!K1602-Sens!E1602=life_it,1,0)+Sens!F1609*IF(Sens!K1602-Sens!F1602=life_it,1,0)+Sens!G1609*IF(Sens!K1602-Sens!G1602=life_it,1,0)+Sens!H1609*IF(Sens!K1602-Sens!H1602=life_it,1,0)+Sens!I1609*IF(Sens!K1602-Sens!I1602=life_it,1,0)+Sens!J1609*IF(Sens!K1602-Sens!J1602=life_it,1,0)</f>
        <v>2450</v>
      </c>
      <c r="L1628" s="1" t="s">
        <v>834</v>
      </c>
    </row>
    <row r="1629" customFormat="false" ht="17.15" hidden="false" customHeight="false" outlineLevel="0" collapsed="false">
      <c r="A1629" s="0" t="s">
        <v>835</v>
      </c>
      <c r="B1629" s="0" t="s">
        <v>98</v>
      </c>
      <c r="C1629" s="6" t="n">
        <f aca="false">Sens!C1609*Sens!C1627/1000</f>
        <v>22.5333845916667</v>
      </c>
      <c r="D1629" s="6" t="n">
        <f aca="false">Sens!D1609*Sens!D1627/1000</f>
        <v>34.0300093833333</v>
      </c>
      <c r="E1629" s="6" t="n">
        <f aca="false">Sens!E1609*Sens!E1627/1000</f>
        <v>67.600153775</v>
      </c>
      <c r="F1629" s="6" t="n">
        <f aca="false">(Sens!F1609+Sens!F1628)*Sens!F1627/1000</f>
        <v>130.923271871467</v>
      </c>
      <c r="G1629" s="6" t="n">
        <f aca="false">(Sens!G1609+Sens!G1628)*Sens!G1627/1000</f>
        <v>151.5545564832</v>
      </c>
      <c r="H1629" s="6" t="n">
        <f aca="false">(Sens!H1609+Sens!H1628)*Sens!H1627/1000</f>
        <v>156.0606619104</v>
      </c>
      <c r="I1629" s="6" t="n">
        <f aca="false">(Sens!I1609+Sens!I1628)*Sens!I1627/1000</f>
        <v>140.987889434245</v>
      </c>
      <c r="J1629" s="6" t="n">
        <f aca="false">(Sens!J1609+Sens!J1628)*Sens!J1627/1000</f>
        <v>111.094541278091</v>
      </c>
      <c r="K1629" s="6" t="n">
        <f aca="false">(Sens!K1609+Sens!K1628)*Sens!K1627/1000</f>
        <v>110.842344481936</v>
      </c>
    </row>
    <row r="1630" customFormat="false" ht="17.15" hidden="false" customHeight="false" outlineLevel="0" collapsed="false">
      <c r="A1630" s="0" t="s">
        <v>836</v>
      </c>
      <c r="B1630" s="0" t="s">
        <v>98</v>
      </c>
      <c r="C1630" s="6" t="n">
        <f aca="false">Sens!C1609*self_build*tk_cxfac/1000</f>
        <v>6.2083</v>
      </c>
      <c r="D1630" s="6" t="n">
        <f aca="false">Sens!D1609*self_build*tk_cxfac/1000</f>
        <v>9.3758</v>
      </c>
      <c r="E1630" s="6" t="n">
        <f aca="false">Sens!E1609*self_build*tk_cxfac/1000</f>
        <v>18.6249</v>
      </c>
      <c r="F1630" s="6" t="n">
        <f aca="false">Sens!F1609*self_build*tk_cxfac/1000</f>
        <v>29.409604</v>
      </c>
      <c r="G1630" s="6" t="n">
        <f aca="false">Sens!G1609*self_build*tk_cxfac/1000</f>
        <v>32.019624</v>
      </c>
      <c r="H1630" s="6" t="n">
        <f aca="false">Sens!H1609*self_build*tk_cxfac/1000</f>
        <v>32.019624</v>
      </c>
      <c r="I1630" s="6" t="n">
        <f aca="false">Sens!I1609*self_build*tk_cxfac/1000</f>
        <v>22.71877972</v>
      </c>
      <c r="J1630" s="6" t="n">
        <f aca="false">Sens!J1609*self_build*tk_cxfac/1000</f>
        <v>13.41793544</v>
      </c>
      <c r="K1630" s="6" t="n">
        <f aca="false">Sens!K1609*self_build*tk_cxfac/1000</f>
        <v>4.11709116000001</v>
      </c>
    </row>
    <row r="1631" customFormat="false" ht="17.15" hidden="false" customHeight="false" outlineLevel="0" collapsed="false">
      <c r="A1631" s="0" t="s">
        <v>837</v>
      </c>
      <c r="B1631" s="0" t="s">
        <v>98</v>
      </c>
      <c r="F1631" s="6" t="n">
        <f aca="false">MAX(0,capex_floor27-Sens!F1629-Sens!F1630-Sens!F1724)</f>
        <v>8.43777689897088</v>
      </c>
      <c r="L1631" s="1" t="s">
        <v>838</v>
      </c>
    </row>
    <row r="1632" customFormat="false" ht="17.15" hidden="false" customHeight="false" outlineLevel="0" collapsed="false">
      <c r="A1632" s="0" t="s">
        <v>839</v>
      </c>
      <c r="B1632" s="0" t="s">
        <v>98</v>
      </c>
      <c r="C1632" s="6" t="n">
        <f aca="false">Sens!C1629</f>
        <v>22.5333845916667</v>
      </c>
      <c r="D1632" s="6" t="n">
        <f aca="false">Sens!D1629</f>
        <v>34.0300093833333</v>
      </c>
      <c r="E1632" s="6" t="n">
        <f aca="false">Sens!E1629</f>
        <v>67.600153775</v>
      </c>
      <c r="F1632" s="6" t="n">
        <f aca="false">Sens!F1629+Sens!F1631</f>
        <v>139.361048770438</v>
      </c>
      <c r="G1632" s="6" t="n">
        <f aca="false">Sens!G1629</f>
        <v>151.5545564832</v>
      </c>
      <c r="H1632" s="6" t="n">
        <f aca="false">Sens!H1629</f>
        <v>156.0606619104</v>
      </c>
      <c r="I1632" s="6" t="n">
        <f aca="false">Sens!I1629</f>
        <v>140.987889434245</v>
      </c>
      <c r="J1632" s="6" t="n">
        <f aca="false">Sens!J1629</f>
        <v>111.094541278091</v>
      </c>
      <c r="K1632" s="6" t="n">
        <f aca="false">Sens!K1629</f>
        <v>110.842344481936</v>
      </c>
    </row>
    <row r="1633" customFormat="false" ht="17.15" hidden="false" customHeight="false" outlineLevel="0" collapsed="false">
      <c r="A1633" s="0" t="s">
        <v>840</v>
      </c>
      <c r="B1633" s="0" t="s">
        <v>98</v>
      </c>
      <c r="C1633" s="6" t="n">
        <f aca="false">Sens!C1632+Sens!C1630</f>
        <v>28.7416845916667</v>
      </c>
      <c r="D1633" s="6" t="n">
        <f aca="false">Sens!D1632+Sens!D1630</f>
        <v>43.4058093833333</v>
      </c>
      <c r="E1633" s="6" t="n">
        <f aca="false">Sens!E1632+Sens!E1630</f>
        <v>86.225053775</v>
      </c>
      <c r="F1633" s="6" t="n">
        <f aca="false">Sens!F1632+Sens!F1630</f>
        <v>168.770652770438</v>
      </c>
      <c r="G1633" s="6" t="n">
        <f aca="false">Sens!G1632+Sens!G1630</f>
        <v>183.5741804832</v>
      </c>
      <c r="H1633" s="6" t="n">
        <f aca="false">Sens!H1632+Sens!H1630</f>
        <v>188.0802859104</v>
      </c>
      <c r="I1633" s="6" t="n">
        <f aca="false">Sens!I1632+Sens!I1630</f>
        <v>163.706669154245</v>
      </c>
      <c r="J1633" s="6" t="n">
        <f aca="false">Sens!J1632+Sens!J1630</f>
        <v>124.51247671809</v>
      </c>
      <c r="K1633" s="6" t="n">
        <f aca="false">Sens!K1632+Sens!K1630</f>
        <v>114.959435641936</v>
      </c>
      <c r="L1633" s="11" t="s">
        <v>841</v>
      </c>
    </row>
    <row r="1634" customFormat="false" ht="17.15" hidden="false" customHeight="false" outlineLevel="0" collapsed="false">
      <c r="A1634" s="0" t="s">
        <v>842</v>
      </c>
      <c r="B1634" s="0" t="s">
        <v>98</v>
      </c>
      <c r="E1634" s="6" t="n">
        <f aca="false">(Sens!C1632*IF(2&lt;life_it,1,IF(2=life_it,0.5,0))+Sens!D1632*IF(1&lt;life_it,1,IF(1=life_it,0.5,0))+Sens!E1632*0.5)/life_it</f>
        <v>15.0605784770833</v>
      </c>
      <c r="F1634" s="6" t="n">
        <f aca="false">(Sens!C1632*IF(3&lt;life_it,1,IF(3=life_it,0.5,0))+Sens!D1632*IF(2&lt;life_it,1,IF(2=life_it,0.5,0))+Sens!E1632*IF(1&lt;life_it,1,IF(1=life_it,0.5,0))+Sens!F1632*0.5)/life_it</f>
        <v>32.3073453558698</v>
      </c>
      <c r="G1634" s="6" t="n">
        <f aca="false">(Sens!C1632*IF(4&lt;life_it,1,IF(4=life_it,0.5,0))+Sens!D1632*IF(3&lt;life_it,1,IF(3=life_it,0.5,0))+Sens!E1632*IF(2&lt;life_it,1,IF(2=life_it,0.5,0))+Sens!F1632*IF(1&lt;life_it,1,IF(1=life_it,0.5,0))+Sens!G1632*0.5)/life_it</f>
        <v>56.5503124603396</v>
      </c>
      <c r="H1634" s="6" t="n">
        <f aca="false">(Sens!C1632*IF(5&lt;life_it,1,IF(5=life_it,0.5,0))+Sens!D1632*IF(4&lt;life_it,1,IF(4=life_it,0.5,0))+Sens!E1632*IF(3&lt;life_it,1,IF(3=life_it,0.5,0))+Sens!F1632*IF(2&lt;life_it,1,IF(2=life_it,0.5,0))+Sens!G1632*IF(1&lt;life_it,1,IF(1=life_it,0.5,0))+Sens!H1632*0.5)/life_it</f>
        <v>82.1849139931396</v>
      </c>
      <c r="I1634" s="6" t="n">
        <f aca="false">(Sens!C1632*IF(6&lt;life_it,1,IF(6=life_it,0.5,0))+Sens!D1632*IF(5&lt;life_it,1,IF(5=life_it,0.5,0))+Sens!E1632*IF(4&lt;life_it,1,IF(4=life_it,0.5,0))+Sens!F1632*IF(3&lt;life_it,1,IF(3=life_it,0.5,0))+Sens!G1632*IF(2&lt;life_it,1,IF(2=life_it,0.5,0))+Sens!H1632*IF(1&lt;life_it,1,IF(1=life_it,0.5,0))+Sens!I1632*0.5)/life_it</f>
        <v>105.061177889221</v>
      </c>
      <c r="J1634" s="6" t="n">
        <f aca="false">(Sens!C1632*IF(7&lt;life_it,1,IF(7=life_it,0.5,0))+Sens!D1632*IF(6&lt;life_it,1,IF(6=life_it,0.5,0))+Sens!E1632*IF(5&lt;life_it,1,IF(5=life_it,0.5,0))+Sens!F1632*IF(4&lt;life_it,1,IF(4=life_it,0.5,0))+Sens!G1632*IF(3&lt;life_it,1,IF(3=life_it,0.5,0))+Sens!H1632*IF(2&lt;life_it,1,IF(2=life_it,0.5,0))+Sens!I1632*IF(1&lt;life_it,1,IF(1=life_it,0.5,0))+Sens!J1632*0.5)/life_it</f>
        <v>121.354430950666</v>
      </c>
      <c r="K1634" s="6" t="n">
        <f aca="false">(Sens!C1632*IF(8&lt;life_it,1,IF(8=life_it,0.5,0))+Sens!D1632*IF(7&lt;life_it,1,IF(7=life_it,0.5,0))+Sens!E1632*IF(6&lt;life_it,1,IF(6=life_it,0.5,0))+Sens!F1632*IF(5&lt;life_it,1,IF(5=life_it,0.5,0))+Sens!G1632*IF(4&lt;life_it,1,IF(4=life_it,0.5,0))+Sens!H1632*IF(3&lt;life_it,1,IF(3=life_it,0.5,0))+Sens!I1632*IF(2&lt;life_it,1,IF(2=life_it,0.5,0))+Sens!J1632*IF(1&lt;life_it,1,IF(1=life_it,0.5,0))+Sens!K1632*0.5)/life_it</f>
        <v>131.379991167474</v>
      </c>
    </row>
    <row r="1635" customFormat="false" ht="17.15" hidden="false" customHeight="false" outlineLevel="0" collapsed="false">
      <c r="A1635" s="0" t="s">
        <v>843</v>
      </c>
      <c r="B1635" s="0" t="s">
        <v>98</v>
      </c>
      <c r="E1635" s="6" t="n">
        <f aca="false">(Sens!C1630*IF(2&lt;life_fac,1,IF(2=life_fac,0.5,0))+Sens!D1630*IF(1&lt;life_fac,1,IF(1=life_fac,0.5,0))+Sens!E1630*0.5)/life_fac</f>
        <v>1.2448275</v>
      </c>
      <c r="F1635" s="6" t="n">
        <f aca="false">(Sens!C1630*IF(3&lt;life_fac,1,IF(3=life_fac,0.5,0))+Sens!D1630*IF(2&lt;life_fac,1,IF(2=life_fac,0.5,0))+Sens!E1630*IF(1&lt;life_fac,1,IF(1=life_fac,0.5,0))+Sens!F1630*0.5)/life_fac</f>
        <v>2.4456901</v>
      </c>
      <c r="G1635" s="6" t="n">
        <f aca="false">(Sens!C1630*IF(4&lt;life_fac,1,IF(4=life_fac,0.5,0))+Sens!D1630*IF(3&lt;life_fac,1,IF(3=life_fac,0.5,0))+Sens!E1630*IF(2&lt;life_fac,1,IF(2=life_fac,0.5,0))+Sens!F1630*IF(1&lt;life_fac,1,IF(1=life_fac,0.5,0))+Sens!G1630*0.5)/life_fac</f>
        <v>3.9814208</v>
      </c>
      <c r="H1635" s="6" t="n">
        <f aca="false">(Sens!C1630*IF(5&lt;life_fac,1,IF(5=life_fac,0.5,0))+Sens!D1630*IF(4&lt;life_fac,1,IF(4=life_fac,0.5,0))+Sens!E1630*IF(3&lt;life_fac,1,IF(3=life_fac,0.5,0))+Sens!F1630*IF(2&lt;life_fac,1,IF(2=life_fac,0.5,0))+Sens!G1630*IF(1&lt;life_fac,1,IF(1=life_fac,0.5,0))+Sens!H1630*0.5)/life_fac</f>
        <v>5.582402</v>
      </c>
      <c r="I1635" s="6" t="n">
        <f aca="false">(Sens!C1630*IF(6&lt;life_fac,1,IF(6=life_fac,0.5,0))+Sens!D1630*IF(5&lt;life_fac,1,IF(5=life_fac,0.5,0))+Sens!E1630*IF(4&lt;life_fac,1,IF(4=life_fac,0.5,0))+Sens!F1630*IF(3&lt;life_fac,1,IF(3=life_fac,0.5,0))+Sens!G1630*IF(2&lt;life_fac,1,IF(2=life_fac,0.5,0))+Sens!H1630*IF(1&lt;life_fac,1,IF(1=life_fac,0.5,0))+Sens!I1630*0.5)/life_fac</f>
        <v>6.950862093</v>
      </c>
      <c r="J1635" s="6" t="n">
        <f aca="false">(Sens!C1630*IF(7&lt;life_fac,1,IF(7=life_fac,0.5,0))+Sens!D1630*IF(6&lt;life_fac,1,IF(6=life_fac,0.5,0))+Sens!E1630*IF(5&lt;life_fac,1,IF(5=life_fac,0.5,0))+Sens!F1630*IF(4&lt;life_fac,1,IF(4=life_fac,0.5,0))+Sens!G1630*IF(3&lt;life_fac,1,IF(3=life_fac,0.5,0))+Sens!H1630*IF(2&lt;life_fac,1,IF(2=life_fac,0.5,0))+Sens!I1630*IF(1&lt;life_fac,1,IF(1=life_fac,0.5,0))+Sens!J1630*0.5)/life_fac</f>
        <v>7.854279972</v>
      </c>
      <c r="K1635" s="6" t="n">
        <f aca="false">(Sens!C1630*IF(8&lt;life_fac,1,IF(8=life_fac,0.5,0))+Sens!D1630*IF(7&lt;life_fac,1,IF(7=life_fac,0.5,0))+Sens!E1630*IF(6&lt;life_fac,1,IF(6=life_fac,0.5,0))+Sens!F1630*IF(5&lt;life_fac,1,IF(5=life_fac,0.5,0))+Sens!G1630*IF(4&lt;life_fac,1,IF(4=life_fac,0.5,0))+Sens!H1630*IF(3&lt;life_fac,1,IF(3=life_fac,0.5,0))+Sens!I1630*IF(2&lt;life_fac,1,IF(2=life_fac,0.5,0))+Sens!J1630*IF(1&lt;life_fac,1,IF(1=life_fac,0.5,0))+Sens!K1630*0.5)/life_fac</f>
        <v>8.292655637</v>
      </c>
    </row>
    <row r="1636" customFormat="false" ht="17.15" hidden="false" customHeight="false" outlineLevel="0" collapsed="false">
      <c r="A1636" s="0" t="s">
        <v>844</v>
      </c>
      <c r="B1636" s="0" t="s">
        <v>98</v>
      </c>
      <c r="E1636" s="6" t="n">
        <f aca="false">Sens!E1634+Sens!E1635</f>
        <v>16.3054059770833</v>
      </c>
      <c r="F1636" s="6" t="n">
        <f aca="false">Sens!F1634+Sens!F1635</f>
        <v>34.7530354558698</v>
      </c>
      <c r="G1636" s="6" t="n">
        <f aca="false">Sens!G1634+Sens!G1635</f>
        <v>60.5317332603396</v>
      </c>
      <c r="H1636" s="6" t="n">
        <f aca="false">Sens!H1634+Sens!H1635</f>
        <v>87.7673159931396</v>
      </c>
      <c r="I1636" s="6" t="n">
        <f aca="false">Sens!I1634+Sens!I1635</f>
        <v>112.012039982221</v>
      </c>
      <c r="J1636" s="6" t="n">
        <f aca="false">Sens!J1634+Sens!J1635</f>
        <v>129.208710922666</v>
      </c>
      <c r="K1636" s="6" t="n">
        <f aca="false">Sens!K1634+Sens!K1635</f>
        <v>139.672646804474</v>
      </c>
    </row>
    <row r="1637" customFormat="false" ht="17.15" hidden="false" customHeight="false" outlineLevel="0" collapsed="false">
      <c r="A1637" s="0" t="s">
        <v>845</v>
      </c>
      <c r="B1637" s="0" t="s">
        <v>98</v>
      </c>
      <c r="E1637" s="6" t="n">
        <f aca="false">Sens!E1625-Sens!E1624*Sens!E1636</f>
        <v>8.92707889977379</v>
      </c>
      <c r="F1637" s="6" t="n">
        <f aca="false">Sens!F1625-Sens!F1624*Sens!F1636</f>
        <v>21.804810997266</v>
      </c>
      <c r="G1637" s="6" t="n">
        <f aca="false">Sens!G1625-Sens!G1624*Sens!G1636</f>
        <v>27.2036998049635</v>
      </c>
      <c r="H1637" s="6" t="n">
        <f aca="false">Sens!H1625-Sens!H1624*Sens!H1636</f>
        <v>26.8536285957496</v>
      </c>
      <c r="I1637" s="6" t="n">
        <f aca="false">Sens!I1625-Sens!I1624*Sens!I1636</f>
        <v>33.8690009797449</v>
      </c>
      <c r="J1637" s="6" t="n">
        <f aca="false">Sens!J1625-Sens!J1624*Sens!J1636</f>
        <v>38.71812843278</v>
      </c>
      <c r="K1637" s="6" t="n">
        <f aca="false">Sens!K1625-Sens!K1624*Sens!K1636</f>
        <v>42.2263320761478</v>
      </c>
    </row>
    <row r="1638" customFormat="false" ht="17.15" hidden="false" customHeight="false" outlineLevel="0" collapsed="false">
      <c r="A1638" s="3" t="s">
        <v>1275</v>
      </c>
    </row>
    <row r="1639" customFormat="false" ht="15" hidden="false" customHeight="false" outlineLevel="0" collapsed="false">
      <c r="A1639" s="4" t="s">
        <v>43</v>
      </c>
      <c r="B1639" s="4" t="s">
        <v>65</v>
      </c>
      <c r="C1639" s="20" t="s">
        <v>788</v>
      </c>
      <c r="D1639" s="20" t="s">
        <v>789</v>
      </c>
      <c r="E1639" s="20" t="s">
        <v>790</v>
      </c>
      <c r="F1639" s="20" t="s">
        <v>791</v>
      </c>
      <c r="G1639" s="20" t="s">
        <v>792</v>
      </c>
      <c r="H1639" s="20" t="s">
        <v>793</v>
      </c>
      <c r="I1639" s="20" t="s">
        <v>794</v>
      </c>
      <c r="J1639" s="20" t="s">
        <v>795</v>
      </c>
      <c r="K1639" s="20" t="s">
        <v>796</v>
      </c>
      <c r="L1639" s="4" t="s">
        <v>47</v>
      </c>
    </row>
    <row r="1640" customFormat="false" ht="17.15" hidden="false" customHeight="false" outlineLevel="0" collapsed="false">
      <c r="A1640" s="0" t="s">
        <v>864</v>
      </c>
      <c r="B1640" s="0" t="s">
        <v>98</v>
      </c>
      <c r="D1640" s="6" t="n">
        <f aca="false">Sens!D1619</f>
        <v>12.9359794422418</v>
      </c>
      <c r="E1640" s="6" t="n">
        <f aca="false">Sens!E1619</f>
        <v>27.8095064661409</v>
      </c>
      <c r="F1640" s="6" t="n">
        <f aca="false">Sens!F1619</f>
        <v>58.2611980965526</v>
      </c>
      <c r="G1640" s="6" t="n">
        <f aca="false">Sens!G1619</f>
        <v>86.420526522415</v>
      </c>
      <c r="H1640" s="6" t="n">
        <f aca="false">Sens!H1619</f>
        <v>109.130003944648</v>
      </c>
      <c r="I1640" s="6" t="n">
        <f aca="false">Sens!I1619</f>
        <v>136.512094216774</v>
      </c>
      <c r="J1640" s="6" t="n">
        <f aca="false">Sens!J1619</f>
        <v>155.600984192901</v>
      </c>
      <c r="K1640" s="6" t="n">
        <f aca="false">Sens!K1619</f>
        <v>167.492184313842</v>
      </c>
    </row>
    <row r="1641" customFormat="false" ht="17.15" hidden="false" customHeight="false" outlineLevel="0" collapsed="false">
      <c r="A1641" s="0" t="s">
        <v>865</v>
      </c>
      <c r="B1641" s="0" t="s">
        <v>98</v>
      </c>
      <c r="D1641" s="6" t="n">
        <f aca="false">Q!L6-Sens!D1640</f>
        <v>59.6740205577583</v>
      </c>
      <c r="E1641" s="6" t="n">
        <f aca="false">Q!M6-Sens!E1640</f>
        <v>74.1284935338591</v>
      </c>
      <c r="F1641" s="6" t="n">
        <f aca="false">Sens!E1641*(1+Sens!F1642)</f>
        <v>90.0799497373663</v>
      </c>
      <c r="G1641" s="6" t="n">
        <f aca="false">Sens!F1641*(1+Sens!G1642)</f>
        <v>107.02842520331</v>
      </c>
      <c r="H1641" s="6" t="n">
        <f aca="false">Sens!G1641*(1+Sens!H1642)</f>
        <v>124.271982585636</v>
      </c>
      <c r="I1641" s="6" t="n">
        <f aca="false">Sens!H1641*(1+Sens!I1642)</f>
        <v>140.933702381855</v>
      </c>
      <c r="J1641" s="6" t="n">
        <f aca="false">Sens!I1641*(1+Sens!J1642)</f>
        <v>156.018867314332</v>
      </c>
      <c r="K1641" s="6" t="n">
        <f aca="false">Sens!J1641*(1+Sens!K1642)</f>
        <v>168.500376699478</v>
      </c>
    </row>
    <row r="1642" customFormat="false" ht="15" hidden="false" customHeight="false" outlineLevel="0" collapsed="false">
      <c r="A1642" s="1" t="s">
        <v>866</v>
      </c>
      <c r="B1642" s="0" t="s">
        <v>129</v>
      </c>
      <c r="E1642" s="7" t="n">
        <f aca="false">Sens!E1641/Sens!D1641-1</f>
        <v>0.242223883039864</v>
      </c>
      <c r="F1642" s="7" t="n">
        <f aca="false">Sens!$E$1642+(glt_azo-Sens!$E$1642)*MIN(1,(Sens!F1602-base_fy)/n_conv)</f>
        <v>0.215186569199887</v>
      </c>
      <c r="G1642" s="7" t="n">
        <f aca="false">Sens!$E$1642+(glt_azo-Sens!$E$1642)*MIN(1,(Sens!G1602-base_fy)/n_conv)</f>
        <v>0.18814925535991</v>
      </c>
      <c r="H1642" s="7" t="n">
        <f aca="false">Sens!$E$1642+(glt_azo-Sens!$E$1642)*MIN(1,(Sens!H1602-base_fy)/n_conv)</f>
        <v>0.161111941519932</v>
      </c>
      <c r="I1642" s="7" t="n">
        <f aca="false">Sens!$E$1642+(glt_azo-Sens!$E$1642)*MIN(1,(Sens!I1602-base_fy)/n_conv)</f>
        <v>0.134074627679955</v>
      </c>
      <c r="J1642" s="7" t="n">
        <f aca="false">Sens!$E$1642+(glt_azo-Sens!$E$1642)*MIN(1,(Sens!J1602-base_fy)/n_conv)</f>
        <v>0.107037313839977</v>
      </c>
      <c r="K1642" s="7" t="n">
        <f aca="false">Sens!$E$1642+(glt_azo-Sens!$E$1642)*MIN(1,(Sens!K1602-base_fy)/n_conv)</f>
        <v>0.08</v>
      </c>
    </row>
    <row r="1643" customFormat="false" ht="15" hidden="false" customHeight="false" outlineLevel="0" collapsed="false">
      <c r="A1643" s="0" t="s">
        <v>867</v>
      </c>
      <c r="B1643" s="0" t="s">
        <v>98</v>
      </c>
      <c r="D1643" s="6" t="n">
        <f aca="false">Sens!D1640+Sens!D1641</f>
        <v>72.61</v>
      </c>
      <c r="E1643" s="6" t="n">
        <f aca="false">Sens!E1640+Sens!E1641</f>
        <v>101.938</v>
      </c>
      <c r="F1643" s="6" t="n">
        <f aca="false">Sens!F1640+Sens!F1641</f>
        <v>148.341147833919</v>
      </c>
      <c r="G1643" s="6" t="n">
        <f aca="false">Sens!G1640+Sens!G1641</f>
        <v>193.448951725725</v>
      </c>
      <c r="H1643" s="6" t="n">
        <f aca="false">Sens!H1640+Sens!H1641</f>
        <v>233.401986530284</v>
      </c>
      <c r="I1643" s="6" t="n">
        <f aca="false">Sens!I1640+Sens!I1641</f>
        <v>277.445796598629</v>
      </c>
      <c r="J1643" s="6" t="n">
        <f aca="false">Sens!J1640+Sens!J1641</f>
        <v>311.619851507233</v>
      </c>
      <c r="K1643" s="6" t="n">
        <f aca="false">Sens!K1640+Sens!K1641</f>
        <v>335.99256101332</v>
      </c>
    </row>
    <row r="1644" customFormat="false" ht="17.15" hidden="false" customHeight="false" outlineLevel="0" collapsed="false">
      <c r="A1644" s="0" t="s">
        <v>868</v>
      </c>
      <c r="B1644" s="1" t="s">
        <v>521</v>
      </c>
      <c r="C1644" s="29" t="n">
        <f aca="false">cop_s24</f>
        <v>1</v>
      </c>
      <c r="D1644" s="29" t="n">
        <f aca="false">cop_s25</f>
        <v>5</v>
      </c>
      <c r="E1644" s="29" t="n">
        <f aca="false">cop_s26</f>
        <v>30</v>
      </c>
      <c r="F1644" s="29" t="n">
        <f aca="false">Sens!E1644+cop_add_C</f>
        <v>40</v>
      </c>
      <c r="G1644" s="29" t="n">
        <f aca="false">Sens!F1644+cop_add_C</f>
        <v>50</v>
      </c>
      <c r="H1644" s="29" t="n">
        <f aca="false">Sens!G1644+cop_add_C</f>
        <v>60</v>
      </c>
      <c r="I1644" s="29" t="n">
        <f aca="false">Sens!H1644+cop_add_C*cop_tail</f>
        <v>65</v>
      </c>
      <c r="J1644" s="29" t="n">
        <f aca="false">Sens!I1644+cop_add_C*cop_tail</f>
        <v>70</v>
      </c>
      <c r="K1644" s="29" t="n">
        <f aca="false">Sens!J1644+cop_add_C*cop_tail</f>
        <v>75</v>
      </c>
      <c r="L1644" s="11" t="s">
        <v>869</v>
      </c>
    </row>
    <row r="1645" customFormat="false" ht="17.15" hidden="false" customHeight="false" outlineLevel="0" collapsed="false">
      <c r="A1645" s="0" t="s">
        <v>870</v>
      </c>
      <c r="B1645" s="0" t="s">
        <v>98</v>
      </c>
      <c r="D1645" s="6" t="n">
        <f aca="false">(Sens!C1644+Sens!D1644)/2*cop_px*12/1000</f>
        <v>0.9</v>
      </c>
      <c r="E1645" s="6" t="n">
        <f aca="false">(Sens!D1644+Sens!E1644)/2*cop_px*12/1000</f>
        <v>5.25</v>
      </c>
      <c r="F1645" s="6" t="n">
        <f aca="false">(Sens!E1644+Sens!F1644)/2*cop_px*12/1000</f>
        <v>10.5</v>
      </c>
      <c r="G1645" s="6" t="n">
        <f aca="false">(Sens!F1644+Sens!G1644)/2*cop_px*12/1000</f>
        <v>13.5</v>
      </c>
      <c r="H1645" s="6" t="n">
        <f aca="false">(Sens!G1644+Sens!H1644)/2*cop_px*12/1000</f>
        <v>16.5</v>
      </c>
      <c r="I1645" s="6" t="n">
        <f aca="false">(Sens!H1644+Sens!I1644)/2*cop_px*12/1000</f>
        <v>18.75</v>
      </c>
      <c r="J1645" s="6" t="n">
        <f aca="false">(Sens!I1644+Sens!J1644)/2*cop_px*12/1000</f>
        <v>20.25</v>
      </c>
      <c r="K1645" s="6" t="n">
        <f aca="false">(Sens!J1644+Sens!K1644)/2*cop_px*12/1000</f>
        <v>21.75</v>
      </c>
      <c r="L1645" s="1" t="s">
        <v>871</v>
      </c>
    </row>
    <row r="1646" customFormat="false" ht="17.15" hidden="false" customHeight="false" outlineLevel="0" collapsed="false">
      <c r="A1646" s="0" t="s">
        <v>872</v>
      </c>
      <c r="B1646" s="0" t="s">
        <v>98</v>
      </c>
      <c r="D1646" s="6" t="n">
        <f aca="false">Q!L7-Sens!D1645</f>
        <v>83.705</v>
      </c>
      <c r="E1646" s="6" t="n">
        <f aca="false">Q!M7-Sens!E1645</f>
        <v>95.049</v>
      </c>
      <c r="F1646" s="6" t="n">
        <f aca="false">Sens!E1646*(1+Sens!F1647)</f>
        <v>106.89238776686</v>
      </c>
      <c r="G1646" s="6" t="n">
        <f aca="false">Sens!F1646*(1+Sens!G1647)</f>
        <v>119.044168448684</v>
      </c>
      <c r="H1646" s="6" t="n">
        <f aca="false">Sens!G1646*(1+Sens!H1647)</f>
        <v>131.277359388781</v>
      </c>
      <c r="I1646" s="6" t="n">
        <f aca="false">Sens!H1646*(1+Sens!I1647)</f>
        <v>143.334028071957</v>
      </c>
      <c r="J1646" s="6" t="n">
        <f aca="false">Sens!I1646*(1+Sens!J1647)</f>
        <v>154.932702785465</v>
      </c>
      <c r="K1646" s="6" t="n">
        <f aca="false">Sens!J1646*(1+Sens!K1647)</f>
        <v>165.777991980448</v>
      </c>
    </row>
    <row r="1647" customFormat="false" ht="15" hidden="false" customHeight="false" outlineLevel="0" collapsed="false">
      <c r="A1647" s="1" t="s">
        <v>866</v>
      </c>
      <c r="B1647" s="0" t="s">
        <v>129</v>
      </c>
      <c r="E1647" s="7" t="n">
        <f aca="false">Sens!E1646/Sens!D1646-1</f>
        <v>0.135523564900544</v>
      </c>
      <c r="F1647" s="7" t="n">
        <f aca="false">Sens!$E$1647+(glt_m365b-Sens!$E$1647)*MIN(1,(Sens!F1602-base_fy)/n_conv)</f>
        <v>0.124602970750453</v>
      </c>
      <c r="G1647" s="7" t="n">
        <f aca="false">Sens!$E$1647+(glt_m365b-Sens!$E$1647)*MIN(1,(Sens!G1602-base_fy)/n_conv)</f>
        <v>0.113682376600363</v>
      </c>
      <c r="H1647" s="7" t="n">
        <f aca="false">Sens!$E$1647+(glt_m365b-Sens!$E$1647)*MIN(1,(Sens!H1602-base_fy)/n_conv)</f>
        <v>0.102761782450272</v>
      </c>
      <c r="I1647" s="7" t="n">
        <f aca="false">Sens!$E$1647+(glt_m365b-Sens!$E$1647)*MIN(1,(Sens!I1602-base_fy)/n_conv)</f>
        <v>0.0918411883001813</v>
      </c>
      <c r="J1647" s="7" t="n">
        <f aca="false">Sens!$E$1647+(glt_m365b-Sens!$E$1647)*MIN(1,(Sens!J1602-base_fy)/n_conv)</f>
        <v>0.0809205941500906</v>
      </c>
      <c r="K1647" s="7" t="n">
        <f aca="false">Sens!$E$1647+(glt_m365b-Sens!$E$1647)*MIN(1,(Sens!K1602-base_fy)/n_conv)</f>
        <v>0.07</v>
      </c>
    </row>
    <row r="1648" customFormat="false" ht="15" hidden="false" customHeight="false" outlineLevel="0" collapsed="false">
      <c r="A1648" s="0" t="s">
        <v>873</v>
      </c>
      <c r="B1648" s="0" t="s">
        <v>98</v>
      </c>
      <c r="D1648" s="6" t="n">
        <f aca="false">Sens!D1646+Sens!D1645</f>
        <v>84.605</v>
      </c>
      <c r="E1648" s="6" t="n">
        <f aca="false">Sens!E1646+Sens!E1645</f>
        <v>100.299</v>
      </c>
      <c r="F1648" s="6" t="n">
        <f aca="false">Sens!F1646+Sens!F1645</f>
        <v>117.39238776686</v>
      </c>
      <c r="G1648" s="6" t="n">
        <f aca="false">Sens!G1646+Sens!G1645</f>
        <v>132.544168448684</v>
      </c>
      <c r="H1648" s="6" t="n">
        <f aca="false">Sens!H1646+Sens!H1645</f>
        <v>147.777359388781</v>
      </c>
      <c r="I1648" s="6" t="n">
        <f aca="false">Sens!I1646+Sens!I1645</f>
        <v>162.084028071957</v>
      </c>
      <c r="J1648" s="6" t="n">
        <f aca="false">Sens!J1646+Sens!J1645</f>
        <v>175.182702785465</v>
      </c>
      <c r="K1648" s="6" t="n">
        <f aca="false">Sens!K1646+Sens!K1645</f>
        <v>187.527991980448</v>
      </c>
    </row>
    <row r="1649" customFormat="false" ht="15" hidden="false" customHeight="false" outlineLevel="0" collapsed="false">
      <c r="A1649" s="0" t="s">
        <v>874</v>
      </c>
      <c r="B1649" s="0" t="s">
        <v>98</v>
      </c>
      <c r="D1649" s="6" t="n">
        <f aca="false">Q!L8</f>
        <v>35.391</v>
      </c>
      <c r="E1649" s="6" t="n">
        <f aca="false">Q!M8</f>
        <v>37.285</v>
      </c>
      <c r="F1649" s="6" t="n">
        <f aca="false">Sens!E1649*(1+Sens!F1650)</f>
        <v>39.0720834331704</v>
      </c>
      <c r="G1649" s="6" t="n">
        <f aca="false">Sens!F1649*(1+Sens!G1650)</f>
        <v>40.726562953769</v>
      </c>
      <c r="H1649" s="6" t="n">
        <f aca="false">Sens!G1649*(1+Sens!H1650)</f>
        <v>42.2235987259198</v>
      </c>
      <c r="I1649" s="6" t="n">
        <f aca="false">Sens!H1649*(1+Sens!I1650)</f>
        <v>43.5397988077414</v>
      </c>
      <c r="J1649" s="6" t="n">
        <f aca="false">Sens!I1649*(1+Sens!J1650)</f>
        <v>44.653811225693</v>
      </c>
      <c r="K1649" s="6" t="n">
        <f aca="false">Sens!J1649*(1+Sens!K1650)</f>
        <v>45.5468874502068</v>
      </c>
    </row>
    <row r="1650" customFormat="false" ht="15" hidden="false" customHeight="false" outlineLevel="0" collapsed="false">
      <c r="A1650" s="1" t="s">
        <v>866</v>
      </c>
      <c r="B1650" s="0" t="s">
        <v>129</v>
      </c>
      <c r="E1650" s="7" t="n">
        <f aca="false">Sens!E1649/Sens!D1649-1</f>
        <v>0.0535164307309768</v>
      </c>
      <c r="F1650" s="7" t="n">
        <f aca="false">Sens!$E$1650+(glt_lic-Sens!$E$1650)*MIN(1,(Sens!F1602-base_fy)/n_conv)</f>
        <v>0.0479303589424807</v>
      </c>
      <c r="G1650" s="7" t="n">
        <f aca="false">Sens!$E$1650+(glt_lic-Sens!$E$1650)*MIN(1,(Sens!G1602-base_fy)/n_conv)</f>
        <v>0.0423442871539845</v>
      </c>
      <c r="H1650" s="7" t="n">
        <f aca="false">Sens!$E$1650+(glt_lic-Sens!$E$1650)*MIN(1,(Sens!H1602-base_fy)/n_conv)</f>
        <v>0.0367582153654884</v>
      </c>
      <c r="I1650" s="7" t="n">
        <f aca="false">Sens!$E$1650+(glt_lic-Sens!$E$1650)*MIN(1,(Sens!I1602-base_fy)/n_conv)</f>
        <v>0.0311721435769923</v>
      </c>
      <c r="J1650" s="7" t="n">
        <f aca="false">Sens!$E$1650+(glt_lic-Sens!$E$1650)*MIN(1,(Sens!J1602-base_fy)/n_conv)</f>
        <v>0.0255860717884961</v>
      </c>
      <c r="K1650" s="7" t="n">
        <f aca="false">Sens!$E$1650+(glt_lic-Sens!$E$1650)*MIN(1,(Sens!K1602-base_fy)/n_conv)</f>
        <v>0.02</v>
      </c>
    </row>
    <row r="1651" customFormat="false" ht="15" hidden="false" customHeight="false" outlineLevel="0" collapsed="false">
      <c r="A1651" s="0" t="s">
        <v>875</v>
      </c>
      <c r="B1651" s="0" t="s">
        <v>98</v>
      </c>
      <c r="D1651" s="6" t="n">
        <f aca="false">Q!L9</f>
        <v>18.417</v>
      </c>
      <c r="E1651" s="6" t="n">
        <f aca="false">Q!M9</f>
        <v>20.345</v>
      </c>
      <c r="F1651" s="6" t="n">
        <f aca="false">Sens!E1651*(1+Sens!F1652)</f>
        <v>22.3572203267814</v>
      </c>
      <c r="G1651" s="6" t="n">
        <f aca="false">Sens!F1651*(1+Sens!G1652)</f>
        <v>24.4392124437232</v>
      </c>
      <c r="H1651" s="6" t="n">
        <f aca="false">Sens!G1651*(1+Sens!H1652)</f>
        <v>26.5738052080665</v>
      </c>
      <c r="I1651" s="6" t="n">
        <f aca="false">Sens!H1651*(1+Sens!I1652)</f>
        <v>28.7412169166967</v>
      </c>
      <c r="J1651" s="6" t="n">
        <f aca="false">Sens!I1651*(1+Sens!J1652)</f>
        <v>30.9192545395413</v>
      </c>
      <c r="K1651" s="6" t="n">
        <f aca="false">Sens!J1651*(1+Sens!K1652)</f>
        <v>33.0836023573092</v>
      </c>
    </row>
    <row r="1652" customFormat="false" ht="15" hidden="false" customHeight="false" outlineLevel="0" collapsed="false">
      <c r="A1652" s="1" t="s">
        <v>866</v>
      </c>
      <c r="B1652" s="0" t="s">
        <v>129</v>
      </c>
      <c r="E1652" s="7" t="n">
        <f aca="false">Sens!E1651/Sens!D1651-1</f>
        <v>0.104685888038225</v>
      </c>
      <c r="F1652" s="7" t="n">
        <f aca="false">Sens!$E$1652+(glt_ind-Sens!$E$1652)*MIN(1,(Sens!F1602-base_fy)/n_conv)</f>
        <v>0.0989049066985211</v>
      </c>
      <c r="G1652" s="7" t="n">
        <f aca="false">Sens!$E$1652+(glt_ind-Sens!$E$1652)*MIN(1,(Sens!G1602-base_fy)/n_conv)</f>
        <v>0.0931239253588169</v>
      </c>
      <c r="H1652" s="7" t="n">
        <f aca="false">Sens!$E$1652+(glt_ind-Sens!$E$1652)*MIN(1,(Sens!H1602-base_fy)/n_conv)</f>
        <v>0.0873429440191127</v>
      </c>
      <c r="I1652" s="7" t="n">
        <f aca="false">Sens!$E$1652+(glt_ind-Sens!$E$1652)*MIN(1,(Sens!I1602-base_fy)/n_conv)</f>
        <v>0.0815619626794085</v>
      </c>
      <c r="J1652" s="7" t="n">
        <f aca="false">Sens!$E$1652+(glt_ind-Sens!$E$1652)*MIN(1,(Sens!J1602-base_fy)/n_conv)</f>
        <v>0.0757809813397042</v>
      </c>
      <c r="K1652" s="7" t="n">
        <f aca="false">Sens!$E$1652+(glt_ind-Sens!$E$1652)*MIN(1,(Sens!K1602-base_fy)/n_conv)</f>
        <v>0.07</v>
      </c>
    </row>
    <row r="1653" customFormat="false" ht="15" hidden="false" customHeight="false" outlineLevel="0" collapsed="false">
      <c r="A1653" s="0" t="s">
        <v>876</v>
      </c>
      <c r="B1653" s="0" t="s">
        <v>98</v>
      </c>
      <c r="D1653" s="6" t="n">
        <f aca="false">Q!L10</f>
        <v>7.76</v>
      </c>
      <c r="E1653" s="6" t="n">
        <f aca="false">Q!M10</f>
        <v>8.26</v>
      </c>
      <c r="F1653" s="6" t="n">
        <f aca="false">Sens!E1653*(1+Sens!F1654)</f>
        <v>8.79988041237113</v>
      </c>
      <c r="G1653" s="6" t="n">
        <f aca="false">Sens!F1653*(1+Sens!G1654)</f>
        <v>9.38321269125306</v>
      </c>
      <c r="H1653" s="6" t="n">
        <f aca="false">Sens!G1653*(1+Sens!H1654)</f>
        <v>10.0139193587476</v>
      </c>
      <c r="I1653" s="6" t="n">
        <f aca="false">Sens!H1653*(1+Sens!I1654)</f>
        <v>10.6963111830911</v>
      </c>
      <c r="J1653" s="6" t="n">
        <f aca="false">Sens!I1653*(1+Sens!J1654)</f>
        <v>11.4351285534696</v>
      </c>
      <c r="K1653" s="6" t="n">
        <f aca="false">Sens!J1653*(1+Sens!K1654)</f>
        <v>12.2355875522124</v>
      </c>
    </row>
    <row r="1654" customFormat="false" ht="15" hidden="false" customHeight="false" outlineLevel="0" collapsed="false">
      <c r="A1654" s="1" t="s">
        <v>866</v>
      </c>
      <c r="B1654" s="0" t="s">
        <v>129</v>
      </c>
      <c r="E1654" s="7" t="n">
        <f aca="false">Sens!E1653/Sens!D1653-1</f>
        <v>0.0644329896907216</v>
      </c>
      <c r="F1654" s="7" t="n">
        <f aca="false">Sens!$E$1654+(glt_fro-Sens!$E$1654)*MIN(1,(Sens!F1602-base_fy)/n_conv)</f>
        <v>0.065360824742268</v>
      </c>
      <c r="G1654" s="7" t="n">
        <f aca="false">Sens!$E$1654+(glt_fro-Sens!$E$1654)*MIN(1,(Sens!G1602-base_fy)/n_conv)</f>
        <v>0.0662886597938144</v>
      </c>
      <c r="H1654" s="7" t="n">
        <f aca="false">Sens!$E$1654+(glt_fro-Sens!$E$1654)*MIN(1,(Sens!H1602-base_fy)/n_conv)</f>
        <v>0.0672164948453608</v>
      </c>
      <c r="I1654" s="7" t="n">
        <f aca="false">Sens!$E$1654+(glt_fro-Sens!$E$1654)*MIN(1,(Sens!I1602-base_fy)/n_conv)</f>
        <v>0.0681443298969072</v>
      </c>
      <c r="J1654" s="7" t="n">
        <f aca="false">Sens!$E$1654+(glt_fro-Sens!$E$1654)*MIN(1,(Sens!J1602-base_fy)/n_conv)</f>
        <v>0.0690721649484536</v>
      </c>
      <c r="K1654" s="7" t="n">
        <f aca="false">Sens!$E$1654+(glt_fro-Sens!$E$1654)*MIN(1,(Sens!K1602-base_fy)/n_conv)</f>
        <v>0.07</v>
      </c>
    </row>
    <row r="1655" customFormat="false" ht="15" hidden="false" customHeight="false" outlineLevel="0" collapsed="false">
      <c r="A1655" s="0" t="s">
        <v>704</v>
      </c>
      <c r="B1655" s="0" t="s">
        <v>98</v>
      </c>
      <c r="D1655" s="6" t="n">
        <f aca="false">Sens!D1643+Sens!D1648+Sens!D1649+Sens!D1651+Sens!D1653</f>
        <v>218.783</v>
      </c>
      <c r="E1655" s="6" t="n">
        <f aca="false">Sens!E1643+Sens!E1648+Sens!E1649+Sens!E1651+Sens!E1653</f>
        <v>268.127</v>
      </c>
      <c r="F1655" s="6" t="n">
        <f aca="false">Sens!F1643+Sens!F1648+Sens!F1649+Sens!F1651+Sens!F1653</f>
        <v>335.962719773102</v>
      </c>
      <c r="G1655" s="6" t="n">
        <f aca="false">Sens!G1643+Sens!G1648+Sens!G1649+Sens!G1651+Sens!G1653</f>
        <v>400.542108263154</v>
      </c>
      <c r="H1655" s="6" t="n">
        <f aca="false">Sens!H1643+Sens!H1648+Sens!H1649+Sens!H1651+Sens!H1653</f>
        <v>459.990669211799</v>
      </c>
      <c r="I1655" s="6" t="n">
        <f aca="false">Sens!I1643+Sens!I1648+Sens!I1649+Sens!I1651+Sens!I1653</f>
        <v>522.507151578115</v>
      </c>
      <c r="J1655" s="6" t="n">
        <f aca="false">Sens!J1643+Sens!J1648+Sens!J1649+Sens!J1651+Sens!J1653</f>
        <v>573.810748611402</v>
      </c>
      <c r="K1655" s="6" t="n">
        <f aca="false">Sens!K1643+Sens!K1648+Sens!K1649+Sens!K1651+Sens!K1653</f>
        <v>614.386630353496</v>
      </c>
    </row>
    <row r="1656" customFormat="false" ht="15" hidden="false" customHeight="false" outlineLevel="0" collapsed="false">
      <c r="A1656" s="0" t="s">
        <v>877</v>
      </c>
      <c r="B1656" s="0" t="s">
        <v>98</v>
      </c>
      <c r="D1656" s="6" t="n">
        <f aca="false">Q!L13</f>
        <v>22.171</v>
      </c>
      <c r="E1656" s="6" t="n">
        <f aca="false">Q!M13</f>
        <v>24.835</v>
      </c>
      <c r="F1656" s="6" t="n">
        <f aca="false">Sens!E1656*(1+Sens!F1657)</f>
        <v>27.6114901218559</v>
      </c>
      <c r="G1656" s="6" t="n">
        <f aca="false">Sens!F1656*(1+Sens!G1657)</f>
        <v>30.4675667338515</v>
      </c>
      <c r="H1656" s="6" t="n">
        <f aca="false">Sens!G1656*(1+Sens!H1657)</f>
        <v>33.3643766955789</v>
      </c>
      <c r="I1656" s="6" t="n">
        <f aca="false">Sens!H1656*(1+Sens!I1657)</f>
        <v>36.2577016533691</v>
      </c>
      <c r="J1656" s="6" t="n">
        <f aca="false">Sens!I1656*(1+Sens!J1657)</f>
        <v>39.0988367952171</v>
      </c>
      <c r="K1656" s="6" t="n">
        <f aca="false">Sens!J1656*(1+Sens!K1657)</f>
        <v>41.8357553708823</v>
      </c>
    </row>
    <row r="1657" customFormat="false" ht="15" hidden="false" customHeight="false" outlineLevel="0" collapsed="false">
      <c r="A1657" s="1" t="s">
        <v>866</v>
      </c>
      <c r="B1657" s="0" t="s">
        <v>129</v>
      </c>
      <c r="E1657" s="7" t="n">
        <f aca="false">Sens!E1656/Sens!D1656-1</f>
        <v>0.120156961796942</v>
      </c>
      <c r="F1657" s="7" t="n">
        <f aca="false">Sens!$E$1657+(glt_srch-Sens!$E$1657)*MIN(1,(Sens!F1602-base_fy)/n_conv)</f>
        <v>0.111797468164118</v>
      </c>
      <c r="G1657" s="7" t="n">
        <f aca="false">Sens!$E$1657+(glt_srch-Sens!$E$1657)*MIN(1,(Sens!G1602-base_fy)/n_conv)</f>
        <v>0.103437974531295</v>
      </c>
      <c r="H1657" s="7" t="n">
        <f aca="false">Sens!$E$1657+(glt_srch-Sens!$E$1657)*MIN(1,(Sens!H1602-base_fy)/n_conv)</f>
        <v>0.095078480898471</v>
      </c>
      <c r="I1657" s="7" t="n">
        <f aca="false">Sens!$E$1657+(glt_srch-Sens!$E$1657)*MIN(1,(Sens!I1602-base_fy)/n_conv)</f>
        <v>0.0867189872656474</v>
      </c>
      <c r="J1657" s="7" t="n">
        <f aca="false">Sens!$E$1657+(glt_srch-Sens!$E$1657)*MIN(1,(Sens!J1602-base_fy)/n_conv)</f>
        <v>0.0783594936328237</v>
      </c>
      <c r="K1657" s="7" t="n">
        <f aca="false">Sens!$E$1657+(glt_srch-Sens!$E$1657)*MIN(1,(Sens!K1602-base_fy)/n_conv)</f>
        <v>0.07</v>
      </c>
    </row>
    <row r="1658" customFormat="false" ht="15" hidden="false" customHeight="false" outlineLevel="0" collapsed="false">
      <c r="A1658" s="0" t="s">
        <v>878</v>
      </c>
      <c r="B1658" s="0" t="s">
        <v>98</v>
      </c>
      <c r="D1658" s="6" t="n">
        <f aca="false">Q!L14</f>
        <v>23.455</v>
      </c>
      <c r="E1658" s="6" t="n">
        <f aca="false">Q!M14</f>
        <v>21.79</v>
      </c>
      <c r="F1658" s="6" t="n">
        <f aca="false">Sens!E1658*(1+Sens!F1659)</f>
        <v>20.5736277908051</v>
      </c>
      <c r="G1658" s="6" t="n">
        <f aca="false">Sens!F1658*(1+Sens!G1659)</f>
        <v>19.7371452817919</v>
      </c>
      <c r="H1658" s="6" t="n">
        <f aca="false">Sens!G1658*(1+Sens!H1659)</f>
        <v>19.2339764043138</v>
      </c>
      <c r="I1658" s="6" t="n">
        <f aca="false">Sens!H1658*(1+Sens!I1659)</f>
        <v>19.0353086852681</v>
      </c>
      <c r="J1658" s="6" t="n">
        <f aca="false">Sens!I1658*(1+Sens!J1659)</f>
        <v>19.1273539319129</v>
      </c>
      <c r="K1658" s="6" t="n">
        <f aca="false">Sens!J1658*(1+Sens!K1659)</f>
        <v>19.5099010105511</v>
      </c>
    </row>
    <row r="1659" customFormat="false" ht="15" hidden="false" customHeight="false" outlineLevel="0" collapsed="false">
      <c r="A1659" s="1" t="s">
        <v>866</v>
      </c>
      <c r="B1659" s="0" t="s">
        <v>129</v>
      </c>
      <c r="E1659" s="7" t="n">
        <f aca="false">Sens!E1658/Sens!D1658-1</f>
        <v>-0.0709869963760392</v>
      </c>
      <c r="F1659" s="7" t="n">
        <f aca="false">Sens!$E$1659+(glt_xbox-Sens!$E$1659)*MIN(1,(Sens!F1602-base_fy)/n_conv)</f>
        <v>-0.0558224969800327</v>
      </c>
      <c r="G1659" s="7" t="n">
        <f aca="false">Sens!$E$1659+(glt_xbox-Sens!$E$1659)*MIN(1,(Sens!G1602-base_fy)/n_conv)</f>
        <v>-0.0406579975840262</v>
      </c>
      <c r="H1659" s="7" t="n">
        <f aca="false">Sens!$E$1659+(glt_xbox-Sens!$E$1659)*MIN(1,(Sens!H1602-base_fy)/n_conv)</f>
        <v>-0.0254934981880196</v>
      </c>
      <c r="I1659" s="7" t="n">
        <f aca="false">Sens!$E$1659+(glt_xbox-Sens!$E$1659)*MIN(1,(Sens!I1602-base_fy)/n_conv)</f>
        <v>-0.0103289987920131</v>
      </c>
      <c r="J1659" s="7" t="n">
        <f aca="false">Sens!$E$1659+(glt_xbox-Sens!$E$1659)*MIN(1,(Sens!J1602-base_fy)/n_conv)</f>
        <v>0.00483550060399347</v>
      </c>
      <c r="K1659" s="7" t="n">
        <f aca="false">Sens!$E$1659+(glt_xbox-Sens!$E$1659)*MIN(1,(Sens!K1602-base_fy)/n_conv)</f>
        <v>0.02</v>
      </c>
    </row>
    <row r="1660" customFormat="false" ht="15" hidden="false" customHeight="false" outlineLevel="0" collapsed="false">
      <c r="A1660" s="0" t="s">
        <v>879</v>
      </c>
      <c r="B1660" s="0" t="s">
        <v>98</v>
      </c>
      <c r="D1660" s="6" t="n">
        <f aca="false">Q!L15</f>
        <v>17.315</v>
      </c>
      <c r="E1660" s="6" t="n">
        <f aca="false">Q!M15</f>
        <v>17.087</v>
      </c>
      <c r="F1660" s="6" t="n">
        <f aca="false">Sens!E1660*(1+Sens!F1661)</f>
        <v>16.9564585436519</v>
      </c>
      <c r="G1660" s="6" t="n">
        <f aca="false">Sens!F1660*(1+Sens!G1661)</f>
        <v>16.9206490624268</v>
      </c>
      <c r="H1660" s="6" t="n">
        <f aca="false">Sens!G1660*(1+Sens!H1661)</f>
        <v>16.9784519149849</v>
      </c>
      <c r="I1660" s="6" t="n">
        <f aca="false">Sens!H1660*(1+Sens!I1661)</f>
        <v>17.1303084701817</v>
      </c>
      <c r="J1660" s="6" t="n">
        <f aca="false">Sens!I1660*(1+Sens!J1661)</f>
        <v>17.3782189407267</v>
      </c>
      <c r="K1660" s="6" t="n">
        <f aca="false">Sens!J1660*(1+Sens!K1661)</f>
        <v>17.7257833195413</v>
      </c>
    </row>
    <row r="1661" customFormat="false" ht="15" hidden="false" customHeight="false" outlineLevel="0" collapsed="false">
      <c r="A1661" s="1" t="s">
        <v>866</v>
      </c>
      <c r="B1661" s="0" t="s">
        <v>129</v>
      </c>
      <c r="E1661" s="7" t="n">
        <f aca="false">Sens!E1660/Sens!D1660-1</f>
        <v>-0.0131677736066995</v>
      </c>
      <c r="F1661" s="7" t="n">
        <f aca="false">Sens!$E$1661+(glt_win-Sens!$E$1661)*MIN(1,(Sens!F1602-base_fy)/n_conv)</f>
        <v>-0.00763981133891627</v>
      </c>
      <c r="G1661" s="7" t="n">
        <f aca="false">Sens!$E$1661+(glt_win-Sens!$E$1661)*MIN(1,(Sens!G1602-base_fy)/n_conv)</f>
        <v>-0.00211184907113301</v>
      </c>
      <c r="H1661" s="7" t="n">
        <f aca="false">Sens!$E$1661+(glt_win-Sens!$E$1661)*MIN(1,(Sens!H1602-base_fy)/n_conv)</f>
        <v>0.00341611319665024</v>
      </c>
      <c r="I1661" s="7" t="n">
        <f aca="false">Sens!$E$1661+(glt_win-Sens!$E$1661)*MIN(1,(Sens!I1602-base_fy)/n_conv)</f>
        <v>0.00894407546443349</v>
      </c>
      <c r="J1661" s="7" t="n">
        <f aca="false">Sens!$E$1661+(glt_win-Sens!$E$1661)*MIN(1,(Sens!J1602-base_fy)/n_conv)</f>
        <v>0.0144720377322168</v>
      </c>
      <c r="K1661" s="7" t="n">
        <f aca="false">Sens!$E$1661+(glt_win-Sens!$E$1661)*MIN(1,(Sens!K1602-base_fy)/n_conv)</f>
        <v>0.02</v>
      </c>
    </row>
    <row r="1662" customFormat="false" ht="15" hidden="false" customHeight="false" outlineLevel="0" collapsed="false">
      <c r="A1662" s="0" t="s">
        <v>718</v>
      </c>
      <c r="B1662" s="0" t="s">
        <v>98</v>
      </c>
      <c r="D1662" s="6" t="n">
        <f aca="false">Sens!D1656+Sens!D1658+Sens!D1660</f>
        <v>62.941</v>
      </c>
      <c r="E1662" s="6" t="n">
        <f aca="false">Sens!E1656+Sens!E1658+Sens!E1660</f>
        <v>63.712</v>
      </c>
      <c r="F1662" s="6" t="n">
        <f aca="false">Sens!F1656+Sens!F1658+Sens!F1660</f>
        <v>65.1415764563129</v>
      </c>
      <c r="G1662" s="6" t="n">
        <f aca="false">Sens!G1656+Sens!G1658+Sens!G1660</f>
        <v>67.1253610780702</v>
      </c>
      <c r="H1662" s="6" t="n">
        <f aca="false">Sens!H1656+Sens!H1658+Sens!H1660</f>
        <v>69.5768050148776</v>
      </c>
      <c r="I1662" s="6" t="n">
        <f aca="false">Sens!I1656+Sens!I1658+Sens!I1660</f>
        <v>72.4233188088189</v>
      </c>
      <c r="J1662" s="6" t="n">
        <f aca="false">Sens!J1656+Sens!J1658+Sens!J1660</f>
        <v>75.6044096678567</v>
      </c>
      <c r="K1662" s="6" t="n">
        <f aca="false">Sens!K1656+Sens!K1658+Sens!K1660</f>
        <v>79.0714397009747</v>
      </c>
    </row>
    <row r="1663" customFormat="false" ht="15" hidden="false" customHeight="false" outlineLevel="0" collapsed="false">
      <c r="A1663" s="1" t="s">
        <v>880</v>
      </c>
      <c r="B1663" s="0" t="s">
        <v>98</v>
      </c>
      <c r="D1663" s="6" t="n">
        <f aca="false">Sens!D1655+Sens!D1662</f>
        <v>281.724</v>
      </c>
      <c r="E1663" s="6" t="n">
        <f aca="false">Sens!E1655+Sens!E1662</f>
        <v>331.839</v>
      </c>
      <c r="F1663" s="6" t="n">
        <f aca="false">Sens!F1655+Sens!F1662</f>
        <v>401.104296229415</v>
      </c>
      <c r="G1663" s="6" t="n">
        <f aca="false">Sens!G1655+Sens!G1662</f>
        <v>467.667469341224</v>
      </c>
      <c r="H1663" s="6" t="n">
        <f aca="false">Sens!H1655+Sens!H1662</f>
        <v>529.567474226677</v>
      </c>
      <c r="I1663" s="6" t="n">
        <f aca="false">Sens!I1655+Sens!I1662</f>
        <v>594.930470386934</v>
      </c>
      <c r="J1663" s="6" t="n">
        <f aca="false">Sens!J1655+Sens!J1662</f>
        <v>649.415158279259</v>
      </c>
      <c r="K1663" s="6" t="n">
        <f aca="false">Sens!K1655+Sens!K1662</f>
        <v>693.458070054471</v>
      </c>
    </row>
    <row r="1664" customFormat="false" ht="15" hidden="false" customHeight="false" outlineLevel="0" collapsed="false">
      <c r="A1664" s="23" t="s">
        <v>881</v>
      </c>
      <c r="B1664" s="30" t="s">
        <v>98</v>
      </c>
      <c r="C1664" s="30"/>
      <c r="D1664" s="24" t="n">
        <f aca="false">(Sens!D1643+Sens!D1648+Sens!D1649+Sens!D1651+Sens!D1653-Sens!D1655)+(Sens!D1656+Sens!D1658+Sens!D1660-Sens!D1662)+(Sens!D1655-Q!L5)+(Sens!D1662-Q!L12)+(Sens!D1643-Q!L6)+(Sens!D1648-Q!L7)</f>
        <v>0</v>
      </c>
      <c r="E1664" s="24" t="n">
        <f aca="false">(Sens!E1643+Sens!E1648+Sens!E1649+Sens!E1651+Sens!E1653-Sens!E1655)+(Sens!E1656+Sens!E1658+Sens!E1660-Sens!E1662)+(Sens!E1655-Q!M5)+(Sens!E1662-Q!M12)+(Sens!E1643-Q!M6)+(Sens!E1648-Q!M7)</f>
        <v>0</v>
      </c>
      <c r="F1664" s="24" t="n">
        <f aca="false">(Sens!F1643+Sens!F1648+Sens!F1649+Sens!F1651+Sens!F1653-Sens!F1655)+(Sens!F1656+Sens!F1658+Sens!F1660-Sens!F1662)</f>
        <v>0</v>
      </c>
      <c r="G1664" s="24" t="n">
        <f aca="false">(Sens!G1643+Sens!G1648+Sens!G1649+Sens!G1651+Sens!G1653-Sens!G1655)+(Sens!G1656+Sens!G1658+Sens!G1660-Sens!G1662)</f>
        <v>0</v>
      </c>
      <c r="H1664" s="24" t="n">
        <f aca="false">(Sens!H1643+Sens!H1648+Sens!H1649+Sens!H1651+Sens!H1653-Sens!H1655)+(Sens!H1656+Sens!H1658+Sens!H1660-Sens!H1662)</f>
        <v>0</v>
      </c>
      <c r="I1664" s="24" t="n">
        <f aca="false">(Sens!I1643+Sens!I1648+Sens!I1649+Sens!I1651+Sens!I1653-Sens!I1655)+(Sens!I1656+Sens!I1658+Sens!I1660-Sens!I1662)</f>
        <v>0</v>
      </c>
      <c r="J1664" s="24" t="n">
        <f aca="false">(Sens!J1643+Sens!J1648+Sens!J1649+Sens!J1651+Sens!J1653-Sens!J1655)+(Sens!J1656+Sens!J1658+Sens!J1660-Sens!J1662)</f>
        <v>0</v>
      </c>
      <c r="K1664" s="24" t="n">
        <f aca="false">(Sens!K1643+Sens!K1648+Sens!K1649+Sens!K1651+Sens!K1653-Sens!K1655)+(Sens!K1656+Sens!K1658+Sens!K1660-Sens!K1662)</f>
        <v>0</v>
      </c>
    </row>
    <row r="1665" customFormat="false" ht="17.15" hidden="false" customHeight="false" outlineLevel="0" collapsed="false">
      <c r="A1665" s="3" t="s">
        <v>1276</v>
      </c>
    </row>
    <row r="1666" customFormat="false" ht="15" hidden="false" customHeight="false" outlineLevel="0" collapsed="false">
      <c r="A1666" s="4" t="s">
        <v>43</v>
      </c>
      <c r="B1666" s="4" t="s">
        <v>65</v>
      </c>
      <c r="C1666" s="20" t="s">
        <v>788</v>
      </c>
      <c r="D1666" s="20" t="s">
        <v>789</v>
      </c>
      <c r="E1666" s="20" t="s">
        <v>790</v>
      </c>
      <c r="F1666" s="20" t="s">
        <v>791</v>
      </c>
      <c r="G1666" s="20" t="s">
        <v>792</v>
      </c>
      <c r="H1666" s="20" t="s">
        <v>793</v>
      </c>
      <c r="I1666" s="20" t="s">
        <v>794</v>
      </c>
      <c r="J1666" s="20" t="s">
        <v>795</v>
      </c>
      <c r="K1666" s="20" t="s">
        <v>796</v>
      </c>
      <c r="L1666" s="4" t="s">
        <v>47</v>
      </c>
    </row>
    <row r="1667" customFormat="false" ht="15" hidden="false" customHeight="false" outlineLevel="0" collapsed="false">
      <c r="A1667" s="0" t="s">
        <v>867</v>
      </c>
      <c r="B1667" s="0" t="s">
        <v>98</v>
      </c>
      <c r="D1667" s="6" t="n">
        <f aca="false">Sens!D1643</f>
        <v>72.61</v>
      </c>
      <c r="E1667" s="6" t="n">
        <f aca="false">Sens!E1643</f>
        <v>101.938</v>
      </c>
      <c r="F1667" s="6" t="n">
        <f aca="false">Sens!F1643</f>
        <v>148.341147833919</v>
      </c>
      <c r="G1667" s="6" t="n">
        <f aca="false">Sens!G1643</f>
        <v>193.448951725725</v>
      </c>
      <c r="H1667" s="6" t="n">
        <f aca="false">Sens!H1643</f>
        <v>233.401986530284</v>
      </c>
      <c r="I1667" s="6" t="n">
        <f aca="false">Sens!I1643</f>
        <v>277.445796598629</v>
      </c>
      <c r="J1667" s="6" t="n">
        <f aca="false">Sens!J1643</f>
        <v>311.619851507233</v>
      </c>
      <c r="K1667" s="6" t="n">
        <f aca="false">Sens!K1643</f>
        <v>335.99256101332</v>
      </c>
    </row>
    <row r="1668" customFormat="false" ht="17.15" hidden="false" customHeight="false" outlineLevel="0" collapsed="false">
      <c r="A1668" s="0" t="s">
        <v>864</v>
      </c>
      <c r="B1668" s="0" t="s">
        <v>98</v>
      </c>
      <c r="D1668" s="6" t="n">
        <f aca="false">Sens!D1640</f>
        <v>12.9359794422418</v>
      </c>
      <c r="E1668" s="6" t="n">
        <f aca="false">Sens!E1640</f>
        <v>27.8095064661409</v>
      </c>
      <c r="F1668" s="6" t="n">
        <f aca="false">Sens!F1640</f>
        <v>58.2611980965526</v>
      </c>
      <c r="G1668" s="6" t="n">
        <f aca="false">Sens!G1640</f>
        <v>86.420526522415</v>
      </c>
      <c r="H1668" s="6" t="n">
        <f aca="false">Sens!H1640</f>
        <v>109.130003944648</v>
      </c>
      <c r="I1668" s="6" t="n">
        <f aca="false">Sens!I1640</f>
        <v>136.512094216774</v>
      </c>
      <c r="J1668" s="6" t="n">
        <f aca="false">Sens!J1640</f>
        <v>155.600984192901</v>
      </c>
      <c r="K1668" s="6" t="n">
        <f aca="false">Sens!K1640</f>
        <v>167.492184313842</v>
      </c>
    </row>
    <row r="1669" customFormat="false" ht="17.15" hidden="false" customHeight="false" outlineLevel="0" collapsed="false">
      <c r="A1669" s="0" t="s">
        <v>892</v>
      </c>
      <c r="B1669" s="0" t="s">
        <v>98</v>
      </c>
      <c r="D1669" s="6" t="n">
        <f aca="false">Sens!D1641</f>
        <v>59.6740205577583</v>
      </c>
      <c r="E1669" s="6" t="n">
        <f aca="false">Sens!E1641</f>
        <v>74.1284935338591</v>
      </c>
      <c r="F1669" s="6" t="n">
        <f aca="false">Sens!F1641</f>
        <v>90.0799497373663</v>
      </c>
      <c r="G1669" s="6" t="n">
        <f aca="false">Sens!G1641</f>
        <v>107.02842520331</v>
      </c>
      <c r="H1669" s="6" t="n">
        <f aca="false">Sens!H1641</f>
        <v>124.271982585636</v>
      </c>
      <c r="I1669" s="6" t="n">
        <f aca="false">Sens!I1641</f>
        <v>140.933702381855</v>
      </c>
      <c r="J1669" s="6" t="n">
        <f aca="false">Sens!J1641</f>
        <v>156.018867314332</v>
      </c>
      <c r="K1669" s="6" t="n">
        <f aca="false">Sens!K1641</f>
        <v>168.500376699478</v>
      </c>
    </row>
    <row r="1670" customFormat="false" ht="15" hidden="false" customHeight="false" outlineLevel="0" collapsed="false">
      <c r="A1670" s="0" t="s">
        <v>873</v>
      </c>
      <c r="B1670" s="0" t="s">
        <v>98</v>
      </c>
      <c r="D1670" s="6" t="n">
        <f aca="false">Sens!D1648</f>
        <v>84.605</v>
      </c>
      <c r="E1670" s="6" t="n">
        <f aca="false">Sens!E1648</f>
        <v>100.299</v>
      </c>
      <c r="F1670" s="6" t="n">
        <f aca="false">Sens!F1648</f>
        <v>117.39238776686</v>
      </c>
      <c r="G1670" s="6" t="n">
        <f aca="false">Sens!G1648</f>
        <v>132.544168448684</v>
      </c>
      <c r="H1670" s="6" t="n">
        <f aca="false">Sens!H1648</f>
        <v>147.777359388781</v>
      </c>
      <c r="I1670" s="6" t="n">
        <f aca="false">Sens!I1648</f>
        <v>162.084028071957</v>
      </c>
      <c r="J1670" s="6" t="n">
        <f aca="false">Sens!J1648</f>
        <v>175.182702785465</v>
      </c>
      <c r="K1670" s="6" t="n">
        <f aca="false">Sens!K1648</f>
        <v>187.527991980448</v>
      </c>
    </row>
    <row r="1671" customFormat="false" ht="17.15" hidden="false" customHeight="false" outlineLevel="0" collapsed="false">
      <c r="A1671" s="0" t="s">
        <v>893</v>
      </c>
      <c r="B1671" s="0" t="s">
        <v>98</v>
      </c>
      <c r="D1671" s="6" t="n">
        <f aca="false">Sens!D1646</f>
        <v>83.705</v>
      </c>
      <c r="E1671" s="6" t="n">
        <f aca="false">Sens!E1646</f>
        <v>95.049</v>
      </c>
      <c r="F1671" s="6" t="n">
        <f aca="false">Sens!F1646</f>
        <v>106.89238776686</v>
      </c>
      <c r="G1671" s="6" t="n">
        <f aca="false">Sens!G1646</f>
        <v>119.044168448684</v>
      </c>
      <c r="H1671" s="6" t="n">
        <f aca="false">Sens!H1646</f>
        <v>131.277359388781</v>
      </c>
      <c r="I1671" s="6" t="n">
        <f aca="false">Sens!I1646</f>
        <v>143.334028071957</v>
      </c>
      <c r="J1671" s="6" t="n">
        <f aca="false">Sens!J1646</f>
        <v>154.932702785465</v>
      </c>
      <c r="K1671" s="6" t="n">
        <f aca="false">Sens!K1646</f>
        <v>165.777991980448</v>
      </c>
    </row>
    <row r="1672" customFormat="false" ht="17.15" hidden="false" customHeight="false" outlineLevel="0" collapsed="false">
      <c r="A1672" s="0" t="s">
        <v>894</v>
      </c>
      <c r="B1672" s="0" t="s">
        <v>98</v>
      </c>
      <c r="D1672" s="6" t="n">
        <f aca="false">Sens!D1645</f>
        <v>0.9</v>
      </c>
      <c r="E1672" s="6" t="n">
        <f aca="false">Sens!E1645</f>
        <v>5.25</v>
      </c>
      <c r="F1672" s="6" t="n">
        <f aca="false">Sens!F1645</f>
        <v>10.5</v>
      </c>
      <c r="G1672" s="6" t="n">
        <f aca="false">Sens!G1645</f>
        <v>13.5</v>
      </c>
      <c r="H1672" s="6" t="n">
        <f aca="false">Sens!H1645</f>
        <v>16.5</v>
      </c>
      <c r="I1672" s="6" t="n">
        <f aca="false">Sens!I1645</f>
        <v>18.75</v>
      </c>
      <c r="J1672" s="6" t="n">
        <f aca="false">Sens!J1645</f>
        <v>20.25</v>
      </c>
      <c r="K1672" s="6" t="n">
        <f aca="false">Sens!K1645</f>
        <v>21.75</v>
      </c>
    </row>
    <row r="1673" customFormat="false" ht="15" hidden="false" customHeight="false" outlineLevel="0" collapsed="false">
      <c r="A1673" s="0" t="s">
        <v>874</v>
      </c>
      <c r="B1673" s="0" t="s">
        <v>98</v>
      </c>
      <c r="D1673" s="6" t="n">
        <f aca="false">Sens!D1649</f>
        <v>35.391</v>
      </c>
      <c r="E1673" s="6" t="n">
        <f aca="false">Sens!E1649</f>
        <v>37.285</v>
      </c>
      <c r="F1673" s="6" t="n">
        <f aca="false">Sens!F1649</f>
        <v>39.0720834331704</v>
      </c>
      <c r="G1673" s="6" t="n">
        <f aca="false">Sens!G1649</f>
        <v>40.726562953769</v>
      </c>
      <c r="H1673" s="6" t="n">
        <f aca="false">Sens!H1649</f>
        <v>42.2235987259198</v>
      </c>
      <c r="I1673" s="6" t="n">
        <f aca="false">Sens!I1649</f>
        <v>43.5397988077414</v>
      </c>
      <c r="J1673" s="6" t="n">
        <f aca="false">Sens!J1649</f>
        <v>44.653811225693</v>
      </c>
      <c r="K1673" s="6" t="n">
        <f aca="false">Sens!K1649</f>
        <v>45.5468874502068</v>
      </c>
    </row>
    <row r="1674" customFormat="false" ht="15" hidden="false" customHeight="false" outlineLevel="0" collapsed="false">
      <c r="A1674" s="0" t="s">
        <v>875</v>
      </c>
      <c r="B1674" s="0" t="s">
        <v>98</v>
      </c>
      <c r="D1674" s="6" t="n">
        <f aca="false">Sens!D1651</f>
        <v>18.417</v>
      </c>
      <c r="E1674" s="6" t="n">
        <f aca="false">Sens!E1651</f>
        <v>20.345</v>
      </c>
      <c r="F1674" s="6" t="n">
        <f aca="false">Sens!F1651</f>
        <v>22.3572203267814</v>
      </c>
      <c r="G1674" s="6" t="n">
        <f aca="false">Sens!G1651</f>
        <v>24.4392124437232</v>
      </c>
      <c r="H1674" s="6" t="n">
        <f aca="false">Sens!H1651</f>
        <v>26.5738052080665</v>
      </c>
      <c r="I1674" s="6" t="n">
        <f aca="false">Sens!I1651</f>
        <v>28.7412169166967</v>
      </c>
      <c r="J1674" s="6" t="n">
        <f aca="false">Sens!J1651</f>
        <v>30.9192545395413</v>
      </c>
      <c r="K1674" s="6" t="n">
        <f aca="false">Sens!K1651</f>
        <v>33.0836023573092</v>
      </c>
    </row>
    <row r="1675" customFormat="false" ht="15" hidden="false" customHeight="false" outlineLevel="0" collapsed="false">
      <c r="A1675" s="0" t="s">
        <v>876</v>
      </c>
      <c r="B1675" s="0" t="s">
        <v>98</v>
      </c>
      <c r="D1675" s="6" t="n">
        <f aca="false">Sens!D1653</f>
        <v>7.76</v>
      </c>
      <c r="E1675" s="6" t="n">
        <f aca="false">Sens!E1653</f>
        <v>8.26</v>
      </c>
      <c r="F1675" s="6" t="n">
        <f aca="false">Sens!F1653</f>
        <v>8.79988041237113</v>
      </c>
      <c r="G1675" s="6" t="n">
        <f aca="false">Sens!G1653</f>
        <v>9.38321269125306</v>
      </c>
      <c r="H1675" s="6" t="n">
        <f aca="false">Sens!H1653</f>
        <v>10.0139193587476</v>
      </c>
      <c r="I1675" s="6" t="n">
        <f aca="false">Sens!I1653</f>
        <v>10.6963111830911</v>
      </c>
      <c r="J1675" s="6" t="n">
        <f aca="false">Sens!J1653</f>
        <v>11.4351285534696</v>
      </c>
      <c r="K1675" s="6" t="n">
        <f aca="false">Sens!K1653</f>
        <v>12.2355875522124</v>
      </c>
    </row>
    <row r="1676" customFormat="false" ht="15" hidden="false" customHeight="false" outlineLevel="0" collapsed="false">
      <c r="A1676" s="0" t="s">
        <v>704</v>
      </c>
      <c r="B1676" s="0" t="s">
        <v>98</v>
      </c>
      <c r="D1676" s="6" t="n">
        <f aca="false">Sens!D1655</f>
        <v>218.783</v>
      </c>
      <c r="E1676" s="6" t="n">
        <f aca="false">Sens!E1655</f>
        <v>268.127</v>
      </c>
      <c r="F1676" s="6" t="n">
        <f aca="false">Sens!F1655</f>
        <v>335.962719773102</v>
      </c>
      <c r="G1676" s="6" t="n">
        <f aca="false">Sens!G1655</f>
        <v>400.542108263154</v>
      </c>
      <c r="H1676" s="6" t="n">
        <f aca="false">Sens!H1655</f>
        <v>459.990669211799</v>
      </c>
      <c r="I1676" s="6" t="n">
        <f aca="false">Sens!I1655</f>
        <v>522.507151578115</v>
      </c>
      <c r="J1676" s="6" t="n">
        <f aca="false">Sens!J1655</f>
        <v>573.810748611402</v>
      </c>
      <c r="K1676" s="6" t="n">
        <f aca="false">Sens!K1655</f>
        <v>614.386630353496</v>
      </c>
    </row>
    <row r="1677" customFormat="false" ht="15" hidden="false" customHeight="false" outlineLevel="0" collapsed="false">
      <c r="A1677" s="0" t="s">
        <v>877</v>
      </c>
      <c r="B1677" s="0" t="s">
        <v>98</v>
      </c>
      <c r="D1677" s="6" t="n">
        <f aca="false">Sens!D1656</f>
        <v>22.171</v>
      </c>
      <c r="E1677" s="6" t="n">
        <f aca="false">Sens!E1656</f>
        <v>24.835</v>
      </c>
      <c r="F1677" s="6" t="n">
        <f aca="false">Sens!F1656</f>
        <v>27.6114901218559</v>
      </c>
      <c r="G1677" s="6" t="n">
        <f aca="false">Sens!G1656</f>
        <v>30.4675667338515</v>
      </c>
      <c r="H1677" s="6" t="n">
        <f aca="false">Sens!H1656</f>
        <v>33.3643766955789</v>
      </c>
      <c r="I1677" s="6" t="n">
        <f aca="false">Sens!I1656</f>
        <v>36.2577016533691</v>
      </c>
      <c r="J1677" s="6" t="n">
        <f aca="false">Sens!J1656</f>
        <v>39.0988367952171</v>
      </c>
      <c r="K1677" s="6" t="n">
        <f aca="false">Sens!K1656</f>
        <v>41.8357553708823</v>
      </c>
    </row>
    <row r="1678" customFormat="false" ht="15" hidden="false" customHeight="false" outlineLevel="0" collapsed="false">
      <c r="A1678" s="0" t="s">
        <v>878</v>
      </c>
      <c r="B1678" s="0" t="s">
        <v>98</v>
      </c>
      <c r="D1678" s="6" t="n">
        <f aca="false">Sens!D1658</f>
        <v>23.455</v>
      </c>
      <c r="E1678" s="6" t="n">
        <f aca="false">Sens!E1658</f>
        <v>21.79</v>
      </c>
      <c r="F1678" s="6" t="n">
        <f aca="false">Sens!F1658</f>
        <v>20.5736277908051</v>
      </c>
      <c r="G1678" s="6" t="n">
        <f aca="false">Sens!G1658</f>
        <v>19.7371452817919</v>
      </c>
      <c r="H1678" s="6" t="n">
        <f aca="false">Sens!H1658</f>
        <v>19.2339764043138</v>
      </c>
      <c r="I1678" s="6" t="n">
        <f aca="false">Sens!I1658</f>
        <v>19.0353086852681</v>
      </c>
      <c r="J1678" s="6" t="n">
        <f aca="false">Sens!J1658</f>
        <v>19.1273539319129</v>
      </c>
      <c r="K1678" s="6" t="n">
        <f aca="false">Sens!K1658</f>
        <v>19.5099010105511</v>
      </c>
    </row>
    <row r="1679" customFormat="false" ht="15" hidden="false" customHeight="false" outlineLevel="0" collapsed="false">
      <c r="A1679" s="0" t="s">
        <v>879</v>
      </c>
      <c r="B1679" s="0" t="s">
        <v>98</v>
      </c>
      <c r="D1679" s="6" t="n">
        <f aca="false">Sens!D1660</f>
        <v>17.315</v>
      </c>
      <c r="E1679" s="6" t="n">
        <f aca="false">Sens!E1660</f>
        <v>17.087</v>
      </c>
      <c r="F1679" s="6" t="n">
        <f aca="false">Sens!F1660</f>
        <v>16.9564585436519</v>
      </c>
      <c r="G1679" s="6" t="n">
        <f aca="false">Sens!G1660</f>
        <v>16.9206490624268</v>
      </c>
      <c r="H1679" s="6" t="n">
        <f aca="false">Sens!H1660</f>
        <v>16.9784519149849</v>
      </c>
      <c r="I1679" s="6" t="n">
        <f aca="false">Sens!I1660</f>
        <v>17.1303084701817</v>
      </c>
      <c r="J1679" s="6" t="n">
        <f aca="false">Sens!J1660</f>
        <v>17.3782189407267</v>
      </c>
      <c r="K1679" s="6" t="n">
        <f aca="false">Sens!K1660</f>
        <v>17.7257833195413</v>
      </c>
    </row>
    <row r="1680" customFormat="false" ht="15" hidden="false" customHeight="false" outlineLevel="0" collapsed="false">
      <c r="A1680" s="0" t="s">
        <v>718</v>
      </c>
      <c r="B1680" s="0" t="s">
        <v>98</v>
      </c>
      <c r="D1680" s="6" t="n">
        <f aca="false">Sens!D1662</f>
        <v>62.941</v>
      </c>
      <c r="E1680" s="6" t="n">
        <f aca="false">Sens!E1662</f>
        <v>63.712</v>
      </c>
      <c r="F1680" s="6" t="n">
        <f aca="false">Sens!F1662</f>
        <v>65.1415764563129</v>
      </c>
      <c r="G1680" s="6" t="n">
        <f aca="false">Sens!G1662</f>
        <v>67.1253610780702</v>
      </c>
      <c r="H1680" s="6" t="n">
        <f aca="false">Sens!H1662</f>
        <v>69.5768050148776</v>
      </c>
      <c r="I1680" s="6" t="n">
        <f aca="false">Sens!I1662</f>
        <v>72.4233188088189</v>
      </c>
      <c r="J1680" s="6" t="n">
        <f aca="false">Sens!J1662</f>
        <v>75.6044096678567</v>
      </c>
      <c r="K1680" s="6" t="n">
        <f aca="false">Sens!K1662</f>
        <v>79.0714397009747</v>
      </c>
    </row>
    <row r="1681" customFormat="false" ht="15" hidden="false" customHeight="false" outlineLevel="0" collapsed="false">
      <c r="A1681" s="1" t="s">
        <v>895</v>
      </c>
      <c r="B1681" s="0" t="s">
        <v>98</v>
      </c>
      <c r="D1681" s="6" t="n">
        <f aca="false">Sens!D1663</f>
        <v>281.724</v>
      </c>
      <c r="E1681" s="6" t="n">
        <f aca="false">Sens!E1663</f>
        <v>331.839</v>
      </c>
      <c r="F1681" s="6" t="n">
        <f aca="false">Sens!F1663</f>
        <v>401.104296229415</v>
      </c>
      <c r="G1681" s="6" t="n">
        <f aca="false">Sens!G1663</f>
        <v>467.667469341224</v>
      </c>
      <c r="H1681" s="6" t="n">
        <f aca="false">Sens!H1663</f>
        <v>529.567474226677</v>
      </c>
      <c r="I1681" s="6" t="n">
        <f aca="false">Sens!I1663</f>
        <v>594.930470386934</v>
      </c>
      <c r="J1681" s="6" t="n">
        <f aca="false">Sens!J1663</f>
        <v>649.415158279259</v>
      </c>
      <c r="K1681" s="6" t="n">
        <f aca="false">Sens!K1663</f>
        <v>693.458070054471</v>
      </c>
    </row>
    <row r="1682" customFormat="false" ht="15" hidden="false" customHeight="false" outlineLevel="0" collapsed="false">
      <c r="A1682" s="1" t="s">
        <v>896</v>
      </c>
      <c r="B1682" s="0" t="s">
        <v>129</v>
      </c>
      <c r="E1682" s="7" t="n">
        <f aca="false">Sens!E1681/Sens!D1681-1</f>
        <v>0.177886867998467</v>
      </c>
      <c r="F1682" s="7" t="n">
        <f aca="false">Sens!F1681/Sens!E1681-1</f>
        <v>0.208731632597177</v>
      </c>
      <c r="G1682" s="7" t="n">
        <f aca="false">Sens!G1681/Sens!F1681-1</f>
        <v>0.165949788465338</v>
      </c>
      <c r="H1682" s="7" t="n">
        <f aca="false">Sens!H1681/Sens!G1681-1</f>
        <v>0.132359013494455</v>
      </c>
      <c r="I1682" s="7" t="n">
        <f aca="false">Sens!I1681/Sens!H1681-1</f>
        <v>0.123427135051499</v>
      </c>
      <c r="J1682" s="7" t="n">
        <f aca="false">Sens!J1681/Sens!I1681-1</f>
        <v>0.091581605925964</v>
      </c>
      <c r="K1682" s="7" t="n">
        <f aca="false">Sens!K1681/Sens!J1681-1</f>
        <v>0.0678193467055983</v>
      </c>
    </row>
    <row r="1683" customFormat="false" ht="17.15" hidden="false" customHeight="false" outlineLevel="0" collapsed="false">
      <c r="A1683" s="23" t="s">
        <v>897</v>
      </c>
      <c r="B1683" s="30" t="s">
        <v>98</v>
      </c>
      <c r="C1683" s="30"/>
      <c r="D1683" s="24" t="n">
        <f aca="false">(Sens!D1676+Sens!D1680-Sens!D1681)+(Sens!D1668+Sens!D1669-Sens!D1667)+(Sens!D1671+Sens!D1672-Sens!D1670)+(Sens!D1681-Q!L18)</f>
        <v>0</v>
      </c>
      <c r="E1683" s="24" t="n">
        <f aca="false">(Sens!E1676+Sens!E1680-Sens!E1681)+(Sens!E1668+Sens!E1669-Sens!E1667)+(Sens!E1671+Sens!E1672-Sens!E1670)+(Sens!E1681-Q!M18)</f>
        <v>0</v>
      </c>
      <c r="F1683" s="24" t="n">
        <f aca="false">(Sens!F1676+Sens!F1680-Sens!F1681)+(Sens!F1668+Sens!F1669-Sens!F1667)+(Sens!F1671+Sens!F1672-Sens!F1670)</f>
        <v>0</v>
      </c>
      <c r="G1683" s="24" t="n">
        <f aca="false">(Sens!G1676+Sens!G1680-Sens!G1681)+(Sens!G1668+Sens!G1669-Sens!G1667)+(Sens!G1671+Sens!G1672-Sens!G1670)</f>
        <v>0</v>
      </c>
      <c r="H1683" s="24" t="n">
        <f aca="false">(Sens!H1676+Sens!H1680-Sens!H1681)+(Sens!H1668+Sens!H1669-Sens!H1667)+(Sens!H1671+Sens!H1672-Sens!H1670)</f>
        <v>0</v>
      </c>
      <c r="I1683" s="24" t="n">
        <f aca="false">(Sens!I1676+Sens!I1680-Sens!I1681)+(Sens!I1668+Sens!I1669-Sens!I1667)+(Sens!I1671+Sens!I1672-Sens!I1670)</f>
        <v>0</v>
      </c>
      <c r="J1683" s="24" t="n">
        <f aca="false">(Sens!J1676+Sens!J1680-Sens!J1681)+(Sens!J1668+Sens!J1669-Sens!J1667)+(Sens!J1671+Sens!J1672-Sens!J1670)</f>
        <v>0</v>
      </c>
      <c r="K1683" s="24" t="n">
        <f aca="false">(Sens!K1676+Sens!K1680-Sens!K1681)+(Sens!K1668+Sens!K1669-Sens!K1667)+(Sens!K1671+Sens!K1672-Sens!K1670)</f>
        <v>0</v>
      </c>
    </row>
    <row r="1684" customFormat="false" ht="17.15" hidden="false" customHeight="false" outlineLevel="0" collapsed="false">
      <c r="A1684" s="0" t="s">
        <v>898</v>
      </c>
      <c r="B1684" s="0" t="s">
        <v>129</v>
      </c>
      <c r="E1684" s="7" t="n">
        <f aca="false">(Q!M21+Sens!E1621+Sens!E1622+Sens!E1623+Sens!E1636-Sens!E1619)/(Q!M5-Sens!E1619)</f>
        <v>0.570957350878296</v>
      </c>
      <c r="F1684" s="7" t="n">
        <f aca="false">Sens!$E$1684+dm_seg</f>
        <v>0.570957350878296</v>
      </c>
      <c r="G1684" s="7" t="n">
        <f aca="false">Sens!$E$1684+dm_seg</f>
        <v>0.570957350878296</v>
      </c>
      <c r="H1684" s="7" t="n">
        <f aca="false">Sens!$E$1684+dm_seg</f>
        <v>0.570957350878296</v>
      </c>
      <c r="I1684" s="7" t="n">
        <f aca="false">Sens!$E$1684+dm_seg</f>
        <v>0.570957350878296</v>
      </c>
      <c r="J1684" s="7" t="n">
        <f aca="false">Sens!$E$1684+dm_seg</f>
        <v>0.570957350878296</v>
      </c>
      <c r="K1684" s="7" t="n">
        <f aca="false">Sens!$E$1684+dm_seg</f>
        <v>0.570957350878296</v>
      </c>
      <c r="L1684" s="11" t="s">
        <v>899</v>
      </c>
    </row>
    <row r="1685" customFormat="false" ht="17.15" hidden="false" customHeight="false" outlineLevel="0" collapsed="false">
      <c r="A1685" s="0" t="s">
        <v>732</v>
      </c>
      <c r="B1685" s="0" t="s">
        <v>98</v>
      </c>
      <c r="D1685" s="6" t="n">
        <f aca="false">Q!L21</f>
        <v>110.814</v>
      </c>
      <c r="E1685" s="6" t="n">
        <f aca="false">Q!M21</f>
        <v>136.365</v>
      </c>
      <c r="F1685" s="6" t="n">
        <f aca="false">Sens!F1684*(Sens!F1655-Sens!F1619)+Sens!F1619-(Sens!F1621+Sens!F1622+Sens!F1623)-Sens!F1636</f>
        <v>159.926391415723</v>
      </c>
      <c r="G1685" s="6" t="n">
        <f aca="false">Sens!G1684*(Sens!G1655-Sens!G1619)+Sens!G1619-(Sens!G1621+Sens!G1622+Sens!G1623)-Sens!G1636</f>
        <v>171.556401491055</v>
      </c>
      <c r="H1685" s="6" t="n">
        <f aca="false">Sens!H1684*(Sens!H1655-Sens!H1619)+Sens!H1619-(Sens!H1621+Sens!H1622+Sens!H1623)-Sens!H1636</f>
        <v>176.809747664813</v>
      </c>
      <c r="I1685" s="6" t="n">
        <f aca="false">Sens!I1684*(Sens!I1655-Sens!I1619)+Sens!I1619-(Sens!I1621+Sens!I1622+Sens!I1623)-Sens!I1636</f>
        <v>190.307547558206</v>
      </c>
      <c r="J1685" s="6" t="n">
        <f aca="false">Sens!J1684*(Sens!J1655-Sens!J1619)+Sens!J1619-(Sens!J1621+Sens!J1622+Sens!J1623)-Sens!J1636</f>
        <v>204.056723796522</v>
      </c>
      <c r="K1685" s="6" t="n">
        <f aca="false">Sens!K1684*(Sens!K1655-Sens!K1619)+Sens!K1619-(Sens!K1621+Sens!K1622+Sens!K1623)-Sens!K1636</f>
        <v>218.35399295071</v>
      </c>
      <c r="L1685" s="1" t="s">
        <v>900</v>
      </c>
    </row>
    <row r="1686" customFormat="false" ht="17.15" hidden="false" customHeight="false" outlineLevel="0" collapsed="false">
      <c r="A1686" s="0" t="s">
        <v>901</v>
      </c>
      <c r="B1686" s="0" t="s">
        <v>129</v>
      </c>
      <c r="E1686" s="7" t="n">
        <f aca="false">Q!M22/Q!M12</f>
        <v>0.296207935710698</v>
      </c>
      <c r="F1686" s="7" t="n">
        <f aca="false">Sens!$E$1686+dm_seg</f>
        <v>0.296207935710698</v>
      </c>
      <c r="G1686" s="7" t="n">
        <f aca="false">Sens!$E$1686+dm_seg</f>
        <v>0.296207935710698</v>
      </c>
      <c r="H1686" s="7" t="n">
        <f aca="false">Sens!$E$1686+dm_seg</f>
        <v>0.296207935710698</v>
      </c>
      <c r="I1686" s="7" t="n">
        <f aca="false">Sens!$E$1686+dm_seg</f>
        <v>0.296207935710698</v>
      </c>
      <c r="J1686" s="7" t="n">
        <f aca="false">Sens!$E$1686+dm_seg</f>
        <v>0.296207935710698</v>
      </c>
      <c r="K1686" s="7" t="n">
        <f aca="false">Sens!$E$1686+dm_seg</f>
        <v>0.296207935710698</v>
      </c>
      <c r="L1686" s="11" t="s">
        <v>902</v>
      </c>
    </row>
    <row r="1687" customFormat="false" ht="17.15" hidden="false" customHeight="false" outlineLevel="0" collapsed="false">
      <c r="A1687" s="0" t="s">
        <v>734</v>
      </c>
      <c r="B1687" s="0" t="s">
        <v>98</v>
      </c>
      <c r="D1687" s="6" t="n">
        <f aca="false">Q!L22</f>
        <v>17.714</v>
      </c>
      <c r="E1687" s="6" t="n">
        <f aca="false">Q!M22</f>
        <v>18.872</v>
      </c>
      <c r="F1687" s="6" t="n">
        <f aca="false">Sens!F1662*Sens!F1686</f>
        <v>19.2954518910651</v>
      </c>
      <c r="G1687" s="6" t="n">
        <f aca="false">Sens!G1662*Sens!G1686</f>
        <v>19.8830646387704</v>
      </c>
      <c r="H1687" s="6" t="n">
        <f aca="false">Sens!H1662*Sens!H1686</f>
        <v>20.6092017868026</v>
      </c>
      <c r="I1687" s="6" t="n">
        <f aca="false">Sens!I1662*Sens!I1686</f>
        <v>21.452361761678</v>
      </c>
      <c r="J1687" s="6" t="n">
        <f aca="false">Sens!J1662*Sens!J1686</f>
        <v>22.3946261183418</v>
      </c>
      <c r="K1687" s="6" t="n">
        <f aca="false">Sens!K1662*Sens!K1686</f>
        <v>23.4215879274986</v>
      </c>
    </row>
    <row r="1688" customFormat="false" ht="15" hidden="false" customHeight="false" outlineLevel="0" collapsed="false">
      <c r="A1688" s="1" t="s">
        <v>903</v>
      </c>
      <c r="B1688" s="0" t="s">
        <v>98</v>
      </c>
      <c r="D1688" s="6" t="n">
        <f aca="false">Sens!D1685+Sens!D1687</f>
        <v>128.528</v>
      </c>
      <c r="E1688" s="6" t="n">
        <f aca="false">Sens!E1685+Sens!E1687</f>
        <v>155.237</v>
      </c>
      <c r="F1688" s="6" t="n">
        <f aca="false">Sens!F1685+Sens!F1687</f>
        <v>179.221843306788</v>
      </c>
      <c r="G1688" s="6" t="n">
        <f aca="false">Sens!G1685+Sens!G1687</f>
        <v>191.439466129826</v>
      </c>
      <c r="H1688" s="6" t="n">
        <f aca="false">Sens!H1685+Sens!H1687</f>
        <v>197.418949451616</v>
      </c>
      <c r="I1688" s="6" t="n">
        <f aca="false">Sens!I1685+Sens!I1687</f>
        <v>211.759909319884</v>
      </c>
      <c r="J1688" s="6" t="n">
        <f aca="false">Sens!J1685+Sens!J1687</f>
        <v>226.451349914864</v>
      </c>
      <c r="K1688" s="6" t="n">
        <f aca="false">Sens!K1685+Sens!K1687</f>
        <v>241.775580878208</v>
      </c>
    </row>
    <row r="1689" customFormat="false" ht="15" hidden="false" customHeight="false" outlineLevel="0" collapsed="false">
      <c r="A1689" s="23" t="s">
        <v>904</v>
      </c>
      <c r="B1689" s="30" t="s">
        <v>98</v>
      </c>
      <c r="C1689" s="30"/>
      <c r="D1689" s="24" t="n">
        <f aca="false">Sens!D1688-Q!L23</f>
        <v>0</v>
      </c>
      <c r="E1689" s="24" t="n">
        <f aca="false">Sens!E1688-Q!M23</f>
        <v>0</v>
      </c>
      <c r="F1689" s="30"/>
      <c r="G1689" s="30"/>
      <c r="H1689" s="30"/>
      <c r="I1689" s="30"/>
      <c r="J1689" s="30"/>
      <c r="K1689" s="30"/>
    </row>
    <row r="1690" customFormat="false" ht="15" hidden="false" customHeight="false" outlineLevel="0" collapsed="false">
      <c r="A1690" s="1" t="s">
        <v>905</v>
      </c>
      <c r="B1690" s="0" t="s">
        <v>129</v>
      </c>
      <c r="D1690" s="7" t="n">
        <f aca="false">Sens!D1688/Sens!D1681</f>
        <v>0.456219562408598</v>
      </c>
      <c r="E1690" s="7" t="n">
        <f aca="false">Sens!E1688/Sens!E1681</f>
        <v>0.467808184089272</v>
      </c>
      <c r="F1690" s="7" t="n">
        <f aca="false">Sens!F1688/Sens!F1681</f>
        <v>0.446821051261641</v>
      </c>
      <c r="G1690" s="7" t="n">
        <f aca="false">Sens!G1688/Sens!G1681</f>
        <v>0.409349545734911</v>
      </c>
      <c r="H1690" s="7" t="n">
        <f aca="false">Sens!H1688/Sens!H1681</f>
        <v>0.372792815004178</v>
      </c>
      <c r="I1690" s="7" t="n">
        <f aca="false">Sens!I1688/Sens!I1681</f>
        <v>0.355940601230524</v>
      </c>
      <c r="J1690" s="7" t="n">
        <f aca="false">Sens!J1688/Sens!J1681</f>
        <v>0.348700437659767</v>
      </c>
      <c r="K1690" s="7" t="n">
        <f aca="false">Sens!K1688/Sens!K1681</f>
        <v>0.348652054563612</v>
      </c>
    </row>
    <row r="1691" customFormat="false" ht="17.15" hidden="false" customHeight="false" outlineLevel="0" collapsed="false">
      <c r="A1691" s="1" t="s">
        <v>906</v>
      </c>
      <c r="B1691" s="0" t="s">
        <v>98</v>
      </c>
      <c r="F1691" s="6" t="n">
        <f aca="false">Sens!F1706</f>
        <v>20.7922544923746</v>
      </c>
      <c r="G1691" s="6" t="n">
        <f aca="false">Sens!G1706</f>
        <v>37.7052575228648</v>
      </c>
      <c r="H1691" s="6" t="n">
        <f aca="false">Sens!H1706</f>
        <v>55.9707166463052</v>
      </c>
      <c r="I1691" s="6" t="n">
        <f aca="false">Sens!I1706</f>
        <v>72.386177414753</v>
      </c>
      <c r="J1691" s="6" t="n">
        <f aca="false">Sens!J1706</f>
        <v>83.8561542203386</v>
      </c>
      <c r="K1691" s="6" t="n">
        <f aca="false">Sens!K1706</f>
        <v>90.6046701138278</v>
      </c>
      <c r="L1691" s="1" t="s">
        <v>907</v>
      </c>
    </row>
    <row r="1692" customFormat="false" ht="17.15" hidden="false" customHeight="false" outlineLevel="0" collapsed="false">
      <c r="A1692" s="1" t="s">
        <v>908</v>
      </c>
      <c r="B1692" s="0" t="s">
        <v>98</v>
      </c>
      <c r="D1692" s="6" t="n">
        <f aca="false">Sens!D1688</f>
        <v>128.528</v>
      </c>
      <c r="E1692" s="6" t="n">
        <f aca="false">Sens!E1688</f>
        <v>155.237</v>
      </c>
      <c r="F1692" s="6" t="n">
        <f aca="false">Sens!F1688+Sens!F1691</f>
        <v>200.014097799162</v>
      </c>
      <c r="G1692" s="6" t="n">
        <f aca="false">Sens!G1688+Sens!G1691</f>
        <v>229.14472365269</v>
      </c>
      <c r="H1692" s="6" t="n">
        <f aca="false">Sens!H1688+Sens!H1691</f>
        <v>253.389666097921</v>
      </c>
      <c r="I1692" s="6" t="n">
        <f aca="false">Sens!I1688+Sens!I1691</f>
        <v>284.146086734637</v>
      </c>
      <c r="J1692" s="6" t="n">
        <f aca="false">Sens!J1688+Sens!J1691</f>
        <v>310.307504135203</v>
      </c>
      <c r="K1692" s="6" t="n">
        <f aca="false">Sens!K1688+Sens!K1691</f>
        <v>332.380250992036</v>
      </c>
    </row>
    <row r="1693" customFormat="false" ht="17.15" hidden="false" customHeight="false" outlineLevel="0" collapsed="false">
      <c r="A1693" s="1" t="s">
        <v>909</v>
      </c>
      <c r="B1693" s="0" t="s">
        <v>98</v>
      </c>
      <c r="E1693" s="6" t="n">
        <f aca="false">Sens!E1636</f>
        <v>16.3054059770833</v>
      </c>
      <c r="F1693" s="6" t="n">
        <f aca="false">Sens!F1636</f>
        <v>34.7530354558698</v>
      </c>
      <c r="G1693" s="6" t="n">
        <f aca="false">Sens!G1636</f>
        <v>60.5317332603396</v>
      </c>
      <c r="H1693" s="6" t="n">
        <f aca="false">Sens!H1636</f>
        <v>87.7673159931396</v>
      </c>
      <c r="I1693" s="6" t="n">
        <f aca="false">Sens!I1636</f>
        <v>112.012039982221</v>
      </c>
      <c r="J1693" s="6" t="n">
        <f aca="false">Sens!J1636</f>
        <v>129.208710922666</v>
      </c>
      <c r="K1693" s="6" t="n">
        <f aca="false">Sens!K1636</f>
        <v>139.672646804474</v>
      </c>
    </row>
    <row r="1694" customFormat="false" ht="17.15" hidden="false" customHeight="false" outlineLevel="0" collapsed="false">
      <c r="A1694" s="1" t="s">
        <v>910</v>
      </c>
      <c r="B1694" s="0" t="s">
        <v>98</v>
      </c>
      <c r="E1694" s="6" t="n">
        <f aca="false">Sens!E1718</f>
        <v>22.2285940229167</v>
      </c>
      <c r="F1694" s="6" t="n">
        <f aca="false">Sens!F1718</f>
        <v>23.5486693435813</v>
      </c>
      <c r="G1694" s="6" t="n">
        <f aca="false">Sens!G1718</f>
        <v>25.264091766262</v>
      </c>
      <c r="H1694" s="6" t="n">
        <f aca="false">Sens!H1718</f>
        <v>27.3438339540448</v>
      </c>
      <c r="I1694" s="6" t="n">
        <f aca="false">Sens!I1718</f>
        <v>29.7317905898047</v>
      </c>
      <c r="J1694" s="6" t="n">
        <f aca="false">Sens!J1718</f>
        <v>32.3542028558616</v>
      </c>
      <c r="K1694" s="6" t="n">
        <f aca="false">Sens!K1718</f>
        <v>35.1281528444749</v>
      </c>
    </row>
    <row r="1695" customFormat="false" ht="17.15" hidden="false" customHeight="false" outlineLevel="0" collapsed="false">
      <c r="A1695" s="1" t="s">
        <v>911</v>
      </c>
      <c r="B1695" s="0" t="s">
        <v>98</v>
      </c>
      <c r="D1695" s="6" t="n">
        <f aca="false">Q!L27</f>
        <v>-4.901</v>
      </c>
      <c r="E1695" s="6" t="n">
        <f aca="false">Q!M27</f>
        <v>10.697</v>
      </c>
      <c r="F1695" s="6" t="n">
        <f aca="false">oie_f</f>
        <v>-0.4</v>
      </c>
      <c r="G1695" s="6" t="n">
        <f aca="false">oie_f</f>
        <v>-0.4</v>
      </c>
      <c r="H1695" s="6" t="n">
        <f aca="false">oie_f</f>
        <v>-0.4</v>
      </c>
      <c r="I1695" s="6" t="n">
        <f aca="false">oie_f</f>
        <v>-0.4</v>
      </c>
      <c r="J1695" s="6" t="n">
        <f aca="false">oie_f</f>
        <v>-0.4</v>
      </c>
      <c r="K1695" s="6" t="n">
        <f aca="false">oie_f</f>
        <v>-0.4</v>
      </c>
      <c r="L1695" s="11" t="s">
        <v>912</v>
      </c>
    </row>
    <row r="1696" customFormat="false" ht="15" hidden="false" customHeight="false" outlineLevel="0" collapsed="false">
      <c r="A1696" s="1" t="s">
        <v>913</v>
      </c>
      <c r="B1696" s="0" t="s">
        <v>98</v>
      </c>
      <c r="D1696" s="6" t="n">
        <f aca="false">Sens!D1688+Sens!D1695</f>
        <v>123.627</v>
      </c>
      <c r="E1696" s="6" t="n">
        <f aca="false">Sens!E1688+Sens!E1695</f>
        <v>165.934</v>
      </c>
      <c r="F1696" s="6" t="n">
        <f aca="false">Sens!F1688+Sens!F1695</f>
        <v>178.821843306788</v>
      </c>
      <c r="G1696" s="6" t="n">
        <f aca="false">Sens!G1688+Sens!G1695</f>
        <v>191.039466129826</v>
      </c>
      <c r="H1696" s="6" t="n">
        <f aca="false">Sens!H1688+Sens!H1695</f>
        <v>197.018949451616</v>
      </c>
      <c r="I1696" s="6" t="n">
        <f aca="false">Sens!I1688+Sens!I1695</f>
        <v>211.359909319884</v>
      </c>
      <c r="J1696" s="6" t="n">
        <f aca="false">Sens!J1688+Sens!J1695</f>
        <v>226.051349914864</v>
      </c>
      <c r="K1696" s="6" t="n">
        <f aca="false">Sens!K1688+Sens!K1695</f>
        <v>241.375580878208</v>
      </c>
    </row>
    <row r="1697" customFormat="false" ht="15" hidden="false" customHeight="false" outlineLevel="0" collapsed="false">
      <c r="A1697" s="1" t="s">
        <v>914</v>
      </c>
      <c r="B1697" s="0" t="s">
        <v>98</v>
      </c>
      <c r="D1697" s="6" t="n">
        <f aca="false">Q!L29</f>
        <v>21.795</v>
      </c>
      <c r="E1697" s="6" t="n">
        <f aca="false">Q!M29</f>
        <v>32.185</v>
      </c>
      <c r="F1697" s="6" t="n">
        <f aca="false">Sens!F1696*tax_f</f>
        <v>35.7643686613575</v>
      </c>
      <c r="G1697" s="6" t="n">
        <f aca="false">Sens!G1696*tax_f</f>
        <v>38.2078932259651</v>
      </c>
      <c r="H1697" s="6" t="n">
        <f aca="false">Sens!H1696*tax_f</f>
        <v>39.4037898903231</v>
      </c>
      <c r="I1697" s="6" t="n">
        <f aca="false">Sens!I1696*tax_f</f>
        <v>42.2719818639768</v>
      </c>
      <c r="J1697" s="6" t="n">
        <f aca="false">Sens!J1696*tax_f</f>
        <v>45.2102699829728</v>
      </c>
      <c r="K1697" s="6" t="n">
        <f aca="false">Sens!K1696*tax_f</f>
        <v>48.2751161756417</v>
      </c>
    </row>
    <row r="1698" customFormat="false" ht="15" hidden="false" customHeight="false" outlineLevel="0" collapsed="false">
      <c r="A1698" s="1" t="s">
        <v>915</v>
      </c>
      <c r="B1698" s="0" t="s">
        <v>98</v>
      </c>
      <c r="D1698" s="6" t="n">
        <f aca="false">Sens!D1696-Sens!D1697</f>
        <v>101.832</v>
      </c>
      <c r="E1698" s="6" t="n">
        <f aca="false">Sens!E1696-Sens!E1697</f>
        <v>133.749</v>
      </c>
      <c r="F1698" s="6" t="n">
        <f aca="false">Sens!F1696-Sens!F1697</f>
        <v>143.05747464543</v>
      </c>
      <c r="G1698" s="6" t="n">
        <f aca="false">Sens!G1696-Sens!G1697</f>
        <v>152.83157290386</v>
      </c>
      <c r="H1698" s="6" t="n">
        <f aca="false">Sens!H1696-Sens!H1697</f>
        <v>157.615159561293</v>
      </c>
      <c r="I1698" s="6" t="n">
        <f aca="false">Sens!I1696-Sens!I1697</f>
        <v>169.087927455907</v>
      </c>
      <c r="J1698" s="6" t="n">
        <f aca="false">Sens!J1696-Sens!J1697</f>
        <v>180.841079931891</v>
      </c>
      <c r="K1698" s="6" t="n">
        <f aca="false">Sens!K1696-Sens!K1697</f>
        <v>193.100464702567</v>
      </c>
    </row>
    <row r="1699" customFormat="false" ht="17.15" hidden="false" customHeight="false" outlineLevel="0" collapsed="false">
      <c r="A1699" s="1" t="s">
        <v>916</v>
      </c>
      <c r="B1699" s="1" t="s">
        <v>81</v>
      </c>
      <c r="D1699" s="14" t="n">
        <f aca="false">Q!L31</f>
        <v>7.465</v>
      </c>
      <c r="E1699" s="14" t="n">
        <f aca="false">Q!M31</f>
        <v>7.453</v>
      </c>
      <c r="F1699" s="14" t="n">
        <f aca="false">Sens!F1740</f>
        <v>7.4735</v>
      </c>
      <c r="G1699" s="14" t="n">
        <f aca="false">Sens!G1740</f>
        <v>7.5185</v>
      </c>
      <c r="H1699" s="14" t="n">
        <f aca="false">Sens!H1740</f>
        <v>7.54912150956678</v>
      </c>
      <c r="I1699" s="14" t="n">
        <f aca="false">Sens!I1740</f>
        <v>7.56377226529092</v>
      </c>
      <c r="J1699" s="14" t="n">
        <f aca="false">Sens!J1740</f>
        <v>7.5780137764088</v>
      </c>
      <c r="K1699" s="14" t="n">
        <f aca="false">Sens!K1740</f>
        <v>7.59453369411054</v>
      </c>
    </row>
    <row r="1700" customFormat="false" ht="17.15" hidden="false" customHeight="false" outlineLevel="0" collapsed="false">
      <c r="A1700" s="0" t="s">
        <v>917</v>
      </c>
      <c r="B1700" s="0" t="s">
        <v>75</v>
      </c>
      <c r="D1700" s="8" t="n">
        <f aca="false">Sens!D1698/Sens!D1699</f>
        <v>13.641259209645</v>
      </c>
      <c r="E1700" s="8" t="n">
        <f aca="false">Sens!E1698/Sens!E1699</f>
        <v>17.9456594659869</v>
      </c>
      <c r="F1700" s="8" t="n">
        <f aca="false">Sens!F1698/Sens!F1699</f>
        <v>19.1419648953543</v>
      </c>
      <c r="G1700" s="8" t="n">
        <f aca="false">Sens!G1698/Sens!G1699</f>
        <v>20.3274021285975</v>
      </c>
      <c r="H1700" s="8" t="n">
        <f aca="false">Sens!H1698/Sens!H1699</f>
        <v>20.8786094331044</v>
      </c>
      <c r="I1700" s="8" t="n">
        <f aca="false">Sens!I1698/Sens!I1699</f>
        <v>22.3549733552698</v>
      </c>
      <c r="J1700" s="8" t="n">
        <f aca="false">Sens!J1698/Sens!J1699</f>
        <v>23.8639154358454</v>
      </c>
      <c r="K1700" s="8" t="n">
        <f aca="false">Sens!K1698/Sens!K1699</f>
        <v>25.4262437274212</v>
      </c>
      <c r="L1700" s="1" t="s">
        <v>918</v>
      </c>
    </row>
    <row r="1701" customFormat="false" ht="17.15" hidden="false" customHeight="false" outlineLevel="0" collapsed="false">
      <c r="A1701" s="1" t="s">
        <v>919</v>
      </c>
      <c r="B1701" s="0" t="s">
        <v>98</v>
      </c>
      <c r="D1701" s="6" t="n">
        <f aca="false">Sens!D1698</f>
        <v>101.832</v>
      </c>
      <c r="E1701" s="6" t="n">
        <f aca="false">Sens!E1698</f>
        <v>133.749</v>
      </c>
      <c r="F1701" s="6" t="n">
        <f aca="false">Sens!F1698+Sens!F1691*(1-tax_f)</f>
        <v>159.69127823933</v>
      </c>
      <c r="G1701" s="6" t="n">
        <f aca="false">Sens!G1698+Sens!G1691*(1-tax_f)</f>
        <v>182.995778922152</v>
      </c>
      <c r="H1701" s="6" t="n">
        <f aca="false">Sens!H1698+Sens!H1691*(1-tax_f)</f>
        <v>202.391732878337</v>
      </c>
      <c r="I1701" s="6" t="n">
        <f aca="false">Sens!I1698+Sens!I1691*(1-tax_f)</f>
        <v>226.996869387709</v>
      </c>
      <c r="J1701" s="6" t="n">
        <f aca="false">Sens!J1698+Sens!J1691*(1-tax_f)</f>
        <v>247.926003308162</v>
      </c>
      <c r="K1701" s="6" t="n">
        <f aca="false">Sens!K1698+Sens!K1691*(1-tax_f)</f>
        <v>265.584200793629</v>
      </c>
    </row>
    <row r="1702" customFormat="false" ht="17.15" hidden="false" customHeight="false" outlineLevel="0" collapsed="false">
      <c r="A1702" s="0" t="s">
        <v>920</v>
      </c>
      <c r="B1702" s="0" t="s">
        <v>75</v>
      </c>
      <c r="D1702" s="8" t="n">
        <f aca="false">Sens!D1701/Sens!D1699</f>
        <v>13.641259209645</v>
      </c>
      <c r="E1702" s="8" t="n">
        <f aca="false">Sens!E1701/Sens!E1699</f>
        <v>17.9456594659869</v>
      </c>
      <c r="F1702" s="8" t="n">
        <f aca="false">Sens!F1701/Sens!F1699</f>
        <v>21.3676695309199</v>
      </c>
      <c r="G1702" s="8" t="n">
        <f aca="false">Sens!G1701/Sens!G1699</f>
        <v>24.3394000029464</v>
      </c>
      <c r="H1702" s="8" t="n">
        <f aca="false">Sens!H1701/Sens!H1699</f>
        <v>26.8099715472657</v>
      </c>
      <c r="I1702" s="8" t="n">
        <f aca="false">Sens!I1701/Sens!I1699</f>
        <v>30.0110660958641</v>
      </c>
      <c r="J1702" s="8" t="n">
        <f aca="false">Sens!J1701/Sens!J1699</f>
        <v>32.7164888614987</v>
      </c>
      <c r="K1702" s="8" t="n">
        <f aca="false">Sens!K1701/Sens!K1699</f>
        <v>34.970442095686</v>
      </c>
      <c r="L1702" s="1" t="s">
        <v>921</v>
      </c>
    </row>
    <row r="1703" customFormat="false" ht="17.15" hidden="false" customHeight="false" outlineLevel="0" collapsed="false">
      <c r="A1703" s="0" t="s">
        <v>922</v>
      </c>
      <c r="B1703" s="0" t="s">
        <v>129</v>
      </c>
      <c r="E1703" s="7" t="n">
        <f aca="false">Sens!E1702/Sens!D1702-1</f>
        <v>0.315542736208578</v>
      </c>
      <c r="F1703" s="7" t="n">
        <f aca="false">Sens!F1702/Sens!E1702-1</f>
        <v>0.190687339822697</v>
      </c>
      <c r="G1703" s="7" t="n">
        <f aca="false">Sens!G1702/Sens!F1702-1</f>
        <v>0.139076021731161</v>
      </c>
      <c r="H1703" s="7" t="n">
        <f aca="false">Sens!H1702/Sens!G1702-1</f>
        <v>0.101505030691811</v>
      </c>
      <c r="I1703" s="7" t="n">
        <f aca="false">Sens!I1702/Sens!H1702-1</f>
        <v>0.119399401187537</v>
      </c>
      <c r="J1703" s="7" t="n">
        <f aca="false">Sens!J1702/Sens!I1702-1</f>
        <v>0.0901475061563191</v>
      </c>
      <c r="K1703" s="7" t="n">
        <f aca="false">Sens!K1702/Sens!J1702-1</f>
        <v>0.0688934941560848</v>
      </c>
    </row>
    <row r="1704" customFormat="false" ht="17.15" hidden="false" customHeight="false" outlineLevel="0" collapsed="false">
      <c r="A1704" s="0" t="s">
        <v>846</v>
      </c>
      <c r="B1704" s="0" t="s">
        <v>98</v>
      </c>
      <c r="E1704" s="6" t="n">
        <f aca="false">Sens!E1645</f>
        <v>5.25</v>
      </c>
      <c r="F1704" s="6" t="n">
        <f aca="false">Sens!F1645</f>
        <v>10.5</v>
      </c>
      <c r="G1704" s="6" t="n">
        <f aca="false">Sens!G1645</f>
        <v>13.5</v>
      </c>
      <c r="H1704" s="6" t="n">
        <f aca="false">Sens!H1645</f>
        <v>16.5</v>
      </c>
      <c r="I1704" s="6" t="n">
        <f aca="false">Sens!I1645</f>
        <v>18.75</v>
      </c>
      <c r="J1704" s="6" t="n">
        <f aca="false">Sens!J1645</f>
        <v>20.25</v>
      </c>
      <c r="K1704" s="6" t="n">
        <f aca="false">Sens!K1645</f>
        <v>21.75</v>
      </c>
    </row>
    <row r="1705" customFormat="false" ht="17.15" hidden="false" customHeight="false" outlineLevel="0" collapsed="false">
      <c r="A1705" s="1" t="s">
        <v>847</v>
      </c>
      <c r="B1705" s="0" t="s">
        <v>98</v>
      </c>
      <c r="F1705" s="6" t="n">
        <f aca="false">MAX(0,(Sens!E1608+Sens!F1608)/2*Sens!F1616/1000-Sens!F1704*Sens!F1684)</f>
        <v>20.7922544923746</v>
      </c>
      <c r="G1705" s="6" t="n">
        <f aca="false">MAX(0,(Sens!F1608+Sens!G1608)/2*Sens!G1616/1000-Sens!G1704*Sens!G1684)</f>
        <v>37.7052575228648</v>
      </c>
      <c r="H1705" s="6" t="n">
        <f aca="false">MAX(0,(Sens!G1608+Sens!H1608)/2*Sens!H1616/1000-Sens!H1704*Sens!H1684)</f>
        <v>55.9707166463052</v>
      </c>
      <c r="I1705" s="6" t="n">
        <f aca="false">MAX(0,(Sens!H1608+Sens!I1608)/2*Sens!I1616/1000-Sens!I1704*Sens!I1684)</f>
        <v>72.386177414753</v>
      </c>
      <c r="J1705" s="6" t="n">
        <f aca="false">MAX(0,(Sens!I1608+Sens!J1608)/2*Sens!J1616/1000-Sens!J1704*Sens!J1684)</f>
        <v>83.8561542203386</v>
      </c>
      <c r="K1705" s="6" t="n">
        <f aca="false">MAX(0,(Sens!J1608+Sens!K1608)/2*Sens!K1616/1000-Sens!K1704*Sens!K1684)</f>
        <v>90.6046701138278</v>
      </c>
      <c r="L1705" s="1" t="s">
        <v>848</v>
      </c>
    </row>
    <row r="1706" customFormat="false" ht="17.15" hidden="false" customHeight="false" outlineLevel="0" collapsed="false">
      <c r="A1706" s="1" t="s">
        <v>849</v>
      </c>
      <c r="B1706" s="0" t="s">
        <v>98</v>
      </c>
      <c r="F1706" s="6" t="n">
        <f aca="false">IF(internal_ai_reading=2,1,0)*Sens!F1705</f>
        <v>20.7922544923746</v>
      </c>
      <c r="G1706" s="6" t="n">
        <f aca="false">IF(internal_ai_reading=2,1,0)*Sens!G1705</f>
        <v>37.7052575228648</v>
      </c>
      <c r="H1706" s="6" t="n">
        <f aca="false">IF(internal_ai_reading=2,1,0)*Sens!H1705</f>
        <v>55.9707166463052</v>
      </c>
      <c r="I1706" s="6" t="n">
        <f aca="false">IF(internal_ai_reading=2,1,0)*Sens!I1705</f>
        <v>72.386177414753</v>
      </c>
      <c r="J1706" s="6" t="n">
        <f aca="false">IF(internal_ai_reading=2,1,0)*Sens!J1705</f>
        <v>83.8561542203386</v>
      </c>
      <c r="K1706" s="6" t="n">
        <f aca="false">IF(internal_ai_reading=2,1,0)*Sens!K1705</f>
        <v>90.6046701138278</v>
      </c>
    </row>
    <row r="1707" customFormat="false" ht="17.15" hidden="false" customHeight="false" outlineLevel="0" collapsed="false">
      <c r="A1707" s="0" t="s">
        <v>850</v>
      </c>
      <c r="B1707" s="0" t="s">
        <v>98</v>
      </c>
      <c r="F1707" s="6" t="n">
        <f aca="false">Sens!F1625+Sens!F1704*Sens!F1684+Sens!F1706-Sens!F1626-Sens!F1636</f>
        <v>28.1579729410051</v>
      </c>
      <c r="G1707" s="6" t="n">
        <f aca="false">Sens!G1625+Sens!G1704*Sens!G1684+Sens!G1706-Sens!G1626-Sens!G1636</f>
        <v>37.6195570863843</v>
      </c>
      <c r="H1707" s="6" t="n">
        <f aca="false">Sens!H1625+Sens!H1704*Sens!H1684+Sens!H1706-Sens!H1626-Sens!H1636</f>
        <v>41.8747846322809</v>
      </c>
      <c r="I1707" s="6" t="n">
        <f aca="false">Sens!I1625+Sens!I1704*Sens!I1684+Sens!I1706-Sens!I1626-Sens!I1636</f>
        <v>53.0124598987798</v>
      </c>
      <c r="J1707" s="6" t="n">
        <f aca="false">Sens!J1625+Sens!J1704*Sens!J1684+Sens!J1706-Sens!J1626-Sens!J1636</f>
        <v>60.6948251683232</v>
      </c>
      <c r="K1707" s="6" t="n">
        <f aca="false">Sens!K1625+Sens!K1704*Sens!K1684+Sens!K1706-Sens!K1626-Sens!K1636</f>
        <v>66.2193164131159</v>
      </c>
    </row>
    <row r="1708" customFormat="false" ht="17.15" hidden="false" customHeight="false" outlineLevel="0" collapsed="false">
      <c r="A1708" s="0" t="s">
        <v>851</v>
      </c>
      <c r="B1708" s="0" t="s">
        <v>98</v>
      </c>
      <c r="E1708" s="6" t="n">
        <f aca="false">Sens!E1607*(cxit_open+self_build*tk_cxfac)/1000*ai_net_open</f>
        <v>126.6980382</v>
      </c>
      <c r="F1708" s="6" t="n">
        <f aca="false">Sens!E1708+Sens!F1633-Sens!F1636</f>
        <v>260.715655514568</v>
      </c>
      <c r="G1708" s="6" t="n">
        <f aca="false">Sens!F1708+Sens!G1633-Sens!G1636</f>
        <v>383.758102737428</v>
      </c>
      <c r="H1708" s="6" t="n">
        <f aca="false">Sens!G1708+Sens!H1633-Sens!H1636</f>
        <v>484.071072654689</v>
      </c>
      <c r="I1708" s="6" t="n">
        <f aca="false">Sens!H1708+Sens!I1633-Sens!I1636</f>
        <v>535.765701826713</v>
      </c>
      <c r="J1708" s="6" t="n">
        <f aca="false">Sens!I1708+Sens!J1633-Sens!J1636</f>
        <v>531.069467622138</v>
      </c>
      <c r="K1708" s="6" t="n">
        <f aca="false">Sens!J1708+Sens!K1633-Sens!K1636</f>
        <v>506.3562564596</v>
      </c>
      <c r="L1708" s="1" t="s">
        <v>852</v>
      </c>
    </row>
    <row r="1709" customFormat="false" ht="17.15" hidden="false" customHeight="false" outlineLevel="0" collapsed="false">
      <c r="A1709" s="0" t="s">
        <v>853</v>
      </c>
      <c r="B1709" s="0" t="s">
        <v>129</v>
      </c>
      <c r="F1709" s="7" t="n">
        <f aca="false">Sens!F1707*(1-tax_f)/((Sens!E1708+Sens!F1708)/2)</f>
        <v>0.116291079630245</v>
      </c>
      <c r="G1709" s="7" t="n">
        <f aca="false">Sens!G1707*(1-tax_f)/((Sens!F1708+Sens!G1708)/2)</f>
        <v>0.0933960313628154</v>
      </c>
      <c r="H1709" s="7" t="n">
        <f aca="false">Sens!H1707*(1-tax_f)/((Sens!G1708+Sens!H1708)/2)</f>
        <v>0.0772037369927977</v>
      </c>
      <c r="I1709" s="7" t="n">
        <f aca="false">Sens!I1707*(1-tax_f)/((Sens!H1708+Sens!I1708)/2)</f>
        <v>0.0831701091394548</v>
      </c>
      <c r="J1709" s="7" t="n">
        <f aca="false">Sens!J1707*(1-tax_f)/((Sens!I1708+Sens!J1708)/2)</f>
        <v>0.0910278579581202</v>
      </c>
      <c r="K1709" s="7" t="n">
        <f aca="false">Sens!K1707*(1-tax_f)/((Sens!J1708+Sens!K1708)/2)</f>
        <v>0.102128666950847</v>
      </c>
    </row>
    <row r="1710" customFormat="false" ht="17.15" hidden="false" customHeight="false" outlineLevel="0" collapsed="false">
      <c r="A1710" s="1" t="s">
        <v>854</v>
      </c>
      <c r="B1710" s="0" t="s">
        <v>129</v>
      </c>
      <c r="F1710" s="7" t="n">
        <f aca="false">(Sens!F1707-Sens!F1706)*(1-tax_f)/((Sens!E1708+Sens!F1708)/2)</f>
        <v>0.0304200644143767</v>
      </c>
      <c r="G1710" s="7" t="n">
        <f aca="false">(Sens!G1707-Sens!G1706)*(1-tax_f)/((Sens!F1708+Sens!G1708)/2)</f>
        <v>-0.000212763819492958</v>
      </c>
      <c r="H1710" s="7" t="n">
        <f aca="false">(Sens!H1707-Sens!H1706)*(1-tax_f)/((Sens!G1708+Sens!H1708)/2)</f>
        <v>-0.0259883994015855</v>
      </c>
      <c r="I1710" s="7" t="n">
        <f aca="false">(Sens!I1707-Sens!I1706)*(1-tax_f)/((Sens!H1708+Sens!I1708)/2)</f>
        <v>-0.0303950090849783</v>
      </c>
      <c r="J1710" s="7" t="n">
        <f aca="false">(Sens!J1707-Sens!J1706)*(1-tax_f)/((Sens!I1708+Sens!J1708)/2)</f>
        <v>-0.0347365062049555</v>
      </c>
      <c r="K1710" s="7" t="n">
        <f aca="false">(Sens!K1707-Sens!K1706)*(1-tax_f)/((Sens!J1708+Sens!K1708)/2)</f>
        <v>-0.0376090210753873</v>
      </c>
    </row>
    <row r="1711" customFormat="false" ht="17.15" hidden="false" customHeight="false" outlineLevel="0" collapsed="false">
      <c r="A1711" s="1" t="s">
        <v>855</v>
      </c>
      <c r="B1711" s="0" t="s">
        <v>129</v>
      </c>
      <c r="F1711" s="7" t="n">
        <f aca="false">(Sens!F1707-Sens!F1706+Sens!F1705)*(1-tax_f)/((Sens!E1708+Sens!F1708)/2)</f>
        <v>0.116291079630245</v>
      </c>
      <c r="G1711" s="7" t="n">
        <f aca="false">(Sens!G1707-Sens!G1706+Sens!G1705)*(1-tax_f)/((Sens!F1708+Sens!G1708)/2)</f>
        <v>0.0933960313628154</v>
      </c>
      <c r="H1711" s="7" t="n">
        <f aca="false">(Sens!H1707-Sens!H1706+Sens!H1705)*(1-tax_f)/((Sens!G1708+Sens!H1708)/2)</f>
        <v>0.0772037369927977</v>
      </c>
      <c r="I1711" s="7" t="n">
        <f aca="false">(Sens!I1707-Sens!I1706+Sens!I1705)*(1-tax_f)/((Sens!H1708+Sens!I1708)/2)</f>
        <v>0.0831701091394548</v>
      </c>
      <c r="J1711" s="7" t="n">
        <f aca="false">(Sens!J1707-Sens!J1706+Sens!J1705)*(1-tax_f)/((Sens!I1708+Sens!J1708)/2)</f>
        <v>0.0910278579581202</v>
      </c>
      <c r="K1711" s="7" t="n">
        <f aca="false">(Sens!K1707-Sens!K1706+Sens!K1705)*(1-tax_f)/((Sens!J1708+Sens!K1708)/2)</f>
        <v>0.102128666950847</v>
      </c>
    </row>
    <row r="1712" customFormat="false" ht="17.15" hidden="false" customHeight="false" outlineLevel="0" collapsed="false">
      <c r="A1712" s="1" t="s">
        <v>856</v>
      </c>
      <c r="B1712" s="0" t="s">
        <v>129</v>
      </c>
      <c r="F1712" s="7" t="n">
        <f aca="false">Sens!F1637*(1-tax_f)/(Sens!F1624*(Sens!E1708+Sens!F1708)/2)</f>
        <v>0.150088041808393</v>
      </c>
      <c r="G1712" s="7" t="n">
        <f aca="false">Sens!G1637*(1-tax_f)/(Sens!G1624*(Sens!F1708+Sens!G1708)/2)</f>
        <v>0.112561913578392</v>
      </c>
      <c r="H1712" s="7" t="n">
        <f aca="false">Sens!H1637*(1-tax_f)/(Sens!H1624*(Sens!G1708+Sens!H1708)/2)</f>
        <v>0.0825158663546618</v>
      </c>
      <c r="I1712" s="7" t="n">
        <f aca="false">Sens!I1637*(1-tax_f)/(Sens!I1624*(Sens!H1708+Sens!I1708)/2)</f>
        <v>0.0885605796985638</v>
      </c>
      <c r="J1712" s="7" t="n">
        <f aca="false">Sens!J1637*(1-tax_f)/(Sens!J1624*(Sens!I1708+Sens!J1708)/2)</f>
        <v>0.0967800326087427</v>
      </c>
      <c r="K1712" s="7" t="n">
        <f aca="false">Sens!K1637*(1-tax_f)/(Sens!K1624*(Sens!J1708+Sens!K1708)/2)</f>
        <v>0.108541314900139</v>
      </c>
    </row>
    <row r="1713" customFormat="false" ht="17.15" hidden="false" customHeight="false" outlineLevel="0" collapsed="false">
      <c r="A1713" s="0" t="s">
        <v>857</v>
      </c>
      <c r="B1713" s="0" t="s">
        <v>209</v>
      </c>
      <c r="F1713" s="7" t="n">
        <f aca="false">Sens!F1709-wacc</f>
        <v>0.0133566595373692</v>
      </c>
      <c r="G1713" s="7" t="n">
        <f aca="false">Sens!G1709-wacc</f>
        <v>-0.0095383887300603</v>
      </c>
      <c r="H1713" s="7" t="n">
        <f aca="false">Sens!H1709-wacc</f>
        <v>-0.0257306831000781</v>
      </c>
      <c r="I1713" s="7" t="n">
        <f aca="false">Sens!I1709-wacc</f>
        <v>-0.019764310953421</v>
      </c>
      <c r="J1713" s="7" t="n">
        <f aca="false">Sens!J1709-wacc</f>
        <v>-0.0119065621347555</v>
      </c>
      <c r="K1713" s="7" t="n">
        <f aca="false">Sens!K1709-wacc</f>
        <v>-0.000805753142028354</v>
      </c>
    </row>
    <row r="1714" customFormat="false" ht="17.15" hidden="false" customHeight="false" outlineLevel="0" collapsed="false">
      <c r="A1714" s="0" t="s">
        <v>858</v>
      </c>
      <c r="B1714" s="0" t="s">
        <v>98</v>
      </c>
      <c r="F1714" s="6" t="n">
        <f aca="false">Sens!F1707*(1-tax_f)-wacc*(Sens!E1708+Sens!F1708)/2</f>
        <v>2.58727640353005</v>
      </c>
      <c r="G1714" s="6" t="n">
        <f aca="false">Sens!G1707*(1-tax_f)-wacc*(Sens!F1708+Sens!G1708)/2</f>
        <v>-3.07362061626522</v>
      </c>
      <c r="H1714" s="6" t="n">
        <f aca="false">Sens!H1707*(1-tax_f)-wacc*(Sens!G1708+Sens!H1708)/2</f>
        <v>-11.1649187485083</v>
      </c>
      <c r="I1714" s="6" t="n">
        <f aca="false">Sens!I1707*(1-tax_f)-wacc*(Sens!H1708+Sens!I1708)/2</f>
        <v>-10.0781855662921</v>
      </c>
      <c r="J1714" s="6" t="n">
        <f aca="false">Sens!J1707*(1-tax_f)-wacc*(Sens!I1708+Sens!J1708)/2</f>
        <v>-6.35116961629258</v>
      </c>
      <c r="K1714" s="6" t="n">
        <f aca="false">Sens!K1707*(1-tax_f)-wacc*(Sens!J1708+Sens!K1708)/2</f>
        <v>-0.417954518399945</v>
      </c>
    </row>
    <row r="1715" customFormat="false" ht="17.15" hidden="false" customHeight="false" outlineLevel="0" collapsed="false">
      <c r="A1715" s="3" t="s">
        <v>1277</v>
      </c>
    </row>
    <row r="1716" customFormat="false" ht="15" hidden="false" customHeight="false" outlineLevel="0" collapsed="false">
      <c r="A1716" s="4" t="s">
        <v>43</v>
      </c>
      <c r="B1716" s="4" t="s">
        <v>65</v>
      </c>
      <c r="C1716" s="20" t="s">
        <v>788</v>
      </c>
      <c r="D1716" s="20" t="s">
        <v>789</v>
      </c>
      <c r="E1716" s="20" t="s">
        <v>790</v>
      </c>
      <c r="F1716" s="20" t="s">
        <v>791</v>
      </c>
      <c r="G1716" s="20" t="s">
        <v>792</v>
      </c>
      <c r="H1716" s="20" t="s">
        <v>793</v>
      </c>
      <c r="I1716" s="20" t="s">
        <v>794</v>
      </c>
      <c r="J1716" s="20" t="s">
        <v>795</v>
      </c>
      <c r="K1716" s="20" t="s">
        <v>796</v>
      </c>
      <c r="L1716" s="4" t="s">
        <v>47</v>
      </c>
    </row>
    <row r="1717" customFormat="false" ht="15" hidden="false" customHeight="false" outlineLevel="0" collapsed="false">
      <c r="A1717" s="1" t="s">
        <v>915</v>
      </c>
      <c r="B1717" s="0" t="s">
        <v>98</v>
      </c>
      <c r="F1717" s="6" t="n">
        <f aca="false">Sens!F1698</f>
        <v>143.05747464543</v>
      </c>
      <c r="G1717" s="6" t="n">
        <f aca="false">Sens!G1698</f>
        <v>152.83157290386</v>
      </c>
      <c r="H1717" s="6" t="n">
        <f aca="false">Sens!H1698</f>
        <v>157.615159561293</v>
      </c>
      <c r="I1717" s="6" t="n">
        <f aca="false">Sens!I1698</f>
        <v>169.087927455907</v>
      </c>
      <c r="J1717" s="6" t="n">
        <f aca="false">Sens!J1698</f>
        <v>180.841079931891</v>
      </c>
      <c r="K1717" s="6" t="n">
        <f aca="false">Sens!K1698</f>
        <v>193.100464702567</v>
      </c>
    </row>
    <row r="1718" customFormat="false" ht="17.15" hidden="false" customHeight="false" outlineLevel="0" collapsed="false">
      <c r="A1718" s="1" t="s">
        <v>937</v>
      </c>
      <c r="B1718" s="0" t="s">
        <v>98</v>
      </c>
      <c r="E1718" s="6" t="n">
        <f aca="false">Q!M38-Sens!E1636</f>
        <v>22.2285940229167</v>
      </c>
      <c r="F1718" s="6" t="n">
        <f aca="false">Sens!E1718*(1-1/life_nonai)+Sens!F1724/life_nonai</f>
        <v>23.5486693435813</v>
      </c>
      <c r="G1718" s="6" t="n">
        <f aca="false">Sens!F1718*(1-1/life_nonai)+Sens!G1724/life_nonai</f>
        <v>25.264091766262</v>
      </c>
      <c r="H1718" s="6" t="n">
        <f aca="false">Sens!G1718*(1-1/life_nonai)+Sens!H1724/life_nonai</f>
        <v>27.3438339540448</v>
      </c>
      <c r="I1718" s="6" t="n">
        <f aca="false">Sens!H1718*(1-1/life_nonai)+Sens!I1724/life_nonai</f>
        <v>29.7317905898047</v>
      </c>
      <c r="J1718" s="6" t="n">
        <f aca="false">Sens!I1718*(1-1/life_nonai)+Sens!J1724/life_nonai</f>
        <v>32.3542028558616</v>
      </c>
      <c r="K1718" s="6" t="n">
        <f aca="false">Sens!J1718*(1-1/life_nonai)+Sens!K1724/life_nonai</f>
        <v>35.1281528444749</v>
      </c>
      <c r="L1718" s="11" t="s">
        <v>938</v>
      </c>
    </row>
    <row r="1719" customFormat="false" ht="17.15" hidden="false" customHeight="false" outlineLevel="0" collapsed="false">
      <c r="A1719" s="1" t="s">
        <v>939</v>
      </c>
      <c r="B1719" s="0" t="s">
        <v>98</v>
      </c>
      <c r="E1719" s="6" t="n">
        <f aca="false">Sens!E1636+Sens!E1718</f>
        <v>38.534</v>
      </c>
      <c r="F1719" s="6" t="n">
        <f aca="false">Sens!F1636+Sens!F1718</f>
        <v>58.301704799451</v>
      </c>
      <c r="G1719" s="6" t="n">
        <f aca="false">Sens!G1636+Sens!G1718</f>
        <v>85.7958250266017</v>
      </c>
      <c r="H1719" s="6" t="n">
        <f aca="false">Sens!H1636+Sens!H1718</f>
        <v>115.111149947184</v>
      </c>
      <c r="I1719" s="6" t="n">
        <f aca="false">Sens!I1636+Sens!I1718</f>
        <v>141.743830572026</v>
      </c>
      <c r="J1719" s="6" t="n">
        <f aca="false">Sens!J1636+Sens!J1718</f>
        <v>161.562913778527</v>
      </c>
      <c r="K1719" s="6" t="n">
        <f aca="false">Sens!K1636+Sens!K1718</f>
        <v>174.800799648948</v>
      </c>
    </row>
    <row r="1720" customFormat="false" ht="17.15" hidden="false" customHeight="false" outlineLevel="0" collapsed="false">
      <c r="A1720" s="1" t="s">
        <v>940</v>
      </c>
      <c r="B1720" s="0" t="s">
        <v>98</v>
      </c>
      <c r="F1720" s="6" t="n">
        <f aca="false">Sens!F1663*sbc_r</f>
        <v>14.994315902368</v>
      </c>
      <c r="G1720" s="6" t="n">
        <f aca="false">Sens!G1663*sbc_r</f>
        <v>17.4826194545484</v>
      </c>
      <c r="H1720" s="6" t="n">
        <f aca="false">Sens!H1663*sbc_r</f>
        <v>19.7966017188514</v>
      </c>
      <c r="I1720" s="6" t="n">
        <f aca="false">Sens!I1663*sbc_r</f>
        <v>22.2400395527648</v>
      </c>
      <c r="J1720" s="6" t="n">
        <f aca="false">Sens!J1663*sbc_r</f>
        <v>24.2768180908639</v>
      </c>
      <c r="K1720" s="6" t="n">
        <f aca="false">Sens!K1663*sbc_r</f>
        <v>25.923256033877</v>
      </c>
    </row>
    <row r="1721" customFormat="false" ht="17.15" hidden="false" customHeight="false" outlineLevel="0" collapsed="false">
      <c r="A1721" s="1" t="s">
        <v>941</v>
      </c>
      <c r="B1721" s="0" t="s">
        <v>98</v>
      </c>
      <c r="F1721" s="6" t="n">
        <f aca="false">wc27</f>
        <v>-4.895</v>
      </c>
      <c r="G1721" s="6" t="n">
        <f aca="false">wc_f</f>
        <v>0</v>
      </c>
      <c r="H1721" s="6" t="n">
        <f aca="false">wc_f</f>
        <v>0</v>
      </c>
      <c r="I1721" s="6" t="n">
        <f aca="false">wc_f</f>
        <v>0</v>
      </c>
      <c r="J1721" s="6" t="n">
        <f aca="false">wc_f</f>
        <v>0</v>
      </c>
      <c r="K1721" s="6" t="n">
        <f aca="false">wc_f</f>
        <v>0</v>
      </c>
      <c r="L1721" s="11" t="s">
        <v>942</v>
      </c>
    </row>
    <row r="1722" customFormat="false" ht="15" hidden="false" customHeight="false" outlineLevel="0" collapsed="false">
      <c r="A1722" s="1" t="s">
        <v>756</v>
      </c>
      <c r="B1722" s="0" t="s">
        <v>98</v>
      </c>
      <c r="E1722" s="6" t="n">
        <f aca="false">Q!M35</f>
        <v>182.935</v>
      </c>
      <c r="F1722" s="6" t="n">
        <f aca="false">Sens!F1717+Sens!F1719+Sens!F1720+Sens!F1721</f>
        <v>211.458495347249</v>
      </c>
      <c r="G1722" s="6" t="n">
        <f aca="false">Sens!G1717+Sens!G1719+Sens!G1720+Sens!G1721</f>
        <v>256.11001738501</v>
      </c>
      <c r="H1722" s="6" t="n">
        <f aca="false">Sens!H1717+Sens!H1719+Sens!H1720+Sens!H1721</f>
        <v>292.522911227328</v>
      </c>
      <c r="I1722" s="6" t="n">
        <f aca="false">Sens!I1717+Sens!I1719+Sens!I1720+Sens!I1721</f>
        <v>333.071797580698</v>
      </c>
      <c r="J1722" s="6" t="n">
        <f aca="false">Sens!J1717+Sens!J1719+Sens!J1720+Sens!J1721</f>
        <v>366.680811801283</v>
      </c>
      <c r="K1722" s="6" t="n">
        <f aca="false">Sens!K1717+Sens!K1719+Sens!K1720+Sens!K1721</f>
        <v>393.824520385392</v>
      </c>
    </row>
    <row r="1723" customFormat="false" ht="17.15" hidden="false" customHeight="false" outlineLevel="0" collapsed="false">
      <c r="A1723" s="0" t="s">
        <v>943</v>
      </c>
      <c r="B1723" s="0" t="s">
        <v>98</v>
      </c>
      <c r="F1723" s="6" t="n">
        <f aca="false">Sens!F1633</f>
        <v>168.770652770438</v>
      </c>
      <c r="G1723" s="6" t="n">
        <f aca="false">Sens!G1633</f>
        <v>183.5741804832</v>
      </c>
      <c r="H1723" s="6" t="n">
        <f aca="false">Sens!H1633</f>
        <v>188.0802859104</v>
      </c>
      <c r="I1723" s="6" t="n">
        <f aca="false">Sens!I1633</f>
        <v>163.706669154245</v>
      </c>
      <c r="J1723" s="6" t="n">
        <f aca="false">Sens!J1633</f>
        <v>124.51247671809</v>
      </c>
      <c r="K1723" s="6" t="n">
        <f aca="false">Sens!K1633</f>
        <v>114.959435641936</v>
      </c>
    </row>
    <row r="1724" customFormat="false" ht="17.15" hidden="false" customHeight="false" outlineLevel="0" collapsed="false">
      <c r="A1724" s="1" t="s">
        <v>944</v>
      </c>
      <c r="B1724" s="0" t="s">
        <v>98</v>
      </c>
      <c r="E1724" s="6" t="n">
        <f aca="false">Sens!E1641*cx_azo+Sens!E1648*cx_m365+Sens!E1649*cx_lic+(Sens!E1651+Sens!E1653)*cx_ind+Sens!E1656*cx_srch+(Sens!E1658+Sens!E1660)*cx_dev</f>
        <v>30.1846587067718</v>
      </c>
      <c r="F1724" s="6" t="n">
        <f aca="false">Sens!F1641*cx_azo+Sens!F1648*cx_m365+Sens!F1649*cx_lic+(Sens!F1651+Sens!F1653)*cx_ind+Sens!F1656*cx_srch+(Sens!F1658+Sens!F1660)*cx_dev</f>
        <v>35.4293472295625</v>
      </c>
      <c r="G1724" s="6" t="n">
        <f aca="false">Sens!G1641*cx_azo+Sens!G1648*cx_m365+Sens!G1649*cx_lic+(Sens!G1651+Sens!G1653)*cx_ind+Sens!G1656*cx_srch+(Sens!G1658+Sens!G1660)*cx_dev</f>
        <v>40.7028935703892</v>
      </c>
      <c r="H1724" s="6" t="n">
        <f aca="false">Sens!H1641*cx_azo+Sens!H1648*cx_m365+Sens!H1649*cx_lic+(Sens!H1651+Sens!H1653)*cx_ind+Sens!H1656*cx_srch+(Sens!H1658+Sens!H1660)*cx_dev</f>
        <v>46.0615136440897</v>
      </c>
      <c r="I1724" s="6" t="n">
        <f aca="false">Sens!I1641*cx_azo+Sens!I1648*cx_m365+Sens!I1649*cx_lic+(Sens!I1651+Sens!I1653)*cx_ind+Sens!I1656*cx_srch+(Sens!I1658+Sens!I1660)*cx_dev</f>
        <v>51.2234003116439</v>
      </c>
      <c r="J1724" s="6" t="n">
        <f aca="false">Sens!J1641*cx_azo+Sens!J1648*cx_m365+Sens!J1649*cx_lic+(Sens!J1651+Sens!J1653)*cx_ind+Sens!J1656*cx_srch+(Sens!J1658+Sens!J1660)*cx_dev</f>
        <v>55.9559132503738</v>
      </c>
      <c r="K1724" s="6" t="n">
        <f aca="false">Sens!K1641*cx_azo+Sens!K1648*cx_m365+Sens!K1649*cx_lic+(Sens!K1651+Sens!K1653)*cx_ind+Sens!K1656*cx_srch+(Sens!K1658+Sens!K1660)*cx_dev</f>
        <v>60.093702741994</v>
      </c>
    </row>
    <row r="1725" customFormat="false" ht="17.15" hidden="false" customHeight="false" outlineLevel="0" collapsed="false">
      <c r="A1725" s="1" t="s">
        <v>945</v>
      </c>
      <c r="B1725" s="0" t="s">
        <v>98</v>
      </c>
      <c r="E1725" s="6" t="n">
        <f aca="false">Q!M42</f>
        <v>145.3</v>
      </c>
      <c r="F1725" s="6" t="n">
        <f aca="false">Sens!F1723+Sens!F1724</f>
        <v>204.2</v>
      </c>
      <c r="G1725" s="6" t="n">
        <f aca="false">Sens!G1723+Sens!G1724</f>
        <v>224.277074053589</v>
      </c>
      <c r="H1725" s="6" t="n">
        <f aca="false">Sens!H1723+Sens!H1724</f>
        <v>234.14179955449</v>
      </c>
      <c r="I1725" s="6" t="n">
        <f aca="false">Sens!I1723+Sens!I1724</f>
        <v>214.930069465889</v>
      </c>
      <c r="J1725" s="6" t="n">
        <f aca="false">Sens!J1723+Sens!J1724</f>
        <v>180.468389968464</v>
      </c>
      <c r="K1725" s="6" t="n">
        <f aca="false">Sens!K1723+Sens!K1724</f>
        <v>175.05313838393</v>
      </c>
      <c r="L1725" s="1" t="s">
        <v>946</v>
      </c>
    </row>
    <row r="1726" customFormat="false" ht="15" hidden="false" customHeight="false" outlineLevel="0" collapsed="false">
      <c r="A1726" s="1" t="s">
        <v>947</v>
      </c>
      <c r="B1726" s="0" t="s">
        <v>98</v>
      </c>
      <c r="E1726" s="6" t="n">
        <f aca="false">fl_liab</f>
        <v>66.594</v>
      </c>
      <c r="F1726" s="6" t="n">
        <f aca="false">Sens!E1726-Sens!F1727</f>
        <v>62.46973</v>
      </c>
      <c r="G1726" s="6" t="n">
        <f aca="false">Sens!F1726-Sens!G1727</f>
        <v>57.98686785</v>
      </c>
      <c r="H1726" s="6" t="n">
        <f aca="false">Sens!G1726-Sens!H1727</f>
        <v>53.92827690325</v>
      </c>
      <c r="I1726" s="6" t="n">
        <f aca="false">Sens!H1726-Sens!I1727</f>
        <v>49.7850493638962</v>
      </c>
      <c r="J1726" s="6" t="n">
        <f aca="false">Sens!I1726-Sens!J1727</f>
        <v>45.4823765852716</v>
      </c>
      <c r="K1726" s="6" t="n">
        <f aca="false">Sens!J1726-Sens!K1727</f>
        <v>40.9860835316088</v>
      </c>
    </row>
    <row r="1727" customFormat="false" ht="15" hidden="false" customHeight="false" outlineLevel="0" collapsed="false">
      <c r="A1727" s="1" t="s">
        <v>948</v>
      </c>
      <c r="B1727" s="0" t="s">
        <v>98</v>
      </c>
      <c r="F1727" s="6" t="n">
        <f aca="false">fl_pay_27-Sens!E1726*fl_rate</f>
        <v>4.12427</v>
      </c>
      <c r="G1727" s="6" t="n">
        <f aca="false">fl_pay_28-Sens!F1726*fl_rate</f>
        <v>4.48286215</v>
      </c>
      <c r="H1727" s="6" t="n">
        <f aca="false">fl_pay_29-Sens!G1726*fl_rate</f>
        <v>4.05859094675</v>
      </c>
      <c r="I1727" s="6" t="n">
        <f aca="false">fl_pay_30-Sens!H1726*fl_rate</f>
        <v>4.14322753935375</v>
      </c>
      <c r="J1727" s="6" t="n">
        <f aca="false">fl_pay_31-Sens!I1726*fl_rate</f>
        <v>4.30267277862467</v>
      </c>
      <c r="K1727" s="6" t="n">
        <f aca="false">fl_pay_32-Sens!J1726*fl_rate</f>
        <v>4.49629305366278</v>
      </c>
    </row>
    <row r="1728" customFormat="false" ht="17.15" hidden="false" customHeight="false" outlineLevel="0" collapsed="false">
      <c r="A1728" s="1" t="s">
        <v>949</v>
      </c>
      <c r="B1728" s="0" t="s">
        <v>98</v>
      </c>
      <c r="E1728" s="6" t="n">
        <f aca="false">Q!M35-Q!M36-Q!M43</f>
        <v>63.886</v>
      </c>
      <c r="F1728" s="6" t="n">
        <f aca="false">Sens!F1722-Sens!F1725-Sens!F1727</f>
        <v>3.13422534724907</v>
      </c>
      <c r="G1728" s="6" t="n">
        <f aca="false">Sens!G1722-Sens!G1725-Sens!G1727</f>
        <v>27.3500811814212</v>
      </c>
      <c r="H1728" s="6" t="n">
        <f aca="false">Sens!H1722-Sens!H1725-Sens!H1727</f>
        <v>54.3225207260887</v>
      </c>
      <c r="I1728" s="6" t="n">
        <f aca="false">Sens!I1722-Sens!I1725-Sens!I1727</f>
        <v>113.998500575455</v>
      </c>
      <c r="J1728" s="6" t="n">
        <f aca="false">Sens!J1722-Sens!J1725-Sens!J1727</f>
        <v>181.909749054194</v>
      </c>
      <c r="K1728" s="6" t="n">
        <f aca="false">Sens!K1722-Sens!K1725-Sens!K1727</f>
        <v>214.275088947799</v>
      </c>
      <c r="L1728" s="11" t="s">
        <v>950</v>
      </c>
    </row>
    <row r="1729" customFormat="false" ht="15" hidden="false" customHeight="false" outlineLevel="0" collapsed="false">
      <c r="A1729" s="1" t="s">
        <v>951</v>
      </c>
      <c r="B1729" s="0" t="s">
        <v>75</v>
      </c>
      <c r="F1729" s="8" t="n">
        <f aca="false">dps_27</f>
        <v>3.85</v>
      </c>
      <c r="G1729" s="8" t="n">
        <f aca="false">Sens!F1729*(1+dps_g)</f>
        <v>4.158</v>
      </c>
      <c r="H1729" s="8" t="n">
        <f aca="false">Sens!G1729*(1+dps_g)</f>
        <v>4.49064</v>
      </c>
      <c r="I1729" s="8" t="n">
        <f aca="false">Sens!H1729*(1+dps_g)</f>
        <v>4.8498912</v>
      </c>
      <c r="J1729" s="8" t="n">
        <f aca="false">Sens!I1729*(1+dps_g)</f>
        <v>5.237882496</v>
      </c>
      <c r="K1729" s="8" t="n">
        <f aca="false">Sens!J1729*(1+dps_g)</f>
        <v>5.65691309568</v>
      </c>
    </row>
    <row r="1730" customFormat="false" ht="17.15" hidden="false" customHeight="false" outlineLevel="0" collapsed="false">
      <c r="A1730" s="1" t="s">
        <v>952</v>
      </c>
      <c r="B1730" s="0" t="s">
        <v>98</v>
      </c>
      <c r="E1730" s="6" t="n">
        <f aca="false">Q!M41</f>
        <v>26.445</v>
      </c>
      <c r="F1730" s="6" t="n">
        <f aca="false">Sens!F1729*Sens!E1739</f>
        <v>28.59395</v>
      </c>
      <c r="G1730" s="6" t="n">
        <f aca="false">Sens!G1729*Sens!F1739</f>
        <v>31.068576</v>
      </c>
      <c r="H1730" s="6" t="n">
        <f aca="false">Sens!H1729*Sens!G1739</f>
        <v>33.75614088</v>
      </c>
      <c r="I1730" s="6" t="n">
        <f aca="false">Sens!I1729*Sens!H1739</f>
        <v>36.5354090259573</v>
      </c>
      <c r="J1730" s="6" t="n">
        <f aca="false">Sens!J1729*Sens!I1739</f>
        <v>39.5266405963533</v>
      </c>
      <c r="K1730" s="6" t="n">
        <f aca="false">Sens!K1729*Sens!J1739</f>
        <v>42.7760270693666</v>
      </c>
      <c r="L1730" s="1" t="s">
        <v>953</v>
      </c>
    </row>
    <row r="1731" customFormat="false" ht="15" hidden="false" customHeight="false" outlineLevel="0" collapsed="false">
      <c r="A1731" s="1" t="s">
        <v>954</v>
      </c>
      <c r="B1731" s="0" t="s">
        <v>98</v>
      </c>
      <c r="E1731" s="6" t="n">
        <f aca="false">Sens!E1728-Sens!E1730</f>
        <v>37.441</v>
      </c>
      <c r="F1731" s="6" t="n">
        <f aca="false">Sens!F1728-Sens!F1730</f>
        <v>-25.4597246527509</v>
      </c>
      <c r="G1731" s="6" t="n">
        <f aca="false">Sens!G1728-Sens!G1730</f>
        <v>-3.71849481857879</v>
      </c>
      <c r="H1731" s="6" t="n">
        <f aca="false">Sens!H1728-Sens!H1730</f>
        <v>20.5663798460887</v>
      </c>
      <c r="I1731" s="6" t="n">
        <f aca="false">Sens!I1728-Sens!I1730</f>
        <v>77.4630915494974</v>
      </c>
      <c r="J1731" s="6" t="n">
        <f aca="false">Sens!J1728-Sens!J1730</f>
        <v>142.383108457841</v>
      </c>
      <c r="K1731" s="6" t="n">
        <f aca="false">Sens!K1728-Sens!K1730</f>
        <v>171.499061878433</v>
      </c>
    </row>
    <row r="1732" customFormat="false" ht="15" hidden="false" customHeight="false" outlineLevel="0" collapsed="false">
      <c r="A1732" s="1" t="s">
        <v>955</v>
      </c>
      <c r="B1732" s="0" t="s">
        <v>98</v>
      </c>
      <c r="F1732" s="6" t="n">
        <f aca="false">debt_mat_27</f>
        <v>9.25</v>
      </c>
      <c r="G1732" s="6" t="n">
        <f aca="false">debt_mat_28</f>
        <v>0</v>
      </c>
      <c r="H1732" s="6" t="n">
        <f aca="false">debt_mat_29</f>
        <v>2.001</v>
      </c>
      <c r="I1732" s="6" t="n">
        <f aca="false">debt_mat_30</f>
        <v>0</v>
      </c>
      <c r="J1732" s="6" t="n">
        <f aca="false">debt_mat_31</f>
        <v>0.5</v>
      </c>
      <c r="K1732" s="6" t="n">
        <f aca="false">debt_mat_32</f>
        <v>0</v>
      </c>
    </row>
    <row r="1733" customFormat="false" ht="15" hidden="false" customHeight="false" outlineLevel="0" collapsed="false">
      <c r="A1733" s="1" t="s">
        <v>956</v>
      </c>
      <c r="B1733" s="0" t="s">
        <v>98</v>
      </c>
      <c r="E1733" s="6" t="n">
        <f aca="false">Q!M40</f>
        <v>22.271</v>
      </c>
      <c r="F1733" s="6" t="n">
        <f aca="false">MAX(0,MIN(bb_target,Sens!E1735+Sens!F1731-Sens!F1732-min_cash))</f>
        <v>0</v>
      </c>
      <c r="G1733" s="6" t="n">
        <f aca="false">MAX(0,MIN(bb_target,Sens!F1735+Sens!G1731-Sens!G1732-min_cash))</f>
        <v>0</v>
      </c>
      <c r="H1733" s="6" t="n">
        <f aca="false">MAX(0,MIN(bb_target,Sens!G1735+Sens!H1731-Sens!H1732-min_cash))</f>
        <v>18.5653798460887</v>
      </c>
      <c r="I1733" s="6" t="n">
        <f aca="false">MAX(0,MIN(bb_target,Sens!H1735+Sens!I1731-Sens!I1732-min_cash))</f>
        <v>22.271</v>
      </c>
      <c r="J1733" s="6" t="n">
        <f aca="false">MAX(0,MIN(bb_target,Sens!I1735+Sens!J1731-Sens!J1732-min_cash))</f>
        <v>22.271</v>
      </c>
      <c r="K1733" s="6" t="n">
        <f aca="false">MAX(0,MIN(bb_target,Sens!J1735+Sens!K1731-Sens!K1732-min_cash))</f>
        <v>22.271</v>
      </c>
    </row>
    <row r="1734" customFormat="false" ht="15" hidden="false" customHeight="false" outlineLevel="0" collapsed="false">
      <c r="A1734" s="1" t="s">
        <v>957</v>
      </c>
      <c r="B1734" s="0" t="s">
        <v>98</v>
      </c>
      <c r="F1734" s="6" t="n">
        <f aca="false">MAX(0,min_cash-(Sens!E1735+Sens!F1731-Sens!F1732-Sens!F1733))</f>
        <v>7.86672465275093</v>
      </c>
      <c r="G1734" s="6" t="n">
        <f aca="false">MAX(0,min_cash-(Sens!F1735+Sens!G1731-Sens!G1732-Sens!G1733))</f>
        <v>3.71849481857879</v>
      </c>
      <c r="H1734" s="6" t="n">
        <f aca="false">MAX(0,min_cash-(Sens!G1735+Sens!H1731-Sens!H1732-Sens!H1733))</f>
        <v>0</v>
      </c>
      <c r="I1734" s="6" t="n">
        <f aca="false">MAX(0,min_cash-(Sens!H1735+Sens!I1731-Sens!I1732-Sens!I1733))</f>
        <v>0</v>
      </c>
      <c r="J1734" s="6" t="n">
        <f aca="false">MAX(0,min_cash-(Sens!I1735+Sens!J1731-Sens!J1732-Sens!J1733))</f>
        <v>0</v>
      </c>
      <c r="K1734" s="6" t="n">
        <f aca="false">MAX(0,min_cash-(Sens!J1735+Sens!K1731-Sens!K1732-Sens!K1733))</f>
        <v>0</v>
      </c>
    </row>
    <row r="1735" customFormat="false" ht="15" hidden="false" customHeight="false" outlineLevel="0" collapsed="false">
      <c r="A1735" s="1" t="s">
        <v>958</v>
      </c>
      <c r="B1735" s="0" t="s">
        <v>98</v>
      </c>
      <c r="E1735" s="6" t="n">
        <f aca="false">cash_open</f>
        <v>76.843</v>
      </c>
      <c r="F1735" s="6" t="n">
        <f aca="false">Sens!E1735+Sens!F1731-Sens!F1732-Sens!F1733+Sens!F1734</f>
        <v>50</v>
      </c>
      <c r="G1735" s="6" t="n">
        <f aca="false">Sens!F1735+Sens!G1731-Sens!G1732-Sens!G1733+Sens!G1734</f>
        <v>50</v>
      </c>
      <c r="H1735" s="6" t="n">
        <f aca="false">Sens!G1735+Sens!H1731-Sens!H1732-Sens!H1733+Sens!H1734</f>
        <v>50</v>
      </c>
      <c r="I1735" s="6" t="n">
        <f aca="false">Sens!H1735+Sens!I1731-Sens!I1732-Sens!I1733+Sens!I1734</f>
        <v>105.192091549497</v>
      </c>
      <c r="J1735" s="6" t="n">
        <f aca="false">Sens!I1735+Sens!J1731-Sens!J1732-Sens!J1733+Sens!J1734</f>
        <v>224.804200007338</v>
      </c>
      <c r="K1735" s="6" t="n">
        <f aca="false">Sens!J1735+Sens!K1731-Sens!K1732-Sens!K1733+Sens!K1734</f>
        <v>374.032261885771</v>
      </c>
    </row>
    <row r="1736" customFormat="false" ht="15" hidden="false" customHeight="false" outlineLevel="0" collapsed="false">
      <c r="A1736" s="1" t="s">
        <v>959</v>
      </c>
      <c r="B1736" s="0" t="s">
        <v>98</v>
      </c>
      <c r="E1736" s="6" t="n">
        <f aca="false">debt_face</f>
        <v>46.136</v>
      </c>
      <c r="F1736" s="6" t="n">
        <f aca="false">Sens!E1736-Sens!F1732+Sens!F1734</f>
        <v>44.7527246527509</v>
      </c>
      <c r="G1736" s="6" t="n">
        <f aca="false">Sens!F1736-Sens!G1732+Sens!G1734</f>
        <v>48.4712194713297</v>
      </c>
      <c r="H1736" s="6" t="n">
        <f aca="false">Sens!G1736-Sens!H1732+Sens!H1734</f>
        <v>46.4702194713297</v>
      </c>
      <c r="I1736" s="6" t="n">
        <f aca="false">Sens!H1736-Sens!I1732+Sens!I1734</f>
        <v>46.4702194713297</v>
      </c>
      <c r="J1736" s="6" t="n">
        <f aca="false">Sens!I1736-Sens!J1732+Sens!J1734</f>
        <v>45.9702194713297</v>
      </c>
      <c r="K1736" s="6" t="n">
        <f aca="false">Sens!J1736-Sens!K1732+Sens!K1734</f>
        <v>45.9702194713297</v>
      </c>
    </row>
    <row r="1737" customFormat="false" ht="15" hidden="false" customHeight="false" outlineLevel="0" collapsed="false">
      <c r="A1737" s="1" t="s">
        <v>960</v>
      </c>
      <c r="B1737" s="0" t="s">
        <v>98</v>
      </c>
      <c r="E1737" s="6" t="n">
        <f aca="false">Sens!E1735-Sens!E1736</f>
        <v>30.707</v>
      </c>
      <c r="F1737" s="6" t="n">
        <f aca="false">Sens!F1735-Sens!F1736</f>
        <v>5.24727534724907</v>
      </c>
      <c r="G1737" s="6" t="n">
        <f aca="false">Sens!G1735-Sens!G1736</f>
        <v>1.52878052867028</v>
      </c>
      <c r="H1737" s="6" t="n">
        <f aca="false">Sens!H1735-Sens!H1736</f>
        <v>3.52978052867027</v>
      </c>
      <c r="I1737" s="6" t="n">
        <f aca="false">Sens!I1735-Sens!I1736</f>
        <v>58.7218720781677</v>
      </c>
      <c r="J1737" s="6" t="n">
        <f aca="false">Sens!J1735-Sens!J1736</f>
        <v>178.833980536008</v>
      </c>
      <c r="K1737" s="6" t="n">
        <f aca="false">Sens!K1735-Sens!K1736</f>
        <v>328.062042414441</v>
      </c>
    </row>
    <row r="1738" customFormat="false" ht="15" hidden="false" customHeight="false" outlineLevel="0" collapsed="false">
      <c r="A1738" s="1" t="s">
        <v>961</v>
      </c>
      <c r="B1738" s="0" t="s">
        <v>75</v>
      </c>
      <c r="F1738" s="29" t="n">
        <f aca="false">px*(1+bb_g)^(Sens!F1602-base_fy-mid_yr)</f>
        <v>553.494156066711</v>
      </c>
      <c r="G1738" s="29" t="n">
        <f aca="false">px*(1+bb_g)^(Sens!G1602-base_fy-mid_yr)</f>
        <v>597.773688552047</v>
      </c>
      <c r="H1738" s="29" t="n">
        <f aca="false">px*(1+bb_g)^(Sens!H1602-base_fy-mid_yr)</f>
        <v>645.595583636211</v>
      </c>
      <c r="I1738" s="29" t="n">
        <f aca="false">px*(1+bb_g)^(Sens!I1602-base_fy-mid_yr)</f>
        <v>697.243230327108</v>
      </c>
      <c r="J1738" s="29" t="n">
        <f aca="false">px*(1+bb_g)^(Sens!J1602-base_fy-mid_yr)</f>
        <v>753.022688753277</v>
      </c>
      <c r="K1738" s="29" t="n">
        <f aca="false">px*(1+bb_g)^(Sens!K1602-base_fy-mid_yr)</f>
        <v>813.264503853539</v>
      </c>
    </row>
    <row r="1739" customFormat="false" ht="15" hidden="false" customHeight="false" outlineLevel="0" collapsed="false">
      <c r="A1739" s="1" t="s">
        <v>962</v>
      </c>
      <c r="B1739" s="1" t="s">
        <v>81</v>
      </c>
      <c r="E1739" s="14" t="n">
        <f aca="false">sh_out26</f>
        <v>7.427</v>
      </c>
      <c r="F1739" s="14" t="n">
        <f aca="false">Sens!E1739+sh_iss-Sens!F1733/Sens!F1738</f>
        <v>7.472</v>
      </c>
      <c r="G1739" s="14" t="n">
        <f aca="false">Sens!F1739+sh_iss-Sens!G1733/Sens!G1738</f>
        <v>7.517</v>
      </c>
      <c r="H1739" s="14" t="n">
        <f aca="false">Sens!G1739+sh_iss-Sens!H1733/Sens!H1738</f>
        <v>7.53324301913355</v>
      </c>
      <c r="I1739" s="14" t="n">
        <f aca="false">Sens!H1739+sh_iss-Sens!I1733/Sens!I1738</f>
        <v>7.54630151144828</v>
      </c>
      <c r="J1739" s="14" t="n">
        <f aca="false">Sens!I1739+sh_iss-Sens!J1733/Sens!J1738</f>
        <v>7.56172604136932</v>
      </c>
      <c r="K1739" s="14" t="n">
        <f aca="false">Sens!J1739+sh_iss-Sens!K1733/Sens!K1738</f>
        <v>7.57934134685176</v>
      </c>
    </row>
    <row r="1740" customFormat="false" ht="15" hidden="false" customHeight="false" outlineLevel="0" collapsed="false">
      <c r="A1740" s="1" t="s">
        <v>963</v>
      </c>
      <c r="B1740" s="1" t="s">
        <v>81</v>
      </c>
      <c r="E1740" s="14" t="n">
        <f aca="false">sh_dil26</f>
        <v>7.453</v>
      </c>
      <c r="F1740" s="14" t="n">
        <f aca="false">(Sens!E1739+Sens!F1739)/2+dil_gap</f>
        <v>7.4735</v>
      </c>
      <c r="G1740" s="14" t="n">
        <f aca="false">(Sens!F1739+Sens!G1739)/2+dil_gap</f>
        <v>7.5185</v>
      </c>
      <c r="H1740" s="14" t="n">
        <f aca="false">(Sens!G1739+Sens!H1739)/2+dil_gap</f>
        <v>7.54912150956678</v>
      </c>
      <c r="I1740" s="14" t="n">
        <f aca="false">(Sens!H1739+Sens!I1739)/2+dil_gap</f>
        <v>7.56377226529092</v>
      </c>
      <c r="J1740" s="14" t="n">
        <f aca="false">(Sens!I1739+Sens!J1739)/2+dil_gap</f>
        <v>7.5780137764088</v>
      </c>
      <c r="K1740" s="14" t="n">
        <f aca="false">(Sens!J1739+Sens!K1739)/2+dil_gap</f>
        <v>7.59453369411054</v>
      </c>
    </row>
    <row r="1741" customFormat="false" ht="17.15" hidden="false" customHeight="false" outlineLevel="0" collapsed="false">
      <c r="A1741" s="1" t="s">
        <v>964</v>
      </c>
      <c r="B1741" s="0" t="s">
        <v>98</v>
      </c>
      <c r="C1741" s="6" t="n">
        <f aca="false">SUM(Sens!F1731:J1731)</f>
        <v>211.234360382097</v>
      </c>
    </row>
    <row r="1742" customFormat="false" ht="15" hidden="false" customHeight="false" outlineLevel="0" collapsed="false">
      <c r="A1742" s="23" t="s">
        <v>935</v>
      </c>
      <c r="B1742" s="30" t="s">
        <v>98</v>
      </c>
      <c r="C1742" s="24" t="n">
        <f aca="false">Sens!$C$1741-(Sens!F1731+Sens!G1731+Sens!H1731+Sens!I1731+Sens!J1731)</f>
        <v>0</v>
      </c>
      <c r="D1742" s="30"/>
      <c r="E1742" s="30"/>
      <c r="F1742" s="30"/>
      <c r="G1742" s="30"/>
      <c r="H1742" s="30"/>
      <c r="I1742" s="30"/>
      <c r="J1742" s="30"/>
      <c r="K1742" s="30"/>
    </row>
    <row r="1743" customFormat="false" ht="17.15" hidden="false" customHeight="false" outlineLevel="0" collapsed="false">
      <c r="A1743" s="1" t="s">
        <v>929</v>
      </c>
      <c r="B1743" s="1" t="s">
        <v>965</v>
      </c>
      <c r="C1743" s="32" t="str">
        <f aca="false">IF(SUM(Sens!F1734:J1734)&gt;0.05,"需要舉債 "&amp;TEXT(SUM(Sens!F1734:J1734),"0.0")&amp;" 十億美元","不需舉債")&amp;"；"&amp;IF(SUM(Sens!F1733:J1733)&lt;COUNT(Sens!F1733:J1733)*bb_target-0.05,"回購較每年 "&amp;TEXT(bb_target,"0.0")&amp;" 的目標少 "&amp;TEXT(COUNT(Sens!F1733:J1733)*bb_target-SUM(Sens!F1733:J1733),"0.0")&amp;" 十億美元（"&amp;TEXT(COUNTIF(Sens!F1733:J1733,"&lt;"&amp;(bb_target-0.05)),"0")&amp;" 年減少）","回購不減")</f>
        <v>需要舉債 11.6 十億美元；回購較每年 22.3 的目標少 48.2 十億美元（3 年減少）</v>
      </c>
    </row>
    <row r="1744" customFormat="false" ht="17.15" hidden="false" customHeight="false" outlineLevel="0" collapsed="false">
      <c r="A1744" s="3" t="s">
        <v>1278</v>
      </c>
    </row>
    <row r="1745" customFormat="false" ht="15" hidden="false" customHeight="false" outlineLevel="0" collapsed="false">
      <c r="A1745" s="4" t="s">
        <v>43</v>
      </c>
      <c r="B1745" s="4" t="s">
        <v>65</v>
      </c>
      <c r="C1745" s="20" t="s">
        <v>788</v>
      </c>
      <c r="D1745" s="20" t="s">
        <v>789</v>
      </c>
      <c r="E1745" s="20" t="s">
        <v>790</v>
      </c>
      <c r="F1745" s="20" t="s">
        <v>791</v>
      </c>
      <c r="G1745" s="20" t="s">
        <v>792</v>
      </c>
      <c r="H1745" s="20" t="s">
        <v>793</v>
      </c>
      <c r="I1745" s="20" t="s">
        <v>794</v>
      </c>
      <c r="J1745" s="20" t="s">
        <v>795</v>
      </c>
      <c r="K1745" s="20" t="s">
        <v>796</v>
      </c>
      <c r="L1745" s="4" t="s">
        <v>47</v>
      </c>
    </row>
    <row r="1746" customFormat="false" ht="15" hidden="false" customHeight="false" outlineLevel="0" collapsed="false">
      <c r="A1746" s="1" t="s">
        <v>1042</v>
      </c>
      <c r="B1746" s="1" t="s">
        <v>235</v>
      </c>
      <c r="F1746" s="36" t="n">
        <f aca="false">Sens!F1602-base_fy-mid_yr</f>
        <v>0.5</v>
      </c>
      <c r="G1746" s="36" t="n">
        <f aca="false">Sens!G1602-base_fy-mid_yr</f>
        <v>1.5</v>
      </c>
      <c r="H1746" s="36" t="n">
        <f aca="false">Sens!H1602-base_fy-mid_yr</f>
        <v>2.5</v>
      </c>
      <c r="I1746" s="36" t="n">
        <f aca="false">Sens!I1602-base_fy-mid_yr</f>
        <v>3.5</v>
      </c>
      <c r="J1746" s="36" t="n">
        <f aca="false">Sens!J1602-base_fy-mid_yr</f>
        <v>4.5</v>
      </c>
      <c r="K1746" s="36" t="n">
        <f aca="false">Sens!K1602-base_fy-mid_yr</f>
        <v>5.5</v>
      </c>
    </row>
    <row r="1747" customFormat="false" ht="15" hidden="false" customHeight="false" outlineLevel="0" collapsed="false">
      <c r="A1747" s="1" t="s">
        <v>1043</v>
      </c>
      <c r="B1747" s="0" t="s">
        <v>185</v>
      </c>
      <c r="F1747" s="14" t="n">
        <f aca="false">1/(1+wacc)^Sens!F1746</f>
        <v>0.952193373608246</v>
      </c>
      <c r="G1747" s="14" t="n">
        <f aca="false">1/(1+wacc)^Sens!G1746</f>
        <v>0.863327280626589</v>
      </c>
      <c r="H1747" s="14" t="n">
        <f aca="false">1/(1+wacc)^Sens!H1746</f>
        <v>0.782754862754115</v>
      </c>
      <c r="I1747" s="14" t="n">
        <f aca="false">1/(1+wacc)^Sens!I1746</f>
        <v>0.709702089711011</v>
      </c>
      <c r="J1747" s="14" t="n">
        <f aca="false">1/(1+wacc)^Sens!J1746</f>
        <v>0.643467169744551</v>
      </c>
      <c r="K1747" s="14" t="n">
        <f aca="false">1/(1+wacc)^Sens!K1746</f>
        <v>0.583413807767797</v>
      </c>
    </row>
    <row r="1748" customFormat="false" ht="17.15" hidden="false" customHeight="false" outlineLevel="0" collapsed="false">
      <c r="A1748" s="1" t="s">
        <v>1044</v>
      </c>
      <c r="B1748" s="0" t="s">
        <v>98</v>
      </c>
      <c r="F1748" s="6" t="n">
        <f aca="false">Sens!F1722-Sens!F1720-Sens!F1725+Sens!F1706*(1-tax_f)</f>
        <v>8.89798303878076</v>
      </c>
      <c r="G1748" s="6" t="n">
        <f aca="false">Sens!G1722-Sens!G1720-Sens!G1725+Sens!G1706*(1-tax_f)</f>
        <v>44.5145298951646</v>
      </c>
      <c r="H1748" s="6" t="n">
        <f aca="false">Sens!H1722-Sens!H1720-Sens!H1725+Sens!H1706*(1-tax_f)</f>
        <v>83.3610832710315</v>
      </c>
      <c r="I1748" s="6" t="n">
        <f aca="false">Sens!I1722-Sens!I1720-Sens!I1725+Sens!I1706*(1-tax_f)</f>
        <v>153.810630493846</v>
      </c>
      <c r="J1748" s="6" t="n">
        <f aca="false">Sens!J1722-Sens!J1720-Sens!J1725+Sens!J1706*(1-tax_f)</f>
        <v>229.020527118225</v>
      </c>
      <c r="K1748" s="6" t="n">
        <f aca="false">Sens!K1722-Sens!K1720-Sens!K1725+Sens!K1706*(1-tax_f)</f>
        <v>265.331862058647</v>
      </c>
      <c r="L1748" s="1" t="s">
        <v>1045</v>
      </c>
    </row>
    <row r="1749" customFormat="false" ht="15" hidden="false" customHeight="false" outlineLevel="0" collapsed="false">
      <c r="A1749" s="1" t="s">
        <v>1046</v>
      </c>
      <c r="B1749" s="0" t="s">
        <v>98</v>
      </c>
      <c r="F1749" s="6" t="n">
        <f aca="false">Sens!F1748*Sens!F1747</f>
        <v>8.47260048800561</v>
      </c>
      <c r="G1749" s="6" t="n">
        <f aca="false">Sens!G1748*Sens!G1747</f>
        <v>38.4306080427635</v>
      </c>
      <c r="H1749" s="6" t="n">
        <f aca="false">Sens!H1748*Sens!H1747</f>
        <v>65.2512932948507</v>
      </c>
      <c r="I1749" s="6" t="n">
        <f aca="false">Sens!I1748*Sens!I1747</f>
        <v>109.159725881251</v>
      </c>
      <c r="J1749" s="6" t="n">
        <f aca="false">Sens!J1748*Sens!J1747</f>
        <v>147.36719039817</v>
      </c>
      <c r="K1749" s="6" t="n">
        <f aca="false">Sens!K1748*Sens!K1747</f>
        <v>154.798271965755</v>
      </c>
    </row>
    <row r="1750" customFormat="false" ht="17.15" hidden="false" customHeight="false" outlineLevel="0" collapsed="false">
      <c r="A1750" s="1" t="s">
        <v>1047</v>
      </c>
      <c r="B1750" s="0" t="s">
        <v>98</v>
      </c>
      <c r="C1750" s="6" t="n">
        <f aca="false">SUM(Sens!F1749:K1749)</f>
        <v>523.479690070795</v>
      </c>
    </row>
    <row r="1751" customFormat="false" ht="17.15" hidden="false" customHeight="false" outlineLevel="0" collapsed="false">
      <c r="A1751" s="1" t="s">
        <v>1048</v>
      </c>
      <c r="B1751" s="0" t="s">
        <v>98</v>
      </c>
      <c r="C1751" s="6" t="n">
        <f aca="false">Sens!K1692*(1+g_tv)*(1-tax_f)</f>
        <v>273.881326817438</v>
      </c>
    </row>
    <row r="1752" customFormat="false" ht="17.15" hidden="false" customHeight="false" outlineLevel="0" collapsed="false">
      <c r="A1752" s="1" t="s">
        <v>1049</v>
      </c>
      <c r="B1752" s="0" t="s">
        <v>98</v>
      </c>
      <c r="C1752" s="6" t="n">
        <f aca="false">Sens!$C$1751*(1-g_tv/(wacc+ronic_prem))</f>
        <v>194.059244008698</v>
      </c>
    </row>
    <row r="1753" customFormat="false" ht="17.15" hidden="false" customHeight="false" outlineLevel="0" collapsed="false">
      <c r="A1753" s="1" t="s">
        <v>1050</v>
      </c>
      <c r="B1753" s="0" t="s">
        <v>98</v>
      </c>
      <c r="C1753" s="6" t="n">
        <f aca="false">Sens!$C$1752/(wacc-g_tv)</f>
        <v>2660.73609362466</v>
      </c>
    </row>
    <row r="1754" customFormat="false" ht="15" hidden="false" customHeight="false" outlineLevel="0" collapsed="false">
      <c r="A1754" s="1" t="s">
        <v>1051</v>
      </c>
      <c r="B1754" s="0" t="s">
        <v>98</v>
      </c>
      <c r="C1754" s="6" t="n">
        <f aca="false">Sens!$C$1753/(1+wacc)^(Sens!K1746+mid_yr)</f>
        <v>1478.09946322595</v>
      </c>
    </row>
    <row r="1755" customFormat="false" ht="17.15" hidden="false" customHeight="false" outlineLevel="0" collapsed="false">
      <c r="A1755" s="0" t="s">
        <v>972</v>
      </c>
      <c r="B1755" s="0" t="s">
        <v>98</v>
      </c>
      <c r="C1755" s="6" t="n">
        <f aca="false">Sens!$C$1750+Sens!$C$1754</f>
        <v>2001.57915329675</v>
      </c>
    </row>
    <row r="1756" customFormat="false" ht="15" hidden="false" customHeight="false" outlineLevel="0" collapsed="false">
      <c r="A1756" s="1" t="s">
        <v>973</v>
      </c>
      <c r="B1756" s="0" t="s">
        <v>129</v>
      </c>
      <c r="C1756" s="7" t="n">
        <f aca="false">Sens!$C$1754/Sens!$C$1755</f>
        <v>0.738466655586123</v>
      </c>
    </row>
    <row r="1757" customFormat="false" ht="17.15" hidden="false" customHeight="false" outlineLevel="0" collapsed="false">
      <c r="A1757" s="1" t="s">
        <v>1052</v>
      </c>
      <c r="B1757" s="0" t="s">
        <v>98</v>
      </c>
      <c r="C1757" s="6" t="n">
        <f aca="false">Sens!$C$1755+Sens!E1737-Sens!E1726+oai_v</f>
        <v>2136.09215329675</v>
      </c>
    </row>
    <row r="1758" customFormat="false" ht="17.15" hidden="false" customHeight="false" outlineLevel="0" collapsed="false">
      <c r="A1758" s="0" t="s">
        <v>980</v>
      </c>
      <c r="B1758" s="0" t="s">
        <v>75</v>
      </c>
      <c r="C1758" s="5" t="n">
        <f aca="false">Sens!$C$1757/sh_dil26</f>
        <v>286.608366201093</v>
      </c>
    </row>
    <row r="1759" customFormat="false" ht="15" hidden="false" customHeight="false" outlineLevel="0" collapsed="false">
      <c r="A1759" s="1" t="s">
        <v>1053</v>
      </c>
      <c r="B1759" s="0" t="s">
        <v>75</v>
      </c>
      <c r="C1759" s="8" t="n">
        <f aca="false">dps_27+Sens!G1729*roll_div_q/q_per_yr</f>
        <v>4.8895</v>
      </c>
    </row>
    <row r="1760" customFormat="false" ht="17.15" hidden="false" customHeight="false" outlineLevel="0" collapsed="false">
      <c r="A1760" s="0" t="s">
        <v>1054</v>
      </c>
      <c r="B1760" s="0" t="s">
        <v>75</v>
      </c>
      <c r="C1760" s="5" t="n">
        <f aca="false">Sens!$C$1758*(1+wacc)^t_roll-Sens!$C$1759</f>
        <v>321.481016310606</v>
      </c>
    </row>
    <row r="1761" customFormat="false" ht="17.15" hidden="false" customHeight="false" outlineLevel="0" collapsed="false">
      <c r="A1761" s="1" t="s">
        <v>1055</v>
      </c>
      <c r="B1761" s="0" t="s">
        <v>129</v>
      </c>
      <c r="F1761" s="7" t="n">
        <f aca="false">Sens!F1718/(Sens!F1663-Sens!F1619)</f>
        <v>0.0686864325746334</v>
      </c>
      <c r="G1761" s="7" t="n">
        <f aca="false">Sens!G1718/(Sens!G1663-Sens!G1619)</f>
        <v>0.066267001590801</v>
      </c>
      <c r="H1761" s="7" t="n">
        <f aca="false">Sens!H1718/(Sens!H1663-Sens!H1619)</f>
        <v>0.0650366246750144</v>
      </c>
      <c r="I1761" s="7" t="n">
        <f aca="false">Sens!I1718/(Sens!I1663-Sens!I1619)</f>
        <v>0.0648573271390164</v>
      </c>
      <c r="J1761" s="7" t="n">
        <f aca="false">Sens!J1718/(Sens!J1663-Sens!J1619)</f>
        <v>0.0655189837669657</v>
      </c>
      <c r="K1761" s="7" t="n">
        <f aca="false">Sens!K1718/(Sens!K1663-Sens!K1619)</f>
        <v>0.0667878921367872</v>
      </c>
    </row>
    <row r="1762" customFormat="false" ht="17.15" hidden="false" customHeight="false" outlineLevel="0" collapsed="false">
      <c r="A1762" s="0" t="s">
        <v>1056</v>
      </c>
      <c r="B1762" s="0" t="s">
        <v>98</v>
      </c>
      <c r="F1762" s="6" t="n">
        <f aca="false">Sens!F1648*(al_m365+Sens!F1761+sbc_r)</f>
        <v>82.8871280343675</v>
      </c>
      <c r="G1762" s="6" t="n">
        <f aca="false">Sens!G1648*(al_m365+Sens!G1761+sbc_r)</f>
        <v>93.2646494841949</v>
      </c>
      <c r="H1762" s="6" t="n">
        <f aca="false">Sens!H1648*(al_m365+Sens!H1761+sbc_r)</f>
        <v>103.801656157254</v>
      </c>
      <c r="I1762" s="6" t="n">
        <f aca="false">Sens!I1648*(al_m365+Sens!I1761+sbc_r)</f>
        <v>113.821873816133</v>
      </c>
      <c r="J1762" s="6" t="n">
        <f aca="false">Sens!J1648*(al_m365+Sens!J1761+sbc_r)</f>
        <v>123.136196807334</v>
      </c>
      <c r="K1762" s="6" t="n">
        <f aca="false">Sens!K1648*(al_m365+Sens!K1761+sbc_r)</f>
        <v>132.051675801964</v>
      </c>
      <c r="L1762" s="11" t="s">
        <v>1057</v>
      </c>
    </row>
    <row r="1763" customFormat="false" ht="17.15" hidden="false" customHeight="false" outlineLevel="0" collapsed="false">
      <c r="A1763" s="0" t="s">
        <v>1058</v>
      </c>
      <c r="B1763" s="0" t="s">
        <v>98</v>
      </c>
      <c r="F1763" s="6" t="n">
        <f aca="false">Sens!F1649*(al_lic+Sens!F1761+sbc_r)</f>
        <v>33.4484001235218</v>
      </c>
      <c r="G1763" s="6" t="n">
        <f aca="false">Sens!G1649*(al_lic+Sens!G1761+sbc_r)</f>
        <v>34.7662136749183</v>
      </c>
      <c r="H1763" s="6" t="n">
        <f aca="false">Sens!H1649*(al_lic+Sens!H1761+sbc_r)</f>
        <v>35.9922067034497</v>
      </c>
      <c r="I1763" s="6" t="n">
        <f aca="false">Sens!I1649*(al_lic+Sens!I1761+sbc_r)</f>
        <v>37.1063543598183</v>
      </c>
      <c r="J1763" s="6" t="n">
        <f aca="false">Sens!J1649*(al_lic+Sens!J1761+sbc_r)</f>
        <v>38.0853056964387</v>
      </c>
      <c r="K1763" s="6" t="n">
        <f aca="false">Sens!K1649*(al_lic+Sens!K1761+sbc_r)</f>
        <v>38.9048066370724</v>
      </c>
    </row>
    <row r="1764" customFormat="false" ht="17.15" hidden="false" customHeight="false" outlineLevel="0" collapsed="false">
      <c r="A1764" s="0" t="s">
        <v>1059</v>
      </c>
      <c r="B1764" s="0" t="s">
        <v>98</v>
      </c>
      <c r="F1764" s="6" t="n">
        <f aca="false">Sens!F1651*(al_ind+Sens!F1761+sbc_r)</f>
        <v>9.07857451914073</v>
      </c>
      <c r="G1764" s="6" t="n">
        <f aca="false">Sens!G1651*(al_ind+Sens!G1761+sbc_r)</f>
        <v>9.86487802721884</v>
      </c>
      <c r="H1764" s="6" t="n">
        <f aca="false">Sens!H1651*(al_ind+Sens!H1761+sbc_r)</f>
        <v>10.693809720013</v>
      </c>
      <c r="I1764" s="6" t="n">
        <f aca="false">Sens!I1651*(al_ind+Sens!I1761+sbc_r)</f>
        <v>11.5608645999226</v>
      </c>
      <c r="J1764" s="6" t="n">
        <f aca="false">Sens!J1651*(al_ind+Sens!J1761+sbc_r)</f>
        <v>12.4574161941375</v>
      </c>
      <c r="K1764" s="6" t="n">
        <f aca="false">Sens!K1651*(al_ind+Sens!K1761+sbc_r)</f>
        <v>13.3714153876622</v>
      </c>
    </row>
    <row r="1765" customFormat="false" ht="17.15" hidden="false" customHeight="false" outlineLevel="0" collapsed="false">
      <c r="A1765" s="0" t="s">
        <v>1060</v>
      </c>
      <c r="B1765" s="0" t="s">
        <v>98</v>
      </c>
      <c r="F1765" s="6" t="n">
        <f aca="false">Sens!F1653*(al_fro+Sens!F1761+sbc_r)</f>
        <v>3.57335880380168</v>
      </c>
      <c r="G1765" s="6" t="n">
        <f aca="false">Sens!G1653*(al_fro+Sens!G1761+sbc_r)</f>
        <v>3.78752993435501</v>
      </c>
      <c r="H1765" s="6" t="n">
        <f aca="false">Sens!H1653*(al_fro+Sens!H1761+sbc_r)</f>
        <v>4.02979352544868</v>
      </c>
      <c r="I1765" s="6" t="n">
        <f aca="false">Sens!I1653*(al_fro+Sens!I1761+sbc_r)</f>
        <v>4.30248328262388</v>
      </c>
      <c r="J1765" s="6" t="n">
        <f aca="false">Sens!J1653*(al_fro+Sens!J1761+sbc_r)</f>
        <v>4.6072312462081</v>
      </c>
      <c r="K1765" s="6" t="n">
        <f aca="false">Sens!K1653*(al_fro+Sens!K1761+sbc_r)</f>
        <v>4.94526327289735</v>
      </c>
    </row>
    <row r="1766" customFormat="false" ht="17.15" hidden="false" customHeight="false" outlineLevel="0" collapsed="false">
      <c r="A1766" s="0" t="s">
        <v>1061</v>
      </c>
      <c r="B1766" s="0" t="s">
        <v>98</v>
      </c>
      <c r="F1766" s="6" t="n">
        <f aca="false">Sens!F1656*(al_srch+Sens!F1761+sbc_r)</f>
        <v>11.2121706988551</v>
      </c>
      <c r="G1766" s="6" t="n">
        <f aca="false">Sens!G1656*(al_srch+Sens!G1761+sbc_r)</f>
        <v>12.298220751086</v>
      </c>
      <c r="H1766" s="6" t="n">
        <f aca="false">Sens!H1656*(al_srch+Sens!H1761+sbc_r)</f>
        <v>13.4264661389574</v>
      </c>
      <c r="I1766" s="6" t="n">
        <f aca="false">Sens!I1656*(al_srch+Sens!I1761+sbc_r)</f>
        <v>14.5842947685169</v>
      </c>
      <c r="J1766" s="6" t="n">
        <f aca="false">Sens!J1656*(al_srch+Sens!J1761+sbc_r)</f>
        <v>15.7529827260804</v>
      </c>
      <c r="K1766" s="6" t="n">
        <f aca="false">Sens!K1656*(al_srch+Sens!K1761+sbc_r)</f>
        <v>16.908777257054</v>
      </c>
    </row>
    <row r="1767" customFormat="false" ht="17.15" hidden="false" customHeight="false" outlineLevel="0" collapsed="false">
      <c r="A1767" s="0" t="s">
        <v>1062</v>
      </c>
      <c r="B1767" s="0" t="s">
        <v>98</v>
      </c>
      <c r="F1767" s="6" t="n">
        <f aca="false">Sens!F1625-Sens!F1626+Sens!F1706</f>
        <v>56.9159562126527</v>
      </c>
      <c r="G1767" s="6" t="n">
        <f aca="false">Sens!G1625-Sens!G1626+Sens!G1706</f>
        <v>90.4433661098669</v>
      </c>
      <c r="H1767" s="6" t="n">
        <f aca="false">Sens!H1625-Sens!H1626+Sens!H1706</f>
        <v>120.221304335929</v>
      </c>
      <c r="I1767" s="6" t="n">
        <f aca="false">Sens!I1625-Sens!I1626+Sens!I1706</f>
        <v>154.319049552033</v>
      </c>
      <c r="J1767" s="6" t="n">
        <f aca="false">Sens!J1625-Sens!J1626+Sens!J1706</f>
        <v>178.341649735703</v>
      </c>
      <c r="K1767" s="6" t="n">
        <f aca="false">Sens!K1625-Sens!K1626+Sens!K1706</f>
        <v>193.473640835987</v>
      </c>
    </row>
    <row r="1768" customFormat="false" ht="17.15" hidden="false" customHeight="false" outlineLevel="0" collapsed="false">
      <c r="A1768" s="0" t="s">
        <v>1063</v>
      </c>
      <c r="B1768" s="0" t="s">
        <v>98</v>
      </c>
      <c r="F1768" s="6" t="n">
        <f aca="false">Sens!F1685+Sens!F1706+Sens!F1636+Sens!F1761*(Sens!F1655-Sens!F1619)+sbc_r*Sens!F1655</f>
        <v>247.105163518085</v>
      </c>
      <c r="G1768" s="6" t="n">
        <f aca="false">Sens!G1685+Sens!G1706+Sens!G1636+Sens!G1761*(Sens!G1655-Sens!G1619)+sbc_r*Sens!G1655</f>
        <v>305.582587493474</v>
      </c>
      <c r="H1768" s="6" t="n">
        <f aca="false">Sens!H1685+Sens!H1706+Sens!H1636+Sens!H1761*(Sens!H1655-Sens!H1619)+sbc_r*Sens!H1655</f>
        <v>360.562214516943</v>
      </c>
      <c r="I1768" s="6" t="n">
        <f aca="false">Sens!I1685+Sens!I1706+Sens!I1636+Sens!I1761*(Sens!I1655-Sens!I1619)+sbc_r*Sens!I1655</f>
        <v>419.273041263818</v>
      </c>
      <c r="J1768" s="6" t="n">
        <f aca="false">Sens!J1685+Sens!J1706+Sens!J1636+Sens!J1761*(Sens!J1655-Sens!J1619)+sbc_r*Sens!J1655</f>
        <v>465.972797440022</v>
      </c>
      <c r="K1768" s="6" t="n">
        <f aca="false">Sens!K1685+Sens!K1706+Sens!K1636+Sens!K1761*(Sens!K1655-Sens!K1619)+sbc_r*Sens!K1655</f>
        <v>501.445809056181</v>
      </c>
    </row>
    <row r="1769" customFormat="false" ht="17.15" hidden="false" customHeight="false" outlineLevel="0" collapsed="false">
      <c r="A1769" s="0" t="s">
        <v>1064</v>
      </c>
      <c r="B1769" s="0" t="s">
        <v>98</v>
      </c>
      <c r="F1769" s="6" t="n">
        <f aca="false">Sens!F1768-Sens!F1762-Sens!F1763-Sens!F1764-Sens!F1765-Sens!F1767</f>
        <v>61.2017458246008</v>
      </c>
      <c r="G1769" s="6" t="n">
        <f aca="false">Sens!G1768-Sens!G1762-Sens!G1763-Sens!G1764-Sens!G1765-Sens!G1767</f>
        <v>73.4559502629199</v>
      </c>
      <c r="H1769" s="6" t="n">
        <f aca="false">Sens!H1768-Sens!H1762-Sens!H1763-Sens!H1764-Sens!H1765-Sens!H1767</f>
        <v>85.8234440748486</v>
      </c>
      <c r="I1769" s="6" t="n">
        <f aca="false">Sens!I1768-Sens!I1762-Sens!I1763-Sens!I1764-Sens!I1765-Sens!I1767</f>
        <v>98.1624156532872</v>
      </c>
      <c r="J1769" s="6" t="n">
        <f aca="false">Sens!J1768-Sens!J1762-Sens!J1763-Sens!J1764-Sens!J1765-Sens!J1767</f>
        <v>109.3449977602</v>
      </c>
      <c r="K1769" s="6" t="n">
        <f aca="false">Sens!K1768-Sens!K1762-Sens!K1763-Sens!K1764-Sens!K1765-Sens!K1767</f>
        <v>118.699007120599</v>
      </c>
    </row>
    <row r="1770" customFormat="false" ht="17.15" hidden="false" customHeight="false" outlineLevel="0" collapsed="false">
      <c r="A1770" s="0" t="s">
        <v>1065</v>
      </c>
      <c r="B1770" s="0" t="s">
        <v>98</v>
      </c>
      <c r="F1770" s="6" t="n">
        <f aca="false">Sens!F1687+Sens!F1761*Sens!F1662+sbc_r*Sens!F1662</f>
        <v>26.2049549828959</v>
      </c>
      <c r="G1770" s="6" t="n">
        <f aca="false">Sens!G1687+Sens!G1761*Sens!G1662+sbc_r*Sens!G1662</f>
        <v>26.8405806403664</v>
      </c>
      <c r="H1770" s="6" t="n">
        <f aca="false">Sens!H1687+Sens!H1761*Sens!H1662+sbc_r*Sens!H1662</f>
        <v>27.7352032470138</v>
      </c>
      <c r="I1770" s="6" t="n">
        <f aca="false">Sens!I1687+Sens!I1761*Sens!I1662+sbc_r*Sens!I1662</f>
        <v>28.8569155956094</v>
      </c>
      <c r="J1770" s="6" t="n">
        <f aca="false">Sens!J1687+Sens!J1761*Sens!J1662+sbc_r*Sens!J1662</f>
        <v>30.1744385645725</v>
      </c>
      <c r="K1770" s="6" t="n">
        <f aca="false">Sens!K1687+Sens!K1761*Sens!K1662+sbc_r*Sens!K1662</f>
        <v>31.6584976186802</v>
      </c>
    </row>
    <row r="1771" customFormat="false" ht="17.15" hidden="false" customHeight="false" outlineLevel="0" collapsed="false">
      <c r="A1771" s="0" t="s">
        <v>1066</v>
      </c>
      <c r="B1771" s="0" t="s">
        <v>98</v>
      </c>
      <c r="F1771" s="6" t="n">
        <f aca="false">(Sens!F1770-Sens!F1766)*Sens!F1658/(Sens!F1658+Sens!F1660)</f>
        <v>8.21889831690819</v>
      </c>
      <c r="G1771" s="6" t="n">
        <f aca="false">(Sens!G1770-Sens!G1766)*Sens!G1658/(Sens!G1658+Sens!G1660)</f>
        <v>7.82984014749099</v>
      </c>
      <c r="H1771" s="6" t="n">
        <f aca="false">(Sens!H1770-Sens!H1766)*Sens!H1658/(Sens!H1658+Sens!H1660)</f>
        <v>7.5999849964554</v>
      </c>
      <c r="I1771" s="6" t="n">
        <f aca="false">(Sens!I1770-Sens!I1766)*Sens!I1658/(Sens!I1658+Sens!I1660)</f>
        <v>7.51221089422364</v>
      </c>
      <c r="J1771" s="6" t="n">
        <f aca="false">(Sens!J1770-Sens!J1766)*Sens!J1658/(Sens!J1658+Sens!J1660)</f>
        <v>7.55622411401827</v>
      </c>
      <c r="K1771" s="6" t="n">
        <f aca="false">(Sens!K1770-Sens!K1766)*Sens!K1658/(Sens!K1658+Sens!K1660)</f>
        <v>7.72822064011532</v>
      </c>
    </row>
    <row r="1772" customFormat="false" ht="17.15" hidden="false" customHeight="false" outlineLevel="0" collapsed="false">
      <c r="A1772" s="0" t="s">
        <v>1067</v>
      </c>
      <c r="B1772" s="0" t="s">
        <v>98</v>
      </c>
      <c r="F1772" s="6" t="n">
        <f aca="false">Sens!F1770-Sens!F1766-Sens!F1771</f>
        <v>6.77388596713263</v>
      </c>
      <c r="G1772" s="6" t="n">
        <f aca="false">Sens!G1770-Sens!G1766-Sens!G1771</f>
        <v>6.71251974178949</v>
      </c>
      <c r="H1772" s="6" t="n">
        <f aca="false">Sens!H1770-Sens!H1766-Sens!H1771</f>
        <v>6.70875211160101</v>
      </c>
      <c r="I1772" s="6" t="n">
        <f aca="false">Sens!I1770-Sens!I1766-Sens!I1771</f>
        <v>6.76040993286883</v>
      </c>
      <c r="J1772" s="6" t="n">
        <f aca="false">Sens!J1770-Sens!J1766-Sens!J1771</f>
        <v>6.86523172447386</v>
      </c>
      <c r="K1772" s="6" t="n">
        <f aca="false">Sens!K1770-Sens!K1766-Sens!K1771</f>
        <v>7.02149972151092</v>
      </c>
    </row>
    <row r="1773" customFormat="false" ht="17.15" hidden="false" customHeight="false" outlineLevel="0" collapsed="false">
      <c r="A1773" s="0" t="s">
        <v>1068</v>
      </c>
      <c r="B1773" s="0" t="s">
        <v>98</v>
      </c>
      <c r="F1773" s="6" t="n">
        <f aca="false">Sens!F1767-tax_f*(Sens!F1767-Sens!F1636)-Sens!F1633</f>
        <v>-116.287280709141</v>
      </c>
      <c r="G1773" s="6" t="n">
        <f aca="false">Sens!G1767-tax_f*(Sens!G1767-Sens!G1636)-Sens!G1633</f>
        <v>-99.1131409432385</v>
      </c>
      <c r="H1773" s="6" t="n">
        <f aca="false">Sens!H1767-tax_f*(Sens!H1767-Sens!H1636)-Sens!H1633</f>
        <v>-74.3497792430291</v>
      </c>
      <c r="I1773" s="6" t="n">
        <f aca="false">Sens!I1767-tax_f*(Sens!I1767-Sens!I1636)-Sens!I1633</f>
        <v>-17.8490215161749</v>
      </c>
      <c r="J1773" s="6" t="n">
        <f aca="false">Sens!J1767-tax_f*(Sens!J1767-Sens!J1636)-Sens!J1633</f>
        <v>44.0025852550054</v>
      </c>
      <c r="K1773" s="6" t="n">
        <f aca="false">Sens!K1767-tax_f*(Sens!K1767-Sens!K1636)-Sens!K1633</f>
        <v>67.7540063877479</v>
      </c>
    </row>
    <row r="1774" customFormat="false" ht="17.15" hidden="false" customHeight="false" outlineLevel="0" collapsed="false">
      <c r="A1774" s="0" t="s">
        <v>1069</v>
      </c>
      <c r="B1774" s="0" t="s">
        <v>98</v>
      </c>
      <c r="F1774" s="6" t="n">
        <f aca="false">Sens!F1773*Sens!F1747</f>
        <v>-110.727978126166</v>
      </c>
      <c r="G1774" s="6" t="n">
        <f aca="false">Sens!G1773*Sens!G1747</f>
        <v>-85.5670784448859</v>
      </c>
      <c r="H1774" s="6" t="n">
        <f aca="false">Sens!H1773*Sens!H1747</f>
        <v>-58.197651247176</v>
      </c>
      <c r="I1774" s="6" t="n">
        <f aca="false">Sens!I1773*Sens!I1747</f>
        <v>-12.6674878693261</v>
      </c>
      <c r="J1774" s="6" t="n">
        <f aca="false">Sens!J1773*Sens!J1747</f>
        <v>28.3142189954817</v>
      </c>
      <c r="K1774" s="6" t="n">
        <f aca="false">Sens!K1773*Sens!K1747</f>
        <v>39.5286228581996</v>
      </c>
    </row>
    <row r="1775" customFormat="false" ht="17.15" hidden="false" customHeight="false" outlineLevel="0" collapsed="false">
      <c r="A1775" s="0" t="s">
        <v>1070</v>
      </c>
      <c r="B1775" s="0" t="s">
        <v>98</v>
      </c>
      <c r="C1775" s="6" t="n">
        <f aca="false">(Sens!K1767-Sens!K1636)*(1-tax_f)*(1+g_tv)*(1-g_tv/(wacc+ronic_prem))/(wacc-g_tv)/(1+wacc)^(Sens!K1746+mid_yr)</f>
        <v>239.253746760385</v>
      </c>
    </row>
    <row r="1776" customFormat="false" ht="17.15" hidden="false" customHeight="false" outlineLevel="0" collapsed="false">
      <c r="A1776" s="1" t="s">
        <v>1071</v>
      </c>
      <c r="B1776" s="0" t="s">
        <v>98</v>
      </c>
      <c r="C1776" s="6" t="n">
        <f aca="false">(SUM(Sens!F1774:K1774)+Sens!$C$1775)*(1+wacc)^t_roll</f>
        <v>45.4769040826387</v>
      </c>
      <c r="L1776" s="11" t="s">
        <v>1072</v>
      </c>
    </row>
    <row r="1777" customFormat="false" ht="17.15" hidden="false" customHeight="false" outlineLevel="0" collapsed="false">
      <c r="A1777" s="1" t="s">
        <v>1073</v>
      </c>
      <c r="B1777" s="0" t="s">
        <v>98</v>
      </c>
      <c r="C1777" s="6" t="n">
        <f aca="false">(w_ntm28*Sens!G1625+(1-w_ntm28)*Sens!H1625)*m_ai</f>
        <v>412.155137549935</v>
      </c>
    </row>
    <row r="1778" customFormat="false" ht="17.15" hidden="false" customHeight="false" outlineLevel="0" collapsed="false">
      <c r="A1778" s="1" t="s">
        <v>1074</v>
      </c>
      <c r="B1778" s="0" t="s">
        <v>98</v>
      </c>
      <c r="C1778" s="6" t="n">
        <f aca="false">(w_ntm28*Sens!G1769+(1-w_ntm28)*Sens!H1769)*m_cloud</f>
        <v>1070.41716197257</v>
      </c>
    </row>
    <row r="1779" customFormat="false" ht="17.15" hidden="false" customHeight="false" outlineLevel="0" collapsed="false">
      <c r="A1779" s="1" t="s">
        <v>1075</v>
      </c>
      <c r="B1779" s="0" t="s">
        <v>98</v>
      </c>
      <c r="C1779" s="6" t="n">
        <f aca="false">(w_ntm28*Sens!G1762+(1-w_ntm28)*Sens!H1762)*m_sw</f>
        <v>1044.04824539957</v>
      </c>
    </row>
    <row r="1780" customFormat="false" ht="17.15" hidden="false" customHeight="false" outlineLevel="0" collapsed="false">
      <c r="A1780" s="1" t="s">
        <v>1076</v>
      </c>
      <c r="B1780" s="0" t="s">
        <v>98</v>
      </c>
      <c r="C1780" s="6" t="n">
        <f aca="false">(w_ntm28*Sens!G1763+(1-w_ntm28)*Sens!H1763)*m_sw</f>
        <v>379.755670745447</v>
      </c>
    </row>
    <row r="1781" customFormat="false" ht="17.15" hidden="false" customHeight="false" outlineLevel="0" collapsed="false">
      <c r="A1781" s="1" t="s">
        <v>1077</v>
      </c>
      <c r="B1781" s="0" t="s">
        <v>98</v>
      </c>
      <c r="C1781" s="6" t="n">
        <f aca="false">(w_ntm28*Sens!G1764+(1-w_ntm28)*Sens!H1764)*m_sw</f>
        <v>109.434903376969</v>
      </c>
    </row>
    <row r="1782" customFormat="false" ht="17.15" hidden="false" customHeight="false" outlineLevel="0" collapsed="false">
      <c r="A1782" s="1" t="s">
        <v>1078</v>
      </c>
      <c r="B1782" s="0" t="s">
        <v>98</v>
      </c>
      <c r="C1782" s="6" t="n">
        <f aca="false">(w_ntm28*Sens!G1765+(1-w_ntm28)*Sens!H1765)*m_sw</f>
        <v>41.7511882786773</v>
      </c>
    </row>
    <row r="1783" customFormat="false" ht="17.15" hidden="false" customHeight="false" outlineLevel="0" collapsed="false">
      <c r="A1783" s="1" t="s">
        <v>1079</v>
      </c>
      <c r="B1783" s="0" t="s">
        <v>98</v>
      </c>
      <c r="C1783" s="6" t="n">
        <f aca="false">(w_ntm28*Sens!G1766+(1-w_ntm28)*Sens!H1766)*m_ads</f>
        <v>115.359643719254</v>
      </c>
    </row>
    <row r="1784" customFormat="false" ht="17.15" hidden="false" customHeight="false" outlineLevel="0" collapsed="false">
      <c r="A1784" s="1" t="s">
        <v>1080</v>
      </c>
      <c r="B1784" s="0" t="s">
        <v>98</v>
      </c>
      <c r="C1784" s="6" t="n">
        <f aca="false">(w_ntm28*Sens!G1771+(1-w_ntm28)*Sens!H1771)*m_game</f>
        <v>97.9523541428266</v>
      </c>
    </row>
    <row r="1785" customFormat="false" ht="17.15" hidden="false" customHeight="false" outlineLevel="0" collapsed="false">
      <c r="A1785" s="1" t="s">
        <v>1081</v>
      </c>
      <c r="B1785" s="0" t="s">
        <v>98</v>
      </c>
      <c r="C1785" s="6" t="n">
        <f aca="false">(w_ntm28*Sens!G1772+(1-w_ntm28)*Sens!H1772)*m_pc</f>
        <v>97.1125357928949</v>
      </c>
    </row>
    <row r="1786" customFormat="false" ht="17.15" hidden="false" customHeight="false" outlineLevel="0" collapsed="false">
      <c r="A1786" s="1" t="s">
        <v>1082</v>
      </c>
      <c r="B1786" s="0" t="s">
        <v>98</v>
      </c>
      <c r="C1786" s="6" t="n">
        <f aca="false">Sens!$C$1776+Sens!$C$1778+Sens!$C$1779+Sens!$C$1780+Sens!$C$1781+Sens!$C$1782+Sens!$C$1783+Sens!$C$1784+Sens!$C$1785</f>
        <v>3001.30860751085</v>
      </c>
    </row>
    <row r="1787" customFormat="false" ht="17.15" hidden="false" customHeight="false" outlineLevel="0" collapsed="false">
      <c r="A1787" s="1" t="s">
        <v>1000</v>
      </c>
      <c r="B1787" s="0" t="s">
        <v>98</v>
      </c>
      <c r="C1787" s="6" t="n">
        <f aca="false">Sens!F1737+oai_v-Sens!F1726</f>
        <v>113.177545347249</v>
      </c>
      <c r="L1787" s="1" t="s">
        <v>1083</v>
      </c>
    </row>
    <row r="1788" customFormat="false" ht="15" hidden="false" customHeight="false" outlineLevel="0" collapsed="false">
      <c r="A1788" s="1" t="s">
        <v>1001</v>
      </c>
      <c r="B1788" s="0" t="s">
        <v>75</v>
      </c>
      <c r="C1788" s="5" t="n">
        <f aca="false">(Sens!$C$1786+Sens!$C$1787)/Sens!F1739</f>
        <v>416.82095193497</v>
      </c>
    </row>
    <row r="1789" customFormat="false" ht="17.15" hidden="false" customHeight="false" outlineLevel="0" collapsed="false">
      <c r="A1789" s="1" t="s">
        <v>1084</v>
      </c>
      <c r="B1789" s="0" t="s">
        <v>75</v>
      </c>
      <c r="C1789" s="5" t="n">
        <f aca="false">w_dcf*Sens!$C$1760+(1-w_dcf)*Sens!$C$1788</f>
        <v>369.150984122788</v>
      </c>
    </row>
    <row r="1790" customFormat="false" ht="17.15" hidden="false" customHeight="false" outlineLevel="0" collapsed="false">
      <c r="A1790" s="3" t="s">
        <v>1279</v>
      </c>
    </row>
    <row r="1791" customFormat="false" ht="15" hidden="false" customHeight="false" outlineLevel="0" collapsed="false">
      <c r="A1791" s="4" t="s">
        <v>43</v>
      </c>
      <c r="B1791" s="4" t="s">
        <v>65</v>
      </c>
      <c r="C1791" s="20" t="s">
        <v>788</v>
      </c>
      <c r="D1791" s="20" t="s">
        <v>789</v>
      </c>
      <c r="E1791" s="20" t="s">
        <v>790</v>
      </c>
      <c r="F1791" s="20" t="s">
        <v>791</v>
      </c>
      <c r="G1791" s="20" t="s">
        <v>792</v>
      </c>
      <c r="H1791" s="20" t="s">
        <v>793</v>
      </c>
      <c r="I1791" s="20" t="s">
        <v>794</v>
      </c>
      <c r="J1791" s="20" t="s">
        <v>795</v>
      </c>
      <c r="K1791" s="20" t="s">
        <v>796</v>
      </c>
      <c r="L1791" s="4" t="s">
        <v>47</v>
      </c>
    </row>
    <row r="1792" customFormat="false" ht="17.15" hidden="false" customHeight="false" outlineLevel="0" collapsed="false">
      <c r="A1792" s="1" t="s">
        <v>797</v>
      </c>
      <c r="B1792" s="1" t="s">
        <v>235</v>
      </c>
      <c r="C1792" s="28" t="n">
        <v>2024</v>
      </c>
      <c r="D1792" s="28" t="n">
        <v>2025</v>
      </c>
      <c r="E1792" s="28" t="n">
        <v>2026</v>
      </c>
      <c r="F1792" s="28" t="n">
        <v>2027</v>
      </c>
      <c r="G1792" s="28" t="n">
        <v>2028</v>
      </c>
      <c r="H1792" s="28" t="n">
        <v>2029</v>
      </c>
      <c r="I1792" s="28" t="n">
        <v>2030</v>
      </c>
      <c r="J1792" s="28" t="n">
        <v>2031</v>
      </c>
      <c r="K1792" s="28" t="n">
        <v>2032</v>
      </c>
    </row>
    <row r="1793" customFormat="false" ht="17.15" hidden="false" customHeight="false" outlineLevel="0" collapsed="false">
      <c r="A1793" s="1" t="s">
        <v>798</v>
      </c>
      <c r="B1793" s="0" t="s">
        <v>392</v>
      </c>
      <c r="F1793" s="29" t="n">
        <f aca="false">pace</f>
        <v>2527.2</v>
      </c>
      <c r="G1793" s="29" t="n">
        <f aca="false">pace</f>
        <v>2527.2</v>
      </c>
      <c r="H1793" s="29" t="n">
        <f aca="false">pace</f>
        <v>2527.2</v>
      </c>
      <c r="I1793" s="29" t="n">
        <f aca="false">pace+(g_tv*Sens!H1794-pace)*MIN(1,(Sens!I1792-pace_y0)/(pace_y1-pace_y0))</f>
        <v>1793.116</v>
      </c>
      <c r="J1793" s="29" t="n">
        <f aca="false">pace+(g_tv*Sens!H1794-pace)*MIN(1,(Sens!J1792-pace_y0)/(pace_y1-pace_y0))</f>
        <v>1059.032</v>
      </c>
      <c r="K1793" s="29" t="n">
        <f aca="false">pace+(g_tv*Sens!H1794-pace)*MIN(1,(Sens!K1792-pace_y0)/(pace_y1-pace_y0))</f>
        <v>324.948</v>
      </c>
      <c r="L1793" s="11" t="s">
        <v>799</v>
      </c>
    </row>
    <row r="1794" customFormat="false" ht="17.15" hidden="false" customHeight="false" outlineLevel="0" collapsed="false">
      <c r="A1794" s="1" t="s">
        <v>800</v>
      </c>
      <c r="B1794" s="0" t="s">
        <v>392</v>
      </c>
      <c r="C1794" s="29" t="n">
        <f aca="false">mw_ext_24</f>
        <v>640</v>
      </c>
      <c r="D1794" s="29" t="n">
        <f aca="false">mw_ext_25</f>
        <v>1630</v>
      </c>
      <c r="E1794" s="29" t="n">
        <f aca="false">mw_ext_26</f>
        <v>3250</v>
      </c>
      <c r="F1794" s="29" t="n">
        <f aca="false">Sens!E1794+Sens!F1793</f>
        <v>5777.2</v>
      </c>
      <c r="G1794" s="29" t="n">
        <f aca="false">Sens!F1794+Sens!G1793</f>
        <v>8304.4</v>
      </c>
      <c r="H1794" s="29" t="n">
        <f aca="false">Sens!G1794+Sens!H1793</f>
        <v>10831.6</v>
      </c>
      <c r="I1794" s="29" t="n">
        <f aca="false">Sens!H1794+Sens!I1793</f>
        <v>12624.716</v>
      </c>
      <c r="J1794" s="29" t="n">
        <f aca="false">Sens!I1794+Sens!J1793</f>
        <v>13683.748</v>
      </c>
      <c r="K1794" s="29" t="n">
        <f aca="false">Sens!J1794+Sens!K1793</f>
        <v>14008.696</v>
      </c>
      <c r="L1794" s="1" t="s">
        <v>801</v>
      </c>
    </row>
    <row r="1795" customFormat="false" ht="17.15" hidden="false" customHeight="false" outlineLevel="0" collapsed="false">
      <c r="A1795" s="1" t="s">
        <v>802</v>
      </c>
      <c r="B1795" s="0" t="s">
        <v>392</v>
      </c>
      <c r="C1795" s="29" t="n">
        <f aca="false">rent_ext_24</f>
        <v>150</v>
      </c>
      <c r="D1795" s="29" t="n">
        <f aca="false">rent_ext_25</f>
        <v>400</v>
      </c>
      <c r="E1795" s="29" t="n">
        <f aca="false">rent_ext_26</f>
        <v>550</v>
      </c>
      <c r="F1795" s="29" t="n">
        <f aca="false">rent_ext_f</f>
        <v>756</v>
      </c>
      <c r="G1795" s="29" t="n">
        <f aca="false">rent_ext_f</f>
        <v>756</v>
      </c>
      <c r="H1795" s="29" t="n">
        <f aca="false">rent_ext_f</f>
        <v>756</v>
      </c>
      <c r="I1795" s="29" t="n">
        <f aca="false">rent_ext_f</f>
        <v>756</v>
      </c>
      <c r="J1795" s="29" t="n">
        <f aca="false">rent_ext_f</f>
        <v>756</v>
      </c>
      <c r="K1795" s="29" t="n">
        <f aca="false">rent_ext_f</f>
        <v>756</v>
      </c>
      <c r="L1795" s="1" t="s">
        <v>803</v>
      </c>
    </row>
    <row r="1796" customFormat="false" ht="17.15" hidden="false" customHeight="false" outlineLevel="0" collapsed="false">
      <c r="A1796" s="1" t="s">
        <v>804</v>
      </c>
      <c r="B1796" s="0" t="s">
        <v>392</v>
      </c>
      <c r="C1796" s="29" t="n">
        <f aca="false">Sens!C1794-Sens!C1795</f>
        <v>490</v>
      </c>
      <c r="D1796" s="29" t="n">
        <f aca="false">Sens!D1794-Sens!D1795</f>
        <v>1230</v>
      </c>
      <c r="E1796" s="29" t="n">
        <f aca="false">Sens!E1794-Sens!E1795</f>
        <v>2700</v>
      </c>
      <c r="F1796" s="29" t="n">
        <f aca="false">Sens!F1794-Sens!F1795</f>
        <v>5021.2</v>
      </c>
      <c r="G1796" s="29" t="n">
        <f aca="false">Sens!G1794-Sens!G1795</f>
        <v>7548.4</v>
      </c>
      <c r="H1796" s="29" t="n">
        <f aca="false">Sens!H1794-Sens!H1795</f>
        <v>10075.6</v>
      </c>
      <c r="I1796" s="29" t="n">
        <f aca="false">Sens!I1794-Sens!I1795</f>
        <v>11868.716</v>
      </c>
      <c r="J1796" s="29" t="n">
        <f aca="false">Sens!J1794-Sens!J1795</f>
        <v>12927.748</v>
      </c>
      <c r="K1796" s="29" t="n">
        <f aca="false">Sens!K1794-Sens!K1795</f>
        <v>13252.696</v>
      </c>
    </row>
    <row r="1797" customFormat="false" ht="17.15" hidden="false" customHeight="false" outlineLevel="0" collapsed="false">
      <c r="A1797" s="1" t="s">
        <v>805</v>
      </c>
      <c r="B1797" s="0" t="s">
        <v>392</v>
      </c>
      <c r="C1797" s="29" t="n">
        <f aca="false">Sens!C1796/ext_sh_lo</f>
        <v>980</v>
      </c>
      <c r="D1797" s="29" t="n">
        <f aca="false">Sens!D1796/ext_sh_lo</f>
        <v>2460</v>
      </c>
      <c r="E1797" s="29" t="n">
        <f aca="false">Sens!E1796/ext_sh_lo</f>
        <v>5400</v>
      </c>
      <c r="F1797" s="29" t="n">
        <f aca="false">Sens!F1796/ext_sh_lo</f>
        <v>10042.4</v>
      </c>
      <c r="G1797" s="29" t="n">
        <f aca="false">Sens!G1796/ext_sh_lo</f>
        <v>15096.8</v>
      </c>
      <c r="H1797" s="29" t="n">
        <f aca="false">Sens!H1796/ext_sh_lo</f>
        <v>20151.2</v>
      </c>
      <c r="I1797" s="29" t="n">
        <f aca="false">Sens!I1796/ext_sh_lo</f>
        <v>23737.432</v>
      </c>
      <c r="J1797" s="29" t="n">
        <f aca="false">Sens!J1796/ext_sh_lo</f>
        <v>25855.496</v>
      </c>
      <c r="K1797" s="29" t="n">
        <f aca="false">Sens!K1796/ext_sh_lo</f>
        <v>26505.392</v>
      </c>
      <c r="L1797" s="1" t="s">
        <v>806</v>
      </c>
    </row>
    <row r="1798" customFormat="false" ht="17.15" hidden="false" customHeight="false" outlineLevel="0" collapsed="false">
      <c r="A1798" s="1" t="s">
        <v>807</v>
      </c>
      <c r="B1798" s="0" t="s">
        <v>392</v>
      </c>
      <c r="C1798" s="29" t="n">
        <f aca="false">Sens!C1797-Sens!C1796</f>
        <v>490</v>
      </c>
      <c r="D1798" s="29" t="n">
        <f aca="false">Sens!D1797-Sens!D1796</f>
        <v>1230</v>
      </c>
      <c r="E1798" s="29" t="n">
        <f aca="false">Sens!E1797-Sens!E1796</f>
        <v>2700</v>
      </c>
      <c r="F1798" s="29" t="n">
        <f aca="false">Sens!F1797-Sens!F1796</f>
        <v>5021.2</v>
      </c>
      <c r="G1798" s="29" t="n">
        <f aca="false">Sens!G1797-Sens!G1796</f>
        <v>7548.4</v>
      </c>
      <c r="H1798" s="29" t="n">
        <f aca="false">Sens!H1797-Sens!H1796</f>
        <v>10075.6</v>
      </c>
      <c r="I1798" s="29" t="n">
        <f aca="false">Sens!I1797-Sens!I1796</f>
        <v>11868.716</v>
      </c>
      <c r="J1798" s="29" t="n">
        <f aca="false">Sens!J1797-Sens!J1796</f>
        <v>12927.748</v>
      </c>
      <c r="K1798" s="29" t="n">
        <f aca="false">Sens!K1797-Sens!K1796</f>
        <v>13252.696</v>
      </c>
    </row>
    <row r="1799" customFormat="false" ht="17.15" hidden="false" customHeight="false" outlineLevel="0" collapsed="false">
      <c r="A1799" s="1" t="s">
        <v>808</v>
      </c>
      <c r="B1799" s="0" t="s">
        <v>392</v>
      </c>
      <c r="C1799" s="29" t="n">
        <f aca="false">Sens!C1797</f>
        <v>980</v>
      </c>
      <c r="D1799" s="29" t="n">
        <f aca="false">Sens!D1797-Sens!C1797</f>
        <v>1480</v>
      </c>
      <c r="E1799" s="29" t="n">
        <f aca="false">Sens!E1797-Sens!D1797</f>
        <v>2940</v>
      </c>
      <c r="F1799" s="29" t="n">
        <f aca="false">Sens!F1797-Sens!E1797</f>
        <v>4642.4</v>
      </c>
      <c r="G1799" s="29" t="n">
        <f aca="false">Sens!G1797-Sens!F1797</f>
        <v>5054.4</v>
      </c>
      <c r="H1799" s="29" t="n">
        <f aca="false">Sens!H1797-Sens!G1797</f>
        <v>5054.4</v>
      </c>
      <c r="I1799" s="29" t="n">
        <f aca="false">Sens!I1797-Sens!H1797</f>
        <v>3586.232</v>
      </c>
      <c r="J1799" s="29" t="n">
        <f aca="false">Sens!J1797-Sens!I1797</f>
        <v>2118.064</v>
      </c>
      <c r="K1799" s="29" t="n">
        <f aca="false">Sens!K1797-Sens!J1797</f>
        <v>649.896000000001</v>
      </c>
    </row>
    <row r="1800" customFormat="false" ht="17.15" hidden="false" customHeight="false" outlineLevel="0" collapsed="false">
      <c r="A1800" s="1" t="s">
        <v>809</v>
      </c>
      <c r="B1800" s="0" t="s">
        <v>392</v>
      </c>
      <c r="D1800" s="29" t="n">
        <f aca="false">Sens!D1794-Sens!C1794</f>
        <v>990</v>
      </c>
      <c r="E1800" s="29" t="n">
        <f aca="false">Sens!E1794-Sens!D1794</f>
        <v>1620</v>
      </c>
      <c r="F1800" s="29" t="n">
        <f aca="false">Sens!F1794-Sens!E1794</f>
        <v>2527.2</v>
      </c>
      <c r="G1800" s="29" t="n">
        <f aca="false">Sens!G1794-Sens!F1794</f>
        <v>2527.2</v>
      </c>
      <c r="H1800" s="29" t="n">
        <f aca="false">Sens!H1794-Sens!G1794</f>
        <v>2527.2</v>
      </c>
      <c r="I1800" s="29" t="n">
        <f aca="false">Sens!I1794-Sens!H1794</f>
        <v>1793.116</v>
      </c>
      <c r="J1800" s="29" t="n">
        <f aca="false">Sens!J1794-Sens!I1794</f>
        <v>1059.032</v>
      </c>
      <c r="K1800" s="29" t="n">
        <f aca="false">Sens!K1794-Sens!J1794</f>
        <v>324.948</v>
      </c>
    </row>
    <row r="1801" customFormat="false" ht="17.15" hidden="false" customHeight="false" outlineLevel="0" collapsed="false">
      <c r="A1801" s="1" t="s">
        <v>810</v>
      </c>
      <c r="B1801" s="0" t="s">
        <v>392</v>
      </c>
      <c r="F1801" s="29" t="n">
        <f aca="false">Sens!F1818*ext_sh_lo</f>
        <v>0</v>
      </c>
      <c r="G1801" s="29" t="n">
        <f aca="false">Sens!G1818*ext_sh_lo</f>
        <v>0</v>
      </c>
      <c r="H1801" s="29" t="n">
        <f aca="false">Sens!H1818*ext_sh_lo</f>
        <v>0</v>
      </c>
      <c r="I1801" s="29" t="n">
        <f aca="false">Sens!I1818*ext_sh_lo</f>
        <v>490</v>
      </c>
      <c r="J1801" s="29" t="n">
        <f aca="false">Sens!J1818*ext_sh_lo</f>
        <v>740</v>
      </c>
      <c r="K1801" s="29" t="n">
        <f aca="false">Sens!K1818*ext_sh_lo</f>
        <v>1470</v>
      </c>
      <c r="L1801" s="1" t="s">
        <v>811</v>
      </c>
    </row>
    <row r="1802" customFormat="false" ht="17.15" hidden="false" customHeight="false" outlineLevel="0" collapsed="false">
      <c r="A1802" s="1" t="s">
        <v>812</v>
      </c>
      <c r="B1802" s="0" t="s">
        <v>392</v>
      </c>
      <c r="C1802" s="29" t="n">
        <f aca="false">mix_h*Sens!C1794</f>
        <v>128</v>
      </c>
      <c r="D1802" s="29" t="n">
        <f aca="false">mix_h*Sens!D1794</f>
        <v>326</v>
      </c>
      <c r="E1802" s="29" t="n">
        <f aca="false">mix_h*Sens!E1794</f>
        <v>650</v>
      </c>
      <c r="F1802" s="29" t="n">
        <f aca="false">Sens!E1802-Sens!F1801*mix_h</f>
        <v>650</v>
      </c>
      <c r="G1802" s="29" t="n">
        <f aca="false">Sens!F1802-Sens!G1801*mix_h</f>
        <v>650</v>
      </c>
      <c r="H1802" s="29" t="n">
        <f aca="false">Sens!G1802-Sens!H1801*mix_h</f>
        <v>650</v>
      </c>
      <c r="I1802" s="29" t="n">
        <f aca="false">Sens!H1802-Sens!I1801*mix_h</f>
        <v>552</v>
      </c>
      <c r="J1802" s="29" t="n">
        <f aca="false">Sens!I1802-Sens!J1801*mix_h</f>
        <v>404</v>
      </c>
      <c r="K1802" s="29" t="n">
        <f aca="false">Sens!J1802-Sens!K1801*mix_h</f>
        <v>110</v>
      </c>
    </row>
    <row r="1803" customFormat="false" ht="17.15" hidden="false" customHeight="false" outlineLevel="0" collapsed="false">
      <c r="A1803" s="1" t="s">
        <v>813</v>
      </c>
      <c r="B1803" s="0" t="s">
        <v>392</v>
      </c>
      <c r="C1803" s="29" t="n">
        <f aca="false">mix_g2*Sens!C1794</f>
        <v>288</v>
      </c>
      <c r="D1803" s="29" t="n">
        <f aca="false">mix_g2*Sens!D1794</f>
        <v>733.5</v>
      </c>
      <c r="E1803" s="29" t="n">
        <f aca="false">mix_g2*Sens!E1794</f>
        <v>1462.5</v>
      </c>
      <c r="F1803" s="29" t="n">
        <f aca="false">Sens!E1803-Sens!F1801*mix_g2</f>
        <v>1462.5</v>
      </c>
      <c r="G1803" s="29" t="n">
        <f aca="false">Sens!F1803-Sens!G1801*mix_g2</f>
        <v>1462.5</v>
      </c>
      <c r="H1803" s="29" t="n">
        <f aca="false">Sens!G1803-Sens!H1801*mix_g2</f>
        <v>1462.5</v>
      </c>
      <c r="I1803" s="29" t="n">
        <f aca="false">Sens!H1803-Sens!I1801*mix_g2</f>
        <v>1242</v>
      </c>
      <c r="J1803" s="29" t="n">
        <f aca="false">Sens!I1803-Sens!J1801*mix_g2</f>
        <v>909</v>
      </c>
      <c r="K1803" s="29" t="n">
        <f aca="false">Sens!J1803-Sens!K1801*mix_g2</f>
        <v>247.5</v>
      </c>
    </row>
    <row r="1804" customFormat="false" ht="17.15" hidden="false" customHeight="false" outlineLevel="0" collapsed="false">
      <c r="A1804" s="1" t="s">
        <v>814</v>
      </c>
      <c r="B1804" s="0" t="s">
        <v>392</v>
      </c>
      <c r="C1804" s="29" t="n">
        <f aca="false">mix_g3*Sens!C1794</f>
        <v>224</v>
      </c>
      <c r="D1804" s="29" t="n">
        <f aca="false">mix_g3*Sens!D1794</f>
        <v>570.5</v>
      </c>
      <c r="E1804" s="29" t="n">
        <f aca="false">mix_g3*Sens!E1794</f>
        <v>1137.5</v>
      </c>
      <c r="F1804" s="29" t="n">
        <f aca="false">Sens!E1804+(Sens!F1800+Sens!F1801)*a_g3_27-Sens!F1801*mix_g3</f>
        <v>2906.54</v>
      </c>
      <c r="G1804" s="29" t="n">
        <f aca="false">Sens!F1804+(Sens!G1800+Sens!G1801)*a_g3_28-Sens!G1801*mix_g3</f>
        <v>3664.7</v>
      </c>
      <c r="H1804" s="29" t="n">
        <f aca="false">Sens!G1804+(Sens!H1800+Sens!H1801)*a_g3_29-Sens!H1801*mix_g3</f>
        <v>3917.42</v>
      </c>
      <c r="I1804" s="29" t="n">
        <f aca="false">Sens!H1804+(Sens!I1800+Sens!I1801)*a_g3_29-Sens!I1801*mix_g3</f>
        <v>3974.2316</v>
      </c>
      <c r="J1804" s="29" t="n">
        <f aca="false">Sens!I1804+(Sens!J1800+Sens!J1801)*a_g3_29-Sens!J1801*mix_g3</f>
        <v>3895.1348</v>
      </c>
      <c r="K1804" s="29" t="n">
        <f aca="false">Sens!J1804+(Sens!K1800+Sens!K1801)*a_g3_29-Sens!K1801*mix_g3</f>
        <v>3560.1296</v>
      </c>
    </row>
    <row r="1805" customFormat="false" ht="17.15" hidden="false" customHeight="false" outlineLevel="0" collapsed="false">
      <c r="A1805" s="1" t="s">
        <v>815</v>
      </c>
      <c r="B1805" s="0" t="s">
        <v>392</v>
      </c>
      <c r="C1805" s="29" t="n">
        <v>0</v>
      </c>
      <c r="D1805" s="29" t="n">
        <v>0</v>
      </c>
      <c r="E1805" s="29" t="n">
        <v>0</v>
      </c>
      <c r="F1805" s="29" t="n">
        <f aca="false">Sens!E1805+(Sens!F1800+Sens!F1801)*(1-a_g3_27)</f>
        <v>758.16</v>
      </c>
      <c r="G1805" s="29" t="n">
        <f aca="false">Sens!F1805+(Sens!G1800+Sens!G1801)*(1-a_g3_28)</f>
        <v>2527.2</v>
      </c>
      <c r="H1805" s="29" t="n">
        <f aca="false">Sens!G1805+(Sens!H1800+Sens!H1801)*(1-a_g3_29)</f>
        <v>4801.68</v>
      </c>
      <c r="I1805" s="29" t="n">
        <f aca="false">Sens!H1805+(Sens!I1800+Sens!I1801)*(1-a_g3_29)</f>
        <v>6856.4844</v>
      </c>
      <c r="J1805" s="29" t="n">
        <f aca="false">Sens!I1805+(Sens!J1800+Sens!J1801)*(1-a_g3_29)</f>
        <v>8475.6132</v>
      </c>
      <c r="K1805" s="29" t="n">
        <f aca="false">Sens!J1805+(Sens!K1800+Sens!K1801)*(1-a_g3_29)</f>
        <v>10091.0664</v>
      </c>
    </row>
    <row r="1806" customFormat="false" ht="17.15" hidden="false" customHeight="false" outlineLevel="0" collapsed="false">
      <c r="A1806" s="1" t="s">
        <v>816</v>
      </c>
      <c r="B1806" s="0" t="s">
        <v>339</v>
      </c>
      <c r="C1806" s="14" t="n">
        <f aca="false">(Sens!C1802*tk_hold_h100+Sens!C1803*tk_hold_gb200+Sens!C1804*tk_hold_gb300+Sens!C1805*tk_hold_vr200)/Sens!C1794</f>
        <v>9.7235358126469</v>
      </c>
      <c r="D1806" s="14" t="n">
        <f aca="false">(Sens!D1802*tk_hold_h100+Sens!D1803*tk_hold_gb200+Sens!D1804*tk_hold_gb300+Sens!D1805*tk_hold_vr200)/Sens!D1794</f>
        <v>9.7235358126469</v>
      </c>
      <c r="E1806" s="14" t="n">
        <f aca="false">(Sens!E1802*tk_hold_h100+Sens!E1803*tk_hold_gb200+Sens!E1804*tk_hold_gb300+Sens!E1805*tk_hold_vr200)/Sens!E1794</f>
        <v>9.7235358126469</v>
      </c>
      <c r="F1806" s="14" t="n">
        <f aca="false">(Sens!F1802*tk_hold_h100+Sens!F1803*tk_hold_gb200+Sens!F1804*tk_hold_gb300+Sens!F1805*tk_hold_vr200)/Sens!F1794</f>
        <v>10.4079573161931</v>
      </c>
      <c r="G1806" s="14" t="n">
        <f aca="false">(Sens!G1802*tk_hold_h100+Sens!G1803*tk_hold_gb200+Sens!G1804*tk_hold_gb300+Sens!G1805*tk_hold_vr200)/Sens!G1794</f>
        <v>10.8388131109316</v>
      </c>
      <c r="H1806" s="14" t="n">
        <f aca="false">(Sens!H1802*tk_hold_h100+Sens!H1803*tk_hold_gb200+Sens!H1804*tk_hold_gb300+Sens!H1805*tk_hold_vr200)/Sens!H1794</f>
        <v>11.1311018388216</v>
      </c>
      <c r="I1806" s="14" t="n">
        <f aca="false">(Sens!I1802*tk_hold_h100+Sens!I1803*tk_hold_gb200+Sens!I1804*tk_hold_gb300+Sens!I1805*tk_hold_vr200)/Sens!I1794</f>
        <v>11.3594282560989</v>
      </c>
      <c r="J1806" s="14" t="n">
        <f aca="false">(Sens!J1802*tk_hold_h100+Sens!J1803*tk_hold_gb200+Sens!J1804*tk_hold_gb300+Sens!J1805*tk_hold_vr200)/Sens!J1794</f>
        <v>11.5441508808221</v>
      </c>
      <c r="K1806" s="14" t="n">
        <f aca="false">(Sens!K1802*tk_hold_h100+Sens!K1803*tk_hold_gb200+Sens!K1804*tk_hold_gb300+Sens!K1805*tk_hold_vr200)/Sens!K1794</f>
        <v>11.8053375063575</v>
      </c>
    </row>
    <row r="1807" customFormat="false" ht="17.15" hidden="false" customHeight="false" outlineLevel="0" collapsed="false">
      <c r="A1807" s="0" t="s">
        <v>817</v>
      </c>
      <c r="B1807" s="0" t="s">
        <v>185</v>
      </c>
      <c r="C1807" s="14" t="n">
        <f aca="false">k_B</f>
        <v>1.17213932619116</v>
      </c>
      <c r="D1807" s="14" t="n">
        <f aca="false">k_B</f>
        <v>1.17213932619116</v>
      </c>
      <c r="E1807" s="14" t="n">
        <f aca="false">k_B</f>
        <v>1.17213932619116</v>
      </c>
      <c r="F1807" s="14" t="n">
        <f aca="false">(k_B+((ls_A*k_long+(1-ls_A)*k_spot)-k_B)*MIN(1,(Sens!F1792-base_fy)/k_ramp))</f>
        <v>1.25022828131298</v>
      </c>
      <c r="G1807" s="14" t="n">
        <f aca="false">(k_B+((ls_A*k_long+(1-ls_A)*k_spot)-k_B)*MIN(1,(Sens!G1792-base_fy)/k_ramp))</f>
        <v>1.3283172364348</v>
      </c>
      <c r="H1807" s="14" t="n">
        <f aca="false">(k_B+((ls_A*k_long+(1-ls_A)*k_spot)-k_B)*MIN(1,(Sens!H1792-base_fy)/k_ramp))</f>
        <v>1.40640619155662</v>
      </c>
      <c r="I1807" s="14" t="n">
        <f aca="false">(k_B+((ls_A*k_long+(1-ls_A)*k_spot)-k_B)*MIN(1,(Sens!I1792-base_fy)/k_ramp))</f>
        <v>1.40640619155662</v>
      </c>
      <c r="J1807" s="14" t="n">
        <f aca="false">(k_B+((ls_A*k_long+(1-ls_A)*k_spot)-k_B)*MIN(1,(Sens!J1792-base_fy)/k_ramp))</f>
        <v>1.40640619155662</v>
      </c>
      <c r="K1807" s="14" t="n">
        <f aca="false">(k_B+((ls_A*k_long+(1-ls_A)*k_spot)-k_B)*MIN(1,(Sens!K1792-base_fy)/k_ramp))</f>
        <v>1.40640619155662</v>
      </c>
      <c r="L1807" s="1" t="s">
        <v>818</v>
      </c>
    </row>
    <row r="1808" customFormat="false" ht="17.15" hidden="false" customHeight="false" outlineLevel="0" collapsed="false">
      <c r="A1808" s="1" t="s">
        <v>819</v>
      </c>
      <c r="B1808" s="0" t="s">
        <v>339</v>
      </c>
      <c r="C1808" s="14" t="n">
        <f aca="false">Sens!C1806*Sens!C1807*chip_f</f>
        <v>11.3973387156315</v>
      </c>
      <c r="D1808" s="14" t="n">
        <f aca="false">Sens!D1806*Sens!D1807*chip_f</f>
        <v>11.3973387156315</v>
      </c>
      <c r="E1808" s="14" t="n">
        <f aca="false">Sens!E1806*Sens!E1807*chip_f</f>
        <v>11.3973387156315</v>
      </c>
      <c r="F1808" s="14" t="n">
        <f aca="false">Sens!F1806*Sens!F1807*chip_f</f>
        <v>13.0123225874029</v>
      </c>
      <c r="G1808" s="14" t="n">
        <f aca="false">Sens!G1806*Sens!G1807*chip_f</f>
        <v>14.3973822777458</v>
      </c>
      <c r="H1808" s="14" t="n">
        <f aca="false">Sens!H1806*Sens!H1807*chip_f</f>
        <v>15.6548505449659</v>
      </c>
      <c r="I1808" s="14" t="n">
        <f aca="false">Sens!I1806*Sens!I1807*chip_f</f>
        <v>15.9759702319207</v>
      </c>
      <c r="J1808" s="14" t="n">
        <f aca="false">Sens!J1806*Sens!J1807*chip_f</f>
        <v>16.2357652750519</v>
      </c>
      <c r="K1808" s="14" t="n">
        <f aca="false">Sens!K1806*Sens!K1807*chip_f</f>
        <v>16.6030997623568</v>
      </c>
      <c r="L1808" s="1" t="s">
        <v>820</v>
      </c>
    </row>
    <row r="1809" customFormat="false" ht="17.15" hidden="false" customHeight="false" outlineLevel="0" collapsed="false">
      <c r="A1809" s="0" t="s">
        <v>821</v>
      </c>
      <c r="B1809" s="0" t="s">
        <v>98</v>
      </c>
      <c r="D1809" s="6" t="n">
        <f aca="false">(Sens!C1794+Sens!D1794)/2*Sens!D1808/1000</f>
        <v>12.9359794422418</v>
      </c>
      <c r="E1809" s="6" t="n">
        <f aca="false">(Sens!D1794+Sens!E1794)/2*Sens!E1808/1000</f>
        <v>27.8095064661409</v>
      </c>
      <c r="F1809" s="6" t="n">
        <f aca="false">(Sens!E1794+Sens!F1794)/2*Sens!F1808/1000</f>
        <v>58.7324192305018</v>
      </c>
      <c r="G1809" s="6" t="n">
        <f aca="false">(Sens!F1794+Sens!G1794)/2*Sens!G1808/1000</f>
        <v>101.369089141153</v>
      </c>
      <c r="H1809" s="6" t="n">
        <f aca="false">(Sens!G1794+Sens!H1794)/2*Sens!H1808/1000</f>
        <v>149.785610014234</v>
      </c>
      <c r="I1809" s="6" t="n">
        <f aca="false">(Sens!H1794+Sens!I1794)/2*Sens!I1808/1000</f>
        <v>187.368703083263</v>
      </c>
      <c r="J1809" s="6" t="n">
        <f aca="false">(Sens!I1794+Sens!J1794)/2*Sens!J1808/1000</f>
        <v>213.569023125577</v>
      </c>
      <c r="K1809" s="6" t="n">
        <f aca="false">(Sens!J1794+Sens!K1794)/2*Sens!K1808/1000</f>
        <v>229.890205197739</v>
      </c>
      <c r="L1809" s="11" t="s">
        <v>822</v>
      </c>
    </row>
    <row r="1810" customFormat="false" ht="17.15" hidden="false" customHeight="false" outlineLevel="0" collapsed="false">
      <c r="A1810" s="1" t="s">
        <v>823</v>
      </c>
      <c r="B1810" s="0" t="s">
        <v>339</v>
      </c>
      <c r="C1810" s="14" t="n">
        <f aca="false">(Sens!C1802*tk_opex_h100+Sens!C1803*tk_opex_gb200+Sens!C1804*tk_opex_gb300+Sens!C1805*tk_opex_vr200)/Sens!C1794</f>
        <v>1.88636041306092</v>
      </c>
      <c r="D1810" s="14" t="n">
        <f aca="false">(Sens!D1802*tk_opex_h100+Sens!D1803*tk_opex_gb200+Sens!D1804*tk_opex_gb300+Sens!D1805*tk_opex_vr200)/Sens!D1794</f>
        <v>1.88636041306092</v>
      </c>
      <c r="E1810" s="14" t="n">
        <f aca="false">(Sens!E1802*tk_opex_h100+Sens!E1803*tk_opex_gb200+Sens!E1804*tk_opex_gb300+Sens!E1805*tk_opex_vr200)/Sens!E1794</f>
        <v>1.88636041306092</v>
      </c>
      <c r="F1810" s="14" t="n">
        <f aca="false">(Sens!F1802*tk_opex_h100+Sens!F1803*tk_opex_gb200+Sens!F1804*tk_opex_gb300+Sens!F1805*tk_opex_vr200)/Sens!F1794</f>
        <v>1.9430236476499</v>
      </c>
      <c r="G1810" s="14" t="n">
        <f aca="false">(Sens!G1802*tk_opex_h100+Sens!G1803*tk_opex_gb200+Sens!G1804*tk_opex_gb300+Sens!G1805*tk_opex_vr200)/Sens!G1794</f>
        <v>1.9786941852423</v>
      </c>
      <c r="H1810" s="14" t="n">
        <f aca="false">(Sens!H1802*tk_opex_h100+Sens!H1803*tk_opex_gb200+Sens!H1804*tk_opex_gb300+Sens!H1805*tk_opex_vr200)/Sens!H1794</f>
        <v>2.00289275976156</v>
      </c>
      <c r="I1810" s="14" t="n">
        <f aca="false">(Sens!I1802*tk_opex_h100+Sens!I1803*tk_opex_gb200+Sens!I1804*tk_opex_gb300+Sens!I1805*tk_opex_vr200)/Sens!I1794</f>
        <v>2.02179589661219</v>
      </c>
      <c r="J1810" s="14" t="n">
        <f aca="false">(Sens!J1802*tk_opex_h100+Sens!J1803*tk_opex_gb200+Sens!J1804*tk_opex_gb300+Sens!J1805*tk_opex_vr200)/Sens!J1794</f>
        <v>2.03708907685909</v>
      </c>
      <c r="K1810" s="14" t="n">
        <f aca="false">(Sens!K1802*tk_opex_h100+Sens!K1803*tk_opex_gb200+Sens!K1804*tk_opex_gb300+Sens!K1805*tk_opex_vr200)/Sens!K1794</f>
        <v>2.05871270931005</v>
      </c>
    </row>
    <row r="1811" customFormat="false" ht="17.15" hidden="false" customHeight="false" outlineLevel="0" collapsed="false">
      <c r="A1811" s="0" t="s">
        <v>824</v>
      </c>
      <c r="B1811" s="0" t="s">
        <v>98</v>
      </c>
      <c r="D1811" s="6" t="n">
        <f aca="false">(Sens!C1797+Sens!D1797)/2*Sens!D1810/1000</f>
        <v>3.24453991046478</v>
      </c>
      <c r="E1811" s="6" t="n">
        <f aca="false">(Sens!D1797+Sens!E1797)/2*Sens!E1810/1000</f>
        <v>7.41339642332941</v>
      </c>
      <c r="F1811" s="6" t="n">
        <f aca="false">(Sens!E1797+Sens!F1797)/2*Sens!F1810/1000</f>
        <v>15.0024741882344</v>
      </c>
      <c r="G1811" s="6" t="n">
        <f aca="false">(Sens!F1797+Sens!G1797)/2*Sens!G1810/1000</f>
        <v>24.8713944308216</v>
      </c>
      <c r="H1811" s="6" t="n">
        <f aca="false">(Sens!G1797+Sens!H1797)/2*Sens!H1810/1000</f>
        <v>35.2989819980378</v>
      </c>
      <c r="I1811" s="6" t="n">
        <f aca="false">(Sens!H1797+Sens!I1797)/2*Sens!I1810/1000</f>
        <v>44.3669280427613</v>
      </c>
      <c r="J1811" s="6" t="n">
        <f aca="false">(Sens!I1797+Sens!J1797)/2*Sens!J1810/1000</f>
        <v>50.5126059591296</v>
      </c>
      <c r="K1811" s="6" t="n">
        <f aca="false">(Sens!J1797+Sens!K1797)/2*Sens!K1810/1000</f>
        <v>53.8980127981801</v>
      </c>
    </row>
    <row r="1812" customFormat="false" ht="17.15" hidden="false" customHeight="false" outlineLevel="0" collapsed="false">
      <c r="A1812" s="0" t="s">
        <v>825</v>
      </c>
      <c r="B1812" s="0" t="s">
        <v>98</v>
      </c>
      <c r="D1812" s="6" t="n">
        <f aca="false">(Sens!C1795+Sens!D1795)/2*rent_mw/1000</f>
        <v>2.44475</v>
      </c>
      <c r="E1812" s="6" t="n">
        <f aca="false">(Sens!D1795+Sens!E1795)/2*rent_mw/1000</f>
        <v>4.22275</v>
      </c>
      <c r="F1812" s="6" t="n">
        <f aca="false">(Sens!E1795+Sens!F1795)/2*rent_mw/1000</f>
        <v>5.80517</v>
      </c>
      <c r="G1812" s="6" t="n">
        <f aca="false">(Sens!F1795+Sens!G1795)/2*rent_mw/1000</f>
        <v>6.72084</v>
      </c>
      <c r="H1812" s="6" t="n">
        <f aca="false">(Sens!G1795+Sens!H1795)/2*rent_mw/1000</f>
        <v>6.72084</v>
      </c>
      <c r="I1812" s="6" t="n">
        <f aca="false">(Sens!H1795+Sens!I1795)/2*rent_mw/1000</f>
        <v>6.72084</v>
      </c>
      <c r="J1812" s="6" t="n">
        <f aca="false">(Sens!I1795+Sens!J1795)/2*rent_mw/1000</f>
        <v>6.72084</v>
      </c>
      <c r="K1812" s="6" t="n">
        <f aca="false">(Sens!J1795+Sens!K1795)/2*rent_mw/1000</f>
        <v>6.72084</v>
      </c>
    </row>
    <row r="1813" customFormat="false" ht="17.15" hidden="false" customHeight="false" outlineLevel="0" collapsed="false">
      <c r="A1813" s="0" t="s">
        <v>826</v>
      </c>
      <c r="B1813" s="0" t="s">
        <v>98</v>
      </c>
      <c r="D1813" s="6" t="n">
        <f aca="false">(Sens!C1797+Sens!D1797)/2*(1-self_build)*fac_rent/1000</f>
        <v>1.02389085075729</v>
      </c>
      <c r="E1813" s="6" t="n">
        <f aca="false">(Sens!D1797+Sens!E1797)/2*(1-self_build)*fac_rent/1000</f>
        <v>2.33947153690474</v>
      </c>
      <c r="F1813" s="6" t="n">
        <f aca="false">(Sens!E1797+Sens!F1797)/2*(1-self_build)*fac_rent/1000</f>
        <v>4.59631746329488</v>
      </c>
      <c r="G1813" s="6" t="n">
        <f aca="false">(Sens!F1797+Sens!G1797)/2*(1-self_build)*fac_rent/1000</f>
        <v>7.48249909167374</v>
      </c>
      <c r="H1813" s="6" t="n">
        <f aca="false">(Sens!G1797+Sens!H1797)/2*(1-self_build)*fac_rent/1000</f>
        <v>10.4913095079921</v>
      </c>
      <c r="I1813" s="6" t="n">
        <f aca="false">(Sens!H1797+Sens!I1797)/2*(1-self_build)*fac_rent/1000</f>
        <v>13.0631304526319</v>
      </c>
      <c r="J1813" s="6" t="n">
        <f aca="false">(Sens!I1797+Sens!J1797)/2*(1-self_build)*fac_rent/1000</f>
        <v>14.7609724539143</v>
      </c>
      <c r="K1813" s="6" t="n">
        <f aca="false">(Sens!J1797+Sens!K1797)/2*(1-self_build)*fac_rent/1000</f>
        <v>15.5848355118393</v>
      </c>
      <c r="L1813" s="11" t="s">
        <v>827</v>
      </c>
    </row>
    <row r="1814" customFormat="false" ht="17.15" hidden="false" customHeight="false" outlineLevel="0" collapsed="false">
      <c r="A1814" s="1" t="s">
        <v>828</v>
      </c>
      <c r="B1814" s="0" t="s">
        <v>129</v>
      </c>
      <c r="D1814" s="7" t="n">
        <f aca="false">(Sens!C1796+Sens!D1796)/(Sens!C1797+Sens!D1797)</f>
        <v>0.5</v>
      </c>
      <c r="E1814" s="7" t="n">
        <f aca="false">(Sens!D1796+Sens!E1796)/(Sens!D1797+Sens!E1797)</f>
        <v>0.5</v>
      </c>
      <c r="F1814" s="7" t="n">
        <f aca="false">(Sens!E1796+Sens!F1796)/(Sens!E1797+Sens!F1797)</f>
        <v>0.5</v>
      </c>
      <c r="G1814" s="7" t="n">
        <f aca="false">(Sens!F1796+Sens!G1796)/(Sens!F1797+Sens!G1797)</f>
        <v>0.5</v>
      </c>
      <c r="H1814" s="7" t="n">
        <f aca="false">(Sens!G1796+Sens!H1796)/(Sens!G1797+Sens!H1797)</f>
        <v>0.5</v>
      </c>
      <c r="I1814" s="7" t="n">
        <f aca="false">(Sens!H1796+Sens!I1796)/(Sens!H1797+Sens!I1797)</f>
        <v>0.5</v>
      </c>
      <c r="J1814" s="7" t="n">
        <f aca="false">(Sens!I1796+Sens!J1796)/(Sens!I1797+Sens!J1797)</f>
        <v>0.5</v>
      </c>
      <c r="K1814" s="7" t="n">
        <f aca="false">(Sens!J1796+Sens!K1796)/(Sens!J1797+Sens!K1797)</f>
        <v>0.5</v>
      </c>
    </row>
    <row r="1815" customFormat="false" ht="17.15" hidden="false" customHeight="false" outlineLevel="0" collapsed="false">
      <c r="A1815" s="0" t="s">
        <v>829</v>
      </c>
      <c r="B1815" s="0" t="s">
        <v>98</v>
      </c>
      <c r="D1815" s="6" t="n">
        <f aca="false">Sens!D1809-Sens!D1814*(Sens!D1811+Sens!D1813)-Sens!D1812</f>
        <v>8.35701406163072</v>
      </c>
      <c r="E1815" s="6" t="n">
        <f aca="false">Sens!E1809-Sens!E1814*(Sens!E1811+Sens!E1813)-Sens!E1812</f>
        <v>18.7103224860238</v>
      </c>
      <c r="F1815" s="6" t="n">
        <f aca="false">Sens!F1809-Sens!F1814*(Sens!F1811+Sens!F1813)-Sens!F1812</f>
        <v>43.1278534047371</v>
      </c>
      <c r="G1815" s="6" t="n">
        <f aca="false">Sens!G1809-Sens!G1814*(Sens!G1811+Sens!G1813)-Sens!G1812</f>
        <v>78.4713023799053</v>
      </c>
      <c r="H1815" s="6" t="n">
        <f aca="false">Sens!H1809-Sens!H1814*(Sens!H1811+Sens!H1813)-Sens!H1812</f>
        <v>120.169624261219</v>
      </c>
      <c r="I1815" s="6" t="n">
        <f aca="false">Sens!I1809-Sens!I1814*(Sens!I1811+Sens!I1813)-Sens!I1812</f>
        <v>151.932833835566</v>
      </c>
      <c r="J1815" s="6" t="n">
        <f aca="false">Sens!J1809-Sens!J1814*(Sens!J1811+Sens!J1813)-Sens!J1812</f>
        <v>174.211393919055</v>
      </c>
      <c r="K1815" s="6" t="n">
        <f aca="false">Sens!K1809-Sens!K1814*(Sens!K1811+Sens!K1813)-Sens!K1812</f>
        <v>188.427941042729</v>
      </c>
    </row>
    <row r="1816" customFormat="false" ht="17.15" hidden="false" customHeight="false" outlineLevel="0" collapsed="false">
      <c r="A1816" s="1" t="s">
        <v>830</v>
      </c>
      <c r="B1816" s="0" t="s">
        <v>98</v>
      </c>
      <c r="D1816" s="6" t="n">
        <f aca="false">(1-Sens!D1814)*(Sens!D1811+Sens!D1813)</f>
        <v>2.13421538061103</v>
      </c>
      <c r="E1816" s="6" t="n">
        <f aca="false">(1-Sens!E1814)*(Sens!E1811+Sens!E1813)</f>
        <v>4.87643398011707</v>
      </c>
      <c r="F1816" s="6" t="n">
        <f aca="false">(1-Sens!F1814)*(Sens!F1811+Sens!F1813)</f>
        <v>9.79939582576465</v>
      </c>
      <c r="G1816" s="6" t="n">
        <f aca="false">(1-Sens!G1814)*(Sens!G1811+Sens!G1813)</f>
        <v>16.1769467612477</v>
      </c>
      <c r="H1816" s="6" t="n">
        <f aca="false">(1-Sens!H1814)*(Sens!H1811+Sens!H1813)</f>
        <v>22.895145753015</v>
      </c>
      <c r="I1816" s="6" t="n">
        <f aca="false">(1-Sens!I1814)*(Sens!I1811+Sens!I1813)</f>
        <v>28.7150292476966</v>
      </c>
      <c r="J1816" s="6" t="n">
        <f aca="false">(1-Sens!J1814)*(Sens!J1811+Sens!J1813)</f>
        <v>32.6367892065219</v>
      </c>
      <c r="K1816" s="6" t="n">
        <f aca="false">(1-Sens!K1814)*(Sens!K1811+Sens!K1813)</f>
        <v>34.7414241550097</v>
      </c>
    </row>
    <row r="1817" customFormat="false" ht="17.15" hidden="false" customHeight="false" outlineLevel="0" collapsed="false">
      <c r="A1817" s="1" t="s">
        <v>831</v>
      </c>
      <c r="B1817" s="0" t="s">
        <v>350</v>
      </c>
      <c r="C1817" s="8" t="n">
        <f aca="false">cxit_open</f>
        <v>27.5918995</v>
      </c>
      <c r="D1817" s="8" t="n">
        <f aca="false">cxit_open</f>
        <v>27.5918995</v>
      </c>
      <c r="E1817" s="8" t="n">
        <f aca="false">cxit_open</f>
        <v>27.5918995</v>
      </c>
      <c r="F1817" s="8" t="n">
        <f aca="false">(a_g3_27*tk_cxit_gb300+(1-a_g3_27)*tk_cxit_vr200)</f>
        <v>33.8419624</v>
      </c>
      <c r="G1817" s="8" t="n">
        <f aca="false">(a_g3_28*tk_cxit_gb300+(1-a_g3_28)*tk_cxit_vr200)</f>
        <v>35.9816136</v>
      </c>
      <c r="H1817" s="8" t="n">
        <f aca="false">(a_g3_29*tk_cxit_gb300+(1-a_g3_29)*tk_cxit_vr200)</f>
        <v>37.0514392</v>
      </c>
      <c r="I1817" s="8" t="n">
        <f aca="false">(a_g3_29*tk_cxit_gb300+(1-a_g3_29)*tk_cxit_vr200)</f>
        <v>37.0514392</v>
      </c>
      <c r="J1817" s="8" t="n">
        <f aca="false">(a_g3_29*tk_cxit_gb300+(1-a_g3_29)*tk_cxit_vr200)</f>
        <v>37.0514392</v>
      </c>
      <c r="K1817" s="8" t="n">
        <f aca="false">(a_g3_29*tk_cxit_gb300+(1-a_g3_29)*tk_cxit_vr200)</f>
        <v>37.0514392</v>
      </c>
      <c r="L1817" s="11" t="s">
        <v>832</v>
      </c>
    </row>
    <row r="1818" customFormat="false" ht="17.15" hidden="false" customHeight="false" outlineLevel="0" collapsed="false">
      <c r="A1818" s="0" t="s">
        <v>833</v>
      </c>
      <c r="B1818" s="0" t="s">
        <v>392</v>
      </c>
      <c r="F1818" s="29" t="n">
        <f aca="false">Sens!C1799*IF(Sens!F1792-Sens!C1792=life_it,1,0)+Sens!D1799*IF(Sens!F1792-Sens!D1792=life_it,1,0)+Sens!E1799*IF(Sens!F1792-Sens!E1792=life_it,1,0)</f>
        <v>0</v>
      </c>
      <c r="G1818" s="29" t="n">
        <f aca="false">Sens!C1799*IF(Sens!G1792-Sens!C1792=life_it,1,0)+Sens!D1799*IF(Sens!G1792-Sens!D1792=life_it,1,0)+Sens!E1799*IF(Sens!G1792-Sens!E1792=life_it,1,0)+Sens!F1799*IF(Sens!G1792-Sens!F1792=life_it,1,0)</f>
        <v>0</v>
      </c>
      <c r="H1818" s="29" t="n">
        <f aca="false">Sens!C1799*IF(Sens!H1792-Sens!C1792=life_it,1,0)+Sens!D1799*IF(Sens!H1792-Sens!D1792=life_it,1,0)+Sens!E1799*IF(Sens!H1792-Sens!E1792=life_it,1,0)+Sens!F1799*IF(Sens!H1792-Sens!F1792=life_it,1,0)+Sens!G1799*IF(Sens!H1792-Sens!G1792=life_it,1,0)</f>
        <v>0</v>
      </c>
      <c r="I1818" s="29" t="n">
        <f aca="false">Sens!C1799*IF(Sens!I1792-Sens!C1792=life_it,1,0)+Sens!D1799*IF(Sens!I1792-Sens!D1792=life_it,1,0)+Sens!E1799*IF(Sens!I1792-Sens!E1792=life_it,1,0)+Sens!F1799*IF(Sens!I1792-Sens!F1792=life_it,1,0)+Sens!G1799*IF(Sens!I1792-Sens!G1792=life_it,1,0)+Sens!H1799*IF(Sens!I1792-Sens!H1792=life_it,1,0)</f>
        <v>980</v>
      </c>
      <c r="J1818" s="29" t="n">
        <f aca="false">Sens!C1799*IF(Sens!J1792-Sens!C1792=life_it,1,0)+Sens!D1799*IF(Sens!J1792-Sens!D1792=life_it,1,0)+Sens!E1799*IF(Sens!J1792-Sens!E1792=life_it,1,0)+Sens!F1799*IF(Sens!J1792-Sens!F1792=life_it,1,0)+Sens!G1799*IF(Sens!J1792-Sens!G1792=life_it,1,0)+Sens!H1799*IF(Sens!J1792-Sens!H1792=life_it,1,0)+Sens!I1799*IF(Sens!J1792-Sens!I1792=life_it,1,0)</f>
        <v>1480</v>
      </c>
      <c r="K1818" s="29" t="n">
        <f aca="false">Sens!C1799*IF(Sens!K1792-Sens!C1792=life_it,1,0)+Sens!D1799*IF(Sens!K1792-Sens!D1792=life_it,1,0)+Sens!E1799*IF(Sens!K1792-Sens!E1792=life_it,1,0)+Sens!F1799*IF(Sens!K1792-Sens!F1792=life_it,1,0)+Sens!G1799*IF(Sens!K1792-Sens!G1792=life_it,1,0)+Sens!H1799*IF(Sens!K1792-Sens!H1792=life_it,1,0)+Sens!I1799*IF(Sens!K1792-Sens!I1792=life_it,1,0)+Sens!J1799*IF(Sens!K1792-Sens!J1792=life_it,1,0)</f>
        <v>2940</v>
      </c>
      <c r="L1818" s="1" t="s">
        <v>834</v>
      </c>
    </row>
    <row r="1819" customFormat="false" ht="17.15" hidden="false" customHeight="false" outlineLevel="0" collapsed="false">
      <c r="A1819" s="0" t="s">
        <v>835</v>
      </c>
      <c r="B1819" s="0" t="s">
        <v>98</v>
      </c>
      <c r="C1819" s="6" t="n">
        <f aca="false">Sens!C1799*Sens!C1817/1000</f>
        <v>27.04006151</v>
      </c>
      <c r="D1819" s="6" t="n">
        <f aca="false">Sens!D1799*Sens!D1817/1000</f>
        <v>40.83601126</v>
      </c>
      <c r="E1819" s="6" t="n">
        <f aca="false">Sens!E1799*Sens!E1817/1000</f>
        <v>81.12018453</v>
      </c>
      <c r="F1819" s="6" t="n">
        <f aca="false">(Sens!F1799+Sens!F1818)*Sens!F1817/1000</f>
        <v>157.10792624576</v>
      </c>
      <c r="G1819" s="6" t="n">
        <f aca="false">(Sens!G1799+Sens!G1818)*Sens!G1817/1000</f>
        <v>181.86546777984</v>
      </c>
      <c r="H1819" s="6" t="n">
        <f aca="false">(Sens!H1799+Sens!H1818)*Sens!H1817/1000</f>
        <v>187.27279429248</v>
      </c>
      <c r="I1819" s="6" t="n">
        <f aca="false">(Sens!I1799+Sens!I1818)*Sens!I1817/1000</f>
        <v>169.185467321094</v>
      </c>
      <c r="J1819" s="6" t="n">
        <f aca="false">(Sens!J1799+Sens!J1818)*Sens!J1817/1000</f>
        <v>133.313449533709</v>
      </c>
      <c r="K1819" s="6" t="n">
        <f aca="false">(Sens!K1799+Sens!K1818)*Sens!K1817/1000</f>
        <v>133.010813378323</v>
      </c>
    </row>
    <row r="1820" customFormat="false" ht="17.15" hidden="false" customHeight="false" outlineLevel="0" collapsed="false">
      <c r="A1820" s="0" t="s">
        <v>836</v>
      </c>
      <c r="B1820" s="0" t="s">
        <v>98</v>
      </c>
      <c r="C1820" s="6" t="n">
        <f aca="false">Sens!C1799*self_build*tk_cxfac/1000</f>
        <v>7.44996</v>
      </c>
      <c r="D1820" s="6" t="n">
        <f aca="false">Sens!D1799*self_build*tk_cxfac/1000</f>
        <v>11.25096</v>
      </c>
      <c r="E1820" s="6" t="n">
        <f aca="false">Sens!E1799*self_build*tk_cxfac/1000</f>
        <v>22.34988</v>
      </c>
      <c r="F1820" s="6" t="n">
        <f aca="false">Sens!F1799*self_build*tk_cxfac/1000</f>
        <v>35.2915248</v>
      </c>
      <c r="G1820" s="6" t="n">
        <f aca="false">Sens!G1799*self_build*tk_cxfac/1000</f>
        <v>38.4235488</v>
      </c>
      <c r="H1820" s="6" t="n">
        <f aca="false">Sens!H1799*self_build*tk_cxfac/1000</f>
        <v>38.4235488</v>
      </c>
      <c r="I1820" s="6" t="n">
        <f aca="false">Sens!I1799*self_build*tk_cxfac/1000</f>
        <v>27.262535664</v>
      </c>
      <c r="J1820" s="6" t="n">
        <f aca="false">Sens!J1799*self_build*tk_cxfac/1000</f>
        <v>16.101522528</v>
      </c>
      <c r="K1820" s="6" t="n">
        <f aca="false">Sens!K1799*self_build*tk_cxfac/1000</f>
        <v>4.940509392</v>
      </c>
    </row>
    <row r="1821" customFormat="false" ht="17.15" hidden="false" customHeight="false" outlineLevel="0" collapsed="false">
      <c r="A1821" s="0" t="s">
        <v>837</v>
      </c>
      <c r="B1821" s="0" t="s">
        <v>98</v>
      </c>
      <c r="F1821" s="6" t="n">
        <f aca="false">MAX(0,capex_floor27-Sens!F1819-Sens!F1820-Sens!F1914)</f>
        <v>0</v>
      </c>
      <c r="L1821" s="1" t="s">
        <v>838</v>
      </c>
    </row>
    <row r="1822" customFormat="false" ht="17.15" hidden="false" customHeight="false" outlineLevel="0" collapsed="false">
      <c r="A1822" s="0" t="s">
        <v>839</v>
      </c>
      <c r="B1822" s="0" t="s">
        <v>98</v>
      </c>
      <c r="C1822" s="6" t="n">
        <f aca="false">Sens!C1819</f>
        <v>27.04006151</v>
      </c>
      <c r="D1822" s="6" t="n">
        <f aca="false">Sens!D1819</f>
        <v>40.83601126</v>
      </c>
      <c r="E1822" s="6" t="n">
        <f aca="false">Sens!E1819</f>
        <v>81.12018453</v>
      </c>
      <c r="F1822" s="6" t="n">
        <f aca="false">Sens!F1819+Sens!F1821</f>
        <v>157.10792624576</v>
      </c>
      <c r="G1822" s="6" t="n">
        <f aca="false">Sens!G1819</f>
        <v>181.86546777984</v>
      </c>
      <c r="H1822" s="6" t="n">
        <f aca="false">Sens!H1819</f>
        <v>187.27279429248</v>
      </c>
      <c r="I1822" s="6" t="n">
        <f aca="false">Sens!I1819</f>
        <v>169.185467321094</v>
      </c>
      <c r="J1822" s="6" t="n">
        <f aca="false">Sens!J1819</f>
        <v>133.313449533709</v>
      </c>
      <c r="K1822" s="6" t="n">
        <f aca="false">Sens!K1819</f>
        <v>133.010813378323</v>
      </c>
    </row>
    <row r="1823" customFormat="false" ht="17.15" hidden="false" customHeight="false" outlineLevel="0" collapsed="false">
      <c r="A1823" s="0" t="s">
        <v>840</v>
      </c>
      <c r="B1823" s="0" t="s">
        <v>98</v>
      </c>
      <c r="C1823" s="6" t="n">
        <f aca="false">Sens!C1822+Sens!C1820</f>
        <v>34.49002151</v>
      </c>
      <c r="D1823" s="6" t="n">
        <f aca="false">Sens!D1822+Sens!D1820</f>
        <v>52.08697126</v>
      </c>
      <c r="E1823" s="6" t="n">
        <f aca="false">Sens!E1822+Sens!E1820</f>
        <v>103.47006453</v>
      </c>
      <c r="F1823" s="6" t="n">
        <f aca="false">Sens!F1822+Sens!F1820</f>
        <v>192.39945104576</v>
      </c>
      <c r="G1823" s="6" t="n">
        <f aca="false">Sens!G1822+Sens!G1820</f>
        <v>220.28901657984</v>
      </c>
      <c r="H1823" s="6" t="n">
        <f aca="false">Sens!H1822+Sens!H1820</f>
        <v>225.69634309248</v>
      </c>
      <c r="I1823" s="6" t="n">
        <f aca="false">Sens!I1822+Sens!I1820</f>
        <v>196.448002985094</v>
      </c>
      <c r="J1823" s="6" t="n">
        <f aca="false">Sens!J1822+Sens!J1820</f>
        <v>149.414972061709</v>
      </c>
      <c r="K1823" s="6" t="n">
        <f aca="false">Sens!K1822+Sens!K1820</f>
        <v>137.951322770323</v>
      </c>
      <c r="L1823" s="11" t="s">
        <v>841</v>
      </c>
    </row>
    <row r="1824" customFormat="false" ht="17.15" hidden="false" customHeight="false" outlineLevel="0" collapsed="false">
      <c r="A1824" s="0" t="s">
        <v>842</v>
      </c>
      <c r="B1824" s="0" t="s">
        <v>98</v>
      </c>
      <c r="E1824" s="6" t="n">
        <f aca="false">(Sens!C1822*IF(2&lt;life_it,1,IF(2=life_it,0.5,0))+Sens!D1822*IF(1&lt;life_it,1,IF(1=life_it,0.5,0))+Sens!E1822*0.5)/life_it</f>
        <v>18.0726941725</v>
      </c>
      <c r="F1824" s="6" t="n">
        <f aca="false">(Sens!C1822*IF(3&lt;life_it,1,IF(3=life_it,0.5,0))+Sens!D1822*IF(2&lt;life_it,1,IF(2=life_it,0.5,0))+Sens!E1822*IF(1&lt;life_it,1,IF(1=life_it,0.5,0))+Sens!F1822*0.5)/life_it</f>
        <v>37.9250367371467</v>
      </c>
      <c r="G1824" s="6" t="n">
        <f aca="false">(Sens!C1822*IF(4&lt;life_it,1,IF(4=life_it,0.5,0))+Sens!D1822*IF(3&lt;life_it,1,IF(3=life_it,0.5,0))+Sens!E1822*IF(2&lt;life_it,1,IF(2=life_it,0.5,0))+Sens!F1822*IF(1&lt;life_it,1,IF(1=life_it,0.5,0))+Sens!G1822*0.5)/life_it</f>
        <v>66.1728195726133</v>
      </c>
      <c r="H1824" s="6" t="n">
        <f aca="false">(Sens!C1822*IF(5&lt;life_it,1,IF(5=life_it,0.5,0))+Sens!D1822*IF(4&lt;life_it,1,IF(4=life_it,0.5,0))+Sens!E1822*IF(3&lt;life_it,1,IF(3=life_it,0.5,0))+Sens!F1822*IF(2&lt;life_it,1,IF(2=life_it,0.5,0))+Sens!G1822*IF(1&lt;life_it,1,IF(1=life_it,0.5,0))+Sens!H1822*0.5)/life_it</f>
        <v>96.9343414119733</v>
      </c>
      <c r="I1824" s="6" t="n">
        <f aca="false">(Sens!C1822*IF(6&lt;life_it,1,IF(6=life_it,0.5,0))+Sens!D1822*IF(5&lt;life_it,1,IF(5=life_it,0.5,0))+Sens!E1822*IF(4&lt;life_it,1,IF(4=life_it,0.5,0))+Sens!F1822*IF(3&lt;life_it,1,IF(3=life_it,0.5,0))+Sens!G1822*IF(2&lt;life_it,1,IF(2=life_it,0.5,0))+Sens!H1822*IF(1&lt;life_it,1,IF(1=life_it,0.5,0))+Sens!I1822*0.5)/life_it</f>
        <v>124.385858087271</v>
      </c>
      <c r="J1824" s="6" t="n">
        <f aca="false">(Sens!C1822*IF(7&lt;life_it,1,IF(7=life_it,0.5,0))+Sens!D1822*IF(6&lt;life_it,1,IF(6=life_it,0.5,0))+Sens!E1822*IF(5&lt;life_it,1,IF(5=life_it,0.5,0))+Sens!F1822*IF(4&lt;life_it,1,IF(4=life_it,0.5,0))+Sens!G1822*IF(3&lt;life_it,1,IF(3=life_it,0.5,0))+Sens!H1822*IF(2&lt;life_it,1,IF(2=life_it,0.5,0))+Sens!I1822*IF(1&lt;life_it,1,IF(1=life_it,0.5,0))+Sens!J1822*0.5)/life_it</f>
        <v>143.937761761005</v>
      </c>
      <c r="K1824" s="6" t="n">
        <f aca="false">(Sens!C1822*IF(8&lt;life_it,1,IF(8=life_it,0.5,0))+Sens!D1822*IF(7&lt;life_it,1,IF(7=life_it,0.5,0))+Sens!E1822*IF(6&lt;life_it,1,IF(6=life_it,0.5,0))+Sens!F1822*IF(5&lt;life_it,1,IF(5=life_it,0.5,0))+Sens!G1822*IF(4&lt;life_it,1,IF(4=life_it,0.5,0))+Sens!H1822*IF(3&lt;life_it,1,IF(3=life_it,0.5,0))+Sens!I1822*IF(2&lt;life_it,1,IF(2=life_it,0.5,0))+Sens!J1822*IF(1&lt;life_it,1,IF(1=life_it,0.5,0))+Sens!K1822*0.5)/life_it</f>
        <v>155.968434021174</v>
      </c>
    </row>
    <row r="1825" customFormat="false" ht="17.15" hidden="false" customHeight="false" outlineLevel="0" collapsed="false">
      <c r="A1825" s="0" t="s">
        <v>843</v>
      </c>
      <c r="B1825" s="0" t="s">
        <v>98</v>
      </c>
      <c r="E1825" s="6" t="n">
        <f aca="false">(Sens!C1820*IF(2&lt;life_fac,1,IF(2=life_fac,0.5,0))+Sens!D1820*IF(1&lt;life_fac,1,IF(1=life_fac,0.5,0))+Sens!E1820*0.5)/life_fac</f>
        <v>1.493793</v>
      </c>
      <c r="F1825" s="6" t="n">
        <f aca="false">(Sens!C1820*IF(3&lt;life_fac,1,IF(3=life_fac,0.5,0))+Sens!D1820*IF(2&lt;life_fac,1,IF(2=life_fac,0.5,0))+Sens!E1820*IF(1&lt;life_fac,1,IF(1=life_fac,0.5,0))+Sens!F1820*0.5)/life_fac</f>
        <v>2.93482812</v>
      </c>
      <c r="G1825" s="6" t="n">
        <f aca="false">(Sens!C1820*IF(4&lt;life_fac,1,IF(4=life_fac,0.5,0))+Sens!D1820*IF(3&lt;life_fac,1,IF(3=life_fac,0.5,0))+Sens!E1820*IF(2&lt;life_fac,1,IF(2=life_fac,0.5,0))+Sens!F1820*IF(1&lt;life_fac,1,IF(1=life_fac,0.5,0))+Sens!G1820*0.5)/life_fac</f>
        <v>4.77770496</v>
      </c>
      <c r="H1825" s="6" t="n">
        <f aca="false">(Sens!C1820*IF(5&lt;life_fac,1,IF(5=life_fac,0.5,0))+Sens!D1820*IF(4&lt;life_fac,1,IF(4=life_fac,0.5,0))+Sens!E1820*IF(3&lt;life_fac,1,IF(3=life_fac,0.5,0))+Sens!F1820*IF(2&lt;life_fac,1,IF(2=life_fac,0.5,0))+Sens!G1820*IF(1&lt;life_fac,1,IF(1=life_fac,0.5,0))+Sens!H1820*0.5)/life_fac</f>
        <v>6.6988824</v>
      </c>
      <c r="I1825" s="6" t="n">
        <f aca="false">(Sens!C1820*IF(6&lt;life_fac,1,IF(6=life_fac,0.5,0))+Sens!D1820*IF(5&lt;life_fac,1,IF(5=life_fac,0.5,0))+Sens!E1820*IF(4&lt;life_fac,1,IF(4=life_fac,0.5,0))+Sens!F1820*IF(3&lt;life_fac,1,IF(3=life_fac,0.5,0))+Sens!G1820*IF(2&lt;life_fac,1,IF(2=life_fac,0.5,0))+Sens!H1820*IF(1&lt;life_fac,1,IF(1=life_fac,0.5,0))+Sens!I1820*0.5)/life_fac</f>
        <v>8.3410345116</v>
      </c>
      <c r="J1825" s="6" t="n">
        <f aca="false">(Sens!C1820*IF(7&lt;life_fac,1,IF(7=life_fac,0.5,0))+Sens!D1820*IF(6&lt;life_fac,1,IF(6=life_fac,0.5,0))+Sens!E1820*IF(5&lt;life_fac,1,IF(5=life_fac,0.5,0))+Sens!F1820*IF(4&lt;life_fac,1,IF(4=life_fac,0.5,0))+Sens!G1820*IF(3&lt;life_fac,1,IF(3=life_fac,0.5,0))+Sens!H1820*IF(2&lt;life_fac,1,IF(2=life_fac,0.5,0))+Sens!I1820*IF(1&lt;life_fac,1,IF(1=life_fac,0.5,0))+Sens!J1820*0.5)/life_fac</f>
        <v>9.4251359664</v>
      </c>
      <c r="K1825" s="6" t="n">
        <f aca="false">(Sens!C1820*IF(8&lt;life_fac,1,IF(8=life_fac,0.5,0))+Sens!D1820*IF(7&lt;life_fac,1,IF(7=life_fac,0.5,0))+Sens!E1820*IF(6&lt;life_fac,1,IF(6=life_fac,0.5,0))+Sens!F1820*IF(5&lt;life_fac,1,IF(5=life_fac,0.5,0))+Sens!G1820*IF(4&lt;life_fac,1,IF(4=life_fac,0.5,0))+Sens!H1820*IF(3&lt;life_fac,1,IF(3=life_fac,0.5,0))+Sens!I1820*IF(2&lt;life_fac,1,IF(2=life_fac,0.5,0))+Sens!J1820*IF(1&lt;life_fac,1,IF(1=life_fac,0.5,0))+Sens!K1820*0.5)/life_fac</f>
        <v>9.9511867644</v>
      </c>
    </row>
    <row r="1826" customFormat="false" ht="17.15" hidden="false" customHeight="false" outlineLevel="0" collapsed="false">
      <c r="A1826" s="0" t="s">
        <v>844</v>
      </c>
      <c r="B1826" s="0" t="s">
        <v>98</v>
      </c>
      <c r="E1826" s="6" t="n">
        <f aca="false">Sens!E1824+Sens!E1825</f>
        <v>19.5664871725</v>
      </c>
      <c r="F1826" s="6" t="n">
        <f aca="false">Sens!F1824+Sens!F1825</f>
        <v>40.8598648571467</v>
      </c>
      <c r="G1826" s="6" t="n">
        <f aca="false">Sens!G1824+Sens!G1825</f>
        <v>70.9505245326133</v>
      </c>
      <c r="H1826" s="6" t="n">
        <f aca="false">Sens!H1824+Sens!H1825</f>
        <v>103.633223811973</v>
      </c>
      <c r="I1826" s="6" t="n">
        <f aca="false">Sens!I1824+Sens!I1825</f>
        <v>132.726892598871</v>
      </c>
      <c r="J1826" s="6" t="n">
        <f aca="false">Sens!J1824+Sens!J1825</f>
        <v>153.362897727405</v>
      </c>
      <c r="K1826" s="6" t="n">
        <f aca="false">Sens!K1824+Sens!K1825</f>
        <v>165.919620785574</v>
      </c>
    </row>
    <row r="1827" customFormat="false" ht="17.15" hidden="false" customHeight="false" outlineLevel="0" collapsed="false">
      <c r="A1827" s="0" t="s">
        <v>845</v>
      </c>
      <c r="B1827" s="0" t="s">
        <v>98</v>
      </c>
      <c r="E1827" s="6" t="n">
        <f aca="false">Sens!E1815-Sens!E1814*Sens!E1826</f>
        <v>8.92707889977379</v>
      </c>
      <c r="F1827" s="6" t="n">
        <f aca="false">Sens!F1815-Sens!F1814*Sens!F1826</f>
        <v>22.6979209761638</v>
      </c>
      <c r="G1827" s="6" t="n">
        <f aca="false">Sens!G1815-Sens!G1814*Sens!G1826</f>
        <v>42.9960401135986</v>
      </c>
      <c r="H1827" s="6" t="n">
        <f aca="false">Sens!H1815-Sens!H1814*Sens!H1826</f>
        <v>68.3530123552322</v>
      </c>
      <c r="I1827" s="6" t="n">
        <f aca="false">Sens!I1815-Sens!I1814*Sens!I1826</f>
        <v>85.5693875361303</v>
      </c>
      <c r="J1827" s="6" t="n">
        <f aca="false">Sens!J1815-Sens!J1814*Sens!J1826</f>
        <v>97.5299450553525</v>
      </c>
      <c r="K1827" s="6" t="n">
        <f aca="false">Sens!K1815-Sens!K1814*Sens!K1826</f>
        <v>105.468130649942</v>
      </c>
    </row>
    <row r="1828" customFormat="false" ht="17.15" hidden="false" customHeight="false" outlineLevel="0" collapsed="false">
      <c r="A1828" s="3" t="s">
        <v>1280</v>
      </c>
    </row>
    <row r="1829" customFormat="false" ht="15" hidden="false" customHeight="false" outlineLevel="0" collapsed="false">
      <c r="A1829" s="4" t="s">
        <v>43</v>
      </c>
      <c r="B1829" s="4" t="s">
        <v>65</v>
      </c>
      <c r="C1829" s="20" t="s">
        <v>788</v>
      </c>
      <c r="D1829" s="20" t="s">
        <v>789</v>
      </c>
      <c r="E1829" s="20" t="s">
        <v>790</v>
      </c>
      <c r="F1829" s="20" t="s">
        <v>791</v>
      </c>
      <c r="G1829" s="20" t="s">
        <v>792</v>
      </c>
      <c r="H1829" s="20" t="s">
        <v>793</v>
      </c>
      <c r="I1829" s="20" t="s">
        <v>794</v>
      </c>
      <c r="J1829" s="20" t="s">
        <v>795</v>
      </c>
      <c r="K1829" s="20" t="s">
        <v>796</v>
      </c>
      <c r="L1829" s="4" t="s">
        <v>47</v>
      </c>
    </row>
    <row r="1830" customFormat="false" ht="17.15" hidden="false" customHeight="false" outlineLevel="0" collapsed="false">
      <c r="A1830" s="0" t="s">
        <v>864</v>
      </c>
      <c r="B1830" s="0" t="s">
        <v>98</v>
      </c>
      <c r="D1830" s="6" t="n">
        <f aca="false">Sens!D1809</f>
        <v>12.9359794422418</v>
      </c>
      <c r="E1830" s="6" t="n">
        <f aca="false">Sens!E1809</f>
        <v>27.8095064661409</v>
      </c>
      <c r="F1830" s="6" t="n">
        <f aca="false">Sens!F1809</f>
        <v>58.7324192305018</v>
      </c>
      <c r="G1830" s="6" t="n">
        <f aca="false">Sens!G1809</f>
        <v>101.369089141153</v>
      </c>
      <c r="H1830" s="6" t="n">
        <f aca="false">Sens!H1809</f>
        <v>149.785610014234</v>
      </c>
      <c r="I1830" s="6" t="n">
        <f aca="false">Sens!I1809</f>
        <v>187.368703083263</v>
      </c>
      <c r="J1830" s="6" t="n">
        <f aca="false">Sens!J1809</f>
        <v>213.569023125577</v>
      </c>
      <c r="K1830" s="6" t="n">
        <f aca="false">Sens!K1809</f>
        <v>229.890205197739</v>
      </c>
    </row>
    <row r="1831" customFormat="false" ht="17.15" hidden="false" customHeight="false" outlineLevel="0" collapsed="false">
      <c r="A1831" s="0" t="s">
        <v>865</v>
      </c>
      <c r="B1831" s="0" t="s">
        <v>98</v>
      </c>
      <c r="D1831" s="6" t="n">
        <f aca="false">Q!L6-Sens!D1830</f>
        <v>59.6740205577583</v>
      </c>
      <c r="E1831" s="6" t="n">
        <f aca="false">Q!M6-Sens!E1830</f>
        <v>74.1284935338591</v>
      </c>
      <c r="F1831" s="6" t="n">
        <f aca="false">Sens!E1831*(1+Sens!F1832)</f>
        <v>90.0799497373663</v>
      </c>
      <c r="G1831" s="6" t="n">
        <f aca="false">Sens!F1831*(1+Sens!G1832)</f>
        <v>107.02842520331</v>
      </c>
      <c r="H1831" s="6" t="n">
        <f aca="false">Sens!G1831*(1+Sens!H1832)</f>
        <v>124.271982585636</v>
      </c>
      <c r="I1831" s="6" t="n">
        <f aca="false">Sens!H1831*(1+Sens!I1832)</f>
        <v>140.933702381855</v>
      </c>
      <c r="J1831" s="6" t="n">
        <f aca="false">Sens!I1831*(1+Sens!J1832)</f>
        <v>156.018867314332</v>
      </c>
      <c r="K1831" s="6" t="n">
        <f aca="false">Sens!J1831*(1+Sens!K1832)</f>
        <v>168.500376699478</v>
      </c>
    </row>
    <row r="1832" customFormat="false" ht="15" hidden="false" customHeight="false" outlineLevel="0" collapsed="false">
      <c r="A1832" s="1" t="s">
        <v>866</v>
      </c>
      <c r="B1832" s="0" t="s">
        <v>129</v>
      </c>
      <c r="E1832" s="7" t="n">
        <f aca="false">Sens!E1831/Sens!D1831-1</f>
        <v>0.242223883039864</v>
      </c>
      <c r="F1832" s="7" t="n">
        <f aca="false">Sens!$E$1832+(glt_azo-Sens!$E$1832)*MIN(1,(Sens!F1792-base_fy)/n_conv)</f>
        <v>0.215186569199887</v>
      </c>
      <c r="G1832" s="7" t="n">
        <f aca="false">Sens!$E$1832+(glt_azo-Sens!$E$1832)*MIN(1,(Sens!G1792-base_fy)/n_conv)</f>
        <v>0.18814925535991</v>
      </c>
      <c r="H1832" s="7" t="n">
        <f aca="false">Sens!$E$1832+(glt_azo-Sens!$E$1832)*MIN(1,(Sens!H1792-base_fy)/n_conv)</f>
        <v>0.161111941519932</v>
      </c>
      <c r="I1832" s="7" t="n">
        <f aca="false">Sens!$E$1832+(glt_azo-Sens!$E$1832)*MIN(1,(Sens!I1792-base_fy)/n_conv)</f>
        <v>0.134074627679955</v>
      </c>
      <c r="J1832" s="7" t="n">
        <f aca="false">Sens!$E$1832+(glt_azo-Sens!$E$1832)*MIN(1,(Sens!J1792-base_fy)/n_conv)</f>
        <v>0.107037313839977</v>
      </c>
      <c r="K1832" s="7" t="n">
        <f aca="false">Sens!$E$1832+(glt_azo-Sens!$E$1832)*MIN(1,(Sens!K1792-base_fy)/n_conv)</f>
        <v>0.08</v>
      </c>
    </row>
    <row r="1833" customFormat="false" ht="15" hidden="false" customHeight="false" outlineLevel="0" collapsed="false">
      <c r="A1833" s="0" t="s">
        <v>867</v>
      </c>
      <c r="B1833" s="0" t="s">
        <v>98</v>
      </c>
      <c r="D1833" s="6" t="n">
        <f aca="false">Sens!D1830+Sens!D1831</f>
        <v>72.61</v>
      </c>
      <c r="E1833" s="6" t="n">
        <f aca="false">Sens!E1830+Sens!E1831</f>
        <v>101.938</v>
      </c>
      <c r="F1833" s="6" t="n">
        <f aca="false">Sens!F1830+Sens!F1831</f>
        <v>148.812368967868</v>
      </c>
      <c r="G1833" s="6" t="n">
        <f aca="false">Sens!G1830+Sens!G1831</f>
        <v>208.397514344463</v>
      </c>
      <c r="H1833" s="6" t="n">
        <f aca="false">Sens!H1830+Sens!H1831</f>
        <v>274.05759259987</v>
      </c>
      <c r="I1833" s="6" t="n">
        <f aca="false">Sens!I1830+Sens!I1831</f>
        <v>328.302405465117</v>
      </c>
      <c r="J1833" s="6" t="n">
        <f aca="false">Sens!J1830+Sens!J1831</f>
        <v>369.587890439908</v>
      </c>
      <c r="K1833" s="6" t="n">
        <f aca="false">Sens!K1830+Sens!K1831</f>
        <v>398.390581897217</v>
      </c>
    </row>
    <row r="1834" customFormat="false" ht="17.15" hidden="false" customHeight="false" outlineLevel="0" collapsed="false">
      <c r="A1834" s="0" t="s">
        <v>868</v>
      </c>
      <c r="B1834" s="1" t="s">
        <v>521</v>
      </c>
      <c r="C1834" s="29" t="n">
        <f aca="false">cop_s24</f>
        <v>1</v>
      </c>
      <c r="D1834" s="29" t="n">
        <f aca="false">cop_s25</f>
        <v>5</v>
      </c>
      <c r="E1834" s="29" t="n">
        <f aca="false">cop_s26</f>
        <v>30</v>
      </c>
      <c r="F1834" s="29" t="n">
        <f aca="false">Sens!E1834+cop_add_A</f>
        <v>60</v>
      </c>
      <c r="G1834" s="29" t="n">
        <f aca="false">Sens!F1834+cop_add_A</f>
        <v>90</v>
      </c>
      <c r="H1834" s="29" t="n">
        <f aca="false">Sens!G1834+cop_add_A</f>
        <v>120</v>
      </c>
      <c r="I1834" s="29" t="n">
        <f aca="false">Sens!H1834+cop_add_A*cop_tail</f>
        <v>135</v>
      </c>
      <c r="J1834" s="29" t="n">
        <f aca="false">Sens!I1834+cop_add_A*cop_tail</f>
        <v>150</v>
      </c>
      <c r="K1834" s="29" t="n">
        <f aca="false">Sens!J1834+cop_add_A*cop_tail</f>
        <v>165</v>
      </c>
      <c r="L1834" s="11" t="s">
        <v>869</v>
      </c>
    </row>
    <row r="1835" customFormat="false" ht="17.15" hidden="false" customHeight="false" outlineLevel="0" collapsed="false">
      <c r="A1835" s="0" t="s">
        <v>870</v>
      </c>
      <c r="B1835" s="0" t="s">
        <v>98</v>
      </c>
      <c r="D1835" s="6" t="n">
        <f aca="false">(Sens!C1834+Sens!D1834)/2*cop_px*12/1000</f>
        <v>0.9</v>
      </c>
      <c r="E1835" s="6" t="n">
        <f aca="false">(Sens!D1834+Sens!E1834)/2*cop_px*12/1000</f>
        <v>5.25</v>
      </c>
      <c r="F1835" s="6" t="n">
        <f aca="false">(Sens!E1834+Sens!F1834)/2*cop_px*12/1000</f>
        <v>13.5</v>
      </c>
      <c r="G1835" s="6" t="n">
        <f aca="false">(Sens!F1834+Sens!G1834)/2*cop_px*12/1000</f>
        <v>22.5</v>
      </c>
      <c r="H1835" s="6" t="n">
        <f aca="false">(Sens!G1834+Sens!H1834)/2*cop_px*12/1000</f>
        <v>31.5</v>
      </c>
      <c r="I1835" s="6" t="n">
        <f aca="false">(Sens!H1834+Sens!I1834)/2*cop_px*12/1000</f>
        <v>38.25</v>
      </c>
      <c r="J1835" s="6" t="n">
        <f aca="false">(Sens!I1834+Sens!J1834)/2*cop_px*12/1000</f>
        <v>42.75</v>
      </c>
      <c r="K1835" s="6" t="n">
        <f aca="false">(Sens!J1834+Sens!K1834)/2*cop_px*12/1000</f>
        <v>47.25</v>
      </c>
      <c r="L1835" s="1" t="s">
        <v>871</v>
      </c>
    </row>
    <row r="1836" customFormat="false" ht="17.15" hidden="false" customHeight="false" outlineLevel="0" collapsed="false">
      <c r="A1836" s="0" t="s">
        <v>872</v>
      </c>
      <c r="B1836" s="0" t="s">
        <v>98</v>
      </c>
      <c r="D1836" s="6" t="n">
        <f aca="false">Q!L7-Sens!D1835</f>
        <v>83.705</v>
      </c>
      <c r="E1836" s="6" t="n">
        <f aca="false">Q!M7-Sens!E1835</f>
        <v>95.049</v>
      </c>
      <c r="F1836" s="6" t="n">
        <f aca="false">Sens!E1836*(1+Sens!F1837)</f>
        <v>106.89238776686</v>
      </c>
      <c r="G1836" s="6" t="n">
        <f aca="false">Sens!F1836*(1+Sens!G1837)</f>
        <v>119.044168448684</v>
      </c>
      <c r="H1836" s="6" t="n">
        <f aca="false">Sens!G1836*(1+Sens!H1837)</f>
        <v>131.277359388781</v>
      </c>
      <c r="I1836" s="6" t="n">
        <f aca="false">Sens!H1836*(1+Sens!I1837)</f>
        <v>143.334028071957</v>
      </c>
      <c r="J1836" s="6" t="n">
        <f aca="false">Sens!I1836*(1+Sens!J1837)</f>
        <v>154.932702785465</v>
      </c>
      <c r="K1836" s="6" t="n">
        <f aca="false">Sens!J1836*(1+Sens!K1837)</f>
        <v>165.777991980448</v>
      </c>
    </row>
    <row r="1837" customFormat="false" ht="15" hidden="false" customHeight="false" outlineLevel="0" collapsed="false">
      <c r="A1837" s="1" t="s">
        <v>866</v>
      </c>
      <c r="B1837" s="0" t="s">
        <v>129</v>
      </c>
      <c r="E1837" s="7" t="n">
        <f aca="false">Sens!E1836/Sens!D1836-1</f>
        <v>0.135523564900544</v>
      </c>
      <c r="F1837" s="7" t="n">
        <f aca="false">Sens!$E$1837+(glt_m365b-Sens!$E$1837)*MIN(1,(Sens!F1792-base_fy)/n_conv)</f>
        <v>0.124602970750453</v>
      </c>
      <c r="G1837" s="7" t="n">
        <f aca="false">Sens!$E$1837+(glt_m365b-Sens!$E$1837)*MIN(1,(Sens!G1792-base_fy)/n_conv)</f>
        <v>0.113682376600363</v>
      </c>
      <c r="H1837" s="7" t="n">
        <f aca="false">Sens!$E$1837+(glt_m365b-Sens!$E$1837)*MIN(1,(Sens!H1792-base_fy)/n_conv)</f>
        <v>0.102761782450272</v>
      </c>
      <c r="I1837" s="7" t="n">
        <f aca="false">Sens!$E$1837+(glt_m365b-Sens!$E$1837)*MIN(1,(Sens!I1792-base_fy)/n_conv)</f>
        <v>0.0918411883001813</v>
      </c>
      <c r="J1837" s="7" t="n">
        <f aca="false">Sens!$E$1837+(glt_m365b-Sens!$E$1837)*MIN(1,(Sens!J1792-base_fy)/n_conv)</f>
        <v>0.0809205941500906</v>
      </c>
      <c r="K1837" s="7" t="n">
        <f aca="false">Sens!$E$1837+(glt_m365b-Sens!$E$1837)*MIN(1,(Sens!K1792-base_fy)/n_conv)</f>
        <v>0.07</v>
      </c>
    </row>
    <row r="1838" customFormat="false" ht="15" hidden="false" customHeight="false" outlineLevel="0" collapsed="false">
      <c r="A1838" s="0" t="s">
        <v>873</v>
      </c>
      <c r="B1838" s="0" t="s">
        <v>98</v>
      </c>
      <c r="D1838" s="6" t="n">
        <f aca="false">Sens!D1836+Sens!D1835</f>
        <v>84.605</v>
      </c>
      <c r="E1838" s="6" t="n">
        <f aca="false">Sens!E1836+Sens!E1835</f>
        <v>100.299</v>
      </c>
      <c r="F1838" s="6" t="n">
        <f aca="false">Sens!F1836+Sens!F1835</f>
        <v>120.39238776686</v>
      </c>
      <c r="G1838" s="6" t="n">
        <f aca="false">Sens!G1836+Sens!G1835</f>
        <v>141.544168448684</v>
      </c>
      <c r="H1838" s="6" t="n">
        <f aca="false">Sens!H1836+Sens!H1835</f>
        <v>162.777359388781</v>
      </c>
      <c r="I1838" s="6" t="n">
        <f aca="false">Sens!I1836+Sens!I1835</f>
        <v>181.584028071957</v>
      </c>
      <c r="J1838" s="6" t="n">
        <f aca="false">Sens!J1836+Sens!J1835</f>
        <v>197.682702785465</v>
      </c>
      <c r="K1838" s="6" t="n">
        <f aca="false">Sens!K1836+Sens!K1835</f>
        <v>213.027991980448</v>
      </c>
    </row>
    <row r="1839" customFormat="false" ht="15" hidden="false" customHeight="false" outlineLevel="0" collapsed="false">
      <c r="A1839" s="0" t="s">
        <v>874</v>
      </c>
      <c r="B1839" s="0" t="s">
        <v>98</v>
      </c>
      <c r="D1839" s="6" t="n">
        <f aca="false">Q!L8</f>
        <v>35.391</v>
      </c>
      <c r="E1839" s="6" t="n">
        <f aca="false">Q!M8</f>
        <v>37.285</v>
      </c>
      <c r="F1839" s="6" t="n">
        <f aca="false">Sens!E1839*(1+Sens!F1840)</f>
        <v>39.0720834331704</v>
      </c>
      <c r="G1839" s="6" t="n">
        <f aca="false">Sens!F1839*(1+Sens!G1840)</f>
        <v>40.726562953769</v>
      </c>
      <c r="H1839" s="6" t="n">
        <f aca="false">Sens!G1839*(1+Sens!H1840)</f>
        <v>42.2235987259198</v>
      </c>
      <c r="I1839" s="6" t="n">
        <f aca="false">Sens!H1839*(1+Sens!I1840)</f>
        <v>43.5397988077414</v>
      </c>
      <c r="J1839" s="6" t="n">
        <f aca="false">Sens!I1839*(1+Sens!J1840)</f>
        <v>44.653811225693</v>
      </c>
      <c r="K1839" s="6" t="n">
        <f aca="false">Sens!J1839*(1+Sens!K1840)</f>
        <v>45.5468874502068</v>
      </c>
    </row>
    <row r="1840" customFormat="false" ht="15" hidden="false" customHeight="false" outlineLevel="0" collapsed="false">
      <c r="A1840" s="1" t="s">
        <v>866</v>
      </c>
      <c r="B1840" s="0" t="s">
        <v>129</v>
      </c>
      <c r="E1840" s="7" t="n">
        <f aca="false">Sens!E1839/Sens!D1839-1</f>
        <v>0.0535164307309768</v>
      </c>
      <c r="F1840" s="7" t="n">
        <f aca="false">Sens!$E$1840+(glt_lic-Sens!$E$1840)*MIN(1,(Sens!F1792-base_fy)/n_conv)</f>
        <v>0.0479303589424807</v>
      </c>
      <c r="G1840" s="7" t="n">
        <f aca="false">Sens!$E$1840+(glt_lic-Sens!$E$1840)*MIN(1,(Sens!G1792-base_fy)/n_conv)</f>
        <v>0.0423442871539845</v>
      </c>
      <c r="H1840" s="7" t="n">
        <f aca="false">Sens!$E$1840+(glt_lic-Sens!$E$1840)*MIN(1,(Sens!H1792-base_fy)/n_conv)</f>
        <v>0.0367582153654884</v>
      </c>
      <c r="I1840" s="7" t="n">
        <f aca="false">Sens!$E$1840+(glt_lic-Sens!$E$1840)*MIN(1,(Sens!I1792-base_fy)/n_conv)</f>
        <v>0.0311721435769923</v>
      </c>
      <c r="J1840" s="7" t="n">
        <f aca="false">Sens!$E$1840+(glt_lic-Sens!$E$1840)*MIN(1,(Sens!J1792-base_fy)/n_conv)</f>
        <v>0.0255860717884961</v>
      </c>
      <c r="K1840" s="7" t="n">
        <f aca="false">Sens!$E$1840+(glt_lic-Sens!$E$1840)*MIN(1,(Sens!K1792-base_fy)/n_conv)</f>
        <v>0.02</v>
      </c>
    </row>
    <row r="1841" customFormat="false" ht="15" hidden="false" customHeight="false" outlineLevel="0" collapsed="false">
      <c r="A1841" s="0" t="s">
        <v>875</v>
      </c>
      <c r="B1841" s="0" t="s">
        <v>98</v>
      </c>
      <c r="D1841" s="6" t="n">
        <f aca="false">Q!L9</f>
        <v>18.417</v>
      </c>
      <c r="E1841" s="6" t="n">
        <f aca="false">Q!M9</f>
        <v>20.345</v>
      </c>
      <c r="F1841" s="6" t="n">
        <f aca="false">Sens!E1841*(1+Sens!F1842)</f>
        <v>22.3572203267814</v>
      </c>
      <c r="G1841" s="6" t="n">
        <f aca="false">Sens!F1841*(1+Sens!G1842)</f>
        <v>24.4392124437232</v>
      </c>
      <c r="H1841" s="6" t="n">
        <f aca="false">Sens!G1841*(1+Sens!H1842)</f>
        <v>26.5738052080665</v>
      </c>
      <c r="I1841" s="6" t="n">
        <f aca="false">Sens!H1841*(1+Sens!I1842)</f>
        <v>28.7412169166967</v>
      </c>
      <c r="J1841" s="6" t="n">
        <f aca="false">Sens!I1841*(1+Sens!J1842)</f>
        <v>30.9192545395413</v>
      </c>
      <c r="K1841" s="6" t="n">
        <f aca="false">Sens!J1841*(1+Sens!K1842)</f>
        <v>33.0836023573092</v>
      </c>
    </row>
    <row r="1842" customFormat="false" ht="15" hidden="false" customHeight="false" outlineLevel="0" collapsed="false">
      <c r="A1842" s="1" t="s">
        <v>866</v>
      </c>
      <c r="B1842" s="0" t="s">
        <v>129</v>
      </c>
      <c r="E1842" s="7" t="n">
        <f aca="false">Sens!E1841/Sens!D1841-1</f>
        <v>0.104685888038225</v>
      </c>
      <c r="F1842" s="7" t="n">
        <f aca="false">Sens!$E$1842+(glt_ind-Sens!$E$1842)*MIN(1,(Sens!F1792-base_fy)/n_conv)</f>
        <v>0.0989049066985211</v>
      </c>
      <c r="G1842" s="7" t="n">
        <f aca="false">Sens!$E$1842+(glt_ind-Sens!$E$1842)*MIN(1,(Sens!G1792-base_fy)/n_conv)</f>
        <v>0.0931239253588169</v>
      </c>
      <c r="H1842" s="7" t="n">
        <f aca="false">Sens!$E$1842+(glt_ind-Sens!$E$1842)*MIN(1,(Sens!H1792-base_fy)/n_conv)</f>
        <v>0.0873429440191127</v>
      </c>
      <c r="I1842" s="7" t="n">
        <f aca="false">Sens!$E$1842+(glt_ind-Sens!$E$1842)*MIN(1,(Sens!I1792-base_fy)/n_conv)</f>
        <v>0.0815619626794085</v>
      </c>
      <c r="J1842" s="7" t="n">
        <f aca="false">Sens!$E$1842+(glt_ind-Sens!$E$1842)*MIN(1,(Sens!J1792-base_fy)/n_conv)</f>
        <v>0.0757809813397042</v>
      </c>
      <c r="K1842" s="7" t="n">
        <f aca="false">Sens!$E$1842+(glt_ind-Sens!$E$1842)*MIN(1,(Sens!K1792-base_fy)/n_conv)</f>
        <v>0.07</v>
      </c>
    </row>
    <row r="1843" customFormat="false" ht="15" hidden="false" customHeight="false" outlineLevel="0" collapsed="false">
      <c r="A1843" s="0" t="s">
        <v>876</v>
      </c>
      <c r="B1843" s="0" t="s">
        <v>98</v>
      </c>
      <c r="D1843" s="6" t="n">
        <f aca="false">Q!L10</f>
        <v>7.76</v>
      </c>
      <c r="E1843" s="6" t="n">
        <f aca="false">Q!M10</f>
        <v>8.26</v>
      </c>
      <c r="F1843" s="6" t="n">
        <f aca="false">Sens!E1843*(1+Sens!F1844)</f>
        <v>8.79988041237113</v>
      </c>
      <c r="G1843" s="6" t="n">
        <f aca="false">Sens!F1843*(1+Sens!G1844)</f>
        <v>9.38321269125306</v>
      </c>
      <c r="H1843" s="6" t="n">
        <f aca="false">Sens!G1843*(1+Sens!H1844)</f>
        <v>10.0139193587476</v>
      </c>
      <c r="I1843" s="6" t="n">
        <f aca="false">Sens!H1843*(1+Sens!I1844)</f>
        <v>10.6963111830911</v>
      </c>
      <c r="J1843" s="6" t="n">
        <f aca="false">Sens!I1843*(1+Sens!J1844)</f>
        <v>11.4351285534696</v>
      </c>
      <c r="K1843" s="6" t="n">
        <f aca="false">Sens!J1843*(1+Sens!K1844)</f>
        <v>12.2355875522124</v>
      </c>
    </row>
    <row r="1844" customFormat="false" ht="15" hidden="false" customHeight="false" outlineLevel="0" collapsed="false">
      <c r="A1844" s="1" t="s">
        <v>866</v>
      </c>
      <c r="B1844" s="0" t="s">
        <v>129</v>
      </c>
      <c r="E1844" s="7" t="n">
        <f aca="false">Sens!E1843/Sens!D1843-1</f>
        <v>0.0644329896907216</v>
      </c>
      <c r="F1844" s="7" t="n">
        <f aca="false">Sens!$E$1844+(glt_fro-Sens!$E$1844)*MIN(1,(Sens!F1792-base_fy)/n_conv)</f>
        <v>0.065360824742268</v>
      </c>
      <c r="G1844" s="7" t="n">
        <f aca="false">Sens!$E$1844+(glt_fro-Sens!$E$1844)*MIN(1,(Sens!G1792-base_fy)/n_conv)</f>
        <v>0.0662886597938144</v>
      </c>
      <c r="H1844" s="7" t="n">
        <f aca="false">Sens!$E$1844+(glt_fro-Sens!$E$1844)*MIN(1,(Sens!H1792-base_fy)/n_conv)</f>
        <v>0.0672164948453608</v>
      </c>
      <c r="I1844" s="7" t="n">
        <f aca="false">Sens!$E$1844+(glt_fro-Sens!$E$1844)*MIN(1,(Sens!I1792-base_fy)/n_conv)</f>
        <v>0.0681443298969072</v>
      </c>
      <c r="J1844" s="7" t="n">
        <f aca="false">Sens!$E$1844+(glt_fro-Sens!$E$1844)*MIN(1,(Sens!J1792-base_fy)/n_conv)</f>
        <v>0.0690721649484536</v>
      </c>
      <c r="K1844" s="7" t="n">
        <f aca="false">Sens!$E$1844+(glt_fro-Sens!$E$1844)*MIN(1,(Sens!K1792-base_fy)/n_conv)</f>
        <v>0.07</v>
      </c>
    </row>
    <row r="1845" customFormat="false" ht="15" hidden="false" customHeight="false" outlineLevel="0" collapsed="false">
      <c r="A1845" s="0" t="s">
        <v>704</v>
      </c>
      <c r="B1845" s="0" t="s">
        <v>98</v>
      </c>
      <c r="D1845" s="6" t="n">
        <f aca="false">Sens!D1833+Sens!D1838+Sens!D1839+Sens!D1841+Sens!D1843</f>
        <v>218.783</v>
      </c>
      <c r="E1845" s="6" t="n">
        <f aca="false">Sens!E1833+Sens!E1838+Sens!E1839+Sens!E1841+Sens!E1843</f>
        <v>268.127</v>
      </c>
      <c r="F1845" s="6" t="n">
        <f aca="false">Sens!F1833+Sens!F1838+Sens!F1839+Sens!F1841+Sens!F1843</f>
        <v>339.433940907051</v>
      </c>
      <c r="G1845" s="6" t="n">
        <f aca="false">Sens!G1833+Sens!G1838+Sens!G1839+Sens!G1841+Sens!G1843</f>
        <v>424.490670881892</v>
      </c>
      <c r="H1845" s="6" t="n">
        <f aca="false">Sens!H1833+Sens!H1838+Sens!H1839+Sens!H1841+Sens!H1843</f>
        <v>515.646275281385</v>
      </c>
      <c r="I1845" s="6" t="n">
        <f aca="false">Sens!I1833+Sens!I1838+Sens!I1839+Sens!I1841+Sens!I1843</f>
        <v>592.863760444604</v>
      </c>
      <c r="J1845" s="6" t="n">
        <f aca="false">Sens!J1833+Sens!J1838+Sens!J1839+Sens!J1841+Sens!J1843</f>
        <v>654.278787544077</v>
      </c>
      <c r="K1845" s="6" t="n">
        <f aca="false">Sens!K1833+Sens!K1838+Sens!K1839+Sens!K1841+Sens!K1843</f>
        <v>702.284651237393</v>
      </c>
    </row>
    <row r="1846" customFormat="false" ht="15" hidden="false" customHeight="false" outlineLevel="0" collapsed="false">
      <c r="A1846" s="0" t="s">
        <v>877</v>
      </c>
      <c r="B1846" s="0" t="s">
        <v>98</v>
      </c>
      <c r="D1846" s="6" t="n">
        <f aca="false">Q!L13</f>
        <v>22.171</v>
      </c>
      <c r="E1846" s="6" t="n">
        <f aca="false">Q!M13</f>
        <v>24.835</v>
      </c>
      <c r="F1846" s="6" t="n">
        <f aca="false">Sens!E1846*(1+Sens!F1847)</f>
        <v>27.6114901218559</v>
      </c>
      <c r="G1846" s="6" t="n">
        <f aca="false">Sens!F1846*(1+Sens!G1847)</f>
        <v>30.4675667338515</v>
      </c>
      <c r="H1846" s="6" t="n">
        <f aca="false">Sens!G1846*(1+Sens!H1847)</f>
        <v>33.3643766955789</v>
      </c>
      <c r="I1846" s="6" t="n">
        <f aca="false">Sens!H1846*(1+Sens!I1847)</f>
        <v>36.2577016533691</v>
      </c>
      <c r="J1846" s="6" t="n">
        <f aca="false">Sens!I1846*(1+Sens!J1847)</f>
        <v>39.0988367952171</v>
      </c>
      <c r="K1846" s="6" t="n">
        <f aca="false">Sens!J1846*(1+Sens!K1847)</f>
        <v>41.8357553708823</v>
      </c>
    </row>
    <row r="1847" customFormat="false" ht="15" hidden="false" customHeight="false" outlineLevel="0" collapsed="false">
      <c r="A1847" s="1" t="s">
        <v>866</v>
      </c>
      <c r="B1847" s="0" t="s">
        <v>129</v>
      </c>
      <c r="E1847" s="7" t="n">
        <f aca="false">Sens!E1846/Sens!D1846-1</f>
        <v>0.120156961796942</v>
      </c>
      <c r="F1847" s="7" t="n">
        <f aca="false">Sens!$E$1847+(glt_srch-Sens!$E$1847)*MIN(1,(Sens!F1792-base_fy)/n_conv)</f>
        <v>0.111797468164118</v>
      </c>
      <c r="G1847" s="7" t="n">
        <f aca="false">Sens!$E$1847+(glt_srch-Sens!$E$1847)*MIN(1,(Sens!G1792-base_fy)/n_conv)</f>
        <v>0.103437974531295</v>
      </c>
      <c r="H1847" s="7" t="n">
        <f aca="false">Sens!$E$1847+(glt_srch-Sens!$E$1847)*MIN(1,(Sens!H1792-base_fy)/n_conv)</f>
        <v>0.095078480898471</v>
      </c>
      <c r="I1847" s="7" t="n">
        <f aca="false">Sens!$E$1847+(glt_srch-Sens!$E$1847)*MIN(1,(Sens!I1792-base_fy)/n_conv)</f>
        <v>0.0867189872656474</v>
      </c>
      <c r="J1847" s="7" t="n">
        <f aca="false">Sens!$E$1847+(glt_srch-Sens!$E$1847)*MIN(1,(Sens!J1792-base_fy)/n_conv)</f>
        <v>0.0783594936328237</v>
      </c>
      <c r="K1847" s="7" t="n">
        <f aca="false">Sens!$E$1847+(glt_srch-Sens!$E$1847)*MIN(1,(Sens!K1792-base_fy)/n_conv)</f>
        <v>0.07</v>
      </c>
    </row>
    <row r="1848" customFormat="false" ht="15" hidden="false" customHeight="false" outlineLevel="0" collapsed="false">
      <c r="A1848" s="0" t="s">
        <v>878</v>
      </c>
      <c r="B1848" s="0" t="s">
        <v>98</v>
      </c>
      <c r="D1848" s="6" t="n">
        <f aca="false">Q!L14</f>
        <v>23.455</v>
      </c>
      <c r="E1848" s="6" t="n">
        <f aca="false">Q!M14</f>
        <v>21.79</v>
      </c>
      <c r="F1848" s="6" t="n">
        <f aca="false">Sens!E1848*(1+Sens!F1849)</f>
        <v>20.5736277908051</v>
      </c>
      <c r="G1848" s="6" t="n">
        <f aca="false">Sens!F1848*(1+Sens!G1849)</f>
        <v>19.7371452817919</v>
      </c>
      <c r="H1848" s="6" t="n">
        <f aca="false">Sens!G1848*(1+Sens!H1849)</f>
        <v>19.2339764043138</v>
      </c>
      <c r="I1848" s="6" t="n">
        <f aca="false">Sens!H1848*(1+Sens!I1849)</f>
        <v>19.0353086852681</v>
      </c>
      <c r="J1848" s="6" t="n">
        <f aca="false">Sens!I1848*(1+Sens!J1849)</f>
        <v>19.1273539319129</v>
      </c>
      <c r="K1848" s="6" t="n">
        <f aca="false">Sens!J1848*(1+Sens!K1849)</f>
        <v>19.5099010105511</v>
      </c>
    </row>
    <row r="1849" customFormat="false" ht="15" hidden="false" customHeight="false" outlineLevel="0" collapsed="false">
      <c r="A1849" s="1" t="s">
        <v>866</v>
      </c>
      <c r="B1849" s="0" t="s">
        <v>129</v>
      </c>
      <c r="E1849" s="7" t="n">
        <f aca="false">Sens!E1848/Sens!D1848-1</f>
        <v>-0.0709869963760392</v>
      </c>
      <c r="F1849" s="7" t="n">
        <f aca="false">Sens!$E$1849+(glt_xbox-Sens!$E$1849)*MIN(1,(Sens!F1792-base_fy)/n_conv)</f>
        <v>-0.0558224969800327</v>
      </c>
      <c r="G1849" s="7" t="n">
        <f aca="false">Sens!$E$1849+(glt_xbox-Sens!$E$1849)*MIN(1,(Sens!G1792-base_fy)/n_conv)</f>
        <v>-0.0406579975840262</v>
      </c>
      <c r="H1849" s="7" t="n">
        <f aca="false">Sens!$E$1849+(glt_xbox-Sens!$E$1849)*MIN(1,(Sens!H1792-base_fy)/n_conv)</f>
        <v>-0.0254934981880196</v>
      </c>
      <c r="I1849" s="7" t="n">
        <f aca="false">Sens!$E$1849+(glt_xbox-Sens!$E$1849)*MIN(1,(Sens!I1792-base_fy)/n_conv)</f>
        <v>-0.0103289987920131</v>
      </c>
      <c r="J1849" s="7" t="n">
        <f aca="false">Sens!$E$1849+(glt_xbox-Sens!$E$1849)*MIN(1,(Sens!J1792-base_fy)/n_conv)</f>
        <v>0.00483550060399347</v>
      </c>
      <c r="K1849" s="7" t="n">
        <f aca="false">Sens!$E$1849+(glt_xbox-Sens!$E$1849)*MIN(1,(Sens!K1792-base_fy)/n_conv)</f>
        <v>0.02</v>
      </c>
    </row>
    <row r="1850" customFormat="false" ht="15" hidden="false" customHeight="false" outlineLevel="0" collapsed="false">
      <c r="A1850" s="0" t="s">
        <v>879</v>
      </c>
      <c r="B1850" s="0" t="s">
        <v>98</v>
      </c>
      <c r="D1850" s="6" t="n">
        <f aca="false">Q!L15</f>
        <v>17.315</v>
      </c>
      <c r="E1850" s="6" t="n">
        <f aca="false">Q!M15</f>
        <v>17.087</v>
      </c>
      <c r="F1850" s="6" t="n">
        <f aca="false">Sens!E1850*(1+Sens!F1851)</f>
        <v>16.9564585436519</v>
      </c>
      <c r="G1850" s="6" t="n">
        <f aca="false">Sens!F1850*(1+Sens!G1851)</f>
        <v>16.9206490624268</v>
      </c>
      <c r="H1850" s="6" t="n">
        <f aca="false">Sens!G1850*(1+Sens!H1851)</f>
        <v>16.9784519149849</v>
      </c>
      <c r="I1850" s="6" t="n">
        <f aca="false">Sens!H1850*(1+Sens!I1851)</f>
        <v>17.1303084701817</v>
      </c>
      <c r="J1850" s="6" t="n">
        <f aca="false">Sens!I1850*(1+Sens!J1851)</f>
        <v>17.3782189407267</v>
      </c>
      <c r="K1850" s="6" t="n">
        <f aca="false">Sens!J1850*(1+Sens!K1851)</f>
        <v>17.7257833195413</v>
      </c>
    </row>
    <row r="1851" customFormat="false" ht="15" hidden="false" customHeight="false" outlineLevel="0" collapsed="false">
      <c r="A1851" s="1" t="s">
        <v>866</v>
      </c>
      <c r="B1851" s="0" t="s">
        <v>129</v>
      </c>
      <c r="E1851" s="7" t="n">
        <f aca="false">Sens!E1850/Sens!D1850-1</f>
        <v>-0.0131677736066995</v>
      </c>
      <c r="F1851" s="7" t="n">
        <f aca="false">Sens!$E$1851+(glt_win-Sens!$E$1851)*MIN(1,(Sens!F1792-base_fy)/n_conv)</f>
        <v>-0.00763981133891627</v>
      </c>
      <c r="G1851" s="7" t="n">
        <f aca="false">Sens!$E$1851+(glt_win-Sens!$E$1851)*MIN(1,(Sens!G1792-base_fy)/n_conv)</f>
        <v>-0.00211184907113301</v>
      </c>
      <c r="H1851" s="7" t="n">
        <f aca="false">Sens!$E$1851+(glt_win-Sens!$E$1851)*MIN(1,(Sens!H1792-base_fy)/n_conv)</f>
        <v>0.00341611319665024</v>
      </c>
      <c r="I1851" s="7" t="n">
        <f aca="false">Sens!$E$1851+(glt_win-Sens!$E$1851)*MIN(1,(Sens!I1792-base_fy)/n_conv)</f>
        <v>0.00894407546443349</v>
      </c>
      <c r="J1851" s="7" t="n">
        <f aca="false">Sens!$E$1851+(glt_win-Sens!$E$1851)*MIN(1,(Sens!J1792-base_fy)/n_conv)</f>
        <v>0.0144720377322168</v>
      </c>
      <c r="K1851" s="7" t="n">
        <f aca="false">Sens!$E$1851+(glt_win-Sens!$E$1851)*MIN(1,(Sens!K1792-base_fy)/n_conv)</f>
        <v>0.02</v>
      </c>
    </row>
    <row r="1852" customFormat="false" ht="15" hidden="false" customHeight="false" outlineLevel="0" collapsed="false">
      <c r="A1852" s="0" t="s">
        <v>718</v>
      </c>
      <c r="B1852" s="0" t="s">
        <v>98</v>
      </c>
      <c r="D1852" s="6" t="n">
        <f aca="false">Sens!D1846+Sens!D1848+Sens!D1850</f>
        <v>62.941</v>
      </c>
      <c r="E1852" s="6" t="n">
        <f aca="false">Sens!E1846+Sens!E1848+Sens!E1850</f>
        <v>63.712</v>
      </c>
      <c r="F1852" s="6" t="n">
        <f aca="false">Sens!F1846+Sens!F1848+Sens!F1850</f>
        <v>65.1415764563129</v>
      </c>
      <c r="G1852" s="6" t="n">
        <f aca="false">Sens!G1846+Sens!G1848+Sens!G1850</f>
        <v>67.1253610780702</v>
      </c>
      <c r="H1852" s="6" t="n">
        <f aca="false">Sens!H1846+Sens!H1848+Sens!H1850</f>
        <v>69.5768050148776</v>
      </c>
      <c r="I1852" s="6" t="n">
        <f aca="false">Sens!I1846+Sens!I1848+Sens!I1850</f>
        <v>72.4233188088189</v>
      </c>
      <c r="J1852" s="6" t="n">
        <f aca="false">Sens!J1846+Sens!J1848+Sens!J1850</f>
        <v>75.6044096678567</v>
      </c>
      <c r="K1852" s="6" t="n">
        <f aca="false">Sens!K1846+Sens!K1848+Sens!K1850</f>
        <v>79.0714397009747</v>
      </c>
    </row>
    <row r="1853" customFormat="false" ht="15" hidden="false" customHeight="false" outlineLevel="0" collapsed="false">
      <c r="A1853" s="1" t="s">
        <v>880</v>
      </c>
      <c r="B1853" s="0" t="s">
        <v>98</v>
      </c>
      <c r="D1853" s="6" t="n">
        <f aca="false">Sens!D1845+Sens!D1852</f>
        <v>281.724</v>
      </c>
      <c r="E1853" s="6" t="n">
        <f aca="false">Sens!E1845+Sens!E1852</f>
        <v>331.839</v>
      </c>
      <c r="F1853" s="6" t="n">
        <f aca="false">Sens!F1845+Sens!F1852</f>
        <v>404.575517363364</v>
      </c>
      <c r="G1853" s="6" t="n">
        <f aca="false">Sens!G1845+Sens!G1852</f>
        <v>491.616031959962</v>
      </c>
      <c r="H1853" s="6" t="n">
        <f aca="false">Sens!H1845+Sens!H1852</f>
        <v>585.223080296262</v>
      </c>
      <c r="I1853" s="6" t="n">
        <f aca="false">Sens!I1845+Sens!I1852</f>
        <v>665.287079253422</v>
      </c>
      <c r="J1853" s="6" t="n">
        <f aca="false">Sens!J1845+Sens!J1852</f>
        <v>729.883197211934</v>
      </c>
      <c r="K1853" s="6" t="n">
        <f aca="false">Sens!K1845+Sens!K1852</f>
        <v>781.356090938368</v>
      </c>
    </row>
    <row r="1854" customFormat="false" ht="15" hidden="false" customHeight="false" outlineLevel="0" collapsed="false">
      <c r="A1854" s="23" t="s">
        <v>881</v>
      </c>
      <c r="B1854" s="30" t="s">
        <v>98</v>
      </c>
      <c r="C1854" s="30"/>
      <c r="D1854" s="24" t="n">
        <f aca="false">(Sens!D1833+Sens!D1838+Sens!D1839+Sens!D1841+Sens!D1843-Sens!D1845)+(Sens!D1846+Sens!D1848+Sens!D1850-Sens!D1852)+(Sens!D1845-Q!L5)+(Sens!D1852-Q!L12)+(Sens!D1833-Q!L6)+(Sens!D1838-Q!L7)</f>
        <v>0</v>
      </c>
      <c r="E1854" s="24" t="n">
        <f aca="false">(Sens!E1833+Sens!E1838+Sens!E1839+Sens!E1841+Sens!E1843-Sens!E1845)+(Sens!E1846+Sens!E1848+Sens!E1850-Sens!E1852)+(Sens!E1845-Q!M5)+(Sens!E1852-Q!M12)+(Sens!E1833-Q!M6)+(Sens!E1838-Q!M7)</f>
        <v>0</v>
      </c>
      <c r="F1854" s="24" t="n">
        <f aca="false">(Sens!F1833+Sens!F1838+Sens!F1839+Sens!F1841+Sens!F1843-Sens!F1845)+(Sens!F1846+Sens!F1848+Sens!F1850-Sens!F1852)</f>
        <v>0</v>
      </c>
      <c r="G1854" s="24" t="n">
        <f aca="false">(Sens!G1833+Sens!G1838+Sens!G1839+Sens!G1841+Sens!G1843-Sens!G1845)+(Sens!G1846+Sens!G1848+Sens!G1850-Sens!G1852)</f>
        <v>0</v>
      </c>
      <c r="H1854" s="24" t="n">
        <f aca="false">(Sens!H1833+Sens!H1838+Sens!H1839+Sens!H1841+Sens!H1843-Sens!H1845)+(Sens!H1846+Sens!H1848+Sens!H1850-Sens!H1852)</f>
        <v>0</v>
      </c>
      <c r="I1854" s="24" t="n">
        <f aca="false">(Sens!I1833+Sens!I1838+Sens!I1839+Sens!I1841+Sens!I1843-Sens!I1845)+(Sens!I1846+Sens!I1848+Sens!I1850-Sens!I1852)</f>
        <v>0</v>
      </c>
      <c r="J1854" s="24" t="n">
        <f aca="false">(Sens!J1833+Sens!J1838+Sens!J1839+Sens!J1841+Sens!J1843-Sens!J1845)+(Sens!J1846+Sens!J1848+Sens!J1850-Sens!J1852)</f>
        <v>0</v>
      </c>
      <c r="K1854" s="24" t="n">
        <f aca="false">(Sens!K1833+Sens!K1838+Sens!K1839+Sens!K1841+Sens!K1843-Sens!K1845)+(Sens!K1846+Sens!K1848+Sens!K1850-Sens!K1852)</f>
        <v>0</v>
      </c>
    </row>
    <row r="1855" customFormat="false" ht="17.15" hidden="false" customHeight="false" outlineLevel="0" collapsed="false">
      <c r="A1855" s="3" t="s">
        <v>1281</v>
      </c>
    </row>
    <row r="1856" customFormat="false" ht="15" hidden="false" customHeight="false" outlineLevel="0" collapsed="false">
      <c r="A1856" s="4" t="s">
        <v>43</v>
      </c>
      <c r="B1856" s="4" t="s">
        <v>65</v>
      </c>
      <c r="C1856" s="20" t="s">
        <v>788</v>
      </c>
      <c r="D1856" s="20" t="s">
        <v>789</v>
      </c>
      <c r="E1856" s="20" t="s">
        <v>790</v>
      </c>
      <c r="F1856" s="20" t="s">
        <v>791</v>
      </c>
      <c r="G1856" s="20" t="s">
        <v>792</v>
      </c>
      <c r="H1856" s="20" t="s">
        <v>793</v>
      </c>
      <c r="I1856" s="20" t="s">
        <v>794</v>
      </c>
      <c r="J1856" s="20" t="s">
        <v>795</v>
      </c>
      <c r="K1856" s="20" t="s">
        <v>796</v>
      </c>
      <c r="L1856" s="4" t="s">
        <v>47</v>
      </c>
    </row>
    <row r="1857" customFormat="false" ht="15" hidden="false" customHeight="false" outlineLevel="0" collapsed="false">
      <c r="A1857" s="0" t="s">
        <v>867</v>
      </c>
      <c r="B1857" s="0" t="s">
        <v>98</v>
      </c>
      <c r="D1857" s="6" t="n">
        <f aca="false">Sens!D1833</f>
        <v>72.61</v>
      </c>
      <c r="E1857" s="6" t="n">
        <f aca="false">Sens!E1833</f>
        <v>101.938</v>
      </c>
      <c r="F1857" s="6" t="n">
        <f aca="false">Sens!F1833</f>
        <v>148.812368967868</v>
      </c>
      <c r="G1857" s="6" t="n">
        <f aca="false">Sens!G1833</f>
        <v>208.397514344463</v>
      </c>
      <c r="H1857" s="6" t="n">
        <f aca="false">Sens!H1833</f>
        <v>274.05759259987</v>
      </c>
      <c r="I1857" s="6" t="n">
        <f aca="false">Sens!I1833</f>
        <v>328.302405465117</v>
      </c>
      <c r="J1857" s="6" t="n">
        <f aca="false">Sens!J1833</f>
        <v>369.587890439908</v>
      </c>
      <c r="K1857" s="6" t="n">
        <f aca="false">Sens!K1833</f>
        <v>398.390581897217</v>
      </c>
    </row>
    <row r="1858" customFormat="false" ht="17.15" hidden="false" customHeight="false" outlineLevel="0" collapsed="false">
      <c r="A1858" s="0" t="s">
        <v>864</v>
      </c>
      <c r="B1858" s="0" t="s">
        <v>98</v>
      </c>
      <c r="D1858" s="6" t="n">
        <f aca="false">Sens!D1830</f>
        <v>12.9359794422418</v>
      </c>
      <c r="E1858" s="6" t="n">
        <f aca="false">Sens!E1830</f>
        <v>27.8095064661409</v>
      </c>
      <c r="F1858" s="6" t="n">
        <f aca="false">Sens!F1830</f>
        <v>58.7324192305018</v>
      </c>
      <c r="G1858" s="6" t="n">
        <f aca="false">Sens!G1830</f>
        <v>101.369089141153</v>
      </c>
      <c r="H1858" s="6" t="n">
        <f aca="false">Sens!H1830</f>
        <v>149.785610014234</v>
      </c>
      <c r="I1858" s="6" t="n">
        <f aca="false">Sens!I1830</f>
        <v>187.368703083263</v>
      </c>
      <c r="J1858" s="6" t="n">
        <f aca="false">Sens!J1830</f>
        <v>213.569023125577</v>
      </c>
      <c r="K1858" s="6" t="n">
        <f aca="false">Sens!K1830</f>
        <v>229.890205197739</v>
      </c>
    </row>
    <row r="1859" customFormat="false" ht="17.15" hidden="false" customHeight="false" outlineLevel="0" collapsed="false">
      <c r="A1859" s="0" t="s">
        <v>892</v>
      </c>
      <c r="B1859" s="0" t="s">
        <v>98</v>
      </c>
      <c r="D1859" s="6" t="n">
        <f aca="false">Sens!D1831</f>
        <v>59.6740205577583</v>
      </c>
      <c r="E1859" s="6" t="n">
        <f aca="false">Sens!E1831</f>
        <v>74.1284935338591</v>
      </c>
      <c r="F1859" s="6" t="n">
        <f aca="false">Sens!F1831</f>
        <v>90.0799497373663</v>
      </c>
      <c r="G1859" s="6" t="n">
        <f aca="false">Sens!G1831</f>
        <v>107.02842520331</v>
      </c>
      <c r="H1859" s="6" t="n">
        <f aca="false">Sens!H1831</f>
        <v>124.271982585636</v>
      </c>
      <c r="I1859" s="6" t="n">
        <f aca="false">Sens!I1831</f>
        <v>140.933702381855</v>
      </c>
      <c r="J1859" s="6" t="n">
        <f aca="false">Sens!J1831</f>
        <v>156.018867314332</v>
      </c>
      <c r="K1859" s="6" t="n">
        <f aca="false">Sens!K1831</f>
        <v>168.500376699478</v>
      </c>
    </row>
    <row r="1860" customFormat="false" ht="15" hidden="false" customHeight="false" outlineLevel="0" collapsed="false">
      <c r="A1860" s="0" t="s">
        <v>873</v>
      </c>
      <c r="B1860" s="0" t="s">
        <v>98</v>
      </c>
      <c r="D1860" s="6" t="n">
        <f aca="false">Sens!D1838</f>
        <v>84.605</v>
      </c>
      <c r="E1860" s="6" t="n">
        <f aca="false">Sens!E1838</f>
        <v>100.299</v>
      </c>
      <c r="F1860" s="6" t="n">
        <f aca="false">Sens!F1838</f>
        <v>120.39238776686</v>
      </c>
      <c r="G1860" s="6" t="n">
        <f aca="false">Sens!G1838</f>
        <v>141.544168448684</v>
      </c>
      <c r="H1860" s="6" t="n">
        <f aca="false">Sens!H1838</f>
        <v>162.777359388781</v>
      </c>
      <c r="I1860" s="6" t="n">
        <f aca="false">Sens!I1838</f>
        <v>181.584028071957</v>
      </c>
      <c r="J1860" s="6" t="n">
        <f aca="false">Sens!J1838</f>
        <v>197.682702785465</v>
      </c>
      <c r="K1860" s="6" t="n">
        <f aca="false">Sens!K1838</f>
        <v>213.027991980448</v>
      </c>
    </row>
    <row r="1861" customFormat="false" ht="17.15" hidden="false" customHeight="false" outlineLevel="0" collapsed="false">
      <c r="A1861" s="0" t="s">
        <v>893</v>
      </c>
      <c r="B1861" s="0" t="s">
        <v>98</v>
      </c>
      <c r="D1861" s="6" t="n">
        <f aca="false">Sens!D1836</f>
        <v>83.705</v>
      </c>
      <c r="E1861" s="6" t="n">
        <f aca="false">Sens!E1836</f>
        <v>95.049</v>
      </c>
      <c r="F1861" s="6" t="n">
        <f aca="false">Sens!F1836</f>
        <v>106.89238776686</v>
      </c>
      <c r="G1861" s="6" t="n">
        <f aca="false">Sens!G1836</f>
        <v>119.044168448684</v>
      </c>
      <c r="H1861" s="6" t="n">
        <f aca="false">Sens!H1836</f>
        <v>131.277359388781</v>
      </c>
      <c r="I1861" s="6" t="n">
        <f aca="false">Sens!I1836</f>
        <v>143.334028071957</v>
      </c>
      <c r="J1861" s="6" t="n">
        <f aca="false">Sens!J1836</f>
        <v>154.932702785465</v>
      </c>
      <c r="K1861" s="6" t="n">
        <f aca="false">Sens!K1836</f>
        <v>165.777991980448</v>
      </c>
    </row>
    <row r="1862" customFormat="false" ht="17.15" hidden="false" customHeight="false" outlineLevel="0" collapsed="false">
      <c r="A1862" s="0" t="s">
        <v>894</v>
      </c>
      <c r="B1862" s="0" t="s">
        <v>98</v>
      </c>
      <c r="D1862" s="6" t="n">
        <f aca="false">Sens!D1835</f>
        <v>0.9</v>
      </c>
      <c r="E1862" s="6" t="n">
        <f aca="false">Sens!E1835</f>
        <v>5.25</v>
      </c>
      <c r="F1862" s="6" t="n">
        <f aca="false">Sens!F1835</f>
        <v>13.5</v>
      </c>
      <c r="G1862" s="6" t="n">
        <f aca="false">Sens!G1835</f>
        <v>22.5</v>
      </c>
      <c r="H1862" s="6" t="n">
        <f aca="false">Sens!H1835</f>
        <v>31.5</v>
      </c>
      <c r="I1862" s="6" t="n">
        <f aca="false">Sens!I1835</f>
        <v>38.25</v>
      </c>
      <c r="J1862" s="6" t="n">
        <f aca="false">Sens!J1835</f>
        <v>42.75</v>
      </c>
      <c r="K1862" s="6" t="n">
        <f aca="false">Sens!K1835</f>
        <v>47.25</v>
      </c>
    </row>
    <row r="1863" customFormat="false" ht="15" hidden="false" customHeight="false" outlineLevel="0" collapsed="false">
      <c r="A1863" s="0" t="s">
        <v>874</v>
      </c>
      <c r="B1863" s="0" t="s">
        <v>98</v>
      </c>
      <c r="D1863" s="6" t="n">
        <f aca="false">Sens!D1839</f>
        <v>35.391</v>
      </c>
      <c r="E1863" s="6" t="n">
        <f aca="false">Sens!E1839</f>
        <v>37.285</v>
      </c>
      <c r="F1863" s="6" t="n">
        <f aca="false">Sens!F1839</f>
        <v>39.0720834331704</v>
      </c>
      <c r="G1863" s="6" t="n">
        <f aca="false">Sens!G1839</f>
        <v>40.726562953769</v>
      </c>
      <c r="H1863" s="6" t="n">
        <f aca="false">Sens!H1839</f>
        <v>42.2235987259198</v>
      </c>
      <c r="I1863" s="6" t="n">
        <f aca="false">Sens!I1839</f>
        <v>43.5397988077414</v>
      </c>
      <c r="J1863" s="6" t="n">
        <f aca="false">Sens!J1839</f>
        <v>44.653811225693</v>
      </c>
      <c r="K1863" s="6" t="n">
        <f aca="false">Sens!K1839</f>
        <v>45.5468874502068</v>
      </c>
    </row>
    <row r="1864" customFormat="false" ht="15" hidden="false" customHeight="false" outlineLevel="0" collapsed="false">
      <c r="A1864" s="0" t="s">
        <v>875</v>
      </c>
      <c r="B1864" s="0" t="s">
        <v>98</v>
      </c>
      <c r="D1864" s="6" t="n">
        <f aca="false">Sens!D1841</f>
        <v>18.417</v>
      </c>
      <c r="E1864" s="6" t="n">
        <f aca="false">Sens!E1841</f>
        <v>20.345</v>
      </c>
      <c r="F1864" s="6" t="n">
        <f aca="false">Sens!F1841</f>
        <v>22.3572203267814</v>
      </c>
      <c r="G1864" s="6" t="n">
        <f aca="false">Sens!G1841</f>
        <v>24.4392124437232</v>
      </c>
      <c r="H1864" s="6" t="n">
        <f aca="false">Sens!H1841</f>
        <v>26.5738052080665</v>
      </c>
      <c r="I1864" s="6" t="n">
        <f aca="false">Sens!I1841</f>
        <v>28.7412169166967</v>
      </c>
      <c r="J1864" s="6" t="n">
        <f aca="false">Sens!J1841</f>
        <v>30.9192545395413</v>
      </c>
      <c r="K1864" s="6" t="n">
        <f aca="false">Sens!K1841</f>
        <v>33.0836023573092</v>
      </c>
    </row>
    <row r="1865" customFormat="false" ht="15" hidden="false" customHeight="false" outlineLevel="0" collapsed="false">
      <c r="A1865" s="0" t="s">
        <v>876</v>
      </c>
      <c r="B1865" s="0" t="s">
        <v>98</v>
      </c>
      <c r="D1865" s="6" t="n">
        <f aca="false">Sens!D1843</f>
        <v>7.76</v>
      </c>
      <c r="E1865" s="6" t="n">
        <f aca="false">Sens!E1843</f>
        <v>8.26</v>
      </c>
      <c r="F1865" s="6" t="n">
        <f aca="false">Sens!F1843</f>
        <v>8.79988041237113</v>
      </c>
      <c r="G1865" s="6" t="n">
        <f aca="false">Sens!G1843</f>
        <v>9.38321269125306</v>
      </c>
      <c r="H1865" s="6" t="n">
        <f aca="false">Sens!H1843</f>
        <v>10.0139193587476</v>
      </c>
      <c r="I1865" s="6" t="n">
        <f aca="false">Sens!I1843</f>
        <v>10.6963111830911</v>
      </c>
      <c r="J1865" s="6" t="n">
        <f aca="false">Sens!J1843</f>
        <v>11.4351285534696</v>
      </c>
      <c r="K1865" s="6" t="n">
        <f aca="false">Sens!K1843</f>
        <v>12.2355875522124</v>
      </c>
    </row>
    <row r="1866" customFormat="false" ht="15" hidden="false" customHeight="false" outlineLevel="0" collapsed="false">
      <c r="A1866" s="0" t="s">
        <v>704</v>
      </c>
      <c r="B1866" s="0" t="s">
        <v>98</v>
      </c>
      <c r="D1866" s="6" t="n">
        <f aca="false">Sens!D1845</f>
        <v>218.783</v>
      </c>
      <c r="E1866" s="6" t="n">
        <f aca="false">Sens!E1845</f>
        <v>268.127</v>
      </c>
      <c r="F1866" s="6" t="n">
        <f aca="false">Sens!F1845</f>
        <v>339.433940907051</v>
      </c>
      <c r="G1866" s="6" t="n">
        <f aca="false">Sens!G1845</f>
        <v>424.490670881892</v>
      </c>
      <c r="H1866" s="6" t="n">
        <f aca="false">Sens!H1845</f>
        <v>515.646275281385</v>
      </c>
      <c r="I1866" s="6" t="n">
        <f aca="false">Sens!I1845</f>
        <v>592.863760444604</v>
      </c>
      <c r="J1866" s="6" t="n">
        <f aca="false">Sens!J1845</f>
        <v>654.278787544077</v>
      </c>
      <c r="K1866" s="6" t="n">
        <f aca="false">Sens!K1845</f>
        <v>702.284651237393</v>
      </c>
    </row>
    <row r="1867" customFormat="false" ht="15" hidden="false" customHeight="false" outlineLevel="0" collapsed="false">
      <c r="A1867" s="0" t="s">
        <v>877</v>
      </c>
      <c r="B1867" s="0" t="s">
        <v>98</v>
      </c>
      <c r="D1867" s="6" t="n">
        <f aca="false">Sens!D1846</f>
        <v>22.171</v>
      </c>
      <c r="E1867" s="6" t="n">
        <f aca="false">Sens!E1846</f>
        <v>24.835</v>
      </c>
      <c r="F1867" s="6" t="n">
        <f aca="false">Sens!F1846</f>
        <v>27.6114901218559</v>
      </c>
      <c r="G1867" s="6" t="n">
        <f aca="false">Sens!G1846</f>
        <v>30.4675667338515</v>
      </c>
      <c r="H1867" s="6" t="n">
        <f aca="false">Sens!H1846</f>
        <v>33.3643766955789</v>
      </c>
      <c r="I1867" s="6" t="n">
        <f aca="false">Sens!I1846</f>
        <v>36.2577016533691</v>
      </c>
      <c r="J1867" s="6" t="n">
        <f aca="false">Sens!J1846</f>
        <v>39.0988367952171</v>
      </c>
      <c r="K1867" s="6" t="n">
        <f aca="false">Sens!K1846</f>
        <v>41.8357553708823</v>
      </c>
    </row>
    <row r="1868" customFormat="false" ht="15" hidden="false" customHeight="false" outlineLevel="0" collapsed="false">
      <c r="A1868" s="0" t="s">
        <v>878</v>
      </c>
      <c r="B1868" s="0" t="s">
        <v>98</v>
      </c>
      <c r="D1868" s="6" t="n">
        <f aca="false">Sens!D1848</f>
        <v>23.455</v>
      </c>
      <c r="E1868" s="6" t="n">
        <f aca="false">Sens!E1848</f>
        <v>21.79</v>
      </c>
      <c r="F1868" s="6" t="n">
        <f aca="false">Sens!F1848</f>
        <v>20.5736277908051</v>
      </c>
      <c r="G1868" s="6" t="n">
        <f aca="false">Sens!G1848</f>
        <v>19.7371452817919</v>
      </c>
      <c r="H1868" s="6" t="n">
        <f aca="false">Sens!H1848</f>
        <v>19.2339764043138</v>
      </c>
      <c r="I1868" s="6" t="n">
        <f aca="false">Sens!I1848</f>
        <v>19.0353086852681</v>
      </c>
      <c r="J1868" s="6" t="n">
        <f aca="false">Sens!J1848</f>
        <v>19.1273539319129</v>
      </c>
      <c r="K1868" s="6" t="n">
        <f aca="false">Sens!K1848</f>
        <v>19.5099010105511</v>
      </c>
    </row>
    <row r="1869" customFormat="false" ht="15" hidden="false" customHeight="false" outlineLevel="0" collapsed="false">
      <c r="A1869" s="0" t="s">
        <v>879</v>
      </c>
      <c r="B1869" s="0" t="s">
        <v>98</v>
      </c>
      <c r="D1869" s="6" t="n">
        <f aca="false">Sens!D1850</f>
        <v>17.315</v>
      </c>
      <c r="E1869" s="6" t="n">
        <f aca="false">Sens!E1850</f>
        <v>17.087</v>
      </c>
      <c r="F1869" s="6" t="n">
        <f aca="false">Sens!F1850</f>
        <v>16.9564585436519</v>
      </c>
      <c r="G1869" s="6" t="n">
        <f aca="false">Sens!G1850</f>
        <v>16.9206490624268</v>
      </c>
      <c r="H1869" s="6" t="n">
        <f aca="false">Sens!H1850</f>
        <v>16.9784519149849</v>
      </c>
      <c r="I1869" s="6" t="n">
        <f aca="false">Sens!I1850</f>
        <v>17.1303084701817</v>
      </c>
      <c r="J1869" s="6" t="n">
        <f aca="false">Sens!J1850</f>
        <v>17.3782189407267</v>
      </c>
      <c r="K1869" s="6" t="n">
        <f aca="false">Sens!K1850</f>
        <v>17.7257833195413</v>
      </c>
    </row>
    <row r="1870" customFormat="false" ht="15" hidden="false" customHeight="false" outlineLevel="0" collapsed="false">
      <c r="A1870" s="0" t="s">
        <v>718</v>
      </c>
      <c r="B1870" s="0" t="s">
        <v>98</v>
      </c>
      <c r="D1870" s="6" t="n">
        <f aca="false">Sens!D1852</f>
        <v>62.941</v>
      </c>
      <c r="E1870" s="6" t="n">
        <f aca="false">Sens!E1852</f>
        <v>63.712</v>
      </c>
      <c r="F1870" s="6" t="n">
        <f aca="false">Sens!F1852</f>
        <v>65.1415764563129</v>
      </c>
      <c r="G1870" s="6" t="n">
        <f aca="false">Sens!G1852</f>
        <v>67.1253610780702</v>
      </c>
      <c r="H1870" s="6" t="n">
        <f aca="false">Sens!H1852</f>
        <v>69.5768050148776</v>
      </c>
      <c r="I1870" s="6" t="n">
        <f aca="false">Sens!I1852</f>
        <v>72.4233188088189</v>
      </c>
      <c r="J1870" s="6" t="n">
        <f aca="false">Sens!J1852</f>
        <v>75.6044096678567</v>
      </c>
      <c r="K1870" s="6" t="n">
        <f aca="false">Sens!K1852</f>
        <v>79.0714397009747</v>
      </c>
    </row>
    <row r="1871" customFormat="false" ht="15" hidden="false" customHeight="false" outlineLevel="0" collapsed="false">
      <c r="A1871" s="1" t="s">
        <v>895</v>
      </c>
      <c r="B1871" s="0" t="s">
        <v>98</v>
      </c>
      <c r="D1871" s="6" t="n">
        <f aca="false">Sens!D1853</f>
        <v>281.724</v>
      </c>
      <c r="E1871" s="6" t="n">
        <f aca="false">Sens!E1853</f>
        <v>331.839</v>
      </c>
      <c r="F1871" s="6" t="n">
        <f aca="false">Sens!F1853</f>
        <v>404.575517363364</v>
      </c>
      <c r="G1871" s="6" t="n">
        <f aca="false">Sens!G1853</f>
        <v>491.616031959962</v>
      </c>
      <c r="H1871" s="6" t="n">
        <f aca="false">Sens!H1853</f>
        <v>585.223080296262</v>
      </c>
      <c r="I1871" s="6" t="n">
        <f aca="false">Sens!I1853</f>
        <v>665.287079253422</v>
      </c>
      <c r="J1871" s="6" t="n">
        <f aca="false">Sens!J1853</f>
        <v>729.883197211934</v>
      </c>
      <c r="K1871" s="6" t="n">
        <f aca="false">Sens!K1853</f>
        <v>781.356090938368</v>
      </c>
    </row>
    <row r="1872" customFormat="false" ht="15" hidden="false" customHeight="false" outlineLevel="0" collapsed="false">
      <c r="A1872" s="1" t="s">
        <v>896</v>
      </c>
      <c r="B1872" s="0" t="s">
        <v>129</v>
      </c>
      <c r="E1872" s="7" t="n">
        <f aca="false">Sens!E1871/Sens!D1871-1</f>
        <v>0.177886867998467</v>
      </c>
      <c r="F1872" s="7" t="n">
        <f aca="false">Sens!F1871/Sens!E1871-1</f>
        <v>0.219192190680914</v>
      </c>
      <c r="G1872" s="7" t="n">
        <f aca="false">Sens!G1871/Sens!F1871-1</f>
        <v>0.215140340581766</v>
      </c>
      <c r="H1872" s="7" t="n">
        <f aca="false">Sens!H1871/Sens!G1871-1</f>
        <v>0.19040682616291</v>
      </c>
      <c r="I1872" s="7" t="n">
        <f aca="false">Sens!I1871/Sens!H1871-1</f>
        <v>0.13680936663781</v>
      </c>
      <c r="J1872" s="7" t="n">
        <f aca="false">Sens!J1871/Sens!I1871-1</f>
        <v>0.097095103712221</v>
      </c>
      <c r="K1872" s="7" t="n">
        <f aca="false">Sens!K1871/Sens!J1871-1</f>
        <v>0.0705220971287655</v>
      </c>
    </row>
    <row r="1873" customFormat="false" ht="17.15" hidden="false" customHeight="false" outlineLevel="0" collapsed="false">
      <c r="A1873" s="23" t="s">
        <v>897</v>
      </c>
      <c r="B1873" s="30" t="s">
        <v>98</v>
      </c>
      <c r="C1873" s="30"/>
      <c r="D1873" s="24" t="n">
        <f aca="false">(Sens!D1866+Sens!D1870-Sens!D1871)+(Sens!D1858+Sens!D1859-Sens!D1857)+(Sens!D1861+Sens!D1862-Sens!D1860)+(Sens!D1871-Q!L18)</f>
        <v>0</v>
      </c>
      <c r="E1873" s="24" t="n">
        <f aca="false">(Sens!E1866+Sens!E1870-Sens!E1871)+(Sens!E1858+Sens!E1859-Sens!E1857)+(Sens!E1861+Sens!E1862-Sens!E1860)+(Sens!E1871-Q!M18)</f>
        <v>0</v>
      </c>
      <c r="F1873" s="24" t="n">
        <f aca="false">(Sens!F1866+Sens!F1870-Sens!F1871)+(Sens!F1858+Sens!F1859-Sens!F1857)+(Sens!F1861+Sens!F1862-Sens!F1860)</f>
        <v>0</v>
      </c>
      <c r="G1873" s="24" t="n">
        <f aca="false">(Sens!G1866+Sens!G1870-Sens!G1871)+(Sens!G1858+Sens!G1859-Sens!G1857)+(Sens!G1861+Sens!G1862-Sens!G1860)</f>
        <v>0</v>
      </c>
      <c r="H1873" s="24" t="n">
        <f aca="false">(Sens!H1866+Sens!H1870-Sens!H1871)+(Sens!H1858+Sens!H1859-Sens!H1857)+(Sens!H1861+Sens!H1862-Sens!H1860)</f>
        <v>0</v>
      </c>
      <c r="I1873" s="24" t="n">
        <f aca="false">(Sens!I1866+Sens!I1870-Sens!I1871)+(Sens!I1858+Sens!I1859-Sens!I1857)+(Sens!I1861+Sens!I1862-Sens!I1860)</f>
        <v>0</v>
      </c>
      <c r="J1873" s="24" t="n">
        <f aca="false">(Sens!J1866+Sens!J1870-Sens!J1871)+(Sens!J1858+Sens!J1859-Sens!J1857)+(Sens!J1861+Sens!J1862-Sens!J1860)</f>
        <v>0</v>
      </c>
      <c r="K1873" s="24" t="n">
        <f aca="false">(Sens!K1866+Sens!K1870-Sens!K1871)+(Sens!K1858+Sens!K1859-Sens!K1857)+(Sens!K1861+Sens!K1862-Sens!K1860)</f>
        <v>0</v>
      </c>
    </row>
    <row r="1874" customFormat="false" ht="17.15" hidden="false" customHeight="false" outlineLevel="0" collapsed="false">
      <c r="A1874" s="0" t="s">
        <v>898</v>
      </c>
      <c r="B1874" s="0" t="s">
        <v>129</v>
      </c>
      <c r="E1874" s="7" t="n">
        <f aca="false">(Q!M21+Sens!E1811+Sens!E1812+Sens!E1813+Sens!E1826-Sens!E1809)/(Q!M5-Sens!E1809)</f>
        <v>0.591291114837517</v>
      </c>
      <c r="F1874" s="7" t="n">
        <f aca="false">Sens!$E$1874+dm_seg</f>
        <v>0.591291114837517</v>
      </c>
      <c r="G1874" s="7" t="n">
        <f aca="false">Sens!$E$1874+dm_seg</f>
        <v>0.591291114837517</v>
      </c>
      <c r="H1874" s="7" t="n">
        <f aca="false">Sens!$E$1874+dm_seg</f>
        <v>0.591291114837517</v>
      </c>
      <c r="I1874" s="7" t="n">
        <f aca="false">Sens!$E$1874+dm_seg</f>
        <v>0.591291114837517</v>
      </c>
      <c r="J1874" s="7" t="n">
        <f aca="false">Sens!$E$1874+dm_seg</f>
        <v>0.591291114837517</v>
      </c>
      <c r="K1874" s="7" t="n">
        <f aca="false">Sens!$E$1874+dm_seg</f>
        <v>0.591291114837517</v>
      </c>
      <c r="L1874" s="11" t="s">
        <v>899</v>
      </c>
    </row>
    <row r="1875" customFormat="false" ht="17.15" hidden="false" customHeight="false" outlineLevel="0" collapsed="false">
      <c r="A1875" s="0" t="s">
        <v>732</v>
      </c>
      <c r="B1875" s="0" t="s">
        <v>98</v>
      </c>
      <c r="D1875" s="6" t="n">
        <f aca="false">Q!L21</f>
        <v>110.814</v>
      </c>
      <c r="E1875" s="6" t="n">
        <f aca="false">Q!M21</f>
        <v>136.365</v>
      </c>
      <c r="F1875" s="6" t="n">
        <f aca="false">Sens!F1874*(Sens!F1845-Sens!F1809)+Sens!F1809-(Sens!F1811+Sens!F1812+Sens!F1813)-Sens!F1826</f>
        <v>158.44490841054</v>
      </c>
      <c r="G1875" s="6" t="n">
        <f aca="false">Sens!G1874*(Sens!G1845-Sens!G1809)+Sens!G1809-(Sens!G1811+Sens!G1812+Sens!G1813)-Sens!G1826</f>
        <v>182.402751381588</v>
      </c>
      <c r="H1875" s="6" t="n">
        <f aca="false">Sens!H1874*(Sens!H1845-Sens!H1809)+Sens!H1809-(Sens!H1811+Sens!H1812+Sens!H1813)-Sens!H1826</f>
        <v>209.97141533724</v>
      </c>
      <c r="I1875" s="6" t="n">
        <f aca="false">Sens!I1874*(Sens!I1845-Sens!I1809)+Sens!I1809-(Sens!I1811+Sens!I1812+Sens!I1813)-Sens!I1826</f>
        <v>230.256536517288</v>
      </c>
      <c r="J1875" s="6" t="n">
        <f aca="false">Sens!J1874*(Sens!J1845-Sens!J1809)+Sens!J1809-(Sens!J1811+Sens!J1812+Sens!J1813)-Sens!J1826</f>
        <v>248.799474907923</v>
      </c>
      <c r="K1875" s="6" t="n">
        <f aca="false">Sens!K1874*(Sens!K1845-Sens!K1809)+Sens!K1809-(Sens!K1811+Sens!K1812+Sens!K1813)-Sens!K1826</f>
        <v>267.089534743984</v>
      </c>
      <c r="L1875" s="1" t="s">
        <v>900</v>
      </c>
    </row>
    <row r="1876" customFormat="false" ht="17.15" hidden="false" customHeight="false" outlineLevel="0" collapsed="false">
      <c r="A1876" s="0" t="s">
        <v>901</v>
      </c>
      <c r="B1876" s="0" t="s">
        <v>129</v>
      </c>
      <c r="E1876" s="7" t="n">
        <f aca="false">Q!M22/Q!M12</f>
        <v>0.296207935710698</v>
      </c>
      <c r="F1876" s="7" t="n">
        <f aca="false">Sens!$E$1876+dm_seg</f>
        <v>0.296207935710698</v>
      </c>
      <c r="G1876" s="7" t="n">
        <f aca="false">Sens!$E$1876+dm_seg</f>
        <v>0.296207935710698</v>
      </c>
      <c r="H1876" s="7" t="n">
        <f aca="false">Sens!$E$1876+dm_seg</f>
        <v>0.296207935710698</v>
      </c>
      <c r="I1876" s="7" t="n">
        <f aca="false">Sens!$E$1876+dm_seg</f>
        <v>0.296207935710698</v>
      </c>
      <c r="J1876" s="7" t="n">
        <f aca="false">Sens!$E$1876+dm_seg</f>
        <v>0.296207935710698</v>
      </c>
      <c r="K1876" s="7" t="n">
        <f aca="false">Sens!$E$1876+dm_seg</f>
        <v>0.296207935710698</v>
      </c>
      <c r="L1876" s="11" t="s">
        <v>902</v>
      </c>
    </row>
    <row r="1877" customFormat="false" ht="17.15" hidden="false" customHeight="false" outlineLevel="0" collapsed="false">
      <c r="A1877" s="0" t="s">
        <v>734</v>
      </c>
      <c r="B1877" s="0" t="s">
        <v>98</v>
      </c>
      <c r="D1877" s="6" t="n">
        <f aca="false">Q!L22</f>
        <v>17.714</v>
      </c>
      <c r="E1877" s="6" t="n">
        <f aca="false">Q!M22</f>
        <v>18.872</v>
      </c>
      <c r="F1877" s="6" t="n">
        <f aca="false">Sens!F1852*Sens!F1876</f>
        <v>19.2954518910651</v>
      </c>
      <c r="G1877" s="6" t="n">
        <f aca="false">Sens!G1852*Sens!G1876</f>
        <v>19.8830646387704</v>
      </c>
      <c r="H1877" s="6" t="n">
        <f aca="false">Sens!H1852*Sens!H1876</f>
        <v>20.6092017868026</v>
      </c>
      <c r="I1877" s="6" t="n">
        <f aca="false">Sens!I1852*Sens!I1876</f>
        <v>21.452361761678</v>
      </c>
      <c r="J1877" s="6" t="n">
        <f aca="false">Sens!J1852*Sens!J1876</f>
        <v>22.3946261183418</v>
      </c>
      <c r="K1877" s="6" t="n">
        <f aca="false">Sens!K1852*Sens!K1876</f>
        <v>23.4215879274986</v>
      </c>
    </row>
    <row r="1878" customFormat="false" ht="15" hidden="false" customHeight="false" outlineLevel="0" collapsed="false">
      <c r="A1878" s="1" t="s">
        <v>903</v>
      </c>
      <c r="B1878" s="0" t="s">
        <v>98</v>
      </c>
      <c r="D1878" s="6" t="n">
        <f aca="false">Sens!D1875+Sens!D1877</f>
        <v>128.528</v>
      </c>
      <c r="E1878" s="6" t="n">
        <f aca="false">Sens!E1875+Sens!E1877</f>
        <v>155.237</v>
      </c>
      <c r="F1878" s="6" t="n">
        <f aca="false">Sens!F1875+Sens!F1877</f>
        <v>177.740360301605</v>
      </c>
      <c r="G1878" s="6" t="n">
        <f aca="false">Sens!G1875+Sens!G1877</f>
        <v>202.285816020358</v>
      </c>
      <c r="H1878" s="6" t="n">
        <f aca="false">Sens!H1875+Sens!H1877</f>
        <v>230.580617124042</v>
      </c>
      <c r="I1878" s="6" t="n">
        <f aca="false">Sens!I1875+Sens!I1877</f>
        <v>251.708898278966</v>
      </c>
      <c r="J1878" s="6" t="n">
        <f aca="false">Sens!J1875+Sens!J1877</f>
        <v>271.194101026265</v>
      </c>
      <c r="K1878" s="6" t="n">
        <f aca="false">Sens!K1875+Sens!K1877</f>
        <v>290.511122671482</v>
      </c>
    </row>
    <row r="1879" customFormat="false" ht="15" hidden="false" customHeight="false" outlineLevel="0" collapsed="false">
      <c r="A1879" s="23" t="s">
        <v>904</v>
      </c>
      <c r="B1879" s="30" t="s">
        <v>98</v>
      </c>
      <c r="C1879" s="30"/>
      <c r="D1879" s="24" t="n">
        <f aca="false">Sens!D1878-Q!L23</f>
        <v>0</v>
      </c>
      <c r="E1879" s="24" t="n">
        <f aca="false">Sens!E1878-Q!M23</f>
        <v>0</v>
      </c>
      <c r="F1879" s="30"/>
      <c r="G1879" s="30"/>
      <c r="H1879" s="30"/>
      <c r="I1879" s="30"/>
      <c r="J1879" s="30"/>
      <c r="K1879" s="30"/>
    </row>
    <row r="1880" customFormat="false" ht="15" hidden="false" customHeight="false" outlineLevel="0" collapsed="false">
      <c r="A1880" s="1" t="s">
        <v>905</v>
      </c>
      <c r="B1880" s="0" t="s">
        <v>129</v>
      </c>
      <c r="D1880" s="7" t="n">
        <f aca="false">Sens!D1878/Sens!D1871</f>
        <v>0.456219562408598</v>
      </c>
      <c r="E1880" s="7" t="n">
        <f aca="false">Sens!E1878/Sens!E1871</f>
        <v>0.467808184089272</v>
      </c>
      <c r="F1880" s="7" t="n">
        <f aca="false">Sens!F1878/Sens!F1871</f>
        <v>0.439325546587561</v>
      </c>
      <c r="G1880" s="7" t="n">
        <f aca="false">Sens!G1878/Sens!G1871</f>
        <v>0.411471154050632</v>
      </c>
      <c r="H1880" s="7" t="n">
        <f aca="false">Sens!H1878/Sens!H1871</f>
        <v>0.394004653759236</v>
      </c>
      <c r="I1880" s="7" t="n">
        <f aca="false">Sens!I1878/Sens!I1871</f>
        <v>0.378346290087929</v>
      </c>
      <c r="J1880" s="7" t="n">
        <f aca="false">Sens!J1878/Sens!J1871</f>
        <v>0.371558219263292</v>
      </c>
      <c r="K1880" s="7" t="n">
        <f aca="false">Sens!K1878/Sens!K1871</f>
        <v>0.37180374740868</v>
      </c>
    </row>
    <row r="1881" customFormat="false" ht="17.15" hidden="false" customHeight="false" outlineLevel="0" collapsed="false">
      <c r="A1881" s="1" t="s">
        <v>906</v>
      </c>
      <c r="B1881" s="0" t="s">
        <v>98</v>
      </c>
      <c r="F1881" s="6" t="n">
        <f aca="false">Sens!F1896</f>
        <v>32.1985299645886</v>
      </c>
      <c r="G1881" s="6" t="n">
        <f aca="false">Sens!G1896</f>
        <v>54.8157225557385</v>
      </c>
      <c r="H1881" s="6" t="n">
        <f aca="false">Sens!H1896</f>
        <v>79.4615992863139</v>
      </c>
      <c r="I1881" s="6" t="n">
        <f aca="false">Sens!I1896</f>
        <v>102.020556473047</v>
      </c>
      <c r="J1881" s="6" t="n">
        <f aca="false">Sens!J1896</f>
        <v>117.849365704132</v>
      </c>
      <c r="K1881" s="6" t="n">
        <f aca="false">Sens!K1896</f>
        <v>126.595983567073</v>
      </c>
      <c r="L1881" s="1" t="s">
        <v>907</v>
      </c>
    </row>
    <row r="1882" customFormat="false" ht="17.15" hidden="false" customHeight="false" outlineLevel="0" collapsed="false">
      <c r="A1882" s="1" t="s">
        <v>908</v>
      </c>
      <c r="B1882" s="0" t="s">
        <v>98</v>
      </c>
      <c r="D1882" s="6" t="n">
        <f aca="false">Sens!D1878</f>
        <v>128.528</v>
      </c>
      <c r="E1882" s="6" t="n">
        <f aca="false">Sens!E1878</f>
        <v>155.237</v>
      </c>
      <c r="F1882" s="6" t="n">
        <f aca="false">Sens!F1878+Sens!F1881</f>
        <v>209.938890266193</v>
      </c>
      <c r="G1882" s="6" t="n">
        <f aca="false">Sens!G1878+Sens!G1881</f>
        <v>257.101538576097</v>
      </c>
      <c r="H1882" s="6" t="n">
        <f aca="false">Sens!H1878+Sens!H1881</f>
        <v>310.042216410356</v>
      </c>
      <c r="I1882" s="6" t="n">
        <f aca="false">Sens!I1878+Sens!I1881</f>
        <v>353.729454752013</v>
      </c>
      <c r="J1882" s="6" t="n">
        <f aca="false">Sens!J1878+Sens!J1881</f>
        <v>389.043466730397</v>
      </c>
      <c r="K1882" s="6" t="n">
        <f aca="false">Sens!K1878+Sens!K1881</f>
        <v>417.107106238556</v>
      </c>
    </row>
    <row r="1883" customFormat="false" ht="17.15" hidden="false" customHeight="false" outlineLevel="0" collapsed="false">
      <c r="A1883" s="1" t="s">
        <v>909</v>
      </c>
      <c r="B1883" s="0" t="s">
        <v>98</v>
      </c>
      <c r="E1883" s="6" t="n">
        <f aca="false">Sens!E1826</f>
        <v>19.5664871725</v>
      </c>
      <c r="F1883" s="6" t="n">
        <f aca="false">Sens!F1826</f>
        <v>40.8598648571467</v>
      </c>
      <c r="G1883" s="6" t="n">
        <f aca="false">Sens!G1826</f>
        <v>70.9505245326133</v>
      </c>
      <c r="H1883" s="6" t="n">
        <f aca="false">Sens!H1826</f>
        <v>103.633223811973</v>
      </c>
      <c r="I1883" s="6" t="n">
        <f aca="false">Sens!I1826</f>
        <v>132.726892598871</v>
      </c>
      <c r="J1883" s="6" t="n">
        <f aca="false">Sens!J1826</f>
        <v>153.362897727405</v>
      </c>
      <c r="K1883" s="6" t="n">
        <f aca="false">Sens!K1826</f>
        <v>165.919620785574</v>
      </c>
    </row>
    <row r="1884" customFormat="false" ht="17.15" hidden="false" customHeight="false" outlineLevel="0" collapsed="false">
      <c r="A1884" s="1" t="s">
        <v>910</v>
      </c>
      <c r="B1884" s="0" t="s">
        <v>98</v>
      </c>
      <c r="E1884" s="6" t="n">
        <f aca="false">Sens!E1908</f>
        <v>18.9675128275</v>
      </c>
      <c r="F1884" s="6" t="n">
        <f aca="false">Sens!F1908</f>
        <v>20.6436962677062</v>
      </c>
      <c r="G1884" s="6" t="n">
        <f aca="false">Sens!G1908</f>
        <v>22.7396159979745</v>
      </c>
      <c r="H1884" s="6" t="n">
        <f aca="false">Sens!H1908</f>
        <v>25.2218057625861</v>
      </c>
      <c r="I1884" s="6" t="n">
        <f aca="false">Sens!I1908</f>
        <v>28.0169652174918</v>
      </c>
      <c r="J1884" s="6" t="n">
        <f aca="false">Sens!J1908</f>
        <v>31.03586002078</v>
      </c>
      <c r="K1884" s="6" t="n">
        <f aca="false">Sens!K1908</f>
        <v>34.1966442929014</v>
      </c>
    </row>
    <row r="1885" customFormat="false" ht="17.15" hidden="false" customHeight="false" outlineLevel="0" collapsed="false">
      <c r="A1885" s="1" t="s">
        <v>911</v>
      </c>
      <c r="B1885" s="0" t="s">
        <v>98</v>
      </c>
      <c r="D1885" s="6" t="n">
        <f aca="false">Q!L27</f>
        <v>-4.901</v>
      </c>
      <c r="E1885" s="6" t="n">
        <f aca="false">Q!M27</f>
        <v>10.697</v>
      </c>
      <c r="F1885" s="6" t="n">
        <f aca="false">oie_f</f>
        <v>-0.4</v>
      </c>
      <c r="G1885" s="6" t="n">
        <f aca="false">oie_f</f>
        <v>-0.4</v>
      </c>
      <c r="H1885" s="6" t="n">
        <f aca="false">oie_f</f>
        <v>-0.4</v>
      </c>
      <c r="I1885" s="6" t="n">
        <f aca="false">oie_f</f>
        <v>-0.4</v>
      </c>
      <c r="J1885" s="6" t="n">
        <f aca="false">oie_f</f>
        <v>-0.4</v>
      </c>
      <c r="K1885" s="6" t="n">
        <f aca="false">oie_f</f>
        <v>-0.4</v>
      </c>
      <c r="L1885" s="11" t="s">
        <v>912</v>
      </c>
    </row>
    <row r="1886" customFormat="false" ht="15" hidden="false" customHeight="false" outlineLevel="0" collapsed="false">
      <c r="A1886" s="1" t="s">
        <v>913</v>
      </c>
      <c r="B1886" s="0" t="s">
        <v>98</v>
      </c>
      <c r="D1886" s="6" t="n">
        <f aca="false">Sens!D1878+Sens!D1885</f>
        <v>123.627</v>
      </c>
      <c r="E1886" s="6" t="n">
        <f aca="false">Sens!E1878+Sens!E1885</f>
        <v>165.934</v>
      </c>
      <c r="F1886" s="6" t="n">
        <f aca="false">Sens!F1878+Sens!F1885</f>
        <v>177.340360301605</v>
      </c>
      <c r="G1886" s="6" t="n">
        <f aca="false">Sens!G1878+Sens!G1885</f>
        <v>201.885816020358</v>
      </c>
      <c r="H1886" s="6" t="n">
        <f aca="false">Sens!H1878+Sens!H1885</f>
        <v>230.180617124042</v>
      </c>
      <c r="I1886" s="6" t="n">
        <f aca="false">Sens!I1878+Sens!I1885</f>
        <v>251.308898278966</v>
      </c>
      <c r="J1886" s="6" t="n">
        <f aca="false">Sens!J1878+Sens!J1885</f>
        <v>270.794101026265</v>
      </c>
      <c r="K1886" s="6" t="n">
        <f aca="false">Sens!K1878+Sens!K1885</f>
        <v>290.111122671482</v>
      </c>
    </row>
    <row r="1887" customFormat="false" ht="15" hidden="false" customHeight="false" outlineLevel="0" collapsed="false">
      <c r="A1887" s="1" t="s">
        <v>914</v>
      </c>
      <c r="B1887" s="0" t="s">
        <v>98</v>
      </c>
      <c r="D1887" s="6" t="n">
        <f aca="false">Q!L29</f>
        <v>21.795</v>
      </c>
      <c r="E1887" s="6" t="n">
        <f aca="false">Q!M29</f>
        <v>32.185</v>
      </c>
      <c r="F1887" s="6" t="n">
        <f aca="false">Sens!F1886*tax_f</f>
        <v>35.468072060321</v>
      </c>
      <c r="G1887" s="6" t="n">
        <f aca="false">Sens!G1886*tax_f</f>
        <v>40.3771632040716</v>
      </c>
      <c r="H1887" s="6" t="n">
        <f aca="false">Sens!H1886*tax_f</f>
        <v>46.0361234248085</v>
      </c>
      <c r="I1887" s="6" t="n">
        <f aca="false">Sens!I1886*tax_f</f>
        <v>50.2617796557933</v>
      </c>
      <c r="J1887" s="6" t="n">
        <f aca="false">Sens!J1886*tax_f</f>
        <v>54.1588202052529</v>
      </c>
      <c r="K1887" s="6" t="n">
        <f aca="false">Sens!K1886*tax_f</f>
        <v>58.0222245342965</v>
      </c>
    </row>
    <row r="1888" customFormat="false" ht="15" hidden="false" customHeight="false" outlineLevel="0" collapsed="false">
      <c r="A1888" s="1" t="s">
        <v>915</v>
      </c>
      <c r="B1888" s="0" t="s">
        <v>98</v>
      </c>
      <c r="D1888" s="6" t="n">
        <f aca="false">Sens!D1886-Sens!D1887</f>
        <v>101.832</v>
      </c>
      <c r="E1888" s="6" t="n">
        <f aca="false">Sens!E1886-Sens!E1887</f>
        <v>133.749</v>
      </c>
      <c r="F1888" s="6" t="n">
        <f aca="false">Sens!F1886-Sens!F1887</f>
        <v>141.872288241284</v>
      </c>
      <c r="G1888" s="6" t="n">
        <f aca="false">Sens!G1886-Sens!G1887</f>
        <v>161.508652816286</v>
      </c>
      <c r="H1888" s="6" t="n">
        <f aca="false">Sens!H1886-Sens!H1887</f>
        <v>184.144493699234</v>
      </c>
      <c r="I1888" s="6" t="n">
        <f aca="false">Sens!I1886-Sens!I1887</f>
        <v>201.047118623173</v>
      </c>
      <c r="J1888" s="6" t="n">
        <f aca="false">Sens!J1886-Sens!J1887</f>
        <v>216.635280821012</v>
      </c>
      <c r="K1888" s="6" t="n">
        <f aca="false">Sens!K1886-Sens!K1887</f>
        <v>232.088898137186</v>
      </c>
    </row>
    <row r="1889" customFormat="false" ht="17.15" hidden="false" customHeight="false" outlineLevel="0" collapsed="false">
      <c r="A1889" s="1" t="s">
        <v>916</v>
      </c>
      <c r="B1889" s="1" t="s">
        <v>81</v>
      </c>
      <c r="D1889" s="14" t="n">
        <f aca="false">Q!L31</f>
        <v>7.465</v>
      </c>
      <c r="E1889" s="14" t="n">
        <f aca="false">Q!M31</f>
        <v>7.453</v>
      </c>
      <c r="F1889" s="14" t="n">
        <f aca="false">Sens!F1930</f>
        <v>7.4735</v>
      </c>
      <c r="G1889" s="14" t="n">
        <f aca="false">Sens!G1930</f>
        <v>7.5185</v>
      </c>
      <c r="H1889" s="14" t="n">
        <f aca="false">Sens!H1930</f>
        <v>7.54661397454561</v>
      </c>
      <c r="I1889" s="14" t="n">
        <f aca="false">Sens!I1930</f>
        <v>7.55875719524859</v>
      </c>
      <c r="J1889" s="14" t="n">
        <f aca="false">Sens!J1930</f>
        <v>7.57299870636647</v>
      </c>
      <c r="K1889" s="14" t="n">
        <f aca="false">Sens!K1930</f>
        <v>7.58951862406821</v>
      </c>
    </row>
    <row r="1890" customFormat="false" ht="17.15" hidden="false" customHeight="false" outlineLevel="0" collapsed="false">
      <c r="A1890" s="0" t="s">
        <v>917</v>
      </c>
      <c r="B1890" s="0" t="s">
        <v>75</v>
      </c>
      <c r="D1890" s="8" t="n">
        <f aca="false">Sens!D1888/Sens!D1889</f>
        <v>13.641259209645</v>
      </c>
      <c r="E1890" s="8" t="n">
        <f aca="false">Sens!E1888/Sens!E1889</f>
        <v>17.9456594659869</v>
      </c>
      <c r="F1890" s="8" t="n">
        <f aca="false">Sens!F1888/Sens!F1889</f>
        <v>18.9833797071364</v>
      </c>
      <c r="G1890" s="8" t="n">
        <f aca="false">Sens!G1888/Sens!G1889</f>
        <v>21.4814993437902</v>
      </c>
      <c r="H1890" s="8" t="n">
        <f aca="false">Sens!H1888/Sens!H1889</f>
        <v>24.4009425048565</v>
      </c>
      <c r="I1890" s="8" t="n">
        <f aca="false">Sens!I1888/Sens!I1889</f>
        <v>26.5979066968245</v>
      </c>
      <c r="J1890" s="8" t="n">
        <f aca="false">Sens!J1888/Sens!J1889</f>
        <v>28.6062746371382</v>
      </c>
      <c r="K1890" s="8" t="n">
        <f aca="false">Sens!K1888/Sens!K1889</f>
        <v>30.580186917412</v>
      </c>
      <c r="L1890" s="1" t="s">
        <v>918</v>
      </c>
    </row>
    <row r="1891" customFormat="false" ht="17.15" hidden="false" customHeight="false" outlineLevel="0" collapsed="false">
      <c r="A1891" s="1" t="s">
        <v>919</v>
      </c>
      <c r="B1891" s="0" t="s">
        <v>98</v>
      </c>
      <c r="D1891" s="6" t="n">
        <f aca="false">Sens!D1888</f>
        <v>101.832</v>
      </c>
      <c r="E1891" s="6" t="n">
        <f aca="false">Sens!E1888</f>
        <v>133.749</v>
      </c>
      <c r="F1891" s="6" t="n">
        <f aca="false">Sens!F1888+Sens!F1881*(1-tax_f)</f>
        <v>167.631112212955</v>
      </c>
      <c r="G1891" s="6" t="n">
        <f aca="false">Sens!G1888+Sens!G1881*(1-tax_f)</f>
        <v>205.361230860877</v>
      </c>
      <c r="H1891" s="6" t="n">
        <f aca="false">Sens!H1888+Sens!H1881*(1-tax_f)</f>
        <v>247.713773128285</v>
      </c>
      <c r="I1891" s="6" t="n">
        <f aca="false">Sens!I1888+Sens!I1881*(1-tax_f)</f>
        <v>282.66356380161</v>
      </c>
      <c r="J1891" s="6" t="n">
        <f aca="false">Sens!J1888+Sens!J1881*(1-tax_f)</f>
        <v>310.914773384318</v>
      </c>
      <c r="K1891" s="6" t="n">
        <f aca="false">Sens!K1888+Sens!K1881*(1-tax_f)</f>
        <v>333.365684990845</v>
      </c>
    </row>
    <row r="1892" customFormat="false" ht="17.15" hidden="false" customHeight="false" outlineLevel="0" collapsed="false">
      <c r="A1892" s="0" t="s">
        <v>920</v>
      </c>
      <c r="B1892" s="0" t="s">
        <v>75</v>
      </c>
      <c r="D1892" s="8" t="n">
        <f aca="false">Sens!D1891/Sens!D1889</f>
        <v>13.641259209645</v>
      </c>
      <c r="E1892" s="8" t="n">
        <f aca="false">Sens!E1891/Sens!E1889</f>
        <v>17.9456594659869</v>
      </c>
      <c r="F1892" s="8" t="n">
        <f aca="false">Sens!F1891/Sens!F1889</f>
        <v>22.4300678681949</v>
      </c>
      <c r="G1892" s="8" t="n">
        <f aca="false">Sens!G1891/Sens!G1889</f>
        <v>27.3141226123399</v>
      </c>
      <c r="H1892" s="8" t="n">
        <f aca="false">Sens!H1891/Sens!H1889</f>
        <v>32.8244924099487</v>
      </c>
      <c r="I1892" s="8" t="n">
        <f aca="false">Sens!I1891/Sens!I1889</f>
        <v>37.395507819631</v>
      </c>
      <c r="J1892" s="8" t="n">
        <f aca="false">Sens!J1891/Sens!J1889</f>
        <v>41.0557013726858</v>
      </c>
      <c r="K1892" s="8" t="n">
        <f aca="false">Sens!K1891/Sens!K1889</f>
        <v>43.9244834229223</v>
      </c>
      <c r="L1892" s="1" t="s">
        <v>921</v>
      </c>
    </row>
    <row r="1893" customFormat="false" ht="17.15" hidden="false" customHeight="false" outlineLevel="0" collapsed="false">
      <c r="A1893" s="0" t="s">
        <v>922</v>
      </c>
      <c r="B1893" s="0" t="s">
        <v>129</v>
      </c>
      <c r="E1893" s="7" t="n">
        <f aca="false">Sens!E1892/Sens!D1892-1</f>
        <v>0.315542736208578</v>
      </c>
      <c r="F1893" s="7" t="n">
        <f aca="false">Sens!F1892/Sens!E1892-1</f>
        <v>0.24988819222317</v>
      </c>
      <c r="G1893" s="7" t="n">
        <f aca="false">Sens!G1892/Sens!F1892-1</f>
        <v>0.217745874548617</v>
      </c>
      <c r="H1893" s="7" t="n">
        <f aca="false">Sens!H1892/Sens!G1892-1</f>
        <v>0.201740684693249</v>
      </c>
      <c r="I1893" s="7" t="n">
        <f aca="false">Sens!I1892/Sens!H1892-1</f>
        <v>0.139256240510725</v>
      </c>
      <c r="J1893" s="7" t="n">
        <f aca="false">Sens!J1892/Sens!I1892-1</f>
        <v>0.0978778940697629</v>
      </c>
      <c r="K1893" s="7" t="n">
        <f aca="false">Sens!K1892/Sens!J1892-1</f>
        <v>0.0698753633312701</v>
      </c>
    </row>
    <row r="1894" customFormat="false" ht="17.15" hidden="false" customHeight="false" outlineLevel="0" collapsed="false">
      <c r="A1894" s="0" t="s">
        <v>846</v>
      </c>
      <c r="B1894" s="0" t="s">
        <v>98</v>
      </c>
      <c r="E1894" s="6" t="n">
        <f aca="false">Sens!E1835</f>
        <v>5.25</v>
      </c>
      <c r="F1894" s="6" t="n">
        <f aca="false">Sens!F1835</f>
        <v>13.5</v>
      </c>
      <c r="G1894" s="6" t="n">
        <f aca="false">Sens!G1835</f>
        <v>22.5</v>
      </c>
      <c r="H1894" s="6" t="n">
        <f aca="false">Sens!H1835</f>
        <v>31.5</v>
      </c>
      <c r="I1894" s="6" t="n">
        <f aca="false">Sens!I1835</f>
        <v>38.25</v>
      </c>
      <c r="J1894" s="6" t="n">
        <f aca="false">Sens!J1835</f>
        <v>42.75</v>
      </c>
      <c r="K1894" s="6" t="n">
        <f aca="false">Sens!K1835</f>
        <v>47.25</v>
      </c>
    </row>
    <row r="1895" customFormat="false" ht="17.15" hidden="false" customHeight="false" outlineLevel="0" collapsed="false">
      <c r="A1895" s="1" t="s">
        <v>847</v>
      </c>
      <c r="B1895" s="0" t="s">
        <v>98</v>
      </c>
      <c r="F1895" s="6" t="n">
        <f aca="false">MAX(0,(Sens!E1798+Sens!F1798)/2*Sens!F1806/1000-Sens!F1894*Sens!F1874)</f>
        <v>32.1985299645886</v>
      </c>
      <c r="G1895" s="6" t="n">
        <f aca="false">MAX(0,(Sens!F1798+Sens!G1798)/2*Sens!G1806/1000-Sens!G1894*Sens!G1874)</f>
        <v>54.8157225557385</v>
      </c>
      <c r="H1895" s="6" t="n">
        <f aca="false">MAX(0,(Sens!G1798+Sens!H1798)/2*Sens!H1806/1000-Sens!H1894*Sens!H1874)</f>
        <v>79.4615992863139</v>
      </c>
      <c r="I1895" s="6" t="n">
        <f aca="false">MAX(0,(Sens!H1798+Sens!I1798)/2*Sens!I1806/1000-Sens!I1894*Sens!I1874)</f>
        <v>102.020556473047</v>
      </c>
      <c r="J1895" s="6" t="n">
        <f aca="false">MAX(0,(Sens!I1798+Sens!J1798)/2*Sens!J1806/1000-Sens!J1894*Sens!J1874)</f>
        <v>117.849365704132</v>
      </c>
      <c r="K1895" s="6" t="n">
        <f aca="false">MAX(0,(Sens!J1798+Sens!K1798)/2*Sens!K1806/1000-Sens!K1894*Sens!K1874)</f>
        <v>126.595983567073</v>
      </c>
      <c r="L1895" s="1" t="s">
        <v>848</v>
      </c>
    </row>
    <row r="1896" customFormat="false" ht="17.15" hidden="false" customHeight="false" outlineLevel="0" collapsed="false">
      <c r="A1896" s="1" t="s">
        <v>849</v>
      </c>
      <c r="B1896" s="0" t="s">
        <v>98</v>
      </c>
      <c r="F1896" s="6" t="n">
        <f aca="false">IF(internal_ai_reading=2,1,0)*Sens!F1895</f>
        <v>32.1985299645886</v>
      </c>
      <c r="G1896" s="6" t="n">
        <f aca="false">IF(internal_ai_reading=2,1,0)*Sens!G1895</f>
        <v>54.8157225557385</v>
      </c>
      <c r="H1896" s="6" t="n">
        <f aca="false">IF(internal_ai_reading=2,1,0)*Sens!H1895</f>
        <v>79.4615992863139</v>
      </c>
      <c r="I1896" s="6" t="n">
        <f aca="false">IF(internal_ai_reading=2,1,0)*Sens!I1895</f>
        <v>102.020556473047</v>
      </c>
      <c r="J1896" s="6" t="n">
        <f aca="false">IF(internal_ai_reading=2,1,0)*Sens!J1895</f>
        <v>117.849365704132</v>
      </c>
      <c r="K1896" s="6" t="n">
        <f aca="false">IF(internal_ai_reading=2,1,0)*Sens!K1895</f>
        <v>126.595983567073</v>
      </c>
    </row>
    <row r="1897" customFormat="false" ht="17.15" hidden="false" customHeight="false" outlineLevel="0" collapsed="false">
      <c r="A1897" s="0" t="s">
        <v>850</v>
      </c>
      <c r="B1897" s="0" t="s">
        <v>98</v>
      </c>
      <c r="F1897" s="6" t="n">
        <f aca="false">Sens!F1815+Sens!F1894*Sens!F1874+Sens!F1896-Sens!F1816-Sens!F1826</f>
        <v>32.6495527367209</v>
      </c>
      <c r="G1897" s="6" t="n">
        <f aca="false">Sens!G1815+Sens!G1894*Sens!G1874+Sens!G1896-Sens!G1816-Sens!G1826</f>
        <v>59.4636037256269</v>
      </c>
      <c r="H1897" s="6" t="n">
        <f aca="false">Sens!H1815+Sens!H1894*Sens!H1874+Sens!H1896-Sens!H1816-Sens!H1826</f>
        <v>91.7285240999263</v>
      </c>
      <c r="I1897" s="6" t="n">
        <f aca="false">Sens!I1815+Sens!I1894*Sens!I1874+Sens!I1896-Sens!I1816-Sens!I1826</f>
        <v>115.12835360458</v>
      </c>
      <c r="J1897" s="6" t="n">
        <f aca="false">Sens!J1815+Sens!J1894*Sens!J1874+Sens!J1896-Sens!J1816-Sens!J1826</f>
        <v>131.338767848564</v>
      </c>
      <c r="K1897" s="6" t="n">
        <f aca="false">Sens!K1815+Sens!K1894*Sens!K1874+Sens!K1896-Sens!K1816-Sens!K1826</f>
        <v>142.301384845291</v>
      </c>
    </row>
    <row r="1898" customFormat="false" ht="17.15" hidden="false" customHeight="false" outlineLevel="0" collapsed="false">
      <c r="A1898" s="0" t="s">
        <v>851</v>
      </c>
      <c r="B1898" s="0" t="s">
        <v>98</v>
      </c>
      <c r="E1898" s="6" t="n">
        <f aca="false">Sens!E1797*(cxit_open+self_build*tk_cxfac)/1000*ai_net_open</f>
        <v>152.03764584</v>
      </c>
      <c r="F1898" s="6" t="n">
        <f aca="false">Sens!E1898+Sens!F1823-Sens!F1826</f>
        <v>303.577232028613</v>
      </c>
      <c r="G1898" s="6" t="n">
        <f aca="false">Sens!F1898+Sens!G1823-Sens!G1826</f>
        <v>452.91572407584</v>
      </c>
      <c r="H1898" s="6" t="n">
        <f aca="false">Sens!G1898+Sens!H1823-Sens!H1826</f>
        <v>574.978843356347</v>
      </c>
      <c r="I1898" s="6" t="n">
        <f aca="false">Sens!H1898+Sens!I1823-Sens!I1826</f>
        <v>638.69995374257</v>
      </c>
      <c r="J1898" s="6" t="n">
        <f aca="false">Sens!I1898+Sens!J1823-Sens!J1826</f>
        <v>634.752028076874</v>
      </c>
      <c r="K1898" s="6" t="n">
        <f aca="false">Sens!J1898+Sens!K1823-Sens!K1826</f>
        <v>606.783730061623</v>
      </c>
      <c r="L1898" s="1" t="s">
        <v>852</v>
      </c>
    </row>
    <row r="1899" customFormat="false" ht="17.15" hidden="false" customHeight="false" outlineLevel="0" collapsed="false">
      <c r="A1899" s="0" t="s">
        <v>853</v>
      </c>
      <c r="B1899" s="0" t="s">
        <v>129</v>
      </c>
      <c r="F1899" s="7" t="n">
        <f aca="false">Sens!F1897*(1-tax_f)/((Sens!E1898+Sens!F1898)/2)</f>
        <v>0.114656669297392</v>
      </c>
      <c r="G1899" s="7" t="n">
        <f aca="false">Sens!G1897*(1-tax_f)/((Sens!F1898+Sens!G1898)/2)</f>
        <v>0.125766889424766</v>
      </c>
      <c r="H1899" s="7" t="n">
        <f aca="false">Sens!H1897*(1-tax_f)/((Sens!G1898+Sens!H1898)/2)</f>
        <v>0.142782774819524</v>
      </c>
      <c r="I1899" s="7" t="n">
        <f aca="false">Sens!I1897*(1-tax_f)/((Sens!H1898+Sens!I1898)/2)</f>
        <v>0.151774395505333</v>
      </c>
      <c r="J1899" s="7" t="n">
        <f aca="false">Sens!J1897*(1-tax_f)/((Sens!I1898+Sens!J1898)/2)</f>
        <v>0.165017630470419</v>
      </c>
      <c r="K1899" s="7" t="n">
        <f aca="false">Sens!K1897*(1-tax_f)/((Sens!J1898+Sens!K1898)/2)</f>
        <v>0.183387561944928</v>
      </c>
    </row>
    <row r="1900" customFormat="false" ht="17.15" hidden="false" customHeight="false" outlineLevel="0" collapsed="false">
      <c r="A1900" s="1" t="s">
        <v>854</v>
      </c>
      <c r="B1900" s="0" t="s">
        <v>129</v>
      </c>
      <c r="F1900" s="7" t="n">
        <f aca="false">(Sens!F1897-Sens!F1896)*(1-tax_f)/((Sens!E1898+Sens!F1898)/2)</f>
        <v>0.00158387372859174</v>
      </c>
      <c r="G1900" s="7" t="n">
        <f aca="false">(Sens!G1897-Sens!G1896)*(1-tax_f)/((Sens!F1898+Sens!G1898)/2)</f>
        <v>0.0098303755663716</v>
      </c>
      <c r="H1900" s="7" t="n">
        <f aca="false">(Sens!H1897-Sens!H1896)*(1-tax_f)/((Sens!G1898+Sens!H1898)/2)</f>
        <v>0.0190944483253869</v>
      </c>
      <c r="I1900" s="7" t="n">
        <f aca="false">(Sens!I1897-Sens!I1896)*(1-tax_f)/((Sens!H1898+Sens!I1898)/2)</f>
        <v>0.0172800871701672</v>
      </c>
      <c r="J1900" s="7" t="n">
        <f aca="false">(Sens!J1897-Sens!J1896)*(1-tax_f)/((Sens!I1898+Sens!J1898)/2)</f>
        <v>0.016948454860665</v>
      </c>
      <c r="K1900" s="7" t="n">
        <f aca="false">(Sens!K1897-Sens!K1896)*(1-tax_f)/((Sens!J1898+Sens!K1898)/2)</f>
        <v>0.020239966412909</v>
      </c>
    </row>
    <row r="1901" customFormat="false" ht="17.15" hidden="false" customHeight="false" outlineLevel="0" collapsed="false">
      <c r="A1901" s="1" t="s">
        <v>855</v>
      </c>
      <c r="B1901" s="0" t="s">
        <v>129</v>
      </c>
      <c r="F1901" s="7" t="n">
        <f aca="false">(Sens!F1897-Sens!F1896+Sens!F1895)*(1-tax_f)/((Sens!E1898+Sens!F1898)/2)</f>
        <v>0.114656669297392</v>
      </c>
      <c r="G1901" s="7" t="n">
        <f aca="false">(Sens!G1897-Sens!G1896+Sens!G1895)*(1-tax_f)/((Sens!F1898+Sens!G1898)/2)</f>
        <v>0.125766889424766</v>
      </c>
      <c r="H1901" s="7" t="n">
        <f aca="false">(Sens!H1897-Sens!H1896+Sens!H1895)*(1-tax_f)/((Sens!G1898+Sens!H1898)/2)</f>
        <v>0.142782774819524</v>
      </c>
      <c r="I1901" s="7" t="n">
        <f aca="false">(Sens!I1897-Sens!I1896+Sens!I1895)*(1-tax_f)/((Sens!H1898+Sens!I1898)/2)</f>
        <v>0.151774395505333</v>
      </c>
      <c r="J1901" s="7" t="n">
        <f aca="false">(Sens!J1897-Sens!J1896+Sens!J1895)*(1-tax_f)/((Sens!I1898+Sens!J1898)/2)</f>
        <v>0.165017630470419</v>
      </c>
      <c r="K1901" s="7" t="n">
        <f aca="false">(Sens!K1897-Sens!K1896+Sens!K1895)*(1-tax_f)/((Sens!J1898+Sens!K1898)/2)</f>
        <v>0.183387561944928</v>
      </c>
    </row>
    <row r="1902" customFormat="false" ht="17.15" hidden="false" customHeight="false" outlineLevel="0" collapsed="false">
      <c r="A1902" s="1" t="s">
        <v>856</v>
      </c>
      <c r="B1902" s="0" t="s">
        <v>129</v>
      </c>
      <c r="F1902" s="7" t="n">
        <f aca="false">Sens!F1827*(1-tax_f)/(Sens!F1814*(Sens!E1898+Sens!F1898)/2)</f>
        <v>0.159418295257403</v>
      </c>
      <c r="G1902" s="7" t="n">
        <f aca="false">Sens!G1827*(1-tax_f)/(Sens!G1814*(Sens!F1898+Sens!G1898)/2)</f>
        <v>0.181875227327983</v>
      </c>
      <c r="H1902" s="7" t="n">
        <f aca="false">Sens!H1827*(1-tax_f)/(Sens!H1814*(Sens!G1898+Sens!H1898)/2)</f>
        <v>0.212793847216411</v>
      </c>
      <c r="I1902" s="7" t="n">
        <f aca="false">Sens!I1827*(1-tax_f)/(Sens!I1814*(Sens!H1898+Sens!I1898)/2)</f>
        <v>0.22561326832943</v>
      </c>
      <c r="J1902" s="7" t="n">
        <f aca="false">Sens!J1827*(1-tax_f)/(Sens!J1814*(Sens!I1898+Sens!J1898)/2)</f>
        <v>0.245078596313637</v>
      </c>
      <c r="K1902" s="7" t="n">
        <f aca="false">Sens!K1827*(1-tax_f)/(Sens!K1814*(Sens!J1898+Sens!K1898)/2)</f>
        <v>0.271839144275509</v>
      </c>
    </row>
    <row r="1903" customFormat="false" ht="17.15" hidden="false" customHeight="false" outlineLevel="0" collapsed="false">
      <c r="A1903" s="0" t="s">
        <v>857</v>
      </c>
      <c r="B1903" s="0" t="s">
        <v>209</v>
      </c>
      <c r="F1903" s="7" t="n">
        <f aca="false">Sens!F1899-wacc</f>
        <v>0.0117222492045165</v>
      </c>
      <c r="G1903" s="7" t="n">
        <f aca="false">Sens!G1899-wacc</f>
        <v>0.0228324693318902</v>
      </c>
      <c r="H1903" s="7" t="n">
        <f aca="false">Sens!H1899-wacc</f>
        <v>0.0398483547266484</v>
      </c>
      <c r="I1903" s="7" t="n">
        <f aca="false">Sens!I1899-wacc</f>
        <v>0.0488399754124572</v>
      </c>
      <c r="J1903" s="7" t="n">
        <f aca="false">Sens!J1899-wacc</f>
        <v>0.0620832103775428</v>
      </c>
      <c r="K1903" s="7" t="n">
        <f aca="false">Sens!K1899-wacc</f>
        <v>0.0804531418520518</v>
      </c>
    </row>
    <row r="1904" customFormat="false" ht="17.15" hidden="false" customHeight="false" outlineLevel="0" collapsed="false">
      <c r="A1904" s="0" t="s">
        <v>858</v>
      </c>
      <c r="B1904" s="0" t="s">
        <v>98</v>
      </c>
      <c r="F1904" s="6" t="n">
        <f aca="false">Sens!F1897*(1-tax_f)-wacc*(Sens!E1898+Sens!F1898)/2</f>
        <v>2.67041556983063</v>
      </c>
      <c r="G1904" s="6" t="n">
        <f aca="false">Sens!G1897*(1-tax_f)-wacc*(Sens!F1898+Sens!G1898)/2</f>
        <v>8.63630111002293</v>
      </c>
      <c r="H1904" s="6" t="n">
        <f aca="false">Sens!H1897*(1-tax_f)-wacc*(Sens!G1898+Sens!H1898)/2</f>
        <v>20.4799536723163</v>
      </c>
      <c r="I1904" s="6" t="n">
        <f aca="false">Sens!I1897*(1-tax_f)-wacc*(Sens!H1898+Sens!I1898)/2</f>
        <v>29.6380213044658</v>
      </c>
      <c r="J1904" s="6" t="n">
        <f aca="false">Sens!J1897*(1-tax_f)-wacc*(Sens!I1898+Sens!J1898)/2</f>
        <v>39.5299936464976</v>
      </c>
      <c r="K1904" s="6" t="n">
        <f aca="false">Sens!K1897*(1-tax_f)-wacc*(Sens!J1898+Sens!K1898)/2</f>
        <v>49.9427262319556</v>
      </c>
    </row>
    <row r="1905" customFormat="false" ht="17.15" hidden="false" customHeight="false" outlineLevel="0" collapsed="false">
      <c r="A1905" s="3" t="s">
        <v>1282</v>
      </c>
    </row>
    <row r="1906" customFormat="false" ht="15" hidden="false" customHeight="false" outlineLevel="0" collapsed="false">
      <c r="A1906" s="4" t="s">
        <v>43</v>
      </c>
      <c r="B1906" s="4" t="s">
        <v>65</v>
      </c>
      <c r="C1906" s="20" t="s">
        <v>788</v>
      </c>
      <c r="D1906" s="20" t="s">
        <v>789</v>
      </c>
      <c r="E1906" s="20" t="s">
        <v>790</v>
      </c>
      <c r="F1906" s="20" t="s">
        <v>791</v>
      </c>
      <c r="G1906" s="20" t="s">
        <v>792</v>
      </c>
      <c r="H1906" s="20" t="s">
        <v>793</v>
      </c>
      <c r="I1906" s="20" t="s">
        <v>794</v>
      </c>
      <c r="J1906" s="20" t="s">
        <v>795</v>
      </c>
      <c r="K1906" s="20" t="s">
        <v>796</v>
      </c>
      <c r="L1906" s="4" t="s">
        <v>47</v>
      </c>
    </row>
    <row r="1907" customFormat="false" ht="15" hidden="false" customHeight="false" outlineLevel="0" collapsed="false">
      <c r="A1907" s="1" t="s">
        <v>915</v>
      </c>
      <c r="B1907" s="0" t="s">
        <v>98</v>
      </c>
      <c r="F1907" s="6" t="n">
        <f aca="false">Sens!F1888</f>
        <v>141.872288241284</v>
      </c>
      <c r="G1907" s="6" t="n">
        <f aca="false">Sens!G1888</f>
        <v>161.508652816286</v>
      </c>
      <c r="H1907" s="6" t="n">
        <f aca="false">Sens!H1888</f>
        <v>184.144493699234</v>
      </c>
      <c r="I1907" s="6" t="n">
        <f aca="false">Sens!I1888</f>
        <v>201.047118623173</v>
      </c>
      <c r="J1907" s="6" t="n">
        <f aca="false">Sens!J1888</f>
        <v>216.635280821012</v>
      </c>
      <c r="K1907" s="6" t="n">
        <f aca="false">Sens!K1888</f>
        <v>232.088898137186</v>
      </c>
    </row>
    <row r="1908" customFormat="false" ht="17.15" hidden="false" customHeight="false" outlineLevel="0" collapsed="false">
      <c r="A1908" s="1" t="s">
        <v>937</v>
      </c>
      <c r="B1908" s="0" t="s">
        <v>98</v>
      </c>
      <c r="E1908" s="6" t="n">
        <f aca="false">Q!M38-Sens!E1826</f>
        <v>18.9675128275</v>
      </c>
      <c r="F1908" s="6" t="n">
        <f aca="false">Sens!E1908*(1-1/life_nonai)+Sens!F1914/life_nonai</f>
        <v>20.6436962677062</v>
      </c>
      <c r="G1908" s="6" t="n">
        <f aca="false">Sens!F1908*(1-1/life_nonai)+Sens!G1914/life_nonai</f>
        <v>22.7396159979745</v>
      </c>
      <c r="H1908" s="6" t="n">
        <f aca="false">Sens!G1908*(1-1/life_nonai)+Sens!H1914/life_nonai</f>
        <v>25.2218057625861</v>
      </c>
      <c r="I1908" s="6" t="n">
        <f aca="false">Sens!H1908*(1-1/life_nonai)+Sens!I1914/life_nonai</f>
        <v>28.0169652174918</v>
      </c>
      <c r="J1908" s="6" t="n">
        <f aca="false">Sens!I1908*(1-1/life_nonai)+Sens!J1914/life_nonai</f>
        <v>31.03586002078</v>
      </c>
      <c r="K1908" s="6" t="n">
        <f aca="false">Sens!J1908*(1-1/life_nonai)+Sens!K1914/life_nonai</f>
        <v>34.1966442929014</v>
      </c>
      <c r="L1908" s="11" t="s">
        <v>938</v>
      </c>
    </row>
    <row r="1909" customFormat="false" ht="17.15" hidden="false" customHeight="false" outlineLevel="0" collapsed="false">
      <c r="A1909" s="1" t="s">
        <v>939</v>
      </c>
      <c r="B1909" s="0" t="s">
        <v>98</v>
      </c>
      <c r="E1909" s="6" t="n">
        <f aca="false">Sens!E1826+Sens!E1908</f>
        <v>38.534</v>
      </c>
      <c r="F1909" s="6" t="n">
        <f aca="false">Sens!F1826+Sens!F1908</f>
        <v>61.5035611248529</v>
      </c>
      <c r="G1909" s="6" t="n">
        <f aca="false">Sens!G1826+Sens!G1908</f>
        <v>93.6901405305879</v>
      </c>
      <c r="H1909" s="6" t="n">
        <f aca="false">Sens!H1826+Sens!H1908</f>
        <v>128.855029574559</v>
      </c>
      <c r="I1909" s="6" t="n">
        <f aca="false">Sens!I1826+Sens!I1908</f>
        <v>160.743857816363</v>
      </c>
      <c r="J1909" s="6" t="n">
        <f aca="false">Sens!J1826+Sens!J1908</f>
        <v>184.398757748185</v>
      </c>
      <c r="K1909" s="6" t="n">
        <f aca="false">Sens!K1826+Sens!K1908</f>
        <v>200.116265078476</v>
      </c>
    </row>
    <row r="1910" customFormat="false" ht="17.15" hidden="false" customHeight="false" outlineLevel="0" collapsed="false">
      <c r="A1910" s="1" t="s">
        <v>940</v>
      </c>
      <c r="B1910" s="0" t="s">
        <v>98</v>
      </c>
      <c r="F1910" s="6" t="n">
        <f aca="false">Sens!F1853*sbc_r</f>
        <v>15.1240791253967</v>
      </c>
      <c r="G1910" s="6" t="n">
        <f aca="false">Sens!G1853*sbc_r</f>
        <v>18.3778786594202</v>
      </c>
      <c r="H1910" s="6" t="n">
        <f aca="false">Sens!H1853*sbc_r</f>
        <v>21.8771522065674</v>
      </c>
      <c r="I1910" s="6" t="n">
        <f aca="false">Sens!I1853*sbc_r</f>
        <v>24.8701515437869</v>
      </c>
      <c r="J1910" s="6" t="n">
        <f aca="false">Sens!J1853*sbc_r</f>
        <v>27.2849214872696</v>
      </c>
      <c r="K1910" s="6" t="n">
        <f aca="false">Sens!K1853*sbc_r</f>
        <v>29.2091113705455</v>
      </c>
    </row>
    <row r="1911" customFormat="false" ht="17.15" hidden="false" customHeight="false" outlineLevel="0" collapsed="false">
      <c r="A1911" s="1" t="s">
        <v>941</v>
      </c>
      <c r="B1911" s="0" t="s">
        <v>98</v>
      </c>
      <c r="F1911" s="6" t="n">
        <f aca="false">wc27</f>
        <v>-4.895</v>
      </c>
      <c r="G1911" s="6" t="n">
        <f aca="false">wc_f</f>
        <v>0</v>
      </c>
      <c r="H1911" s="6" t="n">
        <f aca="false">wc_f</f>
        <v>0</v>
      </c>
      <c r="I1911" s="6" t="n">
        <f aca="false">wc_f</f>
        <v>0</v>
      </c>
      <c r="J1911" s="6" t="n">
        <f aca="false">wc_f</f>
        <v>0</v>
      </c>
      <c r="K1911" s="6" t="n">
        <f aca="false">wc_f</f>
        <v>0</v>
      </c>
      <c r="L1911" s="11" t="s">
        <v>942</v>
      </c>
    </row>
    <row r="1912" customFormat="false" ht="15" hidden="false" customHeight="false" outlineLevel="0" collapsed="false">
      <c r="A1912" s="1" t="s">
        <v>756</v>
      </c>
      <c r="B1912" s="0" t="s">
        <v>98</v>
      </c>
      <c r="E1912" s="6" t="n">
        <f aca="false">Q!M35</f>
        <v>182.935</v>
      </c>
      <c r="F1912" s="6" t="n">
        <f aca="false">Sens!F1907+Sens!F1909+Sens!F1910+Sens!F1911</f>
        <v>213.604928491534</v>
      </c>
      <c r="G1912" s="6" t="n">
        <f aca="false">Sens!G1907+Sens!G1909+Sens!G1910+Sens!G1911</f>
        <v>273.576672006295</v>
      </c>
      <c r="H1912" s="6" t="n">
        <f aca="false">Sens!H1907+Sens!H1909+Sens!H1910+Sens!H1911</f>
        <v>334.876675480361</v>
      </c>
      <c r="I1912" s="6" t="n">
        <f aca="false">Sens!I1907+Sens!I1909+Sens!I1910+Sens!I1911</f>
        <v>386.661127983323</v>
      </c>
      <c r="J1912" s="6" t="n">
        <f aca="false">Sens!J1907+Sens!J1909+Sens!J1910+Sens!J1911</f>
        <v>428.318960056466</v>
      </c>
      <c r="K1912" s="6" t="n">
        <f aca="false">Sens!K1907+Sens!K1909+Sens!K1910+Sens!K1911</f>
        <v>461.414274586207</v>
      </c>
    </row>
    <row r="1913" customFormat="false" ht="17.15" hidden="false" customHeight="false" outlineLevel="0" collapsed="false">
      <c r="A1913" s="0" t="s">
        <v>943</v>
      </c>
      <c r="B1913" s="0" t="s">
        <v>98</v>
      </c>
      <c r="F1913" s="6" t="n">
        <f aca="false">Sens!F1823</f>
        <v>192.39945104576</v>
      </c>
      <c r="G1913" s="6" t="n">
        <f aca="false">Sens!G1823</f>
        <v>220.28901657984</v>
      </c>
      <c r="H1913" s="6" t="n">
        <f aca="false">Sens!H1823</f>
        <v>225.69634309248</v>
      </c>
      <c r="I1913" s="6" t="n">
        <f aca="false">Sens!I1823</f>
        <v>196.448002985094</v>
      </c>
      <c r="J1913" s="6" t="n">
        <f aca="false">Sens!J1823</f>
        <v>149.414972061709</v>
      </c>
      <c r="K1913" s="6" t="n">
        <f aca="false">Sens!K1823</f>
        <v>137.951322770323</v>
      </c>
    </row>
    <row r="1914" customFormat="false" ht="17.15" hidden="false" customHeight="false" outlineLevel="0" collapsed="false">
      <c r="A1914" s="1" t="s">
        <v>944</v>
      </c>
      <c r="B1914" s="0" t="s">
        <v>98</v>
      </c>
      <c r="E1914" s="6" t="n">
        <f aca="false">Sens!E1831*cx_azo+Sens!E1838*cx_m365+Sens!E1839*cx_lic+(Sens!E1841+Sens!E1843)*cx_ind+Sens!E1846*cx_srch+(Sens!E1848+Sens!E1850)*cx_dev</f>
        <v>30.1846587067718</v>
      </c>
      <c r="F1914" s="6" t="n">
        <f aca="false">Sens!F1831*cx_azo+Sens!F1838*cx_m365+Sens!F1839*cx_lic+(Sens!F1841+Sens!F1843)*cx_ind+Sens!F1846*cx_srch+(Sens!F1848+Sens!F1850)*cx_dev</f>
        <v>35.7293472295625</v>
      </c>
      <c r="G1914" s="6" t="n">
        <f aca="false">Sens!G1831*cx_azo+Sens!G1838*cx_m365+Sens!G1839*cx_lic+(Sens!G1841+Sens!G1843)*cx_ind+Sens!G1846*cx_srch+(Sens!G1848+Sens!G1850)*cx_dev</f>
        <v>41.6028935703892</v>
      </c>
      <c r="H1914" s="6" t="n">
        <f aca="false">Sens!H1831*cx_azo+Sens!H1838*cx_m365+Sens!H1839*cx_lic+(Sens!H1841+Sens!H1843)*cx_ind+Sens!H1846*cx_srch+(Sens!H1848+Sens!H1850)*cx_dev</f>
        <v>47.5615136440897</v>
      </c>
      <c r="I1914" s="6" t="n">
        <f aca="false">Sens!I1831*cx_azo+Sens!I1838*cx_m365+Sens!I1839*cx_lic+(Sens!I1841+Sens!I1843)*cx_ind+Sens!I1846*cx_srch+(Sens!I1848+Sens!I1850)*cx_dev</f>
        <v>53.1734003116439</v>
      </c>
      <c r="J1914" s="6" t="n">
        <f aca="false">Sens!J1831*cx_azo+Sens!J1838*cx_m365+Sens!J1839*cx_lic+(Sens!J1841+Sens!J1843)*cx_ind+Sens!J1846*cx_srch+(Sens!J1848+Sens!J1850)*cx_dev</f>
        <v>58.2059132503738</v>
      </c>
      <c r="K1914" s="6" t="n">
        <f aca="false">Sens!K1831*cx_azo+Sens!K1838*cx_m365+Sens!K1839*cx_lic+(Sens!K1841+Sens!K1843)*cx_ind+Sens!K1846*cx_srch+(Sens!K1848+Sens!K1850)*cx_dev</f>
        <v>62.643702741994</v>
      </c>
    </row>
    <row r="1915" customFormat="false" ht="17.15" hidden="false" customHeight="false" outlineLevel="0" collapsed="false">
      <c r="A1915" s="1" t="s">
        <v>945</v>
      </c>
      <c r="B1915" s="0" t="s">
        <v>98</v>
      </c>
      <c r="E1915" s="6" t="n">
        <f aca="false">Q!M42</f>
        <v>145.3</v>
      </c>
      <c r="F1915" s="6" t="n">
        <f aca="false">Sens!F1913+Sens!F1914</f>
        <v>228.128798275322</v>
      </c>
      <c r="G1915" s="6" t="n">
        <f aca="false">Sens!G1913+Sens!G1914</f>
        <v>261.891910150229</v>
      </c>
      <c r="H1915" s="6" t="n">
        <f aca="false">Sens!H1913+Sens!H1914</f>
        <v>273.25785673657</v>
      </c>
      <c r="I1915" s="6" t="n">
        <f aca="false">Sens!I1913+Sens!I1914</f>
        <v>249.621403296738</v>
      </c>
      <c r="J1915" s="6" t="n">
        <f aca="false">Sens!J1913+Sens!J1914</f>
        <v>207.620885312083</v>
      </c>
      <c r="K1915" s="6" t="n">
        <f aca="false">Sens!K1913+Sens!K1914</f>
        <v>200.595025512317</v>
      </c>
      <c r="L1915" s="1" t="s">
        <v>946</v>
      </c>
    </row>
    <row r="1916" customFormat="false" ht="15" hidden="false" customHeight="false" outlineLevel="0" collapsed="false">
      <c r="A1916" s="1" t="s">
        <v>947</v>
      </c>
      <c r="B1916" s="0" t="s">
        <v>98</v>
      </c>
      <c r="E1916" s="6" t="n">
        <f aca="false">fl_liab</f>
        <v>66.594</v>
      </c>
      <c r="F1916" s="6" t="n">
        <f aca="false">Sens!E1916-Sens!F1917</f>
        <v>62.46973</v>
      </c>
      <c r="G1916" s="6" t="n">
        <f aca="false">Sens!F1916-Sens!G1917</f>
        <v>57.98686785</v>
      </c>
      <c r="H1916" s="6" t="n">
        <f aca="false">Sens!G1916-Sens!H1917</f>
        <v>53.92827690325</v>
      </c>
      <c r="I1916" s="6" t="n">
        <f aca="false">Sens!H1916-Sens!I1917</f>
        <v>49.7850493638962</v>
      </c>
      <c r="J1916" s="6" t="n">
        <f aca="false">Sens!I1916-Sens!J1917</f>
        <v>45.4823765852716</v>
      </c>
      <c r="K1916" s="6" t="n">
        <f aca="false">Sens!J1916-Sens!K1917</f>
        <v>40.9860835316088</v>
      </c>
    </row>
    <row r="1917" customFormat="false" ht="15" hidden="false" customHeight="false" outlineLevel="0" collapsed="false">
      <c r="A1917" s="1" t="s">
        <v>948</v>
      </c>
      <c r="B1917" s="0" t="s">
        <v>98</v>
      </c>
      <c r="F1917" s="6" t="n">
        <f aca="false">fl_pay_27-Sens!E1916*fl_rate</f>
        <v>4.12427</v>
      </c>
      <c r="G1917" s="6" t="n">
        <f aca="false">fl_pay_28-Sens!F1916*fl_rate</f>
        <v>4.48286215</v>
      </c>
      <c r="H1917" s="6" t="n">
        <f aca="false">fl_pay_29-Sens!G1916*fl_rate</f>
        <v>4.05859094675</v>
      </c>
      <c r="I1917" s="6" t="n">
        <f aca="false">fl_pay_30-Sens!H1916*fl_rate</f>
        <v>4.14322753935375</v>
      </c>
      <c r="J1917" s="6" t="n">
        <f aca="false">fl_pay_31-Sens!I1916*fl_rate</f>
        <v>4.30267277862467</v>
      </c>
      <c r="K1917" s="6" t="n">
        <f aca="false">fl_pay_32-Sens!J1916*fl_rate</f>
        <v>4.49629305366278</v>
      </c>
    </row>
    <row r="1918" customFormat="false" ht="17.15" hidden="false" customHeight="false" outlineLevel="0" collapsed="false">
      <c r="A1918" s="1" t="s">
        <v>949</v>
      </c>
      <c r="B1918" s="0" t="s">
        <v>98</v>
      </c>
      <c r="E1918" s="6" t="n">
        <f aca="false">Q!M35-Q!M36-Q!M43</f>
        <v>63.886</v>
      </c>
      <c r="F1918" s="6" t="n">
        <f aca="false">Sens!F1912-Sens!F1915-Sens!F1917</f>
        <v>-18.6481397837889</v>
      </c>
      <c r="G1918" s="6" t="n">
        <f aca="false">Sens!G1912-Sens!G1915-Sens!G1917</f>
        <v>7.20189970606528</v>
      </c>
      <c r="H1918" s="6" t="n">
        <f aca="false">Sens!H1912-Sens!H1915-Sens!H1917</f>
        <v>57.5602277970412</v>
      </c>
      <c r="I1918" s="6" t="n">
        <f aca="false">Sens!I1912-Sens!I1915-Sens!I1917</f>
        <v>132.896497147231</v>
      </c>
      <c r="J1918" s="6" t="n">
        <f aca="false">Sens!J1912-Sens!J1915-Sens!J1917</f>
        <v>216.395401965759</v>
      </c>
      <c r="K1918" s="6" t="n">
        <f aca="false">Sens!K1912-Sens!K1915-Sens!K1917</f>
        <v>256.322956020227</v>
      </c>
      <c r="L1918" s="11" t="s">
        <v>950</v>
      </c>
    </row>
    <row r="1919" customFormat="false" ht="15" hidden="false" customHeight="false" outlineLevel="0" collapsed="false">
      <c r="A1919" s="1" t="s">
        <v>951</v>
      </c>
      <c r="B1919" s="0" t="s">
        <v>75</v>
      </c>
      <c r="F1919" s="8" t="n">
        <f aca="false">dps_27</f>
        <v>3.85</v>
      </c>
      <c r="G1919" s="8" t="n">
        <f aca="false">Sens!F1919*(1+dps_g)</f>
        <v>4.158</v>
      </c>
      <c r="H1919" s="8" t="n">
        <f aca="false">Sens!G1919*(1+dps_g)</f>
        <v>4.49064</v>
      </c>
      <c r="I1919" s="8" t="n">
        <f aca="false">Sens!H1919*(1+dps_g)</f>
        <v>4.8498912</v>
      </c>
      <c r="J1919" s="8" t="n">
        <f aca="false">Sens!I1919*(1+dps_g)</f>
        <v>5.237882496</v>
      </c>
      <c r="K1919" s="8" t="n">
        <f aca="false">Sens!J1919*(1+dps_g)</f>
        <v>5.65691309568</v>
      </c>
    </row>
    <row r="1920" customFormat="false" ht="17.15" hidden="false" customHeight="false" outlineLevel="0" collapsed="false">
      <c r="A1920" s="1" t="s">
        <v>952</v>
      </c>
      <c r="B1920" s="0" t="s">
        <v>98</v>
      </c>
      <c r="E1920" s="6" t="n">
        <f aca="false">Q!M41</f>
        <v>26.445</v>
      </c>
      <c r="F1920" s="6" t="n">
        <f aca="false">Sens!F1919*Sens!E1929</f>
        <v>28.59395</v>
      </c>
      <c r="G1920" s="6" t="n">
        <f aca="false">Sens!G1919*Sens!F1929</f>
        <v>31.068576</v>
      </c>
      <c r="H1920" s="6" t="n">
        <f aca="false">Sens!H1919*Sens!G1929</f>
        <v>33.75614088</v>
      </c>
      <c r="I1920" s="6" t="n">
        <f aca="false">Sens!I1919*Sens!H1929</f>
        <v>36.5110864818916</v>
      </c>
      <c r="J1920" s="6" t="n">
        <f aca="false">Sens!J1919*Sens!I1929</f>
        <v>39.5003722487624</v>
      </c>
      <c r="K1920" s="6" t="n">
        <f aca="false">Sens!K1919*Sens!J1929</f>
        <v>42.7476572539684</v>
      </c>
      <c r="L1920" s="1" t="s">
        <v>953</v>
      </c>
    </row>
    <row r="1921" customFormat="false" ht="15" hidden="false" customHeight="false" outlineLevel="0" collapsed="false">
      <c r="A1921" s="1" t="s">
        <v>954</v>
      </c>
      <c r="B1921" s="0" t="s">
        <v>98</v>
      </c>
      <c r="E1921" s="6" t="n">
        <f aca="false">Sens!E1918-Sens!E1920</f>
        <v>37.441</v>
      </c>
      <c r="F1921" s="6" t="n">
        <f aca="false">Sens!F1918-Sens!F1920</f>
        <v>-47.2420897837889</v>
      </c>
      <c r="G1921" s="6" t="n">
        <f aca="false">Sens!G1918-Sens!G1920</f>
        <v>-23.8666762939347</v>
      </c>
      <c r="H1921" s="6" t="n">
        <f aca="false">Sens!H1918-Sens!H1920</f>
        <v>23.8040869170412</v>
      </c>
      <c r="I1921" s="6" t="n">
        <f aca="false">Sens!I1918-Sens!I1920</f>
        <v>96.3854106653394</v>
      </c>
      <c r="J1921" s="6" t="n">
        <f aca="false">Sens!J1918-Sens!J1920</f>
        <v>176.895029716997</v>
      </c>
      <c r="K1921" s="6" t="n">
        <f aca="false">Sens!K1918-Sens!K1920</f>
        <v>213.575298766258</v>
      </c>
    </row>
    <row r="1922" customFormat="false" ht="15" hidden="false" customHeight="false" outlineLevel="0" collapsed="false">
      <c r="A1922" s="1" t="s">
        <v>955</v>
      </c>
      <c r="B1922" s="0" t="s">
        <v>98</v>
      </c>
      <c r="F1922" s="6" t="n">
        <f aca="false">debt_mat_27</f>
        <v>9.25</v>
      </c>
      <c r="G1922" s="6" t="n">
        <f aca="false">debt_mat_28</f>
        <v>0</v>
      </c>
      <c r="H1922" s="6" t="n">
        <f aca="false">debt_mat_29</f>
        <v>2.001</v>
      </c>
      <c r="I1922" s="6" t="n">
        <f aca="false">debt_mat_30</f>
        <v>0</v>
      </c>
      <c r="J1922" s="6" t="n">
        <f aca="false">debt_mat_31</f>
        <v>0.5</v>
      </c>
      <c r="K1922" s="6" t="n">
        <f aca="false">debt_mat_32</f>
        <v>0</v>
      </c>
    </row>
    <row r="1923" customFormat="false" ht="15" hidden="false" customHeight="false" outlineLevel="0" collapsed="false">
      <c r="A1923" s="1" t="s">
        <v>956</v>
      </c>
      <c r="B1923" s="0" t="s">
        <v>98</v>
      </c>
      <c r="E1923" s="6" t="n">
        <f aca="false">Q!M40</f>
        <v>22.271</v>
      </c>
      <c r="F1923" s="6" t="n">
        <f aca="false">MAX(0,MIN(bb_target,Sens!E1925+Sens!F1921-Sens!F1922-min_cash))</f>
        <v>0</v>
      </c>
      <c r="G1923" s="6" t="n">
        <f aca="false">MAX(0,MIN(bb_target,Sens!F1925+Sens!G1921-Sens!G1922-min_cash))</f>
        <v>0</v>
      </c>
      <c r="H1923" s="6" t="n">
        <f aca="false">MAX(0,MIN(bb_target,Sens!G1925+Sens!H1921-Sens!H1922-min_cash))</f>
        <v>21.8030869170412</v>
      </c>
      <c r="I1923" s="6" t="n">
        <f aca="false">MAX(0,MIN(bb_target,Sens!H1925+Sens!I1921-Sens!I1922-min_cash))</f>
        <v>22.271</v>
      </c>
      <c r="J1923" s="6" t="n">
        <f aca="false">MAX(0,MIN(bb_target,Sens!I1925+Sens!J1921-Sens!J1922-min_cash))</f>
        <v>22.271</v>
      </c>
      <c r="K1923" s="6" t="n">
        <f aca="false">MAX(0,MIN(bb_target,Sens!J1925+Sens!K1921-Sens!K1922-min_cash))</f>
        <v>22.271</v>
      </c>
    </row>
    <row r="1924" customFormat="false" ht="15" hidden="false" customHeight="false" outlineLevel="0" collapsed="false">
      <c r="A1924" s="1" t="s">
        <v>957</v>
      </c>
      <c r="B1924" s="0" t="s">
        <v>98</v>
      </c>
      <c r="F1924" s="6" t="n">
        <f aca="false">MAX(0,min_cash-(Sens!E1925+Sens!F1921-Sens!F1922-Sens!F1923))</f>
        <v>29.6490897837889</v>
      </c>
      <c r="G1924" s="6" t="n">
        <f aca="false">MAX(0,min_cash-(Sens!F1925+Sens!G1921-Sens!G1922-Sens!G1923))</f>
        <v>23.8666762939347</v>
      </c>
      <c r="H1924" s="6" t="n">
        <f aca="false">MAX(0,min_cash-(Sens!G1925+Sens!H1921-Sens!H1922-Sens!H1923))</f>
        <v>0</v>
      </c>
      <c r="I1924" s="6" t="n">
        <f aca="false">MAX(0,min_cash-(Sens!H1925+Sens!I1921-Sens!I1922-Sens!I1923))</f>
        <v>0</v>
      </c>
      <c r="J1924" s="6" t="n">
        <f aca="false">MAX(0,min_cash-(Sens!I1925+Sens!J1921-Sens!J1922-Sens!J1923))</f>
        <v>0</v>
      </c>
      <c r="K1924" s="6" t="n">
        <f aca="false">MAX(0,min_cash-(Sens!J1925+Sens!K1921-Sens!K1922-Sens!K1923))</f>
        <v>0</v>
      </c>
    </row>
    <row r="1925" customFormat="false" ht="15" hidden="false" customHeight="false" outlineLevel="0" collapsed="false">
      <c r="A1925" s="1" t="s">
        <v>958</v>
      </c>
      <c r="B1925" s="0" t="s">
        <v>98</v>
      </c>
      <c r="E1925" s="6" t="n">
        <f aca="false">cash_open</f>
        <v>76.843</v>
      </c>
      <c r="F1925" s="6" t="n">
        <f aca="false">Sens!E1925+Sens!F1921-Sens!F1922-Sens!F1923+Sens!F1924</f>
        <v>50</v>
      </c>
      <c r="G1925" s="6" t="n">
        <f aca="false">Sens!F1925+Sens!G1921-Sens!G1922-Sens!G1923+Sens!G1924</f>
        <v>50</v>
      </c>
      <c r="H1925" s="6" t="n">
        <f aca="false">Sens!G1925+Sens!H1921-Sens!H1922-Sens!H1923+Sens!H1924</f>
        <v>50</v>
      </c>
      <c r="I1925" s="6" t="n">
        <f aca="false">Sens!H1925+Sens!I1921-Sens!I1922-Sens!I1923+Sens!I1924</f>
        <v>124.114410665339</v>
      </c>
      <c r="J1925" s="6" t="n">
        <f aca="false">Sens!I1925+Sens!J1921-Sens!J1922-Sens!J1923+Sens!J1924</f>
        <v>278.238440382336</v>
      </c>
      <c r="K1925" s="6" t="n">
        <f aca="false">Sens!J1925+Sens!K1921-Sens!K1922-Sens!K1923+Sens!K1924</f>
        <v>469.542739148594</v>
      </c>
    </row>
    <row r="1926" customFormat="false" ht="15" hidden="false" customHeight="false" outlineLevel="0" collapsed="false">
      <c r="A1926" s="1" t="s">
        <v>959</v>
      </c>
      <c r="B1926" s="0" t="s">
        <v>98</v>
      </c>
      <c r="E1926" s="6" t="n">
        <f aca="false">debt_face</f>
        <v>46.136</v>
      </c>
      <c r="F1926" s="6" t="n">
        <f aca="false">Sens!E1926-Sens!F1922+Sens!F1924</f>
        <v>66.5350897837889</v>
      </c>
      <c r="G1926" s="6" t="n">
        <f aca="false">Sens!F1926-Sens!G1922+Sens!G1924</f>
        <v>90.4017660777236</v>
      </c>
      <c r="H1926" s="6" t="n">
        <f aca="false">Sens!G1926-Sens!H1922+Sens!H1924</f>
        <v>88.4007660777236</v>
      </c>
      <c r="I1926" s="6" t="n">
        <f aca="false">Sens!H1926-Sens!I1922+Sens!I1924</f>
        <v>88.4007660777236</v>
      </c>
      <c r="J1926" s="6" t="n">
        <f aca="false">Sens!I1926-Sens!J1922+Sens!J1924</f>
        <v>87.9007660777236</v>
      </c>
      <c r="K1926" s="6" t="n">
        <f aca="false">Sens!J1926-Sens!K1922+Sens!K1924</f>
        <v>87.9007660777236</v>
      </c>
    </row>
    <row r="1927" customFormat="false" ht="15" hidden="false" customHeight="false" outlineLevel="0" collapsed="false">
      <c r="A1927" s="1" t="s">
        <v>960</v>
      </c>
      <c r="B1927" s="0" t="s">
        <v>98</v>
      </c>
      <c r="E1927" s="6" t="n">
        <f aca="false">Sens!E1925-Sens!E1926</f>
        <v>30.707</v>
      </c>
      <c r="F1927" s="6" t="n">
        <f aca="false">Sens!F1925-Sens!F1926</f>
        <v>-16.5350897837889</v>
      </c>
      <c r="G1927" s="6" t="n">
        <f aca="false">Sens!G1925-Sens!G1926</f>
        <v>-40.4017660777236</v>
      </c>
      <c r="H1927" s="6" t="n">
        <f aca="false">Sens!H1925-Sens!H1926</f>
        <v>-38.4007660777236</v>
      </c>
      <c r="I1927" s="6" t="n">
        <f aca="false">Sens!I1925-Sens!I1926</f>
        <v>35.7136445876158</v>
      </c>
      <c r="J1927" s="6" t="n">
        <f aca="false">Sens!J1925-Sens!J1926</f>
        <v>190.337674304612</v>
      </c>
      <c r="K1927" s="6" t="n">
        <f aca="false">Sens!K1925-Sens!K1926</f>
        <v>381.641973070871</v>
      </c>
    </row>
    <row r="1928" customFormat="false" ht="15" hidden="false" customHeight="false" outlineLevel="0" collapsed="false">
      <c r="A1928" s="1" t="s">
        <v>961</v>
      </c>
      <c r="B1928" s="0" t="s">
        <v>75</v>
      </c>
      <c r="F1928" s="29" t="n">
        <f aca="false">px*(1+bb_g)^(Sens!F1792-base_fy-mid_yr)</f>
        <v>553.494156066711</v>
      </c>
      <c r="G1928" s="29" t="n">
        <f aca="false">px*(1+bb_g)^(Sens!G1792-base_fy-mid_yr)</f>
        <v>597.773688552047</v>
      </c>
      <c r="H1928" s="29" t="n">
        <f aca="false">px*(1+bb_g)^(Sens!H1792-base_fy-mid_yr)</f>
        <v>645.595583636211</v>
      </c>
      <c r="I1928" s="29" t="n">
        <f aca="false">px*(1+bb_g)^(Sens!I1792-base_fy-mid_yr)</f>
        <v>697.243230327108</v>
      </c>
      <c r="J1928" s="29" t="n">
        <f aca="false">px*(1+bb_g)^(Sens!J1792-base_fy-mid_yr)</f>
        <v>753.022688753277</v>
      </c>
      <c r="K1928" s="29" t="n">
        <f aca="false">px*(1+bb_g)^(Sens!K1792-base_fy-mid_yr)</f>
        <v>813.264503853539</v>
      </c>
    </row>
    <row r="1929" customFormat="false" ht="15" hidden="false" customHeight="false" outlineLevel="0" collapsed="false">
      <c r="A1929" s="1" t="s">
        <v>962</v>
      </c>
      <c r="B1929" s="1" t="s">
        <v>81</v>
      </c>
      <c r="E1929" s="14" t="n">
        <f aca="false">sh_out26</f>
        <v>7.427</v>
      </c>
      <c r="F1929" s="14" t="n">
        <f aca="false">Sens!E1929+sh_iss-Sens!F1923/Sens!F1928</f>
        <v>7.472</v>
      </c>
      <c r="G1929" s="14" t="n">
        <f aca="false">Sens!F1929+sh_iss-Sens!G1923/Sens!G1928</f>
        <v>7.517</v>
      </c>
      <c r="H1929" s="14" t="n">
        <f aca="false">Sens!G1929+sh_iss-Sens!H1923/Sens!H1928</f>
        <v>7.52822794909123</v>
      </c>
      <c r="I1929" s="14" t="n">
        <f aca="false">Sens!H1929+sh_iss-Sens!I1923/Sens!I1928</f>
        <v>7.54128644140595</v>
      </c>
      <c r="J1929" s="14" t="n">
        <f aca="false">Sens!I1929+sh_iss-Sens!J1923/Sens!J1928</f>
        <v>7.55671097132699</v>
      </c>
      <c r="K1929" s="14" t="n">
        <f aca="false">Sens!J1929+sh_iss-Sens!K1923/Sens!K1928</f>
        <v>7.57432627680944</v>
      </c>
    </row>
    <row r="1930" customFormat="false" ht="15" hidden="false" customHeight="false" outlineLevel="0" collapsed="false">
      <c r="A1930" s="1" t="s">
        <v>963</v>
      </c>
      <c r="B1930" s="1" t="s">
        <v>81</v>
      </c>
      <c r="E1930" s="14" t="n">
        <f aca="false">sh_dil26</f>
        <v>7.453</v>
      </c>
      <c r="F1930" s="14" t="n">
        <f aca="false">(Sens!E1929+Sens!F1929)/2+dil_gap</f>
        <v>7.4735</v>
      </c>
      <c r="G1930" s="14" t="n">
        <f aca="false">(Sens!F1929+Sens!G1929)/2+dil_gap</f>
        <v>7.5185</v>
      </c>
      <c r="H1930" s="14" t="n">
        <f aca="false">(Sens!G1929+Sens!H1929)/2+dil_gap</f>
        <v>7.54661397454561</v>
      </c>
      <c r="I1930" s="14" t="n">
        <f aca="false">(Sens!H1929+Sens!I1929)/2+dil_gap</f>
        <v>7.55875719524859</v>
      </c>
      <c r="J1930" s="14" t="n">
        <f aca="false">(Sens!I1929+Sens!J1929)/2+dil_gap</f>
        <v>7.57299870636647</v>
      </c>
      <c r="K1930" s="14" t="n">
        <f aca="false">(Sens!J1929+Sens!K1929)/2+dil_gap</f>
        <v>7.58951862406821</v>
      </c>
    </row>
    <row r="1931" customFormat="false" ht="17.15" hidden="false" customHeight="false" outlineLevel="0" collapsed="false">
      <c r="A1931" s="1" t="s">
        <v>964</v>
      </c>
      <c r="B1931" s="0" t="s">
        <v>98</v>
      </c>
      <c r="C1931" s="6" t="n">
        <f aca="false">SUM(Sens!F1921:J1921)</f>
        <v>225.975761221653</v>
      </c>
    </row>
    <row r="1932" customFormat="false" ht="15" hidden="false" customHeight="false" outlineLevel="0" collapsed="false">
      <c r="A1932" s="23" t="s">
        <v>935</v>
      </c>
      <c r="B1932" s="30" t="s">
        <v>98</v>
      </c>
      <c r="C1932" s="24" t="n">
        <f aca="false">Sens!$C$1931-(Sens!F1921+Sens!G1921+Sens!H1921+Sens!I1921+Sens!J1921)</f>
        <v>0</v>
      </c>
      <c r="D1932" s="30"/>
      <c r="E1932" s="30"/>
      <c r="F1932" s="30"/>
      <c r="G1932" s="30"/>
      <c r="H1932" s="30"/>
      <c r="I1932" s="30"/>
      <c r="J1932" s="30"/>
      <c r="K1932" s="30"/>
    </row>
    <row r="1933" customFormat="false" ht="17.15" hidden="false" customHeight="false" outlineLevel="0" collapsed="false">
      <c r="A1933" s="1" t="s">
        <v>929</v>
      </c>
      <c r="B1933" s="1" t="s">
        <v>965</v>
      </c>
      <c r="C1933" s="32" t="str">
        <f aca="false">IF(SUM(Sens!F1924:J1924)&gt;0.05,"需要舉債 "&amp;TEXT(SUM(Sens!F1924:J1924),"0.0")&amp;" 十億美元","不需舉債")&amp;"；"&amp;IF(SUM(Sens!F1923:J1923)&lt;COUNT(Sens!F1923:J1923)*bb_target-0.05,"回購較每年 "&amp;TEXT(bb_target,"0.0")&amp;" 的目標少 "&amp;TEXT(COUNT(Sens!F1923:J1923)*bb_target-SUM(Sens!F1923:J1923),"0.0")&amp;" 十億美元（"&amp;TEXT(COUNTIF(Sens!F1923:J1923,"&lt;"&amp;(bb_target-0.05)),"0")&amp;" 年減少）","回購不減")</f>
        <v>需要舉債 53.5 十億美元；回購較每年 22.3 的目標少 45.0 十億美元（3 年減少）</v>
      </c>
    </row>
    <row r="1934" customFormat="false" ht="17.15" hidden="false" customHeight="false" outlineLevel="0" collapsed="false">
      <c r="A1934" s="3" t="s">
        <v>1283</v>
      </c>
    </row>
    <row r="1935" customFormat="false" ht="15" hidden="false" customHeight="false" outlineLevel="0" collapsed="false">
      <c r="A1935" s="4" t="s">
        <v>43</v>
      </c>
      <c r="B1935" s="4" t="s">
        <v>65</v>
      </c>
      <c r="C1935" s="20" t="s">
        <v>788</v>
      </c>
      <c r="D1935" s="20" t="s">
        <v>789</v>
      </c>
      <c r="E1935" s="20" t="s">
        <v>790</v>
      </c>
      <c r="F1935" s="20" t="s">
        <v>791</v>
      </c>
      <c r="G1935" s="20" t="s">
        <v>792</v>
      </c>
      <c r="H1935" s="20" t="s">
        <v>793</v>
      </c>
      <c r="I1935" s="20" t="s">
        <v>794</v>
      </c>
      <c r="J1935" s="20" t="s">
        <v>795</v>
      </c>
      <c r="K1935" s="20" t="s">
        <v>796</v>
      </c>
      <c r="L1935" s="4" t="s">
        <v>47</v>
      </c>
    </row>
    <row r="1936" customFormat="false" ht="15" hidden="false" customHeight="false" outlineLevel="0" collapsed="false">
      <c r="A1936" s="1" t="s">
        <v>1042</v>
      </c>
      <c r="B1936" s="1" t="s">
        <v>235</v>
      </c>
      <c r="F1936" s="36" t="n">
        <f aca="false">Sens!F1792-base_fy-mid_yr</f>
        <v>0.5</v>
      </c>
      <c r="G1936" s="36" t="n">
        <f aca="false">Sens!G1792-base_fy-mid_yr</f>
        <v>1.5</v>
      </c>
      <c r="H1936" s="36" t="n">
        <f aca="false">Sens!H1792-base_fy-mid_yr</f>
        <v>2.5</v>
      </c>
      <c r="I1936" s="36" t="n">
        <f aca="false">Sens!I1792-base_fy-mid_yr</f>
        <v>3.5</v>
      </c>
      <c r="J1936" s="36" t="n">
        <f aca="false">Sens!J1792-base_fy-mid_yr</f>
        <v>4.5</v>
      </c>
      <c r="K1936" s="36" t="n">
        <f aca="false">Sens!K1792-base_fy-mid_yr</f>
        <v>5.5</v>
      </c>
    </row>
    <row r="1937" customFormat="false" ht="15" hidden="false" customHeight="false" outlineLevel="0" collapsed="false">
      <c r="A1937" s="1" t="s">
        <v>1043</v>
      </c>
      <c r="B1937" s="0" t="s">
        <v>185</v>
      </c>
      <c r="F1937" s="14" t="n">
        <f aca="false">1/(1+wacc)^Sens!F1936</f>
        <v>0.952193373608246</v>
      </c>
      <c r="G1937" s="14" t="n">
        <f aca="false">1/(1+wacc)^Sens!G1936</f>
        <v>0.863327280626589</v>
      </c>
      <c r="H1937" s="14" t="n">
        <f aca="false">1/(1+wacc)^Sens!H1936</f>
        <v>0.782754862754115</v>
      </c>
      <c r="I1937" s="14" t="n">
        <f aca="false">1/(1+wacc)^Sens!I1936</f>
        <v>0.709702089711011</v>
      </c>
      <c r="J1937" s="14" t="n">
        <f aca="false">1/(1+wacc)^Sens!J1936</f>
        <v>0.643467169744551</v>
      </c>
      <c r="K1937" s="14" t="n">
        <f aca="false">1/(1+wacc)^Sens!K1936</f>
        <v>0.583413807767797</v>
      </c>
    </row>
    <row r="1938" customFormat="false" ht="17.15" hidden="false" customHeight="false" outlineLevel="0" collapsed="false">
      <c r="A1938" s="1" t="s">
        <v>1044</v>
      </c>
      <c r="B1938" s="0" t="s">
        <v>98</v>
      </c>
      <c r="F1938" s="6" t="n">
        <f aca="false">Sens!F1912-Sens!F1910-Sens!F1915+Sens!F1896*(1-tax_f)</f>
        <v>-3.8891249375147</v>
      </c>
      <c r="G1938" s="6" t="n">
        <f aca="false">Sens!G1912-Sens!G1910-Sens!G1915+Sens!G1896*(1-tax_f)</f>
        <v>37.1594612412359</v>
      </c>
      <c r="H1938" s="6" t="n">
        <f aca="false">Sens!H1912-Sens!H1910-Sens!H1915+Sens!H1896*(1-tax_f)</f>
        <v>103.310945966275</v>
      </c>
      <c r="I1938" s="6" t="n">
        <f aca="false">Sens!I1912-Sens!I1910-Sens!I1915+Sens!I1896*(1-tax_f)</f>
        <v>193.786018321235</v>
      </c>
      <c r="J1938" s="6" t="n">
        <f aca="false">Sens!J1912-Sens!J1910-Sens!J1915+Sens!J1896*(1-tax_f)</f>
        <v>287.69264582042</v>
      </c>
      <c r="K1938" s="6" t="n">
        <f aca="false">Sens!K1912-Sens!K1910-Sens!K1915+Sens!K1896*(1-tax_f)</f>
        <v>332.886924557003</v>
      </c>
      <c r="L1938" s="1" t="s">
        <v>1045</v>
      </c>
    </row>
    <row r="1939" customFormat="false" ht="15" hidden="false" customHeight="false" outlineLevel="0" collapsed="false">
      <c r="A1939" s="1" t="s">
        <v>1046</v>
      </c>
      <c r="B1939" s="0" t="s">
        <v>98</v>
      </c>
      <c r="F1939" s="6" t="n">
        <f aca="false">Sens!F1938*Sens!F1937</f>
        <v>-3.70319899463608</v>
      </c>
      <c r="G1939" s="6" t="n">
        <f aca="false">Sens!G1938*Sens!G1937</f>
        <v>32.0807766229453</v>
      </c>
      <c r="H1939" s="6" t="n">
        <f aca="false">Sens!H1938*Sens!H1937</f>
        <v>80.8671453308293</v>
      </c>
      <c r="I1939" s="6" t="n">
        <f aca="false">Sens!I1938*Sens!I1937</f>
        <v>137.530342159357</v>
      </c>
      <c r="J1939" s="6" t="n">
        <f aca="false">Sens!J1938*Sens!J1937</f>
        <v>185.120772562387</v>
      </c>
      <c r="K1939" s="6" t="n">
        <f aca="false">Sens!K1938*Sens!K1937</f>
        <v>194.210828211912</v>
      </c>
    </row>
    <row r="1940" customFormat="false" ht="17.15" hidden="false" customHeight="false" outlineLevel="0" collapsed="false">
      <c r="A1940" s="1" t="s">
        <v>1047</v>
      </c>
      <c r="B1940" s="0" t="s">
        <v>98</v>
      </c>
      <c r="C1940" s="6" t="n">
        <f aca="false">SUM(Sens!F1939:K1939)</f>
        <v>626.106665892795</v>
      </c>
    </row>
    <row r="1941" customFormat="false" ht="17.15" hidden="false" customHeight="false" outlineLevel="0" collapsed="false">
      <c r="A1941" s="1" t="s">
        <v>1048</v>
      </c>
      <c r="B1941" s="0" t="s">
        <v>98</v>
      </c>
      <c r="C1941" s="6" t="n">
        <f aca="false">Sens!K1882*(1+g_tv)*(1-tax_f)</f>
        <v>343.69625554057</v>
      </c>
    </row>
    <row r="1942" customFormat="false" ht="17.15" hidden="false" customHeight="false" outlineLevel="0" collapsed="false">
      <c r="A1942" s="1" t="s">
        <v>1049</v>
      </c>
      <c r="B1942" s="0" t="s">
        <v>98</v>
      </c>
      <c r="C1942" s="6" t="n">
        <f aca="false">Sens!$C$1941*(1-g_tv/(wacc+ronic_prem))</f>
        <v>243.526772320926</v>
      </c>
    </row>
    <row r="1943" customFormat="false" ht="17.15" hidden="false" customHeight="false" outlineLevel="0" collapsed="false">
      <c r="A1943" s="1" t="s">
        <v>1050</v>
      </c>
      <c r="B1943" s="0" t="s">
        <v>98</v>
      </c>
      <c r="C1943" s="6" t="n">
        <f aca="false">Sens!$C$1942/(wacc-g_tv)</f>
        <v>3338.98277398813</v>
      </c>
    </row>
    <row r="1944" customFormat="false" ht="15" hidden="false" customHeight="false" outlineLevel="0" collapsed="false">
      <c r="A1944" s="1" t="s">
        <v>1051</v>
      </c>
      <c r="B1944" s="0" t="s">
        <v>98</v>
      </c>
      <c r="C1944" s="6" t="n">
        <f aca="false">Sens!$C$1943/(1+wacc)^(Sens!K1936+mid_yr)</f>
        <v>1854.88093230217</v>
      </c>
    </row>
    <row r="1945" customFormat="false" ht="17.15" hidden="false" customHeight="false" outlineLevel="0" collapsed="false">
      <c r="A1945" s="0" t="s">
        <v>972</v>
      </c>
      <c r="B1945" s="0" t="s">
        <v>98</v>
      </c>
      <c r="C1945" s="6" t="n">
        <f aca="false">Sens!$C$1940+Sens!$C$1944</f>
        <v>2480.98759819497</v>
      </c>
    </row>
    <row r="1946" customFormat="false" ht="15" hidden="false" customHeight="false" outlineLevel="0" collapsed="false">
      <c r="A1946" s="1" t="s">
        <v>973</v>
      </c>
      <c r="B1946" s="0" t="s">
        <v>129</v>
      </c>
      <c r="C1946" s="7" t="n">
        <f aca="false">Sens!$C$1944/Sens!$C$1945</f>
        <v>0.747638131545552</v>
      </c>
    </row>
    <row r="1947" customFormat="false" ht="17.15" hidden="false" customHeight="false" outlineLevel="0" collapsed="false">
      <c r="A1947" s="1" t="s">
        <v>1052</v>
      </c>
      <c r="B1947" s="0" t="s">
        <v>98</v>
      </c>
      <c r="C1947" s="6" t="n">
        <f aca="false">Sens!$C$1945+Sens!E1927-Sens!E1916+oai_v</f>
        <v>2615.50059819497</v>
      </c>
    </row>
    <row r="1948" customFormat="false" ht="17.15" hidden="false" customHeight="false" outlineLevel="0" collapsed="false">
      <c r="A1948" s="0" t="s">
        <v>980</v>
      </c>
      <c r="B1948" s="0" t="s">
        <v>75</v>
      </c>
      <c r="C1948" s="5" t="n">
        <f aca="false">Sens!$C$1947/sh_dil26</f>
        <v>350.932590660804</v>
      </c>
    </row>
    <row r="1949" customFormat="false" ht="15" hidden="false" customHeight="false" outlineLevel="0" collapsed="false">
      <c r="A1949" s="1" t="s">
        <v>1053</v>
      </c>
      <c r="B1949" s="0" t="s">
        <v>75</v>
      </c>
      <c r="C1949" s="8" t="n">
        <f aca="false">dps_27+Sens!G1919*roll_div_q/q_per_yr</f>
        <v>4.8895</v>
      </c>
    </row>
    <row r="1950" customFormat="false" ht="17.15" hidden="false" customHeight="false" outlineLevel="0" collapsed="false">
      <c r="A1950" s="0" t="s">
        <v>1054</v>
      </c>
      <c r="B1950" s="0" t="s">
        <v>75</v>
      </c>
      <c r="C1950" s="5" t="n">
        <f aca="false">Sens!$C$1948*(1+wacc)^t_roll-Sens!$C$1949</f>
        <v>394.729158458227</v>
      </c>
    </row>
    <row r="1951" customFormat="false" ht="17.15" hidden="false" customHeight="false" outlineLevel="0" collapsed="false">
      <c r="A1951" s="1" t="s">
        <v>1055</v>
      </c>
      <c r="B1951" s="0" t="s">
        <v>129</v>
      </c>
      <c r="F1951" s="7" t="n">
        <f aca="false">Sens!F1908/(Sens!F1853-Sens!F1809)</f>
        <v>0.0596909303067126</v>
      </c>
      <c r="G1951" s="7" t="n">
        <f aca="false">Sens!G1908/(Sens!G1853-Sens!G1809)</f>
        <v>0.0582698120162661</v>
      </c>
      <c r="H1951" s="7" t="n">
        <f aca="false">Sens!H1908/(Sens!H1853-Sens!H1809)</f>
        <v>0.0579229108286206</v>
      </c>
      <c r="I1951" s="7" t="n">
        <f aca="false">Sens!I1908/(Sens!I1853-Sens!I1809)</f>
        <v>0.0586229084598257</v>
      </c>
      <c r="J1951" s="7" t="n">
        <f aca="false">Sens!J1908/(Sens!J1853-Sens!J1809)</f>
        <v>0.0601104164449862</v>
      </c>
      <c r="K1951" s="7" t="n">
        <f aca="false">Sens!K1908/(Sens!K1853-Sens!K1809)</f>
        <v>0.0620104437593174</v>
      </c>
    </row>
    <row r="1952" customFormat="false" ht="17.15" hidden="false" customHeight="false" outlineLevel="0" collapsed="false">
      <c r="A1952" s="0" t="s">
        <v>1056</v>
      </c>
      <c r="B1952" s="0" t="s">
        <v>98</v>
      </c>
      <c r="F1952" s="6" t="n">
        <f aca="false">Sens!F1838*(al_m365+Sens!F1951+sbc_r)</f>
        <v>83.9223450932951</v>
      </c>
      <c r="G1952" s="6" t="n">
        <f aca="false">Sens!G1838*(al_m365+Sens!G1951+sbc_r)</f>
        <v>98.4655402254608</v>
      </c>
      <c r="H1952" s="6" t="n">
        <f aca="false">Sens!H1838*(al_m365+Sens!H1951+sbc_r)</f>
        <v>113.17999276402</v>
      </c>
      <c r="I1952" s="6" t="n">
        <f aca="false">Sens!I1838*(al_m365+Sens!I1951+sbc_r)</f>
        <v>126.383481268495</v>
      </c>
      <c r="J1952" s="6" t="n">
        <f aca="false">Sens!J1838*(al_m365+Sens!J1951+sbc_r)</f>
        <v>137.882301923692</v>
      </c>
      <c r="K1952" s="6" t="n">
        <f aca="false">Sens!K1838*(al_m365+Sens!K1951+sbc_r)</f>
        <v>148.990292763217</v>
      </c>
      <c r="L1952" s="11" t="s">
        <v>1057</v>
      </c>
    </row>
    <row r="1953" customFormat="false" ht="17.15" hidden="false" customHeight="false" outlineLevel="0" collapsed="false">
      <c r="A1953" s="0" t="s">
        <v>1058</v>
      </c>
      <c r="B1953" s="0" t="s">
        <v>98</v>
      </c>
      <c r="F1953" s="6" t="n">
        <f aca="false">Sens!F1839*(al_lic+Sens!F1951+sbc_r)</f>
        <v>33.0969271083864</v>
      </c>
      <c r="G1953" s="6" t="n">
        <f aca="false">Sens!G1839*(al_lic+Sens!G1951+sbc_r)</f>
        <v>34.4405156302578</v>
      </c>
      <c r="H1953" s="6" t="n">
        <f aca="false">Sens!H1839*(al_lic+Sens!H1951+sbc_r)</f>
        <v>35.6918401045486</v>
      </c>
      <c r="I1953" s="6" t="n">
        <f aca="false">Sens!I1839*(al_lic+Sens!I1951+sbc_r)</f>
        <v>36.8349090248432</v>
      </c>
      <c r="J1953" s="6" t="n">
        <f aca="false">Sens!J1839*(al_lic+Sens!J1951+sbc_r)</f>
        <v>37.8437925522416</v>
      </c>
      <c r="K1953" s="6" t="n">
        <f aca="false">Sens!K1839*(al_lic+Sens!K1951+sbc_r)</f>
        <v>38.6872087335246</v>
      </c>
    </row>
    <row r="1954" customFormat="false" ht="17.15" hidden="false" customHeight="false" outlineLevel="0" collapsed="false">
      <c r="A1954" s="0" t="s">
        <v>1059</v>
      </c>
      <c r="B1954" s="0" t="s">
        <v>98</v>
      </c>
      <c r="F1954" s="6" t="n">
        <f aca="false">Sens!F1841*(al_ind+Sens!F1951+sbc_r)</f>
        <v>8.87746009298676</v>
      </c>
      <c r="G1954" s="6" t="n">
        <f aca="false">Sens!G1841*(al_ind+Sens!G1951+sbc_r)</f>
        <v>9.66943301225405</v>
      </c>
      <c r="H1954" s="6" t="n">
        <f aca="false">Sens!H1841*(al_ind+Sens!H1951+sbc_r)</f>
        <v>10.504771273953</v>
      </c>
      <c r="I1954" s="6" t="n">
        <f aca="false">Sens!I1841*(al_ind+Sens!I1951+sbc_r)</f>
        <v>11.3816798203145</v>
      </c>
      <c r="J1954" s="6" t="n">
        <f aca="false">Sens!J1841*(al_ind+Sens!J1951+sbc_r)</f>
        <v>12.290187324415</v>
      </c>
      <c r="K1954" s="6" t="n">
        <f aca="false">Sens!K1841*(al_ind+Sens!K1951+sbc_r)</f>
        <v>13.2133601852594</v>
      </c>
    </row>
    <row r="1955" customFormat="false" ht="17.15" hidden="false" customHeight="false" outlineLevel="0" collapsed="false">
      <c r="A1955" s="0" t="s">
        <v>1060</v>
      </c>
      <c r="B1955" s="0" t="s">
        <v>98</v>
      </c>
      <c r="F1955" s="6" t="n">
        <f aca="false">Sens!F1843*(al_fro+Sens!F1951+sbc_r)</f>
        <v>3.49419945959476</v>
      </c>
      <c r="G1955" s="6" t="n">
        <f aca="false">Sens!G1843*(al_fro+Sens!G1951+sbc_r)</f>
        <v>3.71249060364488</v>
      </c>
      <c r="H1955" s="6" t="n">
        <f aca="false">Sens!H1843*(al_fro+Sens!H1951+sbc_r)</f>
        <v>3.95855736864969</v>
      </c>
      <c r="I1955" s="6" t="n">
        <f aca="false">Sens!I1843*(al_fro+Sens!I1951+sbc_r)</f>
        <v>4.23579800038558</v>
      </c>
      <c r="J1955" s="6" t="n">
        <f aca="false">Sens!J1843*(al_fro+Sens!J1951+sbc_r)</f>
        <v>4.54538358359117</v>
      </c>
      <c r="K1955" s="6" t="n">
        <f aca="false">Sens!K1843*(al_fro+Sens!K1951+sbc_r)</f>
        <v>4.88680838499865</v>
      </c>
    </row>
    <row r="1956" customFormat="false" ht="17.15" hidden="false" customHeight="false" outlineLevel="0" collapsed="false">
      <c r="A1956" s="0" t="s">
        <v>1061</v>
      </c>
      <c r="B1956" s="0" t="s">
        <v>98</v>
      </c>
      <c r="F1956" s="6" t="n">
        <f aca="false">Sens!F1846*(al_srch+Sens!F1951+sbc_r)</f>
        <v>10.9637914768433</v>
      </c>
      <c r="G1956" s="6" t="n">
        <f aca="false">Sens!G1846*(al_srch+Sens!G1951+sbc_r)</f>
        <v>12.0545658440406</v>
      </c>
      <c r="H1956" s="6" t="n">
        <f aca="false">Sens!H1846*(al_srch+Sens!H1951+sbc_r)</f>
        <v>13.1891215104818</v>
      </c>
      <c r="I1956" s="6" t="n">
        <f aca="false">Sens!I1846*(al_srch+Sens!I1951+sbc_r)</f>
        <v>14.3582490760646</v>
      </c>
      <c r="J1956" s="6" t="n">
        <f aca="false">Sens!J1846*(al_srch+Sens!J1951+sbc_r)</f>
        <v>15.5415140350624</v>
      </c>
      <c r="K1956" s="6" t="n">
        <f aca="false">Sens!K1846*(al_srch+Sens!K1951+sbc_r)</f>
        <v>16.7089090954371</v>
      </c>
    </row>
    <row r="1957" customFormat="false" ht="17.15" hidden="false" customHeight="false" outlineLevel="0" collapsed="false">
      <c r="A1957" s="0" t="s">
        <v>1062</v>
      </c>
      <c r="B1957" s="0" t="s">
        <v>98</v>
      </c>
      <c r="F1957" s="6" t="n">
        <f aca="false">Sens!F1815-Sens!F1816+Sens!F1896</f>
        <v>65.526987543561</v>
      </c>
      <c r="G1957" s="6" t="n">
        <f aca="false">Sens!G1815-Sens!G1816+Sens!G1896</f>
        <v>117.110078174396</v>
      </c>
      <c r="H1957" s="6" t="n">
        <f aca="false">Sens!H1815-Sens!H1816+Sens!H1896</f>
        <v>176.736077794518</v>
      </c>
      <c r="I1957" s="6" t="n">
        <f aca="false">Sens!I1815-Sens!I1816+Sens!I1896</f>
        <v>225.238361060916</v>
      </c>
      <c r="J1957" s="6" t="n">
        <f aca="false">Sens!J1815-Sens!J1816+Sens!J1896</f>
        <v>259.423970416665</v>
      </c>
      <c r="K1957" s="6" t="n">
        <f aca="false">Sens!K1815-Sens!K1816+Sens!K1896</f>
        <v>280.282500454793</v>
      </c>
    </row>
    <row r="1958" customFormat="false" ht="17.15" hidden="false" customHeight="false" outlineLevel="0" collapsed="false">
      <c r="A1958" s="0" t="s">
        <v>1063</v>
      </c>
      <c r="B1958" s="0" t="s">
        <v>98</v>
      </c>
      <c r="F1958" s="6" t="n">
        <f aca="false">Sens!F1875+Sens!F1896+Sens!F1826+Sens!F1951*(Sens!F1845-Sens!F1809)+sbc_r*Sens!F1845</f>
        <v>260.947556732296</v>
      </c>
      <c r="G1958" s="6" t="n">
        <f aca="false">Sens!G1875+Sens!G1896+Sens!G1826+Sens!G1951*(Sens!G1845-Sens!G1809)+sbc_r*Sens!G1845</f>
        <v>342.865791363539</v>
      </c>
      <c r="H1958" s="6" t="n">
        <f aca="false">Sens!H1875+Sens!H1896+Sens!H1826+Sens!H1951*(Sens!H1845-Sens!H1809)+sbc_r*Sens!H1845</f>
        <v>433.534144425692</v>
      </c>
      <c r="I1958" s="6" t="n">
        <f aca="false">Sens!I1875+Sens!I1896+Sens!I1826+Sens!I1951*(Sens!I1845-Sens!I1809)+sbc_r*Sens!I1845</f>
        <v>510.938065808144</v>
      </c>
      <c r="J1958" s="6" t="n">
        <f aca="false">Sens!J1875+Sens!J1896+Sens!J1826+Sens!J1951*(Sens!J1845-Sens!J1809)+sbc_r*Sens!J1845</f>
        <v>570.961618940806</v>
      </c>
      <c r="K1958" s="6" t="n">
        <f aca="false">Sens!K1875+Sens!K1896+Sens!K1826+Sens!K1951*(Sens!K1845-Sens!K1809)+sbc_r*Sens!K1845</f>
        <v>615.1517447902</v>
      </c>
    </row>
    <row r="1959" customFormat="false" ht="17.15" hidden="false" customHeight="false" outlineLevel="0" collapsed="false">
      <c r="A1959" s="0" t="s">
        <v>1064</v>
      </c>
      <c r="B1959" s="0" t="s">
        <v>98</v>
      </c>
      <c r="F1959" s="6" t="n">
        <f aca="false">Sens!F1958-Sens!F1952-Sens!F1953-Sens!F1954-Sens!F1955-Sens!F1957</f>
        <v>66.0296374344719</v>
      </c>
      <c r="G1959" s="6" t="n">
        <f aca="false">Sens!G1958-Sens!G1952-Sens!G1953-Sens!G1954-Sens!G1955-Sens!G1957</f>
        <v>79.467733717525</v>
      </c>
      <c r="H1959" s="6" t="n">
        <f aca="false">Sens!H1958-Sens!H1952-Sens!H1953-Sens!H1954-Sens!H1955-Sens!H1957</f>
        <v>93.4629051200021</v>
      </c>
      <c r="I1959" s="6" t="n">
        <f aca="false">Sens!I1958-Sens!I1952-Sens!I1953-Sens!I1954-Sens!I1955-Sens!I1957</f>
        <v>106.863836633189</v>
      </c>
      <c r="J1959" s="6" t="n">
        <f aca="false">Sens!J1958-Sens!J1952-Sens!J1953-Sens!J1954-Sens!J1955-Sens!J1957</f>
        <v>118.975983140201</v>
      </c>
      <c r="K1959" s="6" t="n">
        <f aca="false">Sens!K1958-Sens!K1952-Sens!K1953-Sens!K1954-Sens!K1955-Sens!K1957</f>
        <v>129.091574268407</v>
      </c>
    </row>
    <row r="1960" customFormat="false" ht="17.15" hidden="false" customHeight="false" outlineLevel="0" collapsed="false">
      <c r="A1960" s="0" t="s">
        <v>1065</v>
      </c>
      <c r="B1960" s="0" t="s">
        <v>98</v>
      </c>
      <c r="F1960" s="6" t="n">
        <f aca="false">Sens!F1877+Sens!F1951*Sens!F1852+sbc_r*Sens!F1852</f>
        <v>25.6189737841472</v>
      </c>
      <c r="G1960" s="6" t="n">
        <f aca="false">Sens!G1877+Sens!G1951*Sens!G1852+sbc_r*Sens!G1852</f>
        <v>26.303766402566</v>
      </c>
      <c r="H1960" s="6" t="n">
        <f aca="false">Sens!H1877+Sens!H1951*Sens!H1852+sbc_r*Sens!H1852</f>
        <v>27.2402537657917</v>
      </c>
      <c r="I1960" s="6" t="n">
        <f aca="false">Sens!I1877+Sens!I1951*Sens!I1852+sbc_r*Sens!I1852</f>
        <v>28.4053983040187</v>
      </c>
      <c r="J1960" s="6" t="n">
        <f aca="false">Sens!J1877+Sens!J1951*Sens!J1852+sbc_r*Sens!J1852</f>
        <v>29.7655270250454</v>
      </c>
      <c r="K1960" s="6" t="n">
        <f aca="false">Sens!K1877+Sens!K1951*Sens!K1852+sbc_r*Sens!K1852</f>
        <v>31.2807378973766</v>
      </c>
    </row>
    <row r="1961" customFormat="false" ht="17.15" hidden="false" customHeight="false" outlineLevel="0" collapsed="false">
      <c r="A1961" s="0" t="s">
        <v>1066</v>
      </c>
      <c r="B1961" s="0" t="s">
        <v>98</v>
      </c>
      <c r="F1961" s="6" t="n">
        <f aca="false">(Sens!F1960-Sens!F1956)*Sens!F1848/(Sens!F1848+Sens!F1850)</f>
        <v>8.03382820145665</v>
      </c>
      <c r="G1961" s="6" t="n">
        <f aca="false">(Sens!G1960-Sens!G1956)*Sens!G1848/(Sens!G1848+Sens!G1850)</f>
        <v>7.67199845501236</v>
      </c>
      <c r="H1961" s="6" t="n">
        <f aca="false">(Sens!H1960-Sens!H1956)*Sens!H1848/(Sens!H1848+Sens!H1850)</f>
        <v>7.46315999218682</v>
      </c>
      <c r="I1961" s="6" t="n">
        <f aca="false">(Sens!I1960-Sens!I1956)*Sens!I1848/(Sens!I1848+Sens!I1850)</f>
        <v>7.39353681019204</v>
      </c>
      <c r="J1961" s="6" t="n">
        <f aca="false">(Sens!J1960-Sens!J1956)*Sens!J1848/(Sens!J1848+Sens!J1850)</f>
        <v>7.45277253258619</v>
      </c>
      <c r="K1961" s="6" t="n">
        <f aca="false">(Sens!K1960-Sens!K1956)*Sens!K1848/(Sens!K1848+Sens!K1850)</f>
        <v>7.63501309518786</v>
      </c>
    </row>
    <row r="1962" customFormat="false" ht="17.15" hidden="false" customHeight="false" outlineLevel="0" collapsed="false">
      <c r="A1962" s="0" t="s">
        <v>1067</v>
      </c>
      <c r="B1962" s="0" t="s">
        <v>98</v>
      </c>
      <c r="F1962" s="6" t="n">
        <f aca="false">Sens!F1960-Sens!F1956-Sens!F1961</f>
        <v>6.6213541058473</v>
      </c>
      <c r="G1962" s="6" t="n">
        <f aca="false">Sens!G1960-Sens!G1956-Sens!G1961</f>
        <v>6.57720210351308</v>
      </c>
      <c r="H1962" s="6" t="n">
        <f aca="false">Sens!H1960-Sens!H1956-Sens!H1961</f>
        <v>6.58797226312305</v>
      </c>
      <c r="I1962" s="6" t="n">
        <f aca="false">Sens!I1960-Sens!I1956-Sens!I1961</f>
        <v>6.65361241776203</v>
      </c>
      <c r="J1962" s="6" t="n">
        <f aca="false">Sens!J1960-Sens!J1956-Sens!J1961</f>
        <v>6.77124045739684</v>
      </c>
      <c r="K1962" s="6" t="n">
        <f aca="false">Sens!K1960-Sens!K1956-Sens!K1961</f>
        <v>6.9368157067516</v>
      </c>
    </row>
    <row r="1963" customFormat="false" ht="17.15" hidden="false" customHeight="false" outlineLevel="0" collapsed="false">
      <c r="A1963" s="0" t="s">
        <v>1068</v>
      </c>
      <c r="B1963" s="0" t="s">
        <v>98</v>
      </c>
      <c r="F1963" s="6" t="n">
        <f aca="false">Sens!F1957-tax_f*(Sens!F1957-Sens!F1826)-Sens!F1823</f>
        <v>-131.805888039482</v>
      </c>
      <c r="G1963" s="6" t="n">
        <f aca="false">Sens!G1957-tax_f*(Sens!G1957-Sens!G1826)-Sens!G1823</f>
        <v>-112.4108491338</v>
      </c>
      <c r="H1963" s="6" t="n">
        <f aca="false">Sens!H1957-tax_f*(Sens!H1957-Sens!H1826)-Sens!H1823</f>
        <v>-63.580836094471</v>
      </c>
      <c r="I1963" s="6" t="n">
        <f aca="false">Sens!I1957-tax_f*(Sens!I1957-Sens!I1826)-Sens!I1823</f>
        <v>10.2880643834126</v>
      </c>
      <c r="J1963" s="6" t="n">
        <f aca="false">Sens!J1957-tax_f*(Sens!J1957-Sens!J1826)-Sens!J1823</f>
        <v>88.7967838171045</v>
      </c>
      <c r="K1963" s="6" t="n">
        <f aca="false">Sens!K1957-tax_f*(Sens!K1957-Sens!K1826)-Sens!K1823</f>
        <v>119.458601750626</v>
      </c>
    </row>
    <row r="1964" customFormat="false" ht="17.15" hidden="false" customHeight="false" outlineLevel="0" collapsed="false">
      <c r="A1964" s="0" t="s">
        <v>1069</v>
      </c>
      <c r="B1964" s="0" t="s">
        <v>98</v>
      </c>
      <c r="F1964" s="6" t="n">
        <f aca="false">Sens!F1963*Sens!F1937</f>
        <v>-125.504693193745</v>
      </c>
      <c r="G1964" s="6" t="n">
        <f aca="false">Sens!G1963*Sens!G1937</f>
        <v>-97.0473526956097</v>
      </c>
      <c r="H1964" s="6" t="n">
        <f aca="false">Sens!H1963*Sens!H1937</f>
        <v>-49.7682086309195</v>
      </c>
      <c r="I1964" s="6" t="n">
        <f aca="false">Sens!I1963*Sens!I1937</f>
        <v>7.30146079198932</v>
      </c>
      <c r="J1964" s="6" t="n">
        <f aca="false">Sens!J1963*Sens!J1937</f>
        <v>57.137815165211</v>
      </c>
      <c r="K1964" s="6" t="n">
        <f aca="false">Sens!K1963*Sens!K1937</f>
        <v>69.6937977179494</v>
      </c>
    </row>
    <row r="1965" customFormat="false" ht="17.15" hidden="false" customHeight="false" outlineLevel="0" collapsed="false">
      <c r="A1965" s="0" t="s">
        <v>1070</v>
      </c>
      <c r="B1965" s="0" t="s">
        <v>98</v>
      </c>
      <c r="C1965" s="6" t="n">
        <f aca="false">(Sens!K1957-Sens!K1826)*(1-tax_f)*(1+g_tv)*(1-g_tv/(wacc+ronic_prem))/(wacc-g_tv)/(1+wacc)^(Sens!K1936+mid_yr)</f>
        <v>508.573269764142</v>
      </c>
    </row>
    <row r="1966" customFormat="false" ht="17.15" hidden="false" customHeight="false" outlineLevel="0" collapsed="false">
      <c r="A1966" s="1" t="s">
        <v>1071</v>
      </c>
      <c r="B1966" s="0" t="s">
        <v>98</v>
      </c>
      <c r="C1966" s="6" t="n">
        <f aca="false">(SUM(Sens!F1964:K1964)+Sens!$C$1965)*(1+wacc)^t_roll</f>
        <v>421.771006467936</v>
      </c>
      <c r="L1966" s="11" t="s">
        <v>1072</v>
      </c>
    </row>
    <row r="1967" customFormat="false" ht="17.15" hidden="false" customHeight="false" outlineLevel="0" collapsed="false">
      <c r="A1967" s="1" t="s">
        <v>1073</v>
      </c>
      <c r="B1967" s="0" t="s">
        <v>98</v>
      </c>
      <c r="C1967" s="6" t="n">
        <f aca="false">(w_ntm28*Sens!G1815+(1-w_ntm28)*Sens!H1815)*m_ai</f>
        <v>551.711134531404</v>
      </c>
    </row>
    <row r="1968" customFormat="false" ht="17.15" hidden="false" customHeight="false" outlineLevel="0" collapsed="false">
      <c r="A1968" s="1" t="s">
        <v>1074</v>
      </c>
      <c r="B1968" s="0" t="s">
        <v>98</v>
      </c>
      <c r="C1968" s="6" t="n">
        <f aca="false">(w_ntm28*Sens!G1959+(1-w_ntm28)*Sens!H1959)*m_cloud</f>
        <v>1160.77220522634</v>
      </c>
    </row>
    <row r="1969" customFormat="false" ht="17.15" hidden="false" customHeight="false" outlineLevel="0" collapsed="false">
      <c r="A1969" s="1" t="s">
        <v>1075</v>
      </c>
      <c r="B1969" s="0" t="s">
        <v>98</v>
      </c>
      <c r="C1969" s="6" t="n">
        <f aca="false">(w_ntm28*Sens!G1952+(1-w_ntm28)*Sens!H1952)*m_sw</f>
        <v>1114.80344625728</v>
      </c>
    </row>
    <row r="1970" customFormat="false" ht="17.15" hidden="false" customHeight="false" outlineLevel="0" collapsed="false">
      <c r="A1970" s="1" t="s">
        <v>1076</v>
      </c>
      <c r="B1970" s="0" t="s">
        <v>98</v>
      </c>
      <c r="C1970" s="6" t="n">
        <f aca="false">(w_ntm28*Sens!G1953+(1-w_ntm28)*Sens!H1953)*m_sw</f>
        <v>376.326576779486</v>
      </c>
    </row>
    <row r="1971" customFormat="false" ht="17.15" hidden="false" customHeight="false" outlineLevel="0" collapsed="false">
      <c r="A1971" s="1" t="s">
        <v>1077</v>
      </c>
      <c r="B1971" s="0" t="s">
        <v>98</v>
      </c>
      <c r="C1971" s="6" t="n">
        <f aca="false">(w_ntm28*Sens!G1954+(1-w_ntm28)*Sens!H1954)*m_sw</f>
        <v>107.346465794561</v>
      </c>
    </row>
    <row r="1972" customFormat="false" ht="17.15" hidden="false" customHeight="false" outlineLevel="0" collapsed="false">
      <c r="A1972" s="1" t="s">
        <v>1078</v>
      </c>
      <c r="B1972" s="0" t="s">
        <v>98</v>
      </c>
      <c r="C1972" s="6" t="n">
        <f aca="false">(w_ntm28*Sens!G1955+(1-w_ntm28)*Sens!H1955)*m_sw</f>
        <v>40.9540423147678</v>
      </c>
    </row>
    <row r="1973" customFormat="false" ht="17.15" hidden="false" customHeight="false" outlineLevel="0" collapsed="false">
      <c r="A1973" s="1" t="s">
        <v>1079</v>
      </c>
      <c r="B1973" s="0" t="s">
        <v>98</v>
      </c>
      <c r="C1973" s="6" t="n">
        <f aca="false">(w_ntm28*Sens!G1956+(1-w_ntm28)*Sens!H1956)*m_ads</f>
        <v>113.158532237322</v>
      </c>
    </row>
    <row r="1974" customFormat="false" ht="17.15" hidden="false" customHeight="false" outlineLevel="0" collapsed="false">
      <c r="A1974" s="1" t="s">
        <v>1080</v>
      </c>
      <c r="B1974" s="0" t="s">
        <v>98</v>
      </c>
      <c r="C1974" s="6" t="n">
        <f aca="false">(w_ntm28*Sens!G1961+(1-w_ntm28)*Sens!H1961)*m_game</f>
        <v>96.0446272958817</v>
      </c>
    </row>
    <row r="1975" customFormat="false" ht="17.15" hidden="false" customHeight="false" outlineLevel="0" collapsed="false">
      <c r="A1975" s="1" t="s">
        <v>1081</v>
      </c>
      <c r="B1975" s="0" t="s">
        <v>98</v>
      </c>
      <c r="C1975" s="6" t="n">
        <f aca="false">(w_ntm28*Sens!G1962+(1-w_ntm28)*Sens!H1962)*m_pc</f>
        <v>95.2224969494169</v>
      </c>
    </row>
    <row r="1976" customFormat="false" ht="17.15" hidden="false" customHeight="false" outlineLevel="0" collapsed="false">
      <c r="A1976" s="1" t="s">
        <v>1082</v>
      </c>
      <c r="B1976" s="0" t="s">
        <v>98</v>
      </c>
      <c r="C1976" s="6" t="n">
        <f aca="false">Sens!$C$1966+Sens!$C$1968+Sens!$C$1969+Sens!$C$1970+Sens!$C$1971+Sens!$C$1972+Sens!$C$1973+Sens!$C$1974+Sens!$C$1975</f>
        <v>3526.39939932299</v>
      </c>
    </row>
    <row r="1977" customFormat="false" ht="17.15" hidden="false" customHeight="false" outlineLevel="0" collapsed="false">
      <c r="A1977" s="1" t="s">
        <v>1000</v>
      </c>
      <c r="B1977" s="0" t="s">
        <v>98</v>
      </c>
      <c r="C1977" s="6" t="n">
        <f aca="false">Sens!F1927+oai_v-Sens!F1916</f>
        <v>91.3951802162111</v>
      </c>
      <c r="L1977" s="1" t="s">
        <v>1083</v>
      </c>
    </row>
    <row r="1978" customFormat="false" ht="15" hidden="false" customHeight="false" outlineLevel="0" collapsed="false">
      <c r="A1978" s="1" t="s">
        <v>1001</v>
      </c>
      <c r="B1978" s="0" t="s">
        <v>75</v>
      </c>
      <c r="C1978" s="5" t="n">
        <f aca="false">(Sens!$C$1976+Sens!$C$1977)/Sens!F1929</f>
        <v>484.180216747752</v>
      </c>
    </row>
    <row r="1979" customFormat="false" ht="17.15" hidden="false" customHeight="false" outlineLevel="0" collapsed="false">
      <c r="A1979" s="1" t="s">
        <v>1084</v>
      </c>
      <c r="B1979" s="0" t="s">
        <v>75</v>
      </c>
      <c r="C1979" s="5" t="n">
        <f aca="false">w_dcf*Sens!$C$1950+(1-w_dcf)*Sens!$C$1978</f>
        <v>439.454687602989</v>
      </c>
    </row>
    <row r="1980" customFormat="false" ht="17.15" hidden="false" customHeight="false" outlineLevel="0" collapsed="false">
      <c r="A1980" s="3" t="s">
        <v>1284</v>
      </c>
    </row>
    <row r="1981" customFormat="false" ht="15" hidden="false" customHeight="false" outlineLevel="0" collapsed="false">
      <c r="A1981" s="4" t="s">
        <v>43</v>
      </c>
      <c r="B1981" s="4" t="s">
        <v>65</v>
      </c>
      <c r="C1981" s="20" t="s">
        <v>788</v>
      </c>
      <c r="D1981" s="20" t="s">
        <v>789</v>
      </c>
      <c r="E1981" s="20" t="s">
        <v>790</v>
      </c>
      <c r="F1981" s="20" t="s">
        <v>791</v>
      </c>
      <c r="G1981" s="20" t="s">
        <v>792</v>
      </c>
      <c r="H1981" s="20" t="s">
        <v>793</v>
      </c>
      <c r="I1981" s="20" t="s">
        <v>794</v>
      </c>
      <c r="J1981" s="20" t="s">
        <v>795</v>
      </c>
      <c r="K1981" s="20" t="s">
        <v>796</v>
      </c>
      <c r="L1981" s="4" t="s">
        <v>47</v>
      </c>
    </row>
    <row r="1982" customFormat="false" ht="17.15" hidden="false" customHeight="false" outlineLevel="0" collapsed="false">
      <c r="A1982" s="1" t="s">
        <v>797</v>
      </c>
      <c r="B1982" s="1" t="s">
        <v>235</v>
      </c>
      <c r="C1982" s="28" t="n">
        <v>2024</v>
      </c>
      <c r="D1982" s="28" t="n">
        <v>2025</v>
      </c>
      <c r="E1982" s="28" t="n">
        <v>2026</v>
      </c>
      <c r="F1982" s="28" t="n">
        <v>2027</v>
      </c>
      <c r="G1982" s="28" t="n">
        <v>2028</v>
      </c>
      <c r="H1982" s="28" t="n">
        <v>2029</v>
      </c>
      <c r="I1982" s="28" t="n">
        <v>2030</v>
      </c>
      <c r="J1982" s="28" t="n">
        <v>2031</v>
      </c>
      <c r="K1982" s="28" t="n">
        <v>2032</v>
      </c>
    </row>
    <row r="1983" customFormat="false" ht="17.15" hidden="false" customHeight="false" outlineLevel="0" collapsed="false">
      <c r="A1983" s="1" t="s">
        <v>798</v>
      </c>
      <c r="B1983" s="0" t="s">
        <v>392</v>
      </c>
      <c r="F1983" s="29" t="n">
        <f aca="false">pace</f>
        <v>2527.2</v>
      </c>
      <c r="G1983" s="29" t="n">
        <f aca="false">pace</f>
        <v>2527.2</v>
      </c>
      <c r="H1983" s="29" t="n">
        <f aca="false">pace</f>
        <v>2527.2</v>
      </c>
      <c r="I1983" s="29" t="n">
        <f aca="false">pace+(g_tv*Sens!H1984-pace)*MIN(1,(Sens!I1982-pace_y0)/(pace_y1-pace_y0))</f>
        <v>1793.116</v>
      </c>
      <c r="J1983" s="29" t="n">
        <f aca="false">pace+(g_tv*Sens!H1984-pace)*MIN(1,(Sens!J1982-pace_y0)/(pace_y1-pace_y0))</f>
        <v>1059.032</v>
      </c>
      <c r="K1983" s="29" t="n">
        <f aca="false">pace+(g_tv*Sens!H1984-pace)*MIN(1,(Sens!K1982-pace_y0)/(pace_y1-pace_y0))</f>
        <v>324.948</v>
      </c>
      <c r="L1983" s="11" t="s">
        <v>799</v>
      </c>
    </row>
    <row r="1984" customFormat="false" ht="17.15" hidden="false" customHeight="false" outlineLevel="0" collapsed="false">
      <c r="A1984" s="1" t="s">
        <v>800</v>
      </c>
      <c r="B1984" s="0" t="s">
        <v>392</v>
      </c>
      <c r="C1984" s="29" t="n">
        <f aca="false">mw_ext_24</f>
        <v>640</v>
      </c>
      <c r="D1984" s="29" t="n">
        <f aca="false">mw_ext_25</f>
        <v>1630</v>
      </c>
      <c r="E1984" s="29" t="n">
        <f aca="false">mw_ext_26</f>
        <v>3250</v>
      </c>
      <c r="F1984" s="29" t="n">
        <f aca="false">Sens!E1984+Sens!F1983</f>
        <v>5777.2</v>
      </c>
      <c r="G1984" s="29" t="n">
        <f aca="false">Sens!F1984+Sens!G1983</f>
        <v>8304.4</v>
      </c>
      <c r="H1984" s="29" t="n">
        <f aca="false">Sens!G1984+Sens!H1983</f>
        <v>10831.6</v>
      </c>
      <c r="I1984" s="29" t="n">
        <f aca="false">Sens!H1984+Sens!I1983</f>
        <v>12624.716</v>
      </c>
      <c r="J1984" s="29" t="n">
        <f aca="false">Sens!I1984+Sens!J1983</f>
        <v>13683.748</v>
      </c>
      <c r="K1984" s="29" t="n">
        <f aca="false">Sens!J1984+Sens!K1983</f>
        <v>14008.696</v>
      </c>
      <c r="L1984" s="1" t="s">
        <v>801</v>
      </c>
    </row>
    <row r="1985" customFormat="false" ht="17.15" hidden="false" customHeight="false" outlineLevel="0" collapsed="false">
      <c r="A1985" s="1" t="s">
        <v>802</v>
      </c>
      <c r="B1985" s="0" t="s">
        <v>392</v>
      </c>
      <c r="C1985" s="29" t="n">
        <f aca="false">rent_ext_24</f>
        <v>150</v>
      </c>
      <c r="D1985" s="29" t="n">
        <f aca="false">rent_ext_25</f>
        <v>400</v>
      </c>
      <c r="E1985" s="29" t="n">
        <f aca="false">rent_ext_26</f>
        <v>550</v>
      </c>
      <c r="F1985" s="29" t="n">
        <f aca="false">rent_ext_f</f>
        <v>756</v>
      </c>
      <c r="G1985" s="29" t="n">
        <f aca="false">rent_ext_f</f>
        <v>756</v>
      </c>
      <c r="H1985" s="29" t="n">
        <f aca="false">rent_ext_f</f>
        <v>756</v>
      </c>
      <c r="I1985" s="29" t="n">
        <f aca="false">rent_ext_f</f>
        <v>756</v>
      </c>
      <c r="J1985" s="29" t="n">
        <f aca="false">rent_ext_f</f>
        <v>756</v>
      </c>
      <c r="K1985" s="29" t="n">
        <f aca="false">rent_ext_f</f>
        <v>756</v>
      </c>
      <c r="L1985" s="1" t="s">
        <v>803</v>
      </c>
    </row>
    <row r="1986" customFormat="false" ht="17.15" hidden="false" customHeight="false" outlineLevel="0" collapsed="false">
      <c r="A1986" s="1" t="s">
        <v>804</v>
      </c>
      <c r="B1986" s="0" t="s">
        <v>392</v>
      </c>
      <c r="C1986" s="29" t="n">
        <f aca="false">Sens!C1984-Sens!C1985</f>
        <v>490</v>
      </c>
      <c r="D1986" s="29" t="n">
        <f aca="false">Sens!D1984-Sens!D1985</f>
        <v>1230</v>
      </c>
      <c r="E1986" s="29" t="n">
        <f aca="false">Sens!E1984-Sens!E1985</f>
        <v>2700</v>
      </c>
      <c r="F1986" s="29" t="n">
        <f aca="false">Sens!F1984-Sens!F1985</f>
        <v>5021.2</v>
      </c>
      <c r="G1986" s="29" t="n">
        <f aca="false">Sens!G1984-Sens!G1985</f>
        <v>7548.4</v>
      </c>
      <c r="H1986" s="29" t="n">
        <f aca="false">Sens!H1984-Sens!H1985</f>
        <v>10075.6</v>
      </c>
      <c r="I1986" s="29" t="n">
        <f aca="false">Sens!I1984-Sens!I1985</f>
        <v>11868.716</v>
      </c>
      <c r="J1986" s="29" t="n">
        <f aca="false">Sens!J1984-Sens!J1985</f>
        <v>12927.748</v>
      </c>
      <c r="K1986" s="29" t="n">
        <f aca="false">Sens!K1984-Sens!K1985</f>
        <v>13252.696</v>
      </c>
    </row>
    <row r="1987" customFormat="false" ht="17.15" hidden="false" customHeight="false" outlineLevel="0" collapsed="false">
      <c r="A1987" s="1" t="s">
        <v>805</v>
      </c>
      <c r="B1987" s="0" t="s">
        <v>392</v>
      </c>
      <c r="C1987" s="29" t="n">
        <f aca="false">Sens!C1986/ext_sh_lo</f>
        <v>980</v>
      </c>
      <c r="D1987" s="29" t="n">
        <f aca="false">Sens!D1986/ext_sh_lo</f>
        <v>2460</v>
      </c>
      <c r="E1987" s="29" t="n">
        <f aca="false">Sens!E1986/ext_sh_lo</f>
        <v>5400</v>
      </c>
      <c r="F1987" s="29" t="n">
        <f aca="false">Sens!F1986/ext_sh_lo</f>
        <v>10042.4</v>
      </c>
      <c r="G1987" s="29" t="n">
        <f aca="false">Sens!G1986/ext_sh_lo</f>
        <v>15096.8</v>
      </c>
      <c r="H1987" s="29" t="n">
        <f aca="false">Sens!H1986/ext_sh_lo</f>
        <v>20151.2</v>
      </c>
      <c r="I1987" s="29" t="n">
        <f aca="false">Sens!I1986/ext_sh_lo</f>
        <v>23737.432</v>
      </c>
      <c r="J1987" s="29" t="n">
        <f aca="false">Sens!J1986/ext_sh_lo</f>
        <v>25855.496</v>
      </c>
      <c r="K1987" s="29" t="n">
        <f aca="false">Sens!K1986/ext_sh_lo</f>
        <v>26505.392</v>
      </c>
      <c r="L1987" s="1" t="s">
        <v>806</v>
      </c>
    </row>
    <row r="1988" customFormat="false" ht="17.15" hidden="false" customHeight="false" outlineLevel="0" collapsed="false">
      <c r="A1988" s="1" t="s">
        <v>807</v>
      </c>
      <c r="B1988" s="0" t="s">
        <v>392</v>
      </c>
      <c r="C1988" s="29" t="n">
        <f aca="false">Sens!C1987-Sens!C1986</f>
        <v>490</v>
      </c>
      <c r="D1988" s="29" t="n">
        <f aca="false">Sens!D1987-Sens!D1986</f>
        <v>1230</v>
      </c>
      <c r="E1988" s="29" t="n">
        <f aca="false">Sens!E1987-Sens!E1986</f>
        <v>2700</v>
      </c>
      <c r="F1988" s="29" t="n">
        <f aca="false">Sens!F1987-Sens!F1986</f>
        <v>5021.2</v>
      </c>
      <c r="G1988" s="29" t="n">
        <f aca="false">Sens!G1987-Sens!G1986</f>
        <v>7548.4</v>
      </c>
      <c r="H1988" s="29" t="n">
        <f aca="false">Sens!H1987-Sens!H1986</f>
        <v>10075.6</v>
      </c>
      <c r="I1988" s="29" t="n">
        <f aca="false">Sens!I1987-Sens!I1986</f>
        <v>11868.716</v>
      </c>
      <c r="J1988" s="29" t="n">
        <f aca="false">Sens!J1987-Sens!J1986</f>
        <v>12927.748</v>
      </c>
      <c r="K1988" s="29" t="n">
        <f aca="false">Sens!K1987-Sens!K1986</f>
        <v>13252.696</v>
      </c>
    </row>
    <row r="1989" customFormat="false" ht="17.15" hidden="false" customHeight="false" outlineLevel="0" collapsed="false">
      <c r="A1989" s="1" t="s">
        <v>808</v>
      </c>
      <c r="B1989" s="0" t="s">
        <v>392</v>
      </c>
      <c r="C1989" s="29" t="n">
        <f aca="false">Sens!C1987</f>
        <v>980</v>
      </c>
      <c r="D1989" s="29" t="n">
        <f aca="false">Sens!D1987-Sens!C1987</f>
        <v>1480</v>
      </c>
      <c r="E1989" s="29" t="n">
        <f aca="false">Sens!E1987-Sens!D1987</f>
        <v>2940</v>
      </c>
      <c r="F1989" s="29" t="n">
        <f aca="false">Sens!F1987-Sens!E1987</f>
        <v>4642.4</v>
      </c>
      <c r="G1989" s="29" t="n">
        <f aca="false">Sens!G1987-Sens!F1987</f>
        <v>5054.4</v>
      </c>
      <c r="H1989" s="29" t="n">
        <f aca="false">Sens!H1987-Sens!G1987</f>
        <v>5054.4</v>
      </c>
      <c r="I1989" s="29" t="n">
        <f aca="false">Sens!I1987-Sens!H1987</f>
        <v>3586.232</v>
      </c>
      <c r="J1989" s="29" t="n">
        <f aca="false">Sens!J1987-Sens!I1987</f>
        <v>2118.064</v>
      </c>
      <c r="K1989" s="29" t="n">
        <f aca="false">Sens!K1987-Sens!J1987</f>
        <v>649.896000000001</v>
      </c>
    </row>
    <row r="1990" customFormat="false" ht="17.15" hidden="false" customHeight="false" outlineLevel="0" collapsed="false">
      <c r="A1990" s="1" t="s">
        <v>809</v>
      </c>
      <c r="B1990" s="0" t="s">
        <v>392</v>
      </c>
      <c r="D1990" s="29" t="n">
        <f aca="false">Sens!D1984-Sens!C1984</f>
        <v>990</v>
      </c>
      <c r="E1990" s="29" t="n">
        <f aca="false">Sens!E1984-Sens!D1984</f>
        <v>1620</v>
      </c>
      <c r="F1990" s="29" t="n">
        <f aca="false">Sens!F1984-Sens!E1984</f>
        <v>2527.2</v>
      </c>
      <c r="G1990" s="29" t="n">
        <f aca="false">Sens!G1984-Sens!F1984</f>
        <v>2527.2</v>
      </c>
      <c r="H1990" s="29" t="n">
        <f aca="false">Sens!H1984-Sens!G1984</f>
        <v>2527.2</v>
      </c>
      <c r="I1990" s="29" t="n">
        <f aca="false">Sens!I1984-Sens!H1984</f>
        <v>1793.116</v>
      </c>
      <c r="J1990" s="29" t="n">
        <f aca="false">Sens!J1984-Sens!I1984</f>
        <v>1059.032</v>
      </c>
      <c r="K1990" s="29" t="n">
        <f aca="false">Sens!K1984-Sens!J1984</f>
        <v>324.948</v>
      </c>
    </row>
    <row r="1991" customFormat="false" ht="17.15" hidden="false" customHeight="false" outlineLevel="0" collapsed="false">
      <c r="A1991" s="1" t="s">
        <v>810</v>
      </c>
      <c r="B1991" s="0" t="s">
        <v>392</v>
      </c>
      <c r="F1991" s="29" t="n">
        <f aca="false">Sens!F2008*ext_sh_lo</f>
        <v>0</v>
      </c>
      <c r="G1991" s="29" t="n">
        <f aca="false">Sens!G2008*ext_sh_lo</f>
        <v>0</v>
      </c>
      <c r="H1991" s="29" t="n">
        <f aca="false">Sens!H2008*ext_sh_lo</f>
        <v>0</v>
      </c>
      <c r="I1991" s="29" t="n">
        <f aca="false">Sens!I2008*ext_sh_lo</f>
        <v>490</v>
      </c>
      <c r="J1991" s="29" t="n">
        <f aca="false">Sens!J2008*ext_sh_lo</f>
        <v>740</v>
      </c>
      <c r="K1991" s="29" t="n">
        <f aca="false">Sens!K2008*ext_sh_lo</f>
        <v>1470</v>
      </c>
      <c r="L1991" s="1" t="s">
        <v>811</v>
      </c>
    </row>
    <row r="1992" customFormat="false" ht="17.15" hidden="false" customHeight="false" outlineLevel="0" collapsed="false">
      <c r="A1992" s="1" t="s">
        <v>812</v>
      </c>
      <c r="B1992" s="0" t="s">
        <v>392</v>
      </c>
      <c r="C1992" s="29" t="n">
        <f aca="false">mix_h*Sens!C1984</f>
        <v>128</v>
      </c>
      <c r="D1992" s="29" t="n">
        <f aca="false">mix_h*Sens!D1984</f>
        <v>326</v>
      </c>
      <c r="E1992" s="29" t="n">
        <f aca="false">mix_h*Sens!E1984</f>
        <v>650</v>
      </c>
      <c r="F1992" s="29" t="n">
        <f aca="false">Sens!E1992-Sens!F1991*mix_h</f>
        <v>650</v>
      </c>
      <c r="G1992" s="29" t="n">
        <f aca="false">Sens!F1992-Sens!G1991*mix_h</f>
        <v>650</v>
      </c>
      <c r="H1992" s="29" t="n">
        <f aca="false">Sens!G1992-Sens!H1991*mix_h</f>
        <v>650</v>
      </c>
      <c r="I1992" s="29" t="n">
        <f aca="false">Sens!H1992-Sens!I1991*mix_h</f>
        <v>552</v>
      </c>
      <c r="J1992" s="29" t="n">
        <f aca="false">Sens!I1992-Sens!J1991*mix_h</f>
        <v>404</v>
      </c>
      <c r="K1992" s="29" t="n">
        <f aca="false">Sens!J1992-Sens!K1991*mix_h</f>
        <v>110</v>
      </c>
    </row>
    <row r="1993" customFormat="false" ht="17.15" hidden="false" customHeight="false" outlineLevel="0" collapsed="false">
      <c r="A1993" s="1" t="s">
        <v>813</v>
      </c>
      <c r="B1993" s="0" t="s">
        <v>392</v>
      </c>
      <c r="C1993" s="29" t="n">
        <f aca="false">mix_g2*Sens!C1984</f>
        <v>288</v>
      </c>
      <c r="D1993" s="29" t="n">
        <f aca="false">mix_g2*Sens!D1984</f>
        <v>733.5</v>
      </c>
      <c r="E1993" s="29" t="n">
        <f aca="false">mix_g2*Sens!E1984</f>
        <v>1462.5</v>
      </c>
      <c r="F1993" s="29" t="n">
        <f aca="false">Sens!E1993-Sens!F1991*mix_g2</f>
        <v>1462.5</v>
      </c>
      <c r="G1993" s="29" t="n">
        <f aca="false">Sens!F1993-Sens!G1991*mix_g2</f>
        <v>1462.5</v>
      </c>
      <c r="H1993" s="29" t="n">
        <f aca="false">Sens!G1993-Sens!H1991*mix_g2</f>
        <v>1462.5</v>
      </c>
      <c r="I1993" s="29" t="n">
        <f aca="false">Sens!H1993-Sens!I1991*mix_g2</f>
        <v>1242</v>
      </c>
      <c r="J1993" s="29" t="n">
        <f aca="false">Sens!I1993-Sens!J1991*mix_g2</f>
        <v>909</v>
      </c>
      <c r="K1993" s="29" t="n">
        <f aca="false">Sens!J1993-Sens!K1991*mix_g2</f>
        <v>247.5</v>
      </c>
    </row>
    <row r="1994" customFormat="false" ht="17.15" hidden="false" customHeight="false" outlineLevel="0" collapsed="false">
      <c r="A1994" s="1" t="s">
        <v>814</v>
      </c>
      <c r="B1994" s="0" t="s">
        <v>392</v>
      </c>
      <c r="C1994" s="29" t="n">
        <f aca="false">mix_g3*Sens!C1984</f>
        <v>224</v>
      </c>
      <c r="D1994" s="29" t="n">
        <f aca="false">mix_g3*Sens!D1984</f>
        <v>570.5</v>
      </c>
      <c r="E1994" s="29" t="n">
        <f aca="false">mix_g3*Sens!E1984</f>
        <v>1137.5</v>
      </c>
      <c r="F1994" s="29" t="n">
        <f aca="false">Sens!E1994+(Sens!F1990+Sens!F1991)*a_g3_27-Sens!F1991*mix_g3</f>
        <v>2906.54</v>
      </c>
      <c r="G1994" s="29" t="n">
        <f aca="false">Sens!F1994+(Sens!G1990+Sens!G1991)*a_g3_28-Sens!G1991*mix_g3</f>
        <v>3664.7</v>
      </c>
      <c r="H1994" s="29" t="n">
        <f aca="false">Sens!G1994+(Sens!H1990+Sens!H1991)*a_g3_29-Sens!H1991*mix_g3</f>
        <v>3917.42</v>
      </c>
      <c r="I1994" s="29" t="n">
        <f aca="false">Sens!H1994+(Sens!I1990+Sens!I1991)*a_g3_29-Sens!I1991*mix_g3</f>
        <v>3974.2316</v>
      </c>
      <c r="J1994" s="29" t="n">
        <f aca="false">Sens!I1994+(Sens!J1990+Sens!J1991)*a_g3_29-Sens!J1991*mix_g3</f>
        <v>3895.1348</v>
      </c>
      <c r="K1994" s="29" t="n">
        <f aca="false">Sens!J1994+(Sens!K1990+Sens!K1991)*a_g3_29-Sens!K1991*mix_g3</f>
        <v>3560.1296</v>
      </c>
    </row>
    <row r="1995" customFormat="false" ht="17.15" hidden="false" customHeight="false" outlineLevel="0" collapsed="false">
      <c r="A1995" s="1" t="s">
        <v>815</v>
      </c>
      <c r="B1995" s="0" t="s">
        <v>392</v>
      </c>
      <c r="C1995" s="29" t="n">
        <v>0</v>
      </c>
      <c r="D1995" s="29" t="n">
        <v>0</v>
      </c>
      <c r="E1995" s="29" t="n">
        <v>0</v>
      </c>
      <c r="F1995" s="29" t="n">
        <f aca="false">Sens!E1995+(Sens!F1990+Sens!F1991)*(1-a_g3_27)</f>
        <v>758.16</v>
      </c>
      <c r="G1995" s="29" t="n">
        <f aca="false">Sens!F1995+(Sens!G1990+Sens!G1991)*(1-a_g3_28)</f>
        <v>2527.2</v>
      </c>
      <c r="H1995" s="29" t="n">
        <f aca="false">Sens!G1995+(Sens!H1990+Sens!H1991)*(1-a_g3_29)</f>
        <v>4801.68</v>
      </c>
      <c r="I1995" s="29" t="n">
        <f aca="false">Sens!H1995+(Sens!I1990+Sens!I1991)*(1-a_g3_29)</f>
        <v>6856.4844</v>
      </c>
      <c r="J1995" s="29" t="n">
        <f aca="false">Sens!I1995+(Sens!J1990+Sens!J1991)*(1-a_g3_29)</f>
        <v>8475.6132</v>
      </c>
      <c r="K1995" s="29" t="n">
        <f aca="false">Sens!J1995+(Sens!K1990+Sens!K1991)*(1-a_g3_29)</f>
        <v>10091.0664</v>
      </c>
    </row>
    <row r="1996" customFormat="false" ht="17.15" hidden="false" customHeight="false" outlineLevel="0" collapsed="false">
      <c r="A1996" s="1" t="s">
        <v>816</v>
      </c>
      <c r="B1996" s="0" t="s">
        <v>339</v>
      </c>
      <c r="C1996" s="14" t="n">
        <f aca="false">(Sens!C1992*tk_hold_h100+Sens!C1993*tk_hold_gb200+Sens!C1994*tk_hold_gb300+Sens!C1995*tk_hold_vr200)/Sens!C1984</f>
        <v>9.7235358126469</v>
      </c>
      <c r="D1996" s="14" t="n">
        <f aca="false">(Sens!D1992*tk_hold_h100+Sens!D1993*tk_hold_gb200+Sens!D1994*tk_hold_gb300+Sens!D1995*tk_hold_vr200)/Sens!D1984</f>
        <v>9.7235358126469</v>
      </c>
      <c r="E1996" s="14" t="n">
        <f aca="false">(Sens!E1992*tk_hold_h100+Sens!E1993*tk_hold_gb200+Sens!E1994*tk_hold_gb300+Sens!E1995*tk_hold_vr200)/Sens!E1984</f>
        <v>9.7235358126469</v>
      </c>
      <c r="F1996" s="14" t="n">
        <f aca="false">(Sens!F1992*tk_hold_h100+Sens!F1993*tk_hold_gb200+Sens!F1994*tk_hold_gb300+Sens!F1995*tk_hold_vr200)/Sens!F1984</f>
        <v>10.4079573161931</v>
      </c>
      <c r="G1996" s="14" t="n">
        <f aca="false">(Sens!G1992*tk_hold_h100+Sens!G1993*tk_hold_gb200+Sens!G1994*tk_hold_gb300+Sens!G1995*tk_hold_vr200)/Sens!G1984</f>
        <v>10.8388131109316</v>
      </c>
      <c r="H1996" s="14" t="n">
        <f aca="false">(Sens!H1992*tk_hold_h100+Sens!H1993*tk_hold_gb200+Sens!H1994*tk_hold_gb300+Sens!H1995*tk_hold_vr200)/Sens!H1984</f>
        <v>11.1311018388216</v>
      </c>
      <c r="I1996" s="14" t="n">
        <f aca="false">(Sens!I1992*tk_hold_h100+Sens!I1993*tk_hold_gb200+Sens!I1994*tk_hold_gb300+Sens!I1995*tk_hold_vr200)/Sens!I1984</f>
        <v>11.3594282560989</v>
      </c>
      <c r="J1996" s="14" t="n">
        <f aca="false">(Sens!J1992*tk_hold_h100+Sens!J1993*tk_hold_gb200+Sens!J1994*tk_hold_gb300+Sens!J1995*tk_hold_vr200)/Sens!J1984</f>
        <v>11.5441508808221</v>
      </c>
      <c r="K1996" s="14" t="n">
        <f aca="false">(Sens!K1992*tk_hold_h100+Sens!K1993*tk_hold_gb200+Sens!K1994*tk_hold_gb300+Sens!K1995*tk_hold_vr200)/Sens!K1984</f>
        <v>11.8053375063575</v>
      </c>
    </row>
    <row r="1997" customFormat="false" ht="17.15" hidden="false" customHeight="false" outlineLevel="0" collapsed="false">
      <c r="A1997" s="0" t="s">
        <v>817</v>
      </c>
      <c r="B1997" s="0" t="s">
        <v>185</v>
      </c>
      <c r="C1997" s="14" t="n">
        <f aca="false">k_B</f>
        <v>1.17213932619116</v>
      </c>
      <c r="D1997" s="14" t="n">
        <f aca="false">k_B</f>
        <v>1.17213932619116</v>
      </c>
      <c r="E1997" s="14" t="n">
        <f aca="false">k_B</f>
        <v>1.17213932619116</v>
      </c>
      <c r="F1997" s="14" t="n">
        <f aca="false">(k_B+((ls_B*k_long+(1-ls_B)*k_spot)-k_B)*MIN(1,(Sens!F1982-base_fy)/k_ramp))</f>
        <v>1.17213932619116</v>
      </c>
      <c r="G1997" s="14" t="n">
        <f aca="false">(k_B+((ls_B*k_long+(1-ls_B)*k_spot)-k_B)*MIN(1,(Sens!G1982-base_fy)/k_ramp))</f>
        <v>1.17213932619116</v>
      </c>
      <c r="H1997" s="14" t="n">
        <f aca="false">(k_B+((ls_B*k_long+(1-ls_B)*k_spot)-k_B)*MIN(1,(Sens!H1982-base_fy)/k_ramp))</f>
        <v>1.17213932619116</v>
      </c>
      <c r="I1997" s="14" t="n">
        <f aca="false">(k_B+((ls_B*k_long+(1-ls_B)*k_spot)-k_B)*MIN(1,(Sens!I1982-base_fy)/k_ramp))</f>
        <v>1.17213932619116</v>
      </c>
      <c r="J1997" s="14" t="n">
        <f aca="false">(k_B+((ls_B*k_long+(1-ls_B)*k_spot)-k_B)*MIN(1,(Sens!J1982-base_fy)/k_ramp))</f>
        <v>1.17213932619116</v>
      </c>
      <c r="K1997" s="14" t="n">
        <f aca="false">(k_B+((ls_B*k_long+(1-ls_B)*k_spot)-k_B)*MIN(1,(Sens!K1982-base_fy)/k_ramp))</f>
        <v>1.17213932619116</v>
      </c>
      <c r="L1997" s="1" t="s">
        <v>818</v>
      </c>
    </row>
    <row r="1998" customFormat="false" ht="17.15" hidden="false" customHeight="false" outlineLevel="0" collapsed="false">
      <c r="A1998" s="1" t="s">
        <v>819</v>
      </c>
      <c r="B1998" s="0" t="s">
        <v>339</v>
      </c>
      <c r="C1998" s="14" t="n">
        <f aca="false">Sens!C1996*Sens!C1997*chip_f</f>
        <v>11.3973387156315</v>
      </c>
      <c r="D1998" s="14" t="n">
        <f aca="false">Sens!D1996*Sens!D1997*chip_f</f>
        <v>11.3973387156315</v>
      </c>
      <c r="E1998" s="14" t="n">
        <f aca="false">Sens!E1996*Sens!E1997*chip_f</f>
        <v>11.3973387156315</v>
      </c>
      <c r="F1998" s="14" t="n">
        <f aca="false">Sens!F1996*Sens!F1997*chip_f</f>
        <v>12.1995760756289</v>
      </c>
      <c r="G1998" s="14" t="n">
        <f aca="false">Sens!G1996*Sens!G1997*chip_f</f>
        <v>12.7045990965592</v>
      </c>
      <c r="H1998" s="14" t="n">
        <f aca="false">Sens!H1996*Sens!H1997*chip_f</f>
        <v>13.0472022091214</v>
      </c>
      <c r="I1998" s="14" t="n">
        <f aca="false">Sens!I1996*Sens!I1997*chip_f</f>
        <v>13.3148325820205</v>
      </c>
      <c r="J1998" s="14" t="n">
        <f aca="false">Sens!J1996*Sens!J1997*chip_f</f>
        <v>13.5313532348958</v>
      </c>
      <c r="K1998" s="14" t="n">
        <f aca="false">Sens!K1996*Sens!K1997*chip_f</f>
        <v>13.8375003501611</v>
      </c>
      <c r="L1998" s="1" t="s">
        <v>820</v>
      </c>
    </row>
    <row r="1999" customFormat="false" ht="17.15" hidden="false" customHeight="false" outlineLevel="0" collapsed="false">
      <c r="A1999" s="0" t="s">
        <v>821</v>
      </c>
      <c r="B1999" s="0" t="s">
        <v>98</v>
      </c>
      <c r="D1999" s="6" t="n">
        <f aca="false">(Sens!C1984+Sens!D1984)/2*Sens!D1998/1000</f>
        <v>12.9359794422418</v>
      </c>
      <c r="E1999" s="6" t="n">
        <f aca="false">(Sens!D1984+Sens!E1984)/2*Sens!E1998/1000</f>
        <v>27.8095064661409</v>
      </c>
      <c r="F1999" s="6" t="n">
        <f aca="false">(Sens!E1984+Sens!F1984)/2*Sens!F1998/1000</f>
        <v>55.0640065749585</v>
      </c>
      <c r="G1999" s="6" t="n">
        <f aca="false">(Sens!F1984+Sens!G1984)/2*Sens!G1998/1000</f>
        <v>89.4505413190538</v>
      </c>
      <c r="H1999" s="6" t="n">
        <f aca="false">(Sens!G1984+Sens!H1984)/2*Sens!H1998/1000</f>
        <v>124.835630736874</v>
      </c>
      <c r="I1999" s="6" t="n">
        <f aca="false">(Sens!H1984+Sens!I1984)/2*Sens!I1998/1000</f>
        <v>156.158460265485</v>
      </c>
      <c r="J1999" s="6" t="n">
        <f aca="false">(Sens!I1984+Sens!J1984)/2*Sens!J1998/1000</f>
        <v>177.99455972577</v>
      </c>
      <c r="K1999" s="6" t="n">
        <f aca="false">(Sens!J1984+Sens!K1984)/2*Sens!K1998/1000</f>
        <v>191.597101773408</v>
      </c>
      <c r="L1999" s="11" t="s">
        <v>822</v>
      </c>
    </row>
    <row r="2000" customFormat="false" ht="17.15" hidden="false" customHeight="false" outlineLevel="0" collapsed="false">
      <c r="A2000" s="1" t="s">
        <v>823</v>
      </c>
      <c r="B2000" s="0" t="s">
        <v>339</v>
      </c>
      <c r="C2000" s="14" t="n">
        <f aca="false">(Sens!C1992*tk_opex_h100+Sens!C1993*tk_opex_gb200+Sens!C1994*tk_opex_gb300+Sens!C1995*tk_opex_vr200)/Sens!C1984</f>
        <v>1.88636041306092</v>
      </c>
      <c r="D2000" s="14" t="n">
        <f aca="false">(Sens!D1992*tk_opex_h100+Sens!D1993*tk_opex_gb200+Sens!D1994*tk_opex_gb300+Sens!D1995*tk_opex_vr200)/Sens!D1984</f>
        <v>1.88636041306092</v>
      </c>
      <c r="E2000" s="14" t="n">
        <f aca="false">(Sens!E1992*tk_opex_h100+Sens!E1993*tk_opex_gb200+Sens!E1994*tk_opex_gb300+Sens!E1995*tk_opex_vr200)/Sens!E1984</f>
        <v>1.88636041306092</v>
      </c>
      <c r="F2000" s="14" t="n">
        <f aca="false">(Sens!F1992*tk_opex_h100+Sens!F1993*tk_opex_gb200+Sens!F1994*tk_opex_gb300+Sens!F1995*tk_opex_vr200)/Sens!F1984</f>
        <v>1.9430236476499</v>
      </c>
      <c r="G2000" s="14" t="n">
        <f aca="false">(Sens!G1992*tk_opex_h100+Sens!G1993*tk_opex_gb200+Sens!G1994*tk_opex_gb300+Sens!G1995*tk_opex_vr200)/Sens!G1984</f>
        <v>1.9786941852423</v>
      </c>
      <c r="H2000" s="14" t="n">
        <f aca="false">(Sens!H1992*tk_opex_h100+Sens!H1993*tk_opex_gb200+Sens!H1994*tk_opex_gb300+Sens!H1995*tk_opex_vr200)/Sens!H1984</f>
        <v>2.00289275976156</v>
      </c>
      <c r="I2000" s="14" t="n">
        <f aca="false">(Sens!I1992*tk_opex_h100+Sens!I1993*tk_opex_gb200+Sens!I1994*tk_opex_gb300+Sens!I1995*tk_opex_vr200)/Sens!I1984</f>
        <v>2.02179589661219</v>
      </c>
      <c r="J2000" s="14" t="n">
        <f aca="false">(Sens!J1992*tk_opex_h100+Sens!J1993*tk_opex_gb200+Sens!J1994*tk_opex_gb300+Sens!J1995*tk_opex_vr200)/Sens!J1984</f>
        <v>2.03708907685909</v>
      </c>
      <c r="K2000" s="14" t="n">
        <f aca="false">(Sens!K1992*tk_opex_h100+Sens!K1993*tk_opex_gb200+Sens!K1994*tk_opex_gb300+Sens!K1995*tk_opex_vr200)/Sens!K1984</f>
        <v>2.05871270931005</v>
      </c>
    </row>
    <row r="2001" customFormat="false" ht="17.15" hidden="false" customHeight="false" outlineLevel="0" collapsed="false">
      <c r="A2001" s="0" t="s">
        <v>824</v>
      </c>
      <c r="B2001" s="0" t="s">
        <v>98</v>
      </c>
      <c r="D2001" s="6" t="n">
        <f aca="false">(Sens!C1987+Sens!D1987)/2*Sens!D2000/1000</f>
        <v>3.24453991046478</v>
      </c>
      <c r="E2001" s="6" t="n">
        <f aca="false">(Sens!D1987+Sens!E1987)/2*Sens!E2000/1000</f>
        <v>7.41339642332941</v>
      </c>
      <c r="F2001" s="6" t="n">
        <f aca="false">(Sens!E1987+Sens!F1987)/2*Sens!F2000/1000</f>
        <v>15.0024741882344</v>
      </c>
      <c r="G2001" s="6" t="n">
        <f aca="false">(Sens!F1987+Sens!G1987)/2*Sens!G2000/1000</f>
        <v>24.8713944308216</v>
      </c>
      <c r="H2001" s="6" t="n">
        <f aca="false">(Sens!G1987+Sens!H1987)/2*Sens!H2000/1000</f>
        <v>35.2989819980378</v>
      </c>
      <c r="I2001" s="6" t="n">
        <f aca="false">(Sens!H1987+Sens!I1987)/2*Sens!I2000/1000</f>
        <v>44.3669280427613</v>
      </c>
      <c r="J2001" s="6" t="n">
        <f aca="false">(Sens!I1987+Sens!J1987)/2*Sens!J2000/1000</f>
        <v>50.5126059591296</v>
      </c>
      <c r="K2001" s="6" t="n">
        <f aca="false">(Sens!J1987+Sens!K1987)/2*Sens!K2000/1000</f>
        <v>53.8980127981801</v>
      </c>
    </row>
    <row r="2002" customFormat="false" ht="17.15" hidden="false" customHeight="false" outlineLevel="0" collapsed="false">
      <c r="A2002" s="0" t="s">
        <v>825</v>
      </c>
      <c r="B2002" s="0" t="s">
        <v>98</v>
      </c>
      <c r="D2002" s="6" t="n">
        <f aca="false">(Sens!C1985+Sens!D1985)/2*rent_mw/1000</f>
        <v>2.44475</v>
      </c>
      <c r="E2002" s="6" t="n">
        <f aca="false">(Sens!D1985+Sens!E1985)/2*rent_mw/1000</f>
        <v>4.22275</v>
      </c>
      <c r="F2002" s="6" t="n">
        <f aca="false">(Sens!E1985+Sens!F1985)/2*rent_mw/1000</f>
        <v>5.80517</v>
      </c>
      <c r="G2002" s="6" t="n">
        <f aca="false">(Sens!F1985+Sens!G1985)/2*rent_mw/1000</f>
        <v>6.72084</v>
      </c>
      <c r="H2002" s="6" t="n">
        <f aca="false">(Sens!G1985+Sens!H1985)/2*rent_mw/1000</f>
        <v>6.72084</v>
      </c>
      <c r="I2002" s="6" t="n">
        <f aca="false">(Sens!H1985+Sens!I1985)/2*rent_mw/1000</f>
        <v>6.72084</v>
      </c>
      <c r="J2002" s="6" t="n">
        <f aca="false">(Sens!I1985+Sens!J1985)/2*rent_mw/1000</f>
        <v>6.72084</v>
      </c>
      <c r="K2002" s="6" t="n">
        <f aca="false">(Sens!J1985+Sens!K1985)/2*rent_mw/1000</f>
        <v>6.72084</v>
      </c>
    </row>
    <row r="2003" customFormat="false" ht="17.15" hidden="false" customHeight="false" outlineLevel="0" collapsed="false">
      <c r="A2003" s="0" t="s">
        <v>826</v>
      </c>
      <c r="B2003" s="0" t="s">
        <v>98</v>
      </c>
      <c r="D2003" s="6" t="n">
        <f aca="false">(Sens!C1987+Sens!D1987)/2*(1-self_build)*fac_rent/1000</f>
        <v>1.02389085075729</v>
      </c>
      <c r="E2003" s="6" t="n">
        <f aca="false">(Sens!D1987+Sens!E1987)/2*(1-self_build)*fac_rent/1000</f>
        <v>2.33947153690474</v>
      </c>
      <c r="F2003" s="6" t="n">
        <f aca="false">(Sens!E1987+Sens!F1987)/2*(1-self_build)*fac_rent/1000</f>
        <v>4.59631746329488</v>
      </c>
      <c r="G2003" s="6" t="n">
        <f aca="false">(Sens!F1987+Sens!G1987)/2*(1-self_build)*fac_rent/1000</f>
        <v>7.48249909167374</v>
      </c>
      <c r="H2003" s="6" t="n">
        <f aca="false">(Sens!G1987+Sens!H1987)/2*(1-self_build)*fac_rent/1000</f>
        <v>10.4913095079921</v>
      </c>
      <c r="I2003" s="6" t="n">
        <f aca="false">(Sens!H1987+Sens!I1987)/2*(1-self_build)*fac_rent/1000</f>
        <v>13.0631304526319</v>
      </c>
      <c r="J2003" s="6" t="n">
        <f aca="false">(Sens!I1987+Sens!J1987)/2*(1-self_build)*fac_rent/1000</f>
        <v>14.7609724539143</v>
      </c>
      <c r="K2003" s="6" t="n">
        <f aca="false">(Sens!J1987+Sens!K1987)/2*(1-self_build)*fac_rent/1000</f>
        <v>15.5848355118393</v>
      </c>
      <c r="L2003" s="11" t="s">
        <v>827</v>
      </c>
    </row>
    <row r="2004" customFormat="false" ht="17.15" hidden="false" customHeight="false" outlineLevel="0" collapsed="false">
      <c r="A2004" s="1" t="s">
        <v>828</v>
      </c>
      <c r="B2004" s="0" t="s">
        <v>129</v>
      </c>
      <c r="D2004" s="7" t="n">
        <f aca="false">(Sens!C1986+Sens!D1986)/(Sens!C1987+Sens!D1987)</f>
        <v>0.5</v>
      </c>
      <c r="E2004" s="7" t="n">
        <f aca="false">(Sens!D1986+Sens!E1986)/(Sens!D1987+Sens!E1987)</f>
        <v>0.5</v>
      </c>
      <c r="F2004" s="7" t="n">
        <f aca="false">(Sens!E1986+Sens!F1986)/(Sens!E1987+Sens!F1987)</f>
        <v>0.5</v>
      </c>
      <c r="G2004" s="7" t="n">
        <f aca="false">(Sens!F1986+Sens!G1986)/(Sens!F1987+Sens!G1987)</f>
        <v>0.5</v>
      </c>
      <c r="H2004" s="7" t="n">
        <f aca="false">(Sens!G1986+Sens!H1986)/(Sens!G1987+Sens!H1987)</f>
        <v>0.5</v>
      </c>
      <c r="I2004" s="7" t="n">
        <f aca="false">(Sens!H1986+Sens!I1986)/(Sens!H1987+Sens!I1987)</f>
        <v>0.5</v>
      </c>
      <c r="J2004" s="7" t="n">
        <f aca="false">(Sens!I1986+Sens!J1986)/(Sens!I1987+Sens!J1987)</f>
        <v>0.5</v>
      </c>
      <c r="K2004" s="7" t="n">
        <f aca="false">(Sens!J1986+Sens!K1986)/(Sens!J1987+Sens!K1987)</f>
        <v>0.5</v>
      </c>
    </row>
    <row r="2005" customFormat="false" ht="17.15" hidden="false" customHeight="false" outlineLevel="0" collapsed="false">
      <c r="A2005" s="0" t="s">
        <v>829</v>
      </c>
      <c r="B2005" s="0" t="s">
        <v>98</v>
      </c>
      <c r="D2005" s="6" t="n">
        <f aca="false">Sens!D1999-Sens!D2004*(Sens!D2001+Sens!D2003)-Sens!D2002</f>
        <v>8.35701406163072</v>
      </c>
      <c r="E2005" s="6" t="n">
        <f aca="false">Sens!E1999-Sens!E2004*(Sens!E2001+Sens!E2003)-Sens!E2002</f>
        <v>18.7103224860238</v>
      </c>
      <c r="F2005" s="6" t="n">
        <f aca="false">Sens!F1999-Sens!F2004*(Sens!F2001+Sens!F2003)-Sens!F2002</f>
        <v>39.4594407491938</v>
      </c>
      <c r="G2005" s="6" t="n">
        <f aca="false">Sens!G1999-Sens!G2004*(Sens!G2001+Sens!G2003)-Sens!G2002</f>
        <v>66.5527545578061</v>
      </c>
      <c r="H2005" s="6" t="n">
        <f aca="false">Sens!H1999-Sens!H2004*(Sens!H2001+Sens!H2003)-Sens!H2002</f>
        <v>95.219644983859</v>
      </c>
      <c r="I2005" s="6" t="n">
        <f aca="false">Sens!I1999-Sens!I2004*(Sens!I2001+Sens!I2003)-Sens!I2002</f>
        <v>120.722591017788</v>
      </c>
      <c r="J2005" s="6" t="n">
        <f aca="false">Sens!J1999-Sens!J2004*(Sens!J2001+Sens!J2003)-Sens!J2002</f>
        <v>138.636930519248</v>
      </c>
      <c r="K2005" s="6" t="n">
        <f aca="false">Sens!K1999-Sens!K2004*(Sens!K2001+Sens!K2003)-Sens!K2002</f>
        <v>150.134837618398</v>
      </c>
    </row>
    <row r="2006" customFormat="false" ht="17.15" hidden="false" customHeight="false" outlineLevel="0" collapsed="false">
      <c r="A2006" s="1" t="s">
        <v>830</v>
      </c>
      <c r="B2006" s="0" t="s">
        <v>98</v>
      </c>
      <c r="D2006" s="6" t="n">
        <f aca="false">(1-Sens!D2004)*(Sens!D2001+Sens!D2003)</f>
        <v>2.13421538061103</v>
      </c>
      <c r="E2006" s="6" t="n">
        <f aca="false">(1-Sens!E2004)*(Sens!E2001+Sens!E2003)</f>
        <v>4.87643398011707</v>
      </c>
      <c r="F2006" s="6" t="n">
        <f aca="false">(1-Sens!F2004)*(Sens!F2001+Sens!F2003)</f>
        <v>9.79939582576465</v>
      </c>
      <c r="G2006" s="6" t="n">
        <f aca="false">(1-Sens!G2004)*(Sens!G2001+Sens!G2003)</f>
        <v>16.1769467612477</v>
      </c>
      <c r="H2006" s="6" t="n">
        <f aca="false">(1-Sens!H2004)*(Sens!H2001+Sens!H2003)</f>
        <v>22.895145753015</v>
      </c>
      <c r="I2006" s="6" t="n">
        <f aca="false">(1-Sens!I2004)*(Sens!I2001+Sens!I2003)</f>
        <v>28.7150292476966</v>
      </c>
      <c r="J2006" s="6" t="n">
        <f aca="false">(1-Sens!J2004)*(Sens!J2001+Sens!J2003)</f>
        <v>32.6367892065219</v>
      </c>
      <c r="K2006" s="6" t="n">
        <f aca="false">(1-Sens!K2004)*(Sens!K2001+Sens!K2003)</f>
        <v>34.7414241550097</v>
      </c>
    </row>
    <row r="2007" customFormat="false" ht="17.15" hidden="false" customHeight="false" outlineLevel="0" collapsed="false">
      <c r="A2007" s="1" t="s">
        <v>831</v>
      </c>
      <c r="B2007" s="0" t="s">
        <v>350</v>
      </c>
      <c r="C2007" s="8" t="n">
        <f aca="false">cxit_open</f>
        <v>27.5918995</v>
      </c>
      <c r="D2007" s="8" t="n">
        <f aca="false">cxit_open</f>
        <v>27.5918995</v>
      </c>
      <c r="E2007" s="8" t="n">
        <f aca="false">cxit_open</f>
        <v>27.5918995</v>
      </c>
      <c r="F2007" s="8" t="n">
        <f aca="false">(a_g3_27*tk_cxit_gb300+(1-a_g3_27)*tk_cxit_vr200)</f>
        <v>33.8419624</v>
      </c>
      <c r="G2007" s="8" t="n">
        <f aca="false">(a_g3_28*tk_cxit_gb300+(1-a_g3_28)*tk_cxit_vr200)</f>
        <v>35.9816136</v>
      </c>
      <c r="H2007" s="8" t="n">
        <f aca="false">(a_g3_29*tk_cxit_gb300+(1-a_g3_29)*tk_cxit_vr200)</f>
        <v>37.0514392</v>
      </c>
      <c r="I2007" s="8" t="n">
        <f aca="false">(a_g3_29*tk_cxit_gb300+(1-a_g3_29)*tk_cxit_vr200)</f>
        <v>37.0514392</v>
      </c>
      <c r="J2007" s="8" t="n">
        <f aca="false">(a_g3_29*tk_cxit_gb300+(1-a_g3_29)*tk_cxit_vr200)</f>
        <v>37.0514392</v>
      </c>
      <c r="K2007" s="8" t="n">
        <f aca="false">(a_g3_29*tk_cxit_gb300+(1-a_g3_29)*tk_cxit_vr200)</f>
        <v>37.0514392</v>
      </c>
      <c r="L2007" s="11" t="s">
        <v>832</v>
      </c>
    </row>
    <row r="2008" customFormat="false" ht="17.15" hidden="false" customHeight="false" outlineLevel="0" collapsed="false">
      <c r="A2008" s="0" t="s">
        <v>833</v>
      </c>
      <c r="B2008" s="0" t="s">
        <v>392</v>
      </c>
      <c r="F2008" s="29" t="n">
        <f aca="false">Sens!C1989*IF(Sens!F1982-Sens!C1982=life_it,1,0)+Sens!D1989*IF(Sens!F1982-Sens!D1982=life_it,1,0)+Sens!E1989*IF(Sens!F1982-Sens!E1982=life_it,1,0)</f>
        <v>0</v>
      </c>
      <c r="G2008" s="29" t="n">
        <f aca="false">Sens!C1989*IF(Sens!G1982-Sens!C1982=life_it,1,0)+Sens!D1989*IF(Sens!G1982-Sens!D1982=life_it,1,0)+Sens!E1989*IF(Sens!G1982-Sens!E1982=life_it,1,0)+Sens!F1989*IF(Sens!G1982-Sens!F1982=life_it,1,0)</f>
        <v>0</v>
      </c>
      <c r="H2008" s="29" t="n">
        <f aca="false">Sens!C1989*IF(Sens!H1982-Sens!C1982=life_it,1,0)+Sens!D1989*IF(Sens!H1982-Sens!D1982=life_it,1,0)+Sens!E1989*IF(Sens!H1982-Sens!E1982=life_it,1,0)+Sens!F1989*IF(Sens!H1982-Sens!F1982=life_it,1,0)+Sens!G1989*IF(Sens!H1982-Sens!G1982=life_it,1,0)</f>
        <v>0</v>
      </c>
      <c r="I2008" s="29" t="n">
        <f aca="false">Sens!C1989*IF(Sens!I1982-Sens!C1982=life_it,1,0)+Sens!D1989*IF(Sens!I1982-Sens!D1982=life_it,1,0)+Sens!E1989*IF(Sens!I1982-Sens!E1982=life_it,1,0)+Sens!F1989*IF(Sens!I1982-Sens!F1982=life_it,1,0)+Sens!G1989*IF(Sens!I1982-Sens!G1982=life_it,1,0)+Sens!H1989*IF(Sens!I1982-Sens!H1982=life_it,1,0)</f>
        <v>980</v>
      </c>
      <c r="J2008" s="29" t="n">
        <f aca="false">Sens!C1989*IF(Sens!J1982-Sens!C1982=life_it,1,0)+Sens!D1989*IF(Sens!J1982-Sens!D1982=life_it,1,0)+Sens!E1989*IF(Sens!J1982-Sens!E1982=life_it,1,0)+Sens!F1989*IF(Sens!J1982-Sens!F1982=life_it,1,0)+Sens!G1989*IF(Sens!J1982-Sens!G1982=life_it,1,0)+Sens!H1989*IF(Sens!J1982-Sens!H1982=life_it,1,0)+Sens!I1989*IF(Sens!J1982-Sens!I1982=life_it,1,0)</f>
        <v>1480</v>
      </c>
      <c r="K2008" s="29" t="n">
        <f aca="false">Sens!C1989*IF(Sens!K1982-Sens!C1982=life_it,1,0)+Sens!D1989*IF(Sens!K1982-Sens!D1982=life_it,1,0)+Sens!E1989*IF(Sens!K1982-Sens!E1982=life_it,1,0)+Sens!F1989*IF(Sens!K1982-Sens!F1982=life_it,1,0)+Sens!G1989*IF(Sens!K1982-Sens!G1982=life_it,1,0)+Sens!H1989*IF(Sens!K1982-Sens!H1982=life_it,1,0)+Sens!I1989*IF(Sens!K1982-Sens!I1982=life_it,1,0)+Sens!J1989*IF(Sens!K1982-Sens!J1982=life_it,1,0)</f>
        <v>2940</v>
      </c>
      <c r="L2008" s="1" t="s">
        <v>834</v>
      </c>
    </row>
    <row r="2009" customFormat="false" ht="17.15" hidden="false" customHeight="false" outlineLevel="0" collapsed="false">
      <c r="A2009" s="0" t="s">
        <v>835</v>
      </c>
      <c r="B2009" s="0" t="s">
        <v>98</v>
      </c>
      <c r="C2009" s="6" t="n">
        <f aca="false">Sens!C1989*Sens!C2007/1000</f>
        <v>27.04006151</v>
      </c>
      <c r="D2009" s="6" t="n">
        <f aca="false">Sens!D1989*Sens!D2007/1000</f>
        <v>40.83601126</v>
      </c>
      <c r="E2009" s="6" t="n">
        <f aca="false">Sens!E1989*Sens!E2007/1000</f>
        <v>81.12018453</v>
      </c>
      <c r="F2009" s="6" t="n">
        <f aca="false">(Sens!F1989+Sens!F2008)*Sens!F2007/1000</f>
        <v>157.10792624576</v>
      </c>
      <c r="G2009" s="6" t="n">
        <f aca="false">(Sens!G1989+Sens!G2008)*Sens!G2007/1000</f>
        <v>181.86546777984</v>
      </c>
      <c r="H2009" s="6" t="n">
        <f aca="false">(Sens!H1989+Sens!H2008)*Sens!H2007/1000</f>
        <v>187.27279429248</v>
      </c>
      <c r="I2009" s="6" t="n">
        <f aca="false">(Sens!I1989+Sens!I2008)*Sens!I2007/1000</f>
        <v>169.185467321094</v>
      </c>
      <c r="J2009" s="6" t="n">
        <f aca="false">(Sens!J1989+Sens!J2008)*Sens!J2007/1000</f>
        <v>133.313449533709</v>
      </c>
      <c r="K2009" s="6" t="n">
        <f aca="false">(Sens!K1989+Sens!K2008)*Sens!K2007/1000</f>
        <v>133.010813378323</v>
      </c>
    </row>
    <row r="2010" customFormat="false" ht="17.15" hidden="false" customHeight="false" outlineLevel="0" collapsed="false">
      <c r="A2010" s="0" t="s">
        <v>836</v>
      </c>
      <c r="B2010" s="0" t="s">
        <v>98</v>
      </c>
      <c r="C2010" s="6" t="n">
        <f aca="false">Sens!C1989*self_build*tk_cxfac/1000</f>
        <v>7.44996</v>
      </c>
      <c r="D2010" s="6" t="n">
        <f aca="false">Sens!D1989*self_build*tk_cxfac/1000</f>
        <v>11.25096</v>
      </c>
      <c r="E2010" s="6" t="n">
        <f aca="false">Sens!E1989*self_build*tk_cxfac/1000</f>
        <v>22.34988</v>
      </c>
      <c r="F2010" s="6" t="n">
        <f aca="false">Sens!F1989*self_build*tk_cxfac/1000</f>
        <v>35.2915248</v>
      </c>
      <c r="G2010" s="6" t="n">
        <f aca="false">Sens!G1989*self_build*tk_cxfac/1000</f>
        <v>38.4235488</v>
      </c>
      <c r="H2010" s="6" t="n">
        <f aca="false">Sens!H1989*self_build*tk_cxfac/1000</f>
        <v>38.4235488</v>
      </c>
      <c r="I2010" s="6" t="n">
        <f aca="false">Sens!I1989*self_build*tk_cxfac/1000</f>
        <v>27.262535664</v>
      </c>
      <c r="J2010" s="6" t="n">
        <f aca="false">Sens!J1989*self_build*tk_cxfac/1000</f>
        <v>16.101522528</v>
      </c>
      <c r="K2010" s="6" t="n">
        <f aca="false">Sens!K1989*self_build*tk_cxfac/1000</f>
        <v>4.940509392</v>
      </c>
    </row>
    <row r="2011" customFormat="false" ht="17.15" hidden="false" customHeight="false" outlineLevel="0" collapsed="false">
      <c r="A2011" s="0" t="s">
        <v>837</v>
      </c>
      <c r="B2011" s="0" t="s">
        <v>98</v>
      </c>
      <c r="F2011" s="6" t="n">
        <f aca="false">MAX(0,capex_floor27-Sens!F2009-Sens!F2010-Sens!F2104)</f>
        <v>0</v>
      </c>
      <c r="L2011" s="1" t="s">
        <v>838</v>
      </c>
    </row>
    <row r="2012" customFormat="false" ht="17.15" hidden="false" customHeight="false" outlineLevel="0" collapsed="false">
      <c r="A2012" s="0" t="s">
        <v>839</v>
      </c>
      <c r="B2012" s="0" t="s">
        <v>98</v>
      </c>
      <c r="C2012" s="6" t="n">
        <f aca="false">Sens!C2009</f>
        <v>27.04006151</v>
      </c>
      <c r="D2012" s="6" t="n">
        <f aca="false">Sens!D2009</f>
        <v>40.83601126</v>
      </c>
      <c r="E2012" s="6" t="n">
        <f aca="false">Sens!E2009</f>
        <v>81.12018453</v>
      </c>
      <c r="F2012" s="6" t="n">
        <f aca="false">Sens!F2009+Sens!F2011</f>
        <v>157.10792624576</v>
      </c>
      <c r="G2012" s="6" t="n">
        <f aca="false">Sens!G2009</f>
        <v>181.86546777984</v>
      </c>
      <c r="H2012" s="6" t="n">
        <f aca="false">Sens!H2009</f>
        <v>187.27279429248</v>
      </c>
      <c r="I2012" s="6" t="n">
        <f aca="false">Sens!I2009</f>
        <v>169.185467321094</v>
      </c>
      <c r="J2012" s="6" t="n">
        <f aca="false">Sens!J2009</f>
        <v>133.313449533709</v>
      </c>
      <c r="K2012" s="6" t="n">
        <f aca="false">Sens!K2009</f>
        <v>133.010813378323</v>
      </c>
    </row>
    <row r="2013" customFormat="false" ht="17.15" hidden="false" customHeight="false" outlineLevel="0" collapsed="false">
      <c r="A2013" s="0" t="s">
        <v>840</v>
      </c>
      <c r="B2013" s="0" t="s">
        <v>98</v>
      </c>
      <c r="C2013" s="6" t="n">
        <f aca="false">Sens!C2012+Sens!C2010</f>
        <v>34.49002151</v>
      </c>
      <c r="D2013" s="6" t="n">
        <f aca="false">Sens!D2012+Sens!D2010</f>
        <v>52.08697126</v>
      </c>
      <c r="E2013" s="6" t="n">
        <f aca="false">Sens!E2012+Sens!E2010</f>
        <v>103.47006453</v>
      </c>
      <c r="F2013" s="6" t="n">
        <f aca="false">Sens!F2012+Sens!F2010</f>
        <v>192.39945104576</v>
      </c>
      <c r="G2013" s="6" t="n">
        <f aca="false">Sens!G2012+Sens!G2010</f>
        <v>220.28901657984</v>
      </c>
      <c r="H2013" s="6" t="n">
        <f aca="false">Sens!H2012+Sens!H2010</f>
        <v>225.69634309248</v>
      </c>
      <c r="I2013" s="6" t="n">
        <f aca="false">Sens!I2012+Sens!I2010</f>
        <v>196.448002985094</v>
      </c>
      <c r="J2013" s="6" t="n">
        <f aca="false">Sens!J2012+Sens!J2010</f>
        <v>149.414972061709</v>
      </c>
      <c r="K2013" s="6" t="n">
        <f aca="false">Sens!K2012+Sens!K2010</f>
        <v>137.951322770323</v>
      </c>
      <c r="L2013" s="11" t="s">
        <v>841</v>
      </c>
    </row>
    <row r="2014" customFormat="false" ht="17.15" hidden="false" customHeight="false" outlineLevel="0" collapsed="false">
      <c r="A2014" s="0" t="s">
        <v>842</v>
      </c>
      <c r="B2014" s="0" t="s">
        <v>98</v>
      </c>
      <c r="E2014" s="6" t="n">
        <f aca="false">(Sens!C2012*IF(2&lt;life_it,1,IF(2=life_it,0.5,0))+Sens!D2012*IF(1&lt;life_it,1,IF(1=life_it,0.5,0))+Sens!E2012*0.5)/life_it</f>
        <v>18.0726941725</v>
      </c>
      <c r="F2014" s="6" t="n">
        <f aca="false">(Sens!C2012*IF(3&lt;life_it,1,IF(3=life_it,0.5,0))+Sens!D2012*IF(2&lt;life_it,1,IF(2=life_it,0.5,0))+Sens!E2012*IF(1&lt;life_it,1,IF(1=life_it,0.5,0))+Sens!F2012*0.5)/life_it</f>
        <v>37.9250367371467</v>
      </c>
      <c r="G2014" s="6" t="n">
        <f aca="false">(Sens!C2012*IF(4&lt;life_it,1,IF(4=life_it,0.5,0))+Sens!D2012*IF(3&lt;life_it,1,IF(3=life_it,0.5,0))+Sens!E2012*IF(2&lt;life_it,1,IF(2=life_it,0.5,0))+Sens!F2012*IF(1&lt;life_it,1,IF(1=life_it,0.5,0))+Sens!G2012*0.5)/life_it</f>
        <v>66.1728195726133</v>
      </c>
      <c r="H2014" s="6" t="n">
        <f aca="false">(Sens!C2012*IF(5&lt;life_it,1,IF(5=life_it,0.5,0))+Sens!D2012*IF(4&lt;life_it,1,IF(4=life_it,0.5,0))+Sens!E2012*IF(3&lt;life_it,1,IF(3=life_it,0.5,0))+Sens!F2012*IF(2&lt;life_it,1,IF(2=life_it,0.5,0))+Sens!G2012*IF(1&lt;life_it,1,IF(1=life_it,0.5,0))+Sens!H2012*0.5)/life_it</f>
        <v>96.9343414119733</v>
      </c>
      <c r="I2014" s="6" t="n">
        <f aca="false">(Sens!C2012*IF(6&lt;life_it,1,IF(6=life_it,0.5,0))+Sens!D2012*IF(5&lt;life_it,1,IF(5=life_it,0.5,0))+Sens!E2012*IF(4&lt;life_it,1,IF(4=life_it,0.5,0))+Sens!F2012*IF(3&lt;life_it,1,IF(3=life_it,0.5,0))+Sens!G2012*IF(2&lt;life_it,1,IF(2=life_it,0.5,0))+Sens!H2012*IF(1&lt;life_it,1,IF(1=life_it,0.5,0))+Sens!I2012*0.5)/life_it</f>
        <v>124.385858087271</v>
      </c>
      <c r="J2014" s="6" t="n">
        <f aca="false">(Sens!C2012*IF(7&lt;life_it,1,IF(7=life_it,0.5,0))+Sens!D2012*IF(6&lt;life_it,1,IF(6=life_it,0.5,0))+Sens!E2012*IF(5&lt;life_it,1,IF(5=life_it,0.5,0))+Sens!F2012*IF(4&lt;life_it,1,IF(4=life_it,0.5,0))+Sens!G2012*IF(3&lt;life_it,1,IF(3=life_it,0.5,0))+Sens!H2012*IF(2&lt;life_it,1,IF(2=life_it,0.5,0))+Sens!I2012*IF(1&lt;life_it,1,IF(1=life_it,0.5,0))+Sens!J2012*0.5)/life_it</f>
        <v>143.937761761005</v>
      </c>
      <c r="K2014" s="6" t="n">
        <f aca="false">(Sens!C2012*IF(8&lt;life_it,1,IF(8=life_it,0.5,0))+Sens!D2012*IF(7&lt;life_it,1,IF(7=life_it,0.5,0))+Sens!E2012*IF(6&lt;life_it,1,IF(6=life_it,0.5,0))+Sens!F2012*IF(5&lt;life_it,1,IF(5=life_it,0.5,0))+Sens!G2012*IF(4&lt;life_it,1,IF(4=life_it,0.5,0))+Sens!H2012*IF(3&lt;life_it,1,IF(3=life_it,0.5,0))+Sens!I2012*IF(2&lt;life_it,1,IF(2=life_it,0.5,0))+Sens!J2012*IF(1&lt;life_it,1,IF(1=life_it,0.5,0))+Sens!K2012*0.5)/life_it</f>
        <v>155.968434021174</v>
      </c>
    </row>
    <row r="2015" customFormat="false" ht="17.15" hidden="false" customHeight="false" outlineLevel="0" collapsed="false">
      <c r="A2015" s="0" t="s">
        <v>843</v>
      </c>
      <c r="B2015" s="0" t="s">
        <v>98</v>
      </c>
      <c r="E2015" s="6" t="n">
        <f aca="false">(Sens!C2010*IF(2&lt;life_fac,1,IF(2=life_fac,0.5,0))+Sens!D2010*IF(1&lt;life_fac,1,IF(1=life_fac,0.5,0))+Sens!E2010*0.5)/life_fac</f>
        <v>1.493793</v>
      </c>
      <c r="F2015" s="6" t="n">
        <f aca="false">(Sens!C2010*IF(3&lt;life_fac,1,IF(3=life_fac,0.5,0))+Sens!D2010*IF(2&lt;life_fac,1,IF(2=life_fac,0.5,0))+Sens!E2010*IF(1&lt;life_fac,1,IF(1=life_fac,0.5,0))+Sens!F2010*0.5)/life_fac</f>
        <v>2.93482812</v>
      </c>
      <c r="G2015" s="6" t="n">
        <f aca="false">(Sens!C2010*IF(4&lt;life_fac,1,IF(4=life_fac,0.5,0))+Sens!D2010*IF(3&lt;life_fac,1,IF(3=life_fac,0.5,0))+Sens!E2010*IF(2&lt;life_fac,1,IF(2=life_fac,0.5,0))+Sens!F2010*IF(1&lt;life_fac,1,IF(1=life_fac,0.5,0))+Sens!G2010*0.5)/life_fac</f>
        <v>4.77770496</v>
      </c>
      <c r="H2015" s="6" t="n">
        <f aca="false">(Sens!C2010*IF(5&lt;life_fac,1,IF(5=life_fac,0.5,0))+Sens!D2010*IF(4&lt;life_fac,1,IF(4=life_fac,0.5,0))+Sens!E2010*IF(3&lt;life_fac,1,IF(3=life_fac,0.5,0))+Sens!F2010*IF(2&lt;life_fac,1,IF(2=life_fac,0.5,0))+Sens!G2010*IF(1&lt;life_fac,1,IF(1=life_fac,0.5,0))+Sens!H2010*0.5)/life_fac</f>
        <v>6.6988824</v>
      </c>
      <c r="I2015" s="6" t="n">
        <f aca="false">(Sens!C2010*IF(6&lt;life_fac,1,IF(6=life_fac,0.5,0))+Sens!D2010*IF(5&lt;life_fac,1,IF(5=life_fac,0.5,0))+Sens!E2010*IF(4&lt;life_fac,1,IF(4=life_fac,0.5,0))+Sens!F2010*IF(3&lt;life_fac,1,IF(3=life_fac,0.5,0))+Sens!G2010*IF(2&lt;life_fac,1,IF(2=life_fac,0.5,0))+Sens!H2010*IF(1&lt;life_fac,1,IF(1=life_fac,0.5,0))+Sens!I2010*0.5)/life_fac</f>
        <v>8.3410345116</v>
      </c>
      <c r="J2015" s="6" t="n">
        <f aca="false">(Sens!C2010*IF(7&lt;life_fac,1,IF(7=life_fac,0.5,0))+Sens!D2010*IF(6&lt;life_fac,1,IF(6=life_fac,0.5,0))+Sens!E2010*IF(5&lt;life_fac,1,IF(5=life_fac,0.5,0))+Sens!F2010*IF(4&lt;life_fac,1,IF(4=life_fac,0.5,0))+Sens!G2010*IF(3&lt;life_fac,1,IF(3=life_fac,0.5,0))+Sens!H2010*IF(2&lt;life_fac,1,IF(2=life_fac,0.5,0))+Sens!I2010*IF(1&lt;life_fac,1,IF(1=life_fac,0.5,0))+Sens!J2010*0.5)/life_fac</f>
        <v>9.4251359664</v>
      </c>
      <c r="K2015" s="6" t="n">
        <f aca="false">(Sens!C2010*IF(8&lt;life_fac,1,IF(8=life_fac,0.5,0))+Sens!D2010*IF(7&lt;life_fac,1,IF(7=life_fac,0.5,0))+Sens!E2010*IF(6&lt;life_fac,1,IF(6=life_fac,0.5,0))+Sens!F2010*IF(5&lt;life_fac,1,IF(5=life_fac,0.5,0))+Sens!G2010*IF(4&lt;life_fac,1,IF(4=life_fac,0.5,0))+Sens!H2010*IF(3&lt;life_fac,1,IF(3=life_fac,0.5,0))+Sens!I2010*IF(2&lt;life_fac,1,IF(2=life_fac,0.5,0))+Sens!J2010*IF(1&lt;life_fac,1,IF(1=life_fac,0.5,0))+Sens!K2010*0.5)/life_fac</f>
        <v>9.9511867644</v>
      </c>
    </row>
    <row r="2016" customFormat="false" ht="17.15" hidden="false" customHeight="false" outlineLevel="0" collapsed="false">
      <c r="A2016" s="0" t="s">
        <v>844</v>
      </c>
      <c r="B2016" s="0" t="s">
        <v>98</v>
      </c>
      <c r="E2016" s="6" t="n">
        <f aca="false">Sens!E2014+Sens!E2015</f>
        <v>19.5664871725</v>
      </c>
      <c r="F2016" s="6" t="n">
        <f aca="false">Sens!F2014+Sens!F2015</f>
        <v>40.8598648571467</v>
      </c>
      <c r="G2016" s="6" t="n">
        <f aca="false">Sens!G2014+Sens!G2015</f>
        <v>70.9505245326133</v>
      </c>
      <c r="H2016" s="6" t="n">
        <f aca="false">Sens!H2014+Sens!H2015</f>
        <v>103.633223811973</v>
      </c>
      <c r="I2016" s="6" t="n">
        <f aca="false">Sens!I2014+Sens!I2015</f>
        <v>132.726892598871</v>
      </c>
      <c r="J2016" s="6" t="n">
        <f aca="false">Sens!J2014+Sens!J2015</f>
        <v>153.362897727405</v>
      </c>
      <c r="K2016" s="6" t="n">
        <f aca="false">Sens!K2014+Sens!K2015</f>
        <v>165.919620785574</v>
      </c>
    </row>
    <row r="2017" customFormat="false" ht="17.15" hidden="false" customHeight="false" outlineLevel="0" collapsed="false">
      <c r="A2017" s="0" t="s">
        <v>845</v>
      </c>
      <c r="B2017" s="0" t="s">
        <v>98</v>
      </c>
      <c r="E2017" s="6" t="n">
        <f aca="false">Sens!E2005-Sens!E2004*Sens!E2016</f>
        <v>8.92707889977379</v>
      </c>
      <c r="F2017" s="6" t="n">
        <f aca="false">Sens!F2005-Sens!F2004*Sens!F2016</f>
        <v>19.0295083206205</v>
      </c>
      <c r="G2017" s="6" t="n">
        <f aca="false">Sens!G2005-Sens!G2004*Sens!G2016</f>
        <v>31.0774922914994</v>
      </c>
      <c r="H2017" s="6" t="n">
        <f aca="false">Sens!H2005-Sens!H2004*Sens!H2016</f>
        <v>43.4030330778723</v>
      </c>
      <c r="I2017" s="6" t="n">
        <f aca="false">Sens!I2005-Sens!I2004*Sens!I2016</f>
        <v>54.3591447183526</v>
      </c>
      <c r="J2017" s="6" t="n">
        <f aca="false">Sens!J2005-Sens!J2004*Sens!J2016</f>
        <v>61.9554816555455</v>
      </c>
      <c r="K2017" s="6" t="n">
        <f aca="false">Sens!K2005-Sens!K2004*Sens!K2016</f>
        <v>67.1750272256108</v>
      </c>
    </row>
    <row r="2018" customFormat="false" ht="17.15" hidden="false" customHeight="false" outlineLevel="0" collapsed="false">
      <c r="A2018" s="3" t="s">
        <v>1285</v>
      </c>
    </row>
    <row r="2019" customFormat="false" ht="15" hidden="false" customHeight="false" outlineLevel="0" collapsed="false">
      <c r="A2019" s="4" t="s">
        <v>43</v>
      </c>
      <c r="B2019" s="4" t="s">
        <v>65</v>
      </c>
      <c r="C2019" s="20" t="s">
        <v>788</v>
      </c>
      <c r="D2019" s="20" t="s">
        <v>789</v>
      </c>
      <c r="E2019" s="20" t="s">
        <v>790</v>
      </c>
      <c r="F2019" s="20" t="s">
        <v>791</v>
      </c>
      <c r="G2019" s="20" t="s">
        <v>792</v>
      </c>
      <c r="H2019" s="20" t="s">
        <v>793</v>
      </c>
      <c r="I2019" s="20" t="s">
        <v>794</v>
      </c>
      <c r="J2019" s="20" t="s">
        <v>795</v>
      </c>
      <c r="K2019" s="20" t="s">
        <v>796</v>
      </c>
      <c r="L2019" s="4" t="s">
        <v>47</v>
      </c>
    </row>
    <row r="2020" customFormat="false" ht="17.15" hidden="false" customHeight="false" outlineLevel="0" collapsed="false">
      <c r="A2020" s="0" t="s">
        <v>864</v>
      </c>
      <c r="B2020" s="0" t="s">
        <v>98</v>
      </c>
      <c r="D2020" s="6" t="n">
        <f aca="false">Sens!D1999</f>
        <v>12.9359794422418</v>
      </c>
      <c r="E2020" s="6" t="n">
        <f aca="false">Sens!E1999</f>
        <v>27.8095064661409</v>
      </c>
      <c r="F2020" s="6" t="n">
        <f aca="false">Sens!F1999</f>
        <v>55.0640065749585</v>
      </c>
      <c r="G2020" s="6" t="n">
        <f aca="false">Sens!G1999</f>
        <v>89.4505413190538</v>
      </c>
      <c r="H2020" s="6" t="n">
        <f aca="false">Sens!H1999</f>
        <v>124.835630736874</v>
      </c>
      <c r="I2020" s="6" t="n">
        <f aca="false">Sens!I1999</f>
        <v>156.158460265485</v>
      </c>
      <c r="J2020" s="6" t="n">
        <f aca="false">Sens!J1999</f>
        <v>177.99455972577</v>
      </c>
      <c r="K2020" s="6" t="n">
        <f aca="false">Sens!K1999</f>
        <v>191.597101773408</v>
      </c>
    </row>
    <row r="2021" customFormat="false" ht="17.15" hidden="false" customHeight="false" outlineLevel="0" collapsed="false">
      <c r="A2021" s="0" t="s">
        <v>865</v>
      </c>
      <c r="B2021" s="0" t="s">
        <v>98</v>
      </c>
      <c r="D2021" s="6" t="n">
        <f aca="false">Q!L6-Sens!D2020</f>
        <v>59.6740205577583</v>
      </c>
      <c r="E2021" s="6" t="n">
        <f aca="false">Q!M6-Sens!E2020</f>
        <v>74.1284935338591</v>
      </c>
      <c r="F2021" s="6" t="n">
        <f aca="false">Sens!E2021*(1+Sens!F2022)</f>
        <v>90.0799497373663</v>
      </c>
      <c r="G2021" s="6" t="n">
        <f aca="false">Sens!F2021*(1+Sens!G2022)</f>
        <v>107.02842520331</v>
      </c>
      <c r="H2021" s="6" t="n">
        <f aca="false">Sens!G2021*(1+Sens!H2022)</f>
        <v>124.271982585636</v>
      </c>
      <c r="I2021" s="6" t="n">
        <f aca="false">Sens!H2021*(1+Sens!I2022)</f>
        <v>140.933702381855</v>
      </c>
      <c r="J2021" s="6" t="n">
        <f aca="false">Sens!I2021*(1+Sens!J2022)</f>
        <v>156.018867314332</v>
      </c>
      <c r="K2021" s="6" t="n">
        <f aca="false">Sens!J2021*(1+Sens!K2022)</f>
        <v>168.500376699478</v>
      </c>
    </row>
    <row r="2022" customFormat="false" ht="15" hidden="false" customHeight="false" outlineLevel="0" collapsed="false">
      <c r="A2022" s="1" t="s">
        <v>866</v>
      </c>
      <c r="B2022" s="0" t="s">
        <v>129</v>
      </c>
      <c r="E2022" s="7" t="n">
        <f aca="false">Sens!E2021/Sens!D2021-1</f>
        <v>0.242223883039864</v>
      </c>
      <c r="F2022" s="7" t="n">
        <f aca="false">Sens!$E$2022+(glt_azo-Sens!$E$2022)*MIN(1,(Sens!F1982-base_fy)/n_conv)</f>
        <v>0.215186569199887</v>
      </c>
      <c r="G2022" s="7" t="n">
        <f aca="false">Sens!$E$2022+(glt_azo-Sens!$E$2022)*MIN(1,(Sens!G1982-base_fy)/n_conv)</f>
        <v>0.18814925535991</v>
      </c>
      <c r="H2022" s="7" t="n">
        <f aca="false">Sens!$E$2022+(glt_azo-Sens!$E$2022)*MIN(1,(Sens!H1982-base_fy)/n_conv)</f>
        <v>0.161111941519932</v>
      </c>
      <c r="I2022" s="7" t="n">
        <f aca="false">Sens!$E$2022+(glt_azo-Sens!$E$2022)*MIN(1,(Sens!I1982-base_fy)/n_conv)</f>
        <v>0.134074627679955</v>
      </c>
      <c r="J2022" s="7" t="n">
        <f aca="false">Sens!$E$2022+(glt_azo-Sens!$E$2022)*MIN(1,(Sens!J1982-base_fy)/n_conv)</f>
        <v>0.107037313839977</v>
      </c>
      <c r="K2022" s="7" t="n">
        <f aca="false">Sens!$E$2022+(glt_azo-Sens!$E$2022)*MIN(1,(Sens!K1982-base_fy)/n_conv)</f>
        <v>0.08</v>
      </c>
    </row>
    <row r="2023" customFormat="false" ht="15" hidden="false" customHeight="false" outlineLevel="0" collapsed="false">
      <c r="A2023" s="0" t="s">
        <v>867</v>
      </c>
      <c r="B2023" s="0" t="s">
        <v>98</v>
      </c>
      <c r="D2023" s="6" t="n">
        <f aca="false">Sens!D2020+Sens!D2021</f>
        <v>72.61</v>
      </c>
      <c r="E2023" s="6" t="n">
        <f aca="false">Sens!E2020+Sens!E2021</f>
        <v>101.938</v>
      </c>
      <c r="F2023" s="6" t="n">
        <f aca="false">Sens!F2020+Sens!F2021</f>
        <v>145.143956312325</v>
      </c>
      <c r="G2023" s="6" t="n">
        <f aca="false">Sens!G2020+Sens!G2021</f>
        <v>196.478966522364</v>
      </c>
      <c r="H2023" s="6" t="n">
        <f aca="false">Sens!H2020+Sens!H2021</f>
        <v>249.10761332251</v>
      </c>
      <c r="I2023" s="6" t="n">
        <f aca="false">Sens!I2020+Sens!I2021</f>
        <v>297.09216264734</v>
      </c>
      <c r="J2023" s="6" t="n">
        <f aca="false">Sens!J2020+Sens!J2021</f>
        <v>334.013427040101</v>
      </c>
      <c r="K2023" s="6" t="n">
        <f aca="false">Sens!K2020+Sens!K2021</f>
        <v>360.097478472886</v>
      </c>
    </row>
    <row r="2024" customFormat="false" ht="17.15" hidden="false" customHeight="false" outlineLevel="0" collapsed="false">
      <c r="A2024" s="0" t="s">
        <v>868</v>
      </c>
      <c r="B2024" s="1" t="s">
        <v>521</v>
      </c>
      <c r="C2024" s="29" t="n">
        <f aca="false">cop_s24</f>
        <v>1</v>
      </c>
      <c r="D2024" s="29" t="n">
        <f aca="false">cop_s25</f>
        <v>5</v>
      </c>
      <c r="E2024" s="29" t="n">
        <f aca="false">cop_s26</f>
        <v>30</v>
      </c>
      <c r="F2024" s="29" t="n">
        <f aca="false">Sens!E2024+cop_add_B</f>
        <v>50</v>
      </c>
      <c r="G2024" s="29" t="n">
        <f aca="false">Sens!F2024+cop_add_B</f>
        <v>70</v>
      </c>
      <c r="H2024" s="29" t="n">
        <f aca="false">Sens!G2024+cop_add_B</f>
        <v>90</v>
      </c>
      <c r="I2024" s="29" t="n">
        <f aca="false">Sens!H2024+cop_add_B*cop_tail</f>
        <v>100</v>
      </c>
      <c r="J2024" s="29" t="n">
        <f aca="false">Sens!I2024+cop_add_B*cop_tail</f>
        <v>110</v>
      </c>
      <c r="K2024" s="29" t="n">
        <f aca="false">Sens!J2024+cop_add_B*cop_tail</f>
        <v>120</v>
      </c>
      <c r="L2024" s="11" t="s">
        <v>869</v>
      </c>
    </row>
    <row r="2025" customFormat="false" ht="17.15" hidden="false" customHeight="false" outlineLevel="0" collapsed="false">
      <c r="A2025" s="0" t="s">
        <v>870</v>
      </c>
      <c r="B2025" s="0" t="s">
        <v>98</v>
      </c>
      <c r="D2025" s="6" t="n">
        <f aca="false">(Sens!C2024+Sens!D2024)/2*cop_px*12/1000</f>
        <v>0.9</v>
      </c>
      <c r="E2025" s="6" t="n">
        <f aca="false">(Sens!D2024+Sens!E2024)/2*cop_px*12/1000</f>
        <v>5.25</v>
      </c>
      <c r="F2025" s="6" t="n">
        <f aca="false">(Sens!E2024+Sens!F2024)/2*cop_px*12/1000</f>
        <v>12</v>
      </c>
      <c r="G2025" s="6" t="n">
        <f aca="false">(Sens!F2024+Sens!G2024)/2*cop_px*12/1000</f>
        <v>18</v>
      </c>
      <c r="H2025" s="6" t="n">
        <f aca="false">(Sens!G2024+Sens!H2024)/2*cop_px*12/1000</f>
        <v>24</v>
      </c>
      <c r="I2025" s="6" t="n">
        <f aca="false">(Sens!H2024+Sens!I2024)/2*cop_px*12/1000</f>
        <v>28.5</v>
      </c>
      <c r="J2025" s="6" t="n">
        <f aca="false">(Sens!I2024+Sens!J2024)/2*cop_px*12/1000</f>
        <v>31.5</v>
      </c>
      <c r="K2025" s="6" t="n">
        <f aca="false">(Sens!J2024+Sens!K2024)/2*cop_px*12/1000</f>
        <v>34.5</v>
      </c>
      <c r="L2025" s="1" t="s">
        <v>871</v>
      </c>
    </row>
    <row r="2026" customFormat="false" ht="17.15" hidden="false" customHeight="false" outlineLevel="0" collapsed="false">
      <c r="A2026" s="0" t="s">
        <v>872</v>
      </c>
      <c r="B2026" s="0" t="s">
        <v>98</v>
      </c>
      <c r="D2026" s="6" t="n">
        <f aca="false">Q!L7-Sens!D2025</f>
        <v>83.705</v>
      </c>
      <c r="E2026" s="6" t="n">
        <f aca="false">Q!M7-Sens!E2025</f>
        <v>95.049</v>
      </c>
      <c r="F2026" s="6" t="n">
        <f aca="false">Sens!E2026*(1+Sens!F2027)</f>
        <v>106.89238776686</v>
      </c>
      <c r="G2026" s="6" t="n">
        <f aca="false">Sens!F2026*(1+Sens!G2027)</f>
        <v>119.044168448684</v>
      </c>
      <c r="H2026" s="6" t="n">
        <f aca="false">Sens!G2026*(1+Sens!H2027)</f>
        <v>131.277359388781</v>
      </c>
      <c r="I2026" s="6" t="n">
        <f aca="false">Sens!H2026*(1+Sens!I2027)</f>
        <v>143.334028071957</v>
      </c>
      <c r="J2026" s="6" t="n">
        <f aca="false">Sens!I2026*(1+Sens!J2027)</f>
        <v>154.932702785465</v>
      </c>
      <c r="K2026" s="6" t="n">
        <f aca="false">Sens!J2026*(1+Sens!K2027)</f>
        <v>165.777991980448</v>
      </c>
    </row>
    <row r="2027" customFormat="false" ht="15" hidden="false" customHeight="false" outlineLevel="0" collapsed="false">
      <c r="A2027" s="1" t="s">
        <v>866</v>
      </c>
      <c r="B2027" s="0" t="s">
        <v>129</v>
      </c>
      <c r="E2027" s="7" t="n">
        <f aca="false">Sens!E2026/Sens!D2026-1</f>
        <v>0.135523564900544</v>
      </c>
      <c r="F2027" s="7" t="n">
        <f aca="false">Sens!$E$2027+(glt_m365b-Sens!$E$2027)*MIN(1,(Sens!F1982-base_fy)/n_conv)</f>
        <v>0.124602970750453</v>
      </c>
      <c r="G2027" s="7" t="n">
        <f aca="false">Sens!$E$2027+(glt_m365b-Sens!$E$2027)*MIN(1,(Sens!G1982-base_fy)/n_conv)</f>
        <v>0.113682376600363</v>
      </c>
      <c r="H2027" s="7" t="n">
        <f aca="false">Sens!$E$2027+(glt_m365b-Sens!$E$2027)*MIN(1,(Sens!H1982-base_fy)/n_conv)</f>
        <v>0.102761782450272</v>
      </c>
      <c r="I2027" s="7" t="n">
        <f aca="false">Sens!$E$2027+(glt_m365b-Sens!$E$2027)*MIN(1,(Sens!I1982-base_fy)/n_conv)</f>
        <v>0.0918411883001813</v>
      </c>
      <c r="J2027" s="7" t="n">
        <f aca="false">Sens!$E$2027+(glt_m365b-Sens!$E$2027)*MIN(1,(Sens!J1982-base_fy)/n_conv)</f>
        <v>0.0809205941500906</v>
      </c>
      <c r="K2027" s="7" t="n">
        <f aca="false">Sens!$E$2027+(glt_m365b-Sens!$E$2027)*MIN(1,(Sens!K1982-base_fy)/n_conv)</f>
        <v>0.07</v>
      </c>
    </row>
    <row r="2028" customFormat="false" ht="15" hidden="false" customHeight="false" outlineLevel="0" collapsed="false">
      <c r="A2028" s="0" t="s">
        <v>873</v>
      </c>
      <c r="B2028" s="0" t="s">
        <v>98</v>
      </c>
      <c r="D2028" s="6" t="n">
        <f aca="false">Sens!D2026+Sens!D2025</f>
        <v>84.605</v>
      </c>
      <c r="E2028" s="6" t="n">
        <f aca="false">Sens!E2026+Sens!E2025</f>
        <v>100.299</v>
      </c>
      <c r="F2028" s="6" t="n">
        <f aca="false">Sens!F2026+Sens!F2025</f>
        <v>118.89238776686</v>
      </c>
      <c r="G2028" s="6" t="n">
        <f aca="false">Sens!G2026+Sens!G2025</f>
        <v>137.044168448684</v>
      </c>
      <c r="H2028" s="6" t="n">
        <f aca="false">Sens!H2026+Sens!H2025</f>
        <v>155.277359388781</v>
      </c>
      <c r="I2028" s="6" t="n">
        <f aca="false">Sens!I2026+Sens!I2025</f>
        <v>171.834028071957</v>
      </c>
      <c r="J2028" s="6" t="n">
        <f aca="false">Sens!J2026+Sens!J2025</f>
        <v>186.432702785465</v>
      </c>
      <c r="K2028" s="6" t="n">
        <f aca="false">Sens!K2026+Sens!K2025</f>
        <v>200.277991980448</v>
      </c>
    </row>
    <row r="2029" customFormat="false" ht="15" hidden="false" customHeight="false" outlineLevel="0" collapsed="false">
      <c r="A2029" s="0" t="s">
        <v>874</v>
      </c>
      <c r="B2029" s="0" t="s">
        <v>98</v>
      </c>
      <c r="D2029" s="6" t="n">
        <f aca="false">Q!L8</f>
        <v>35.391</v>
      </c>
      <c r="E2029" s="6" t="n">
        <f aca="false">Q!M8</f>
        <v>37.285</v>
      </c>
      <c r="F2029" s="6" t="n">
        <f aca="false">Sens!E2029*(1+Sens!F2030)</f>
        <v>39.0720834331704</v>
      </c>
      <c r="G2029" s="6" t="n">
        <f aca="false">Sens!F2029*(1+Sens!G2030)</f>
        <v>40.726562953769</v>
      </c>
      <c r="H2029" s="6" t="n">
        <f aca="false">Sens!G2029*(1+Sens!H2030)</f>
        <v>42.2235987259198</v>
      </c>
      <c r="I2029" s="6" t="n">
        <f aca="false">Sens!H2029*(1+Sens!I2030)</f>
        <v>43.5397988077414</v>
      </c>
      <c r="J2029" s="6" t="n">
        <f aca="false">Sens!I2029*(1+Sens!J2030)</f>
        <v>44.653811225693</v>
      </c>
      <c r="K2029" s="6" t="n">
        <f aca="false">Sens!J2029*(1+Sens!K2030)</f>
        <v>45.5468874502068</v>
      </c>
    </row>
    <row r="2030" customFormat="false" ht="15" hidden="false" customHeight="false" outlineLevel="0" collapsed="false">
      <c r="A2030" s="1" t="s">
        <v>866</v>
      </c>
      <c r="B2030" s="0" t="s">
        <v>129</v>
      </c>
      <c r="E2030" s="7" t="n">
        <f aca="false">Sens!E2029/Sens!D2029-1</f>
        <v>0.0535164307309768</v>
      </c>
      <c r="F2030" s="7" t="n">
        <f aca="false">Sens!$E$2030+(glt_lic-Sens!$E$2030)*MIN(1,(Sens!F1982-base_fy)/n_conv)</f>
        <v>0.0479303589424807</v>
      </c>
      <c r="G2030" s="7" t="n">
        <f aca="false">Sens!$E$2030+(glt_lic-Sens!$E$2030)*MIN(1,(Sens!G1982-base_fy)/n_conv)</f>
        <v>0.0423442871539845</v>
      </c>
      <c r="H2030" s="7" t="n">
        <f aca="false">Sens!$E$2030+(glt_lic-Sens!$E$2030)*MIN(1,(Sens!H1982-base_fy)/n_conv)</f>
        <v>0.0367582153654884</v>
      </c>
      <c r="I2030" s="7" t="n">
        <f aca="false">Sens!$E$2030+(glt_lic-Sens!$E$2030)*MIN(1,(Sens!I1982-base_fy)/n_conv)</f>
        <v>0.0311721435769923</v>
      </c>
      <c r="J2030" s="7" t="n">
        <f aca="false">Sens!$E$2030+(glt_lic-Sens!$E$2030)*MIN(1,(Sens!J1982-base_fy)/n_conv)</f>
        <v>0.0255860717884961</v>
      </c>
      <c r="K2030" s="7" t="n">
        <f aca="false">Sens!$E$2030+(glt_lic-Sens!$E$2030)*MIN(1,(Sens!K1982-base_fy)/n_conv)</f>
        <v>0.02</v>
      </c>
    </row>
    <row r="2031" customFormat="false" ht="15" hidden="false" customHeight="false" outlineLevel="0" collapsed="false">
      <c r="A2031" s="0" t="s">
        <v>875</v>
      </c>
      <c r="B2031" s="0" t="s">
        <v>98</v>
      </c>
      <c r="D2031" s="6" t="n">
        <f aca="false">Q!L9</f>
        <v>18.417</v>
      </c>
      <c r="E2031" s="6" t="n">
        <f aca="false">Q!M9</f>
        <v>20.345</v>
      </c>
      <c r="F2031" s="6" t="n">
        <f aca="false">Sens!E2031*(1+Sens!F2032)</f>
        <v>22.3572203267814</v>
      </c>
      <c r="G2031" s="6" t="n">
        <f aca="false">Sens!F2031*(1+Sens!G2032)</f>
        <v>24.4392124437232</v>
      </c>
      <c r="H2031" s="6" t="n">
        <f aca="false">Sens!G2031*(1+Sens!H2032)</f>
        <v>26.5738052080665</v>
      </c>
      <c r="I2031" s="6" t="n">
        <f aca="false">Sens!H2031*(1+Sens!I2032)</f>
        <v>28.7412169166967</v>
      </c>
      <c r="J2031" s="6" t="n">
        <f aca="false">Sens!I2031*(1+Sens!J2032)</f>
        <v>30.9192545395413</v>
      </c>
      <c r="K2031" s="6" t="n">
        <f aca="false">Sens!J2031*(1+Sens!K2032)</f>
        <v>33.0836023573092</v>
      </c>
    </row>
    <row r="2032" customFormat="false" ht="15" hidden="false" customHeight="false" outlineLevel="0" collapsed="false">
      <c r="A2032" s="1" t="s">
        <v>866</v>
      </c>
      <c r="B2032" s="0" t="s">
        <v>129</v>
      </c>
      <c r="E2032" s="7" t="n">
        <f aca="false">Sens!E2031/Sens!D2031-1</f>
        <v>0.104685888038225</v>
      </c>
      <c r="F2032" s="7" t="n">
        <f aca="false">Sens!$E$2032+(glt_ind-Sens!$E$2032)*MIN(1,(Sens!F1982-base_fy)/n_conv)</f>
        <v>0.0989049066985211</v>
      </c>
      <c r="G2032" s="7" t="n">
        <f aca="false">Sens!$E$2032+(glt_ind-Sens!$E$2032)*MIN(1,(Sens!G1982-base_fy)/n_conv)</f>
        <v>0.0931239253588169</v>
      </c>
      <c r="H2032" s="7" t="n">
        <f aca="false">Sens!$E$2032+(glt_ind-Sens!$E$2032)*MIN(1,(Sens!H1982-base_fy)/n_conv)</f>
        <v>0.0873429440191127</v>
      </c>
      <c r="I2032" s="7" t="n">
        <f aca="false">Sens!$E$2032+(glt_ind-Sens!$E$2032)*MIN(1,(Sens!I1982-base_fy)/n_conv)</f>
        <v>0.0815619626794085</v>
      </c>
      <c r="J2032" s="7" t="n">
        <f aca="false">Sens!$E$2032+(glt_ind-Sens!$E$2032)*MIN(1,(Sens!J1982-base_fy)/n_conv)</f>
        <v>0.0757809813397042</v>
      </c>
      <c r="K2032" s="7" t="n">
        <f aca="false">Sens!$E$2032+(glt_ind-Sens!$E$2032)*MIN(1,(Sens!K1982-base_fy)/n_conv)</f>
        <v>0.07</v>
      </c>
    </row>
    <row r="2033" customFormat="false" ht="15" hidden="false" customHeight="false" outlineLevel="0" collapsed="false">
      <c r="A2033" s="0" t="s">
        <v>876</v>
      </c>
      <c r="B2033" s="0" t="s">
        <v>98</v>
      </c>
      <c r="D2033" s="6" t="n">
        <f aca="false">Q!L10</f>
        <v>7.76</v>
      </c>
      <c r="E2033" s="6" t="n">
        <f aca="false">Q!M10</f>
        <v>8.26</v>
      </c>
      <c r="F2033" s="6" t="n">
        <f aca="false">Sens!E2033*(1+Sens!F2034)</f>
        <v>8.79988041237113</v>
      </c>
      <c r="G2033" s="6" t="n">
        <f aca="false">Sens!F2033*(1+Sens!G2034)</f>
        <v>9.38321269125306</v>
      </c>
      <c r="H2033" s="6" t="n">
        <f aca="false">Sens!G2033*(1+Sens!H2034)</f>
        <v>10.0139193587476</v>
      </c>
      <c r="I2033" s="6" t="n">
        <f aca="false">Sens!H2033*(1+Sens!I2034)</f>
        <v>10.6963111830911</v>
      </c>
      <c r="J2033" s="6" t="n">
        <f aca="false">Sens!I2033*(1+Sens!J2034)</f>
        <v>11.4351285534696</v>
      </c>
      <c r="K2033" s="6" t="n">
        <f aca="false">Sens!J2033*(1+Sens!K2034)</f>
        <v>12.2355875522124</v>
      </c>
    </row>
    <row r="2034" customFormat="false" ht="15" hidden="false" customHeight="false" outlineLevel="0" collapsed="false">
      <c r="A2034" s="1" t="s">
        <v>866</v>
      </c>
      <c r="B2034" s="0" t="s">
        <v>129</v>
      </c>
      <c r="E2034" s="7" t="n">
        <f aca="false">Sens!E2033/Sens!D2033-1</f>
        <v>0.0644329896907216</v>
      </c>
      <c r="F2034" s="7" t="n">
        <f aca="false">Sens!$E$2034+(glt_fro-Sens!$E$2034)*MIN(1,(Sens!F1982-base_fy)/n_conv)</f>
        <v>0.065360824742268</v>
      </c>
      <c r="G2034" s="7" t="n">
        <f aca="false">Sens!$E$2034+(glt_fro-Sens!$E$2034)*MIN(1,(Sens!G1982-base_fy)/n_conv)</f>
        <v>0.0662886597938144</v>
      </c>
      <c r="H2034" s="7" t="n">
        <f aca="false">Sens!$E$2034+(glt_fro-Sens!$E$2034)*MIN(1,(Sens!H1982-base_fy)/n_conv)</f>
        <v>0.0672164948453608</v>
      </c>
      <c r="I2034" s="7" t="n">
        <f aca="false">Sens!$E$2034+(glt_fro-Sens!$E$2034)*MIN(1,(Sens!I1982-base_fy)/n_conv)</f>
        <v>0.0681443298969072</v>
      </c>
      <c r="J2034" s="7" t="n">
        <f aca="false">Sens!$E$2034+(glt_fro-Sens!$E$2034)*MIN(1,(Sens!J1982-base_fy)/n_conv)</f>
        <v>0.0690721649484536</v>
      </c>
      <c r="K2034" s="7" t="n">
        <f aca="false">Sens!$E$2034+(glt_fro-Sens!$E$2034)*MIN(1,(Sens!K1982-base_fy)/n_conv)</f>
        <v>0.07</v>
      </c>
    </row>
    <row r="2035" customFormat="false" ht="15" hidden="false" customHeight="false" outlineLevel="0" collapsed="false">
      <c r="A2035" s="0" t="s">
        <v>704</v>
      </c>
      <c r="B2035" s="0" t="s">
        <v>98</v>
      </c>
      <c r="D2035" s="6" t="n">
        <f aca="false">Sens!D2023+Sens!D2028+Sens!D2029+Sens!D2031+Sens!D2033</f>
        <v>218.783</v>
      </c>
      <c r="E2035" s="6" t="n">
        <f aca="false">Sens!E2023+Sens!E2028+Sens!E2029+Sens!E2031+Sens!E2033</f>
        <v>268.127</v>
      </c>
      <c r="F2035" s="6" t="n">
        <f aca="false">Sens!F2023+Sens!F2028+Sens!F2029+Sens!F2031+Sens!F2033</f>
        <v>334.265528251508</v>
      </c>
      <c r="G2035" s="6" t="n">
        <f aca="false">Sens!G2023+Sens!G2028+Sens!G2029+Sens!G2031+Sens!G2033</f>
        <v>408.072123059793</v>
      </c>
      <c r="H2035" s="6" t="n">
        <f aca="false">Sens!H2023+Sens!H2028+Sens!H2029+Sens!H2031+Sens!H2033</f>
        <v>483.196296004025</v>
      </c>
      <c r="I2035" s="6" t="n">
        <f aca="false">Sens!I2023+Sens!I2028+Sens!I2029+Sens!I2031+Sens!I2033</f>
        <v>551.903517626826</v>
      </c>
      <c r="J2035" s="6" t="n">
        <f aca="false">Sens!J2023+Sens!J2028+Sens!J2029+Sens!J2031+Sens!J2033</f>
        <v>607.45432414427</v>
      </c>
      <c r="K2035" s="6" t="n">
        <f aca="false">Sens!K2023+Sens!K2028+Sens!K2029+Sens!K2031+Sens!K2033</f>
        <v>651.241547813062</v>
      </c>
    </row>
    <row r="2036" customFormat="false" ht="15" hidden="false" customHeight="false" outlineLevel="0" collapsed="false">
      <c r="A2036" s="0" t="s">
        <v>877</v>
      </c>
      <c r="B2036" s="0" t="s">
        <v>98</v>
      </c>
      <c r="D2036" s="6" t="n">
        <f aca="false">Q!L13</f>
        <v>22.171</v>
      </c>
      <c r="E2036" s="6" t="n">
        <f aca="false">Q!M13</f>
        <v>24.835</v>
      </c>
      <c r="F2036" s="6" t="n">
        <f aca="false">Sens!E2036*(1+Sens!F2037)</f>
        <v>27.6114901218559</v>
      </c>
      <c r="G2036" s="6" t="n">
        <f aca="false">Sens!F2036*(1+Sens!G2037)</f>
        <v>30.4675667338515</v>
      </c>
      <c r="H2036" s="6" t="n">
        <f aca="false">Sens!G2036*(1+Sens!H2037)</f>
        <v>33.3643766955789</v>
      </c>
      <c r="I2036" s="6" t="n">
        <f aca="false">Sens!H2036*(1+Sens!I2037)</f>
        <v>36.2577016533691</v>
      </c>
      <c r="J2036" s="6" t="n">
        <f aca="false">Sens!I2036*(1+Sens!J2037)</f>
        <v>39.0988367952171</v>
      </c>
      <c r="K2036" s="6" t="n">
        <f aca="false">Sens!J2036*(1+Sens!K2037)</f>
        <v>41.8357553708823</v>
      </c>
    </row>
    <row r="2037" customFormat="false" ht="15" hidden="false" customHeight="false" outlineLevel="0" collapsed="false">
      <c r="A2037" s="1" t="s">
        <v>866</v>
      </c>
      <c r="B2037" s="0" t="s">
        <v>129</v>
      </c>
      <c r="E2037" s="7" t="n">
        <f aca="false">Sens!E2036/Sens!D2036-1</f>
        <v>0.120156961796942</v>
      </c>
      <c r="F2037" s="7" t="n">
        <f aca="false">Sens!$E$2037+(glt_srch-Sens!$E$2037)*MIN(1,(Sens!F1982-base_fy)/n_conv)</f>
        <v>0.111797468164118</v>
      </c>
      <c r="G2037" s="7" t="n">
        <f aca="false">Sens!$E$2037+(glt_srch-Sens!$E$2037)*MIN(1,(Sens!G1982-base_fy)/n_conv)</f>
        <v>0.103437974531295</v>
      </c>
      <c r="H2037" s="7" t="n">
        <f aca="false">Sens!$E$2037+(glt_srch-Sens!$E$2037)*MIN(1,(Sens!H1982-base_fy)/n_conv)</f>
        <v>0.095078480898471</v>
      </c>
      <c r="I2037" s="7" t="n">
        <f aca="false">Sens!$E$2037+(glt_srch-Sens!$E$2037)*MIN(1,(Sens!I1982-base_fy)/n_conv)</f>
        <v>0.0867189872656474</v>
      </c>
      <c r="J2037" s="7" t="n">
        <f aca="false">Sens!$E$2037+(glt_srch-Sens!$E$2037)*MIN(1,(Sens!J1982-base_fy)/n_conv)</f>
        <v>0.0783594936328237</v>
      </c>
      <c r="K2037" s="7" t="n">
        <f aca="false">Sens!$E$2037+(glt_srch-Sens!$E$2037)*MIN(1,(Sens!K1982-base_fy)/n_conv)</f>
        <v>0.07</v>
      </c>
    </row>
    <row r="2038" customFormat="false" ht="15" hidden="false" customHeight="false" outlineLevel="0" collapsed="false">
      <c r="A2038" s="0" t="s">
        <v>878</v>
      </c>
      <c r="B2038" s="0" t="s">
        <v>98</v>
      </c>
      <c r="D2038" s="6" t="n">
        <f aca="false">Q!L14</f>
        <v>23.455</v>
      </c>
      <c r="E2038" s="6" t="n">
        <f aca="false">Q!M14</f>
        <v>21.79</v>
      </c>
      <c r="F2038" s="6" t="n">
        <f aca="false">Sens!E2038*(1+Sens!F2039)</f>
        <v>20.5736277908051</v>
      </c>
      <c r="G2038" s="6" t="n">
        <f aca="false">Sens!F2038*(1+Sens!G2039)</f>
        <v>19.7371452817919</v>
      </c>
      <c r="H2038" s="6" t="n">
        <f aca="false">Sens!G2038*(1+Sens!H2039)</f>
        <v>19.2339764043138</v>
      </c>
      <c r="I2038" s="6" t="n">
        <f aca="false">Sens!H2038*(1+Sens!I2039)</f>
        <v>19.0353086852681</v>
      </c>
      <c r="J2038" s="6" t="n">
        <f aca="false">Sens!I2038*(1+Sens!J2039)</f>
        <v>19.1273539319129</v>
      </c>
      <c r="K2038" s="6" t="n">
        <f aca="false">Sens!J2038*(1+Sens!K2039)</f>
        <v>19.5099010105511</v>
      </c>
    </row>
    <row r="2039" customFormat="false" ht="15" hidden="false" customHeight="false" outlineLevel="0" collapsed="false">
      <c r="A2039" s="1" t="s">
        <v>866</v>
      </c>
      <c r="B2039" s="0" t="s">
        <v>129</v>
      </c>
      <c r="E2039" s="7" t="n">
        <f aca="false">Sens!E2038/Sens!D2038-1</f>
        <v>-0.0709869963760392</v>
      </c>
      <c r="F2039" s="7" t="n">
        <f aca="false">Sens!$E$2039+(glt_xbox-Sens!$E$2039)*MIN(1,(Sens!F1982-base_fy)/n_conv)</f>
        <v>-0.0558224969800327</v>
      </c>
      <c r="G2039" s="7" t="n">
        <f aca="false">Sens!$E$2039+(glt_xbox-Sens!$E$2039)*MIN(1,(Sens!G1982-base_fy)/n_conv)</f>
        <v>-0.0406579975840262</v>
      </c>
      <c r="H2039" s="7" t="n">
        <f aca="false">Sens!$E$2039+(glt_xbox-Sens!$E$2039)*MIN(1,(Sens!H1982-base_fy)/n_conv)</f>
        <v>-0.0254934981880196</v>
      </c>
      <c r="I2039" s="7" t="n">
        <f aca="false">Sens!$E$2039+(glt_xbox-Sens!$E$2039)*MIN(1,(Sens!I1982-base_fy)/n_conv)</f>
        <v>-0.0103289987920131</v>
      </c>
      <c r="J2039" s="7" t="n">
        <f aca="false">Sens!$E$2039+(glt_xbox-Sens!$E$2039)*MIN(1,(Sens!J1982-base_fy)/n_conv)</f>
        <v>0.00483550060399347</v>
      </c>
      <c r="K2039" s="7" t="n">
        <f aca="false">Sens!$E$2039+(glt_xbox-Sens!$E$2039)*MIN(1,(Sens!K1982-base_fy)/n_conv)</f>
        <v>0.02</v>
      </c>
    </row>
    <row r="2040" customFormat="false" ht="15" hidden="false" customHeight="false" outlineLevel="0" collapsed="false">
      <c r="A2040" s="0" t="s">
        <v>879</v>
      </c>
      <c r="B2040" s="0" t="s">
        <v>98</v>
      </c>
      <c r="D2040" s="6" t="n">
        <f aca="false">Q!L15</f>
        <v>17.315</v>
      </c>
      <c r="E2040" s="6" t="n">
        <f aca="false">Q!M15</f>
        <v>17.087</v>
      </c>
      <c r="F2040" s="6" t="n">
        <f aca="false">Sens!E2040*(1+Sens!F2041)</f>
        <v>16.9564585436519</v>
      </c>
      <c r="G2040" s="6" t="n">
        <f aca="false">Sens!F2040*(1+Sens!G2041)</f>
        <v>16.9206490624268</v>
      </c>
      <c r="H2040" s="6" t="n">
        <f aca="false">Sens!G2040*(1+Sens!H2041)</f>
        <v>16.9784519149849</v>
      </c>
      <c r="I2040" s="6" t="n">
        <f aca="false">Sens!H2040*(1+Sens!I2041)</f>
        <v>17.1303084701817</v>
      </c>
      <c r="J2040" s="6" t="n">
        <f aca="false">Sens!I2040*(1+Sens!J2041)</f>
        <v>17.3782189407267</v>
      </c>
      <c r="K2040" s="6" t="n">
        <f aca="false">Sens!J2040*(1+Sens!K2041)</f>
        <v>17.7257833195413</v>
      </c>
    </row>
    <row r="2041" customFormat="false" ht="15" hidden="false" customHeight="false" outlineLevel="0" collapsed="false">
      <c r="A2041" s="1" t="s">
        <v>866</v>
      </c>
      <c r="B2041" s="0" t="s">
        <v>129</v>
      </c>
      <c r="E2041" s="7" t="n">
        <f aca="false">Sens!E2040/Sens!D2040-1</f>
        <v>-0.0131677736066995</v>
      </c>
      <c r="F2041" s="7" t="n">
        <f aca="false">Sens!$E$2041+(glt_win-Sens!$E$2041)*MIN(1,(Sens!F1982-base_fy)/n_conv)</f>
        <v>-0.00763981133891627</v>
      </c>
      <c r="G2041" s="7" t="n">
        <f aca="false">Sens!$E$2041+(glt_win-Sens!$E$2041)*MIN(1,(Sens!G1982-base_fy)/n_conv)</f>
        <v>-0.00211184907113301</v>
      </c>
      <c r="H2041" s="7" t="n">
        <f aca="false">Sens!$E$2041+(glt_win-Sens!$E$2041)*MIN(1,(Sens!H1982-base_fy)/n_conv)</f>
        <v>0.00341611319665024</v>
      </c>
      <c r="I2041" s="7" t="n">
        <f aca="false">Sens!$E$2041+(glt_win-Sens!$E$2041)*MIN(1,(Sens!I1982-base_fy)/n_conv)</f>
        <v>0.00894407546443349</v>
      </c>
      <c r="J2041" s="7" t="n">
        <f aca="false">Sens!$E$2041+(glt_win-Sens!$E$2041)*MIN(1,(Sens!J1982-base_fy)/n_conv)</f>
        <v>0.0144720377322168</v>
      </c>
      <c r="K2041" s="7" t="n">
        <f aca="false">Sens!$E$2041+(glt_win-Sens!$E$2041)*MIN(1,(Sens!K1982-base_fy)/n_conv)</f>
        <v>0.02</v>
      </c>
    </row>
    <row r="2042" customFormat="false" ht="15" hidden="false" customHeight="false" outlineLevel="0" collapsed="false">
      <c r="A2042" s="0" t="s">
        <v>718</v>
      </c>
      <c r="B2042" s="0" t="s">
        <v>98</v>
      </c>
      <c r="D2042" s="6" t="n">
        <f aca="false">Sens!D2036+Sens!D2038+Sens!D2040</f>
        <v>62.941</v>
      </c>
      <c r="E2042" s="6" t="n">
        <f aca="false">Sens!E2036+Sens!E2038+Sens!E2040</f>
        <v>63.712</v>
      </c>
      <c r="F2042" s="6" t="n">
        <f aca="false">Sens!F2036+Sens!F2038+Sens!F2040</f>
        <v>65.1415764563129</v>
      </c>
      <c r="G2042" s="6" t="n">
        <f aca="false">Sens!G2036+Sens!G2038+Sens!G2040</f>
        <v>67.1253610780702</v>
      </c>
      <c r="H2042" s="6" t="n">
        <f aca="false">Sens!H2036+Sens!H2038+Sens!H2040</f>
        <v>69.5768050148776</v>
      </c>
      <c r="I2042" s="6" t="n">
        <f aca="false">Sens!I2036+Sens!I2038+Sens!I2040</f>
        <v>72.4233188088189</v>
      </c>
      <c r="J2042" s="6" t="n">
        <f aca="false">Sens!J2036+Sens!J2038+Sens!J2040</f>
        <v>75.6044096678567</v>
      </c>
      <c r="K2042" s="6" t="n">
        <f aca="false">Sens!K2036+Sens!K2038+Sens!K2040</f>
        <v>79.0714397009747</v>
      </c>
    </row>
    <row r="2043" customFormat="false" ht="15" hidden="false" customHeight="false" outlineLevel="0" collapsed="false">
      <c r="A2043" s="1" t="s">
        <v>880</v>
      </c>
      <c r="B2043" s="0" t="s">
        <v>98</v>
      </c>
      <c r="D2043" s="6" t="n">
        <f aca="false">Sens!D2035+Sens!D2042</f>
        <v>281.724</v>
      </c>
      <c r="E2043" s="6" t="n">
        <f aca="false">Sens!E2035+Sens!E2042</f>
        <v>331.839</v>
      </c>
      <c r="F2043" s="6" t="n">
        <f aca="false">Sens!F2035+Sens!F2042</f>
        <v>399.407104707821</v>
      </c>
      <c r="G2043" s="6" t="n">
        <f aca="false">Sens!G2035+Sens!G2042</f>
        <v>475.197484137863</v>
      </c>
      <c r="H2043" s="6" t="n">
        <f aca="false">Sens!H2035+Sens!H2042</f>
        <v>552.773101018903</v>
      </c>
      <c r="I2043" s="6" t="n">
        <f aca="false">Sens!I2035+Sens!I2042</f>
        <v>624.326836435645</v>
      </c>
      <c r="J2043" s="6" t="n">
        <f aca="false">Sens!J2035+Sens!J2042</f>
        <v>683.058733812127</v>
      </c>
      <c r="K2043" s="6" t="n">
        <f aca="false">Sens!K2035+Sens!K2042</f>
        <v>730.312987514037</v>
      </c>
    </row>
    <row r="2044" customFormat="false" ht="15" hidden="false" customHeight="false" outlineLevel="0" collapsed="false">
      <c r="A2044" s="23" t="s">
        <v>881</v>
      </c>
      <c r="B2044" s="30" t="s">
        <v>98</v>
      </c>
      <c r="C2044" s="30"/>
      <c r="D2044" s="24" t="n">
        <f aca="false">(Sens!D2023+Sens!D2028+Sens!D2029+Sens!D2031+Sens!D2033-Sens!D2035)+(Sens!D2036+Sens!D2038+Sens!D2040-Sens!D2042)+(Sens!D2035-Q!L5)+(Sens!D2042-Q!L12)+(Sens!D2023-Q!L6)+(Sens!D2028-Q!L7)</f>
        <v>0</v>
      </c>
      <c r="E2044" s="24" t="n">
        <f aca="false">(Sens!E2023+Sens!E2028+Sens!E2029+Sens!E2031+Sens!E2033-Sens!E2035)+(Sens!E2036+Sens!E2038+Sens!E2040-Sens!E2042)+(Sens!E2035-Q!M5)+(Sens!E2042-Q!M12)+(Sens!E2023-Q!M6)+(Sens!E2028-Q!M7)</f>
        <v>0</v>
      </c>
      <c r="F2044" s="24" t="n">
        <f aca="false">(Sens!F2023+Sens!F2028+Sens!F2029+Sens!F2031+Sens!F2033-Sens!F2035)+(Sens!F2036+Sens!F2038+Sens!F2040-Sens!F2042)</f>
        <v>0</v>
      </c>
      <c r="G2044" s="24" t="n">
        <f aca="false">(Sens!G2023+Sens!G2028+Sens!G2029+Sens!G2031+Sens!G2033-Sens!G2035)+(Sens!G2036+Sens!G2038+Sens!G2040-Sens!G2042)</f>
        <v>0</v>
      </c>
      <c r="H2044" s="24" t="n">
        <f aca="false">(Sens!H2023+Sens!H2028+Sens!H2029+Sens!H2031+Sens!H2033-Sens!H2035)+(Sens!H2036+Sens!H2038+Sens!H2040-Sens!H2042)</f>
        <v>0</v>
      </c>
      <c r="I2044" s="24" t="n">
        <f aca="false">(Sens!I2023+Sens!I2028+Sens!I2029+Sens!I2031+Sens!I2033-Sens!I2035)+(Sens!I2036+Sens!I2038+Sens!I2040-Sens!I2042)</f>
        <v>0</v>
      </c>
      <c r="J2044" s="24" t="n">
        <f aca="false">(Sens!J2023+Sens!J2028+Sens!J2029+Sens!J2031+Sens!J2033-Sens!J2035)+(Sens!J2036+Sens!J2038+Sens!J2040-Sens!J2042)</f>
        <v>0</v>
      </c>
      <c r="K2044" s="24" t="n">
        <f aca="false">(Sens!K2023+Sens!K2028+Sens!K2029+Sens!K2031+Sens!K2033-Sens!K2035)+(Sens!K2036+Sens!K2038+Sens!K2040-Sens!K2042)</f>
        <v>0</v>
      </c>
    </row>
    <row r="2045" customFormat="false" ht="17.15" hidden="false" customHeight="false" outlineLevel="0" collapsed="false">
      <c r="A2045" s="3" t="s">
        <v>1286</v>
      </c>
    </row>
    <row r="2046" customFormat="false" ht="15" hidden="false" customHeight="false" outlineLevel="0" collapsed="false">
      <c r="A2046" s="4" t="s">
        <v>43</v>
      </c>
      <c r="B2046" s="4" t="s">
        <v>65</v>
      </c>
      <c r="C2046" s="20" t="s">
        <v>788</v>
      </c>
      <c r="D2046" s="20" t="s">
        <v>789</v>
      </c>
      <c r="E2046" s="20" t="s">
        <v>790</v>
      </c>
      <c r="F2046" s="20" t="s">
        <v>791</v>
      </c>
      <c r="G2046" s="20" t="s">
        <v>792</v>
      </c>
      <c r="H2046" s="20" t="s">
        <v>793</v>
      </c>
      <c r="I2046" s="20" t="s">
        <v>794</v>
      </c>
      <c r="J2046" s="20" t="s">
        <v>795</v>
      </c>
      <c r="K2046" s="20" t="s">
        <v>796</v>
      </c>
      <c r="L2046" s="4" t="s">
        <v>47</v>
      </c>
    </row>
    <row r="2047" customFormat="false" ht="15" hidden="false" customHeight="false" outlineLevel="0" collapsed="false">
      <c r="A2047" s="0" t="s">
        <v>867</v>
      </c>
      <c r="B2047" s="0" t="s">
        <v>98</v>
      </c>
      <c r="D2047" s="6" t="n">
        <f aca="false">Sens!D2023</f>
        <v>72.61</v>
      </c>
      <c r="E2047" s="6" t="n">
        <f aca="false">Sens!E2023</f>
        <v>101.938</v>
      </c>
      <c r="F2047" s="6" t="n">
        <f aca="false">Sens!F2023</f>
        <v>145.143956312325</v>
      </c>
      <c r="G2047" s="6" t="n">
        <f aca="false">Sens!G2023</f>
        <v>196.478966522364</v>
      </c>
      <c r="H2047" s="6" t="n">
        <f aca="false">Sens!H2023</f>
        <v>249.10761332251</v>
      </c>
      <c r="I2047" s="6" t="n">
        <f aca="false">Sens!I2023</f>
        <v>297.09216264734</v>
      </c>
      <c r="J2047" s="6" t="n">
        <f aca="false">Sens!J2023</f>
        <v>334.013427040101</v>
      </c>
      <c r="K2047" s="6" t="n">
        <f aca="false">Sens!K2023</f>
        <v>360.097478472886</v>
      </c>
    </row>
    <row r="2048" customFormat="false" ht="17.15" hidden="false" customHeight="false" outlineLevel="0" collapsed="false">
      <c r="A2048" s="0" t="s">
        <v>864</v>
      </c>
      <c r="B2048" s="0" t="s">
        <v>98</v>
      </c>
      <c r="D2048" s="6" t="n">
        <f aca="false">Sens!D2020</f>
        <v>12.9359794422418</v>
      </c>
      <c r="E2048" s="6" t="n">
        <f aca="false">Sens!E2020</f>
        <v>27.8095064661409</v>
      </c>
      <c r="F2048" s="6" t="n">
        <f aca="false">Sens!F2020</f>
        <v>55.0640065749585</v>
      </c>
      <c r="G2048" s="6" t="n">
        <f aca="false">Sens!G2020</f>
        <v>89.4505413190538</v>
      </c>
      <c r="H2048" s="6" t="n">
        <f aca="false">Sens!H2020</f>
        <v>124.835630736874</v>
      </c>
      <c r="I2048" s="6" t="n">
        <f aca="false">Sens!I2020</f>
        <v>156.158460265485</v>
      </c>
      <c r="J2048" s="6" t="n">
        <f aca="false">Sens!J2020</f>
        <v>177.99455972577</v>
      </c>
      <c r="K2048" s="6" t="n">
        <f aca="false">Sens!K2020</f>
        <v>191.597101773408</v>
      </c>
    </row>
    <row r="2049" customFormat="false" ht="17.15" hidden="false" customHeight="false" outlineLevel="0" collapsed="false">
      <c r="A2049" s="0" t="s">
        <v>892</v>
      </c>
      <c r="B2049" s="0" t="s">
        <v>98</v>
      </c>
      <c r="D2049" s="6" t="n">
        <f aca="false">Sens!D2021</f>
        <v>59.6740205577583</v>
      </c>
      <c r="E2049" s="6" t="n">
        <f aca="false">Sens!E2021</f>
        <v>74.1284935338591</v>
      </c>
      <c r="F2049" s="6" t="n">
        <f aca="false">Sens!F2021</f>
        <v>90.0799497373663</v>
      </c>
      <c r="G2049" s="6" t="n">
        <f aca="false">Sens!G2021</f>
        <v>107.02842520331</v>
      </c>
      <c r="H2049" s="6" t="n">
        <f aca="false">Sens!H2021</f>
        <v>124.271982585636</v>
      </c>
      <c r="I2049" s="6" t="n">
        <f aca="false">Sens!I2021</f>
        <v>140.933702381855</v>
      </c>
      <c r="J2049" s="6" t="n">
        <f aca="false">Sens!J2021</f>
        <v>156.018867314332</v>
      </c>
      <c r="K2049" s="6" t="n">
        <f aca="false">Sens!K2021</f>
        <v>168.500376699478</v>
      </c>
    </row>
    <row r="2050" customFormat="false" ht="15" hidden="false" customHeight="false" outlineLevel="0" collapsed="false">
      <c r="A2050" s="0" t="s">
        <v>873</v>
      </c>
      <c r="B2050" s="0" t="s">
        <v>98</v>
      </c>
      <c r="D2050" s="6" t="n">
        <f aca="false">Sens!D2028</f>
        <v>84.605</v>
      </c>
      <c r="E2050" s="6" t="n">
        <f aca="false">Sens!E2028</f>
        <v>100.299</v>
      </c>
      <c r="F2050" s="6" t="n">
        <f aca="false">Sens!F2028</f>
        <v>118.89238776686</v>
      </c>
      <c r="G2050" s="6" t="n">
        <f aca="false">Sens!G2028</f>
        <v>137.044168448684</v>
      </c>
      <c r="H2050" s="6" t="n">
        <f aca="false">Sens!H2028</f>
        <v>155.277359388781</v>
      </c>
      <c r="I2050" s="6" t="n">
        <f aca="false">Sens!I2028</f>
        <v>171.834028071957</v>
      </c>
      <c r="J2050" s="6" t="n">
        <f aca="false">Sens!J2028</f>
        <v>186.432702785465</v>
      </c>
      <c r="K2050" s="6" t="n">
        <f aca="false">Sens!K2028</f>
        <v>200.277991980448</v>
      </c>
    </row>
    <row r="2051" customFormat="false" ht="17.15" hidden="false" customHeight="false" outlineLevel="0" collapsed="false">
      <c r="A2051" s="0" t="s">
        <v>893</v>
      </c>
      <c r="B2051" s="0" t="s">
        <v>98</v>
      </c>
      <c r="D2051" s="6" t="n">
        <f aca="false">Sens!D2026</f>
        <v>83.705</v>
      </c>
      <c r="E2051" s="6" t="n">
        <f aca="false">Sens!E2026</f>
        <v>95.049</v>
      </c>
      <c r="F2051" s="6" t="n">
        <f aca="false">Sens!F2026</f>
        <v>106.89238776686</v>
      </c>
      <c r="G2051" s="6" t="n">
        <f aca="false">Sens!G2026</f>
        <v>119.044168448684</v>
      </c>
      <c r="H2051" s="6" t="n">
        <f aca="false">Sens!H2026</f>
        <v>131.277359388781</v>
      </c>
      <c r="I2051" s="6" t="n">
        <f aca="false">Sens!I2026</f>
        <v>143.334028071957</v>
      </c>
      <c r="J2051" s="6" t="n">
        <f aca="false">Sens!J2026</f>
        <v>154.932702785465</v>
      </c>
      <c r="K2051" s="6" t="n">
        <f aca="false">Sens!K2026</f>
        <v>165.777991980448</v>
      </c>
    </row>
    <row r="2052" customFormat="false" ht="17.15" hidden="false" customHeight="false" outlineLevel="0" collapsed="false">
      <c r="A2052" s="0" t="s">
        <v>894</v>
      </c>
      <c r="B2052" s="0" t="s">
        <v>98</v>
      </c>
      <c r="D2052" s="6" t="n">
        <f aca="false">Sens!D2025</f>
        <v>0.9</v>
      </c>
      <c r="E2052" s="6" t="n">
        <f aca="false">Sens!E2025</f>
        <v>5.25</v>
      </c>
      <c r="F2052" s="6" t="n">
        <f aca="false">Sens!F2025</f>
        <v>12</v>
      </c>
      <c r="G2052" s="6" t="n">
        <f aca="false">Sens!G2025</f>
        <v>18</v>
      </c>
      <c r="H2052" s="6" t="n">
        <f aca="false">Sens!H2025</f>
        <v>24</v>
      </c>
      <c r="I2052" s="6" t="n">
        <f aca="false">Sens!I2025</f>
        <v>28.5</v>
      </c>
      <c r="J2052" s="6" t="n">
        <f aca="false">Sens!J2025</f>
        <v>31.5</v>
      </c>
      <c r="K2052" s="6" t="n">
        <f aca="false">Sens!K2025</f>
        <v>34.5</v>
      </c>
    </row>
    <row r="2053" customFormat="false" ht="15" hidden="false" customHeight="false" outlineLevel="0" collapsed="false">
      <c r="A2053" s="0" t="s">
        <v>874</v>
      </c>
      <c r="B2053" s="0" t="s">
        <v>98</v>
      </c>
      <c r="D2053" s="6" t="n">
        <f aca="false">Sens!D2029</f>
        <v>35.391</v>
      </c>
      <c r="E2053" s="6" t="n">
        <f aca="false">Sens!E2029</f>
        <v>37.285</v>
      </c>
      <c r="F2053" s="6" t="n">
        <f aca="false">Sens!F2029</f>
        <v>39.0720834331704</v>
      </c>
      <c r="G2053" s="6" t="n">
        <f aca="false">Sens!G2029</f>
        <v>40.726562953769</v>
      </c>
      <c r="H2053" s="6" t="n">
        <f aca="false">Sens!H2029</f>
        <v>42.2235987259198</v>
      </c>
      <c r="I2053" s="6" t="n">
        <f aca="false">Sens!I2029</f>
        <v>43.5397988077414</v>
      </c>
      <c r="J2053" s="6" t="n">
        <f aca="false">Sens!J2029</f>
        <v>44.653811225693</v>
      </c>
      <c r="K2053" s="6" t="n">
        <f aca="false">Sens!K2029</f>
        <v>45.5468874502068</v>
      </c>
    </row>
    <row r="2054" customFormat="false" ht="15" hidden="false" customHeight="false" outlineLevel="0" collapsed="false">
      <c r="A2054" s="0" t="s">
        <v>875</v>
      </c>
      <c r="B2054" s="0" t="s">
        <v>98</v>
      </c>
      <c r="D2054" s="6" t="n">
        <f aca="false">Sens!D2031</f>
        <v>18.417</v>
      </c>
      <c r="E2054" s="6" t="n">
        <f aca="false">Sens!E2031</f>
        <v>20.345</v>
      </c>
      <c r="F2054" s="6" t="n">
        <f aca="false">Sens!F2031</f>
        <v>22.3572203267814</v>
      </c>
      <c r="G2054" s="6" t="n">
        <f aca="false">Sens!G2031</f>
        <v>24.4392124437232</v>
      </c>
      <c r="H2054" s="6" t="n">
        <f aca="false">Sens!H2031</f>
        <v>26.5738052080665</v>
      </c>
      <c r="I2054" s="6" t="n">
        <f aca="false">Sens!I2031</f>
        <v>28.7412169166967</v>
      </c>
      <c r="J2054" s="6" t="n">
        <f aca="false">Sens!J2031</f>
        <v>30.9192545395413</v>
      </c>
      <c r="K2054" s="6" t="n">
        <f aca="false">Sens!K2031</f>
        <v>33.0836023573092</v>
      </c>
    </row>
    <row r="2055" customFormat="false" ht="15" hidden="false" customHeight="false" outlineLevel="0" collapsed="false">
      <c r="A2055" s="0" t="s">
        <v>876</v>
      </c>
      <c r="B2055" s="0" t="s">
        <v>98</v>
      </c>
      <c r="D2055" s="6" t="n">
        <f aca="false">Sens!D2033</f>
        <v>7.76</v>
      </c>
      <c r="E2055" s="6" t="n">
        <f aca="false">Sens!E2033</f>
        <v>8.26</v>
      </c>
      <c r="F2055" s="6" t="n">
        <f aca="false">Sens!F2033</f>
        <v>8.79988041237113</v>
      </c>
      <c r="G2055" s="6" t="n">
        <f aca="false">Sens!G2033</f>
        <v>9.38321269125306</v>
      </c>
      <c r="H2055" s="6" t="n">
        <f aca="false">Sens!H2033</f>
        <v>10.0139193587476</v>
      </c>
      <c r="I2055" s="6" t="n">
        <f aca="false">Sens!I2033</f>
        <v>10.6963111830911</v>
      </c>
      <c r="J2055" s="6" t="n">
        <f aca="false">Sens!J2033</f>
        <v>11.4351285534696</v>
      </c>
      <c r="K2055" s="6" t="n">
        <f aca="false">Sens!K2033</f>
        <v>12.2355875522124</v>
      </c>
    </row>
    <row r="2056" customFormat="false" ht="15" hidden="false" customHeight="false" outlineLevel="0" collapsed="false">
      <c r="A2056" s="0" t="s">
        <v>704</v>
      </c>
      <c r="B2056" s="0" t="s">
        <v>98</v>
      </c>
      <c r="D2056" s="6" t="n">
        <f aca="false">Sens!D2035</f>
        <v>218.783</v>
      </c>
      <c r="E2056" s="6" t="n">
        <f aca="false">Sens!E2035</f>
        <v>268.127</v>
      </c>
      <c r="F2056" s="6" t="n">
        <f aca="false">Sens!F2035</f>
        <v>334.265528251508</v>
      </c>
      <c r="G2056" s="6" t="n">
        <f aca="false">Sens!G2035</f>
        <v>408.072123059793</v>
      </c>
      <c r="H2056" s="6" t="n">
        <f aca="false">Sens!H2035</f>
        <v>483.196296004025</v>
      </c>
      <c r="I2056" s="6" t="n">
        <f aca="false">Sens!I2035</f>
        <v>551.903517626826</v>
      </c>
      <c r="J2056" s="6" t="n">
        <f aca="false">Sens!J2035</f>
        <v>607.45432414427</v>
      </c>
      <c r="K2056" s="6" t="n">
        <f aca="false">Sens!K2035</f>
        <v>651.241547813062</v>
      </c>
    </row>
    <row r="2057" customFormat="false" ht="15" hidden="false" customHeight="false" outlineLevel="0" collapsed="false">
      <c r="A2057" s="0" t="s">
        <v>877</v>
      </c>
      <c r="B2057" s="0" t="s">
        <v>98</v>
      </c>
      <c r="D2057" s="6" t="n">
        <f aca="false">Sens!D2036</f>
        <v>22.171</v>
      </c>
      <c r="E2057" s="6" t="n">
        <f aca="false">Sens!E2036</f>
        <v>24.835</v>
      </c>
      <c r="F2057" s="6" t="n">
        <f aca="false">Sens!F2036</f>
        <v>27.6114901218559</v>
      </c>
      <c r="G2057" s="6" t="n">
        <f aca="false">Sens!G2036</f>
        <v>30.4675667338515</v>
      </c>
      <c r="H2057" s="6" t="n">
        <f aca="false">Sens!H2036</f>
        <v>33.3643766955789</v>
      </c>
      <c r="I2057" s="6" t="n">
        <f aca="false">Sens!I2036</f>
        <v>36.2577016533691</v>
      </c>
      <c r="J2057" s="6" t="n">
        <f aca="false">Sens!J2036</f>
        <v>39.0988367952171</v>
      </c>
      <c r="K2057" s="6" t="n">
        <f aca="false">Sens!K2036</f>
        <v>41.8357553708823</v>
      </c>
    </row>
    <row r="2058" customFormat="false" ht="15" hidden="false" customHeight="false" outlineLevel="0" collapsed="false">
      <c r="A2058" s="0" t="s">
        <v>878</v>
      </c>
      <c r="B2058" s="0" t="s">
        <v>98</v>
      </c>
      <c r="D2058" s="6" t="n">
        <f aca="false">Sens!D2038</f>
        <v>23.455</v>
      </c>
      <c r="E2058" s="6" t="n">
        <f aca="false">Sens!E2038</f>
        <v>21.79</v>
      </c>
      <c r="F2058" s="6" t="n">
        <f aca="false">Sens!F2038</f>
        <v>20.5736277908051</v>
      </c>
      <c r="G2058" s="6" t="n">
        <f aca="false">Sens!G2038</f>
        <v>19.7371452817919</v>
      </c>
      <c r="H2058" s="6" t="n">
        <f aca="false">Sens!H2038</f>
        <v>19.2339764043138</v>
      </c>
      <c r="I2058" s="6" t="n">
        <f aca="false">Sens!I2038</f>
        <v>19.0353086852681</v>
      </c>
      <c r="J2058" s="6" t="n">
        <f aca="false">Sens!J2038</f>
        <v>19.1273539319129</v>
      </c>
      <c r="K2058" s="6" t="n">
        <f aca="false">Sens!K2038</f>
        <v>19.5099010105511</v>
      </c>
    </row>
    <row r="2059" customFormat="false" ht="15" hidden="false" customHeight="false" outlineLevel="0" collapsed="false">
      <c r="A2059" s="0" t="s">
        <v>879</v>
      </c>
      <c r="B2059" s="0" t="s">
        <v>98</v>
      </c>
      <c r="D2059" s="6" t="n">
        <f aca="false">Sens!D2040</f>
        <v>17.315</v>
      </c>
      <c r="E2059" s="6" t="n">
        <f aca="false">Sens!E2040</f>
        <v>17.087</v>
      </c>
      <c r="F2059" s="6" t="n">
        <f aca="false">Sens!F2040</f>
        <v>16.9564585436519</v>
      </c>
      <c r="G2059" s="6" t="n">
        <f aca="false">Sens!G2040</f>
        <v>16.9206490624268</v>
      </c>
      <c r="H2059" s="6" t="n">
        <f aca="false">Sens!H2040</f>
        <v>16.9784519149849</v>
      </c>
      <c r="I2059" s="6" t="n">
        <f aca="false">Sens!I2040</f>
        <v>17.1303084701817</v>
      </c>
      <c r="J2059" s="6" t="n">
        <f aca="false">Sens!J2040</f>
        <v>17.3782189407267</v>
      </c>
      <c r="K2059" s="6" t="n">
        <f aca="false">Sens!K2040</f>
        <v>17.7257833195413</v>
      </c>
    </row>
    <row r="2060" customFormat="false" ht="15" hidden="false" customHeight="false" outlineLevel="0" collapsed="false">
      <c r="A2060" s="0" t="s">
        <v>718</v>
      </c>
      <c r="B2060" s="0" t="s">
        <v>98</v>
      </c>
      <c r="D2060" s="6" t="n">
        <f aca="false">Sens!D2042</f>
        <v>62.941</v>
      </c>
      <c r="E2060" s="6" t="n">
        <f aca="false">Sens!E2042</f>
        <v>63.712</v>
      </c>
      <c r="F2060" s="6" t="n">
        <f aca="false">Sens!F2042</f>
        <v>65.1415764563129</v>
      </c>
      <c r="G2060" s="6" t="n">
        <f aca="false">Sens!G2042</f>
        <v>67.1253610780702</v>
      </c>
      <c r="H2060" s="6" t="n">
        <f aca="false">Sens!H2042</f>
        <v>69.5768050148776</v>
      </c>
      <c r="I2060" s="6" t="n">
        <f aca="false">Sens!I2042</f>
        <v>72.4233188088189</v>
      </c>
      <c r="J2060" s="6" t="n">
        <f aca="false">Sens!J2042</f>
        <v>75.6044096678567</v>
      </c>
      <c r="K2060" s="6" t="n">
        <f aca="false">Sens!K2042</f>
        <v>79.0714397009747</v>
      </c>
    </row>
    <row r="2061" customFormat="false" ht="15" hidden="false" customHeight="false" outlineLevel="0" collapsed="false">
      <c r="A2061" s="1" t="s">
        <v>895</v>
      </c>
      <c r="B2061" s="0" t="s">
        <v>98</v>
      </c>
      <c r="D2061" s="6" t="n">
        <f aca="false">Sens!D2043</f>
        <v>281.724</v>
      </c>
      <c r="E2061" s="6" t="n">
        <f aca="false">Sens!E2043</f>
        <v>331.839</v>
      </c>
      <c r="F2061" s="6" t="n">
        <f aca="false">Sens!F2043</f>
        <v>399.407104707821</v>
      </c>
      <c r="G2061" s="6" t="n">
        <f aca="false">Sens!G2043</f>
        <v>475.197484137863</v>
      </c>
      <c r="H2061" s="6" t="n">
        <f aca="false">Sens!H2043</f>
        <v>552.773101018903</v>
      </c>
      <c r="I2061" s="6" t="n">
        <f aca="false">Sens!I2043</f>
        <v>624.326836435645</v>
      </c>
      <c r="J2061" s="6" t="n">
        <f aca="false">Sens!J2043</f>
        <v>683.058733812127</v>
      </c>
      <c r="K2061" s="6" t="n">
        <f aca="false">Sens!K2043</f>
        <v>730.312987514037</v>
      </c>
    </row>
    <row r="2062" customFormat="false" ht="15" hidden="false" customHeight="false" outlineLevel="0" collapsed="false">
      <c r="A2062" s="1" t="s">
        <v>896</v>
      </c>
      <c r="B2062" s="0" t="s">
        <v>129</v>
      </c>
      <c r="E2062" s="7" t="n">
        <f aca="false">Sens!E2061/Sens!D2061-1</f>
        <v>0.177886867998467</v>
      </c>
      <c r="F2062" s="7" t="n">
        <f aca="false">Sens!F2061/Sens!E2061-1</f>
        <v>0.203617129715978</v>
      </c>
      <c r="G2062" s="7" t="n">
        <f aca="false">Sens!G2061/Sens!F2061-1</f>
        <v>0.189757213972159</v>
      </c>
      <c r="H2062" s="7" t="n">
        <f aca="false">Sens!H2061/Sens!G2061-1</f>
        <v>0.163249216316418</v>
      </c>
      <c r="I2062" s="7" t="n">
        <f aca="false">Sens!I2061/Sens!H2061-1</f>
        <v>0.129445038633121</v>
      </c>
      <c r="J2062" s="7" t="n">
        <f aca="false">Sens!J2061/Sens!I2061-1</f>
        <v>0.0940723575359816</v>
      </c>
      <c r="K2062" s="7" t="n">
        <f aca="false">Sens!K2061/Sens!J2061-1</f>
        <v>0.0691803667280342</v>
      </c>
    </row>
    <row r="2063" customFormat="false" ht="17.15" hidden="false" customHeight="false" outlineLevel="0" collapsed="false">
      <c r="A2063" s="23" t="s">
        <v>897</v>
      </c>
      <c r="B2063" s="30" t="s">
        <v>98</v>
      </c>
      <c r="C2063" s="30"/>
      <c r="D2063" s="24" t="n">
        <f aca="false">(Sens!D2056+Sens!D2060-Sens!D2061)+(Sens!D2048+Sens!D2049-Sens!D2047)+(Sens!D2051+Sens!D2052-Sens!D2050)+(Sens!D2061-Q!L18)</f>
        <v>0</v>
      </c>
      <c r="E2063" s="24" t="n">
        <f aca="false">(Sens!E2056+Sens!E2060-Sens!E2061)+(Sens!E2048+Sens!E2049-Sens!E2047)+(Sens!E2051+Sens!E2052-Sens!E2050)+(Sens!E2061-Q!M18)</f>
        <v>0</v>
      </c>
      <c r="F2063" s="24" t="n">
        <f aca="false">(Sens!F2056+Sens!F2060-Sens!F2061)+(Sens!F2048+Sens!F2049-Sens!F2047)+(Sens!F2051+Sens!F2052-Sens!F2050)</f>
        <v>0</v>
      </c>
      <c r="G2063" s="24" t="n">
        <f aca="false">(Sens!G2056+Sens!G2060-Sens!G2061)+(Sens!G2048+Sens!G2049-Sens!G2047)+(Sens!G2051+Sens!G2052-Sens!G2050)</f>
        <v>0</v>
      </c>
      <c r="H2063" s="24" t="n">
        <f aca="false">(Sens!H2056+Sens!H2060-Sens!H2061)+(Sens!H2048+Sens!H2049-Sens!H2047)+(Sens!H2051+Sens!H2052-Sens!H2050)</f>
        <v>0</v>
      </c>
      <c r="I2063" s="24" t="n">
        <f aca="false">(Sens!I2056+Sens!I2060-Sens!I2061)+(Sens!I2048+Sens!I2049-Sens!I2047)+(Sens!I2051+Sens!I2052-Sens!I2050)</f>
        <v>0</v>
      </c>
      <c r="J2063" s="24" t="n">
        <f aca="false">(Sens!J2056+Sens!J2060-Sens!J2061)+(Sens!J2048+Sens!J2049-Sens!J2047)+(Sens!J2051+Sens!J2052-Sens!J2050)</f>
        <v>0</v>
      </c>
      <c r="K2063" s="24" t="n">
        <f aca="false">(Sens!K2056+Sens!K2060-Sens!K2061)+(Sens!K2048+Sens!K2049-Sens!K2047)+(Sens!K2051+Sens!K2052-Sens!K2050)</f>
        <v>0</v>
      </c>
    </row>
    <row r="2064" customFormat="false" ht="17.15" hidden="false" customHeight="false" outlineLevel="0" collapsed="false">
      <c r="A2064" s="0" t="s">
        <v>898</v>
      </c>
      <c r="B2064" s="0" t="s">
        <v>129</v>
      </c>
      <c r="E2064" s="7" t="n">
        <f aca="false">(Q!M21+Sens!E2001+Sens!E2002+Sens!E2003+Sens!E2016-Sens!E1999)/(Q!M5-Sens!E1999)</f>
        <v>0.591291114837517</v>
      </c>
      <c r="F2064" s="7" t="n">
        <f aca="false">Sens!$E$2064+dm_seg</f>
        <v>0.591291114837517</v>
      </c>
      <c r="G2064" s="7" t="n">
        <f aca="false">Sens!$E$2064+dm_seg</f>
        <v>0.591291114837517</v>
      </c>
      <c r="H2064" s="7" t="n">
        <f aca="false">Sens!$E$2064+dm_seg</f>
        <v>0.591291114837517</v>
      </c>
      <c r="I2064" s="7" t="n">
        <f aca="false">Sens!$E$2064+dm_seg</f>
        <v>0.591291114837517</v>
      </c>
      <c r="J2064" s="7" t="n">
        <f aca="false">Sens!$E$2064+dm_seg</f>
        <v>0.591291114837517</v>
      </c>
      <c r="K2064" s="7" t="n">
        <f aca="false">Sens!$E$2064+dm_seg</f>
        <v>0.591291114837517</v>
      </c>
      <c r="L2064" s="11" t="s">
        <v>899</v>
      </c>
    </row>
    <row r="2065" customFormat="false" ht="17.15" hidden="false" customHeight="false" outlineLevel="0" collapsed="false">
      <c r="A2065" s="0" t="s">
        <v>732</v>
      </c>
      <c r="B2065" s="0" t="s">
        <v>98</v>
      </c>
      <c r="D2065" s="6" t="n">
        <f aca="false">Q!L21</f>
        <v>110.814</v>
      </c>
      <c r="E2065" s="6" t="n">
        <f aca="false">Q!M21</f>
        <v>136.365</v>
      </c>
      <c r="F2065" s="6" t="n">
        <f aca="false">Sens!F2064*(Sens!F2035-Sens!F1999)+Sens!F1999-(Sens!F2001+Sens!F2002+Sens!F2003)-Sens!F2016</f>
        <v>153.88955908274</v>
      </c>
      <c r="G2065" s="6" t="n">
        <f aca="false">Sens!G2064*(Sens!G2035-Sens!G1999)+Sens!G1999-(Sens!G2001+Sens!G2002+Sens!G2003)-Sens!G2016</f>
        <v>167.82339354272</v>
      </c>
      <c r="H2065" s="6" t="n">
        <f aca="false">Sens!H2064*(Sens!H2035-Sens!H1999)+Sens!H1999-(Sens!H2001+Sens!H2002+Sens!H2003)-Sens!H2016</f>
        <v>180.586752698599</v>
      </c>
      <c r="I2065" s="6" t="n">
        <f aca="false">Sens!I2064*(Sens!I2035-Sens!I1999)+Sens!I1999-(Sens!I2001+Sens!I2002+Sens!I2003)-Sens!I2016</f>
        <v>193.281205329845</v>
      </c>
      <c r="J2065" s="6" t="n">
        <f aca="false">Sens!J2064*(Sens!J2035-Sens!J1999)+Sens!J1999-(Sens!J2001+Sens!J2002+Sens!J2003)-Sens!J2016</f>
        <v>206.572986466194</v>
      </c>
      <c r="K2065" s="6" t="n">
        <f aca="false">Sens!K2064*(Sens!K2035-Sens!K1999)+Sens!K1999-(Sens!K2001+Sens!K2002+Sens!K2003)-Sens!K2016</f>
        <v>221.257469605474</v>
      </c>
      <c r="L2065" s="1" t="s">
        <v>900</v>
      </c>
    </row>
    <row r="2066" customFormat="false" ht="17.15" hidden="false" customHeight="false" outlineLevel="0" collapsed="false">
      <c r="A2066" s="0" t="s">
        <v>901</v>
      </c>
      <c r="B2066" s="0" t="s">
        <v>129</v>
      </c>
      <c r="E2066" s="7" t="n">
        <f aca="false">Q!M22/Q!M12</f>
        <v>0.296207935710698</v>
      </c>
      <c r="F2066" s="7" t="n">
        <f aca="false">Sens!$E$2066+dm_seg</f>
        <v>0.296207935710698</v>
      </c>
      <c r="G2066" s="7" t="n">
        <f aca="false">Sens!$E$2066+dm_seg</f>
        <v>0.296207935710698</v>
      </c>
      <c r="H2066" s="7" t="n">
        <f aca="false">Sens!$E$2066+dm_seg</f>
        <v>0.296207935710698</v>
      </c>
      <c r="I2066" s="7" t="n">
        <f aca="false">Sens!$E$2066+dm_seg</f>
        <v>0.296207935710698</v>
      </c>
      <c r="J2066" s="7" t="n">
        <f aca="false">Sens!$E$2066+dm_seg</f>
        <v>0.296207935710698</v>
      </c>
      <c r="K2066" s="7" t="n">
        <f aca="false">Sens!$E$2066+dm_seg</f>
        <v>0.296207935710698</v>
      </c>
      <c r="L2066" s="11" t="s">
        <v>902</v>
      </c>
    </row>
    <row r="2067" customFormat="false" ht="17.15" hidden="false" customHeight="false" outlineLevel="0" collapsed="false">
      <c r="A2067" s="0" t="s">
        <v>734</v>
      </c>
      <c r="B2067" s="0" t="s">
        <v>98</v>
      </c>
      <c r="D2067" s="6" t="n">
        <f aca="false">Q!L22</f>
        <v>17.714</v>
      </c>
      <c r="E2067" s="6" t="n">
        <f aca="false">Q!M22</f>
        <v>18.872</v>
      </c>
      <c r="F2067" s="6" t="n">
        <f aca="false">Sens!F2042*Sens!F2066</f>
        <v>19.2954518910651</v>
      </c>
      <c r="G2067" s="6" t="n">
        <f aca="false">Sens!G2042*Sens!G2066</f>
        <v>19.8830646387704</v>
      </c>
      <c r="H2067" s="6" t="n">
        <f aca="false">Sens!H2042*Sens!H2066</f>
        <v>20.6092017868026</v>
      </c>
      <c r="I2067" s="6" t="n">
        <f aca="false">Sens!I2042*Sens!I2066</f>
        <v>21.452361761678</v>
      </c>
      <c r="J2067" s="6" t="n">
        <f aca="false">Sens!J2042*Sens!J2066</f>
        <v>22.3946261183418</v>
      </c>
      <c r="K2067" s="6" t="n">
        <f aca="false">Sens!K2042*Sens!K2066</f>
        <v>23.4215879274986</v>
      </c>
    </row>
    <row r="2068" customFormat="false" ht="15" hidden="false" customHeight="false" outlineLevel="0" collapsed="false">
      <c r="A2068" s="1" t="s">
        <v>903</v>
      </c>
      <c r="B2068" s="0" t="s">
        <v>98</v>
      </c>
      <c r="D2068" s="6" t="n">
        <f aca="false">Sens!D2065+Sens!D2067</f>
        <v>128.528</v>
      </c>
      <c r="E2068" s="6" t="n">
        <f aca="false">Sens!E2065+Sens!E2067</f>
        <v>155.237</v>
      </c>
      <c r="F2068" s="6" t="n">
        <f aca="false">Sens!F2065+Sens!F2067</f>
        <v>173.185010973805</v>
      </c>
      <c r="G2068" s="6" t="n">
        <f aca="false">Sens!G2065+Sens!G2067</f>
        <v>187.70645818149</v>
      </c>
      <c r="H2068" s="6" t="n">
        <f aca="false">Sens!H2065+Sens!H2067</f>
        <v>201.195954485401</v>
      </c>
      <c r="I2068" s="6" t="n">
        <f aca="false">Sens!I2065+Sens!I2067</f>
        <v>214.733567091523</v>
      </c>
      <c r="J2068" s="6" t="n">
        <f aca="false">Sens!J2065+Sens!J2067</f>
        <v>228.967612584535</v>
      </c>
      <c r="K2068" s="6" t="n">
        <f aca="false">Sens!K2065+Sens!K2067</f>
        <v>244.679057532973</v>
      </c>
    </row>
    <row r="2069" customFormat="false" ht="15" hidden="false" customHeight="false" outlineLevel="0" collapsed="false">
      <c r="A2069" s="23" t="s">
        <v>904</v>
      </c>
      <c r="B2069" s="30" t="s">
        <v>98</v>
      </c>
      <c r="C2069" s="30"/>
      <c r="D2069" s="24" t="n">
        <f aca="false">Sens!D2068-Q!L23</f>
        <v>0</v>
      </c>
      <c r="E2069" s="24" t="n">
        <f aca="false">Sens!E2068-Q!M23</f>
        <v>0</v>
      </c>
      <c r="F2069" s="30"/>
      <c r="G2069" s="30"/>
      <c r="H2069" s="30"/>
      <c r="I2069" s="30"/>
      <c r="J2069" s="30"/>
      <c r="K2069" s="30"/>
    </row>
    <row r="2070" customFormat="false" ht="15" hidden="false" customHeight="false" outlineLevel="0" collapsed="false">
      <c r="A2070" s="1" t="s">
        <v>905</v>
      </c>
      <c r="B2070" s="0" t="s">
        <v>129</v>
      </c>
      <c r="D2070" s="7" t="n">
        <f aca="false">Sens!D2068/Sens!D2061</f>
        <v>0.456219562408598</v>
      </c>
      <c r="E2070" s="7" t="n">
        <f aca="false">Sens!E2068/Sens!E2061</f>
        <v>0.467808184089272</v>
      </c>
      <c r="F2070" s="7" t="n">
        <f aca="false">Sens!F2068/Sens!F2061</f>
        <v>0.43360523368881</v>
      </c>
      <c r="G2070" s="7" t="n">
        <f aca="false">Sens!G2068/Sens!G2061</f>
        <v>0.395007264236763</v>
      </c>
      <c r="H2070" s="7" t="n">
        <f aca="false">Sens!H2068/Sens!H2061</f>
        <v>0.363975660383158</v>
      </c>
      <c r="I2070" s="7" t="n">
        <f aca="false">Sens!I2068/Sens!I2061</f>
        <v>0.343944156425282</v>
      </c>
      <c r="J2070" s="7" t="n">
        <f aca="false">Sens!J2068/Sens!J2061</f>
        <v>0.335209259834327</v>
      </c>
      <c r="K2070" s="7" t="n">
        <f aca="false">Sens!K2068/Sens!K2061</f>
        <v>0.335033145673409</v>
      </c>
    </row>
    <row r="2071" customFormat="false" ht="17.15" hidden="false" customHeight="false" outlineLevel="0" collapsed="false">
      <c r="A2071" s="1" t="s">
        <v>906</v>
      </c>
      <c r="B2071" s="0" t="s">
        <v>98</v>
      </c>
      <c r="F2071" s="6" t="n">
        <f aca="false">Sens!F2086</f>
        <v>33.0854666368449</v>
      </c>
      <c r="G2071" s="6" t="n">
        <f aca="false">Sens!G2086</f>
        <v>57.4765325725073</v>
      </c>
      <c r="H2071" s="6" t="n">
        <f aca="false">Sens!H2086</f>
        <v>83.8962826475953</v>
      </c>
      <c r="I2071" s="6" t="n">
        <f aca="false">Sens!I2086</f>
        <v>107.785644842712</v>
      </c>
      <c r="J2071" s="6" t="n">
        <f aca="false">Sens!J2086</f>
        <v>124.501390746054</v>
      </c>
      <c r="K2071" s="6" t="n">
        <f aca="false">Sens!K2086</f>
        <v>134.134945281252</v>
      </c>
      <c r="L2071" s="1" t="s">
        <v>907</v>
      </c>
    </row>
    <row r="2072" customFormat="false" ht="17.15" hidden="false" customHeight="false" outlineLevel="0" collapsed="false">
      <c r="A2072" s="1" t="s">
        <v>908</v>
      </c>
      <c r="B2072" s="0" t="s">
        <v>98</v>
      </c>
      <c r="D2072" s="6" t="n">
        <f aca="false">Sens!D2068</f>
        <v>128.528</v>
      </c>
      <c r="E2072" s="6" t="n">
        <f aca="false">Sens!E2068</f>
        <v>155.237</v>
      </c>
      <c r="F2072" s="6" t="n">
        <f aca="false">Sens!F2068+Sens!F2071</f>
        <v>206.27047761065</v>
      </c>
      <c r="G2072" s="6" t="n">
        <f aca="false">Sens!G2068+Sens!G2071</f>
        <v>245.182990753997</v>
      </c>
      <c r="H2072" s="6" t="n">
        <f aca="false">Sens!H2068+Sens!H2071</f>
        <v>285.092237132996</v>
      </c>
      <c r="I2072" s="6" t="n">
        <f aca="false">Sens!I2068+Sens!I2071</f>
        <v>322.519211934235</v>
      </c>
      <c r="J2072" s="6" t="n">
        <f aca="false">Sens!J2068+Sens!J2071</f>
        <v>353.46900333059</v>
      </c>
      <c r="K2072" s="6" t="n">
        <f aca="false">Sens!K2068+Sens!K2071</f>
        <v>378.814002814224</v>
      </c>
    </row>
    <row r="2073" customFormat="false" ht="17.15" hidden="false" customHeight="false" outlineLevel="0" collapsed="false">
      <c r="A2073" s="1" t="s">
        <v>909</v>
      </c>
      <c r="B2073" s="0" t="s">
        <v>98</v>
      </c>
      <c r="E2073" s="6" t="n">
        <f aca="false">Sens!E2016</f>
        <v>19.5664871725</v>
      </c>
      <c r="F2073" s="6" t="n">
        <f aca="false">Sens!F2016</f>
        <v>40.8598648571467</v>
      </c>
      <c r="G2073" s="6" t="n">
        <f aca="false">Sens!G2016</f>
        <v>70.9505245326133</v>
      </c>
      <c r="H2073" s="6" t="n">
        <f aca="false">Sens!H2016</f>
        <v>103.633223811973</v>
      </c>
      <c r="I2073" s="6" t="n">
        <f aca="false">Sens!I2016</f>
        <v>132.726892598871</v>
      </c>
      <c r="J2073" s="6" t="n">
        <f aca="false">Sens!J2016</f>
        <v>153.362897727405</v>
      </c>
      <c r="K2073" s="6" t="n">
        <f aca="false">Sens!K2016</f>
        <v>165.919620785574</v>
      </c>
    </row>
    <row r="2074" customFormat="false" ht="17.15" hidden="false" customHeight="false" outlineLevel="0" collapsed="false">
      <c r="A2074" s="1" t="s">
        <v>910</v>
      </c>
      <c r="B2074" s="0" t="s">
        <v>98</v>
      </c>
      <c r="E2074" s="6" t="n">
        <f aca="false">Sens!E2098</f>
        <v>18.9675128275</v>
      </c>
      <c r="F2074" s="6" t="n">
        <f aca="false">Sens!F2098</f>
        <v>20.6286962677062</v>
      </c>
      <c r="G2074" s="6" t="n">
        <f aca="false">Sens!G2098</f>
        <v>22.6811159979745</v>
      </c>
      <c r="H2074" s="6" t="n">
        <f aca="false">Sens!H2098</f>
        <v>25.0941557625861</v>
      </c>
      <c r="I2074" s="6" t="n">
        <f aca="false">Sens!I2098</f>
        <v>27.8045802174918</v>
      </c>
      <c r="J2074" s="6" t="n">
        <f aca="false">Sens!J2098</f>
        <v>30.73221352078</v>
      </c>
      <c r="K2074" s="6" t="n">
        <f aca="false">Sens!K2098</f>
        <v>33.7958624429014</v>
      </c>
    </row>
    <row r="2075" customFormat="false" ht="17.15" hidden="false" customHeight="false" outlineLevel="0" collapsed="false">
      <c r="A2075" s="1" t="s">
        <v>911</v>
      </c>
      <c r="B2075" s="0" t="s">
        <v>98</v>
      </c>
      <c r="D2075" s="6" t="n">
        <f aca="false">Q!L27</f>
        <v>-4.901</v>
      </c>
      <c r="E2075" s="6" t="n">
        <f aca="false">Q!M27</f>
        <v>10.697</v>
      </c>
      <c r="F2075" s="6" t="n">
        <f aca="false">oie_f</f>
        <v>-0.4</v>
      </c>
      <c r="G2075" s="6" t="n">
        <f aca="false">oie_f</f>
        <v>-0.4</v>
      </c>
      <c r="H2075" s="6" t="n">
        <f aca="false">oie_f</f>
        <v>-0.4</v>
      </c>
      <c r="I2075" s="6" t="n">
        <f aca="false">oie_f</f>
        <v>-0.4</v>
      </c>
      <c r="J2075" s="6" t="n">
        <f aca="false">oie_f</f>
        <v>-0.4</v>
      </c>
      <c r="K2075" s="6" t="n">
        <f aca="false">oie_f</f>
        <v>-0.4</v>
      </c>
      <c r="L2075" s="11" t="s">
        <v>912</v>
      </c>
    </row>
    <row r="2076" customFormat="false" ht="15" hidden="false" customHeight="false" outlineLevel="0" collapsed="false">
      <c r="A2076" s="1" t="s">
        <v>913</v>
      </c>
      <c r="B2076" s="0" t="s">
        <v>98</v>
      </c>
      <c r="D2076" s="6" t="n">
        <f aca="false">Sens!D2068+Sens!D2075</f>
        <v>123.627</v>
      </c>
      <c r="E2076" s="6" t="n">
        <f aca="false">Sens!E2068+Sens!E2075</f>
        <v>165.934</v>
      </c>
      <c r="F2076" s="6" t="n">
        <f aca="false">Sens!F2068+Sens!F2075</f>
        <v>172.785010973805</v>
      </c>
      <c r="G2076" s="6" t="n">
        <f aca="false">Sens!G2068+Sens!G2075</f>
        <v>187.30645818149</v>
      </c>
      <c r="H2076" s="6" t="n">
        <f aca="false">Sens!H2068+Sens!H2075</f>
        <v>200.795954485401</v>
      </c>
      <c r="I2076" s="6" t="n">
        <f aca="false">Sens!I2068+Sens!I2075</f>
        <v>214.333567091523</v>
      </c>
      <c r="J2076" s="6" t="n">
        <f aca="false">Sens!J2068+Sens!J2075</f>
        <v>228.567612584535</v>
      </c>
      <c r="K2076" s="6" t="n">
        <f aca="false">Sens!K2068+Sens!K2075</f>
        <v>244.279057532973</v>
      </c>
    </row>
    <row r="2077" customFormat="false" ht="15" hidden="false" customHeight="false" outlineLevel="0" collapsed="false">
      <c r="A2077" s="1" t="s">
        <v>914</v>
      </c>
      <c r="B2077" s="0" t="s">
        <v>98</v>
      </c>
      <c r="D2077" s="6" t="n">
        <f aca="false">Q!L29</f>
        <v>21.795</v>
      </c>
      <c r="E2077" s="6" t="n">
        <f aca="false">Q!M29</f>
        <v>32.185</v>
      </c>
      <c r="F2077" s="6" t="n">
        <f aca="false">Sens!F2076*tax_f</f>
        <v>34.5570021947611</v>
      </c>
      <c r="G2077" s="6" t="n">
        <f aca="false">Sens!G2076*tax_f</f>
        <v>37.461291636298</v>
      </c>
      <c r="H2077" s="6" t="n">
        <f aca="false">Sens!H2076*tax_f</f>
        <v>40.1591908970802</v>
      </c>
      <c r="I2077" s="6" t="n">
        <f aca="false">Sens!I2076*tax_f</f>
        <v>42.8667134183046</v>
      </c>
      <c r="J2077" s="6" t="n">
        <f aca="false">Sens!J2076*tax_f</f>
        <v>45.7135225169071</v>
      </c>
      <c r="K2077" s="6" t="n">
        <f aca="false">Sens!K2076*tax_f</f>
        <v>48.8558115065946</v>
      </c>
    </row>
    <row r="2078" customFormat="false" ht="15" hidden="false" customHeight="false" outlineLevel="0" collapsed="false">
      <c r="A2078" s="1" t="s">
        <v>915</v>
      </c>
      <c r="B2078" s="0" t="s">
        <v>98</v>
      </c>
      <c r="D2078" s="6" t="n">
        <f aca="false">Sens!D2076-Sens!D2077</f>
        <v>101.832</v>
      </c>
      <c r="E2078" s="6" t="n">
        <f aca="false">Sens!E2076-Sens!E2077</f>
        <v>133.749</v>
      </c>
      <c r="F2078" s="6" t="n">
        <f aca="false">Sens!F2076-Sens!F2077</f>
        <v>138.228008779044</v>
      </c>
      <c r="G2078" s="6" t="n">
        <f aca="false">Sens!G2076-Sens!G2077</f>
        <v>149.845166545192</v>
      </c>
      <c r="H2078" s="6" t="n">
        <f aca="false">Sens!H2076-Sens!H2077</f>
        <v>160.636763588321</v>
      </c>
      <c r="I2078" s="6" t="n">
        <f aca="false">Sens!I2076-Sens!I2077</f>
        <v>171.466853673218</v>
      </c>
      <c r="J2078" s="6" t="n">
        <f aca="false">Sens!J2076-Sens!J2077</f>
        <v>182.854090067628</v>
      </c>
      <c r="K2078" s="6" t="n">
        <f aca="false">Sens!K2076-Sens!K2077</f>
        <v>195.423246026378</v>
      </c>
    </row>
    <row r="2079" customFormat="false" ht="17.15" hidden="false" customHeight="false" outlineLevel="0" collapsed="false">
      <c r="A2079" s="1" t="s">
        <v>916</v>
      </c>
      <c r="B2079" s="1" t="s">
        <v>81</v>
      </c>
      <c r="D2079" s="14" t="n">
        <f aca="false">Q!L31</f>
        <v>7.465</v>
      </c>
      <c r="E2079" s="14" t="n">
        <f aca="false">Q!M31</f>
        <v>7.453</v>
      </c>
      <c r="F2079" s="14" t="n">
        <f aca="false">Sens!F2120</f>
        <v>7.4735</v>
      </c>
      <c r="G2079" s="14" t="n">
        <f aca="false">Sens!G2120</f>
        <v>7.5185</v>
      </c>
      <c r="H2079" s="14" t="n">
        <f aca="false">Sens!H2120</f>
        <v>7.5635</v>
      </c>
      <c r="I2079" s="14" t="n">
        <f aca="false">Sens!I2120</f>
        <v>7.59252924615736</v>
      </c>
      <c r="J2079" s="14" t="n">
        <f aca="false">Sens!J2120</f>
        <v>7.60677075727524</v>
      </c>
      <c r="K2079" s="14" t="n">
        <f aca="false">Sens!K2120</f>
        <v>7.62329067497699</v>
      </c>
    </row>
    <row r="2080" customFormat="false" ht="17.15" hidden="false" customHeight="false" outlineLevel="0" collapsed="false">
      <c r="A2080" s="0" t="s">
        <v>917</v>
      </c>
      <c r="B2080" s="0" t="s">
        <v>75</v>
      </c>
      <c r="D2080" s="8" t="n">
        <f aca="false">Sens!D2078/Sens!D2079</f>
        <v>13.641259209645</v>
      </c>
      <c r="E2080" s="8" t="n">
        <f aca="false">Sens!E2078/Sens!E2079</f>
        <v>17.9456594659869</v>
      </c>
      <c r="F2080" s="8" t="n">
        <f aca="false">Sens!F2078/Sens!F2079</f>
        <v>18.4957528305405</v>
      </c>
      <c r="G2080" s="8" t="n">
        <f aca="false">Sens!G2078/Sens!G2079</f>
        <v>19.9301943931891</v>
      </c>
      <c r="H2080" s="8" t="n">
        <f aca="false">Sens!H2078/Sens!H2079</f>
        <v>21.2384165516389</v>
      </c>
      <c r="I2080" s="8" t="n">
        <f aca="false">Sens!I2078/Sens!I2079</f>
        <v>22.5836276837523</v>
      </c>
      <c r="J2080" s="8" t="n">
        <f aca="false">Sens!J2078/Sens!J2079</f>
        <v>24.0383332037111</v>
      </c>
      <c r="K2080" s="8" t="n">
        <f aca="false">Sens!K2078/Sens!K2079</f>
        <v>25.6350248676525</v>
      </c>
      <c r="L2080" s="1" t="s">
        <v>918</v>
      </c>
    </row>
    <row r="2081" customFormat="false" ht="17.15" hidden="false" customHeight="false" outlineLevel="0" collapsed="false">
      <c r="A2081" s="1" t="s">
        <v>919</v>
      </c>
      <c r="B2081" s="0" t="s">
        <v>98</v>
      </c>
      <c r="D2081" s="6" t="n">
        <f aca="false">Sens!D2078</f>
        <v>101.832</v>
      </c>
      <c r="E2081" s="6" t="n">
        <f aca="false">Sens!E2078</f>
        <v>133.749</v>
      </c>
      <c r="F2081" s="6" t="n">
        <f aca="false">Sens!F2078+Sens!F2071*(1-tax_f)</f>
        <v>164.69638208852</v>
      </c>
      <c r="G2081" s="6" t="n">
        <f aca="false">Sens!G2078+Sens!G2071*(1-tax_f)</f>
        <v>195.826392603198</v>
      </c>
      <c r="H2081" s="6" t="n">
        <f aca="false">Sens!H2078+Sens!H2071*(1-tax_f)</f>
        <v>227.753789706397</v>
      </c>
      <c r="I2081" s="6" t="n">
        <f aca="false">Sens!I2078+Sens!I2071*(1-tax_f)</f>
        <v>257.695369547388</v>
      </c>
      <c r="J2081" s="6" t="n">
        <f aca="false">Sens!J2078+Sens!J2071*(1-tax_f)</f>
        <v>282.455202664472</v>
      </c>
      <c r="K2081" s="6" t="n">
        <f aca="false">Sens!K2078+Sens!K2071*(1-tax_f)</f>
        <v>302.73120225138</v>
      </c>
    </row>
    <row r="2082" customFormat="false" ht="17.15" hidden="false" customHeight="false" outlineLevel="0" collapsed="false">
      <c r="A2082" s="0" t="s">
        <v>920</v>
      </c>
      <c r="B2082" s="0" t="s">
        <v>75</v>
      </c>
      <c r="D2082" s="8" t="n">
        <f aca="false">Sens!D2081/Sens!D2079</f>
        <v>13.641259209645</v>
      </c>
      <c r="E2082" s="8" t="n">
        <f aca="false">Sens!E2081/Sens!E2079</f>
        <v>17.9456594659869</v>
      </c>
      <c r="F2082" s="8" t="n">
        <f aca="false">Sens!F2081/Sens!F2079</f>
        <v>22.0373830318486</v>
      </c>
      <c r="G2082" s="8" t="n">
        <f aca="false">Sens!G2081/Sens!G2079</f>
        <v>26.045939030817</v>
      </c>
      <c r="H2082" s="8" t="n">
        <f aca="false">Sens!H2081/Sens!H2079</f>
        <v>30.1122218161429</v>
      </c>
      <c r="I2082" s="8" t="n">
        <f aca="false">Sens!I2081/Sens!I2079</f>
        <v>33.9406489185155</v>
      </c>
      <c r="J2082" s="8" t="n">
        <f aca="false">Sens!J2081/Sens!J2079</f>
        <v>37.1320776814954</v>
      </c>
      <c r="K2082" s="8" t="n">
        <f aca="false">Sens!K2081/Sens!K2079</f>
        <v>39.7113549985805</v>
      </c>
      <c r="L2082" s="1" t="s">
        <v>921</v>
      </c>
    </row>
    <row r="2083" customFormat="false" ht="17.15" hidden="false" customHeight="false" outlineLevel="0" collapsed="false">
      <c r="A2083" s="0" t="s">
        <v>922</v>
      </c>
      <c r="B2083" s="0" t="s">
        <v>129</v>
      </c>
      <c r="E2083" s="7" t="n">
        <f aca="false">Sens!E2082/Sens!D2082-1</f>
        <v>0.315542736208578</v>
      </c>
      <c r="F2083" s="7" t="n">
        <f aca="false">Sens!F2082/Sens!E2082-1</f>
        <v>0.228006308356453</v>
      </c>
      <c r="G2083" s="7" t="n">
        <f aca="false">Sens!G2082/Sens!F2082-1</f>
        <v>0.181898004548693</v>
      </c>
      <c r="H2083" s="7" t="n">
        <f aca="false">Sens!H2082/Sens!G2082-1</f>
        <v>0.156119646157305</v>
      </c>
      <c r="I2083" s="7" t="n">
        <f aca="false">Sens!I2082/Sens!H2082-1</f>
        <v>0.1271386457548</v>
      </c>
      <c r="J2083" s="7" t="n">
        <f aca="false">Sens!J2082/Sens!I2082-1</f>
        <v>0.0940296919673471</v>
      </c>
      <c r="K2083" s="7" t="n">
        <f aca="false">Sens!K2082/Sens!J2082-1</f>
        <v>0.0694622406860497</v>
      </c>
    </row>
    <row r="2084" customFormat="false" ht="17.15" hidden="false" customHeight="false" outlineLevel="0" collapsed="false">
      <c r="A2084" s="0" t="s">
        <v>846</v>
      </c>
      <c r="B2084" s="0" t="s">
        <v>98</v>
      </c>
      <c r="E2084" s="6" t="n">
        <f aca="false">Sens!E2025</f>
        <v>5.25</v>
      </c>
      <c r="F2084" s="6" t="n">
        <f aca="false">Sens!F2025</f>
        <v>12</v>
      </c>
      <c r="G2084" s="6" t="n">
        <f aca="false">Sens!G2025</f>
        <v>18</v>
      </c>
      <c r="H2084" s="6" t="n">
        <f aca="false">Sens!H2025</f>
        <v>24</v>
      </c>
      <c r="I2084" s="6" t="n">
        <f aca="false">Sens!I2025</f>
        <v>28.5</v>
      </c>
      <c r="J2084" s="6" t="n">
        <f aca="false">Sens!J2025</f>
        <v>31.5</v>
      </c>
      <c r="K2084" s="6" t="n">
        <f aca="false">Sens!K2025</f>
        <v>34.5</v>
      </c>
    </row>
    <row r="2085" customFormat="false" ht="17.15" hidden="false" customHeight="false" outlineLevel="0" collapsed="false">
      <c r="A2085" s="1" t="s">
        <v>847</v>
      </c>
      <c r="B2085" s="0" t="s">
        <v>98</v>
      </c>
      <c r="F2085" s="6" t="n">
        <f aca="false">MAX(0,(Sens!E1988+Sens!F1988)/2*Sens!F1996/1000-Sens!F2084*Sens!F2064)</f>
        <v>33.0854666368449</v>
      </c>
      <c r="G2085" s="6" t="n">
        <f aca="false">MAX(0,(Sens!F1988+Sens!G1988)/2*Sens!G1996/1000-Sens!G2084*Sens!G2064)</f>
        <v>57.4765325725073</v>
      </c>
      <c r="H2085" s="6" t="n">
        <f aca="false">MAX(0,(Sens!G1988+Sens!H1988)/2*Sens!H1996/1000-Sens!H2084*Sens!H2064)</f>
        <v>83.8962826475953</v>
      </c>
      <c r="I2085" s="6" t="n">
        <f aca="false">MAX(0,(Sens!H1988+Sens!I1988)/2*Sens!I1996/1000-Sens!I2084*Sens!I2064)</f>
        <v>107.785644842712</v>
      </c>
      <c r="J2085" s="6" t="n">
        <f aca="false">MAX(0,(Sens!I1988+Sens!J1988)/2*Sens!J1996/1000-Sens!J2084*Sens!J2064)</f>
        <v>124.501390746054</v>
      </c>
      <c r="K2085" s="6" t="n">
        <f aca="false">MAX(0,(Sens!J1988+Sens!K1988)/2*Sens!K1996/1000-Sens!K2084*Sens!K2064)</f>
        <v>134.134945281252</v>
      </c>
      <c r="L2085" s="1" t="s">
        <v>848</v>
      </c>
    </row>
    <row r="2086" customFormat="false" ht="17.15" hidden="false" customHeight="false" outlineLevel="0" collapsed="false">
      <c r="A2086" s="1" t="s">
        <v>849</v>
      </c>
      <c r="B2086" s="0" t="s">
        <v>98</v>
      </c>
      <c r="F2086" s="6" t="n">
        <f aca="false">IF(internal_ai_reading=2,1,0)*Sens!F2085</f>
        <v>33.0854666368449</v>
      </c>
      <c r="G2086" s="6" t="n">
        <f aca="false">IF(internal_ai_reading=2,1,0)*Sens!G2085</f>
        <v>57.4765325725073</v>
      </c>
      <c r="H2086" s="6" t="n">
        <f aca="false">IF(internal_ai_reading=2,1,0)*Sens!H2085</f>
        <v>83.8962826475953</v>
      </c>
      <c r="I2086" s="6" t="n">
        <f aca="false">IF(internal_ai_reading=2,1,0)*Sens!I2085</f>
        <v>107.785644842712</v>
      </c>
      <c r="J2086" s="6" t="n">
        <f aca="false">IF(internal_ai_reading=2,1,0)*Sens!J2085</f>
        <v>124.501390746054</v>
      </c>
      <c r="K2086" s="6" t="n">
        <f aca="false">IF(internal_ai_reading=2,1,0)*Sens!K2085</f>
        <v>134.134945281252</v>
      </c>
    </row>
    <row r="2087" customFormat="false" ht="17.15" hidden="false" customHeight="false" outlineLevel="0" collapsed="false">
      <c r="A2087" s="0" t="s">
        <v>850</v>
      </c>
      <c r="B2087" s="0" t="s">
        <v>98</v>
      </c>
      <c r="F2087" s="6" t="n">
        <f aca="false">Sens!F2005+Sens!F2084*Sens!F2064+Sens!F2086-Sens!F2006-Sens!F2016</f>
        <v>28.9811400811776</v>
      </c>
      <c r="G2087" s="6" t="n">
        <f aca="false">Sens!G2005+Sens!G2084*Sens!G2064+Sens!G2086-Sens!G2006-Sens!G2016</f>
        <v>47.5450559035277</v>
      </c>
      <c r="H2087" s="6" t="n">
        <f aca="false">Sens!H2005+Sens!H2084*Sens!H2064+Sens!H2086-Sens!H2006-Sens!H2016</f>
        <v>66.7785448225664</v>
      </c>
      <c r="I2087" s="6" t="n">
        <f aca="false">Sens!I2005+Sens!I2084*Sens!I2064+Sens!I2086-Sens!I2006-Sens!I2016</f>
        <v>83.9181107868021</v>
      </c>
      <c r="J2087" s="6" t="n">
        <f aca="false">Sens!J2005+Sens!J2084*Sens!J2064+Sens!J2086-Sens!J2006-Sens!J2016</f>
        <v>95.7643044487574</v>
      </c>
      <c r="K2087" s="6" t="n">
        <f aca="false">Sens!K2005+Sens!K2084*Sens!K2064+Sens!K2086-Sens!K2006-Sens!K2016</f>
        <v>104.00828142096</v>
      </c>
    </row>
    <row r="2088" customFormat="false" ht="17.15" hidden="false" customHeight="false" outlineLevel="0" collapsed="false">
      <c r="A2088" s="0" t="s">
        <v>851</v>
      </c>
      <c r="B2088" s="0" t="s">
        <v>98</v>
      </c>
      <c r="E2088" s="6" t="n">
        <f aca="false">Sens!E1987*(cxit_open+self_build*tk_cxfac)/1000*ai_net_open</f>
        <v>152.03764584</v>
      </c>
      <c r="F2088" s="6" t="n">
        <f aca="false">Sens!E2088+Sens!F2013-Sens!F2016</f>
        <v>303.577232028613</v>
      </c>
      <c r="G2088" s="6" t="n">
        <f aca="false">Sens!F2088+Sens!G2013-Sens!G2016</f>
        <v>452.91572407584</v>
      </c>
      <c r="H2088" s="6" t="n">
        <f aca="false">Sens!G2088+Sens!H2013-Sens!H2016</f>
        <v>574.978843356347</v>
      </c>
      <c r="I2088" s="6" t="n">
        <f aca="false">Sens!H2088+Sens!I2013-Sens!I2016</f>
        <v>638.69995374257</v>
      </c>
      <c r="J2088" s="6" t="n">
        <f aca="false">Sens!I2088+Sens!J2013-Sens!J2016</f>
        <v>634.752028076874</v>
      </c>
      <c r="K2088" s="6" t="n">
        <f aca="false">Sens!J2088+Sens!K2013-Sens!K2016</f>
        <v>606.783730061623</v>
      </c>
      <c r="L2088" s="1" t="s">
        <v>852</v>
      </c>
    </row>
    <row r="2089" customFormat="false" ht="17.15" hidden="false" customHeight="false" outlineLevel="0" collapsed="false">
      <c r="A2089" s="0" t="s">
        <v>853</v>
      </c>
      <c r="B2089" s="0" t="s">
        <v>129</v>
      </c>
      <c r="F2089" s="7" t="n">
        <f aca="false">Sens!F2087*(1-tax_f)/((Sens!E2088+Sens!F2088)/2)</f>
        <v>0.101774165819177</v>
      </c>
      <c r="G2089" s="7" t="n">
        <f aca="false">Sens!G2087*(1-tax_f)/((Sens!F2088+Sens!G2088)/2)</f>
        <v>0.100558886678042</v>
      </c>
      <c r="H2089" s="7" t="n">
        <f aca="false">Sens!H2087*(1-tax_f)/((Sens!G2088+Sens!H2088)/2)</f>
        <v>0.103946139128861</v>
      </c>
      <c r="I2089" s="7" t="n">
        <f aca="false">Sens!I2087*(1-tax_f)/((Sens!H2088+Sens!I2088)/2)</f>
        <v>0.110629746173229</v>
      </c>
      <c r="J2089" s="7" t="n">
        <f aca="false">Sens!J2087*(1-tax_f)/((Sens!I2088+Sens!J2088)/2)</f>
        <v>0.120320898868204</v>
      </c>
      <c r="K2089" s="7" t="n">
        <f aca="false">Sens!K2087*(1-tax_f)/((Sens!J2088+Sens!K2088)/2)</f>
        <v>0.134038225788236</v>
      </c>
    </row>
    <row r="2090" customFormat="false" ht="17.15" hidden="false" customHeight="false" outlineLevel="0" collapsed="false">
      <c r="A2090" s="1" t="s">
        <v>854</v>
      </c>
      <c r="B2090" s="0" t="s">
        <v>129</v>
      </c>
      <c r="F2090" s="7" t="n">
        <f aca="false">(Sens!F2087-Sens!F2086)*(1-tax_f)/((Sens!E2088+Sens!F2088)/2)</f>
        <v>-0.014413318809491</v>
      </c>
      <c r="G2090" s="7" t="n">
        <f aca="false">(Sens!G2087-Sens!G2086)*(1-tax_f)/((Sens!F2088+Sens!G2088)/2)</f>
        <v>-0.0210053015591771</v>
      </c>
      <c r="H2090" s="7" t="n">
        <f aca="false">(Sens!H2087-Sens!H2086)*(1-tax_f)/((Sens!G2088+Sens!H2088)/2)</f>
        <v>-0.0266451262491502</v>
      </c>
      <c r="I2090" s="7" t="n">
        <f aca="false">(Sens!I2087-Sens!I2086)*(1-tax_f)/((Sens!H2088+Sens!I2088)/2)</f>
        <v>-0.0314647125588239</v>
      </c>
      <c r="J2090" s="7" t="n">
        <f aca="false">(Sens!J2087-Sens!J2086)*(1-tax_f)/((Sens!I2088+Sens!J2088)/2)</f>
        <v>-0.036106063465371</v>
      </c>
      <c r="K2090" s="7" t="n">
        <f aca="false">(Sens!K2087-Sens!K2086)*(1-tax_f)/((Sens!J2088+Sens!K2088)/2)</f>
        <v>-0.0388250292917375</v>
      </c>
    </row>
    <row r="2091" customFormat="false" ht="17.15" hidden="false" customHeight="false" outlineLevel="0" collapsed="false">
      <c r="A2091" s="1" t="s">
        <v>855</v>
      </c>
      <c r="B2091" s="0" t="s">
        <v>129</v>
      </c>
      <c r="F2091" s="7" t="n">
        <f aca="false">(Sens!F2087-Sens!F2086+Sens!F2085)*(1-tax_f)/((Sens!E2088+Sens!F2088)/2)</f>
        <v>0.101774165819177</v>
      </c>
      <c r="G2091" s="7" t="n">
        <f aca="false">(Sens!G2087-Sens!G2086+Sens!G2085)*(1-tax_f)/((Sens!F2088+Sens!G2088)/2)</f>
        <v>0.100558886678042</v>
      </c>
      <c r="H2091" s="7" t="n">
        <f aca="false">(Sens!H2087-Sens!H2086+Sens!H2085)*(1-tax_f)/((Sens!G2088+Sens!H2088)/2)</f>
        <v>0.103946139128861</v>
      </c>
      <c r="I2091" s="7" t="n">
        <f aca="false">(Sens!I2087-Sens!I2086+Sens!I2085)*(1-tax_f)/((Sens!H2088+Sens!I2088)/2)</f>
        <v>0.110629746173229</v>
      </c>
      <c r="J2091" s="7" t="n">
        <f aca="false">(Sens!J2087-Sens!J2086+Sens!J2085)*(1-tax_f)/((Sens!I2088+Sens!J2088)/2)</f>
        <v>0.120320898868204</v>
      </c>
      <c r="K2091" s="7" t="n">
        <f aca="false">(Sens!K2087-Sens!K2086+Sens!K2085)*(1-tax_f)/((Sens!J2088+Sens!K2088)/2)</f>
        <v>0.134038225788236</v>
      </c>
    </row>
    <row r="2092" customFormat="false" ht="17.15" hidden="false" customHeight="false" outlineLevel="0" collapsed="false">
      <c r="A2092" s="1" t="s">
        <v>856</v>
      </c>
      <c r="B2092" s="0" t="s">
        <v>129</v>
      </c>
      <c r="F2092" s="7" t="n">
        <f aca="false">Sens!F2017*(1-tax_f)/(Sens!F2004*(Sens!E2088+Sens!F2088)/2)</f>
        <v>0.133653288300971</v>
      </c>
      <c r="G2092" s="7" t="n">
        <f aca="false">Sens!G2017*(1-tax_f)/(Sens!G2004*(Sens!F2088+Sens!G2088)/2)</f>
        <v>0.131459221834535</v>
      </c>
      <c r="H2092" s="7" t="n">
        <f aca="false">Sens!H2017*(1-tax_f)/(Sens!H2004*(Sens!G2088+Sens!H2088)/2)</f>
        <v>0.135120575835084</v>
      </c>
      <c r="I2092" s="7" t="n">
        <f aca="false">Sens!I2017*(1-tax_f)/(Sens!I2004*(Sens!H2088+Sens!I2088)/2)</f>
        <v>0.143323969665222</v>
      </c>
      <c r="J2092" s="7" t="n">
        <f aca="false">Sens!J2017*(1-tax_f)/(Sens!J2004*(Sens!I2088+Sens!J2088)/2)</f>
        <v>0.155685133109209</v>
      </c>
      <c r="K2092" s="7" t="n">
        <f aca="false">Sens!K2017*(1-tax_f)/(Sens!K2004*(Sens!J2088+Sens!K2088)/2)</f>
        <v>0.173140471962126</v>
      </c>
    </row>
    <row r="2093" customFormat="false" ht="17.15" hidden="false" customHeight="false" outlineLevel="0" collapsed="false">
      <c r="A2093" s="0" t="s">
        <v>857</v>
      </c>
      <c r="B2093" s="0" t="s">
        <v>209</v>
      </c>
      <c r="F2093" s="7" t="n">
        <f aca="false">Sens!F2089-wacc</f>
        <v>-0.00116025427369913</v>
      </c>
      <c r="G2093" s="7" t="n">
        <f aca="false">Sens!G2089-wacc</f>
        <v>-0.00237553341483424</v>
      </c>
      <c r="H2093" s="7" t="n">
        <f aca="false">Sens!H2089-wacc</f>
        <v>0.00101171903598497</v>
      </c>
      <c r="I2093" s="7" t="n">
        <f aca="false">Sens!I2089-wacc</f>
        <v>0.0076953260803535</v>
      </c>
      <c r="J2093" s="7" t="n">
        <f aca="false">Sens!J2089-wacc</f>
        <v>0.0173864787753288</v>
      </c>
      <c r="K2093" s="7" t="n">
        <f aca="false">Sens!K2089-wacc</f>
        <v>0.0311038056953599</v>
      </c>
    </row>
    <row r="2094" customFormat="false" ht="17.15" hidden="false" customHeight="false" outlineLevel="0" collapsed="false">
      <c r="A2094" s="0" t="s">
        <v>858</v>
      </c>
      <c r="B2094" s="0" t="s">
        <v>98</v>
      </c>
      <c r="F2094" s="6" t="n">
        <f aca="false">Sens!F2087*(1-tax_f)-wacc*(Sens!E2088+Sens!F2088)/2</f>
        <v>-0.264314554603985</v>
      </c>
      <c r="G2094" s="6" t="n">
        <f aca="false">Sens!G2087*(1-tax_f)-wacc*(Sens!F2088+Sens!G2088)/2</f>
        <v>-0.898537147656427</v>
      </c>
      <c r="H2094" s="6" t="n">
        <f aca="false">Sens!H2087*(1-tax_f)-wacc*(Sens!G2088+Sens!H2088)/2</f>
        <v>0.519970250428344</v>
      </c>
      <c r="I2094" s="6" t="n">
        <f aca="false">Sens!I2087*(1-tax_f)-wacc*(Sens!H2088+Sens!I2088)/2</f>
        <v>4.66982705024368</v>
      </c>
      <c r="J2094" s="6" t="n">
        <f aca="false">Sens!J2087*(1-tax_f)-wacc*(Sens!I2088+Sens!J2088)/2</f>
        <v>11.070422926652</v>
      </c>
      <c r="K2094" s="6" t="n">
        <f aca="false">Sens!K2087*(1-tax_f)-wacc*(Sens!J2088+Sens!K2088)/2</f>
        <v>19.3082434924906</v>
      </c>
    </row>
    <row r="2095" customFormat="false" ht="17.15" hidden="false" customHeight="false" outlineLevel="0" collapsed="false">
      <c r="A2095" s="3" t="s">
        <v>1287</v>
      </c>
    </row>
    <row r="2096" customFormat="false" ht="15" hidden="false" customHeight="false" outlineLevel="0" collapsed="false">
      <c r="A2096" s="4" t="s">
        <v>43</v>
      </c>
      <c r="B2096" s="4" t="s">
        <v>65</v>
      </c>
      <c r="C2096" s="20" t="s">
        <v>788</v>
      </c>
      <c r="D2096" s="20" t="s">
        <v>789</v>
      </c>
      <c r="E2096" s="20" t="s">
        <v>790</v>
      </c>
      <c r="F2096" s="20" t="s">
        <v>791</v>
      </c>
      <c r="G2096" s="20" t="s">
        <v>792</v>
      </c>
      <c r="H2096" s="20" t="s">
        <v>793</v>
      </c>
      <c r="I2096" s="20" t="s">
        <v>794</v>
      </c>
      <c r="J2096" s="20" t="s">
        <v>795</v>
      </c>
      <c r="K2096" s="20" t="s">
        <v>796</v>
      </c>
      <c r="L2096" s="4" t="s">
        <v>47</v>
      </c>
    </row>
    <row r="2097" customFormat="false" ht="15" hidden="false" customHeight="false" outlineLevel="0" collapsed="false">
      <c r="A2097" s="1" t="s">
        <v>915</v>
      </c>
      <c r="B2097" s="0" t="s">
        <v>98</v>
      </c>
      <c r="F2097" s="6" t="n">
        <f aca="false">Sens!F2078</f>
        <v>138.228008779044</v>
      </c>
      <c r="G2097" s="6" t="n">
        <f aca="false">Sens!G2078</f>
        <v>149.845166545192</v>
      </c>
      <c r="H2097" s="6" t="n">
        <f aca="false">Sens!H2078</f>
        <v>160.636763588321</v>
      </c>
      <c r="I2097" s="6" t="n">
        <f aca="false">Sens!I2078</f>
        <v>171.466853673218</v>
      </c>
      <c r="J2097" s="6" t="n">
        <f aca="false">Sens!J2078</f>
        <v>182.854090067628</v>
      </c>
      <c r="K2097" s="6" t="n">
        <f aca="false">Sens!K2078</f>
        <v>195.423246026378</v>
      </c>
    </row>
    <row r="2098" customFormat="false" ht="17.15" hidden="false" customHeight="false" outlineLevel="0" collapsed="false">
      <c r="A2098" s="1" t="s">
        <v>937</v>
      </c>
      <c r="B2098" s="0" t="s">
        <v>98</v>
      </c>
      <c r="E2098" s="6" t="n">
        <f aca="false">Q!M38-Sens!E2016</f>
        <v>18.9675128275</v>
      </c>
      <c r="F2098" s="6" t="n">
        <f aca="false">Sens!E2098*(1-1/life_nonai)+Sens!F2104/life_nonai</f>
        <v>20.6286962677062</v>
      </c>
      <c r="G2098" s="6" t="n">
        <f aca="false">Sens!F2098*(1-1/life_nonai)+Sens!G2104/life_nonai</f>
        <v>22.6811159979745</v>
      </c>
      <c r="H2098" s="6" t="n">
        <f aca="false">Sens!G2098*(1-1/life_nonai)+Sens!H2104/life_nonai</f>
        <v>25.0941557625861</v>
      </c>
      <c r="I2098" s="6" t="n">
        <f aca="false">Sens!H2098*(1-1/life_nonai)+Sens!I2104/life_nonai</f>
        <v>27.8045802174918</v>
      </c>
      <c r="J2098" s="6" t="n">
        <f aca="false">Sens!I2098*(1-1/life_nonai)+Sens!J2104/life_nonai</f>
        <v>30.73221352078</v>
      </c>
      <c r="K2098" s="6" t="n">
        <f aca="false">Sens!J2098*(1-1/life_nonai)+Sens!K2104/life_nonai</f>
        <v>33.7958624429014</v>
      </c>
      <c r="L2098" s="11" t="s">
        <v>938</v>
      </c>
    </row>
    <row r="2099" customFormat="false" ht="17.15" hidden="false" customHeight="false" outlineLevel="0" collapsed="false">
      <c r="A2099" s="1" t="s">
        <v>939</v>
      </c>
      <c r="B2099" s="0" t="s">
        <v>98</v>
      </c>
      <c r="E2099" s="6" t="n">
        <f aca="false">Sens!E2016+Sens!E2098</f>
        <v>38.534</v>
      </c>
      <c r="F2099" s="6" t="n">
        <f aca="false">Sens!F2016+Sens!F2098</f>
        <v>61.4885611248529</v>
      </c>
      <c r="G2099" s="6" t="n">
        <f aca="false">Sens!G2016+Sens!G2098</f>
        <v>93.6316405305879</v>
      </c>
      <c r="H2099" s="6" t="n">
        <f aca="false">Sens!H2016+Sens!H2098</f>
        <v>128.727379574559</v>
      </c>
      <c r="I2099" s="6" t="n">
        <f aca="false">Sens!I2016+Sens!I2098</f>
        <v>160.531472816363</v>
      </c>
      <c r="J2099" s="6" t="n">
        <f aca="false">Sens!J2016+Sens!J2098</f>
        <v>184.095111248185</v>
      </c>
      <c r="K2099" s="6" t="n">
        <f aca="false">Sens!K2016+Sens!K2098</f>
        <v>199.715483228476</v>
      </c>
    </row>
    <row r="2100" customFormat="false" ht="17.15" hidden="false" customHeight="false" outlineLevel="0" collapsed="false">
      <c r="A2100" s="1" t="s">
        <v>940</v>
      </c>
      <c r="B2100" s="0" t="s">
        <v>98</v>
      </c>
      <c r="F2100" s="6" t="n">
        <f aca="false">Sens!F2043*sbc_r</f>
        <v>14.9308704941267</v>
      </c>
      <c r="G2100" s="6" t="n">
        <f aca="false">Sens!G2043*sbc_r</f>
        <v>17.7641108812713</v>
      </c>
      <c r="H2100" s="6" t="n">
        <f aca="false">Sens!H2043*sbc_r</f>
        <v>20.6640880611968</v>
      </c>
      <c r="I2100" s="6" t="n">
        <f aca="false">Sens!I2043*sbc_r</f>
        <v>23.3389517385966</v>
      </c>
      <c r="J2100" s="6" t="n">
        <f aca="false">Sens!J2043*sbc_r</f>
        <v>25.5345019510649</v>
      </c>
      <c r="K2100" s="6" t="n">
        <f aca="false">Sens!K2043*sbc_r</f>
        <v>27.3009881602573</v>
      </c>
    </row>
    <row r="2101" customFormat="false" ht="17.15" hidden="false" customHeight="false" outlineLevel="0" collapsed="false">
      <c r="A2101" s="1" t="s">
        <v>941</v>
      </c>
      <c r="B2101" s="0" t="s">
        <v>98</v>
      </c>
      <c r="F2101" s="6" t="n">
        <f aca="false">wc27</f>
        <v>-4.895</v>
      </c>
      <c r="G2101" s="6" t="n">
        <f aca="false">wc_f</f>
        <v>0</v>
      </c>
      <c r="H2101" s="6" t="n">
        <f aca="false">wc_f</f>
        <v>0</v>
      </c>
      <c r="I2101" s="6" t="n">
        <f aca="false">wc_f</f>
        <v>0</v>
      </c>
      <c r="J2101" s="6" t="n">
        <f aca="false">wc_f</f>
        <v>0</v>
      </c>
      <c r="K2101" s="6" t="n">
        <f aca="false">wc_f</f>
        <v>0</v>
      </c>
      <c r="L2101" s="11" t="s">
        <v>942</v>
      </c>
    </row>
    <row r="2102" customFormat="false" ht="15" hidden="false" customHeight="false" outlineLevel="0" collapsed="false">
      <c r="A2102" s="1" t="s">
        <v>756</v>
      </c>
      <c r="B2102" s="0" t="s">
        <v>98</v>
      </c>
      <c r="E2102" s="6" t="n">
        <f aca="false">Q!M35</f>
        <v>182.935</v>
      </c>
      <c r="F2102" s="6" t="n">
        <f aca="false">Sens!F2097+Sens!F2099+Sens!F2100+Sens!F2101</f>
        <v>209.752440398024</v>
      </c>
      <c r="G2102" s="6" t="n">
        <f aca="false">Sens!G2097+Sens!G2099+Sens!G2100+Sens!G2101</f>
        <v>261.240917957051</v>
      </c>
      <c r="H2102" s="6" t="n">
        <f aca="false">Sens!H2097+Sens!H2099+Sens!H2100+Sens!H2101</f>
        <v>310.028231224077</v>
      </c>
      <c r="I2102" s="6" t="n">
        <f aca="false">Sens!I2097+Sens!I2099+Sens!I2100+Sens!I2101</f>
        <v>355.337278228178</v>
      </c>
      <c r="J2102" s="6" t="n">
        <f aca="false">Sens!J2097+Sens!J2099+Sens!J2100+Sens!J2101</f>
        <v>392.483703266878</v>
      </c>
      <c r="K2102" s="6" t="n">
        <f aca="false">Sens!K2097+Sens!K2099+Sens!K2100+Sens!K2101</f>
        <v>422.439717415111</v>
      </c>
    </row>
    <row r="2103" customFormat="false" ht="17.15" hidden="false" customHeight="false" outlineLevel="0" collapsed="false">
      <c r="A2103" s="0" t="s">
        <v>943</v>
      </c>
      <c r="B2103" s="0" t="s">
        <v>98</v>
      </c>
      <c r="F2103" s="6" t="n">
        <f aca="false">Sens!F2013</f>
        <v>192.39945104576</v>
      </c>
      <c r="G2103" s="6" t="n">
        <f aca="false">Sens!G2013</f>
        <v>220.28901657984</v>
      </c>
      <c r="H2103" s="6" t="n">
        <f aca="false">Sens!H2013</f>
        <v>225.69634309248</v>
      </c>
      <c r="I2103" s="6" t="n">
        <f aca="false">Sens!I2013</f>
        <v>196.448002985094</v>
      </c>
      <c r="J2103" s="6" t="n">
        <f aca="false">Sens!J2013</f>
        <v>149.414972061709</v>
      </c>
      <c r="K2103" s="6" t="n">
        <f aca="false">Sens!K2013</f>
        <v>137.951322770323</v>
      </c>
    </row>
    <row r="2104" customFormat="false" ht="17.15" hidden="false" customHeight="false" outlineLevel="0" collapsed="false">
      <c r="A2104" s="1" t="s">
        <v>944</v>
      </c>
      <c r="B2104" s="0" t="s">
        <v>98</v>
      </c>
      <c r="E2104" s="6" t="n">
        <f aca="false">Sens!E2021*cx_azo+Sens!E2028*cx_m365+Sens!E2029*cx_lic+(Sens!E2031+Sens!E2033)*cx_ind+Sens!E2036*cx_srch+(Sens!E2038+Sens!E2040)*cx_dev</f>
        <v>30.1846587067718</v>
      </c>
      <c r="F2104" s="6" t="n">
        <f aca="false">Sens!F2021*cx_azo+Sens!F2028*cx_m365+Sens!F2029*cx_lic+(Sens!F2031+Sens!F2033)*cx_ind+Sens!F2036*cx_srch+(Sens!F2038+Sens!F2040)*cx_dev</f>
        <v>35.5793472295625</v>
      </c>
      <c r="G2104" s="6" t="n">
        <f aca="false">Sens!G2021*cx_azo+Sens!G2028*cx_m365+Sens!G2029*cx_lic+(Sens!G2031+Sens!G2033)*cx_ind+Sens!G2036*cx_srch+(Sens!G2038+Sens!G2040)*cx_dev</f>
        <v>41.1528935703892</v>
      </c>
      <c r="H2104" s="6" t="n">
        <f aca="false">Sens!H2021*cx_azo+Sens!H2028*cx_m365+Sens!H2029*cx_lic+(Sens!H2031+Sens!H2033)*cx_ind+Sens!H2036*cx_srch+(Sens!H2038+Sens!H2040)*cx_dev</f>
        <v>46.8115136440897</v>
      </c>
      <c r="I2104" s="6" t="n">
        <f aca="false">Sens!I2021*cx_azo+Sens!I2028*cx_m365+Sens!I2029*cx_lic+(Sens!I2031+Sens!I2033)*cx_ind+Sens!I2036*cx_srch+(Sens!I2038+Sens!I2040)*cx_dev</f>
        <v>52.1984003116439</v>
      </c>
      <c r="J2104" s="6" t="n">
        <f aca="false">Sens!J2021*cx_azo+Sens!J2028*cx_m365+Sens!J2029*cx_lic+(Sens!J2031+Sens!J2033)*cx_ind+Sens!J2036*cx_srch+(Sens!J2038+Sens!J2040)*cx_dev</f>
        <v>57.0809132503738</v>
      </c>
      <c r="K2104" s="6" t="n">
        <f aca="false">Sens!K2021*cx_azo+Sens!K2028*cx_m365+Sens!K2029*cx_lic+(Sens!K2031+Sens!K2033)*cx_ind+Sens!K2036*cx_srch+(Sens!K2038+Sens!K2040)*cx_dev</f>
        <v>61.368702741994</v>
      </c>
    </row>
    <row r="2105" customFormat="false" ht="17.15" hidden="false" customHeight="false" outlineLevel="0" collapsed="false">
      <c r="A2105" s="1" t="s">
        <v>945</v>
      </c>
      <c r="B2105" s="0" t="s">
        <v>98</v>
      </c>
      <c r="E2105" s="6" t="n">
        <f aca="false">Q!M42</f>
        <v>145.3</v>
      </c>
      <c r="F2105" s="6" t="n">
        <f aca="false">Sens!F2103+Sens!F2104</f>
        <v>227.978798275322</v>
      </c>
      <c r="G2105" s="6" t="n">
        <f aca="false">Sens!G2103+Sens!G2104</f>
        <v>261.441910150229</v>
      </c>
      <c r="H2105" s="6" t="n">
        <f aca="false">Sens!H2103+Sens!H2104</f>
        <v>272.50785673657</v>
      </c>
      <c r="I2105" s="6" t="n">
        <f aca="false">Sens!I2103+Sens!I2104</f>
        <v>248.646403296738</v>
      </c>
      <c r="J2105" s="6" t="n">
        <f aca="false">Sens!J2103+Sens!J2104</f>
        <v>206.495885312083</v>
      </c>
      <c r="K2105" s="6" t="n">
        <f aca="false">Sens!K2103+Sens!K2104</f>
        <v>199.320025512317</v>
      </c>
      <c r="L2105" s="1" t="s">
        <v>946</v>
      </c>
    </row>
    <row r="2106" customFormat="false" ht="15" hidden="false" customHeight="false" outlineLevel="0" collapsed="false">
      <c r="A2106" s="1" t="s">
        <v>947</v>
      </c>
      <c r="B2106" s="0" t="s">
        <v>98</v>
      </c>
      <c r="E2106" s="6" t="n">
        <f aca="false">fl_liab</f>
        <v>66.594</v>
      </c>
      <c r="F2106" s="6" t="n">
        <f aca="false">Sens!E2106-Sens!F2107</f>
        <v>62.46973</v>
      </c>
      <c r="G2106" s="6" t="n">
        <f aca="false">Sens!F2106-Sens!G2107</f>
        <v>57.98686785</v>
      </c>
      <c r="H2106" s="6" t="n">
        <f aca="false">Sens!G2106-Sens!H2107</f>
        <v>53.92827690325</v>
      </c>
      <c r="I2106" s="6" t="n">
        <f aca="false">Sens!H2106-Sens!I2107</f>
        <v>49.7850493638962</v>
      </c>
      <c r="J2106" s="6" t="n">
        <f aca="false">Sens!I2106-Sens!J2107</f>
        <v>45.4823765852716</v>
      </c>
      <c r="K2106" s="6" t="n">
        <f aca="false">Sens!J2106-Sens!K2107</f>
        <v>40.9860835316088</v>
      </c>
    </row>
    <row r="2107" customFormat="false" ht="15" hidden="false" customHeight="false" outlineLevel="0" collapsed="false">
      <c r="A2107" s="1" t="s">
        <v>948</v>
      </c>
      <c r="B2107" s="0" t="s">
        <v>98</v>
      </c>
      <c r="F2107" s="6" t="n">
        <f aca="false">fl_pay_27-Sens!E2106*fl_rate</f>
        <v>4.12427</v>
      </c>
      <c r="G2107" s="6" t="n">
        <f aca="false">fl_pay_28-Sens!F2106*fl_rate</f>
        <v>4.48286215</v>
      </c>
      <c r="H2107" s="6" t="n">
        <f aca="false">fl_pay_29-Sens!G2106*fl_rate</f>
        <v>4.05859094675</v>
      </c>
      <c r="I2107" s="6" t="n">
        <f aca="false">fl_pay_30-Sens!H2106*fl_rate</f>
        <v>4.14322753935375</v>
      </c>
      <c r="J2107" s="6" t="n">
        <f aca="false">fl_pay_31-Sens!I2106*fl_rate</f>
        <v>4.30267277862467</v>
      </c>
      <c r="K2107" s="6" t="n">
        <f aca="false">fl_pay_32-Sens!J2106*fl_rate</f>
        <v>4.49629305366278</v>
      </c>
    </row>
    <row r="2108" customFormat="false" ht="17.15" hidden="false" customHeight="false" outlineLevel="0" collapsed="false">
      <c r="A2108" s="1" t="s">
        <v>949</v>
      </c>
      <c r="B2108" s="0" t="s">
        <v>98</v>
      </c>
      <c r="E2108" s="6" t="n">
        <f aca="false">Q!M35-Q!M36-Q!M43</f>
        <v>63.886</v>
      </c>
      <c r="F2108" s="6" t="n">
        <f aca="false">Sens!F2102-Sens!F2105-Sens!F2107</f>
        <v>-22.3506278772985</v>
      </c>
      <c r="G2108" s="6" t="n">
        <f aca="false">Sens!G2102-Sens!G2105-Sens!G2107</f>
        <v>-4.68385434317797</v>
      </c>
      <c r="H2108" s="6" t="n">
        <f aca="false">Sens!H2102-Sens!H2105-Sens!H2107</f>
        <v>33.4617835407575</v>
      </c>
      <c r="I2108" s="6" t="n">
        <f aca="false">Sens!I2102-Sens!I2105-Sens!I2107</f>
        <v>102.547647392086</v>
      </c>
      <c r="J2108" s="6" t="n">
        <f aca="false">Sens!J2102-Sens!J2105-Sens!J2107</f>
        <v>181.685145176171</v>
      </c>
      <c r="K2108" s="6" t="n">
        <f aca="false">Sens!K2102-Sens!K2105-Sens!K2107</f>
        <v>218.623398849131</v>
      </c>
      <c r="L2108" s="11" t="s">
        <v>950</v>
      </c>
    </row>
    <row r="2109" customFormat="false" ht="15" hidden="false" customHeight="false" outlineLevel="0" collapsed="false">
      <c r="A2109" s="1" t="s">
        <v>951</v>
      </c>
      <c r="B2109" s="0" t="s">
        <v>75</v>
      </c>
      <c r="F2109" s="8" t="n">
        <f aca="false">dps_27</f>
        <v>3.85</v>
      </c>
      <c r="G2109" s="8" t="n">
        <f aca="false">Sens!F2109*(1+dps_g)</f>
        <v>4.158</v>
      </c>
      <c r="H2109" s="8" t="n">
        <f aca="false">Sens!G2109*(1+dps_g)</f>
        <v>4.49064</v>
      </c>
      <c r="I2109" s="8" t="n">
        <f aca="false">Sens!H2109*(1+dps_g)</f>
        <v>4.8498912</v>
      </c>
      <c r="J2109" s="8" t="n">
        <f aca="false">Sens!I2109*(1+dps_g)</f>
        <v>5.237882496</v>
      </c>
      <c r="K2109" s="8" t="n">
        <f aca="false">Sens!J2109*(1+dps_g)</f>
        <v>5.65691309568</v>
      </c>
    </row>
    <row r="2110" customFormat="false" ht="17.15" hidden="false" customHeight="false" outlineLevel="0" collapsed="false">
      <c r="A2110" s="1" t="s">
        <v>952</v>
      </c>
      <c r="B2110" s="0" t="s">
        <v>98</v>
      </c>
      <c r="E2110" s="6" t="n">
        <f aca="false">Q!M41</f>
        <v>26.445</v>
      </c>
      <c r="F2110" s="6" t="n">
        <f aca="false">Sens!F2109*Sens!E2119</f>
        <v>28.59395</v>
      </c>
      <c r="G2110" s="6" t="n">
        <f aca="false">Sens!G2109*Sens!F2119</f>
        <v>31.068576</v>
      </c>
      <c r="H2110" s="6" t="n">
        <f aca="false">Sens!H2109*Sens!G2119</f>
        <v>33.75614088</v>
      </c>
      <c r="I2110" s="6" t="n">
        <f aca="false">Sens!I2109*Sens!H2119</f>
        <v>36.6748772544</v>
      </c>
      <c r="J2110" s="6" t="n">
        <f aca="false">Sens!J2109*Sens!I2119</f>
        <v>39.6772662830715</v>
      </c>
      <c r="K2110" s="6" t="n">
        <f aca="false">Sens!K2109*Sens!J2119</f>
        <v>42.9387028110222</v>
      </c>
      <c r="L2110" s="1" t="s">
        <v>953</v>
      </c>
    </row>
    <row r="2111" customFormat="false" ht="15" hidden="false" customHeight="false" outlineLevel="0" collapsed="false">
      <c r="A2111" s="1" t="s">
        <v>954</v>
      </c>
      <c r="B2111" s="0" t="s">
        <v>98</v>
      </c>
      <c r="E2111" s="6" t="n">
        <f aca="false">Sens!E2108-Sens!E2110</f>
        <v>37.441</v>
      </c>
      <c r="F2111" s="6" t="n">
        <f aca="false">Sens!F2108-Sens!F2110</f>
        <v>-50.9445778772985</v>
      </c>
      <c r="G2111" s="6" t="n">
        <f aca="false">Sens!G2108-Sens!G2110</f>
        <v>-35.752430343178</v>
      </c>
      <c r="H2111" s="6" t="n">
        <f aca="false">Sens!H2108-Sens!H2110</f>
        <v>-0.294357339242481</v>
      </c>
      <c r="I2111" s="6" t="n">
        <f aca="false">Sens!I2108-Sens!I2110</f>
        <v>65.8727701376858</v>
      </c>
      <c r="J2111" s="6" t="n">
        <f aca="false">Sens!J2108-Sens!J2110</f>
        <v>142.007878893099</v>
      </c>
      <c r="K2111" s="6" t="n">
        <f aca="false">Sens!K2108-Sens!K2110</f>
        <v>175.684696038109</v>
      </c>
    </row>
    <row r="2112" customFormat="false" ht="15" hidden="false" customHeight="false" outlineLevel="0" collapsed="false">
      <c r="A2112" s="1" t="s">
        <v>955</v>
      </c>
      <c r="B2112" s="0" t="s">
        <v>98</v>
      </c>
      <c r="F2112" s="6" t="n">
        <f aca="false">debt_mat_27</f>
        <v>9.25</v>
      </c>
      <c r="G2112" s="6" t="n">
        <f aca="false">debt_mat_28</f>
        <v>0</v>
      </c>
      <c r="H2112" s="6" t="n">
        <f aca="false">debt_mat_29</f>
        <v>2.001</v>
      </c>
      <c r="I2112" s="6" t="n">
        <f aca="false">debt_mat_30</f>
        <v>0</v>
      </c>
      <c r="J2112" s="6" t="n">
        <f aca="false">debt_mat_31</f>
        <v>0.5</v>
      </c>
      <c r="K2112" s="6" t="n">
        <f aca="false">debt_mat_32</f>
        <v>0</v>
      </c>
    </row>
    <row r="2113" customFormat="false" ht="15" hidden="false" customHeight="false" outlineLevel="0" collapsed="false">
      <c r="A2113" s="1" t="s">
        <v>956</v>
      </c>
      <c r="B2113" s="0" t="s">
        <v>98</v>
      </c>
      <c r="E2113" s="6" t="n">
        <f aca="false">Q!M40</f>
        <v>22.271</v>
      </c>
      <c r="F2113" s="6" t="n">
        <f aca="false">MAX(0,MIN(bb_target,Sens!E2115+Sens!F2111-Sens!F2112-min_cash))</f>
        <v>0</v>
      </c>
      <c r="G2113" s="6" t="n">
        <f aca="false">MAX(0,MIN(bb_target,Sens!F2115+Sens!G2111-Sens!G2112-min_cash))</f>
        <v>0</v>
      </c>
      <c r="H2113" s="6" t="n">
        <f aca="false">MAX(0,MIN(bb_target,Sens!G2115+Sens!H2111-Sens!H2112-min_cash))</f>
        <v>0</v>
      </c>
      <c r="I2113" s="6" t="n">
        <f aca="false">MAX(0,MIN(bb_target,Sens!H2115+Sens!I2111-Sens!I2112-min_cash))</f>
        <v>22.271</v>
      </c>
      <c r="J2113" s="6" t="n">
        <f aca="false">MAX(0,MIN(bb_target,Sens!I2115+Sens!J2111-Sens!J2112-min_cash))</f>
        <v>22.271</v>
      </c>
      <c r="K2113" s="6" t="n">
        <f aca="false">MAX(0,MIN(bb_target,Sens!J2115+Sens!K2111-Sens!K2112-min_cash))</f>
        <v>22.271</v>
      </c>
    </row>
    <row r="2114" customFormat="false" ht="15" hidden="false" customHeight="false" outlineLevel="0" collapsed="false">
      <c r="A2114" s="1" t="s">
        <v>957</v>
      </c>
      <c r="B2114" s="0" t="s">
        <v>98</v>
      </c>
      <c r="F2114" s="6" t="n">
        <f aca="false">MAX(0,min_cash-(Sens!E2115+Sens!F2111-Sens!F2112-Sens!F2113))</f>
        <v>33.3515778772985</v>
      </c>
      <c r="G2114" s="6" t="n">
        <f aca="false">MAX(0,min_cash-(Sens!F2115+Sens!G2111-Sens!G2112-Sens!G2113))</f>
        <v>35.752430343178</v>
      </c>
      <c r="H2114" s="6" t="n">
        <f aca="false">MAX(0,min_cash-(Sens!G2115+Sens!H2111-Sens!H2112-Sens!H2113))</f>
        <v>2.29535733924248</v>
      </c>
      <c r="I2114" s="6" t="n">
        <f aca="false">MAX(0,min_cash-(Sens!H2115+Sens!I2111-Sens!I2112-Sens!I2113))</f>
        <v>0</v>
      </c>
      <c r="J2114" s="6" t="n">
        <f aca="false">MAX(0,min_cash-(Sens!I2115+Sens!J2111-Sens!J2112-Sens!J2113))</f>
        <v>0</v>
      </c>
      <c r="K2114" s="6" t="n">
        <f aca="false">MAX(0,min_cash-(Sens!J2115+Sens!K2111-Sens!K2112-Sens!K2113))</f>
        <v>0</v>
      </c>
    </row>
    <row r="2115" customFormat="false" ht="15" hidden="false" customHeight="false" outlineLevel="0" collapsed="false">
      <c r="A2115" s="1" t="s">
        <v>958</v>
      </c>
      <c r="B2115" s="0" t="s">
        <v>98</v>
      </c>
      <c r="E2115" s="6" t="n">
        <f aca="false">cash_open</f>
        <v>76.843</v>
      </c>
      <c r="F2115" s="6" t="n">
        <f aca="false">Sens!E2115+Sens!F2111-Sens!F2112-Sens!F2113+Sens!F2114</f>
        <v>50</v>
      </c>
      <c r="G2115" s="6" t="n">
        <f aca="false">Sens!F2115+Sens!G2111-Sens!G2112-Sens!G2113+Sens!G2114</f>
        <v>50</v>
      </c>
      <c r="H2115" s="6" t="n">
        <f aca="false">Sens!G2115+Sens!H2111-Sens!H2112-Sens!H2113+Sens!H2114</f>
        <v>50</v>
      </c>
      <c r="I2115" s="6" t="n">
        <f aca="false">Sens!H2115+Sens!I2111-Sens!I2112-Sens!I2113+Sens!I2114</f>
        <v>93.6017701376858</v>
      </c>
      <c r="J2115" s="6" t="n">
        <f aca="false">Sens!I2115+Sens!J2111-Sens!J2112-Sens!J2113+Sens!J2114</f>
        <v>212.838649030785</v>
      </c>
      <c r="K2115" s="6" t="n">
        <f aca="false">Sens!J2115+Sens!K2111-Sens!K2112-Sens!K2113+Sens!K2114</f>
        <v>366.252345068894</v>
      </c>
    </row>
    <row r="2116" customFormat="false" ht="15" hidden="false" customHeight="false" outlineLevel="0" collapsed="false">
      <c r="A2116" s="1" t="s">
        <v>959</v>
      </c>
      <c r="B2116" s="0" t="s">
        <v>98</v>
      </c>
      <c r="E2116" s="6" t="n">
        <f aca="false">debt_face</f>
        <v>46.136</v>
      </c>
      <c r="F2116" s="6" t="n">
        <f aca="false">Sens!E2116-Sens!F2112+Sens!F2114</f>
        <v>70.2375778772986</v>
      </c>
      <c r="G2116" s="6" t="n">
        <f aca="false">Sens!F2116-Sens!G2112+Sens!G2114</f>
        <v>105.990008220477</v>
      </c>
      <c r="H2116" s="6" t="n">
        <f aca="false">Sens!G2116-Sens!H2112+Sens!H2114</f>
        <v>106.284365559719</v>
      </c>
      <c r="I2116" s="6" t="n">
        <f aca="false">Sens!H2116-Sens!I2112+Sens!I2114</f>
        <v>106.284365559719</v>
      </c>
      <c r="J2116" s="6" t="n">
        <f aca="false">Sens!I2116-Sens!J2112+Sens!J2114</f>
        <v>105.784365559719</v>
      </c>
      <c r="K2116" s="6" t="n">
        <f aca="false">Sens!J2116-Sens!K2112+Sens!K2114</f>
        <v>105.784365559719</v>
      </c>
    </row>
    <row r="2117" customFormat="false" ht="15" hidden="false" customHeight="false" outlineLevel="0" collapsed="false">
      <c r="A2117" s="1" t="s">
        <v>960</v>
      </c>
      <c r="B2117" s="0" t="s">
        <v>98</v>
      </c>
      <c r="E2117" s="6" t="n">
        <f aca="false">Sens!E2115-Sens!E2116</f>
        <v>30.707</v>
      </c>
      <c r="F2117" s="6" t="n">
        <f aca="false">Sens!F2115-Sens!F2116</f>
        <v>-20.2375778772986</v>
      </c>
      <c r="G2117" s="6" t="n">
        <f aca="false">Sens!G2115-Sens!G2116</f>
        <v>-55.9900082204765</v>
      </c>
      <c r="H2117" s="6" t="n">
        <f aca="false">Sens!H2115-Sens!H2116</f>
        <v>-56.284365559719</v>
      </c>
      <c r="I2117" s="6" t="n">
        <f aca="false">Sens!I2115-Sens!I2116</f>
        <v>-12.6825954220332</v>
      </c>
      <c r="J2117" s="6" t="n">
        <f aca="false">Sens!J2115-Sens!J2116</f>
        <v>107.054283471066</v>
      </c>
      <c r="K2117" s="6" t="n">
        <f aca="false">Sens!K2115-Sens!K2116</f>
        <v>260.467979509175</v>
      </c>
    </row>
    <row r="2118" customFormat="false" ht="15" hidden="false" customHeight="false" outlineLevel="0" collapsed="false">
      <c r="A2118" s="1" t="s">
        <v>961</v>
      </c>
      <c r="B2118" s="0" t="s">
        <v>75</v>
      </c>
      <c r="F2118" s="29" t="n">
        <f aca="false">px*(1+bb_g)^(Sens!F1982-base_fy-mid_yr)</f>
        <v>553.494156066711</v>
      </c>
      <c r="G2118" s="29" t="n">
        <f aca="false">px*(1+bb_g)^(Sens!G1982-base_fy-mid_yr)</f>
        <v>597.773688552047</v>
      </c>
      <c r="H2118" s="29" t="n">
        <f aca="false">px*(1+bb_g)^(Sens!H1982-base_fy-mid_yr)</f>
        <v>645.595583636211</v>
      </c>
      <c r="I2118" s="29" t="n">
        <f aca="false">px*(1+bb_g)^(Sens!I1982-base_fy-mid_yr)</f>
        <v>697.243230327108</v>
      </c>
      <c r="J2118" s="29" t="n">
        <f aca="false">px*(1+bb_g)^(Sens!J1982-base_fy-mid_yr)</f>
        <v>753.022688753277</v>
      </c>
      <c r="K2118" s="29" t="n">
        <f aca="false">px*(1+bb_g)^(Sens!K1982-base_fy-mid_yr)</f>
        <v>813.264503853539</v>
      </c>
    </row>
    <row r="2119" customFormat="false" ht="15" hidden="false" customHeight="false" outlineLevel="0" collapsed="false">
      <c r="A2119" s="1" t="s">
        <v>962</v>
      </c>
      <c r="B2119" s="1" t="s">
        <v>81</v>
      </c>
      <c r="E2119" s="14" t="n">
        <f aca="false">sh_out26</f>
        <v>7.427</v>
      </c>
      <c r="F2119" s="14" t="n">
        <f aca="false">Sens!E2119+sh_iss-Sens!F2113/Sens!F2118</f>
        <v>7.472</v>
      </c>
      <c r="G2119" s="14" t="n">
        <f aca="false">Sens!F2119+sh_iss-Sens!G2113/Sens!G2118</f>
        <v>7.517</v>
      </c>
      <c r="H2119" s="14" t="n">
        <f aca="false">Sens!G2119+sh_iss-Sens!H2113/Sens!H2118</f>
        <v>7.562</v>
      </c>
      <c r="I2119" s="14" t="n">
        <f aca="false">Sens!H2119+sh_iss-Sens!I2113/Sens!I2118</f>
        <v>7.57505849231472</v>
      </c>
      <c r="J2119" s="14" t="n">
        <f aca="false">Sens!I2119+sh_iss-Sens!J2113/Sens!J2118</f>
        <v>7.59048302223576</v>
      </c>
      <c r="K2119" s="14" t="n">
        <f aca="false">Sens!J2119+sh_iss-Sens!K2113/Sens!K2118</f>
        <v>7.60809832771821</v>
      </c>
    </row>
    <row r="2120" customFormat="false" ht="15" hidden="false" customHeight="false" outlineLevel="0" collapsed="false">
      <c r="A2120" s="1" t="s">
        <v>963</v>
      </c>
      <c r="B2120" s="1" t="s">
        <v>81</v>
      </c>
      <c r="E2120" s="14" t="n">
        <f aca="false">sh_dil26</f>
        <v>7.453</v>
      </c>
      <c r="F2120" s="14" t="n">
        <f aca="false">(Sens!E2119+Sens!F2119)/2+dil_gap</f>
        <v>7.4735</v>
      </c>
      <c r="G2120" s="14" t="n">
        <f aca="false">(Sens!F2119+Sens!G2119)/2+dil_gap</f>
        <v>7.5185</v>
      </c>
      <c r="H2120" s="14" t="n">
        <f aca="false">(Sens!G2119+Sens!H2119)/2+dil_gap</f>
        <v>7.5635</v>
      </c>
      <c r="I2120" s="14" t="n">
        <f aca="false">(Sens!H2119+Sens!I2119)/2+dil_gap</f>
        <v>7.59252924615736</v>
      </c>
      <c r="J2120" s="14" t="n">
        <f aca="false">(Sens!I2119+Sens!J2119)/2+dil_gap</f>
        <v>7.60677075727524</v>
      </c>
      <c r="K2120" s="14" t="n">
        <f aca="false">(Sens!J2119+Sens!K2119)/2+dil_gap</f>
        <v>7.62329067497699</v>
      </c>
    </row>
    <row r="2121" customFormat="false" ht="17.15" hidden="false" customHeight="false" outlineLevel="0" collapsed="false">
      <c r="A2121" s="1" t="s">
        <v>964</v>
      </c>
      <c r="B2121" s="0" t="s">
        <v>98</v>
      </c>
      <c r="C2121" s="6" t="n">
        <f aca="false">SUM(Sens!F2111:J2111)</f>
        <v>120.889283471066</v>
      </c>
    </row>
    <row r="2122" customFormat="false" ht="15" hidden="false" customHeight="false" outlineLevel="0" collapsed="false">
      <c r="A2122" s="23" t="s">
        <v>935</v>
      </c>
      <c r="B2122" s="30" t="s">
        <v>98</v>
      </c>
      <c r="C2122" s="24" t="n">
        <f aca="false">Sens!$C$2121-(Sens!F2111+Sens!G2111+Sens!H2111+Sens!I2111+Sens!J2111)</f>
        <v>0</v>
      </c>
      <c r="D2122" s="30"/>
      <c r="E2122" s="30"/>
      <c r="F2122" s="30"/>
      <c r="G2122" s="30"/>
      <c r="H2122" s="30"/>
      <c r="I2122" s="30"/>
      <c r="J2122" s="30"/>
      <c r="K2122" s="30"/>
    </row>
    <row r="2123" customFormat="false" ht="17.15" hidden="false" customHeight="false" outlineLevel="0" collapsed="false">
      <c r="A2123" s="1" t="s">
        <v>929</v>
      </c>
      <c r="B2123" s="1" t="s">
        <v>965</v>
      </c>
      <c r="C2123" s="32" t="str">
        <f aca="false">IF(SUM(Sens!F2114:J2114)&gt;0.05,"需要舉債 "&amp;TEXT(SUM(Sens!F2114:J2114),"0.0")&amp;" 十億美元","不需舉債")&amp;"；"&amp;IF(SUM(Sens!F2113:J2113)&lt;COUNT(Sens!F2113:J2113)*bb_target-0.05,"回購較每年 "&amp;TEXT(bb_target,"0.0")&amp;" 的目標少 "&amp;TEXT(COUNT(Sens!F2113:J2113)*bb_target-SUM(Sens!F2113:J2113),"0.0")&amp;" 十億美元（"&amp;TEXT(COUNTIF(Sens!F2113:J2113,"&lt;"&amp;(bb_target-0.05)),"0")&amp;" 年減少）","回購不減")</f>
        <v>需要舉債 71.4 十億美元；回購較每年 22.3 的目標少 66.8 十億美元（3 年減少）</v>
      </c>
    </row>
    <row r="2124" customFormat="false" ht="17.15" hidden="false" customHeight="false" outlineLevel="0" collapsed="false">
      <c r="A2124" s="3" t="s">
        <v>1288</v>
      </c>
    </row>
    <row r="2125" customFormat="false" ht="15" hidden="false" customHeight="false" outlineLevel="0" collapsed="false">
      <c r="A2125" s="4" t="s">
        <v>43</v>
      </c>
      <c r="B2125" s="4" t="s">
        <v>65</v>
      </c>
      <c r="C2125" s="20" t="s">
        <v>788</v>
      </c>
      <c r="D2125" s="20" t="s">
        <v>789</v>
      </c>
      <c r="E2125" s="20" t="s">
        <v>790</v>
      </c>
      <c r="F2125" s="20" t="s">
        <v>791</v>
      </c>
      <c r="G2125" s="20" t="s">
        <v>792</v>
      </c>
      <c r="H2125" s="20" t="s">
        <v>793</v>
      </c>
      <c r="I2125" s="20" t="s">
        <v>794</v>
      </c>
      <c r="J2125" s="20" t="s">
        <v>795</v>
      </c>
      <c r="K2125" s="20" t="s">
        <v>796</v>
      </c>
      <c r="L2125" s="4" t="s">
        <v>47</v>
      </c>
    </row>
    <row r="2126" customFormat="false" ht="15" hidden="false" customHeight="false" outlineLevel="0" collapsed="false">
      <c r="A2126" s="1" t="s">
        <v>1042</v>
      </c>
      <c r="B2126" s="1" t="s">
        <v>235</v>
      </c>
      <c r="F2126" s="36" t="n">
        <f aca="false">Sens!F1982-base_fy-mid_yr</f>
        <v>0.5</v>
      </c>
      <c r="G2126" s="36" t="n">
        <f aca="false">Sens!G1982-base_fy-mid_yr</f>
        <v>1.5</v>
      </c>
      <c r="H2126" s="36" t="n">
        <f aca="false">Sens!H1982-base_fy-mid_yr</f>
        <v>2.5</v>
      </c>
      <c r="I2126" s="36" t="n">
        <f aca="false">Sens!I1982-base_fy-mid_yr</f>
        <v>3.5</v>
      </c>
      <c r="J2126" s="36" t="n">
        <f aca="false">Sens!J1982-base_fy-mid_yr</f>
        <v>4.5</v>
      </c>
      <c r="K2126" s="36" t="n">
        <f aca="false">Sens!K1982-base_fy-mid_yr</f>
        <v>5.5</v>
      </c>
    </row>
    <row r="2127" customFormat="false" ht="15" hidden="false" customHeight="false" outlineLevel="0" collapsed="false">
      <c r="A2127" s="1" t="s">
        <v>1043</v>
      </c>
      <c r="B2127" s="0" t="s">
        <v>185</v>
      </c>
      <c r="F2127" s="14" t="n">
        <f aca="false">1/(1+wacc)^Sens!F2126</f>
        <v>0.952193373608246</v>
      </c>
      <c r="G2127" s="14" t="n">
        <f aca="false">1/(1+wacc)^Sens!G2126</f>
        <v>0.863327280626589</v>
      </c>
      <c r="H2127" s="14" t="n">
        <f aca="false">1/(1+wacc)^Sens!H2126</f>
        <v>0.782754862754115</v>
      </c>
      <c r="I2127" s="14" t="n">
        <f aca="false">1/(1+wacc)^Sens!I2126</f>
        <v>0.709702089711011</v>
      </c>
      <c r="J2127" s="14" t="n">
        <f aca="false">1/(1+wacc)^Sens!J2126</f>
        <v>0.643467169744551</v>
      </c>
      <c r="K2127" s="14" t="n">
        <f aca="false">1/(1+wacc)^Sens!K2126</f>
        <v>0.583413807767797</v>
      </c>
    </row>
    <row r="2128" customFormat="false" ht="17.15" hidden="false" customHeight="false" outlineLevel="0" collapsed="false">
      <c r="A2128" s="1" t="s">
        <v>1044</v>
      </c>
      <c r="B2128" s="0" t="s">
        <v>98</v>
      </c>
      <c r="F2128" s="6" t="n">
        <f aca="false">Sens!F2102-Sens!F2100-Sens!F2105+Sens!F2086*(1-tax_f)</f>
        <v>-6.68885506194935</v>
      </c>
      <c r="G2128" s="6" t="n">
        <f aca="false">Sens!G2102-Sens!G2100-Sens!G2105+Sens!G2086*(1-tax_f)</f>
        <v>28.0161229835566</v>
      </c>
      <c r="H2128" s="6" t="n">
        <f aca="false">Sens!H2102-Sens!H2100-Sens!H2105+Sens!H2086*(1-tax_f)</f>
        <v>83.9733125443869</v>
      </c>
      <c r="I2128" s="6" t="n">
        <f aca="false">Sens!I2102-Sens!I2100-Sens!I2105+Sens!I2086*(1-tax_f)</f>
        <v>169.580439067013</v>
      </c>
      <c r="J2128" s="6" t="n">
        <f aca="false">Sens!J2102-Sens!J2100-Sens!J2105+Sens!J2086*(1-tax_f)</f>
        <v>260.054428600574</v>
      </c>
      <c r="K2128" s="6" t="n">
        <f aca="false">Sens!K2102-Sens!K2100-Sens!K2105+Sens!K2086*(1-tax_f)</f>
        <v>303.126659967538</v>
      </c>
      <c r="L2128" s="1" t="s">
        <v>1045</v>
      </c>
    </row>
    <row r="2129" customFormat="false" ht="15" hidden="false" customHeight="false" outlineLevel="0" collapsed="false">
      <c r="A2129" s="1" t="s">
        <v>1046</v>
      </c>
      <c r="B2129" s="0" t="s">
        <v>98</v>
      </c>
      <c r="F2129" s="6" t="n">
        <f aca="false">Sens!F2128*Sens!F2127</f>
        <v>-6.36908346701415</v>
      </c>
      <c r="G2129" s="6" t="n">
        <f aca="false">Sens!G2128*Sens!G2127</f>
        <v>24.187083269094</v>
      </c>
      <c r="H2129" s="6" t="n">
        <f aca="false">Sens!H2128*Sens!H2127</f>
        <v>65.73051873569</v>
      </c>
      <c r="I2129" s="6" t="n">
        <f aca="false">Sens!I2128*Sens!I2127</f>
        <v>120.35159197997</v>
      </c>
      <c r="J2129" s="6" t="n">
        <f aca="false">Sens!J2128*Sens!J2127</f>
        <v>167.336487151148</v>
      </c>
      <c r="K2129" s="6" t="n">
        <f aca="false">Sens!K2128*Sens!K2127</f>
        <v>176.848278927595</v>
      </c>
    </row>
    <row r="2130" customFormat="false" ht="17.15" hidden="false" customHeight="false" outlineLevel="0" collapsed="false">
      <c r="A2130" s="1" t="s">
        <v>1047</v>
      </c>
      <c r="B2130" s="0" t="s">
        <v>98</v>
      </c>
      <c r="C2130" s="6" t="n">
        <f aca="false">SUM(Sens!F2129:K2129)</f>
        <v>548.084876596483</v>
      </c>
    </row>
    <row r="2131" customFormat="false" ht="17.15" hidden="false" customHeight="false" outlineLevel="0" collapsed="false">
      <c r="A2131" s="1" t="s">
        <v>1048</v>
      </c>
      <c r="B2131" s="0" t="s">
        <v>98</v>
      </c>
      <c r="C2131" s="6" t="n">
        <f aca="false">Sens!K2072*(1+g_tv)*(1-tax_f)</f>
        <v>312.142738318921</v>
      </c>
    </row>
    <row r="2132" customFormat="false" ht="17.15" hidden="false" customHeight="false" outlineLevel="0" collapsed="false">
      <c r="A2132" s="1" t="s">
        <v>1049</v>
      </c>
      <c r="B2132" s="0" t="s">
        <v>98</v>
      </c>
      <c r="C2132" s="6" t="n">
        <f aca="false">Sens!$C$2131*(1-g_tv/(wacc+ronic_prem))</f>
        <v>221.169455124452</v>
      </c>
    </row>
    <row r="2133" customFormat="false" ht="17.15" hidden="false" customHeight="false" outlineLevel="0" collapsed="false">
      <c r="A2133" s="1" t="s">
        <v>1050</v>
      </c>
      <c r="B2133" s="0" t="s">
        <v>98</v>
      </c>
      <c r="C2133" s="6" t="n">
        <f aca="false">Sens!$C$2132/(wacc-g_tv)</f>
        <v>3032.44277314897</v>
      </c>
    </row>
    <row r="2134" customFormat="false" ht="15" hidden="false" customHeight="false" outlineLevel="0" collapsed="false">
      <c r="A2134" s="1" t="s">
        <v>1051</v>
      </c>
      <c r="B2134" s="0" t="s">
        <v>98</v>
      </c>
      <c r="C2134" s="6" t="n">
        <f aca="false">Sens!$C$2133/(1+wacc)^(Sens!K2126+mid_yr)</f>
        <v>1684.59098442523</v>
      </c>
    </row>
    <row r="2135" customFormat="false" ht="17.15" hidden="false" customHeight="false" outlineLevel="0" collapsed="false">
      <c r="A2135" s="0" t="s">
        <v>972</v>
      </c>
      <c r="B2135" s="0" t="s">
        <v>98</v>
      </c>
      <c r="C2135" s="6" t="n">
        <f aca="false">Sens!$C$2130+Sens!$C$2134</f>
        <v>2232.67586102171</v>
      </c>
    </row>
    <row r="2136" customFormat="false" ht="15" hidden="false" customHeight="false" outlineLevel="0" collapsed="false">
      <c r="A2136" s="1" t="s">
        <v>973</v>
      </c>
      <c r="B2136" s="0" t="s">
        <v>129</v>
      </c>
      <c r="C2136" s="7" t="n">
        <f aca="false">Sens!$C$2134/Sens!$C$2135</f>
        <v>0.754516593221163</v>
      </c>
    </row>
    <row r="2137" customFormat="false" ht="17.15" hidden="false" customHeight="false" outlineLevel="0" collapsed="false">
      <c r="A2137" s="1" t="s">
        <v>1052</v>
      </c>
      <c r="B2137" s="0" t="s">
        <v>98</v>
      </c>
      <c r="C2137" s="6" t="n">
        <f aca="false">Sens!$C$2135+Sens!E2117-Sens!E2106+oai_v</f>
        <v>2367.18886102171</v>
      </c>
    </row>
    <row r="2138" customFormat="false" ht="17.15" hidden="false" customHeight="false" outlineLevel="0" collapsed="false">
      <c r="A2138" s="0" t="s">
        <v>980</v>
      </c>
      <c r="B2138" s="0" t="s">
        <v>75</v>
      </c>
      <c r="C2138" s="5" t="n">
        <f aca="false">Sens!$C$2137/sh_dil26</f>
        <v>317.615572389871</v>
      </c>
    </row>
    <row r="2139" customFormat="false" ht="15" hidden="false" customHeight="false" outlineLevel="0" collapsed="false">
      <c r="A2139" s="1" t="s">
        <v>1053</v>
      </c>
      <c r="B2139" s="0" t="s">
        <v>75</v>
      </c>
      <c r="C2139" s="8" t="n">
        <f aca="false">dps_27+Sens!G2109*roll_div_q/q_per_yr</f>
        <v>4.8895</v>
      </c>
    </row>
    <row r="2140" customFormat="false" ht="17.15" hidden="false" customHeight="false" outlineLevel="0" collapsed="false">
      <c r="A2140" s="0" t="s">
        <v>1054</v>
      </c>
      <c r="B2140" s="0" t="s">
        <v>75</v>
      </c>
      <c r="C2140" s="5" t="n">
        <f aca="false">Sens!$C$2138*(1+wacc)^t_roll-Sens!$C$2139</f>
        <v>356.789957313677</v>
      </c>
    </row>
    <row r="2141" customFormat="false" ht="17.15" hidden="false" customHeight="false" outlineLevel="0" collapsed="false">
      <c r="A2141" s="1" t="s">
        <v>1055</v>
      </c>
      <c r="B2141" s="0" t="s">
        <v>129</v>
      </c>
      <c r="F2141" s="7" t="n">
        <f aca="false">Sens!F2098/(Sens!F2043-Sens!F1999)</f>
        <v>0.0599073899827283</v>
      </c>
      <c r="G2141" s="7" t="n">
        <f aca="false">Sens!G2098/(Sens!G2043-Sens!G1999)</f>
        <v>0.0587979151104463</v>
      </c>
      <c r="H2141" s="7" t="n">
        <f aca="false">Sens!H2098/(Sens!H2043-Sens!H1999)</f>
        <v>0.0586397721752385</v>
      </c>
      <c r="I2141" s="7" t="n">
        <f aca="false">Sens!I2098/(Sens!I2043-Sens!I1999)</f>
        <v>0.0593901289210231</v>
      </c>
      <c r="J2141" s="7" t="n">
        <f aca="false">Sens!J2098/(Sens!J2043-Sens!J1999)</f>
        <v>0.0608481359351483</v>
      </c>
      <c r="K2141" s="7" t="n">
        <f aca="false">Sens!K2098/(Sens!K2043-Sens!K1999)</f>
        <v>0.0627341115000512</v>
      </c>
    </row>
    <row r="2142" customFormat="false" ht="17.15" hidden="false" customHeight="false" outlineLevel="0" collapsed="false">
      <c r="A2142" s="0" t="s">
        <v>1056</v>
      </c>
      <c r="B2142" s="0" t="s">
        <v>98</v>
      </c>
      <c r="F2142" s="6" t="n">
        <f aca="false">Sens!F2028*(al_m365+Sens!F2141+sbc_r)</f>
        <v>82.9024702263713</v>
      </c>
      <c r="G2142" s="6" t="n">
        <f aca="false">Sens!G2028*(al_m365+Sens!G2141+sbc_r)</f>
        <v>95.4074778831834</v>
      </c>
      <c r="H2142" s="6" t="n">
        <f aca="false">Sens!H2028*(al_m365+Sens!H2141+sbc_r)</f>
        <v>108.076513873754</v>
      </c>
      <c r="I2142" s="6" t="n">
        <f aca="false">Sens!I2028*(al_m365+Sens!I2141+sbc_r)</f>
        <v>119.729262278476</v>
      </c>
      <c r="J2142" s="6" t="n">
        <f aca="false">Sens!J2028*(al_m365+Sens!J2141+sbc_r)</f>
        <v>130.173040683131</v>
      </c>
      <c r="K2142" s="6" t="n">
        <f aca="false">Sens!K2028*(al_m365+Sens!K2141+sbc_r)</f>
        <v>140.217966354057</v>
      </c>
      <c r="L2142" s="11" t="s">
        <v>1057</v>
      </c>
    </row>
    <row r="2143" customFormat="false" ht="17.15" hidden="false" customHeight="false" outlineLevel="0" collapsed="false">
      <c r="A2143" s="0" t="s">
        <v>1058</v>
      </c>
      <c r="B2143" s="0" t="s">
        <v>98</v>
      </c>
      <c r="F2143" s="6" t="n">
        <f aca="false">Sens!F2029*(al_lic+Sens!F2141+sbc_r)</f>
        <v>33.1053846389076</v>
      </c>
      <c r="G2143" s="6" t="n">
        <f aca="false">Sens!G2029*(al_lic+Sens!G2141+sbc_r)</f>
        <v>34.462023454169</v>
      </c>
      <c r="H2143" s="6" t="n">
        <f aca="false">Sens!H2029*(al_lic+Sens!H2141+sbc_r)</f>
        <v>35.7221085703903</v>
      </c>
      <c r="I2143" s="6" t="n">
        <f aca="false">Sens!I2029*(al_lic+Sens!I2141+sbc_r)</f>
        <v>36.8683136493649</v>
      </c>
      <c r="J2143" s="6" t="n">
        <f aca="false">Sens!J2029*(al_lic+Sens!J2141+sbc_r)</f>
        <v>37.8767345390928</v>
      </c>
      <c r="K2143" s="6" t="n">
        <f aca="false">Sens!K2029*(al_lic+Sens!K2141+sbc_r)</f>
        <v>38.7201695466631</v>
      </c>
    </row>
    <row r="2144" customFormat="false" ht="17.15" hidden="false" customHeight="false" outlineLevel="0" collapsed="false">
      <c r="A2144" s="0" t="s">
        <v>1059</v>
      </c>
      <c r="B2144" s="0" t="s">
        <v>98</v>
      </c>
      <c r="F2144" s="6" t="n">
        <f aca="false">Sens!F2031*(al_ind+Sens!F2141+sbc_r)</f>
        <v>8.88229952965531</v>
      </c>
      <c r="G2144" s="6" t="n">
        <f aca="false">Sens!G2031*(al_ind+Sens!G2141+sbc_r)</f>
        <v>9.68233943596491</v>
      </c>
      <c r="H2144" s="6" t="n">
        <f aca="false">Sens!H2031*(al_ind+Sens!H2141+sbc_r)</f>
        <v>10.5238210077392</v>
      </c>
      <c r="I2144" s="6" t="n">
        <f aca="false">Sens!I2031*(al_ind+Sens!I2141+sbc_r)</f>
        <v>11.4037306700127</v>
      </c>
      <c r="J2144" s="6" t="n">
        <f aca="false">Sens!J2031*(al_ind+Sens!J2141+sbc_r)</f>
        <v>12.3129970611101</v>
      </c>
      <c r="K2144" s="6" t="n">
        <f aca="false">Sens!K2031*(al_ind+Sens!K2141+sbc_r)</f>
        <v>13.2373017210327</v>
      </c>
    </row>
    <row r="2145" customFormat="false" ht="17.15" hidden="false" customHeight="false" outlineLevel="0" collapsed="false">
      <c r="A2145" s="0" t="s">
        <v>1060</v>
      </c>
      <c r="B2145" s="0" t="s">
        <v>98</v>
      </c>
      <c r="F2145" s="6" t="n">
        <f aca="false">Sens!F2033*(al_fro+Sens!F2141+sbc_r)</f>
        <v>3.4961042788578</v>
      </c>
      <c r="G2145" s="6" t="n">
        <f aca="false">Sens!G2033*(al_fro+Sens!G2141+sbc_r)</f>
        <v>3.71744590730048</v>
      </c>
      <c r="H2145" s="6" t="n">
        <f aca="false">Sens!H2033*(al_fro+Sens!H2141+sbc_r)</f>
        <v>3.96573596036612</v>
      </c>
      <c r="I2145" s="6" t="n">
        <f aca="false">Sens!I2033*(al_fro+Sens!I2141+sbc_r)</f>
        <v>4.24400442918459</v>
      </c>
      <c r="J2145" s="6" t="n">
        <f aca="false">Sens!J2033*(al_fro+Sens!J2141+sbc_r)</f>
        <v>4.55381950079757</v>
      </c>
      <c r="K2145" s="6" t="n">
        <f aca="false">Sens!K2033*(al_fro+Sens!K2141+sbc_r)</f>
        <v>4.89566288499911</v>
      </c>
    </row>
    <row r="2146" customFormat="false" ht="17.15" hidden="false" customHeight="false" outlineLevel="0" collapsed="false">
      <c r="A2146" s="0" t="s">
        <v>1061</v>
      </c>
      <c r="B2146" s="0" t="s">
        <v>98</v>
      </c>
      <c r="F2146" s="6" t="n">
        <f aca="false">Sens!F2036*(al_srch+Sens!F2141+sbc_r)</f>
        <v>10.9697682510494</v>
      </c>
      <c r="G2146" s="6" t="n">
        <f aca="false">Sens!G2036*(al_srch+Sens!G2141+sbc_r)</f>
        <v>12.0706558603049</v>
      </c>
      <c r="H2146" s="6" t="n">
        <f aca="false">Sens!H2036*(al_srch+Sens!H2141+sbc_r)</f>
        <v>13.2130391424888</v>
      </c>
      <c r="I2146" s="6" t="n">
        <f aca="false">Sens!I2036*(al_srch+Sens!I2141+sbc_r)</f>
        <v>14.3860667266491</v>
      </c>
      <c r="J2146" s="6" t="n">
        <f aca="false">Sens!J2036*(al_srch+Sens!J2141+sbc_r)</f>
        <v>15.5703580090089</v>
      </c>
      <c r="K2146" s="6" t="n">
        <f aca="false">Sens!K2036*(al_srch+Sens!K2141+sbc_r)</f>
        <v>16.7391842820082</v>
      </c>
    </row>
    <row r="2147" customFormat="false" ht="17.15" hidden="false" customHeight="false" outlineLevel="0" collapsed="false">
      <c r="A2147" s="0" t="s">
        <v>1062</v>
      </c>
      <c r="B2147" s="0" t="s">
        <v>98</v>
      </c>
      <c r="F2147" s="6" t="n">
        <f aca="false">Sens!F2005-Sens!F2006+Sens!F2086</f>
        <v>62.7455115602741</v>
      </c>
      <c r="G2147" s="6" t="n">
        <f aca="false">Sens!G2005-Sens!G2006+Sens!G2086</f>
        <v>107.852340369066</v>
      </c>
      <c r="H2147" s="6" t="n">
        <f aca="false">Sens!H2005-Sens!H2006+Sens!H2086</f>
        <v>156.220781878439</v>
      </c>
      <c r="I2147" s="6" t="n">
        <f aca="false">Sens!I2005-Sens!I2006+Sens!I2086</f>
        <v>199.793206612804</v>
      </c>
      <c r="J2147" s="6" t="n">
        <f aca="false">Sens!J2005-Sens!J2006+Sens!J2086</f>
        <v>230.50153205878</v>
      </c>
      <c r="K2147" s="6" t="n">
        <f aca="false">Sens!K2005-Sens!K2006+Sens!K2086</f>
        <v>249.52835874464</v>
      </c>
    </row>
    <row r="2148" customFormat="false" ht="17.15" hidden="false" customHeight="false" outlineLevel="0" collapsed="false">
      <c r="A2148" s="0" t="s">
        <v>1063</v>
      </c>
      <c r="B2148" s="0" t="s">
        <v>98</v>
      </c>
      <c r="F2148" s="6" t="n">
        <f aca="false">Sens!F2065+Sens!F2086+Sens!F2016+Sens!F2141*(Sens!F2035-Sens!F1999)+sbc_r*Sens!F2035</f>
        <v>257.056834920948</v>
      </c>
      <c r="G2148" s="6" t="n">
        <f aca="false">Sens!G2065+Sens!G2086+Sens!G2016+Sens!G2141*(Sens!G2035-Sens!G1999)+sbc_r*Sens!G2035</f>
        <v>330.239526652407</v>
      </c>
      <c r="H2148" s="6" t="n">
        <f aca="false">Sens!H2065+Sens!H2086+Sens!H2016+Sens!H2141*(Sens!H2035-Sens!H1999)+sbc_r*Sens!H2035</f>
        <v>407.193574080825</v>
      </c>
      <c r="I2148" s="6" t="n">
        <f aca="false">Sens!I2065+Sens!I2086+Sens!I2016+Sens!I2141*(Sens!I2035-Sens!I1999)+sbc_r*Sens!I2035</f>
        <v>477.928673533118</v>
      </c>
      <c r="J2148" s="6" t="n">
        <f aca="false">Sens!J2065+Sens!J2086+Sens!J2016+Sens!J2141*(Sens!J2035-Sens!J1999)+sbc_r*Sens!J2035</f>
        <v>533.27731465824</v>
      </c>
      <c r="K2148" s="6" t="n">
        <f aca="false">Sens!K2065+Sens!K2086+Sens!K2016+Sens!K2141*(Sens!K2035-Sens!K1999)+sbc_r*Sens!K2035</f>
        <v>574.492514855456</v>
      </c>
    </row>
    <row r="2149" customFormat="false" ht="17.15" hidden="false" customHeight="false" outlineLevel="0" collapsed="false">
      <c r="A2149" s="0" t="s">
        <v>1064</v>
      </c>
      <c r="B2149" s="0" t="s">
        <v>98</v>
      </c>
      <c r="F2149" s="6" t="n">
        <f aca="false">Sens!F2148-Sens!F2142-Sens!F2143-Sens!F2144-Sens!F2145-Sens!F2147</f>
        <v>65.9250646868817</v>
      </c>
      <c r="G2149" s="6" t="n">
        <f aca="false">Sens!G2148-Sens!G2142-Sens!G2143-Sens!G2144-Sens!G2145-Sens!G2147</f>
        <v>79.1178996027238</v>
      </c>
      <c r="H2149" s="6" t="n">
        <f aca="false">Sens!H2148-Sens!H2142-Sens!H2143-Sens!H2144-Sens!H2145-Sens!H2147</f>
        <v>92.6846127901355</v>
      </c>
      <c r="I2149" s="6" t="n">
        <f aca="false">Sens!I2148-Sens!I2142-Sens!I2143-Sens!I2144-Sens!I2145-Sens!I2147</f>
        <v>105.890155893276</v>
      </c>
      <c r="J2149" s="6" t="n">
        <f aca="false">Sens!J2148-Sens!J2142-Sens!J2143-Sens!J2144-Sens!J2145-Sens!J2147</f>
        <v>117.859190815329</v>
      </c>
      <c r="K2149" s="6" t="n">
        <f aca="false">Sens!K2148-Sens!K2142-Sens!K2143-Sens!K2144-Sens!K2145-Sens!K2147</f>
        <v>127.893055604064</v>
      </c>
    </row>
    <row r="2150" customFormat="false" ht="17.15" hidden="false" customHeight="false" outlineLevel="0" collapsed="false">
      <c r="A2150" s="0" t="s">
        <v>1065</v>
      </c>
      <c r="B2150" s="0" t="s">
        <v>98</v>
      </c>
      <c r="F2150" s="6" t="n">
        <f aca="false">Sens!F2067+Sens!F2141*Sens!F2042+sbc_r*Sens!F2042</f>
        <v>25.6330743086821</v>
      </c>
      <c r="G2150" s="6" t="n">
        <f aca="false">Sens!G2067+Sens!G2141*Sens!G2042+sbc_r*Sens!G2042</f>
        <v>26.3392155134493</v>
      </c>
      <c r="H2150" s="6" t="n">
        <f aca="false">Sens!H2067+Sens!H2141*Sens!H2042+sbc_r*Sens!H2042</f>
        <v>27.290130687928</v>
      </c>
      <c r="I2150" s="6" t="n">
        <f aca="false">Sens!I2067+Sens!I2141*Sens!I2042+sbc_r*Sens!I2042</f>
        <v>28.4609629560767</v>
      </c>
      <c r="J2150" s="6" t="n">
        <f aca="false">Sens!J2067+Sens!J2141*Sens!J2042+sbc_r*Sens!J2042</f>
        <v>29.8213018715996</v>
      </c>
      <c r="K2150" s="6" t="n">
        <f aca="false">Sens!K2067+Sens!K2141*Sens!K2042+sbc_r*Sens!K2042</f>
        <v>31.3379593475015</v>
      </c>
    </row>
    <row r="2151" customFormat="false" ht="17.15" hidden="false" customHeight="false" outlineLevel="0" collapsed="false">
      <c r="A2151" s="0" t="s">
        <v>1066</v>
      </c>
      <c r="B2151" s="0" t="s">
        <v>98</v>
      </c>
      <c r="F2151" s="6" t="n">
        <f aca="false">(Sens!F2150-Sens!F2146)*Sens!F2038/(Sens!F2038+Sens!F2040)</f>
        <v>8.03828156226271</v>
      </c>
      <c r="G2151" s="6" t="n">
        <f aca="false">(Sens!G2150-Sens!G2146)*Sens!G2038/(Sens!G2038+Sens!G2040)</f>
        <v>7.68242170250596</v>
      </c>
      <c r="H2151" s="6" t="n">
        <f aca="false">(Sens!H2150-Sens!H2146)*Sens!H2038/(Sens!H2038+Sens!H2040)</f>
        <v>7.47694808641284</v>
      </c>
      <c r="I2151" s="6" t="n">
        <f aca="false">(Sens!I2150-Sens!I2146)*Sens!I2038/(Sens!I2038+Sens!I2040)</f>
        <v>7.40814108850059</v>
      </c>
      <c r="J2151" s="6" t="n">
        <f aca="false">(Sens!J2150-Sens!J2146)*Sens!J2038/(Sens!J2038+Sens!J2040)</f>
        <v>7.46688315437699</v>
      </c>
      <c r="K2151" s="6" t="n">
        <f aca="false">(Sens!K2150-Sens!K2146)*Sens!K2038/(Sens!K2038+Sens!K2040)</f>
        <v>7.64913178117411</v>
      </c>
    </row>
    <row r="2152" customFormat="false" ht="17.15" hidden="false" customHeight="false" outlineLevel="0" collapsed="false">
      <c r="A2152" s="0" t="s">
        <v>1067</v>
      </c>
      <c r="B2152" s="0" t="s">
        <v>98</v>
      </c>
      <c r="F2152" s="6" t="n">
        <f aca="false">Sens!F2150-Sens!F2146-Sens!F2151</f>
        <v>6.62502449537004</v>
      </c>
      <c r="G2152" s="6" t="n">
        <f aca="false">Sens!G2150-Sens!G2146-Sens!G2151</f>
        <v>6.58613795063849</v>
      </c>
      <c r="H2152" s="6" t="n">
        <f aca="false">Sens!H2150-Sens!H2146-Sens!H2151</f>
        <v>6.60014345902631</v>
      </c>
      <c r="I2152" s="6" t="n">
        <f aca="false">Sens!I2150-Sens!I2146-Sens!I2151</f>
        <v>6.66675514092698</v>
      </c>
      <c r="J2152" s="6" t="n">
        <f aca="false">Sens!J2150-Sens!J2146-Sens!J2151</f>
        <v>6.78406070821372</v>
      </c>
      <c r="K2152" s="6" t="n">
        <f aca="false">Sens!K2150-Sens!K2146-Sens!K2151</f>
        <v>6.94964328431919</v>
      </c>
    </row>
    <row r="2153" customFormat="false" ht="17.15" hidden="false" customHeight="false" outlineLevel="0" collapsed="false">
      <c r="A2153" s="0" t="s">
        <v>1068</v>
      </c>
      <c r="B2153" s="0" t="s">
        <v>98</v>
      </c>
      <c r="F2153" s="6" t="n">
        <f aca="false">Sens!F2147-tax_f*(Sens!F2147-Sens!F2016)-Sens!F2013</f>
        <v>-134.031068826111</v>
      </c>
      <c r="G2153" s="6" t="n">
        <f aca="false">Sens!G2147-tax_f*(Sens!G2147-Sens!G2016)-Sens!G2013</f>
        <v>-119.817039378065</v>
      </c>
      <c r="H2153" s="6" t="n">
        <f aca="false">Sens!H2147-tax_f*(Sens!H2147-Sens!H2016)-Sens!H2013</f>
        <v>-79.9930728273338</v>
      </c>
      <c r="I2153" s="6" t="n">
        <f aca="false">Sens!I2147-tax_f*(Sens!I2147-Sens!I2016)-Sens!I2013</f>
        <v>-10.0680591750769</v>
      </c>
      <c r="J2153" s="6" t="n">
        <f aca="false">Sens!J2147-tax_f*(Sens!J2147-Sens!J2016)-Sens!J2013</f>
        <v>65.6588331307965</v>
      </c>
      <c r="K2153" s="6" t="n">
        <f aca="false">Sens!K2147-tax_f*(Sens!K2147-Sens!K2016)-Sens!K2013</f>
        <v>94.8552883825035</v>
      </c>
    </row>
    <row r="2154" customFormat="false" ht="17.15" hidden="false" customHeight="false" outlineLevel="0" collapsed="false">
      <c r="A2154" s="0" t="s">
        <v>1069</v>
      </c>
      <c r="B2154" s="0" t="s">
        <v>98</v>
      </c>
      <c r="F2154" s="6" t="n">
        <f aca="false">Sens!F2153*Sens!F2127</f>
        <v>-127.623495593854</v>
      </c>
      <c r="G2154" s="6" t="n">
        <f aca="false">Sens!G2153*Sens!G2127</f>
        <v>-103.441318778994</v>
      </c>
      <c r="H2154" s="6" t="n">
        <f aca="false">Sens!H2153*Sens!H2127</f>
        <v>-62.6149667422396</v>
      </c>
      <c r="I2154" s="6" t="n">
        <f aca="false">Sens!I2153*Sens!I2127</f>
        <v>-7.14532263588622</v>
      </c>
      <c r="J2154" s="6" t="n">
        <f aca="false">Sens!J2153*Sens!J2127</f>
        <v>42.2493035234034</v>
      </c>
      <c r="K2154" s="6" t="n">
        <f aca="false">Sens!K2153*Sens!K2127</f>
        <v>55.3398849821488</v>
      </c>
    </row>
    <row r="2155" customFormat="false" ht="17.15" hidden="false" customHeight="false" outlineLevel="0" collapsed="false">
      <c r="A2155" s="0" t="s">
        <v>1070</v>
      </c>
      <c r="B2155" s="0" t="s">
        <v>98</v>
      </c>
      <c r="C2155" s="6" t="n">
        <f aca="false">(Sens!K2147-Sens!K2016)*(1-tax_f)*(1+g_tv)*(1-g_tv/(wacc+ronic_prem))/(wacc-g_tv)/(1+wacc)^(Sens!K2126+mid_yr)</f>
        <v>371.809186404566</v>
      </c>
    </row>
    <row r="2156" customFormat="false" ht="17.15" hidden="false" customHeight="false" outlineLevel="0" collapsed="false">
      <c r="A2156" s="1" t="s">
        <v>1071</v>
      </c>
      <c r="B2156" s="0" t="s">
        <v>98</v>
      </c>
      <c r="C2156" s="6" t="n">
        <f aca="false">(SUM(Sens!F2154:K2154)+Sens!$C$2155)*(1+wacc)^t_roll</f>
        <v>191.960012450495</v>
      </c>
      <c r="L2156" s="11" t="s">
        <v>1072</v>
      </c>
    </row>
    <row r="2157" customFormat="false" ht="17.15" hidden="false" customHeight="false" outlineLevel="0" collapsed="false">
      <c r="A2157" s="1" t="s">
        <v>1073</v>
      </c>
      <c r="B2157" s="0" t="s">
        <v>98</v>
      </c>
      <c r="C2157" s="6" t="n">
        <f aca="false">(w_ntm28*Sens!G2005+(1-w_ntm28)*Sens!H2005)*m_ai</f>
        <v>454.922440830797</v>
      </c>
    </row>
    <row r="2158" customFormat="false" ht="17.15" hidden="false" customHeight="false" outlineLevel="0" collapsed="false">
      <c r="A2158" s="1" t="s">
        <v>1074</v>
      </c>
      <c r="B2158" s="0" t="s">
        <v>98</v>
      </c>
      <c r="C2158" s="6" t="n">
        <f aca="false">(w_ntm28*Sens!G2149+(1-w_ntm28)*Sens!H2149)*m_cloud</f>
        <v>1154.02321688636</v>
      </c>
    </row>
    <row r="2159" customFormat="false" ht="17.15" hidden="false" customHeight="false" outlineLevel="0" collapsed="false">
      <c r="A2159" s="1" t="s">
        <v>1075</v>
      </c>
      <c r="B2159" s="0" t="s">
        <v>98</v>
      </c>
      <c r="C2159" s="6" t="n">
        <f aca="false">(w_ntm28*Sens!G2142+(1-w_ntm28)*Sens!H2142)*m_sw</f>
        <v>1074.63478707368</v>
      </c>
    </row>
    <row r="2160" customFormat="false" ht="17.15" hidden="false" customHeight="false" outlineLevel="0" collapsed="false">
      <c r="A2160" s="1" t="s">
        <v>1076</v>
      </c>
      <c r="B2160" s="0" t="s">
        <v>98</v>
      </c>
      <c r="C2160" s="6" t="n">
        <f aca="false">(w_ntm28*Sens!G2143+(1-w_ntm28)*Sens!H2143)*m_sw</f>
        <v>376.589449119032</v>
      </c>
    </row>
    <row r="2161" customFormat="false" ht="17.15" hidden="false" customHeight="false" outlineLevel="0" collapsed="false">
      <c r="A2161" s="1" t="s">
        <v>1077</v>
      </c>
      <c r="B2161" s="0" t="s">
        <v>98</v>
      </c>
      <c r="C2161" s="6" t="n">
        <f aca="false">(w_ntm28*Sens!G2144+(1-w_ntm28)*Sens!H2144)*m_sw</f>
        <v>107.507304579843</v>
      </c>
    </row>
    <row r="2162" customFormat="false" ht="17.15" hidden="false" customHeight="false" outlineLevel="0" collapsed="false">
      <c r="A2162" s="1" t="s">
        <v>1078</v>
      </c>
      <c r="B2162" s="0" t="s">
        <v>98</v>
      </c>
      <c r="C2162" s="6" t="n">
        <f aca="false">(w_ntm28*Sens!G2145+(1-w_ntm28)*Sens!H2145)*m_sw</f>
        <v>41.0153222197407</v>
      </c>
    </row>
    <row r="2163" customFormat="false" ht="17.15" hidden="false" customHeight="false" outlineLevel="0" collapsed="false">
      <c r="A2163" s="1" t="s">
        <v>1079</v>
      </c>
      <c r="B2163" s="0" t="s">
        <v>98</v>
      </c>
      <c r="C2163" s="6" t="n">
        <f aca="false">(w_ntm28*Sens!G2146+(1-w_ntm28)*Sens!H2146)*m_ads</f>
        <v>113.328165793356</v>
      </c>
    </row>
    <row r="2164" customFormat="false" ht="17.15" hidden="false" customHeight="false" outlineLevel="0" collapsed="false">
      <c r="A2164" s="1" t="s">
        <v>1080</v>
      </c>
      <c r="B2164" s="0" t="s">
        <v>98</v>
      </c>
      <c r="C2164" s="6" t="n">
        <f aca="false">(w_ntm28*Sens!G2151+(1-w_ntm28)*Sens!H2151)*m_game</f>
        <v>96.1900119957784</v>
      </c>
    </row>
    <row r="2165" customFormat="false" ht="17.15" hidden="false" customHeight="false" outlineLevel="0" collapsed="false">
      <c r="A2165" s="1" t="s">
        <v>1081</v>
      </c>
      <c r="B2165" s="0" t="s">
        <v>98</v>
      </c>
      <c r="C2165" s="6" t="n">
        <f aca="false">(w_ntm28*Sens!G2152+(1-w_ntm28)*Sens!H2152)*m_pc</f>
        <v>95.3669335302646</v>
      </c>
    </row>
    <row r="2166" customFormat="false" ht="17.15" hidden="false" customHeight="false" outlineLevel="0" collapsed="false">
      <c r="A2166" s="1" t="s">
        <v>1082</v>
      </c>
      <c r="B2166" s="0" t="s">
        <v>98</v>
      </c>
      <c r="C2166" s="6" t="n">
        <f aca="false">Sens!$C$2156+Sens!$C$2158+Sens!$C$2159+Sens!$C$2160+Sens!$C$2161+Sens!$C$2162+Sens!$C$2163+Sens!$C$2164+Sens!$C$2165</f>
        <v>3250.61520364855</v>
      </c>
    </row>
    <row r="2167" customFormat="false" ht="17.15" hidden="false" customHeight="false" outlineLevel="0" collapsed="false">
      <c r="A2167" s="1" t="s">
        <v>1000</v>
      </c>
      <c r="B2167" s="0" t="s">
        <v>98</v>
      </c>
      <c r="C2167" s="6" t="n">
        <f aca="false">Sens!F2117+oai_v-Sens!F2106</f>
        <v>87.6926921227015</v>
      </c>
      <c r="L2167" s="1" t="s">
        <v>1083</v>
      </c>
    </row>
    <row r="2168" customFormat="false" ht="15" hidden="false" customHeight="false" outlineLevel="0" collapsed="false">
      <c r="A2168" s="1" t="s">
        <v>1001</v>
      </c>
      <c r="B2168" s="0" t="s">
        <v>75</v>
      </c>
      <c r="C2168" s="5" t="n">
        <f aca="false">(Sens!$C$2166+Sens!$C$2167)/Sens!F2119</f>
        <v>446.775681982234</v>
      </c>
    </row>
    <row r="2169" customFormat="false" ht="17.15" hidden="false" customHeight="false" outlineLevel="0" collapsed="false">
      <c r="A2169" s="1" t="s">
        <v>1084</v>
      </c>
      <c r="B2169" s="0" t="s">
        <v>75</v>
      </c>
      <c r="C2169" s="5" t="n">
        <f aca="false">w_dcf*Sens!$C$2140+(1-w_dcf)*Sens!$C$2168</f>
        <v>401.782819647956</v>
      </c>
    </row>
    <row r="2170" customFormat="false" ht="17.15" hidden="false" customHeight="false" outlineLevel="0" collapsed="false">
      <c r="A2170" s="3" t="s">
        <v>1289</v>
      </c>
    </row>
    <row r="2171" customFormat="false" ht="15" hidden="false" customHeight="false" outlineLevel="0" collapsed="false">
      <c r="A2171" s="4" t="s">
        <v>43</v>
      </c>
      <c r="B2171" s="4" t="s">
        <v>65</v>
      </c>
      <c r="C2171" s="20" t="s">
        <v>788</v>
      </c>
      <c r="D2171" s="20" t="s">
        <v>789</v>
      </c>
      <c r="E2171" s="20" t="s">
        <v>790</v>
      </c>
      <c r="F2171" s="20" t="s">
        <v>791</v>
      </c>
      <c r="G2171" s="20" t="s">
        <v>792</v>
      </c>
      <c r="H2171" s="20" t="s">
        <v>793</v>
      </c>
      <c r="I2171" s="20" t="s">
        <v>794</v>
      </c>
      <c r="J2171" s="20" t="s">
        <v>795</v>
      </c>
      <c r="K2171" s="20" t="s">
        <v>796</v>
      </c>
      <c r="L2171" s="4" t="s">
        <v>47</v>
      </c>
    </row>
    <row r="2172" customFormat="false" ht="17.15" hidden="false" customHeight="false" outlineLevel="0" collapsed="false">
      <c r="A2172" s="1" t="s">
        <v>797</v>
      </c>
      <c r="B2172" s="1" t="s">
        <v>235</v>
      </c>
      <c r="C2172" s="28" t="n">
        <v>2024</v>
      </c>
      <c r="D2172" s="28" t="n">
        <v>2025</v>
      </c>
      <c r="E2172" s="28" t="n">
        <v>2026</v>
      </c>
      <c r="F2172" s="28" t="n">
        <v>2027</v>
      </c>
      <c r="G2172" s="28" t="n">
        <v>2028</v>
      </c>
      <c r="H2172" s="28" t="n">
        <v>2029</v>
      </c>
      <c r="I2172" s="28" t="n">
        <v>2030</v>
      </c>
      <c r="J2172" s="28" t="n">
        <v>2031</v>
      </c>
      <c r="K2172" s="28" t="n">
        <v>2032</v>
      </c>
    </row>
    <row r="2173" customFormat="false" ht="17.15" hidden="false" customHeight="false" outlineLevel="0" collapsed="false">
      <c r="A2173" s="1" t="s">
        <v>798</v>
      </c>
      <c r="B2173" s="0" t="s">
        <v>392</v>
      </c>
      <c r="F2173" s="29" t="n">
        <f aca="false">pace</f>
        <v>2527.2</v>
      </c>
      <c r="G2173" s="29" t="n">
        <f aca="false">pace</f>
        <v>2527.2</v>
      </c>
      <c r="H2173" s="29" t="n">
        <f aca="false">pace</f>
        <v>2527.2</v>
      </c>
      <c r="I2173" s="29" t="n">
        <f aca="false">pace+(g_tv*Sens!H2174-pace)*MIN(1,(Sens!I2172-pace_y0)/(pace_y1-pace_y0))</f>
        <v>1793.116</v>
      </c>
      <c r="J2173" s="29" t="n">
        <f aca="false">pace+(g_tv*Sens!H2174-pace)*MIN(1,(Sens!J2172-pace_y0)/(pace_y1-pace_y0))</f>
        <v>1059.032</v>
      </c>
      <c r="K2173" s="29" t="n">
        <f aca="false">pace+(g_tv*Sens!H2174-pace)*MIN(1,(Sens!K2172-pace_y0)/(pace_y1-pace_y0))</f>
        <v>324.948</v>
      </c>
      <c r="L2173" s="11" t="s">
        <v>799</v>
      </c>
    </row>
    <row r="2174" customFormat="false" ht="17.15" hidden="false" customHeight="false" outlineLevel="0" collapsed="false">
      <c r="A2174" s="1" t="s">
        <v>800</v>
      </c>
      <c r="B2174" s="0" t="s">
        <v>392</v>
      </c>
      <c r="C2174" s="29" t="n">
        <f aca="false">mw_ext_24</f>
        <v>640</v>
      </c>
      <c r="D2174" s="29" t="n">
        <f aca="false">mw_ext_25</f>
        <v>1630</v>
      </c>
      <c r="E2174" s="29" t="n">
        <f aca="false">mw_ext_26</f>
        <v>3250</v>
      </c>
      <c r="F2174" s="29" t="n">
        <f aca="false">Sens!E2174+Sens!F2173</f>
        <v>5777.2</v>
      </c>
      <c r="G2174" s="29" t="n">
        <f aca="false">Sens!F2174+Sens!G2173</f>
        <v>8304.4</v>
      </c>
      <c r="H2174" s="29" t="n">
        <f aca="false">Sens!G2174+Sens!H2173</f>
        <v>10831.6</v>
      </c>
      <c r="I2174" s="29" t="n">
        <f aca="false">Sens!H2174+Sens!I2173</f>
        <v>12624.716</v>
      </c>
      <c r="J2174" s="29" t="n">
        <f aca="false">Sens!I2174+Sens!J2173</f>
        <v>13683.748</v>
      </c>
      <c r="K2174" s="29" t="n">
        <f aca="false">Sens!J2174+Sens!K2173</f>
        <v>14008.696</v>
      </c>
      <c r="L2174" s="1" t="s">
        <v>801</v>
      </c>
    </row>
    <row r="2175" customFormat="false" ht="17.15" hidden="false" customHeight="false" outlineLevel="0" collapsed="false">
      <c r="A2175" s="1" t="s">
        <v>802</v>
      </c>
      <c r="B2175" s="0" t="s">
        <v>392</v>
      </c>
      <c r="C2175" s="29" t="n">
        <f aca="false">rent_ext_24</f>
        <v>150</v>
      </c>
      <c r="D2175" s="29" t="n">
        <f aca="false">rent_ext_25</f>
        <v>400</v>
      </c>
      <c r="E2175" s="29" t="n">
        <f aca="false">rent_ext_26</f>
        <v>550</v>
      </c>
      <c r="F2175" s="29" t="n">
        <f aca="false">rent_ext_f</f>
        <v>756</v>
      </c>
      <c r="G2175" s="29" t="n">
        <f aca="false">rent_ext_f</f>
        <v>756</v>
      </c>
      <c r="H2175" s="29" t="n">
        <f aca="false">rent_ext_f</f>
        <v>756</v>
      </c>
      <c r="I2175" s="29" t="n">
        <f aca="false">rent_ext_f</f>
        <v>756</v>
      </c>
      <c r="J2175" s="29" t="n">
        <f aca="false">rent_ext_f</f>
        <v>756</v>
      </c>
      <c r="K2175" s="29" t="n">
        <f aca="false">rent_ext_f</f>
        <v>756</v>
      </c>
      <c r="L2175" s="1" t="s">
        <v>803</v>
      </c>
    </row>
    <row r="2176" customFormat="false" ht="17.15" hidden="false" customHeight="false" outlineLevel="0" collapsed="false">
      <c r="A2176" s="1" t="s">
        <v>804</v>
      </c>
      <c r="B2176" s="0" t="s">
        <v>392</v>
      </c>
      <c r="C2176" s="29" t="n">
        <f aca="false">Sens!C2174-Sens!C2175</f>
        <v>490</v>
      </c>
      <c r="D2176" s="29" t="n">
        <f aca="false">Sens!D2174-Sens!D2175</f>
        <v>1230</v>
      </c>
      <c r="E2176" s="29" t="n">
        <f aca="false">Sens!E2174-Sens!E2175</f>
        <v>2700</v>
      </c>
      <c r="F2176" s="29" t="n">
        <f aca="false">Sens!F2174-Sens!F2175</f>
        <v>5021.2</v>
      </c>
      <c r="G2176" s="29" t="n">
        <f aca="false">Sens!G2174-Sens!G2175</f>
        <v>7548.4</v>
      </c>
      <c r="H2176" s="29" t="n">
        <f aca="false">Sens!H2174-Sens!H2175</f>
        <v>10075.6</v>
      </c>
      <c r="I2176" s="29" t="n">
        <f aca="false">Sens!I2174-Sens!I2175</f>
        <v>11868.716</v>
      </c>
      <c r="J2176" s="29" t="n">
        <f aca="false">Sens!J2174-Sens!J2175</f>
        <v>12927.748</v>
      </c>
      <c r="K2176" s="29" t="n">
        <f aca="false">Sens!K2174-Sens!K2175</f>
        <v>13252.696</v>
      </c>
    </row>
    <row r="2177" customFormat="false" ht="17.15" hidden="false" customHeight="false" outlineLevel="0" collapsed="false">
      <c r="A2177" s="1" t="s">
        <v>805</v>
      </c>
      <c r="B2177" s="0" t="s">
        <v>392</v>
      </c>
      <c r="C2177" s="29" t="n">
        <f aca="false">Sens!C2176/ext_sh_lo</f>
        <v>980</v>
      </c>
      <c r="D2177" s="29" t="n">
        <f aca="false">Sens!D2176/ext_sh_lo</f>
        <v>2460</v>
      </c>
      <c r="E2177" s="29" t="n">
        <f aca="false">Sens!E2176/ext_sh_lo</f>
        <v>5400</v>
      </c>
      <c r="F2177" s="29" t="n">
        <f aca="false">Sens!F2176/ext_sh_lo</f>
        <v>10042.4</v>
      </c>
      <c r="G2177" s="29" t="n">
        <f aca="false">Sens!G2176/ext_sh_lo</f>
        <v>15096.8</v>
      </c>
      <c r="H2177" s="29" t="n">
        <f aca="false">Sens!H2176/ext_sh_lo</f>
        <v>20151.2</v>
      </c>
      <c r="I2177" s="29" t="n">
        <f aca="false">Sens!I2176/ext_sh_lo</f>
        <v>23737.432</v>
      </c>
      <c r="J2177" s="29" t="n">
        <f aca="false">Sens!J2176/ext_sh_lo</f>
        <v>25855.496</v>
      </c>
      <c r="K2177" s="29" t="n">
        <f aca="false">Sens!K2176/ext_sh_lo</f>
        <v>26505.392</v>
      </c>
      <c r="L2177" s="1" t="s">
        <v>806</v>
      </c>
    </row>
    <row r="2178" customFormat="false" ht="17.15" hidden="false" customHeight="false" outlineLevel="0" collapsed="false">
      <c r="A2178" s="1" t="s">
        <v>807</v>
      </c>
      <c r="B2178" s="0" t="s">
        <v>392</v>
      </c>
      <c r="C2178" s="29" t="n">
        <f aca="false">Sens!C2177-Sens!C2176</f>
        <v>490</v>
      </c>
      <c r="D2178" s="29" t="n">
        <f aca="false">Sens!D2177-Sens!D2176</f>
        <v>1230</v>
      </c>
      <c r="E2178" s="29" t="n">
        <f aca="false">Sens!E2177-Sens!E2176</f>
        <v>2700</v>
      </c>
      <c r="F2178" s="29" t="n">
        <f aca="false">Sens!F2177-Sens!F2176</f>
        <v>5021.2</v>
      </c>
      <c r="G2178" s="29" t="n">
        <f aca="false">Sens!G2177-Sens!G2176</f>
        <v>7548.4</v>
      </c>
      <c r="H2178" s="29" t="n">
        <f aca="false">Sens!H2177-Sens!H2176</f>
        <v>10075.6</v>
      </c>
      <c r="I2178" s="29" t="n">
        <f aca="false">Sens!I2177-Sens!I2176</f>
        <v>11868.716</v>
      </c>
      <c r="J2178" s="29" t="n">
        <f aca="false">Sens!J2177-Sens!J2176</f>
        <v>12927.748</v>
      </c>
      <c r="K2178" s="29" t="n">
        <f aca="false">Sens!K2177-Sens!K2176</f>
        <v>13252.696</v>
      </c>
    </row>
    <row r="2179" customFormat="false" ht="17.15" hidden="false" customHeight="false" outlineLevel="0" collapsed="false">
      <c r="A2179" s="1" t="s">
        <v>808</v>
      </c>
      <c r="B2179" s="0" t="s">
        <v>392</v>
      </c>
      <c r="C2179" s="29" t="n">
        <f aca="false">Sens!C2177</f>
        <v>980</v>
      </c>
      <c r="D2179" s="29" t="n">
        <f aca="false">Sens!D2177-Sens!C2177</f>
        <v>1480</v>
      </c>
      <c r="E2179" s="29" t="n">
        <f aca="false">Sens!E2177-Sens!D2177</f>
        <v>2940</v>
      </c>
      <c r="F2179" s="29" t="n">
        <f aca="false">Sens!F2177-Sens!E2177</f>
        <v>4642.4</v>
      </c>
      <c r="G2179" s="29" t="n">
        <f aca="false">Sens!G2177-Sens!F2177</f>
        <v>5054.4</v>
      </c>
      <c r="H2179" s="29" t="n">
        <f aca="false">Sens!H2177-Sens!G2177</f>
        <v>5054.4</v>
      </c>
      <c r="I2179" s="29" t="n">
        <f aca="false">Sens!I2177-Sens!H2177</f>
        <v>3586.232</v>
      </c>
      <c r="J2179" s="29" t="n">
        <f aca="false">Sens!J2177-Sens!I2177</f>
        <v>2118.064</v>
      </c>
      <c r="K2179" s="29" t="n">
        <f aca="false">Sens!K2177-Sens!J2177</f>
        <v>649.896000000001</v>
      </c>
    </row>
    <row r="2180" customFormat="false" ht="17.15" hidden="false" customHeight="false" outlineLevel="0" collapsed="false">
      <c r="A2180" s="1" t="s">
        <v>809</v>
      </c>
      <c r="B2180" s="0" t="s">
        <v>392</v>
      </c>
      <c r="D2180" s="29" t="n">
        <f aca="false">Sens!D2174-Sens!C2174</f>
        <v>990</v>
      </c>
      <c r="E2180" s="29" t="n">
        <f aca="false">Sens!E2174-Sens!D2174</f>
        <v>1620</v>
      </c>
      <c r="F2180" s="29" t="n">
        <f aca="false">Sens!F2174-Sens!E2174</f>
        <v>2527.2</v>
      </c>
      <c r="G2180" s="29" t="n">
        <f aca="false">Sens!G2174-Sens!F2174</f>
        <v>2527.2</v>
      </c>
      <c r="H2180" s="29" t="n">
        <f aca="false">Sens!H2174-Sens!G2174</f>
        <v>2527.2</v>
      </c>
      <c r="I2180" s="29" t="n">
        <f aca="false">Sens!I2174-Sens!H2174</f>
        <v>1793.116</v>
      </c>
      <c r="J2180" s="29" t="n">
        <f aca="false">Sens!J2174-Sens!I2174</f>
        <v>1059.032</v>
      </c>
      <c r="K2180" s="29" t="n">
        <f aca="false">Sens!K2174-Sens!J2174</f>
        <v>324.948</v>
      </c>
    </row>
    <row r="2181" customFormat="false" ht="17.15" hidden="false" customHeight="false" outlineLevel="0" collapsed="false">
      <c r="A2181" s="1" t="s">
        <v>810</v>
      </c>
      <c r="B2181" s="0" t="s">
        <v>392</v>
      </c>
      <c r="F2181" s="29" t="n">
        <f aca="false">Sens!F2198*ext_sh_lo</f>
        <v>0</v>
      </c>
      <c r="G2181" s="29" t="n">
        <f aca="false">Sens!G2198*ext_sh_lo</f>
        <v>0</v>
      </c>
      <c r="H2181" s="29" t="n">
        <f aca="false">Sens!H2198*ext_sh_lo</f>
        <v>0</v>
      </c>
      <c r="I2181" s="29" t="n">
        <f aca="false">Sens!I2198*ext_sh_lo</f>
        <v>490</v>
      </c>
      <c r="J2181" s="29" t="n">
        <f aca="false">Sens!J2198*ext_sh_lo</f>
        <v>740</v>
      </c>
      <c r="K2181" s="29" t="n">
        <f aca="false">Sens!K2198*ext_sh_lo</f>
        <v>1470</v>
      </c>
      <c r="L2181" s="1" t="s">
        <v>811</v>
      </c>
    </row>
    <row r="2182" customFormat="false" ht="17.15" hidden="false" customHeight="false" outlineLevel="0" collapsed="false">
      <c r="A2182" s="1" t="s">
        <v>812</v>
      </c>
      <c r="B2182" s="0" t="s">
        <v>392</v>
      </c>
      <c r="C2182" s="29" t="n">
        <f aca="false">mix_h*Sens!C2174</f>
        <v>128</v>
      </c>
      <c r="D2182" s="29" t="n">
        <f aca="false">mix_h*Sens!D2174</f>
        <v>326</v>
      </c>
      <c r="E2182" s="29" t="n">
        <f aca="false">mix_h*Sens!E2174</f>
        <v>650</v>
      </c>
      <c r="F2182" s="29" t="n">
        <f aca="false">Sens!E2182-Sens!F2181*mix_h</f>
        <v>650</v>
      </c>
      <c r="G2182" s="29" t="n">
        <f aca="false">Sens!F2182-Sens!G2181*mix_h</f>
        <v>650</v>
      </c>
      <c r="H2182" s="29" t="n">
        <f aca="false">Sens!G2182-Sens!H2181*mix_h</f>
        <v>650</v>
      </c>
      <c r="I2182" s="29" t="n">
        <f aca="false">Sens!H2182-Sens!I2181*mix_h</f>
        <v>552</v>
      </c>
      <c r="J2182" s="29" t="n">
        <f aca="false">Sens!I2182-Sens!J2181*mix_h</f>
        <v>404</v>
      </c>
      <c r="K2182" s="29" t="n">
        <f aca="false">Sens!J2182-Sens!K2181*mix_h</f>
        <v>110</v>
      </c>
    </row>
    <row r="2183" customFormat="false" ht="17.15" hidden="false" customHeight="false" outlineLevel="0" collapsed="false">
      <c r="A2183" s="1" t="s">
        <v>813</v>
      </c>
      <c r="B2183" s="0" t="s">
        <v>392</v>
      </c>
      <c r="C2183" s="29" t="n">
        <f aca="false">mix_g2*Sens!C2174</f>
        <v>288</v>
      </c>
      <c r="D2183" s="29" t="n">
        <f aca="false">mix_g2*Sens!D2174</f>
        <v>733.5</v>
      </c>
      <c r="E2183" s="29" t="n">
        <f aca="false">mix_g2*Sens!E2174</f>
        <v>1462.5</v>
      </c>
      <c r="F2183" s="29" t="n">
        <f aca="false">Sens!E2183-Sens!F2181*mix_g2</f>
        <v>1462.5</v>
      </c>
      <c r="G2183" s="29" t="n">
        <f aca="false">Sens!F2183-Sens!G2181*mix_g2</f>
        <v>1462.5</v>
      </c>
      <c r="H2183" s="29" t="n">
        <f aca="false">Sens!G2183-Sens!H2181*mix_g2</f>
        <v>1462.5</v>
      </c>
      <c r="I2183" s="29" t="n">
        <f aca="false">Sens!H2183-Sens!I2181*mix_g2</f>
        <v>1242</v>
      </c>
      <c r="J2183" s="29" t="n">
        <f aca="false">Sens!I2183-Sens!J2181*mix_g2</f>
        <v>909</v>
      </c>
      <c r="K2183" s="29" t="n">
        <f aca="false">Sens!J2183-Sens!K2181*mix_g2</f>
        <v>247.5</v>
      </c>
    </row>
    <row r="2184" customFormat="false" ht="17.15" hidden="false" customHeight="false" outlineLevel="0" collapsed="false">
      <c r="A2184" s="1" t="s">
        <v>814</v>
      </c>
      <c r="B2184" s="0" t="s">
        <v>392</v>
      </c>
      <c r="C2184" s="29" t="n">
        <f aca="false">mix_g3*Sens!C2174</f>
        <v>224</v>
      </c>
      <c r="D2184" s="29" t="n">
        <f aca="false">mix_g3*Sens!D2174</f>
        <v>570.5</v>
      </c>
      <c r="E2184" s="29" t="n">
        <f aca="false">mix_g3*Sens!E2174</f>
        <v>1137.5</v>
      </c>
      <c r="F2184" s="29" t="n">
        <f aca="false">Sens!E2184+(Sens!F2180+Sens!F2181)*a_g3_27-Sens!F2181*mix_g3</f>
        <v>2906.54</v>
      </c>
      <c r="G2184" s="29" t="n">
        <f aca="false">Sens!F2184+(Sens!G2180+Sens!G2181)*a_g3_28-Sens!G2181*mix_g3</f>
        <v>3664.7</v>
      </c>
      <c r="H2184" s="29" t="n">
        <f aca="false">Sens!G2184+(Sens!H2180+Sens!H2181)*a_g3_29-Sens!H2181*mix_g3</f>
        <v>3917.42</v>
      </c>
      <c r="I2184" s="29" t="n">
        <f aca="false">Sens!H2184+(Sens!I2180+Sens!I2181)*a_g3_29-Sens!I2181*mix_g3</f>
        <v>3974.2316</v>
      </c>
      <c r="J2184" s="29" t="n">
        <f aca="false">Sens!I2184+(Sens!J2180+Sens!J2181)*a_g3_29-Sens!J2181*mix_g3</f>
        <v>3895.1348</v>
      </c>
      <c r="K2184" s="29" t="n">
        <f aca="false">Sens!J2184+(Sens!K2180+Sens!K2181)*a_g3_29-Sens!K2181*mix_g3</f>
        <v>3560.1296</v>
      </c>
    </row>
    <row r="2185" customFormat="false" ht="17.15" hidden="false" customHeight="false" outlineLevel="0" collapsed="false">
      <c r="A2185" s="1" t="s">
        <v>815</v>
      </c>
      <c r="B2185" s="0" t="s">
        <v>392</v>
      </c>
      <c r="C2185" s="29" t="n">
        <v>0</v>
      </c>
      <c r="D2185" s="29" t="n">
        <v>0</v>
      </c>
      <c r="E2185" s="29" t="n">
        <v>0</v>
      </c>
      <c r="F2185" s="29" t="n">
        <f aca="false">Sens!E2185+(Sens!F2180+Sens!F2181)*(1-a_g3_27)</f>
        <v>758.16</v>
      </c>
      <c r="G2185" s="29" t="n">
        <f aca="false">Sens!F2185+(Sens!G2180+Sens!G2181)*(1-a_g3_28)</f>
        <v>2527.2</v>
      </c>
      <c r="H2185" s="29" t="n">
        <f aca="false">Sens!G2185+(Sens!H2180+Sens!H2181)*(1-a_g3_29)</f>
        <v>4801.68</v>
      </c>
      <c r="I2185" s="29" t="n">
        <f aca="false">Sens!H2185+(Sens!I2180+Sens!I2181)*(1-a_g3_29)</f>
        <v>6856.4844</v>
      </c>
      <c r="J2185" s="29" t="n">
        <f aca="false">Sens!I2185+(Sens!J2180+Sens!J2181)*(1-a_g3_29)</f>
        <v>8475.6132</v>
      </c>
      <c r="K2185" s="29" t="n">
        <f aca="false">Sens!J2185+(Sens!K2180+Sens!K2181)*(1-a_g3_29)</f>
        <v>10091.0664</v>
      </c>
    </row>
    <row r="2186" customFormat="false" ht="17.15" hidden="false" customHeight="false" outlineLevel="0" collapsed="false">
      <c r="A2186" s="1" t="s">
        <v>816</v>
      </c>
      <c r="B2186" s="0" t="s">
        <v>339</v>
      </c>
      <c r="C2186" s="14" t="n">
        <f aca="false">(Sens!C2182*tk_hold_h100+Sens!C2183*tk_hold_gb200+Sens!C2184*tk_hold_gb300+Sens!C2185*tk_hold_vr200)/Sens!C2174</f>
        <v>9.7235358126469</v>
      </c>
      <c r="D2186" s="14" t="n">
        <f aca="false">(Sens!D2182*tk_hold_h100+Sens!D2183*tk_hold_gb200+Sens!D2184*tk_hold_gb300+Sens!D2185*tk_hold_vr200)/Sens!D2174</f>
        <v>9.7235358126469</v>
      </c>
      <c r="E2186" s="14" t="n">
        <f aca="false">(Sens!E2182*tk_hold_h100+Sens!E2183*tk_hold_gb200+Sens!E2184*tk_hold_gb300+Sens!E2185*tk_hold_vr200)/Sens!E2174</f>
        <v>9.7235358126469</v>
      </c>
      <c r="F2186" s="14" t="n">
        <f aca="false">(Sens!F2182*tk_hold_h100+Sens!F2183*tk_hold_gb200+Sens!F2184*tk_hold_gb300+Sens!F2185*tk_hold_vr200)/Sens!F2174</f>
        <v>10.4079573161931</v>
      </c>
      <c r="G2186" s="14" t="n">
        <f aca="false">(Sens!G2182*tk_hold_h100+Sens!G2183*tk_hold_gb200+Sens!G2184*tk_hold_gb300+Sens!G2185*tk_hold_vr200)/Sens!G2174</f>
        <v>10.8388131109316</v>
      </c>
      <c r="H2186" s="14" t="n">
        <f aca="false">(Sens!H2182*tk_hold_h100+Sens!H2183*tk_hold_gb200+Sens!H2184*tk_hold_gb300+Sens!H2185*tk_hold_vr200)/Sens!H2174</f>
        <v>11.1311018388216</v>
      </c>
      <c r="I2186" s="14" t="n">
        <f aca="false">(Sens!I2182*tk_hold_h100+Sens!I2183*tk_hold_gb200+Sens!I2184*tk_hold_gb300+Sens!I2185*tk_hold_vr200)/Sens!I2174</f>
        <v>11.3594282560989</v>
      </c>
      <c r="J2186" s="14" t="n">
        <f aca="false">(Sens!J2182*tk_hold_h100+Sens!J2183*tk_hold_gb200+Sens!J2184*tk_hold_gb300+Sens!J2185*tk_hold_vr200)/Sens!J2174</f>
        <v>11.5441508808221</v>
      </c>
      <c r="K2186" s="14" t="n">
        <f aca="false">(Sens!K2182*tk_hold_h100+Sens!K2183*tk_hold_gb200+Sens!K2184*tk_hold_gb300+Sens!K2185*tk_hold_vr200)/Sens!K2174</f>
        <v>11.8053375063575</v>
      </c>
    </row>
    <row r="2187" customFormat="false" ht="17.15" hidden="false" customHeight="false" outlineLevel="0" collapsed="false">
      <c r="A2187" s="0" t="s">
        <v>817</v>
      </c>
      <c r="B2187" s="0" t="s">
        <v>185</v>
      </c>
      <c r="C2187" s="14" t="n">
        <f aca="false">k_B</f>
        <v>1.17213932619116</v>
      </c>
      <c r="D2187" s="14" t="n">
        <f aca="false">k_B</f>
        <v>1.17213932619116</v>
      </c>
      <c r="E2187" s="14" t="n">
        <f aca="false">k_B</f>
        <v>1.17213932619116</v>
      </c>
      <c r="F2187" s="14" t="n">
        <f aca="false">(k_B+((ls_C*k_long+(1-ls_C)*k_spot)-k_B)*MIN(1,(Sens!F2172-base_fy)/k_ramp))</f>
        <v>1.07843258004497</v>
      </c>
      <c r="G2187" s="14" t="n">
        <f aca="false">(k_B+((ls_C*k_long+(1-ls_C)*k_spot)-k_B)*MIN(1,(Sens!G2172-base_fy)/k_ramp))</f>
        <v>0.984725833898784</v>
      </c>
      <c r="H2187" s="14" t="n">
        <f aca="false">(k_B+((ls_C*k_long+(1-ls_C)*k_spot)-k_B)*MIN(1,(Sens!H2172-base_fy)/k_ramp))</f>
        <v>0.891019087752599</v>
      </c>
      <c r="I2187" s="14" t="n">
        <f aca="false">(k_B+((ls_C*k_long+(1-ls_C)*k_spot)-k_B)*MIN(1,(Sens!I2172-base_fy)/k_ramp))</f>
        <v>0.891019087752599</v>
      </c>
      <c r="J2187" s="14" t="n">
        <f aca="false">(k_B+((ls_C*k_long+(1-ls_C)*k_spot)-k_B)*MIN(1,(Sens!J2172-base_fy)/k_ramp))</f>
        <v>0.891019087752599</v>
      </c>
      <c r="K2187" s="14" t="n">
        <f aca="false">(k_B+((ls_C*k_long+(1-ls_C)*k_spot)-k_B)*MIN(1,(Sens!K2172-base_fy)/k_ramp))</f>
        <v>0.891019087752599</v>
      </c>
      <c r="L2187" s="1" t="s">
        <v>818</v>
      </c>
    </row>
    <row r="2188" customFormat="false" ht="17.15" hidden="false" customHeight="false" outlineLevel="0" collapsed="false">
      <c r="A2188" s="1" t="s">
        <v>819</v>
      </c>
      <c r="B2188" s="0" t="s">
        <v>339</v>
      </c>
      <c r="C2188" s="14" t="n">
        <f aca="false">Sens!C2186*Sens!C2187*chip_f</f>
        <v>11.3973387156315</v>
      </c>
      <c r="D2188" s="14" t="n">
        <f aca="false">Sens!D2186*Sens!D2187*chip_f</f>
        <v>11.3973387156315</v>
      </c>
      <c r="E2188" s="14" t="n">
        <f aca="false">Sens!E2186*Sens!E2187*chip_f</f>
        <v>11.3973387156315</v>
      </c>
      <c r="F2188" s="14" t="n">
        <f aca="false">Sens!F2186*Sens!F2187*chip_f</f>
        <v>11.2242802615</v>
      </c>
      <c r="G2188" s="14" t="n">
        <f aca="false">Sens!G2186*Sens!G2187*chip_f</f>
        <v>10.6732592791352</v>
      </c>
      <c r="H2188" s="14" t="n">
        <f aca="false">Sens!H2186*Sens!H2187*chip_f</f>
        <v>9.91802420610807</v>
      </c>
      <c r="I2188" s="14" t="n">
        <f aca="false">Sens!I2186*Sens!I2187*chip_f</f>
        <v>10.1214674021403</v>
      </c>
      <c r="J2188" s="14" t="n">
        <f aca="false">Sens!J2186*Sens!J2187*chip_f</f>
        <v>10.2860587867084</v>
      </c>
      <c r="K2188" s="14" t="n">
        <f aca="false">Sens!K2186*Sens!K2187*chip_f</f>
        <v>10.5187810555262</v>
      </c>
      <c r="L2188" s="1" t="s">
        <v>820</v>
      </c>
    </row>
    <row r="2189" customFormat="false" ht="17.15" hidden="false" customHeight="false" outlineLevel="0" collapsed="false">
      <c r="A2189" s="0" t="s">
        <v>821</v>
      </c>
      <c r="B2189" s="0" t="s">
        <v>98</v>
      </c>
      <c r="D2189" s="6" t="n">
        <f aca="false">(Sens!C2174+Sens!D2174)/2*Sens!D2188/1000</f>
        <v>12.9359794422418</v>
      </c>
      <c r="E2189" s="6" t="n">
        <f aca="false">(Sens!D2174+Sens!E2174)/2*Sens!E2188/1000</f>
        <v>27.8095064661409</v>
      </c>
      <c r="F2189" s="6" t="n">
        <f aca="false">(Sens!E2174+Sens!F2174)/2*Sens!F2188/1000</f>
        <v>50.6619113883066</v>
      </c>
      <c r="G2189" s="6" t="n">
        <f aca="false">(Sens!F2174+Sens!G2174)/2*Sens!G2188/1000</f>
        <v>75.1482839325348</v>
      </c>
      <c r="H2189" s="6" t="n">
        <f aca="false">(Sens!G2174+Sens!H2174)/2*Sens!H2188/1000</f>
        <v>94.895655604042</v>
      </c>
      <c r="I2189" s="6" t="n">
        <f aca="false">(Sens!H2174+Sens!I2174)/2*Sens!I2188/1000</f>
        <v>118.706168884151</v>
      </c>
      <c r="J2189" s="6" t="n">
        <f aca="false">(Sens!I2174+Sens!J2174)/2*Sens!J2188/1000</f>
        <v>135.305203646001</v>
      </c>
      <c r="K2189" s="6" t="n">
        <f aca="false">(Sens!J2174+Sens!K2174)/2*Sens!K2188/1000</f>
        <v>145.64537766421</v>
      </c>
      <c r="L2189" s="11" t="s">
        <v>822</v>
      </c>
    </row>
    <row r="2190" customFormat="false" ht="17.15" hidden="false" customHeight="false" outlineLevel="0" collapsed="false">
      <c r="A2190" s="1" t="s">
        <v>823</v>
      </c>
      <c r="B2190" s="0" t="s">
        <v>339</v>
      </c>
      <c r="C2190" s="14" t="n">
        <f aca="false">(Sens!C2182*tk_opex_h100+Sens!C2183*tk_opex_gb200+Sens!C2184*tk_opex_gb300+Sens!C2185*tk_opex_vr200)/Sens!C2174</f>
        <v>1.88636041306092</v>
      </c>
      <c r="D2190" s="14" t="n">
        <f aca="false">(Sens!D2182*tk_opex_h100+Sens!D2183*tk_opex_gb200+Sens!D2184*tk_opex_gb300+Sens!D2185*tk_opex_vr200)/Sens!D2174</f>
        <v>1.88636041306092</v>
      </c>
      <c r="E2190" s="14" t="n">
        <f aca="false">(Sens!E2182*tk_opex_h100+Sens!E2183*tk_opex_gb200+Sens!E2184*tk_opex_gb300+Sens!E2185*tk_opex_vr200)/Sens!E2174</f>
        <v>1.88636041306092</v>
      </c>
      <c r="F2190" s="14" t="n">
        <f aca="false">(Sens!F2182*tk_opex_h100+Sens!F2183*tk_opex_gb200+Sens!F2184*tk_opex_gb300+Sens!F2185*tk_opex_vr200)/Sens!F2174</f>
        <v>1.9430236476499</v>
      </c>
      <c r="G2190" s="14" t="n">
        <f aca="false">(Sens!G2182*tk_opex_h100+Sens!G2183*tk_opex_gb200+Sens!G2184*tk_opex_gb300+Sens!G2185*tk_opex_vr200)/Sens!G2174</f>
        <v>1.9786941852423</v>
      </c>
      <c r="H2190" s="14" t="n">
        <f aca="false">(Sens!H2182*tk_opex_h100+Sens!H2183*tk_opex_gb200+Sens!H2184*tk_opex_gb300+Sens!H2185*tk_opex_vr200)/Sens!H2174</f>
        <v>2.00289275976156</v>
      </c>
      <c r="I2190" s="14" t="n">
        <f aca="false">(Sens!I2182*tk_opex_h100+Sens!I2183*tk_opex_gb200+Sens!I2184*tk_opex_gb300+Sens!I2185*tk_opex_vr200)/Sens!I2174</f>
        <v>2.02179589661219</v>
      </c>
      <c r="J2190" s="14" t="n">
        <f aca="false">(Sens!J2182*tk_opex_h100+Sens!J2183*tk_opex_gb200+Sens!J2184*tk_opex_gb300+Sens!J2185*tk_opex_vr200)/Sens!J2174</f>
        <v>2.03708907685909</v>
      </c>
      <c r="K2190" s="14" t="n">
        <f aca="false">(Sens!K2182*tk_opex_h100+Sens!K2183*tk_opex_gb200+Sens!K2184*tk_opex_gb300+Sens!K2185*tk_opex_vr200)/Sens!K2174</f>
        <v>2.05871270931005</v>
      </c>
    </row>
    <row r="2191" customFormat="false" ht="17.15" hidden="false" customHeight="false" outlineLevel="0" collapsed="false">
      <c r="A2191" s="0" t="s">
        <v>824</v>
      </c>
      <c r="B2191" s="0" t="s">
        <v>98</v>
      </c>
      <c r="D2191" s="6" t="n">
        <f aca="false">(Sens!C2177+Sens!D2177)/2*Sens!D2190/1000</f>
        <v>3.24453991046478</v>
      </c>
      <c r="E2191" s="6" t="n">
        <f aca="false">(Sens!D2177+Sens!E2177)/2*Sens!E2190/1000</f>
        <v>7.41339642332941</v>
      </c>
      <c r="F2191" s="6" t="n">
        <f aca="false">(Sens!E2177+Sens!F2177)/2*Sens!F2190/1000</f>
        <v>15.0024741882344</v>
      </c>
      <c r="G2191" s="6" t="n">
        <f aca="false">(Sens!F2177+Sens!G2177)/2*Sens!G2190/1000</f>
        <v>24.8713944308216</v>
      </c>
      <c r="H2191" s="6" t="n">
        <f aca="false">(Sens!G2177+Sens!H2177)/2*Sens!H2190/1000</f>
        <v>35.2989819980378</v>
      </c>
      <c r="I2191" s="6" t="n">
        <f aca="false">(Sens!H2177+Sens!I2177)/2*Sens!I2190/1000</f>
        <v>44.3669280427613</v>
      </c>
      <c r="J2191" s="6" t="n">
        <f aca="false">(Sens!I2177+Sens!J2177)/2*Sens!J2190/1000</f>
        <v>50.5126059591296</v>
      </c>
      <c r="K2191" s="6" t="n">
        <f aca="false">(Sens!J2177+Sens!K2177)/2*Sens!K2190/1000</f>
        <v>53.8980127981801</v>
      </c>
    </row>
    <row r="2192" customFormat="false" ht="17.15" hidden="false" customHeight="false" outlineLevel="0" collapsed="false">
      <c r="A2192" s="0" t="s">
        <v>825</v>
      </c>
      <c r="B2192" s="0" t="s">
        <v>98</v>
      </c>
      <c r="D2192" s="6" t="n">
        <f aca="false">(Sens!C2175+Sens!D2175)/2*rent_mw/1000</f>
        <v>2.44475</v>
      </c>
      <c r="E2192" s="6" t="n">
        <f aca="false">(Sens!D2175+Sens!E2175)/2*rent_mw/1000</f>
        <v>4.22275</v>
      </c>
      <c r="F2192" s="6" t="n">
        <f aca="false">(Sens!E2175+Sens!F2175)/2*rent_mw/1000</f>
        <v>5.80517</v>
      </c>
      <c r="G2192" s="6" t="n">
        <f aca="false">(Sens!F2175+Sens!G2175)/2*rent_mw/1000</f>
        <v>6.72084</v>
      </c>
      <c r="H2192" s="6" t="n">
        <f aca="false">(Sens!G2175+Sens!H2175)/2*rent_mw/1000</f>
        <v>6.72084</v>
      </c>
      <c r="I2192" s="6" t="n">
        <f aca="false">(Sens!H2175+Sens!I2175)/2*rent_mw/1000</f>
        <v>6.72084</v>
      </c>
      <c r="J2192" s="6" t="n">
        <f aca="false">(Sens!I2175+Sens!J2175)/2*rent_mw/1000</f>
        <v>6.72084</v>
      </c>
      <c r="K2192" s="6" t="n">
        <f aca="false">(Sens!J2175+Sens!K2175)/2*rent_mw/1000</f>
        <v>6.72084</v>
      </c>
    </row>
    <row r="2193" customFormat="false" ht="17.15" hidden="false" customHeight="false" outlineLevel="0" collapsed="false">
      <c r="A2193" s="0" t="s">
        <v>826</v>
      </c>
      <c r="B2193" s="0" t="s">
        <v>98</v>
      </c>
      <c r="D2193" s="6" t="n">
        <f aca="false">(Sens!C2177+Sens!D2177)/2*(1-self_build)*fac_rent/1000</f>
        <v>1.02389085075729</v>
      </c>
      <c r="E2193" s="6" t="n">
        <f aca="false">(Sens!D2177+Sens!E2177)/2*(1-self_build)*fac_rent/1000</f>
        <v>2.33947153690474</v>
      </c>
      <c r="F2193" s="6" t="n">
        <f aca="false">(Sens!E2177+Sens!F2177)/2*(1-self_build)*fac_rent/1000</f>
        <v>4.59631746329488</v>
      </c>
      <c r="G2193" s="6" t="n">
        <f aca="false">(Sens!F2177+Sens!G2177)/2*(1-self_build)*fac_rent/1000</f>
        <v>7.48249909167374</v>
      </c>
      <c r="H2193" s="6" t="n">
        <f aca="false">(Sens!G2177+Sens!H2177)/2*(1-self_build)*fac_rent/1000</f>
        <v>10.4913095079921</v>
      </c>
      <c r="I2193" s="6" t="n">
        <f aca="false">(Sens!H2177+Sens!I2177)/2*(1-self_build)*fac_rent/1000</f>
        <v>13.0631304526319</v>
      </c>
      <c r="J2193" s="6" t="n">
        <f aca="false">(Sens!I2177+Sens!J2177)/2*(1-self_build)*fac_rent/1000</f>
        <v>14.7609724539143</v>
      </c>
      <c r="K2193" s="6" t="n">
        <f aca="false">(Sens!J2177+Sens!K2177)/2*(1-self_build)*fac_rent/1000</f>
        <v>15.5848355118393</v>
      </c>
      <c r="L2193" s="11" t="s">
        <v>827</v>
      </c>
    </row>
    <row r="2194" customFormat="false" ht="17.15" hidden="false" customHeight="false" outlineLevel="0" collapsed="false">
      <c r="A2194" s="1" t="s">
        <v>828</v>
      </c>
      <c r="B2194" s="0" t="s">
        <v>129</v>
      </c>
      <c r="D2194" s="7" t="n">
        <f aca="false">(Sens!C2176+Sens!D2176)/(Sens!C2177+Sens!D2177)</f>
        <v>0.5</v>
      </c>
      <c r="E2194" s="7" t="n">
        <f aca="false">(Sens!D2176+Sens!E2176)/(Sens!D2177+Sens!E2177)</f>
        <v>0.5</v>
      </c>
      <c r="F2194" s="7" t="n">
        <f aca="false">(Sens!E2176+Sens!F2176)/(Sens!E2177+Sens!F2177)</f>
        <v>0.5</v>
      </c>
      <c r="G2194" s="7" t="n">
        <f aca="false">(Sens!F2176+Sens!G2176)/(Sens!F2177+Sens!G2177)</f>
        <v>0.5</v>
      </c>
      <c r="H2194" s="7" t="n">
        <f aca="false">(Sens!G2176+Sens!H2176)/(Sens!G2177+Sens!H2177)</f>
        <v>0.5</v>
      </c>
      <c r="I2194" s="7" t="n">
        <f aca="false">(Sens!H2176+Sens!I2176)/(Sens!H2177+Sens!I2177)</f>
        <v>0.5</v>
      </c>
      <c r="J2194" s="7" t="n">
        <f aca="false">(Sens!I2176+Sens!J2176)/(Sens!I2177+Sens!J2177)</f>
        <v>0.5</v>
      </c>
      <c r="K2194" s="7" t="n">
        <f aca="false">(Sens!J2176+Sens!K2176)/(Sens!J2177+Sens!K2177)</f>
        <v>0.5</v>
      </c>
    </row>
    <row r="2195" customFormat="false" ht="17.15" hidden="false" customHeight="false" outlineLevel="0" collapsed="false">
      <c r="A2195" s="0" t="s">
        <v>829</v>
      </c>
      <c r="B2195" s="0" t="s">
        <v>98</v>
      </c>
      <c r="D2195" s="6" t="n">
        <f aca="false">Sens!D2189-Sens!D2194*(Sens!D2191+Sens!D2193)-Sens!D2192</f>
        <v>8.35701406163072</v>
      </c>
      <c r="E2195" s="6" t="n">
        <f aca="false">Sens!E2189-Sens!E2194*(Sens!E2191+Sens!E2193)-Sens!E2192</f>
        <v>18.7103224860238</v>
      </c>
      <c r="F2195" s="6" t="n">
        <f aca="false">Sens!F2189-Sens!F2194*(Sens!F2191+Sens!F2193)-Sens!F2192</f>
        <v>35.0573455625419</v>
      </c>
      <c r="G2195" s="6" t="n">
        <f aca="false">Sens!G2189-Sens!G2194*(Sens!G2191+Sens!G2193)-Sens!G2192</f>
        <v>52.2504971712871</v>
      </c>
      <c r="H2195" s="6" t="n">
        <f aca="false">Sens!H2189-Sens!H2194*(Sens!H2191+Sens!H2193)-Sens!H2192</f>
        <v>65.2796698510271</v>
      </c>
      <c r="I2195" s="6" t="n">
        <f aca="false">Sens!I2189-Sens!I2194*(Sens!I2191+Sens!I2193)-Sens!I2192</f>
        <v>83.2702996364549</v>
      </c>
      <c r="J2195" s="6" t="n">
        <f aca="false">Sens!J2189-Sens!J2194*(Sens!J2191+Sens!J2193)-Sens!J2192</f>
        <v>95.9475744394793</v>
      </c>
      <c r="K2195" s="6" t="n">
        <f aca="false">Sens!K2189-Sens!K2194*(Sens!K2191+Sens!K2193)-Sens!K2192</f>
        <v>104.1831135092</v>
      </c>
    </row>
    <row r="2196" customFormat="false" ht="17.15" hidden="false" customHeight="false" outlineLevel="0" collapsed="false">
      <c r="A2196" s="1" t="s">
        <v>830</v>
      </c>
      <c r="B2196" s="0" t="s">
        <v>98</v>
      </c>
      <c r="D2196" s="6" t="n">
        <f aca="false">(1-Sens!D2194)*(Sens!D2191+Sens!D2193)</f>
        <v>2.13421538061103</v>
      </c>
      <c r="E2196" s="6" t="n">
        <f aca="false">(1-Sens!E2194)*(Sens!E2191+Sens!E2193)</f>
        <v>4.87643398011707</v>
      </c>
      <c r="F2196" s="6" t="n">
        <f aca="false">(1-Sens!F2194)*(Sens!F2191+Sens!F2193)</f>
        <v>9.79939582576465</v>
      </c>
      <c r="G2196" s="6" t="n">
        <f aca="false">(1-Sens!G2194)*(Sens!G2191+Sens!G2193)</f>
        <v>16.1769467612477</v>
      </c>
      <c r="H2196" s="6" t="n">
        <f aca="false">(1-Sens!H2194)*(Sens!H2191+Sens!H2193)</f>
        <v>22.895145753015</v>
      </c>
      <c r="I2196" s="6" t="n">
        <f aca="false">(1-Sens!I2194)*(Sens!I2191+Sens!I2193)</f>
        <v>28.7150292476966</v>
      </c>
      <c r="J2196" s="6" t="n">
        <f aca="false">(1-Sens!J2194)*(Sens!J2191+Sens!J2193)</f>
        <v>32.6367892065219</v>
      </c>
      <c r="K2196" s="6" t="n">
        <f aca="false">(1-Sens!K2194)*(Sens!K2191+Sens!K2193)</f>
        <v>34.7414241550097</v>
      </c>
    </row>
    <row r="2197" customFormat="false" ht="17.15" hidden="false" customHeight="false" outlineLevel="0" collapsed="false">
      <c r="A2197" s="1" t="s">
        <v>831</v>
      </c>
      <c r="B2197" s="0" t="s">
        <v>350</v>
      </c>
      <c r="C2197" s="8" t="n">
        <f aca="false">cxit_open</f>
        <v>27.5918995</v>
      </c>
      <c r="D2197" s="8" t="n">
        <f aca="false">cxit_open</f>
        <v>27.5918995</v>
      </c>
      <c r="E2197" s="8" t="n">
        <f aca="false">cxit_open</f>
        <v>27.5918995</v>
      </c>
      <c r="F2197" s="8" t="n">
        <f aca="false">(a_g3_27*tk_cxit_gb300+(1-a_g3_27)*tk_cxit_vr200)</f>
        <v>33.8419624</v>
      </c>
      <c r="G2197" s="8" t="n">
        <f aca="false">(a_g3_28*tk_cxit_gb300+(1-a_g3_28)*tk_cxit_vr200)</f>
        <v>35.9816136</v>
      </c>
      <c r="H2197" s="8" t="n">
        <f aca="false">(a_g3_29*tk_cxit_gb300+(1-a_g3_29)*tk_cxit_vr200)</f>
        <v>37.0514392</v>
      </c>
      <c r="I2197" s="8" t="n">
        <f aca="false">(a_g3_29*tk_cxit_gb300+(1-a_g3_29)*tk_cxit_vr200)</f>
        <v>37.0514392</v>
      </c>
      <c r="J2197" s="8" t="n">
        <f aca="false">(a_g3_29*tk_cxit_gb300+(1-a_g3_29)*tk_cxit_vr200)</f>
        <v>37.0514392</v>
      </c>
      <c r="K2197" s="8" t="n">
        <f aca="false">(a_g3_29*tk_cxit_gb300+(1-a_g3_29)*tk_cxit_vr200)</f>
        <v>37.0514392</v>
      </c>
      <c r="L2197" s="11" t="s">
        <v>832</v>
      </c>
    </row>
    <row r="2198" customFormat="false" ht="17.15" hidden="false" customHeight="false" outlineLevel="0" collapsed="false">
      <c r="A2198" s="0" t="s">
        <v>833</v>
      </c>
      <c r="B2198" s="0" t="s">
        <v>392</v>
      </c>
      <c r="F2198" s="29" t="n">
        <f aca="false">Sens!C2179*IF(Sens!F2172-Sens!C2172=life_it,1,0)+Sens!D2179*IF(Sens!F2172-Sens!D2172=life_it,1,0)+Sens!E2179*IF(Sens!F2172-Sens!E2172=life_it,1,0)</f>
        <v>0</v>
      </c>
      <c r="G2198" s="29" t="n">
        <f aca="false">Sens!C2179*IF(Sens!G2172-Sens!C2172=life_it,1,0)+Sens!D2179*IF(Sens!G2172-Sens!D2172=life_it,1,0)+Sens!E2179*IF(Sens!G2172-Sens!E2172=life_it,1,0)+Sens!F2179*IF(Sens!G2172-Sens!F2172=life_it,1,0)</f>
        <v>0</v>
      </c>
      <c r="H2198" s="29" t="n">
        <f aca="false">Sens!C2179*IF(Sens!H2172-Sens!C2172=life_it,1,0)+Sens!D2179*IF(Sens!H2172-Sens!D2172=life_it,1,0)+Sens!E2179*IF(Sens!H2172-Sens!E2172=life_it,1,0)+Sens!F2179*IF(Sens!H2172-Sens!F2172=life_it,1,0)+Sens!G2179*IF(Sens!H2172-Sens!G2172=life_it,1,0)</f>
        <v>0</v>
      </c>
      <c r="I2198" s="29" t="n">
        <f aca="false">Sens!C2179*IF(Sens!I2172-Sens!C2172=life_it,1,0)+Sens!D2179*IF(Sens!I2172-Sens!D2172=life_it,1,0)+Sens!E2179*IF(Sens!I2172-Sens!E2172=life_it,1,0)+Sens!F2179*IF(Sens!I2172-Sens!F2172=life_it,1,0)+Sens!G2179*IF(Sens!I2172-Sens!G2172=life_it,1,0)+Sens!H2179*IF(Sens!I2172-Sens!H2172=life_it,1,0)</f>
        <v>980</v>
      </c>
      <c r="J2198" s="29" t="n">
        <f aca="false">Sens!C2179*IF(Sens!J2172-Sens!C2172=life_it,1,0)+Sens!D2179*IF(Sens!J2172-Sens!D2172=life_it,1,0)+Sens!E2179*IF(Sens!J2172-Sens!E2172=life_it,1,0)+Sens!F2179*IF(Sens!J2172-Sens!F2172=life_it,1,0)+Sens!G2179*IF(Sens!J2172-Sens!G2172=life_it,1,0)+Sens!H2179*IF(Sens!J2172-Sens!H2172=life_it,1,0)+Sens!I2179*IF(Sens!J2172-Sens!I2172=life_it,1,0)</f>
        <v>1480</v>
      </c>
      <c r="K2198" s="29" t="n">
        <f aca="false">Sens!C2179*IF(Sens!K2172-Sens!C2172=life_it,1,0)+Sens!D2179*IF(Sens!K2172-Sens!D2172=life_it,1,0)+Sens!E2179*IF(Sens!K2172-Sens!E2172=life_it,1,0)+Sens!F2179*IF(Sens!K2172-Sens!F2172=life_it,1,0)+Sens!G2179*IF(Sens!K2172-Sens!G2172=life_it,1,0)+Sens!H2179*IF(Sens!K2172-Sens!H2172=life_it,1,0)+Sens!I2179*IF(Sens!K2172-Sens!I2172=life_it,1,0)+Sens!J2179*IF(Sens!K2172-Sens!J2172=life_it,1,0)</f>
        <v>2940</v>
      </c>
      <c r="L2198" s="1" t="s">
        <v>834</v>
      </c>
    </row>
    <row r="2199" customFormat="false" ht="17.15" hidden="false" customHeight="false" outlineLevel="0" collapsed="false">
      <c r="A2199" s="0" t="s">
        <v>835</v>
      </c>
      <c r="B2199" s="0" t="s">
        <v>98</v>
      </c>
      <c r="C2199" s="6" t="n">
        <f aca="false">Sens!C2179*Sens!C2197/1000</f>
        <v>27.04006151</v>
      </c>
      <c r="D2199" s="6" t="n">
        <f aca="false">Sens!D2179*Sens!D2197/1000</f>
        <v>40.83601126</v>
      </c>
      <c r="E2199" s="6" t="n">
        <f aca="false">Sens!E2179*Sens!E2197/1000</f>
        <v>81.12018453</v>
      </c>
      <c r="F2199" s="6" t="n">
        <f aca="false">(Sens!F2179+Sens!F2198)*Sens!F2197/1000</f>
        <v>157.10792624576</v>
      </c>
      <c r="G2199" s="6" t="n">
        <f aca="false">(Sens!G2179+Sens!G2198)*Sens!G2197/1000</f>
        <v>181.86546777984</v>
      </c>
      <c r="H2199" s="6" t="n">
        <f aca="false">(Sens!H2179+Sens!H2198)*Sens!H2197/1000</f>
        <v>187.27279429248</v>
      </c>
      <c r="I2199" s="6" t="n">
        <f aca="false">(Sens!I2179+Sens!I2198)*Sens!I2197/1000</f>
        <v>169.185467321094</v>
      </c>
      <c r="J2199" s="6" t="n">
        <f aca="false">(Sens!J2179+Sens!J2198)*Sens!J2197/1000</f>
        <v>133.313449533709</v>
      </c>
      <c r="K2199" s="6" t="n">
        <f aca="false">(Sens!K2179+Sens!K2198)*Sens!K2197/1000</f>
        <v>133.010813378323</v>
      </c>
    </row>
    <row r="2200" customFormat="false" ht="17.15" hidden="false" customHeight="false" outlineLevel="0" collapsed="false">
      <c r="A2200" s="0" t="s">
        <v>836</v>
      </c>
      <c r="B2200" s="0" t="s">
        <v>98</v>
      </c>
      <c r="C2200" s="6" t="n">
        <f aca="false">Sens!C2179*self_build*tk_cxfac/1000</f>
        <v>7.44996</v>
      </c>
      <c r="D2200" s="6" t="n">
        <f aca="false">Sens!D2179*self_build*tk_cxfac/1000</f>
        <v>11.25096</v>
      </c>
      <c r="E2200" s="6" t="n">
        <f aca="false">Sens!E2179*self_build*tk_cxfac/1000</f>
        <v>22.34988</v>
      </c>
      <c r="F2200" s="6" t="n">
        <f aca="false">Sens!F2179*self_build*tk_cxfac/1000</f>
        <v>35.2915248</v>
      </c>
      <c r="G2200" s="6" t="n">
        <f aca="false">Sens!G2179*self_build*tk_cxfac/1000</f>
        <v>38.4235488</v>
      </c>
      <c r="H2200" s="6" t="n">
        <f aca="false">Sens!H2179*self_build*tk_cxfac/1000</f>
        <v>38.4235488</v>
      </c>
      <c r="I2200" s="6" t="n">
        <f aca="false">Sens!I2179*self_build*tk_cxfac/1000</f>
        <v>27.262535664</v>
      </c>
      <c r="J2200" s="6" t="n">
        <f aca="false">Sens!J2179*self_build*tk_cxfac/1000</f>
        <v>16.101522528</v>
      </c>
      <c r="K2200" s="6" t="n">
        <f aca="false">Sens!K2179*self_build*tk_cxfac/1000</f>
        <v>4.940509392</v>
      </c>
    </row>
    <row r="2201" customFormat="false" ht="17.15" hidden="false" customHeight="false" outlineLevel="0" collapsed="false">
      <c r="A2201" s="0" t="s">
        <v>837</v>
      </c>
      <c r="B2201" s="0" t="s">
        <v>98</v>
      </c>
      <c r="F2201" s="6" t="n">
        <f aca="false">MAX(0,capex_floor27-Sens!F2199-Sens!F2200-Sens!F2294)</f>
        <v>0</v>
      </c>
      <c r="L2201" s="1" t="s">
        <v>838</v>
      </c>
    </row>
    <row r="2202" customFormat="false" ht="17.15" hidden="false" customHeight="false" outlineLevel="0" collapsed="false">
      <c r="A2202" s="0" t="s">
        <v>839</v>
      </c>
      <c r="B2202" s="0" t="s">
        <v>98</v>
      </c>
      <c r="C2202" s="6" t="n">
        <f aca="false">Sens!C2199</f>
        <v>27.04006151</v>
      </c>
      <c r="D2202" s="6" t="n">
        <f aca="false">Sens!D2199</f>
        <v>40.83601126</v>
      </c>
      <c r="E2202" s="6" t="n">
        <f aca="false">Sens!E2199</f>
        <v>81.12018453</v>
      </c>
      <c r="F2202" s="6" t="n">
        <f aca="false">Sens!F2199+Sens!F2201</f>
        <v>157.10792624576</v>
      </c>
      <c r="G2202" s="6" t="n">
        <f aca="false">Sens!G2199</f>
        <v>181.86546777984</v>
      </c>
      <c r="H2202" s="6" t="n">
        <f aca="false">Sens!H2199</f>
        <v>187.27279429248</v>
      </c>
      <c r="I2202" s="6" t="n">
        <f aca="false">Sens!I2199</f>
        <v>169.185467321094</v>
      </c>
      <c r="J2202" s="6" t="n">
        <f aca="false">Sens!J2199</f>
        <v>133.313449533709</v>
      </c>
      <c r="K2202" s="6" t="n">
        <f aca="false">Sens!K2199</f>
        <v>133.010813378323</v>
      </c>
    </row>
    <row r="2203" customFormat="false" ht="17.15" hidden="false" customHeight="false" outlineLevel="0" collapsed="false">
      <c r="A2203" s="0" t="s">
        <v>840</v>
      </c>
      <c r="B2203" s="0" t="s">
        <v>98</v>
      </c>
      <c r="C2203" s="6" t="n">
        <f aca="false">Sens!C2202+Sens!C2200</f>
        <v>34.49002151</v>
      </c>
      <c r="D2203" s="6" t="n">
        <f aca="false">Sens!D2202+Sens!D2200</f>
        <v>52.08697126</v>
      </c>
      <c r="E2203" s="6" t="n">
        <f aca="false">Sens!E2202+Sens!E2200</f>
        <v>103.47006453</v>
      </c>
      <c r="F2203" s="6" t="n">
        <f aca="false">Sens!F2202+Sens!F2200</f>
        <v>192.39945104576</v>
      </c>
      <c r="G2203" s="6" t="n">
        <f aca="false">Sens!G2202+Sens!G2200</f>
        <v>220.28901657984</v>
      </c>
      <c r="H2203" s="6" t="n">
        <f aca="false">Sens!H2202+Sens!H2200</f>
        <v>225.69634309248</v>
      </c>
      <c r="I2203" s="6" t="n">
        <f aca="false">Sens!I2202+Sens!I2200</f>
        <v>196.448002985094</v>
      </c>
      <c r="J2203" s="6" t="n">
        <f aca="false">Sens!J2202+Sens!J2200</f>
        <v>149.414972061709</v>
      </c>
      <c r="K2203" s="6" t="n">
        <f aca="false">Sens!K2202+Sens!K2200</f>
        <v>137.951322770323</v>
      </c>
      <c r="L2203" s="11" t="s">
        <v>841</v>
      </c>
    </row>
    <row r="2204" customFormat="false" ht="17.15" hidden="false" customHeight="false" outlineLevel="0" collapsed="false">
      <c r="A2204" s="0" t="s">
        <v>842</v>
      </c>
      <c r="B2204" s="0" t="s">
        <v>98</v>
      </c>
      <c r="E2204" s="6" t="n">
        <f aca="false">(Sens!C2202*IF(2&lt;life_it,1,IF(2=life_it,0.5,0))+Sens!D2202*IF(1&lt;life_it,1,IF(1=life_it,0.5,0))+Sens!E2202*0.5)/life_it</f>
        <v>18.0726941725</v>
      </c>
      <c r="F2204" s="6" t="n">
        <f aca="false">(Sens!C2202*IF(3&lt;life_it,1,IF(3=life_it,0.5,0))+Sens!D2202*IF(2&lt;life_it,1,IF(2=life_it,0.5,0))+Sens!E2202*IF(1&lt;life_it,1,IF(1=life_it,0.5,0))+Sens!F2202*0.5)/life_it</f>
        <v>37.9250367371467</v>
      </c>
      <c r="G2204" s="6" t="n">
        <f aca="false">(Sens!C2202*IF(4&lt;life_it,1,IF(4=life_it,0.5,0))+Sens!D2202*IF(3&lt;life_it,1,IF(3=life_it,0.5,0))+Sens!E2202*IF(2&lt;life_it,1,IF(2=life_it,0.5,0))+Sens!F2202*IF(1&lt;life_it,1,IF(1=life_it,0.5,0))+Sens!G2202*0.5)/life_it</f>
        <v>66.1728195726133</v>
      </c>
      <c r="H2204" s="6" t="n">
        <f aca="false">(Sens!C2202*IF(5&lt;life_it,1,IF(5=life_it,0.5,0))+Sens!D2202*IF(4&lt;life_it,1,IF(4=life_it,0.5,0))+Sens!E2202*IF(3&lt;life_it,1,IF(3=life_it,0.5,0))+Sens!F2202*IF(2&lt;life_it,1,IF(2=life_it,0.5,0))+Sens!G2202*IF(1&lt;life_it,1,IF(1=life_it,0.5,0))+Sens!H2202*0.5)/life_it</f>
        <v>96.9343414119733</v>
      </c>
      <c r="I2204" s="6" t="n">
        <f aca="false">(Sens!C2202*IF(6&lt;life_it,1,IF(6=life_it,0.5,0))+Sens!D2202*IF(5&lt;life_it,1,IF(5=life_it,0.5,0))+Sens!E2202*IF(4&lt;life_it,1,IF(4=life_it,0.5,0))+Sens!F2202*IF(3&lt;life_it,1,IF(3=life_it,0.5,0))+Sens!G2202*IF(2&lt;life_it,1,IF(2=life_it,0.5,0))+Sens!H2202*IF(1&lt;life_it,1,IF(1=life_it,0.5,0))+Sens!I2202*0.5)/life_it</f>
        <v>124.385858087271</v>
      </c>
      <c r="J2204" s="6" t="n">
        <f aca="false">(Sens!C2202*IF(7&lt;life_it,1,IF(7=life_it,0.5,0))+Sens!D2202*IF(6&lt;life_it,1,IF(6=life_it,0.5,0))+Sens!E2202*IF(5&lt;life_it,1,IF(5=life_it,0.5,0))+Sens!F2202*IF(4&lt;life_it,1,IF(4=life_it,0.5,0))+Sens!G2202*IF(3&lt;life_it,1,IF(3=life_it,0.5,0))+Sens!H2202*IF(2&lt;life_it,1,IF(2=life_it,0.5,0))+Sens!I2202*IF(1&lt;life_it,1,IF(1=life_it,0.5,0))+Sens!J2202*0.5)/life_it</f>
        <v>143.937761761005</v>
      </c>
      <c r="K2204" s="6" t="n">
        <f aca="false">(Sens!C2202*IF(8&lt;life_it,1,IF(8=life_it,0.5,0))+Sens!D2202*IF(7&lt;life_it,1,IF(7=life_it,0.5,0))+Sens!E2202*IF(6&lt;life_it,1,IF(6=life_it,0.5,0))+Sens!F2202*IF(5&lt;life_it,1,IF(5=life_it,0.5,0))+Sens!G2202*IF(4&lt;life_it,1,IF(4=life_it,0.5,0))+Sens!H2202*IF(3&lt;life_it,1,IF(3=life_it,0.5,0))+Sens!I2202*IF(2&lt;life_it,1,IF(2=life_it,0.5,0))+Sens!J2202*IF(1&lt;life_it,1,IF(1=life_it,0.5,0))+Sens!K2202*0.5)/life_it</f>
        <v>155.968434021174</v>
      </c>
    </row>
    <row r="2205" customFormat="false" ht="17.15" hidden="false" customHeight="false" outlineLevel="0" collapsed="false">
      <c r="A2205" s="0" t="s">
        <v>843</v>
      </c>
      <c r="B2205" s="0" t="s">
        <v>98</v>
      </c>
      <c r="E2205" s="6" t="n">
        <f aca="false">(Sens!C2200*IF(2&lt;life_fac,1,IF(2=life_fac,0.5,0))+Sens!D2200*IF(1&lt;life_fac,1,IF(1=life_fac,0.5,0))+Sens!E2200*0.5)/life_fac</f>
        <v>1.493793</v>
      </c>
      <c r="F2205" s="6" t="n">
        <f aca="false">(Sens!C2200*IF(3&lt;life_fac,1,IF(3=life_fac,0.5,0))+Sens!D2200*IF(2&lt;life_fac,1,IF(2=life_fac,0.5,0))+Sens!E2200*IF(1&lt;life_fac,1,IF(1=life_fac,0.5,0))+Sens!F2200*0.5)/life_fac</f>
        <v>2.93482812</v>
      </c>
      <c r="G2205" s="6" t="n">
        <f aca="false">(Sens!C2200*IF(4&lt;life_fac,1,IF(4=life_fac,0.5,0))+Sens!D2200*IF(3&lt;life_fac,1,IF(3=life_fac,0.5,0))+Sens!E2200*IF(2&lt;life_fac,1,IF(2=life_fac,0.5,0))+Sens!F2200*IF(1&lt;life_fac,1,IF(1=life_fac,0.5,0))+Sens!G2200*0.5)/life_fac</f>
        <v>4.77770496</v>
      </c>
      <c r="H2205" s="6" t="n">
        <f aca="false">(Sens!C2200*IF(5&lt;life_fac,1,IF(5=life_fac,0.5,0))+Sens!D2200*IF(4&lt;life_fac,1,IF(4=life_fac,0.5,0))+Sens!E2200*IF(3&lt;life_fac,1,IF(3=life_fac,0.5,0))+Sens!F2200*IF(2&lt;life_fac,1,IF(2=life_fac,0.5,0))+Sens!G2200*IF(1&lt;life_fac,1,IF(1=life_fac,0.5,0))+Sens!H2200*0.5)/life_fac</f>
        <v>6.6988824</v>
      </c>
      <c r="I2205" s="6" t="n">
        <f aca="false">(Sens!C2200*IF(6&lt;life_fac,1,IF(6=life_fac,0.5,0))+Sens!D2200*IF(5&lt;life_fac,1,IF(5=life_fac,0.5,0))+Sens!E2200*IF(4&lt;life_fac,1,IF(4=life_fac,0.5,0))+Sens!F2200*IF(3&lt;life_fac,1,IF(3=life_fac,0.5,0))+Sens!G2200*IF(2&lt;life_fac,1,IF(2=life_fac,0.5,0))+Sens!H2200*IF(1&lt;life_fac,1,IF(1=life_fac,0.5,0))+Sens!I2200*0.5)/life_fac</f>
        <v>8.3410345116</v>
      </c>
      <c r="J2205" s="6" t="n">
        <f aca="false">(Sens!C2200*IF(7&lt;life_fac,1,IF(7=life_fac,0.5,0))+Sens!D2200*IF(6&lt;life_fac,1,IF(6=life_fac,0.5,0))+Sens!E2200*IF(5&lt;life_fac,1,IF(5=life_fac,0.5,0))+Sens!F2200*IF(4&lt;life_fac,1,IF(4=life_fac,0.5,0))+Sens!G2200*IF(3&lt;life_fac,1,IF(3=life_fac,0.5,0))+Sens!H2200*IF(2&lt;life_fac,1,IF(2=life_fac,0.5,0))+Sens!I2200*IF(1&lt;life_fac,1,IF(1=life_fac,0.5,0))+Sens!J2200*0.5)/life_fac</f>
        <v>9.4251359664</v>
      </c>
      <c r="K2205" s="6" t="n">
        <f aca="false">(Sens!C2200*IF(8&lt;life_fac,1,IF(8=life_fac,0.5,0))+Sens!D2200*IF(7&lt;life_fac,1,IF(7=life_fac,0.5,0))+Sens!E2200*IF(6&lt;life_fac,1,IF(6=life_fac,0.5,0))+Sens!F2200*IF(5&lt;life_fac,1,IF(5=life_fac,0.5,0))+Sens!G2200*IF(4&lt;life_fac,1,IF(4=life_fac,0.5,0))+Sens!H2200*IF(3&lt;life_fac,1,IF(3=life_fac,0.5,0))+Sens!I2200*IF(2&lt;life_fac,1,IF(2=life_fac,0.5,0))+Sens!J2200*IF(1&lt;life_fac,1,IF(1=life_fac,0.5,0))+Sens!K2200*0.5)/life_fac</f>
        <v>9.9511867644</v>
      </c>
    </row>
    <row r="2206" customFormat="false" ht="17.15" hidden="false" customHeight="false" outlineLevel="0" collapsed="false">
      <c r="A2206" s="0" t="s">
        <v>844</v>
      </c>
      <c r="B2206" s="0" t="s">
        <v>98</v>
      </c>
      <c r="E2206" s="6" t="n">
        <f aca="false">Sens!E2204+Sens!E2205</f>
        <v>19.5664871725</v>
      </c>
      <c r="F2206" s="6" t="n">
        <f aca="false">Sens!F2204+Sens!F2205</f>
        <v>40.8598648571467</v>
      </c>
      <c r="G2206" s="6" t="n">
        <f aca="false">Sens!G2204+Sens!G2205</f>
        <v>70.9505245326133</v>
      </c>
      <c r="H2206" s="6" t="n">
        <f aca="false">Sens!H2204+Sens!H2205</f>
        <v>103.633223811973</v>
      </c>
      <c r="I2206" s="6" t="n">
        <f aca="false">Sens!I2204+Sens!I2205</f>
        <v>132.726892598871</v>
      </c>
      <c r="J2206" s="6" t="n">
        <f aca="false">Sens!J2204+Sens!J2205</f>
        <v>153.362897727405</v>
      </c>
      <c r="K2206" s="6" t="n">
        <f aca="false">Sens!K2204+Sens!K2205</f>
        <v>165.919620785574</v>
      </c>
    </row>
    <row r="2207" customFormat="false" ht="17.15" hidden="false" customHeight="false" outlineLevel="0" collapsed="false">
      <c r="A2207" s="0" t="s">
        <v>845</v>
      </c>
      <c r="B2207" s="0" t="s">
        <v>98</v>
      </c>
      <c r="E2207" s="6" t="n">
        <f aca="false">Sens!E2195-Sens!E2194*Sens!E2206</f>
        <v>8.92707889977379</v>
      </c>
      <c r="F2207" s="6" t="n">
        <f aca="false">Sens!F2195-Sens!F2194*Sens!F2206</f>
        <v>14.6274131339686</v>
      </c>
      <c r="G2207" s="6" t="n">
        <f aca="false">Sens!G2195-Sens!G2194*Sens!G2206</f>
        <v>16.7752349049804</v>
      </c>
      <c r="H2207" s="6" t="n">
        <f aca="false">Sens!H2195-Sens!H2194*Sens!H2206</f>
        <v>13.4630579450404</v>
      </c>
      <c r="I2207" s="6" t="n">
        <f aca="false">Sens!I2195-Sens!I2194*Sens!I2206</f>
        <v>16.9068533370193</v>
      </c>
      <c r="J2207" s="6" t="n">
        <f aca="false">Sens!J2195-Sens!J2194*Sens!J2206</f>
        <v>19.2661255757769</v>
      </c>
      <c r="K2207" s="6" t="n">
        <f aca="false">Sens!K2195-Sens!K2194*Sens!K2206</f>
        <v>21.2233031164133</v>
      </c>
    </row>
    <row r="2208" customFormat="false" ht="17.15" hidden="false" customHeight="false" outlineLevel="0" collapsed="false">
      <c r="A2208" s="3" t="s">
        <v>1290</v>
      </c>
    </row>
    <row r="2209" customFormat="false" ht="15" hidden="false" customHeight="false" outlineLevel="0" collapsed="false">
      <c r="A2209" s="4" t="s">
        <v>43</v>
      </c>
      <c r="B2209" s="4" t="s">
        <v>65</v>
      </c>
      <c r="C2209" s="20" t="s">
        <v>788</v>
      </c>
      <c r="D2209" s="20" t="s">
        <v>789</v>
      </c>
      <c r="E2209" s="20" t="s">
        <v>790</v>
      </c>
      <c r="F2209" s="20" t="s">
        <v>791</v>
      </c>
      <c r="G2209" s="20" t="s">
        <v>792</v>
      </c>
      <c r="H2209" s="20" t="s">
        <v>793</v>
      </c>
      <c r="I2209" s="20" t="s">
        <v>794</v>
      </c>
      <c r="J2209" s="20" t="s">
        <v>795</v>
      </c>
      <c r="K2209" s="20" t="s">
        <v>796</v>
      </c>
      <c r="L2209" s="4" t="s">
        <v>47</v>
      </c>
    </row>
    <row r="2210" customFormat="false" ht="17.15" hidden="false" customHeight="false" outlineLevel="0" collapsed="false">
      <c r="A2210" s="0" t="s">
        <v>864</v>
      </c>
      <c r="B2210" s="0" t="s">
        <v>98</v>
      </c>
      <c r="D2210" s="6" t="n">
        <f aca="false">Sens!D2189</f>
        <v>12.9359794422418</v>
      </c>
      <c r="E2210" s="6" t="n">
        <f aca="false">Sens!E2189</f>
        <v>27.8095064661409</v>
      </c>
      <c r="F2210" s="6" t="n">
        <f aca="false">Sens!F2189</f>
        <v>50.6619113883066</v>
      </c>
      <c r="G2210" s="6" t="n">
        <f aca="false">Sens!G2189</f>
        <v>75.1482839325348</v>
      </c>
      <c r="H2210" s="6" t="n">
        <f aca="false">Sens!H2189</f>
        <v>94.895655604042</v>
      </c>
      <c r="I2210" s="6" t="n">
        <f aca="false">Sens!I2189</f>
        <v>118.706168884151</v>
      </c>
      <c r="J2210" s="6" t="n">
        <f aca="false">Sens!J2189</f>
        <v>135.305203646001</v>
      </c>
      <c r="K2210" s="6" t="n">
        <f aca="false">Sens!K2189</f>
        <v>145.64537766421</v>
      </c>
    </row>
    <row r="2211" customFormat="false" ht="17.15" hidden="false" customHeight="false" outlineLevel="0" collapsed="false">
      <c r="A2211" s="0" t="s">
        <v>865</v>
      </c>
      <c r="B2211" s="0" t="s">
        <v>98</v>
      </c>
      <c r="D2211" s="6" t="n">
        <f aca="false">Q!L6-Sens!D2210</f>
        <v>59.6740205577583</v>
      </c>
      <c r="E2211" s="6" t="n">
        <f aca="false">Q!M6-Sens!E2210</f>
        <v>74.1284935338591</v>
      </c>
      <c r="F2211" s="6" t="n">
        <f aca="false">Sens!E2211*(1+Sens!F2212)</f>
        <v>90.0799497373663</v>
      </c>
      <c r="G2211" s="6" t="n">
        <f aca="false">Sens!F2211*(1+Sens!G2212)</f>
        <v>107.02842520331</v>
      </c>
      <c r="H2211" s="6" t="n">
        <f aca="false">Sens!G2211*(1+Sens!H2212)</f>
        <v>124.271982585636</v>
      </c>
      <c r="I2211" s="6" t="n">
        <f aca="false">Sens!H2211*(1+Sens!I2212)</f>
        <v>140.933702381855</v>
      </c>
      <c r="J2211" s="6" t="n">
        <f aca="false">Sens!I2211*(1+Sens!J2212)</f>
        <v>156.018867314332</v>
      </c>
      <c r="K2211" s="6" t="n">
        <f aca="false">Sens!J2211*(1+Sens!K2212)</f>
        <v>168.500376699478</v>
      </c>
    </row>
    <row r="2212" customFormat="false" ht="15" hidden="false" customHeight="false" outlineLevel="0" collapsed="false">
      <c r="A2212" s="1" t="s">
        <v>866</v>
      </c>
      <c r="B2212" s="0" t="s">
        <v>129</v>
      </c>
      <c r="E2212" s="7" t="n">
        <f aca="false">Sens!E2211/Sens!D2211-1</f>
        <v>0.242223883039864</v>
      </c>
      <c r="F2212" s="7" t="n">
        <f aca="false">Sens!$E$2212+(glt_azo-Sens!$E$2212)*MIN(1,(Sens!F2172-base_fy)/n_conv)</f>
        <v>0.215186569199887</v>
      </c>
      <c r="G2212" s="7" t="n">
        <f aca="false">Sens!$E$2212+(glt_azo-Sens!$E$2212)*MIN(1,(Sens!G2172-base_fy)/n_conv)</f>
        <v>0.18814925535991</v>
      </c>
      <c r="H2212" s="7" t="n">
        <f aca="false">Sens!$E$2212+(glt_azo-Sens!$E$2212)*MIN(1,(Sens!H2172-base_fy)/n_conv)</f>
        <v>0.161111941519932</v>
      </c>
      <c r="I2212" s="7" t="n">
        <f aca="false">Sens!$E$2212+(glt_azo-Sens!$E$2212)*MIN(1,(Sens!I2172-base_fy)/n_conv)</f>
        <v>0.134074627679955</v>
      </c>
      <c r="J2212" s="7" t="n">
        <f aca="false">Sens!$E$2212+(glt_azo-Sens!$E$2212)*MIN(1,(Sens!J2172-base_fy)/n_conv)</f>
        <v>0.107037313839977</v>
      </c>
      <c r="K2212" s="7" t="n">
        <f aca="false">Sens!$E$2212+(glt_azo-Sens!$E$2212)*MIN(1,(Sens!K2172-base_fy)/n_conv)</f>
        <v>0.08</v>
      </c>
    </row>
    <row r="2213" customFormat="false" ht="15" hidden="false" customHeight="false" outlineLevel="0" collapsed="false">
      <c r="A2213" s="0" t="s">
        <v>867</v>
      </c>
      <c r="B2213" s="0" t="s">
        <v>98</v>
      </c>
      <c r="D2213" s="6" t="n">
        <f aca="false">Sens!D2210+Sens!D2211</f>
        <v>72.61</v>
      </c>
      <c r="E2213" s="6" t="n">
        <f aca="false">Sens!E2210+Sens!E2211</f>
        <v>101.938</v>
      </c>
      <c r="F2213" s="6" t="n">
        <f aca="false">Sens!F2210+Sens!F2211</f>
        <v>140.741861125673</v>
      </c>
      <c r="G2213" s="6" t="n">
        <f aca="false">Sens!G2210+Sens!G2211</f>
        <v>182.176709135845</v>
      </c>
      <c r="H2213" s="6" t="n">
        <f aca="false">Sens!H2210+Sens!H2211</f>
        <v>219.167638189678</v>
      </c>
      <c r="I2213" s="6" t="n">
        <f aca="false">Sens!I2210+Sens!I2211</f>
        <v>259.639871266006</v>
      </c>
      <c r="J2213" s="6" t="n">
        <f aca="false">Sens!J2210+Sens!J2211</f>
        <v>291.324070960333</v>
      </c>
      <c r="K2213" s="6" t="n">
        <f aca="false">Sens!K2210+Sens!K2211</f>
        <v>314.145754363688</v>
      </c>
    </row>
    <row r="2214" customFormat="false" ht="17.15" hidden="false" customHeight="false" outlineLevel="0" collapsed="false">
      <c r="A2214" s="0" t="s">
        <v>868</v>
      </c>
      <c r="B2214" s="1" t="s">
        <v>521</v>
      </c>
      <c r="C2214" s="29" t="n">
        <f aca="false">cop_s24</f>
        <v>1</v>
      </c>
      <c r="D2214" s="29" t="n">
        <f aca="false">cop_s25</f>
        <v>5</v>
      </c>
      <c r="E2214" s="29" t="n">
        <f aca="false">cop_s26</f>
        <v>30</v>
      </c>
      <c r="F2214" s="29" t="n">
        <f aca="false">Sens!E2214+cop_add_C</f>
        <v>40</v>
      </c>
      <c r="G2214" s="29" t="n">
        <f aca="false">Sens!F2214+cop_add_C</f>
        <v>50</v>
      </c>
      <c r="H2214" s="29" t="n">
        <f aca="false">Sens!G2214+cop_add_C</f>
        <v>60</v>
      </c>
      <c r="I2214" s="29" t="n">
        <f aca="false">Sens!H2214+cop_add_C*cop_tail</f>
        <v>65</v>
      </c>
      <c r="J2214" s="29" t="n">
        <f aca="false">Sens!I2214+cop_add_C*cop_tail</f>
        <v>70</v>
      </c>
      <c r="K2214" s="29" t="n">
        <f aca="false">Sens!J2214+cop_add_C*cop_tail</f>
        <v>75</v>
      </c>
      <c r="L2214" s="11" t="s">
        <v>869</v>
      </c>
    </row>
    <row r="2215" customFormat="false" ht="17.15" hidden="false" customHeight="false" outlineLevel="0" collapsed="false">
      <c r="A2215" s="0" t="s">
        <v>870</v>
      </c>
      <c r="B2215" s="0" t="s">
        <v>98</v>
      </c>
      <c r="D2215" s="6" t="n">
        <f aca="false">(Sens!C2214+Sens!D2214)/2*cop_px*12/1000</f>
        <v>0.9</v>
      </c>
      <c r="E2215" s="6" t="n">
        <f aca="false">(Sens!D2214+Sens!E2214)/2*cop_px*12/1000</f>
        <v>5.25</v>
      </c>
      <c r="F2215" s="6" t="n">
        <f aca="false">(Sens!E2214+Sens!F2214)/2*cop_px*12/1000</f>
        <v>10.5</v>
      </c>
      <c r="G2215" s="6" t="n">
        <f aca="false">(Sens!F2214+Sens!G2214)/2*cop_px*12/1000</f>
        <v>13.5</v>
      </c>
      <c r="H2215" s="6" t="n">
        <f aca="false">(Sens!G2214+Sens!H2214)/2*cop_px*12/1000</f>
        <v>16.5</v>
      </c>
      <c r="I2215" s="6" t="n">
        <f aca="false">(Sens!H2214+Sens!I2214)/2*cop_px*12/1000</f>
        <v>18.75</v>
      </c>
      <c r="J2215" s="6" t="n">
        <f aca="false">(Sens!I2214+Sens!J2214)/2*cop_px*12/1000</f>
        <v>20.25</v>
      </c>
      <c r="K2215" s="6" t="n">
        <f aca="false">(Sens!J2214+Sens!K2214)/2*cop_px*12/1000</f>
        <v>21.75</v>
      </c>
      <c r="L2215" s="1" t="s">
        <v>871</v>
      </c>
    </row>
    <row r="2216" customFormat="false" ht="17.15" hidden="false" customHeight="false" outlineLevel="0" collapsed="false">
      <c r="A2216" s="0" t="s">
        <v>872</v>
      </c>
      <c r="B2216" s="0" t="s">
        <v>98</v>
      </c>
      <c r="D2216" s="6" t="n">
        <f aca="false">Q!L7-Sens!D2215</f>
        <v>83.705</v>
      </c>
      <c r="E2216" s="6" t="n">
        <f aca="false">Q!M7-Sens!E2215</f>
        <v>95.049</v>
      </c>
      <c r="F2216" s="6" t="n">
        <f aca="false">Sens!E2216*(1+Sens!F2217)</f>
        <v>106.89238776686</v>
      </c>
      <c r="G2216" s="6" t="n">
        <f aca="false">Sens!F2216*(1+Sens!G2217)</f>
        <v>119.044168448684</v>
      </c>
      <c r="H2216" s="6" t="n">
        <f aca="false">Sens!G2216*(1+Sens!H2217)</f>
        <v>131.277359388781</v>
      </c>
      <c r="I2216" s="6" t="n">
        <f aca="false">Sens!H2216*(1+Sens!I2217)</f>
        <v>143.334028071957</v>
      </c>
      <c r="J2216" s="6" t="n">
        <f aca="false">Sens!I2216*(1+Sens!J2217)</f>
        <v>154.932702785465</v>
      </c>
      <c r="K2216" s="6" t="n">
        <f aca="false">Sens!J2216*(1+Sens!K2217)</f>
        <v>165.777991980448</v>
      </c>
    </row>
    <row r="2217" customFormat="false" ht="15" hidden="false" customHeight="false" outlineLevel="0" collapsed="false">
      <c r="A2217" s="1" t="s">
        <v>866</v>
      </c>
      <c r="B2217" s="0" t="s">
        <v>129</v>
      </c>
      <c r="E2217" s="7" t="n">
        <f aca="false">Sens!E2216/Sens!D2216-1</f>
        <v>0.135523564900544</v>
      </c>
      <c r="F2217" s="7" t="n">
        <f aca="false">Sens!$E$2217+(glt_m365b-Sens!$E$2217)*MIN(1,(Sens!F2172-base_fy)/n_conv)</f>
        <v>0.124602970750453</v>
      </c>
      <c r="G2217" s="7" t="n">
        <f aca="false">Sens!$E$2217+(glt_m365b-Sens!$E$2217)*MIN(1,(Sens!G2172-base_fy)/n_conv)</f>
        <v>0.113682376600363</v>
      </c>
      <c r="H2217" s="7" t="n">
        <f aca="false">Sens!$E$2217+(glt_m365b-Sens!$E$2217)*MIN(1,(Sens!H2172-base_fy)/n_conv)</f>
        <v>0.102761782450272</v>
      </c>
      <c r="I2217" s="7" t="n">
        <f aca="false">Sens!$E$2217+(glt_m365b-Sens!$E$2217)*MIN(1,(Sens!I2172-base_fy)/n_conv)</f>
        <v>0.0918411883001813</v>
      </c>
      <c r="J2217" s="7" t="n">
        <f aca="false">Sens!$E$2217+(glt_m365b-Sens!$E$2217)*MIN(1,(Sens!J2172-base_fy)/n_conv)</f>
        <v>0.0809205941500906</v>
      </c>
      <c r="K2217" s="7" t="n">
        <f aca="false">Sens!$E$2217+(glt_m365b-Sens!$E$2217)*MIN(1,(Sens!K2172-base_fy)/n_conv)</f>
        <v>0.07</v>
      </c>
    </row>
    <row r="2218" customFormat="false" ht="15" hidden="false" customHeight="false" outlineLevel="0" collapsed="false">
      <c r="A2218" s="0" t="s">
        <v>873</v>
      </c>
      <c r="B2218" s="0" t="s">
        <v>98</v>
      </c>
      <c r="D2218" s="6" t="n">
        <f aca="false">Sens!D2216+Sens!D2215</f>
        <v>84.605</v>
      </c>
      <c r="E2218" s="6" t="n">
        <f aca="false">Sens!E2216+Sens!E2215</f>
        <v>100.299</v>
      </c>
      <c r="F2218" s="6" t="n">
        <f aca="false">Sens!F2216+Sens!F2215</f>
        <v>117.39238776686</v>
      </c>
      <c r="G2218" s="6" t="n">
        <f aca="false">Sens!G2216+Sens!G2215</f>
        <v>132.544168448684</v>
      </c>
      <c r="H2218" s="6" t="n">
        <f aca="false">Sens!H2216+Sens!H2215</f>
        <v>147.777359388781</v>
      </c>
      <c r="I2218" s="6" t="n">
        <f aca="false">Sens!I2216+Sens!I2215</f>
        <v>162.084028071957</v>
      </c>
      <c r="J2218" s="6" t="n">
        <f aca="false">Sens!J2216+Sens!J2215</f>
        <v>175.182702785465</v>
      </c>
      <c r="K2218" s="6" t="n">
        <f aca="false">Sens!K2216+Sens!K2215</f>
        <v>187.527991980448</v>
      </c>
    </row>
    <row r="2219" customFormat="false" ht="15" hidden="false" customHeight="false" outlineLevel="0" collapsed="false">
      <c r="A2219" s="0" t="s">
        <v>874</v>
      </c>
      <c r="B2219" s="0" t="s">
        <v>98</v>
      </c>
      <c r="D2219" s="6" t="n">
        <f aca="false">Q!L8</f>
        <v>35.391</v>
      </c>
      <c r="E2219" s="6" t="n">
        <f aca="false">Q!M8</f>
        <v>37.285</v>
      </c>
      <c r="F2219" s="6" t="n">
        <f aca="false">Sens!E2219*(1+Sens!F2220)</f>
        <v>39.0720834331704</v>
      </c>
      <c r="G2219" s="6" t="n">
        <f aca="false">Sens!F2219*(1+Sens!G2220)</f>
        <v>40.726562953769</v>
      </c>
      <c r="H2219" s="6" t="n">
        <f aca="false">Sens!G2219*(1+Sens!H2220)</f>
        <v>42.2235987259198</v>
      </c>
      <c r="I2219" s="6" t="n">
        <f aca="false">Sens!H2219*(1+Sens!I2220)</f>
        <v>43.5397988077414</v>
      </c>
      <c r="J2219" s="6" t="n">
        <f aca="false">Sens!I2219*(1+Sens!J2220)</f>
        <v>44.653811225693</v>
      </c>
      <c r="K2219" s="6" t="n">
        <f aca="false">Sens!J2219*(1+Sens!K2220)</f>
        <v>45.5468874502068</v>
      </c>
    </row>
    <row r="2220" customFormat="false" ht="15" hidden="false" customHeight="false" outlineLevel="0" collapsed="false">
      <c r="A2220" s="1" t="s">
        <v>866</v>
      </c>
      <c r="B2220" s="0" t="s">
        <v>129</v>
      </c>
      <c r="E2220" s="7" t="n">
        <f aca="false">Sens!E2219/Sens!D2219-1</f>
        <v>0.0535164307309768</v>
      </c>
      <c r="F2220" s="7" t="n">
        <f aca="false">Sens!$E$2220+(glt_lic-Sens!$E$2220)*MIN(1,(Sens!F2172-base_fy)/n_conv)</f>
        <v>0.0479303589424807</v>
      </c>
      <c r="G2220" s="7" t="n">
        <f aca="false">Sens!$E$2220+(glt_lic-Sens!$E$2220)*MIN(1,(Sens!G2172-base_fy)/n_conv)</f>
        <v>0.0423442871539845</v>
      </c>
      <c r="H2220" s="7" t="n">
        <f aca="false">Sens!$E$2220+(glt_lic-Sens!$E$2220)*MIN(1,(Sens!H2172-base_fy)/n_conv)</f>
        <v>0.0367582153654884</v>
      </c>
      <c r="I2220" s="7" t="n">
        <f aca="false">Sens!$E$2220+(glt_lic-Sens!$E$2220)*MIN(1,(Sens!I2172-base_fy)/n_conv)</f>
        <v>0.0311721435769923</v>
      </c>
      <c r="J2220" s="7" t="n">
        <f aca="false">Sens!$E$2220+(glt_lic-Sens!$E$2220)*MIN(1,(Sens!J2172-base_fy)/n_conv)</f>
        <v>0.0255860717884961</v>
      </c>
      <c r="K2220" s="7" t="n">
        <f aca="false">Sens!$E$2220+(glt_lic-Sens!$E$2220)*MIN(1,(Sens!K2172-base_fy)/n_conv)</f>
        <v>0.02</v>
      </c>
    </row>
    <row r="2221" customFormat="false" ht="15" hidden="false" customHeight="false" outlineLevel="0" collapsed="false">
      <c r="A2221" s="0" t="s">
        <v>875</v>
      </c>
      <c r="B2221" s="0" t="s">
        <v>98</v>
      </c>
      <c r="D2221" s="6" t="n">
        <f aca="false">Q!L9</f>
        <v>18.417</v>
      </c>
      <c r="E2221" s="6" t="n">
        <f aca="false">Q!M9</f>
        <v>20.345</v>
      </c>
      <c r="F2221" s="6" t="n">
        <f aca="false">Sens!E2221*(1+Sens!F2222)</f>
        <v>22.3572203267814</v>
      </c>
      <c r="G2221" s="6" t="n">
        <f aca="false">Sens!F2221*(1+Sens!G2222)</f>
        <v>24.4392124437232</v>
      </c>
      <c r="H2221" s="6" t="n">
        <f aca="false">Sens!G2221*(1+Sens!H2222)</f>
        <v>26.5738052080665</v>
      </c>
      <c r="I2221" s="6" t="n">
        <f aca="false">Sens!H2221*(1+Sens!I2222)</f>
        <v>28.7412169166967</v>
      </c>
      <c r="J2221" s="6" t="n">
        <f aca="false">Sens!I2221*(1+Sens!J2222)</f>
        <v>30.9192545395413</v>
      </c>
      <c r="K2221" s="6" t="n">
        <f aca="false">Sens!J2221*(1+Sens!K2222)</f>
        <v>33.0836023573092</v>
      </c>
    </row>
    <row r="2222" customFormat="false" ht="15" hidden="false" customHeight="false" outlineLevel="0" collapsed="false">
      <c r="A2222" s="1" t="s">
        <v>866</v>
      </c>
      <c r="B2222" s="0" t="s">
        <v>129</v>
      </c>
      <c r="E2222" s="7" t="n">
        <f aca="false">Sens!E2221/Sens!D2221-1</f>
        <v>0.104685888038225</v>
      </c>
      <c r="F2222" s="7" t="n">
        <f aca="false">Sens!$E$2222+(glt_ind-Sens!$E$2222)*MIN(1,(Sens!F2172-base_fy)/n_conv)</f>
        <v>0.0989049066985211</v>
      </c>
      <c r="G2222" s="7" t="n">
        <f aca="false">Sens!$E$2222+(glt_ind-Sens!$E$2222)*MIN(1,(Sens!G2172-base_fy)/n_conv)</f>
        <v>0.0931239253588169</v>
      </c>
      <c r="H2222" s="7" t="n">
        <f aca="false">Sens!$E$2222+(glt_ind-Sens!$E$2222)*MIN(1,(Sens!H2172-base_fy)/n_conv)</f>
        <v>0.0873429440191127</v>
      </c>
      <c r="I2222" s="7" t="n">
        <f aca="false">Sens!$E$2222+(glt_ind-Sens!$E$2222)*MIN(1,(Sens!I2172-base_fy)/n_conv)</f>
        <v>0.0815619626794085</v>
      </c>
      <c r="J2222" s="7" t="n">
        <f aca="false">Sens!$E$2222+(glt_ind-Sens!$E$2222)*MIN(1,(Sens!J2172-base_fy)/n_conv)</f>
        <v>0.0757809813397042</v>
      </c>
      <c r="K2222" s="7" t="n">
        <f aca="false">Sens!$E$2222+(glt_ind-Sens!$E$2222)*MIN(1,(Sens!K2172-base_fy)/n_conv)</f>
        <v>0.07</v>
      </c>
    </row>
    <row r="2223" customFormat="false" ht="15" hidden="false" customHeight="false" outlineLevel="0" collapsed="false">
      <c r="A2223" s="0" t="s">
        <v>876</v>
      </c>
      <c r="B2223" s="0" t="s">
        <v>98</v>
      </c>
      <c r="D2223" s="6" t="n">
        <f aca="false">Q!L10</f>
        <v>7.76</v>
      </c>
      <c r="E2223" s="6" t="n">
        <f aca="false">Q!M10</f>
        <v>8.26</v>
      </c>
      <c r="F2223" s="6" t="n">
        <f aca="false">Sens!E2223*(1+Sens!F2224)</f>
        <v>8.79988041237113</v>
      </c>
      <c r="G2223" s="6" t="n">
        <f aca="false">Sens!F2223*(1+Sens!G2224)</f>
        <v>9.38321269125306</v>
      </c>
      <c r="H2223" s="6" t="n">
        <f aca="false">Sens!G2223*(1+Sens!H2224)</f>
        <v>10.0139193587476</v>
      </c>
      <c r="I2223" s="6" t="n">
        <f aca="false">Sens!H2223*(1+Sens!I2224)</f>
        <v>10.6963111830911</v>
      </c>
      <c r="J2223" s="6" t="n">
        <f aca="false">Sens!I2223*(1+Sens!J2224)</f>
        <v>11.4351285534696</v>
      </c>
      <c r="K2223" s="6" t="n">
        <f aca="false">Sens!J2223*(1+Sens!K2224)</f>
        <v>12.2355875522124</v>
      </c>
    </row>
    <row r="2224" customFormat="false" ht="15" hidden="false" customHeight="false" outlineLevel="0" collapsed="false">
      <c r="A2224" s="1" t="s">
        <v>866</v>
      </c>
      <c r="B2224" s="0" t="s">
        <v>129</v>
      </c>
      <c r="E2224" s="7" t="n">
        <f aca="false">Sens!E2223/Sens!D2223-1</f>
        <v>0.0644329896907216</v>
      </c>
      <c r="F2224" s="7" t="n">
        <f aca="false">Sens!$E$2224+(glt_fro-Sens!$E$2224)*MIN(1,(Sens!F2172-base_fy)/n_conv)</f>
        <v>0.065360824742268</v>
      </c>
      <c r="G2224" s="7" t="n">
        <f aca="false">Sens!$E$2224+(glt_fro-Sens!$E$2224)*MIN(1,(Sens!G2172-base_fy)/n_conv)</f>
        <v>0.0662886597938144</v>
      </c>
      <c r="H2224" s="7" t="n">
        <f aca="false">Sens!$E$2224+(glt_fro-Sens!$E$2224)*MIN(1,(Sens!H2172-base_fy)/n_conv)</f>
        <v>0.0672164948453608</v>
      </c>
      <c r="I2224" s="7" t="n">
        <f aca="false">Sens!$E$2224+(glt_fro-Sens!$E$2224)*MIN(1,(Sens!I2172-base_fy)/n_conv)</f>
        <v>0.0681443298969072</v>
      </c>
      <c r="J2224" s="7" t="n">
        <f aca="false">Sens!$E$2224+(glt_fro-Sens!$E$2224)*MIN(1,(Sens!J2172-base_fy)/n_conv)</f>
        <v>0.0690721649484536</v>
      </c>
      <c r="K2224" s="7" t="n">
        <f aca="false">Sens!$E$2224+(glt_fro-Sens!$E$2224)*MIN(1,(Sens!K2172-base_fy)/n_conv)</f>
        <v>0.07</v>
      </c>
    </row>
    <row r="2225" customFormat="false" ht="15" hidden="false" customHeight="false" outlineLevel="0" collapsed="false">
      <c r="A2225" s="0" t="s">
        <v>704</v>
      </c>
      <c r="B2225" s="0" t="s">
        <v>98</v>
      </c>
      <c r="D2225" s="6" t="n">
        <f aca="false">Sens!D2213+Sens!D2218+Sens!D2219+Sens!D2221+Sens!D2223</f>
        <v>218.783</v>
      </c>
      <c r="E2225" s="6" t="n">
        <f aca="false">Sens!E2213+Sens!E2218+Sens!E2219+Sens!E2221+Sens!E2223</f>
        <v>268.127</v>
      </c>
      <c r="F2225" s="6" t="n">
        <f aca="false">Sens!F2213+Sens!F2218+Sens!F2219+Sens!F2221+Sens!F2223</f>
        <v>328.363433064856</v>
      </c>
      <c r="G2225" s="6" t="n">
        <f aca="false">Sens!G2213+Sens!G2218+Sens!G2219+Sens!G2221+Sens!G2223</f>
        <v>389.269865673274</v>
      </c>
      <c r="H2225" s="6" t="n">
        <f aca="false">Sens!H2213+Sens!H2218+Sens!H2219+Sens!H2221+Sens!H2223</f>
        <v>445.756320871193</v>
      </c>
      <c r="I2225" s="6" t="n">
        <f aca="false">Sens!I2213+Sens!I2218+Sens!I2219+Sens!I2221+Sens!I2223</f>
        <v>504.701226245492</v>
      </c>
      <c r="J2225" s="6" t="n">
        <f aca="false">Sens!J2213+Sens!J2218+Sens!J2219+Sens!J2221+Sens!J2223</f>
        <v>553.514968064502</v>
      </c>
      <c r="K2225" s="6" t="n">
        <f aca="false">Sens!K2213+Sens!K2218+Sens!K2219+Sens!K2221+Sens!K2223</f>
        <v>592.539823703865</v>
      </c>
    </row>
    <row r="2226" customFormat="false" ht="15" hidden="false" customHeight="false" outlineLevel="0" collapsed="false">
      <c r="A2226" s="0" t="s">
        <v>877</v>
      </c>
      <c r="B2226" s="0" t="s">
        <v>98</v>
      </c>
      <c r="D2226" s="6" t="n">
        <f aca="false">Q!L13</f>
        <v>22.171</v>
      </c>
      <c r="E2226" s="6" t="n">
        <f aca="false">Q!M13</f>
        <v>24.835</v>
      </c>
      <c r="F2226" s="6" t="n">
        <f aca="false">Sens!E2226*(1+Sens!F2227)</f>
        <v>27.6114901218559</v>
      </c>
      <c r="G2226" s="6" t="n">
        <f aca="false">Sens!F2226*(1+Sens!G2227)</f>
        <v>30.4675667338515</v>
      </c>
      <c r="H2226" s="6" t="n">
        <f aca="false">Sens!G2226*(1+Sens!H2227)</f>
        <v>33.3643766955789</v>
      </c>
      <c r="I2226" s="6" t="n">
        <f aca="false">Sens!H2226*(1+Sens!I2227)</f>
        <v>36.2577016533691</v>
      </c>
      <c r="J2226" s="6" t="n">
        <f aca="false">Sens!I2226*(1+Sens!J2227)</f>
        <v>39.0988367952171</v>
      </c>
      <c r="K2226" s="6" t="n">
        <f aca="false">Sens!J2226*(1+Sens!K2227)</f>
        <v>41.8357553708823</v>
      </c>
    </row>
    <row r="2227" customFormat="false" ht="15" hidden="false" customHeight="false" outlineLevel="0" collapsed="false">
      <c r="A2227" s="1" t="s">
        <v>866</v>
      </c>
      <c r="B2227" s="0" t="s">
        <v>129</v>
      </c>
      <c r="E2227" s="7" t="n">
        <f aca="false">Sens!E2226/Sens!D2226-1</f>
        <v>0.120156961796942</v>
      </c>
      <c r="F2227" s="7" t="n">
        <f aca="false">Sens!$E$2227+(glt_srch-Sens!$E$2227)*MIN(1,(Sens!F2172-base_fy)/n_conv)</f>
        <v>0.111797468164118</v>
      </c>
      <c r="G2227" s="7" t="n">
        <f aca="false">Sens!$E$2227+(glt_srch-Sens!$E$2227)*MIN(1,(Sens!G2172-base_fy)/n_conv)</f>
        <v>0.103437974531295</v>
      </c>
      <c r="H2227" s="7" t="n">
        <f aca="false">Sens!$E$2227+(glt_srch-Sens!$E$2227)*MIN(1,(Sens!H2172-base_fy)/n_conv)</f>
        <v>0.095078480898471</v>
      </c>
      <c r="I2227" s="7" t="n">
        <f aca="false">Sens!$E$2227+(glt_srch-Sens!$E$2227)*MIN(1,(Sens!I2172-base_fy)/n_conv)</f>
        <v>0.0867189872656474</v>
      </c>
      <c r="J2227" s="7" t="n">
        <f aca="false">Sens!$E$2227+(glt_srch-Sens!$E$2227)*MIN(1,(Sens!J2172-base_fy)/n_conv)</f>
        <v>0.0783594936328237</v>
      </c>
      <c r="K2227" s="7" t="n">
        <f aca="false">Sens!$E$2227+(glt_srch-Sens!$E$2227)*MIN(1,(Sens!K2172-base_fy)/n_conv)</f>
        <v>0.07</v>
      </c>
    </row>
    <row r="2228" customFormat="false" ht="15" hidden="false" customHeight="false" outlineLevel="0" collapsed="false">
      <c r="A2228" s="0" t="s">
        <v>878</v>
      </c>
      <c r="B2228" s="0" t="s">
        <v>98</v>
      </c>
      <c r="D2228" s="6" t="n">
        <f aca="false">Q!L14</f>
        <v>23.455</v>
      </c>
      <c r="E2228" s="6" t="n">
        <f aca="false">Q!M14</f>
        <v>21.79</v>
      </c>
      <c r="F2228" s="6" t="n">
        <f aca="false">Sens!E2228*(1+Sens!F2229)</f>
        <v>20.5736277908051</v>
      </c>
      <c r="G2228" s="6" t="n">
        <f aca="false">Sens!F2228*(1+Sens!G2229)</f>
        <v>19.7371452817919</v>
      </c>
      <c r="H2228" s="6" t="n">
        <f aca="false">Sens!G2228*(1+Sens!H2229)</f>
        <v>19.2339764043138</v>
      </c>
      <c r="I2228" s="6" t="n">
        <f aca="false">Sens!H2228*(1+Sens!I2229)</f>
        <v>19.0353086852681</v>
      </c>
      <c r="J2228" s="6" t="n">
        <f aca="false">Sens!I2228*(1+Sens!J2229)</f>
        <v>19.1273539319129</v>
      </c>
      <c r="K2228" s="6" t="n">
        <f aca="false">Sens!J2228*(1+Sens!K2229)</f>
        <v>19.5099010105511</v>
      </c>
    </row>
    <row r="2229" customFormat="false" ht="15" hidden="false" customHeight="false" outlineLevel="0" collapsed="false">
      <c r="A2229" s="1" t="s">
        <v>866</v>
      </c>
      <c r="B2229" s="0" t="s">
        <v>129</v>
      </c>
      <c r="E2229" s="7" t="n">
        <f aca="false">Sens!E2228/Sens!D2228-1</f>
        <v>-0.0709869963760392</v>
      </c>
      <c r="F2229" s="7" t="n">
        <f aca="false">Sens!$E$2229+(glt_xbox-Sens!$E$2229)*MIN(1,(Sens!F2172-base_fy)/n_conv)</f>
        <v>-0.0558224969800327</v>
      </c>
      <c r="G2229" s="7" t="n">
        <f aca="false">Sens!$E$2229+(glt_xbox-Sens!$E$2229)*MIN(1,(Sens!G2172-base_fy)/n_conv)</f>
        <v>-0.0406579975840262</v>
      </c>
      <c r="H2229" s="7" t="n">
        <f aca="false">Sens!$E$2229+(glt_xbox-Sens!$E$2229)*MIN(1,(Sens!H2172-base_fy)/n_conv)</f>
        <v>-0.0254934981880196</v>
      </c>
      <c r="I2229" s="7" t="n">
        <f aca="false">Sens!$E$2229+(glt_xbox-Sens!$E$2229)*MIN(1,(Sens!I2172-base_fy)/n_conv)</f>
        <v>-0.0103289987920131</v>
      </c>
      <c r="J2229" s="7" t="n">
        <f aca="false">Sens!$E$2229+(glt_xbox-Sens!$E$2229)*MIN(1,(Sens!J2172-base_fy)/n_conv)</f>
        <v>0.00483550060399347</v>
      </c>
      <c r="K2229" s="7" t="n">
        <f aca="false">Sens!$E$2229+(glt_xbox-Sens!$E$2229)*MIN(1,(Sens!K2172-base_fy)/n_conv)</f>
        <v>0.02</v>
      </c>
    </row>
    <row r="2230" customFormat="false" ht="15" hidden="false" customHeight="false" outlineLevel="0" collapsed="false">
      <c r="A2230" s="0" t="s">
        <v>879</v>
      </c>
      <c r="B2230" s="0" t="s">
        <v>98</v>
      </c>
      <c r="D2230" s="6" t="n">
        <f aca="false">Q!L15</f>
        <v>17.315</v>
      </c>
      <c r="E2230" s="6" t="n">
        <f aca="false">Q!M15</f>
        <v>17.087</v>
      </c>
      <c r="F2230" s="6" t="n">
        <f aca="false">Sens!E2230*(1+Sens!F2231)</f>
        <v>16.9564585436519</v>
      </c>
      <c r="G2230" s="6" t="n">
        <f aca="false">Sens!F2230*(1+Sens!G2231)</f>
        <v>16.9206490624268</v>
      </c>
      <c r="H2230" s="6" t="n">
        <f aca="false">Sens!G2230*(1+Sens!H2231)</f>
        <v>16.9784519149849</v>
      </c>
      <c r="I2230" s="6" t="n">
        <f aca="false">Sens!H2230*(1+Sens!I2231)</f>
        <v>17.1303084701817</v>
      </c>
      <c r="J2230" s="6" t="n">
        <f aca="false">Sens!I2230*(1+Sens!J2231)</f>
        <v>17.3782189407267</v>
      </c>
      <c r="K2230" s="6" t="n">
        <f aca="false">Sens!J2230*(1+Sens!K2231)</f>
        <v>17.7257833195413</v>
      </c>
    </row>
    <row r="2231" customFormat="false" ht="15" hidden="false" customHeight="false" outlineLevel="0" collapsed="false">
      <c r="A2231" s="1" t="s">
        <v>866</v>
      </c>
      <c r="B2231" s="0" t="s">
        <v>129</v>
      </c>
      <c r="E2231" s="7" t="n">
        <f aca="false">Sens!E2230/Sens!D2230-1</f>
        <v>-0.0131677736066995</v>
      </c>
      <c r="F2231" s="7" t="n">
        <f aca="false">Sens!$E$2231+(glt_win-Sens!$E$2231)*MIN(1,(Sens!F2172-base_fy)/n_conv)</f>
        <v>-0.00763981133891627</v>
      </c>
      <c r="G2231" s="7" t="n">
        <f aca="false">Sens!$E$2231+(glt_win-Sens!$E$2231)*MIN(1,(Sens!G2172-base_fy)/n_conv)</f>
        <v>-0.00211184907113301</v>
      </c>
      <c r="H2231" s="7" t="n">
        <f aca="false">Sens!$E$2231+(glt_win-Sens!$E$2231)*MIN(1,(Sens!H2172-base_fy)/n_conv)</f>
        <v>0.00341611319665024</v>
      </c>
      <c r="I2231" s="7" t="n">
        <f aca="false">Sens!$E$2231+(glt_win-Sens!$E$2231)*MIN(1,(Sens!I2172-base_fy)/n_conv)</f>
        <v>0.00894407546443349</v>
      </c>
      <c r="J2231" s="7" t="n">
        <f aca="false">Sens!$E$2231+(glt_win-Sens!$E$2231)*MIN(1,(Sens!J2172-base_fy)/n_conv)</f>
        <v>0.0144720377322168</v>
      </c>
      <c r="K2231" s="7" t="n">
        <f aca="false">Sens!$E$2231+(glt_win-Sens!$E$2231)*MIN(1,(Sens!K2172-base_fy)/n_conv)</f>
        <v>0.02</v>
      </c>
    </row>
    <row r="2232" customFormat="false" ht="15" hidden="false" customHeight="false" outlineLevel="0" collapsed="false">
      <c r="A2232" s="0" t="s">
        <v>718</v>
      </c>
      <c r="B2232" s="0" t="s">
        <v>98</v>
      </c>
      <c r="D2232" s="6" t="n">
        <f aca="false">Sens!D2226+Sens!D2228+Sens!D2230</f>
        <v>62.941</v>
      </c>
      <c r="E2232" s="6" t="n">
        <f aca="false">Sens!E2226+Sens!E2228+Sens!E2230</f>
        <v>63.712</v>
      </c>
      <c r="F2232" s="6" t="n">
        <f aca="false">Sens!F2226+Sens!F2228+Sens!F2230</f>
        <v>65.1415764563129</v>
      </c>
      <c r="G2232" s="6" t="n">
        <f aca="false">Sens!G2226+Sens!G2228+Sens!G2230</f>
        <v>67.1253610780702</v>
      </c>
      <c r="H2232" s="6" t="n">
        <f aca="false">Sens!H2226+Sens!H2228+Sens!H2230</f>
        <v>69.5768050148776</v>
      </c>
      <c r="I2232" s="6" t="n">
        <f aca="false">Sens!I2226+Sens!I2228+Sens!I2230</f>
        <v>72.4233188088189</v>
      </c>
      <c r="J2232" s="6" t="n">
        <f aca="false">Sens!J2226+Sens!J2228+Sens!J2230</f>
        <v>75.6044096678567</v>
      </c>
      <c r="K2232" s="6" t="n">
        <f aca="false">Sens!K2226+Sens!K2228+Sens!K2230</f>
        <v>79.0714397009747</v>
      </c>
    </row>
    <row r="2233" customFormat="false" ht="15" hidden="false" customHeight="false" outlineLevel="0" collapsed="false">
      <c r="A2233" s="1" t="s">
        <v>880</v>
      </c>
      <c r="B2233" s="0" t="s">
        <v>98</v>
      </c>
      <c r="D2233" s="6" t="n">
        <f aca="false">Sens!D2225+Sens!D2232</f>
        <v>281.724</v>
      </c>
      <c r="E2233" s="6" t="n">
        <f aca="false">Sens!E2225+Sens!E2232</f>
        <v>331.839</v>
      </c>
      <c r="F2233" s="6" t="n">
        <f aca="false">Sens!F2225+Sens!F2232</f>
        <v>393.505009521169</v>
      </c>
      <c r="G2233" s="6" t="n">
        <f aca="false">Sens!G2225+Sens!G2232</f>
        <v>456.395226751344</v>
      </c>
      <c r="H2233" s="6" t="n">
        <f aca="false">Sens!H2225+Sens!H2232</f>
        <v>515.333125886071</v>
      </c>
      <c r="I2233" s="6" t="n">
        <f aca="false">Sens!I2225+Sens!I2232</f>
        <v>577.124545054311</v>
      </c>
      <c r="J2233" s="6" t="n">
        <f aca="false">Sens!J2225+Sens!J2232</f>
        <v>629.119377732358</v>
      </c>
      <c r="K2233" s="6" t="n">
        <f aca="false">Sens!K2225+Sens!K2232</f>
        <v>671.611263404839</v>
      </c>
    </row>
    <row r="2234" customFormat="false" ht="15" hidden="false" customHeight="false" outlineLevel="0" collapsed="false">
      <c r="A2234" s="23" t="s">
        <v>881</v>
      </c>
      <c r="B2234" s="30" t="s">
        <v>98</v>
      </c>
      <c r="C2234" s="30"/>
      <c r="D2234" s="24" t="n">
        <f aca="false">(Sens!D2213+Sens!D2218+Sens!D2219+Sens!D2221+Sens!D2223-Sens!D2225)+(Sens!D2226+Sens!D2228+Sens!D2230-Sens!D2232)+(Sens!D2225-Q!L5)+(Sens!D2232-Q!L12)+(Sens!D2213-Q!L6)+(Sens!D2218-Q!L7)</f>
        <v>0</v>
      </c>
      <c r="E2234" s="24" t="n">
        <f aca="false">(Sens!E2213+Sens!E2218+Sens!E2219+Sens!E2221+Sens!E2223-Sens!E2225)+(Sens!E2226+Sens!E2228+Sens!E2230-Sens!E2232)+(Sens!E2225-Q!M5)+(Sens!E2232-Q!M12)+(Sens!E2213-Q!M6)+(Sens!E2218-Q!M7)</f>
        <v>0</v>
      </c>
      <c r="F2234" s="24" t="n">
        <f aca="false">(Sens!F2213+Sens!F2218+Sens!F2219+Sens!F2221+Sens!F2223-Sens!F2225)+(Sens!F2226+Sens!F2228+Sens!F2230-Sens!F2232)</f>
        <v>0</v>
      </c>
      <c r="G2234" s="24" t="n">
        <f aca="false">(Sens!G2213+Sens!G2218+Sens!G2219+Sens!G2221+Sens!G2223-Sens!G2225)+(Sens!G2226+Sens!G2228+Sens!G2230-Sens!G2232)</f>
        <v>0</v>
      </c>
      <c r="H2234" s="24" t="n">
        <f aca="false">(Sens!H2213+Sens!H2218+Sens!H2219+Sens!H2221+Sens!H2223-Sens!H2225)+(Sens!H2226+Sens!H2228+Sens!H2230-Sens!H2232)</f>
        <v>0</v>
      </c>
      <c r="I2234" s="24" t="n">
        <f aca="false">(Sens!I2213+Sens!I2218+Sens!I2219+Sens!I2221+Sens!I2223-Sens!I2225)+(Sens!I2226+Sens!I2228+Sens!I2230-Sens!I2232)</f>
        <v>0</v>
      </c>
      <c r="J2234" s="24" t="n">
        <f aca="false">(Sens!J2213+Sens!J2218+Sens!J2219+Sens!J2221+Sens!J2223-Sens!J2225)+(Sens!J2226+Sens!J2228+Sens!J2230-Sens!J2232)</f>
        <v>0</v>
      </c>
      <c r="K2234" s="24" t="n">
        <f aca="false">(Sens!K2213+Sens!K2218+Sens!K2219+Sens!K2221+Sens!K2223-Sens!K2225)+(Sens!K2226+Sens!K2228+Sens!K2230-Sens!K2232)</f>
        <v>0</v>
      </c>
    </row>
    <row r="2235" customFormat="false" ht="17.15" hidden="false" customHeight="false" outlineLevel="0" collapsed="false">
      <c r="A2235" s="3" t="s">
        <v>1291</v>
      </c>
    </row>
    <row r="2236" customFormat="false" ht="15" hidden="false" customHeight="false" outlineLevel="0" collapsed="false">
      <c r="A2236" s="4" t="s">
        <v>43</v>
      </c>
      <c r="B2236" s="4" t="s">
        <v>65</v>
      </c>
      <c r="C2236" s="20" t="s">
        <v>788</v>
      </c>
      <c r="D2236" s="20" t="s">
        <v>789</v>
      </c>
      <c r="E2236" s="20" t="s">
        <v>790</v>
      </c>
      <c r="F2236" s="20" t="s">
        <v>791</v>
      </c>
      <c r="G2236" s="20" t="s">
        <v>792</v>
      </c>
      <c r="H2236" s="20" t="s">
        <v>793</v>
      </c>
      <c r="I2236" s="20" t="s">
        <v>794</v>
      </c>
      <c r="J2236" s="20" t="s">
        <v>795</v>
      </c>
      <c r="K2236" s="20" t="s">
        <v>796</v>
      </c>
      <c r="L2236" s="4" t="s">
        <v>47</v>
      </c>
    </row>
    <row r="2237" customFormat="false" ht="15" hidden="false" customHeight="false" outlineLevel="0" collapsed="false">
      <c r="A2237" s="0" t="s">
        <v>867</v>
      </c>
      <c r="B2237" s="0" t="s">
        <v>98</v>
      </c>
      <c r="D2237" s="6" t="n">
        <f aca="false">Sens!D2213</f>
        <v>72.61</v>
      </c>
      <c r="E2237" s="6" t="n">
        <f aca="false">Sens!E2213</f>
        <v>101.938</v>
      </c>
      <c r="F2237" s="6" t="n">
        <f aca="false">Sens!F2213</f>
        <v>140.741861125673</v>
      </c>
      <c r="G2237" s="6" t="n">
        <f aca="false">Sens!G2213</f>
        <v>182.176709135845</v>
      </c>
      <c r="H2237" s="6" t="n">
        <f aca="false">Sens!H2213</f>
        <v>219.167638189678</v>
      </c>
      <c r="I2237" s="6" t="n">
        <f aca="false">Sens!I2213</f>
        <v>259.639871266006</v>
      </c>
      <c r="J2237" s="6" t="n">
        <f aca="false">Sens!J2213</f>
        <v>291.324070960333</v>
      </c>
      <c r="K2237" s="6" t="n">
        <f aca="false">Sens!K2213</f>
        <v>314.145754363688</v>
      </c>
    </row>
    <row r="2238" customFormat="false" ht="17.15" hidden="false" customHeight="false" outlineLevel="0" collapsed="false">
      <c r="A2238" s="0" t="s">
        <v>864</v>
      </c>
      <c r="B2238" s="0" t="s">
        <v>98</v>
      </c>
      <c r="D2238" s="6" t="n">
        <f aca="false">Sens!D2210</f>
        <v>12.9359794422418</v>
      </c>
      <c r="E2238" s="6" t="n">
        <f aca="false">Sens!E2210</f>
        <v>27.8095064661409</v>
      </c>
      <c r="F2238" s="6" t="n">
        <f aca="false">Sens!F2210</f>
        <v>50.6619113883066</v>
      </c>
      <c r="G2238" s="6" t="n">
        <f aca="false">Sens!G2210</f>
        <v>75.1482839325348</v>
      </c>
      <c r="H2238" s="6" t="n">
        <f aca="false">Sens!H2210</f>
        <v>94.895655604042</v>
      </c>
      <c r="I2238" s="6" t="n">
        <f aca="false">Sens!I2210</f>
        <v>118.706168884151</v>
      </c>
      <c r="J2238" s="6" t="n">
        <f aca="false">Sens!J2210</f>
        <v>135.305203646001</v>
      </c>
      <c r="K2238" s="6" t="n">
        <f aca="false">Sens!K2210</f>
        <v>145.64537766421</v>
      </c>
    </row>
    <row r="2239" customFormat="false" ht="17.15" hidden="false" customHeight="false" outlineLevel="0" collapsed="false">
      <c r="A2239" s="0" t="s">
        <v>892</v>
      </c>
      <c r="B2239" s="0" t="s">
        <v>98</v>
      </c>
      <c r="D2239" s="6" t="n">
        <f aca="false">Sens!D2211</f>
        <v>59.6740205577583</v>
      </c>
      <c r="E2239" s="6" t="n">
        <f aca="false">Sens!E2211</f>
        <v>74.1284935338591</v>
      </c>
      <c r="F2239" s="6" t="n">
        <f aca="false">Sens!F2211</f>
        <v>90.0799497373663</v>
      </c>
      <c r="G2239" s="6" t="n">
        <f aca="false">Sens!G2211</f>
        <v>107.02842520331</v>
      </c>
      <c r="H2239" s="6" t="n">
        <f aca="false">Sens!H2211</f>
        <v>124.271982585636</v>
      </c>
      <c r="I2239" s="6" t="n">
        <f aca="false">Sens!I2211</f>
        <v>140.933702381855</v>
      </c>
      <c r="J2239" s="6" t="n">
        <f aca="false">Sens!J2211</f>
        <v>156.018867314332</v>
      </c>
      <c r="K2239" s="6" t="n">
        <f aca="false">Sens!K2211</f>
        <v>168.500376699478</v>
      </c>
    </row>
    <row r="2240" customFormat="false" ht="15" hidden="false" customHeight="false" outlineLevel="0" collapsed="false">
      <c r="A2240" s="0" t="s">
        <v>873</v>
      </c>
      <c r="B2240" s="0" t="s">
        <v>98</v>
      </c>
      <c r="D2240" s="6" t="n">
        <f aca="false">Sens!D2218</f>
        <v>84.605</v>
      </c>
      <c r="E2240" s="6" t="n">
        <f aca="false">Sens!E2218</f>
        <v>100.299</v>
      </c>
      <c r="F2240" s="6" t="n">
        <f aca="false">Sens!F2218</f>
        <v>117.39238776686</v>
      </c>
      <c r="G2240" s="6" t="n">
        <f aca="false">Sens!G2218</f>
        <v>132.544168448684</v>
      </c>
      <c r="H2240" s="6" t="n">
        <f aca="false">Sens!H2218</f>
        <v>147.777359388781</v>
      </c>
      <c r="I2240" s="6" t="n">
        <f aca="false">Sens!I2218</f>
        <v>162.084028071957</v>
      </c>
      <c r="J2240" s="6" t="n">
        <f aca="false">Sens!J2218</f>
        <v>175.182702785465</v>
      </c>
      <c r="K2240" s="6" t="n">
        <f aca="false">Sens!K2218</f>
        <v>187.527991980448</v>
      </c>
    </row>
    <row r="2241" customFormat="false" ht="17.15" hidden="false" customHeight="false" outlineLevel="0" collapsed="false">
      <c r="A2241" s="0" t="s">
        <v>893</v>
      </c>
      <c r="B2241" s="0" t="s">
        <v>98</v>
      </c>
      <c r="D2241" s="6" t="n">
        <f aca="false">Sens!D2216</f>
        <v>83.705</v>
      </c>
      <c r="E2241" s="6" t="n">
        <f aca="false">Sens!E2216</f>
        <v>95.049</v>
      </c>
      <c r="F2241" s="6" t="n">
        <f aca="false">Sens!F2216</f>
        <v>106.89238776686</v>
      </c>
      <c r="G2241" s="6" t="n">
        <f aca="false">Sens!G2216</f>
        <v>119.044168448684</v>
      </c>
      <c r="H2241" s="6" t="n">
        <f aca="false">Sens!H2216</f>
        <v>131.277359388781</v>
      </c>
      <c r="I2241" s="6" t="n">
        <f aca="false">Sens!I2216</f>
        <v>143.334028071957</v>
      </c>
      <c r="J2241" s="6" t="n">
        <f aca="false">Sens!J2216</f>
        <v>154.932702785465</v>
      </c>
      <c r="K2241" s="6" t="n">
        <f aca="false">Sens!K2216</f>
        <v>165.777991980448</v>
      </c>
    </row>
    <row r="2242" customFormat="false" ht="17.15" hidden="false" customHeight="false" outlineLevel="0" collapsed="false">
      <c r="A2242" s="0" t="s">
        <v>894</v>
      </c>
      <c r="B2242" s="0" t="s">
        <v>98</v>
      </c>
      <c r="D2242" s="6" t="n">
        <f aca="false">Sens!D2215</f>
        <v>0.9</v>
      </c>
      <c r="E2242" s="6" t="n">
        <f aca="false">Sens!E2215</f>
        <v>5.25</v>
      </c>
      <c r="F2242" s="6" t="n">
        <f aca="false">Sens!F2215</f>
        <v>10.5</v>
      </c>
      <c r="G2242" s="6" t="n">
        <f aca="false">Sens!G2215</f>
        <v>13.5</v>
      </c>
      <c r="H2242" s="6" t="n">
        <f aca="false">Sens!H2215</f>
        <v>16.5</v>
      </c>
      <c r="I2242" s="6" t="n">
        <f aca="false">Sens!I2215</f>
        <v>18.75</v>
      </c>
      <c r="J2242" s="6" t="n">
        <f aca="false">Sens!J2215</f>
        <v>20.25</v>
      </c>
      <c r="K2242" s="6" t="n">
        <f aca="false">Sens!K2215</f>
        <v>21.75</v>
      </c>
    </row>
    <row r="2243" customFormat="false" ht="15" hidden="false" customHeight="false" outlineLevel="0" collapsed="false">
      <c r="A2243" s="0" t="s">
        <v>874</v>
      </c>
      <c r="B2243" s="0" t="s">
        <v>98</v>
      </c>
      <c r="D2243" s="6" t="n">
        <f aca="false">Sens!D2219</f>
        <v>35.391</v>
      </c>
      <c r="E2243" s="6" t="n">
        <f aca="false">Sens!E2219</f>
        <v>37.285</v>
      </c>
      <c r="F2243" s="6" t="n">
        <f aca="false">Sens!F2219</f>
        <v>39.0720834331704</v>
      </c>
      <c r="G2243" s="6" t="n">
        <f aca="false">Sens!G2219</f>
        <v>40.726562953769</v>
      </c>
      <c r="H2243" s="6" t="n">
        <f aca="false">Sens!H2219</f>
        <v>42.2235987259198</v>
      </c>
      <c r="I2243" s="6" t="n">
        <f aca="false">Sens!I2219</f>
        <v>43.5397988077414</v>
      </c>
      <c r="J2243" s="6" t="n">
        <f aca="false">Sens!J2219</f>
        <v>44.653811225693</v>
      </c>
      <c r="K2243" s="6" t="n">
        <f aca="false">Sens!K2219</f>
        <v>45.5468874502068</v>
      </c>
    </row>
    <row r="2244" customFormat="false" ht="15" hidden="false" customHeight="false" outlineLevel="0" collapsed="false">
      <c r="A2244" s="0" t="s">
        <v>875</v>
      </c>
      <c r="B2244" s="0" t="s">
        <v>98</v>
      </c>
      <c r="D2244" s="6" t="n">
        <f aca="false">Sens!D2221</f>
        <v>18.417</v>
      </c>
      <c r="E2244" s="6" t="n">
        <f aca="false">Sens!E2221</f>
        <v>20.345</v>
      </c>
      <c r="F2244" s="6" t="n">
        <f aca="false">Sens!F2221</f>
        <v>22.3572203267814</v>
      </c>
      <c r="G2244" s="6" t="n">
        <f aca="false">Sens!G2221</f>
        <v>24.4392124437232</v>
      </c>
      <c r="H2244" s="6" t="n">
        <f aca="false">Sens!H2221</f>
        <v>26.5738052080665</v>
      </c>
      <c r="I2244" s="6" t="n">
        <f aca="false">Sens!I2221</f>
        <v>28.7412169166967</v>
      </c>
      <c r="J2244" s="6" t="n">
        <f aca="false">Sens!J2221</f>
        <v>30.9192545395413</v>
      </c>
      <c r="K2244" s="6" t="n">
        <f aca="false">Sens!K2221</f>
        <v>33.0836023573092</v>
      </c>
    </row>
    <row r="2245" customFormat="false" ht="15" hidden="false" customHeight="false" outlineLevel="0" collapsed="false">
      <c r="A2245" s="0" t="s">
        <v>876</v>
      </c>
      <c r="B2245" s="0" t="s">
        <v>98</v>
      </c>
      <c r="D2245" s="6" t="n">
        <f aca="false">Sens!D2223</f>
        <v>7.76</v>
      </c>
      <c r="E2245" s="6" t="n">
        <f aca="false">Sens!E2223</f>
        <v>8.26</v>
      </c>
      <c r="F2245" s="6" t="n">
        <f aca="false">Sens!F2223</f>
        <v>8.79988041237113</v>
      </c>
      <c r="G2245" s="6" t="n">
        <f aca="false">Sens!G2223</f>
        <v>9.38321269125306</v>
      </c>
      <c r="H2245" s="6" t="n">
        <f aca="false">Sens!H2223</f>
        <v>10.0139193587476</v>
      </c>
      <c r="I2245" s="6" t="n">
        <f aca="false">Sens!I2223</f>
        <v>10.6963111830911</v>
      </c>
      <c r="J2245" s="6" t="n">
        <f aca="false">Sens!J2223</f>
        <v>11.4351285534696</v>
      </c>
      <c r="K2245" s="6" t="n">
        <f aca="false">Sens!K2223</f>
        <v>12.2355875522124</v>
      </c>
    </row>
    <row r="2246" customFormat="false" ht="15" hidden="false" customHeight="false" outlineLevel="0" collapsed="false">
      <c r="A2246" s="0" t="s">
        <v>704</v>
      </c>
      <c r="B2246" s="0" t="s">
        <v>98</v>
      </c>
      <c r="D2246" s="6" t="n">
        <f aca="false">Sens!D2225</f>
        <v>218.783</v>
      </c>
      <c r="E2246" s="6" t="n">
        <f aca="false">Sens!E2225</f>
        <v>268.127</v>
      </c>
      <c r="F2246" s="6" t="n">
        <f aca="false">Sens!F2225</f>
        <v>328.363433064856</v>
      </c>
      <c r="G2246" s="6" t="n">
        <f aca="false">Sens!G2225</f>
        <v>389.269865673274</v>
      </c>
      <c r="H2246" s="6" t="n">
        <f aca="false">Sens!H2225</f>
        <v>445.756320871193</v>
      </c>
      <c r="I2246" s="6" t="n">
        <f aca="false">Sens!I2225</f>
        <v>504.701226245492</v>
      </c>
      <c r="J2246" s="6" t="n">
        <f aca="false">Sens!J2225</f>
        <v>553.514968064502</v>
      </c>
      <c r="K2246" s="6" t="n">
        <f aca="false">Sens!K2225</f>
        <v>592.539823703865</v>
      </c>
    </row>
    <row r="2247" customFormat="false" ht="15" hidden="false" customHeight="false" outlineLevel="0" collapsed="false">
      <c r="A2247" s="0" t="s">
        <v>877</v>
      </c>
      <c r="B2247" s="0" t="s">
        <v>98</v>
      </c>
      <c r="D2247" s="6" t="n">
        <f aca="false">Sens!D2226</f>
        <v>22.171</v>
      </c>
      <c r="E2247" s="6" t="n">
        <f aca="false">Sens!E2226</f>
        <v>24.835</v>
      </c>
      <c r="F2247" s="6" t="n">
        <f aca="false">Sens!F2226</f>
        <v>27.6114901218559</v>
      </c>
      <c r="G2247" s="6" t="n">
        <f aca="false">Sens!G2226</f>
        <v>30.4675667338515</v>
      </c>
      <c r="H2247" s="6" t="n">
        <f aca="false">Sens!H2226</f>
        <v>33.3643766955789</v>
      </c>
      <c r="I2247" s="6" t="n">
        <f aca="false">Sens!I2226</f>
        <v>36.2577016533691</v>
      </c>
      <c r="J2247" s="6" t="n">
        <f aca="false">Sens!J2226</f>
        <v>39.0988367952171</v>
      </c>
      <c r="K2247" s="6" t="n">
        <f aca="false">Sens!K2226</f>
        <v>41.8357553708823</v>
      </c>
    </row>
    <row r="2248" customFormat="false" ht="15" hidden="false" customHeight="false" outlineLevel="0" collapsed="false">
      <c r="A2248" s="0" t="s">
        <v>878</v>
      </c>
      <c r="B2248" s="0" t="s">
        <v>98</v>
      </c>
      <c r="D2248" s="6" t="n">
        <f aca="false">Sens!D2228</f>
        <v>23.455</v>
      </c>
      <c r="E2248" s="6" t="n">
        <f aca="false">Sens!E2228</f>
        <v>21.79</v>
      </c>
      <c r="F2248" s="6" t="n">
        <f aca="false">Sens!F2228</f>
        <v>20.5736277908051</v>
      </c>
      <c r="G2248" s="6" t="n">
        <f aca="false">Sens!G2228</f>
        <v>19.7371452817919</v>
      </c>
      <c r="H2248" s="6" t="n">
        <f aca="false">Sens!H2228</f>
        <v>19.2339764043138</v>
      </c>
      <c r="I2248" s="6" t="n">
        <f aca="false">Sens!I2228</f>
        <v>19.0353086852681</v>
      </c>
      <c r="J2248" s="6" t="n">
        <f aca="false">Sens!J2228</f>
        <v>19.1273539319129</v>
      </c>
      <c r="K2248" s="6" t="n">
        <f aca="false">Sens!K2228</f>
        <v>19.5099010105511</v>
      </c>
    </row>
    <row r="2249" customFormat="false" ht="15" hidden="false" customHeight="false" outlineLevel="0" collapsed="false">
      <c r="A2249" s="0" t="s">
        <v>879</v>
      </c>
      <c r="B2249" s="0" t="s">
        <v>98</v>
      </c>
      <c r="D2249" s="6" t="n">
        <f aca="false">Sens!D2230</f>
        <v>17.315</v>
      </c>
      <c r="E2249" s="6" t="n">
        <f aca="false">Sens!E2230</f>
        <v>17.087</v>
      </c>
      <c r="F2249" s="6" t="n">
        <f aca="false">Sens!F2230</f>
        <v>16.9564585436519</v>
      </c>
      <c r="G2249" s="6" t="n">
        <f aca="false">Sens!G2230</f>
        <v>16.9206490624268</v>
      </c>
      <c r="H2249" s="6" t="n">
        <f aca="false">Sens!H2230</f>
        <v>16.9784519149849</v>
      </c>
      <c r="I2249" s="6" t="n">
        <f aca="false">Sens!I2230</f>
        <v>17.1303084701817</v>
      </c>
      <c r="J2249" s="6" t="n">
        <f aca="false">Sens!J2230</f>
        <v>17.3782189407267</v>
      </c>
      <c r="K2249" s="6" t="n">
        <f aca="false">Sens!K2230</f>
        <v>17.7257833195413</v>
      </c>
    </row>
    <row r="2250" customFormat="false" ht="15" hidden="false" customHeight="false" outlineLevel="0" collapsed="false">
      <c r="A2250" s="0" t="s">
        <v>718</v>
      </c>
      <c r="B2250" s="0" t="s">
        <v>98</v>
      </c>
      <c r="D2250" s="6" t="n">
        <f aca="false">Sens!D2232</f>
        <v>62.941</v>
      </c>
      <c r="E2250" s="6" t="n">
        <f aca="false">Sens!E2232</f>
        <v>63.712</v>
      </c>
      <c r="F2250" s="6" t="n">
        <f aca="false">Sens!F2232</f>
        <v>65.1415764563129</v>
      </c>
      <c r="G2250" s="6" t="n">
        <f aca="false">Sens!G2232</f>
        <v>67.1253610780702</v>
      </c>
      <c r="H2250" s="6" t="n">
        <f aca="false">Sens!H2232</f>
        <v>69.5768050148776</v>
      </c>
      <c r="I2250" s="6" t="n">
        <f aca="false">Sens!I2232</f>
        <v>72.4233188088189</v>
      </c>
      <c r="J2250" s="6" t="n">
        <f aca="false">Sens!J2232</f>
        <v>75.6044096678567</v>
      </c>
      <c r="K2250" s="6" t="n">
        <f aca="false">Sens!K2232</f>
        <v>79.0714397009747</v>
      </c>
    </row>
    <row r="2251" customFormat="false" ht="15" hidden="false" customHeight="false" outlineLevel="0" collapsed="false">
      <c r="A2251" s="1" t="s">
        <v>895</v>
      </c>
      <c r="B2251" s="0" t="s">
        <v>98</v>
      </c>
      <c r="D2251" s="6" t="n">
        <f aca="false">Sens!D2233</f>
        <v>281.724</v>
      </c>
      <c r="E2251" s="6" t="n">
        <f aca="false">Sens!E2233</f>
        <v>331.839</v>
      </c>
      <c r="F2251" s="6" t="n">
        <f aca="false">Sens!F2233</f>
        <v>393.505009521169</v>
      </c>
      <c r="G2251" s="6" t="n">
        <f aca="false">Sens!G2233</f>
        <v>456.395226751344</v>
      </c>
      <c r="H2251" s="6" t="n">
        <f aca="false">Sens!H2233</f>
        <v>515.333125886071</v>
      </c>
      <c r="I2251" s="6" t="n">
        <f aca="false">Sens!I2233</f>
        <v>577.124545054311</v>
      </c>
      <c r="J2251" s="6" t="n">
        <f aca="false">Sens!J2233</f>
        <v>629.119377732358</v>
      </c>
      <c r="K2251" s="6" t="n">
        <f aca="false">Sens!K2233</f>
        <v>671.611263404839</v>
      </c>
    </row>
    <row r="2252" customFormat="false" ht="15" hidden="false" customHeight="false" outlineLevel="0" collapsed="false">
      <c r="A2252" s="1" t="s">
        <v>896</v>
      </c>
      <c r="B2252" s="0" t="s">
        <v>129</v>
      </c>
      <c r="E2252" s="7" t="n">
        <f aca="false">Sens!E2251/Sens!D2251-1</f>
        <v>0.177886867998467</v>
      </c>
      <c r="F2252" s="7" t="n">
        <f aca="false">Sens!F2251/Sens!E2251-1</f>
        <v>0.185831109427067</v>
      </c>
      <c r="G2252" s="7" t="n">
        <f aca="false">Sens!G2251/Sens!F2251-1</f>
        <v>0.159820626697237</v>
      </c>
      <c r="H2252" s="7" t="n">
        <f aca="false">Sens!H2251/Sens!G2251-1</f>
        <v>0.129137851756801</v>
      </c>
      <c r="I2252" s="7" t="n">
        <f aca="false">Sens!I2251/Sens!H2251-1</f>
        <v>0.119905777572508</v>
      </c>
      <c r="J2252" s="7" t="n">
        <f aca="false">Sens!J2251/Sens!I2251-1</f>
        <v>0.090092915166438</v>
      </c>
      <c r="K2252" s="7" t="n">
        <f aca="false">Sens!K2251/Sens!J2251-1</f>
        <v>0.0675418484575083</v>
      </c>
    </row>
    <row r="2253" customFormat="false" ht="17.15" hidden="false" customHeight="false" outlineLevel="0" collapsed="false">
      <c r="A2253" s="23" t="s">
        <v>897</v>
      </c>
      <c r="B2253" s="30" t="s">
        <v>98</v>
      </c>
      <c r="C2253" s="30"/>
      <c r="D2253" s="24" t="n">
        <f aca="false">(Sens!D2246+Sens!D2250-Sens!D2251)+(Sens!D2238+Sens!D2239-Sens!D2237)+(Sens!D2241+Sens!D2242-Sens!D2240)+(Sens!D2251-Q!L18)</f>
        <v>0</v>
      </c>
      <c r="E2253" s="24" t="n">
        <f aca="false">(Sens!E2246+Sens!E2250-Sens!E2251)+(Sens!E2238+Sens!E2239-Sens!E2237)+(Sens!E2241+Sens!E2242-Sens!E2240)+(Sens!E2251-Q!M18)</f>
        <v>0</v>
      </c>
      <c r="F2253" s="24" t="n">
        <f aca="false">(Sens!F2246+Sens!F2250-Sens!F2251)+(Sens!F2238+Sens!F2239-Sens!F2237)+(Sens!F2241+Sens!F2242-Sens!F2240)</f>
        <v>0</v>
      </c>
      <c r="G2253" s="24" t="n">
        <f aca="false">(Sens!G2246+Sens!G2250-Sens!G2251)+(Sens!G2238+Sens!G2239-Sens!G2237)+(Sens!G2241+Sens!G2242-Sens!G2240)</f>
        <v>0</v>
      </c>
      <c r="H2253" s="24" t="n">
        <f aca="false">(Sens!H2246+Sens!H2250-Sens!H2251)+(Sens!H2238+Sens!H2239-Sens!H2237)+(Sens!H2241+Sens!H2242-Sens!H2240)</f>
        <v>0</v>
      </c>
      <c r="I2253" s="24" t="n">
        <f aca="false">(Sens!I2246+Sens!I2250-Sens!I2251)+(Sens!I2238+Sens!I2239-Sens!I2237)+(Sens!I2241+Sens!I2242-Sens!I2240)</f>
        <v>0</v>
      </c>
      <c r="J2253" s="24" t="n">
        <f aca="false">(Sens!J2246+Sens!J2250-Sens!J2251)+(Sens!J2238+Sens!J2239-Sens!J2237)+(Sens!J2241+Sens!J2242-Sens!J2240)</f>
        <v>0</v>
      </c>
      <c r="K2253" s="24" t="n">
        <f aca="false">(Sens!K2246+Sens!K2250-Sens!K2251)+(Sens!K2238+Sens!K2239-Sens!K2237)+(Sens!K2241+Sens!K2242-Sens!K2240)</f>
        <v>0</v>
      </c>
    </row>
    <row r="2254" customFormat="false" ht="17.15" hidden="false" customHeight="false" outlineLevel="0" collapsed="false">
      <c r="A2254" s="0" t="s">
        <v>898</v>
      </c>
      <c r="B2254" s="0" t="s">
        <v>129</v>
      </c>
      <c r="E2254" s="7" t="n">
        <f aca="false">(Q!M21+Sens!E2191+Sens!E2192+Sens!E2193+Sens!E2206-Sens!E2189)/(Q!M5-Sens!E2189)</f>
        <v>0.591291114837517</v>
      </c>
      <c r="F2254" s="7" t="n">
        <f aca="false">Sens!$E$2254+dm_seg</f>
        <v>0.591291114837517</v>
      </c>
      <c r="G2254" s="7" t="n">
        <f aca="false">Sens!$E$2254+dm_seg</f>
        <v>0.591291114837517</v>
      </c>
      <c r="H2254" s="7" t="n">
        <f aca="false">Sens!$E$2254+dm_seg</f>
        <v>0.591291114837517</v>
      </c>
      <c r="I2254" s="7" t="n">
        <f aca="false">Sens!$E$2254+dm_seg</f>
        <v>0.591291114837517</v>
      </c>
      <c r="J2254" s="7" t="n">
        <f aca="false">Sens!$E$2254+dm_seg</f>
        <v>0.591291114837517</v>
      </c>
      <c r="K2254" s="7" t="n">
        <f aca="false">Sens!$E$2254+dm_seg</f>
        <v>0.591291114837517</v>
      </c>
      <c r="L2254" s="11" t="s">
        <v>899</v>
      </c>
    </row>
    <row r="2255" customFormat="false" ht="17.15" hidden="false" customHeight="false" outlineLevel="0" collapsed="false">
      <c r="A2255" s="0" t="s">
        <v>732</v>
      </c>
      <c r="B2255" s="0" t="s">
        <v>98</v>
      </c>
      <c r="D2255" s="6" t="n">
        <f aca="false">Q!L21</f>
        <v>110.814</v>
      </c>
      <c r="E2255" s="6" t="n">
        <f aca="false">Q!M21</f>
        <v>136.365</v>
      </c>
      <c r="F2255" s="6" t="n">
        <f aca="false">Sens!F2254*(Sens!F2225-Sens!F2189)+Sens!F2189-(Sens!F2191+Sens!F2192+Sens!F2193)-Sens!F2206</f>
        <v>148.600527223832</v>
      </c>
      <c r="G2255" s="6" t="n">
        <f aca="false">Sens!G2254*(Sens!G2225-Sens!G2189)+Sens!G2189-(Sens!G2191+Sens!G2192+Sens!G2193)-Sens!G2206</f>
        <v>150.860326139432</v>
      </c>
      <c r="H2255" s="6" t="n">
        <f aca="false">Sens!H2254*(Sens!H2225-Sens!H2189)+Sens!H2189-(Sens!H2191+Sens!H2192+Sens!H2193)-Sens!H2206</f>
        <v>146.212094204485</v>
      </c>
      <c r="I2255" s="6" t="n">
        <f aca="false">Sens!I2254*(Sens!I2225-Sens!I2189)+Sens!I2189-(Sens!I2191+Sens!I2192+Sens!I2193)-Sens!I2206</f>
        <v>150.063825578846</v>
      </c>
      <c r="J2255" s="6" t="n">
        <f aca="false">Sens!J2254*(Sens!J2225-Sens!J2189)+Sens!J2189-(Sens!J2191+Sens!J2192+Sens!J2193)-Sens!J2206</f>
        <v>157.231605344503</v>
      </c>
      <c r="K2255" s="6" t="n">
        <f aca="false">Sens!K2254*(Sens!K2225-Sens!K2189)+Sens!K2189-(Sens!K2191+Sens!K2192+Sens!K2193)-Sens!K2206</f>
        <v>167.766783782098</v>
      </c>
      <c r="L2255" s="1" t="s">
        <v>900</v>
      </c>
    </row>
    <row r="2256" customFormat="false" ht="17.15" hidden="false" customHeight="false" outlineLevel="0" collapsed="false">
      <c r="A2256" s="0" t="s">
        <v>901</v>
      </c>
      <c r="B2256" s="0" t="s">
        <v>129</v>
      </c>
      <c r="E2256" s="7" t="n">
        <f aca="false">Q!M22/Q!M12</f>
        <v>0.296207935710698</v>
      </c>
      <c r="F2256" s="7" t="n">
        <f aca="false">Sens!$E$2256+dm_seg</f>
        <v>0.296207935710698</v>
      </c>
      <c r="G2256" s="7" t="n">
        <f aca="false">Sens!$E$2256+dm_seg</f>
        <v>0.296207935710698</v>
      </c>
      <c r="H2256" s="7" t="n">
        <f aca="false">Sens!$E$2256+dm_seg</f>
        <v>0.296207935710698</v>
      </c>
      <c r="I2256" s="7" t="n">
        <f aca="false">Sens!$E$2256+dm_seg</f>
        <v>0.296207935710698</v>
      </c>
      <c r="J2256" s="7" t="n">
        <f aca="false">Sens!$E$2256+dm_seg</f>
        <v>0.296207935710698</v>
      </c>
      <c r="K2256" s="7" t="n">
        <f aca="false">Sens!$E$2256+dm_seg</f>
        <v>0.296207935710698</v>
      </c>
      <c r="L2256" s="11" t="s">
        <v>902</v>
      </c>
    </row>
    <row r="2257" customFormat="false" ht="17.15" hidden="false" customHeight="false" outlineLevel="0" collapsed="false">
      <c r="A2257" s="0" t="s">
        <v>734</v>
      </c>
      <c r="B2257" s="0" t="s">
        <v>98</v>
      </c>
      <c r="D2257" s="6" t="n">
        <f aca="false">Q!L22</f>
        <v>17.714</v>
      </c>
      <c r="E2257" s="6" t="n">
        <f aca="false">Q!M22</f>
        <v>18.872</v>
      </c>
      <c r="F2257" s="6" t="n">
        <f aca="false">Sens!F2232*Sens!F2256</f>
        <v>19.2954518910651</v>
      </c>
      <c r="G2257" s="6" t="n">
        <f aca="false">Sens!G2232*Sens!G2256</f>
        <v>19.8830646387704</v>
      </c>
      <c r="H2257" s="6" t="n">
        <f aca="false">Sens!H2232*Sens!H2256</f>
        <v>20.6092017868026</v>
      </c>
      <c r="I2257" s="6" t="n">
        <f aca="false">Sens!I2232*Sens!I2256</f>
        <v>21.452361761678</v>
      </c>
      <c r="J2257" s="6" t="n">
        <f aca="false">Sens!J2232*Sens!J2256</f>
        <v>22.3946261183418</v>
      </c>
      <c r="K2257" s="6" t="n">
        <f aca="false">Sens!K2232*Sens!K2256</f>
        <v>23.4215879274986</v>
      </c>
    </row>
    <row r="2258" customFormat="false" ht="15" hidden="false" customHeight="false" outlineLevel="0" collapsed="false">
      <c r="A2258" s="1" t="s">
        <v>903</v>
      </c>
      <c r="B2258" s="0" t="s">
        <v>98</v>
      </c>
      <c r="D2258" s="6" t="n">
        <f aca="false">Sens!D2255+Sens!D2257</f>
        <v>128.528</v>
      </c>
      <c r="E2258" s="6" t="n">
        <f aca="false">Sens!E2255+Sens!E2257</f>
        <v>155.237</v>
      </c>
      <c r="F2258" s="6" t="n">
        <f aca="false">Sens!F2255+Sens!F2257</f>
        <v>167.895979114897</v>
      </c>
      <c r="G2258" s="6" t="n">
        <f aca="false">Sens!G2255+Sens!G2257</f>
        <v>170.743390778202</v>
      </c>
      <c r="H2258" s="6" t="n">
        <f aca="false">Sens!H2255+Sens!H2257</f>
        <v>166.821295991288</v>
      </c>
      <c r="I2258" s="6" t="n">
        <f aca="false">Sens!I2255+Sens!I2257</f>
        <v>171.516187340524</v>
      </c>
      <c r="J2258" s="6" t="n">
        <f aca="false">Sens!J2255+Sens!J2257</f>
        <v>179.626231462845</v>
      </c>
      <c r="K2258" s="6" t="n">
        <f aca="false">Sens!K2255+Sens!K2257</f>
        <v>191.188371709597</v>
      </c>
    </row>
    <row r="2259" customFormat="false" ht="15" hidden="false" customHeight="false" outlineLevel="0" collapsed="false">
      <c r="A2259" s="23" t="s">
        <v>904</v>
      </c>
      <c r="B2259" s="30" t="s">
        <v>98</v>
      </c>
      <c r="C2259" s="30"/>
      <c r="D2259" s="24" t="n">
        <f aca="false">Sens!D2258-Q!L23</f>
        <v>0</v>
      </c>
      <c r="E2259" s="24" t="n">
        <f aca="false">Sens!E2258-Q!M23</f>
        <v>0</v>
      </c>
      <c r="F2259" s="30"/>
      <c r="G2259" s="30"/>
      <c r="H2259" s="30"/>
      <c r="I2259" s="30"/>
      <c r="J2259" s="30"/>
      <c r="K2259" s="30"/>
    </row>
    <row r="2260" customFormat="false" ht="15" hidden="false" customHeight="false" outlineLevel="0" collapsed="false">
      <c r="A2260" s="1" t="s">
        <v>905</v>
      </c>
      <c r="B2260" s="0" t="s">
        <v>129</v>
      </c>
      <c r="D2260" s="7" t="n">
        <f aca="false">Sens!D2258/Sens!D2251</f>
        <v>0.456219562408598</v>
      </c>
      <c r="E2260" s="7" t="n">
        <f aca="false">Sens!E2258/Sens!E2251</f>
        <v>0.467808184089272</v>
      </c>
      <c r="F2260" s="7" t="n">
        <f aca="false">Sens!F2258/Sens!F2251</f>
        <v>0.426667958609216</v>
      </c>
      <c r="G2260" s="7" t="n">
        <f aca="false">Sens!G2258/Sens!G2251</f>
        <v>0.374113007258132</v>
      </c>
      <c r="H2260" s="7" t="n">
        <f aca="false">Sens!H2258/Sens!H2251</f>
        <v>0.323715452416247</v>
      </c>
      <c r="I2260" s="7" t="n">
        <f aca="false">Sens!I2258/Sens!I2251</f>
        <v>0.297190942250399</v>
      </c>
      <c r="J2260" s="7" t="n">
        <f aca="false">Sens!J2258/Sens!J2251</f>
        <v>0.285520106073194</v>
      </c>
      <c r="K2260" s="7" t="n">
        <f aca="false">Sens!K2258/Sens!K2251</f>
        <v>0.284671181272835</v>
      </c>
    </row>
    <row r="2261" customFormat="false" ht="17.15" hidden="false" customHeight="false" outlineLevel="0" collapsed="false">
      <c r="A2261" s="1" t="s">
        <v>906</v>
      </c>
      <c r="B2261" s="0" t="s">
        <v>98</v>
      </c>
      <c r="F2261" s="6" t="n">
        <f aca="false">Sens!F2276</f>
        <v>33.9724033091011</v>
      </c>
      <c r="G2261" s="6" t="n">
        <f aca="false">Sens!G2276</f>
        <v>60.1373425892761</v>
      </c>
      <c r="H2261" s="6" t="n">
        <f aca="false">Sens!H2276</f>
        <v>88.3309660088766</v>
      </c>
      <c r="I2261" s="6" t="n">
        <f aca="false">Sens!I2276</f>
        <v>113.550733212378</v>
      </c>
      <c r="J2261" s="6" t="n">
        <f aca="false">Sens!J2276</f>
        <v>131.153415787976</v>
      </c>
      <c r="K2261" s="6" t="n">
        <f aca="false">Sens!K2276</f>
        <v>141.67390699543</v>
      </c>
      <c r="L2261" s="1" t="s">
        <v>907</v>
      </c>
    </row>
    <row r="2262" customFormat="false" ht="17.15" hidden="false" customHeight="false" outlineLevel="0" collapsed="false">
      <c r="A2262" s="1" t="s">
        <v>908</v>
      </c>
      <c r="B2262" s="0" t="s">
        <v>98</v>
      </c>
      <c r="D2262" s="6" t="n">
        <f aca="false">Sens!D2258</f>
        <v>128.528</v>
      </c>
      <c r="E2262" s="6" t="n">
        <f aca="false">Sens!E2258</f>
        <v>155.237</v>
      </c>
      <c r="F2262" s="6" t="n">
        <f aca="false">Sens!F2258+Sens!F2261</f>
        <v>201.868382423998</v>
      </c>
      <c r="G2262" s="6" t="n">
        <f aca="false">Sens!G2258+Sens!G2261</f>
        <v>230.880733367478</v>
      </c>
      <c r="H2262" s="6" t="n">
        <f aca="false">Sens!H2258+Sens!H2261</f>
        <v>255.152262000165</v>
      </c>
      <c r="I2262" s="6" t="n">
        <f aca="false">Sens!I2258+Sens!I2261</f>
        <v>285.066920552902</v>
      </c>
      <c r="J2262" s="6" t="n">
        <f aca="false">Sens!J2258+Sens!J2261</f>
        <v>310.779647250821</v>
      </c>
      <c r="K2262" s="6" t="n">
        <f aca="false">Sens!K2258+Sens!K2261</f>
        <v>332.862278705027</v>
      </c>
    </row>
    <row r="2263" customFormat="false" ht="17.15" hidden="false" customHeight="false" outlineLevel="0" collapsed="false">
      <c r="A2263" s="1" t="s">
        <v>909</v>
      </c>
      <c r="B2263" s="0" t="s">
        <v>98</v>
      </c>
      <c r="E2263" s="6" t="n">
        <f aca="false">Sens!E2206</f>
        <v>19.5664871725</v>
      </c>
      <c r="F2263" s="6" t="n">
        <f aca="false">Sens!F2206</f>
        <v>40.8598648571467</v>
      </c>
      <c r="G2263" s="6" t="n">
        <f aca="false">Sens!G2206</f>
        <v>70.9505245326133</v>
      </c>
      <c r="H2263" s="6" t="n">
        <f aca="false">Sens!H2206</f>
        <v>103.633223811973</v>
      </c>
      <c r="I2263" s="6" t="n">
        <f aca="false">Sens!I2206</f>
        <v>132.726892598871</v>
      </c>
      <c r="J2263" s="6" t="n">
        <f aca="false">Sens!J2206</f>
        <v>153.362897727405</v>
      </c>
      <c r="K2263" s="6" t="n">
        <f aca="false">Sens!K2206</f>
        <v>165.919620785574</v>
      </c>
    </row>
    <row r="2264" customFormat="false" ht="17.15" hidden="false" customHeight="false" outlineLevel="0" collapsed="false">
      <c r="A2264" s="1" t="s">
        <v>910</v>
      </c>
      <c r="B2264" s="0" t="s">
        <v>98</v>
      </c>
      <c r="E2264" s="6" t="n">
        <f aca="false">Sens!E2288</f>
        <v>18.9675128275</v>
      </c>
      <c r="F2264" s="6" t="n">
        <f aca="false">Sens!F2288</f>
        <v>20.6136962677062</v>
      </c>
      <c r="G2264" s="6" t="n">
        <f aca="false">Sens!G2288</f>
        <v>22.6226159979745</v>
      </c>
      <c r="H2264" s="6" t="n">
        <f aca="false">Sens!H2288</f>
        <v>24.9665057625861</v>
      </c>
      <c r="I2264" s="6" t="n">
        <f aca="false">Sens!I2288</f>
        <v>27.5921952174918</v>
      </c>
      <c r="J2264" s="6" t="n">
        <f aca="false">Sens!J2288</f>
        <v>30.42856702078</v>
      </c>
      <c r="K2264" s="6" t="n">
        <f aca="false">Sens!K2288</f>
        <v>33.3950805929014</v>
      </c>
    </row>
    <row r="2265" customFormat="false" ht="17.15" hidden="false" customHeight="false" outlineLevel="0" collapsed="false">
      <c r="A2265" s="1" t="s">
        <v>911</v>
      </c>
      <c r="B2265" s="0" t="s">
        <v>98</v>
      </c>
      <c r="D2265" s="6" t="n">
        <f aca="false">Q!L27</f>
        <v>-4.901</v>
      </c>
      <c r="E2265" s="6" t="n">
        <f aca="false">Q!M27</f>
        <v>10.697</v>
      </c>
      <c r="F2265" s="6" t="n">
        <f aca="false">oie_f</f>
        <v>-0.4</v>
      </c>
      <c r="G2265" s="6" t="n">
        <f aca="false">oie_f</f>
        <v>-0.4</v>
      </c>
      <c r="H2265" s="6" t="n">
        <f aca="false">oie_f</f>
        <v>-0.4</v>
      </c>
      <c r="I2265" s="6" t="n">
        <f aca="false">oie_f</f>
        <v>-0.4</v>
      </c>
      <c r="J2265" s="6" t="n">
        <f aca="false">oie_f</f>
        <v>-0.4</v>
      </c>
      <c r="K2265" s="6" t="n">
        <f aca="false">oie_f</f>
        <v>-0.4</v>
      </c>
      <c r="L2265" s="11" t="s">
        <v>912</v>
      </c>
    </row>
    <row r="2266" customFormat="false" ht="15" hidden="false" customHeight="false" outlineLevel="0" collapsed="false">
      <c r="A2266" s="1" t="s">
        <v>913</v>
      </c>
      <c r="B2266" s="0" t="s">
        <v>98</v>
      </c>
      <c r="D2266" s="6" t="n">
        <f aca="false">Sens!D2258+Sens!D2265</f>
        <v>123.627</v>
      </c>
      <c r="E2266" s="6" t="n">
        <f aca="false">Sens!E2258+Sens!E2265</f>
        <v>165.934</v>
      </c>
      <c r="F2266" s="6" t="n">
        <f aca="false">Sens!F2258+Sens!F2265</f>
        <v>167.495979114897</v>
      </c>
      <c r="G2266" s="6" t="n">
        <f aca="false">Sens!G2258+Sens!G2265</f>
        <v>170.343390778202</v>
      </c>
      <c r="H2266" s="6" t="n">
        <f aca="false">Sens!H2258+Sens!H2265</f>
        <v>166.421295991288</v>
      </c>
      <c r="I2266" s="6" t="n">
        <f aca="false">Sens!I2258+Sens!I2265</f>
        <v>171.116187340524</v>
      </c>
      <c r="J2266" s="6" t="n">
        <f aca="false">Sens!J2258+Sens!J2265</f>
        <v>179.226231462845</v>
      </c>
      <c r="K2266" s="6" t="n">
        <f aca="false">Sens!K2258+Sens!K2265</f>
        <v>190.788371709597</v>
      </c>
    </row>
    <row r="2267" customFormat="false" ht="15" hidden="false" customHeight="false" outlineLevel="0" collapsed="false">
      <c r="A2267" s="1" t="s">
        <v>914</v>
      </c>
      <c r="B2267" s="0" t="s">
        <v>98</v>
      </c>
      <c r="D2267" s="6" t="n">
        <f aca="false">Q!L29</f>
        <v>21.795</v>
      </c>
      <c r="E2267" s="6" t="n">
        <f aca="false">Q!M29</f>
        <v>32.185</v>
      </c>
      <c r="F2267" s="6" t="n">
        <f aca="false">Sens!F2266*tax_f</f>
        <v>33.4991958229794</v>
      </c>
      <c r="G2267" s="6" t="n">
        <f aca="false">Sens!G2266*tax_f</f>
        <v>34.0686781556405</v>
      </c>
      <c r="H2267" s="6" t="n">
        <f aca="false">Sens!H2266*tax_f</f>
        <v>33.2842591982576</v>
      </c>
      <c r="I2267" s="6" t="n">
        <f aca="false">Sens!I2266*tax_f</f>
        <v>34.2232374681047</v>
      </c>
      <c r="J2267" s="6" t="n">
        <f aca="false">Sens!J2266*tax_f</f>
        <v>35.845246292569</v>
      </c>
      <c r="K2267" s="6" t="n">
        <f aca="false">Sens!K2266*tax_f</f>
        <v>38.1576743419194</v>
      </c>
    </row>
    <row r="2268" customFormat="false" ht="15" hidden="false" customHeight="false" outlineLevel="0" collapsed="false">
      <c r="A2268" s="1" t="s">
        <v>915</v>
      </c>
      <c r="B2268" s="0" t="s">
        <v>98</v>
      </c>
      <c r="D2268" s="6" t="n">
        <f aca="false">Sens!D2266-Sens!D2267</f>
        <v>101.832</v>
      </c>
      <c r="E2268" s="6" t="n">
        <f aca="false">Sens!E2266-Sens!E2267</f>
        <v>133.749</v>
      </c>
      <c r="F2268" s="6" t="n">
        <f aca="false">Sens!F2266-Sens!F2267</f>
        <v>133.996783291918</v>
      </c>
      <c r="G2268" s="6" t="n">
        <f aca="false">Sens!G2266-Sens!G2267</f>
        <v>136.274712622562</v>
      </c>
      <c r="H2268" s="6" t="n">
        <f aca="false">Sens!H2266-Sens!H2267</f>
        <v>133.13703679303</v>
      </c>
      <c r="I2268" s="6" t="n">
        <f aca="false">Sens!I2266-Sens!I2267</f>
        <v>136.892949872419</v>
      </c>
      <c r="J2268" s="6" t="n">
        <f aca="false">Sens!J2266-Sens!J2267</f>
        <v>143.380985170276</v>
      </c>
      <c r="K2268" s="6" t="n">
        <f aca="false">Sens!K2266-Sens!K2267</f>
        <v>152.630697367678</v>
      </c>
    </row>
    <row r="2269" customFormat="false" ht="17.15" hidden="false" customHeight="false" outlineLevel="0" collapsed="false">
      <c r="A2269" s="1" t="s">
        <v>916</v>
      </c>
      <c r="B2269" s="1" t="s">
        <v>81</v>
      </c>
      <c r="D2269" s="14" t="n">
        <f aca="false">Q!L31</f>
        <v>7.465</v>
      </c>
      <c r="E2269" s="14" t="n">
        <f aca="false">Q!M31</f>
        <v>7.453</v>
      </c>
      <c r="F2269" s="14" t="n">
        <f aca="false">Sens!F2310</f>
        <v>7.4735</v>
      </c>
      <c r="G2269" s="14" t="n">
        <f aca="false">Sens!G2310</f>
        <v>7.5185</v>
      </c>
      <c r="H2269" s="14" t="n">
        <f aca="false">Sens!H2310</f>
        <v>7.5635</v>
      </c>
      <c r="I2269" s="14" t="n">
        <f aca="false">Sens!I2310</f>
        <v>7.59252924615736</v>
      </c>
      <c r="J2269" s="14" t="n">
        <f aca="false">Sens!J2310</f>
        <v>7.60677075727524</v>
      </c>
      <c r="K2269" s="14" t="n">
        <f aca="false">Sens!K2310</f>
        <v>7.62329067497699</v>
      </c>
    </row>
    <row r="2270" customFormat="false" ht="17.15" hidden="false" customHeight="false" outlineLevel="0" collapsed="false">
      <c r="A2270" s="0" t="s">
        <v>917</v>
      </c>
      <c r="B2270" s="0" t="s">
        <v>75</v>
      </c>
      <c r="D2270" s="8" t="n">
        <f aca="false">Sens!D2268/Sens!D2269</f>
        <v>13.641259209645</v>
      </c>
      <c r="E2270" s="8" t="n">
        <f aca="false">Sens!E2268/Sens!E2269</f>
        <v>17.9456594659869</v>
      </c>
      <c r="F2270" s="8" t="n">
        <f aca="false">Sens!F2268/Sens!F2269</f>
        <v>17.9295889866753</v>
      </c>
      <c r="G2270" s="8" t="n">
        <f aca="false">Sens!G2268/Sens!G2269</f>
        <v>18.1252527262834</v>
      </c>
      <c r="H2270" s="8" t="n">
        <f aca="false">Sens!H2268/Sens!H2269</f>
        <v>17.6025698146401</v>
      </c>
      <c r="I2270" s="8" t="n">
        <f aca="false">Sens!I2268/Sens!I2269</f>
        <v>18.0299535812393</v>
      </c>
      <c r="J2270" s="8" t="n">
        <f aca="false">Sens!J2268/Sens!J2269</f>
        <v>18.8491266196163</v>
      </c>
      <c r="K2270" s="8" t="n">
        <f aca="false">Sens!K2268/Sens!K2269</f>
        <v>20.0216289625003</v>
      </c>
      <c r="L2270" s="1" t="s">
        <v>918</v>
      </c>
    </row>
    <row r="2271" customFormat="false" ht="17.15" hidden="false" customHeight="false" outlineLevel="0" collapsed="false">
      <c r="A2271" s="1" t="s">
        <v>919</v>
      </c>
      <c r="B2271" s="0" t="s">
        <v>98</v>
      </c>
      <c r="D2271" s="6" t="n">
        <f aca="false">Sens!D2268</f>
        <v>101.832</v>
      </c>
      <c r="E2271" s="6" t="n">
        <f aca="false">Sens!E2268</f>
        <v>133.749</v>
      </c>
      <c r="F2271" s="6" t="n">
        <f aca="false">Sens!F2268+Sens!F2261*(1-tax_f)</f>
        <v>161.174705939199</v>
      </c>
      <c r="G2271" s="6" t="n">
        <f aca="false">Sens!G2268+Sens!G2261*(1-tax_f)</f>
        <v>184.384586693983</v>
      </c>
      <c r="H2271" s="6" t="n">
        <f aca="false">Sens!H2268+Sens!H2261*(1-tax_f)</f>
        <v>203.801809600132</v>
      </c>
      <c r="I2271" s="6" t="n">
        <f aca="false">Sens!I2268+Sens!I2261*(1-tax_f)</f>
        <v>227.733536442321</v>
      </c>
      <c r="J2271" s="6" t="n">
        <f aca="false">Sens!J2268+Sens!J2261*(1-tax_f)</f>
        <v>248.303717800657</v>
      </c>
      <c r="K2271" s="6" t="n">
        <f aca="false">Sens!K2268+Sens!K2261*(1-tax_f)</f>
        <v>265.969822964022</v>
      </c>
    </row>
    <row r="2272" customFormat="false" ht="17.15" hidden="false" customHeight="false" outlineLevel="0" collapsed="false">
      <c r="A2272" s="0" t="s">
        <v>920</v>
      </c>
      <c r="B2272" s="0" t="s">
        <v>75</v>
      </c>
      <c r="D2272" s="8" t="n">
        <f aca="false">Sens!D2271/Sens!D2269</f>
        <v>13.641259209645</v>
      </c>
      <c r="E2272" s="8" t="n">
        <f aca="false">Sens!E2271/Sens!E2269</f>
        <v>17.9456594659869</v>
      </c>
      <c r="F2272" s="8" t="n">
        <f aca="false">Sens!F2271/Sens!F2269</f>
        <v>21.5661612282329</v>
      </c>
      <c r="G2272" s="8" t="n">
        <f aca="false">Sens!G2271/Sens!G2269</f>
        <v>24.5241187329897</v>
      </c>
      <c r="H2272" s="8" t="n">
        <f aca="false">Sens!H2271/Sens!H2269</f>
        <v>26.9454365836097</v>
      </c>
      <c r="I2272" s="8" t="n">
        <f aca="false">Sens!I2271/Sens!I2269</f>
        <v>29.9944233415471</v>
      </c>
      <c r="J2272" s="8" t="n">
        <f aca="false">Sens!J2271/Sens!J2269</f>
        <v>32.6424610026765</v>
      </c>
      <c r="K2272" s="8" t="n">
        <f aca="false">Sens!K2271/Sens!K2269</f>
        <v>34.8891094809033</v>
      </c>
      <c r="L2272" s="1" t="s">
        <v>921</v>
      </c>
    </row>
    <row r="2273" customFormat="false" ht="17.15" hidden="false" customHeight="false" outlineLevel="0" collapsed="false">
      <c r="A2273" s="0" t="s">
        <v>922</v>
      </c>
      <c r="B2273" s="0" t="s">
        <v>129</v>
      </c>
      <c r="E2273" s="7" t="n">
        <f aca="false">Sens!E2272/Sens!D2272-1</f>
        <v>0.315542736208578</v>
      </c>
      <c r="F2273" s="7" t="n">
        <f aca="false">Sens!F2272/Sens!E2272-1</f>
        <v>0.201748047716393</v>
      </c>
      <c r="G2273" s="7" t="n">
        <f aca="false">Sens!G2272/Sens!F2272-1</f>
        <v>0.137157349119898</v>
      </c>
      <c r="H2273" s="7" t="n">
        <f aca="false">Sens!H2272/Sens!G2272-1</f>
        <v>0.0987321043819147</v>
      </c>
      <c r="I2273" s="7" t="n">
        <f aca="false">Sens!I2272/Sens!H2272-1</f>
        <v>0.113154104906657</v>
      </c>
      <c r="J2273" s="7" t="n">
        <f aca="false">Sens!J2272/Sens!I2272-1</f>
        <v>0.0882843330900587</v>
      </c>
      <c r="K2273" s="7" t="n">
        <f aca="false">Sens!K2272/Sens!J2272-1</f>
        <v>0.0688259527381423</v>
      </c>
    </row>
    <row r="2274" customFormat="false" ht="17.15" hidden="false" customHeight="false" outlineLevel="0" collapsed="false">
      <c r="A2274" s="0" t="s">
        <v>846</v>
      </c>
      <c r="B2274" s="0" t="s">
        <v>98</v>
      </c>
      <c r="E2274" s="6" t="n">
        <f aca="false">Sens!E2215</f>
        <v>5.25</v>
      </c>
      <c r="F2274" s="6" t="n">
        <f aca="false">Sens!F2215</f>
        <v>10.5</v>
      </c>
      <c r="G2274" s="6" t="n">
        <f aca="false">Sens!G2215</f>
        <v>13.5</v>
      </c>
      <c r="H2274" s="6" t="n">
        <f aca="false">Sens!H2215</f>
        <v>16.5</v>
      </c>
      <c r="I2274" s="6" t="n">
        <f aca="false">Sens!I2215</f>
        <v>18.75</v>
      </c>
      <c r="J2274" s="6" t="n">
        <f aca="false">Sens!J2215</f>
        <v>20.25</v>
      </c>
      <c r="K2274" s="6" t="n">
        <f aca="false">Sens!K2215</f>
        <v>21.75</v>
      </c>
    </row>
    <row r="2275" customFormat="false" ht="17.15" hidden="false" customHeight="false" outlineLevel="0" collapsed="false">
      <c r="A2275" s="1" t="s">
        <v>847</v>
      </c>
      <c r="B2275" s="0" t="s">
        <v>98</v>
      </c>
      <c r="F2275" s="6" t="n">
        <f aca="false">MAX(0,(Sens!E2178+Sens!F2178)/2*Sens!F2186/1000-Sens!F2274*Sens!F2254)</f>
        <v>33.9724033091011</v>
      </c>
      <c r="G2275" s="6" t="n">
        <f aca="false">MAX(0,(Sens!F2178+Sens!G2178)/2*Sens!G2186/1000-Sens!G2274*Sens!G2254)</f>
        <v>60.1373425892761</v>
      </c>
      <c r="H2275" s="6" t="n">
        <f aca="false">MAX(0,(Sens!G2178+Sens!H2178)/2*Sens!H2186/1000-Sens!H2274*Sens!H2254)</f>
        <v>88.3309660088766</v>
      </c>
      <c r="I2275" s="6" t="n">
        <f aca="false">MAX(0,(Sens!H2178+Sens!I2178)/2*Sens!I2186/1000-Sens!I2274*Sens!I2254)</f>
        <v>113.550733212378</v>
      </c>
      <c r="J2275" s="6" t="n">
        <f aca="false">MAX(0,(Sens!I2178+Sens!J2178)/2*Sens!J2186/1000-Sens!J2274*Sens!J2254)</f>
        <v>131.153415787976</v>
      </c>
      <c r="K2275" s="6" t="n">
        <f aca="false">MAX(0,(Sens!J2178+Sens!K2178)/2*Sens!K2186/1000-Sens!K2274*Sens!K2254)</f>
        <v>141.67390699543</v>
      </c>
      <c r="L2275" s="1" t="s">
        <v>848</v>
      </c>
    </row>
    <row r="2276" customFormat="false" ht="17.15" hidden="false" customHeight="false" outlineLevel="0" collapsed="false">
      <c r="A2276" s="1" t="s">
        <v>849</v>
      </c>
      <c r="B2276" s="0" t="s">
        <v>98</v>
      </c>
      <c r="F2276" s="6" t="n">
        <f aca="false">IF(internal_ai_reading=2,1,0)*Sens!F2275</f>
        <v>33.9724033091011</v>
      </c>
      <c r="G2276" s="6" t="n">
        <f aca="false">IF(internal_ai_reading=2,1,0)*Sens!G2275</f>
        <v>60.1373425892761</v>
      </c>
      <c r="H2276" s="6" t="n">
        <f aca="false">IF(internal_ai_reading=2,1,0)*Sens!H2275</f>
        <v>88.3309660088766</v>
      </c>
      <c r="I2276" s="6" t="n">
        <f aca="false">IF(internal_ai_reading=2,1,0)*Sens!I2275</f>
        <v>113.550733212378</v>
      </c>
      <c r="J2276" s="6" t="n">
        <f aca="false">IF(internal_ai_reading=2,1,0)*Sens!J2275</f>
        <v>131.153415787976</v>
      </c>
      <c r="K2276" s="6" t="n">
        <f aca="false">IF(internal_ai_reading=2,1,0)*Sens!K2275</f>
        <v>141.67390699543</v>
      </c>
    </row>
    <row r="2277" customFormat="false" ht="17.15" hidden="false" customHeight="false" outlineLevel="0" collapsed="false">
      <c r="A2277" s="0" t="s">
        <v>850</v>
      </c>
      <c r="B2277" s="0" t="s">
        <v>98</v>
      </c>
      <c r="F2277" s="6" t="n">
        <f aca="false">Sens!F2195+Sens!F2274*Sens!F2254+Sens!F2276-Sens!F2196-Sens!F2206</f>
        <v>24.5790448945257</v>
      </c>
      <c r="G2277" s="6" t="n">
        <f aca="false">Sens!G2195+Sens!G2274*Sens!G2254+Sens!G2276-Sens!G2196-Sens!G2206</f>
        <v>33.2427985170087</v>
      </c>
      <c r="H2277" s="6" t="n">
        <f aca="false">Sens!H2195+Sens!H2274*Sens!H2254+Sens!H2276-Sens!H2196-Sens!H2206</f>
        <v>36.8385696897344</v>
      </c>
      <c r="I2277" s="6" t="n">
        <f aca="false">Sens!I2195+Sens!I2274*Sens!I2254+Sens!I2276-Sens!I2196-Sens!I2206</f>
        <v>46.4658194054687</v>
      </c>
      <c r="J2277" s="6" t="n">
        <f aca="false">Sens!J2195+Sens!J2274*Sens!J2254+Sens!J2276-Sens!J2196-Sens!J2206</f>
        <v>53.0749483689888</v>
      </c>
      <c r="K2277" s="6" t="n">
        <f aca="false">Sens!K2195+Sens!K2274*Sens!K2254+Sens!K2276-Sens!K2196-Sens!K2206</f>
        <v>58.0565573117626</v>
      </c>
    </row>
    <row r="2278" customFormat="false" ht="17.15" hidden="false" customHeight="false" outlineLevel="0" collapsed="false">
      <c r="A2278" s="0" t="s">
        <v>851</v>
      </c>
      <c r="B2278" s="0" t="s">
        <v>98</v>
      </c>
      <c r="E2278" s="6" t="n">
        <f aca="false">Sens!E2177*(cxit_open+self_build*tk_cxfac)/1000*ai_net_open</f>
        <v>152.03764584</v>
      </c>
      <c r="F2278" s="6" t="n">
        <f aca="false">Sens!E2278+Sens!F2203-Sens!F2206</f>
        <v>303.577232028613</v>
      </c>
      <c r="G2278" s="6" t="n">
        <f aca="false">Sens!F2278+Sens!G2203-Sens!G2206</f>
        <v>452.91572407584</v>
      </c>
      <c r="H2278" s="6" t="n">
        <f aca="false">Sens!G2278+Sens!H2203-Sens!H2206</f>
        <v>574.978843356347</v>
      </c>
      <c r="I2278" s="6" t="n">
        <f aca="false">Sens!H2278+Sens!I2203-Sens!I2206</f>
        <v>638.69995374257</v>
      </c>
      <c r="J2278" s="6" t="n">
        <f aca="false">Sens!I2278+Sens!J2203-Sens!J2206</f>
        <v>634.752028076874</v>
      </c>
      <c r="K2278" s="6" t="n">
        <f aca="false">Sens!J2278+Sens!K2203-Sens!K2206</f>
        <v>606.783730061623</v>
      </c>
      <c r="L2278" s="1" t="s">
        <v>852</v>
      </c>
    </row>
    <row r="2279" customFormat="false" ht="17.15" hidden="false" customHeight="false" outlineLevel="0" collapsed="false">
      <c r="A2279" s="0" t="s">
        <v>853</v>
      </c>
      <c r="B2279" s="0" t="s">
        <v>129</v>
      </c>
      <c r="F2279" s="7" t="n">
        <f aca="false">Sens!F2277*(1-tax_f)/((Sens!E2278+Sens!F2278)/2)</f>
        <v>0.0863151616453178</v>
      </c>
      <c r="G2279" s="7" t="n">
        <f aca="false">Sens!G2277*(1-tax_f)/((Sens!F2278+Sens!G2278)/2)</f>
        <v>0.0703092833819723</v>
      </c>
      <c r="H2279" s="7" t="n">
        <f aca="false">Sens!H2277*(1-tax_f)/((Sens!G2278+Sens!H2278)/2)</f>
        <v>0.0573421763000646</v>
      </c>
      <c r="I2279" s="7" t="n">
        <f aca="false">Sens!I2277*(1-tax_f)/((Sens!H2278+Sens!I2278)/2)</f>
        <v>0.0612561669747047</v>
      </c>
      <c r="J2279" s="7" t="n">
        <f aca="false">Sens!J2277*(1-tax_f)/((Sens!I2278+Sens!J2278)/2)</f>
        <v>0.0666848209455474</v>
      </c>
      <c r="K2279" s="7" t="n">
        <f aca="false">Sens!K2277*(1-tax_f)/((Sens!J2278+Sens!K2278)/2)</f>
        <v>0.0748190224002054</v>
      </c>
    </row>
    <row r="2280" customFormat="false" ht="17.15" hidden="false" customHeight="false" outlineLevel="0" collapsed="false">
      <c r="A2280" s="1" t="s">
        <v>854</v>
      </c>
      <c r="B2280" s="0" t="s">
        <v>129</v>
      </c>
      <c r="F2280" s="7" t="n">
        <f aca="false">(Sens!F2277-Sens!F2276)*(1-tax_f)/((Sens!E2278+Sens!F2278)/2)</f>
        <v>-0.0329870120432169</v>
      </c>
      <c r="G2280" s="7" t="n">
        <f aca="false">(Sens!G2277-Sens!G2276)*(1-tax_f)/((Sens!F2278+Sens!G2278)/2)</f>
        <v>-0.0568825792340706</v>
      </c>
      <c r="H2280" s="7" t="n">
        <f aca="false">(Sens!H2277-Sens!H2276)*(1-tax_f)/((Sens!G2278+Sens!H2278)/2)</f>
        <v>-0.08015202796182</v>
      </c>
      <c r="I2280" s="7" t="n">
        <f aca="false">(Sens!I2277-Sens!I2276)*(1-tax_f)/((Sens!H2278+Sens!I2278)/2)</f>
        <v>-0.0884384421542359</v>
      </c>
      <c r="J2280" s="7" t="n">
        <f aca="false">(Sens!J2277-Sens!J2276)*(1-tax_f)/((Sens!I2278+Sens!J2278)/2)</f>
        <v>-0.09809992811185</v>
      </c>
      <c r="K2280" s="7" t="n">
        <f aca="false">(Sens!K2277-Sens!K2276)*(1-tax_f)/((Sens!J2278+Sens!K2278)/2)</f>
        <v>-0.107759892227722</v>
      </c>
    </row>
    <row r="2281" customFormat="false" ht="17.15" hidden="false" customHeight="false" outlineLevel="0" collapsed="false">
      <c r="A2281" s="1" t="s">
        <v>855</v>
      </c>
      <c r="B2281" s="0" t="s">
        <v>129</v>
      </c>
      <c r="F2281" s="7" t="n">
        <f aca="false">(Sens!F2277-Sens!F2276+Sens!F2275)*(1-tax_f)/((Sens!E2278+Sens!F2278)/2)</f>
        <v>0.0863151616453178</v>
      </c>
      <c r="G2281" s="7" t="n">
        <f aca="false">(Sens!G2277-Sens!G2276+Sens!G2275)*(1-tax_f)/((Sens!F2278+Sens!G2278)/2)</f>
        <v>0.0703092833819723</v>
      </c>
      <c r="H2281" s="7" t="n">
        <f aca="false">(Sens!H2277-Sens!H2276+Sens!H2275)*(1-tax_f)/((Sens!G2278+Sens!H2278)/2)</f>
        <v>0.0573421763000646</v>
      </c>
      <c r="I2281" s="7" t="n">
        <f aca="false">(Sens!I2277-Sens!I2276+Sens!I2275)*(1-tax_f)/((Sens!H2278+Sens!I2278)/2)</f>
        <v>0.0612561669747047</v>
      </c>
      <c r="J2281" s="7" t="n">
        <f aca="false">(Sens!J2277-Sens!J2276+Sens!J2275)*(1-tax_f)/((Sens!I2278+Sens!J2278)/2)</f>
        <v>0.0666848209455474</v>
      </c>
      <c r="K2281" s="7" t="n">
        <f aca="false">(Sens!K2277-Sens!K2276+Sens!K2275)*(1-tax_f)/((Sens!J2278+Sens!K2278)/2)</f>
        <v>0.0748190224002054</v>
      </c>
    </row>
    <row r="2282" customFormat="false" ht="17.15" hidden="false" customHeight="false" outlineLevel="0" collapsed="false">
      <c r="A2282" s="1" t="s">
        <v>856</v>
      </c>
      <c r="B2282" s="0" t="s">
        <v>129</v>
      </c>
      <c r="F2282" s="7" t="n">
        <f aca="false">Sens!F2207*(1-tax_f)/(Sens!F2194*(Sens!E2278+Sens!F2278)/2)</f>
        <v>0.102735279953254</v>
      </c>
      <c r="G2282" s="7" t="n">
        <f aca="false">Sens!G2207*(1-tax_f)/(Sens!G2194*(Sens!F2278+Sens!G2278)/2)</f>
        <v>0.0709600152423963</v>
      </c>
      <c r="H2282" s="7" t="n">
        <f aca="false">Sens!H2207*(1-tax_f)/(Sens!H2194*(Sens!G2278+Sens!H2278)/2)</f>
        <v>0.0419126501774916</v>
      </c>
      <c r="I2282" s="7" t="n">
        <f aca="false">Sens!I2207*(1-tax_f)/(Sens!I2194*(Sens!H2278+Sens!I2278)/2)</f>
        <v>0.0445768112681731</v>
      </c>
      <c r="J2282" s="7" t="n">
        <f aca="false">Sens!J2207*(1-tax_f)/(Sens!J2194*(Sens!I2278+Sens!J2278)/2)</f>
        <v>0.0484129772638945</v>
      </c>
      <c r="K2282" s="7" t="n">
        <f aca="false">Sens!K2207*(1-tax_f)/(Sens!K2194*(Sens!J2278+Sens!K2278)/2)</f>
        <v>0.054702065186065</v>
      </c>
    </row>
    <row r="2283" customFormat="false" ht="17.15" hidden="false" customHeight="false" outlineLevel="0" collapsed="false">
      <c r="A2283" s="0" t="s">
        <v>857</v>
      </c>
      <c r="B2283" s="0" t="s">
        <v>209</v>
      </c>
      <c r="F2283" s="7" t="n">
        <f aca="false">Sens!F2279-wacc</f>
        <v>-0.016619258447558</v>
      </c>
      <c r="G2283" s="7" t="n">
        <f aca="false">Sens!G2279-wacc</f>
        <v>-0.0326251367109034</v>
      </c>
      <c r="H2283" s="7" t="n">
        <f aca="false">Sens!H2279-wacc</f>
        <v>-0.0455922437928111</v>
      </c>
      <c r="I2283" s="7" t="n">
        <f aca="false">Sens!I2279-wacc</f>
        <v>-0.041678253118171</v>
      </c>
      <c r="J2283" s="7" t="n">
        <f aca="false">Sens!J2279-wacc</f>
        <v>-0.0362495991473283</v>
      </c>
      <c r="K2283" s="7" t="n">
        <f aca="false">Sens!K2279-wacc</f>
        <v>-0.0281153976926704</v>
      </c>
    </row>
    <row r="2284" customFormat="false" ht="17.15" hidden="false" customHeight="false" outlineLevel="0" collapsed="false">
      <c r="A2284" s="0" t="s">
        <v>858</v>
      </c>
      <c r="B2284" s="0" t="s">
        <v>98</v>
      </c>
      <c r="F2284" s="6" t="n">
        <f aca="false">Sens!F2277*(1-tax_f)-wacc*(Sens!E2278+Sens!F2278)/2</f>
        <v>-3.78599070392552</v>
      </c>
      <c r="G2284" s="6" t="n">
        <f aca="false">Sens!G2277*(1-tax_f)-wacc*(Sens!F2278+Sens!G2278)/2</f>
        <v>-12.3403430568716</v>
      </c>
      <c r="H2284" s="6" t="n">
        <f aca="false">Sens!H2277*(1-tax_f)-wacc*(Sens!G2278+Sens!H2278)/2</f>
        <v>-23.4320098558372</v>
      </c>
      <c r="I2284" s="6" t="n">
        <f aca="false">Sens!I2277*(1-tax_f)-wacc*(Sens!H2278+Sens!I2278)/2</f>
        <v>-25.292006054823</v>
      </c>
      <c r="J2284" s="6" t="n">
        <f aca="false">Sens!J2277*(1-tax_f)-wacc*(Sens!I2278+Sens!J2278)/2</f>
        <v>-23.0810619371628</v>
      </c>
      <c r="K2284" s="6" t="n">
        <f aca="false">Sens!K2277*(1-tax_f)-wacc*(Sens!J2278+Sens!K2278)/2</f>
        <v>-17.4531357948674</v>
      </c>
    </row>
    <row r="2285" customFormat="false" ht="17.15" hidden="false" customHeight="false" outlineLevel="0" collapsed="false">
      <c r="A2285" s="3" t="s">
        <v>1292</v>
      </c>
    </row>
    <row r="2286" customFormat="false" ht="15" hidden="false" customHeight="false" outlineLevel="0" collapsed="false">
      <c r="A2286" s="4" t="s">
        <v>43</v>
      </c>
      <c r="B2286" s="4" t="s">
        <v>65</v>
      </c>
      <c r="C2286" s="20" t="s">
        <v>788</v>
      </c>
      <c r="D2286" s="20" t="s">
        <v>789</v>
      </c>
      <c r="E2286" s="20" t="s">
        <v>790</v>
      </c>
      <c r="F2286" s="20" t="s">
        <v>791</v>
      </c>
      <c r="G2286" s="20" t="s">
        <v>792</v>
      </c>
      <c r="H2286" s="20" t="s">
        <v>793</v>
      </c>
      <c r="I2286" s="20" t="s">
        <v>794</v>
      </c>
      <c r="J2286" s="20" t="s">
        <v>795</v>
      </c>
      <c r="K2286" s="20" t="s">
        <v>796</v>
      </c>
      <c r="L2286" s="4" t="s">
        <v>47</v>
      </c>
    </row>
    <row r="2287" customFormat="false" ht="15" hidden="false" customHeight="false" outlineLevel="0" collapsed="false">
      <c r="A2287" s="1" t="s">
        <v>915</v>
      </c>
      <c r="B2287" s="0" t="s">
        <v>98</v>
      </c>
      <c r="F2287" s="6" t="n">
        <f aca="false">Sens!F2268</f>
        <v>133.996783291918</v>
      </c>
      <c r="G2287" s="6" t="n">
        <f aca="false">Sens!G2268</f>
        <v>136.274712622562</v>
      </c>
      <c r="H2287" s="6" t="n">
        <f aca="false">Sens!H2268</f>
        <v>133.13703679303</v>
      </c>
      <c r="I2287" s="6" t="n">
        <f aca="false">Sens!I2268</f>
        <v>136.892949872419</v>
      </c>
      <c r="J2287" s="6" t="n">
        <f aca="false">Sens!J2268</f>
        <v>143.380985170276</v>
      </c>
      <c r="K2287" s="6" t="n">
        <f aca="false">Sens!K2268</f>
        <v>152.630697367678</v>
      </c>
    </row>
    <row r="2288" customFormat="false" ht="17.15" hidden="false" customHeight="false" outlineLevel="0" collapsed="false">
      <c r="A2288" s="1" t="s">
        <v>937</v>
      </c>
      <c r="B2288" s="0" t="s">
        <v>98</v>
      </c>
      <c r="E2288" s="6" t="n">
        <f aca="false">Q!M38-Sens!E2206</f>
        <v>18.9675128275</v>
      </c>
      <c r="F2288" s="6" t="n">
        <f aca="false">Sens!E2288*(1-1/life_nonai)+Sens!F2294/life_nonai</f>
        <v>20.6136962677062</v>
      </c>
      <c r="G2288" s="6" t="n">
        <f aca="false">Sens!F2288*(1-1/life_nonai)+Sens!G2294/life_nonai</f>
        <v>22.6226159979745</v>
      </c>
      <c r="H2288" s="6" t="n">
        <f aca="false">Sens!G2288*(1-1/life_nonai)+Sens!H2294/life_nonai</f>
        <v>24.9665057625861</v>
      </c>
      <c r="I2288" s="6" t="n">
        <f aca="false">Sens!H2288*(1-1/life_nonai)+Sens!I2294/life_nonai</f>
        <v>27.5921952174918</v>
      </c>
      <c r="J2288" s="6" t="n">
        <f aca="false">Sens!I2288*(1-1/life_nonai)+Sens!J2294/life_nonai</f>
        <v>30.42856702078</v>
      </c>
      <c r="K2288" s="6" t="n">
        <f aca="false">Sens!J2288*(1-1/life_nonai)+Sens!K2294/life_nonai</f>
        <v>33.3950805929014</v>
      </c>
      <c r="L2288" s="11" t="s">
        <v>938</v>
      </c>
    </row>
    <row r="2289" customFormat="false" ht="17.15" hidden="false" customHeight="false" outlineLevel="0" collapsed="false">
      <c r="A2289" s="1" t="s">
        <v>939</v>
      </c>
      <c r="B2289" s="0" t="s">
        <v>98</v>
      </c>
      <c r="E2289" s="6" t="n">
        <f aca="false">Sens!E2206+Sens!E2288</f>
        <v>38.534</v>
      </c>
      <c r="F2289" s="6" t="n">
        <f aca="false">Sens!F2206+Sens!F2288</f>
        <v>61.4735611248529</v>
      </c>
      <c r="G2289" s="6" t="n">
        <f aca="false">Sens!G2206+Sens!G2288</f>
        <v>93.5731405305879</v>
      </c>
      <c r="H2289" s="6" t="n">
        <f aca="false">Sens!H2206+Sens!H2288</f>
        <v>128.599729574559</v>
      </c>
      <c r="I2289" s="6" t="n">
        <f aca="false">Sens!I2206+Sens!I2288</f>
        <v>160.319087816363</v>
      </c>
      <c r="J2289" s="6" t="n">
        <f aca="false">Sens!J2206+Sens!J2288</f>
        <v>183.791464748185</v>
      </c>
      <c r="K2289" s="6" t="n">
        <f aca="false">Sens!K2206+Sens!K2288</f>
        <v>199.314701378476</v>
      </c>
    </row>
    <row r="2290" customFormat="false" ht="17.15" hidden="false" customHeight="false" outlineLevel="0" collapsed="false">
      <c r="A2290" s="1" t="s">
        <v>940</v>
      </c>
      <c r="B2290" s="0" t="s">
        <v>98</v>
      </c>
      <c r="F2290" s="6" t="n">
        <f aca="false">Sens!F2233*sbc_r</f>
        <v>14.7102349124428</v>
      </c>
      <c r="G2290" s="6" t="n">
        <f aca="false">Sens!G2233*sbc_r</f>
        <v>17.061233875013</v>
      </c>
      <c r="H2290" s="6" t="n">
        <f aca="false">Sens!H2233*sbc_r</f>
        <v>19.2644849659525</v>
      </c>
      <c r="I2290" s="6" t="n">
        <f aca="false">Sens!I2233*sbc_r</f>
        <v>21.5744080153289</v>
      </c>
      <c r="J2290" s="6" t="n">
        <f aca="false">Sens!J2233*sbc_r</f>
        <v>23.5181093264201</v>
      </c>
      <c r="K2290" s="6" t="n">
        <f aca="false">Sens!K2233*sbc_r</f>
        <v>25.1065659025522</v>
      </c>
    </row>
    <row r="2291" customFormat="false" ht="17.15" hidden="false" customHeight="false" outlineLevel="0" collapsed="false">
      <c r="A2291" s="1" t="s">
        <v>941</v>
      </c>
      <c r="B2291" s="0" t="s">
        <v>98</v>
      </c>
      <c r="F2291" s="6" t="n">
        <f aca="false">wc27</f>
        <v>-4.895</v>
      </c>
      <c r="G2291" s="6" t="n">
        <f aca="false">wc_f</f>
        <v>0</v>
      </c>
      <c r="H2291" s="6" t="n">
        <f aca="false">wc_f</f>
        <v>0</v>
      </c>
      <c r="I2291" s="6" t="n">
        <f aca="false">wc_f</f>
        <v>0</v>
      </c>
      <c r="J2291" s="6" t="n">
        <f aca="false">wc_f</f>
        <v>0</v>
      </c>
      <c r="K2291" s="6" t="n">
        <f aca="false">wc_f</f>
        <v>0</v>
      </c>
      <c r="L2291" s="11" t="s">
        <v>942</v>
      </c>
    </row>
    <row r="2292" customFormat="false" ht="15" hidden="false" customHeight="false" outlineLevel="0" collapsed="false">
      <c r="A2292" s="1" t="s">
        <v>756</v>
      </c>
      <c r="B2292" s="0" t="s">
        <v>98</v>
      </c>
      <c r="E2292" s="6" t="n">
        <f aca="false">Q!M35</f>
        <v>182.935</v>
      </c>
      <c r="F2292" s="6" t="n">
        <f aca="false">Sens!F2287+Sens!F2289+Sens!F2290+Sens!F2291</f>
        <v>205.285579329213</v>
      </c>
      <c r="G2292" s="6" t="n">
        <f aca="false">Sens!G2287+Sens!G2289+Sens!G2290+Sens!G2291</f>
        <v>246.909087028163</v>
      </c>
      <c r="H2292" s="6" t="n">
        <f aca="false">Sens!H2287+Sens!H2289+Sens!H2290+Sens!H2291</f>
        <v>281.001251333542</v>
      </c>
      <c r="I2292" s="6" t="n">
        <f aca="false">Sens!I2287+Sens!I2289+Sens!I2290+Sens!I2291</f>
        <v>318.786445704111</v>
      </c>
      <c r="J2292" s="6" t="n">
        <f aca="false">Sens!J2287+Sens!J2289+Sens!J2290+Sens!J2291</f>
        <v>350.690559244881</v>
      </c>
      <c r="K2292" s="6" t="n">
        <f aca="false">Sens!K2287+Sens!K2289+Sens!K2290+Sens!K2291</f>
        <v>377.051964648705</v>
      </c>
    </row>
    <row r="2293" customFormat="false" ht="17.15" hidden="false" customHeight="false" outlineLevel="0" collapsed="false">
      <c r="A2293" s="0" t="s">
        <v>943</v>
      </c>
      <c r="B2293" s="0" t="s">
        <v>98</v>
      </c>
      <c r="F2293" s="6" t="n">
        <f aca="false">Sens!F2203</f>
        <v>192.39945104576</v>
      </c>
      <c r="G2293" s="6" t="n">
        <f aca="false">Sens!G2203</f>
        <v>220.28901657984</v>
      </c>
      <c r="H2293" s="6" t="n">
        <f aca="false">Sens!H2203</f>
        <v>225.69634309248</v>
      </c>
      <c r="I2293" s="6" t="n">
        <f aca="false">Sens!I2203</f>
        <v>196.448002985094</v>
      </c>
      <c r="J2293" s="6" t="n">
        <f aca="false">Sens!J2203</f>
        <v>149.414972061709</v>
      </c>
      <c r="K2293" s="6" t="n">
        <f aca="false">Sens!K2203</f>
        <v>137.951322770323</v>
      </c>
    </row>
    <row r="2294" customFormat="false" ht="17.15" hidden="false" customHeight="false" outlineLevel="0" collapsed="false">
      <c r="A2294" s="1" t="s">
        <v>944</v>
      </c>
      <c r="B2294" s="0" t="s">
        <v>98</v>
      </c>
      <c r="E2294" s="6" t="n">
        <f aca="false">Sens!E2211*cx_azo+Sens!E2218*cx_m365+Sens!E2219*cx_lic+(Sens!E2221+Sens!E2223)*cx_ind+Sens!E2226*cx_srch+(Sens!E2228+Sens!E2230)*cx_dev</f>
        <v>30.1846587067718</v>
      </c>
      <c r="F2294" s="6" t="n">
        <f aca="false">Sens!F2211*cx_azo+Sens!F2218*cx_m365+Sens!F2219*cx_lic+(Sens!F2221+Sens!F2223)*cx_ind+Sens!F2226*cx_srch+(Sens!F2228+Sens!F2230)*cx_dev</f>
        <v>35.4293472295625</v>
      </c>
      <c r="G2294" s="6" t="n">
        <f aca="false">Sens!G2211*cx_azo+Sens!G2218*cx_m365+Sens!G2219*cx_lic+(Sens!G2221+Sens!G2223)*cx_ind+Sens!G2226*cx_srch+(Sens!G2228+Sens!G2230)*cx_dev</f>
        <v>40.7028935703892</v>
      </c>
      <c r="H2294" s="6" t="n">
        <f aca="false">Sens!H2211*cx_azo+Sens!H2218*cx_m365+Sens!H2219*cx_lic+(Sens!H2221+Sens!H2223)*cx_ind+Sens!H2226*cx_srch+(Sens!H2228+Sens!H2230)*cx_dev</f>
        <v>46.0615136440897</v>
      </c>
      <c r="I2294" s="6" t="n">
        <f aca="false">Sens!I2211*cx_azo+Sens!I2218*cx_m365+Sens!I2219*cx_lic+(Sens!I2221+Sens!I2223)*cx_ind+Sens!I2226*cx_srch+(Sens!I2228+Sens!I2230)*cx_dev</f>
        <v>51.2234003116439</v>
      </c>
      <c r="J2294" s="6" t="n">
        <f aca="false">Sens!J2211*cx_azo+Sens!J2218*cx_m365+Sens!J2219*cx_lic+(Sens!J2221+Sens!J2223)*cx_ind+Sens!J2226*cx_srch+(Sens!J2228+Sens!J2230)*cx_dev</f>
        <v>55.9559132503738</v>
      </c>
      <c r="K2294" s="6" t="n">
        <f aca="false">Sens!K2211*cx_azo+Sens!K2218*cx_m365+Sens!K2219*cx_lic+(Sens!K2221+Sens!K2223)*cx_ind+Sens!K2226*cx_srch+(Sens!K2228+Sens!K2230)*cx_dev</f>
        <v>60.093702741994</v>
      </c>
    </row>
    <row r="2295" customFormat="false" ht="17.15" hidden="false" customHeight="false" outlineLevel="0" collapsed="false">
      <c r="A2295" s="1" t="s">
        <v>945</v>
      </c>
      <c r="B2295" s="0" t="s">
        <v>98</v>
      </c>
      <c r="E2295" s="6" t="n">
        <f aca="false">Q!M42</f>
        <v>145.3</v>
      </c>
      <c r="F2295" s="6" t="n">
        <f aca="false">Sens!F2293+Sens!F2294</f>
        <v>227.828798275322</v>
      </c>
      <c r="G2295" s="6" t="n">
        <f aca="false">Sens!G2293+Sens!G2294</f>
        <v>260.991910150229</v>
      </c>
      <c r="H2295" s="6" t="n">
        <f aca="false">Sens!H2293+Sens!H2294</f>
        <v>271.75785673657</v>
      </c>
      <c r="I2295" s="6" t="n">
        <f aca="false">Sens!I2293+Sens!I2294</f>
        <v>247.671403296738</v>
      </c>
      <c r="J2295" s="6" t="n">
        <f aca="false">Sens!J2293+Sens!J2294</f>
        <v>205.370885312083</v>
      </c>
      <c r="K2295" s="6" t="n">
        <f aca="false">Sens!K2293+Sens!K2294</f>
        <v>198.045025512317</v>
      </c>
      <c r="L2295" s="1" t="s">
        <v>946</v>
      </c>
    </row>
    <row r="2296" customFormat="false" ht="15" hidden="false" customHeight="false" outlineLevel="0" collapsed="false">
      <c r="A2296" s="1" t="s">
        <v>947</v>
      </c>
      <c r="B2296" s="0" t="s">
        <v>98</v>
      </c>
      <c r="E2296" s="6" t="n">
        <f aca="false">fl_liab</f>
        <v>66.594</v>
      </c>
      <c r="F2296" s="6" t="n">
        <f aca="false">Sens!E2296-Sens!F2297</f>
        <v>62.46973</v>
      </c>
      <c r="G2296" s="6" t="n">
        <f aca="false">Sens!F2296-Sens!G2297</f>
        <v>57.98686785</v>
      </c>
      <c r="H2296" s="6" t="n">
        <f aca="false">Sens!G2296-Sens!H2297</f>
        <v>53.92827690325</v>
      </c>
      <c r="I2296" s="6" t="n">
        <f aca="false">Sens!H2296-Sens!I2297</f>
        <v>49.7850493638962</v>
      </c>
      <c r="J2296" s="6" t="n">
        <f aca="false">Sens!I2296-Sens!J2297</f>
        <v>45.4823765852716</v>
      </c>
      <c r="K2296" s="6" t="n">
        <f aca="false">Sens!J2296-Sens!K2297</f>
        <v>40.9860835316088</v>
      </c>
    </row>
    <row r="2297" customFormat="false" ht="15" hidden="false" customHeight="false" outlineLevel="0" collapsed="false">
      <c r="A2297" s="1" t="s">
        <v>948</v>
      </c>
      <c r="B2297" s="0" t="s">
        <v>98</v>
      </c>
      <c r="F2297" s="6" t="n">
        <f aca="false">fl_pay_27-Sens!E2296*fl_rate</f>
        <v>4.12427</v>
      </c>
      <c r="G2297" s="6" t="n">
        <f aca="false">fl_pay_28-Sens!F2296*fl_rate</f>
        <v>4.48286215</v>
      </c>
      <c r="H2297" s="6" t="n">
        <f aca="false">fl_pay_29-Sens!G2296*fl_rate</f>
        <v>4.05859094675</v>
      </c>
      <c r="I2297" s="6" t="n">
        <f aca="false">fl_pay_30-Sens!H2296*fl_rate</f>
        <v>4.14322753935375</v>
      </c>
      <c r="J2297" s="6" t="n">
        <f aca="false">fl_pay_31-Sens!I2296*fl_rate</f>
        <v>4.30267277862467</v>
      </c>
      <c r="K2297" s="6" t="n">
        <f aca="false">fl_pay_32-Sens!J2296*fl_rate</f>
        <v>4.49629305366278</v>
      </c>
    </row>
    <row r="2298" customFormat="false" ht="17.15" hidden="false" customHeight="false" outlineLevel="0" collapsed="false">
      <c r="A2298" s="1" t="s">
        <v>949</v>
      </c>
      <c r="B2298" s="0" t="s">
        <v>98</v>
      </c>
      <c r="E2298" s="6" t="n">
        <f aca="false">Q!M35-Q!M36-Q!M43</f>
        <v>63.886</v>
      </c>
      <c r="F2298" s="6" t="n">
        <f aca="false">Sens!F2292-Sens!F2295-Sens!F2297</f>
        <v>-26.667488946109</v>
      </c>
      <c r="G2298" s="6" t="n">
        <f aca="false">Sens!G2292-Sens!G2295-Sens!G2297</f>
        <v>-18.5656852720666</v>
      </c>
      <c r="H2298" s="6" t="n">
        <f aca="false">Sens!H2292-Sens!H2295-Sens!H2297</f>
        <v>5.18480365022268</v>
      </c>
      <c r="I2298" s="6" t="n">
        <f aca="false">Sens!I2292-Sens!I2295-Sens!I2297</f>
        <v>66.9718148680187</v>
      </c>
      <c r="J2298" s="6" t="n">
        <f aca="false">Sens!J2292-Sens!J2295-Sens!J2297</f>
        <v>141.017001154174</v>
      </c>
      <c r="K2298" s="6" t="n">
        <f aca="false">Sens!K2292-Sens!K2295-Sens!K2297</f>
        <v>174.510646082725</v>
      </c>
      <c r="L2298" s="11" t="s">
        <v>950</v>
      </c>
    </row>
    <row r="2299" customFormat="false" ht="15" hidden="false" customHeight="false" outlineLevel="0" collapsed="false">
      <c r="A2299" s="1" t="s">
        <v>951</v>
      </c>
      <c r="B2299" s="0" t="s">
        <v>75</v>
      </c>
      <c r="F2299" s="8" t="n">
        <f aca="false">dps_27</f>
        <v>3.85</v>
      </c>
      <c r="G2299" s="8" t="n">
        <f aca="false">Sens!F2299*(1+dps_g)</f>
        <v>4.158</v>
      </c>
      <c r="H2299" s="8" t="n">
        <f aca="false">Sens!G2299*(1+dps_g)</f>
        <v>4.49064</v>
      </c>
      <c r="I2299" s="8" t="n">
        <f aca="false">Sens!H2299*(1+dps_g)</f>
        <v>4.8498912</v>
      </c>
      <c r="J2299" s="8" t="n">
        <f aca="false">Sens!I2299*(1+dps_g)</f>
        <v>5.237882496</v>
      </c>
      <c r="K2299" s="8" t="n">
        <f aca="false">Sens!J2299*(1+dps_g)</f>
        <v>5.65691309568</v>
      </c>
    </row>
    <row r="2300" customFormat="false" ht="17.15" hidden="false" customHeight="false" outlineLevel="0" collapsed="false">
      <c r="A2300" s="1" t="s">
        <v>952</v>
      </c>
      <c r="B2300" s="0" t="s">
        <v>98</v>
      </c>
      <c r="E2300" s="6" t="n">
        <f aca="false">Q!M41</f>
        <v>26.445</v>
      </c>
      <c r="F2300" s="6" t="n">
        <f aca="false">Sens!F2299*Sens!E2309</f>
        <v>28.59395</v>
      </c>
      <c r="G2300" s="6" t="n">
        <f aca="false">Sens!G2299*Sens!F2309</f>
        <v>31.068576</v>
      </c>
      <c r="H2300" s="6" t="n">
        <f aca="false">Sens!H2299*Sens!G2309</f>
        <v>33.75614088</v>
      </c>
      <c r="I2300" s="6" t="n">
        <f aca="false">Sens!I2299*Sens!H2309</f>
        <v>36.6748772544</v>
      </c>
      <c r="J2300" s="6" t="n">
        <f aca="false">Sens!J2299*Sens!I2309</f>
        <v>39.6772662830715</v>
      </c>
      <c r="K2300" s="6" t="n">
        <f aca="false">Sens!K2299*Sens!J2309</f>
        <v>42.9387028110222</v>
      </c>
      <c r="L2300" s="1" t="s">
        <v>953</v>
      </c>
    </row>
    <row r="2301" customFormat="false" ht="15" hidden="false" customHeight="false" outlineLevel="0" collapsed="false">
      <c r="A2301" s="1" t="s">
        <v>954</v>
      </c>
      <c r="B2301" s="0" t="s">
        <v>98</v>
      </c>
      <c r="E2301" s="6" t="n">
        <f aca="false">Sens!E2298-Sens!E2300</f>
        <v>37.441</v>
      </c>
      <c r="F2301" s="6" t="n">
        <f aca="false">Sens!F2298-Sens!F2300</f>
        <v>-55.261438946109</v>
      </c>
      <c r="G2301" s="6" t="n">
        <f aca="false">Sens!G2298-Sens!G2300</f>
        <v>-49.6342612720666</v>
      </c>
      <c r="H2301" s="6" t="n">
        <f aca="false">Sens!H2298-Sens!H2300</f>
        <v>-28.5713372297773</v>
      </c>
      <c r="I2301" s="6" t="n">
        <f aca="false">Sens!I2298-Sens!I2300</f>
        <v>30.2969376136187</v>
      </c>
      <c r="J2301" s="6" t="n">
        <f aca="false">Sens!J2298-Sens!J2300</f>
        <v>101.339734871102</v>
      </c>
      <c r="K2301" s="6" t="n">
        <f aca="false">Sens!K2298-Sens!K2300</f>
        <v>131.571943271703</v>
      </c>
    </row>
    <row r="2302" customFormat="false" ht="15" hidden="false" customHeight="false" outlineLevel="0" collapsed="false">
      <c r="A2302" s="1" t="s">
        <v>955</v>
      </c>
      <c r="B2302" s="0" t="s">
        <v>98</v>
      </c>
      <c r="F2302" s="6" t="n">
        <f aca="false">debt_mat_27</f>
        <v>9.25</v>
      </c>
      <c r="G2302" s="6" t="n">
        <f aca="false">debt_mat_28</f>
        <v>0</v>
      </c>
      <c r="H2302" s="6" t="n">
        <f aca="false">debt_mat_29</f>
        <v>2.001</v>
      </c>
      <c r="I2302" s="6" t="n">
        <f aca="false">debt_mat_30</f>
        <v>0</v>
      </c>
      <c r="J2302" s="6" t="n">
        <f aca="false">debt_mat_31</f>
        <v>0.5</v>
      </c>
      <c r="K2302" s="6" t="n">
        <f aca="false">debt_mat_32</f>
        <v>0</v>
      </c>
    </row>
    <row r="2303" customFormat="false" ht="15" hidden="false" customHeight="false" outlineLevel="0" collapsed="false">
      <c r="A2303" s="1" t="s">
        <v>956</v>
      </c>
      <c r="B2303" s="0" t="s">
        <v>98</v>
      </c>
      <c r="E2303" s="6" t="n">
        <f aca="false">Q!M40</f>
        <v>22.271</v>
      </c>
      <c r="F2303" s="6" t="n">
        <f aca="false">MAX(0,MIN(bb_target,Sens!E2305+Sens!F2301-Sens!F2302-min_cash))</f>
        <v>0</v>
      </c>
      <c r="G2303" s="6" t="n">
        <f aca="false">MAX(0,MIN(bb_target,Sens!F2305+Sens!G2301-Sens!G2302-min_cash))</f>
        <v>0</v>
      </c>
      <c r="H2303" s="6" t="n">
        <f aca="false">MAX(0,MIN(bb_target,Sens!G2305+Sens!H2301-Sens!H2302-min_cash))</f>
        <v>0</v>
      </c>
      <c r="I2303" s="6" t="n">
        <f aca="false">MAX(0,MIN(bb_target,Sens!H2305+Sens!I2301-Sens!I2302-min_cash))</f>
        <v>22.271</v>
      </c>
      <c r="J2303" s="6" t="n">
        <f aca="false">MAX(0,MIN(bb_target,Sens!I2305+Sens!J2301-Sens!J2302-min_cash))</f>
        <v>22.271</v>
      </c>
      <c r="K2303" s="6" t="n">
        <f aca="false">MAX(0,MIN(bb_target,Sens!J2305+Sens!K2301-Sens!K2302-min_cash))</f>
        <v>22.271</v>
      </c>
    </row>
    <row r="2304" customFormat="false" ht="15" hidden="false" customHeight="false" outlineLevel="0" collapsed="false">
      <c r="A2304" s="1" t="s">
        <v>957</v>
      </c>
      <c r="B2304" s="0" t="s">
        <v>98</v>
      </c>
      <c r="F2304" s="6" t="n">
        <f aca="false">MAX(0,min_cash-(Sens!E2305+Sens!F2301-Sens!F2302-Sens!F2303))</f>
        <v>37.668438946109</v>
      </c>
      <c r="G2304" s="6" t="n">
        <f aca="false">MAX(0,min_cash-(Sens!F2305+Sens!G2301-Sens!G2302-Sens!G2303))</f>
        <v>49.6342612720666</v>
      </c>
      <c r="H2304" s="6" t="n">
        <f aca="false">MAX(0,min_cash-(Sens!G2305+Sens!H2301-Sens!H2302-Sens!H2303))</f>
        <v>30.5723372297773</v>
      </c>
      <c r="I2304" s="6" t="n">
        <f aca="false">MAX(0,min_cash-(Sens!H2305+Sens!I2301-Sens!I2302-Sens!I2303))</f>
        <v>0</v>
      </c>
      <c r="J2304" s="6" t="n">
        <f aca="false">MAX(0,min_cash-(Sens!I2305+Sens!J2301-Sens!J2302-Sens!J2303))</f>
        <v>0</v>
      </c>
      <c r="K2304" s="6" t="n">
        <f aca="false">MAX(0,min_cash-(Sens!J2305+Sens!K2301-Sens!K2302-Sens!K2303))</f>
        <v>0</v>
      </c>
    </row>
    <row r="2305" customFormat="false" ht="15" hidden="false" customHeight="false" outlineLevel="0" collapsed="false">
      <c r="A2305" s="1" t="s">
        <v>958</v>
      </c>
      <c r="B2305" s="0" t="s">
        <v>98</v>
      </c>
      <c r="E2305" s="6" t="n">
        <f aca="false">cash_open</f>
        <v>76.843</v>
      </c>
      <c r="F2305" s="6" t="n">
        <f aca="false">Sens!E2305+Sens!F2301-Sens!F2302-Sens!F2303+Sens!F2304</f>
        <v>50</v>
      </c>
      <c r="G2305" s="6" t="n">
        <f aca="false">Sens!F2305+Sens!G2301-Sens!G2302-Sens!G2303+Sens!G2304</f>
        <v>50</v>
      </c>
      <c r="H2305" s="6" t="n">
        <f aca="false">Sens!G2305+Sens!H2301-Sens!H2302-Sens!H2303+Sens!H2304</f>
        <v>50</v>
      </c>
      <c r="I2305" s="6" t="n">
        <f aca="false">Sens!H2305+Sens!I2301-Sens!I2302-Sens!I2303+Sens!I2304</f>
        <v>58.0259376136187</v>
      </c>
      <c r="J2305" s="6" t="n">
        <f aca="false">Sens!I2305+Sens!J2301-Sens!J2302-Sens!J2303+Sens!J2304</f>
        <v>136.594672484721</v>
      </c>
      <c r="K2305" s="6" t="n">
        <f aca="false">Sens!J2305+Sens!K2301-Sens!K2302-Sens!K2303+Sens!K2304</f>
        <v>245.895615756424</v>
      </c>
    </row>
    <row r="2306" customFormat="false" ht="15" hidden="false" customHeight="false" outlineLevel="0" collapsed="false">
      <c r="A2306" s="1" t="s">
        <v>959</v>
      </c>
      <c r="B2306" s="0" t="s">
        <v>98</v>
      </c>
      <c r="E2306" s="6" t="n">
        <f aca="false">debt_face</f>
        <v>46.136</v>
      </c>
      <c r="F2306" s="6" t="n">
        <f aca="false">Sens!E2306-Sens!F2302+Sens!F2304</f>
        <v>74.554438946109</v>
      </c>
      <c r="G2306" s="6" t="n">
        <f aca="false">Sens!F2306-Sens!G2302+Sens!G2304</f>
        <v>124.188700218176</v>
      </c>
      <c r="H2306" s="6" t="n">
        <f aca="false">Sens!G2306-Sens!H2302+Sens!H2304</f>
        <v>152.760037447953</v>
      </c>
      <c r="I2306" s="6" t="n">
        <f aca="false">Sens!H2306-Sens!I2302+Sens!I2304</f>
        <v>152.760037447953</v>
      </c>
      <c r="J2306" s="6" t="n">
        <f aca="false">Sens!I2306-Sens!J2302+Sens!J2304</f>
        <v>152.260037447953</v>
      </c>
      <c r="K2306" s="6" t="n">
        <f aca="false">Sens!J2306-Sens!K2302+Sens!K2304</f>
        <v>152.260037447953</v>
      </c>
    </row>
    <row r="2307" customFormat="false" ht="15" hidden="false" customHeight="false" outlineLevel="0" collapsed="false">
      <c r="A2307" s="1" t="s">
        <v>960</v>
      </c>
      <c r="B2307" s="0" t="s">
        <v>98</v>
      </c>
      <c r="E2307" s="6" t="n">
        <f aca="false">Sens!E2305-Sens!E2306</f>
        <v>30.707</v>
      </c>
      <c r="F2307" s="6" t="n">
        <f aca="false">Sens!F2305-Sens!F2306</f>
        <v>-24.554438946109</v>
      </c>
      <c r="G2307" s="6" t="n">
        <f aca="false">Sens!G2305-Sens!G2306</f>
        <v>-74.1887002181756</v>
      </c>
      <c r="H2307" s="6" t="n">
        <f aca="false">Sens!H2305-Sens!H2306</f>
        <v>-102.760037447953</v>
      </c>
      <c r="I2307" s="6" t="n">
        <f aca="false">Sens!I2305-Sens!I2306</f>
        <v>-94.7340998343342</v>
      </c>
      <c r="J2307" s="6" t="n">
        <f aca="false">Sens!J2305-Sens!J2306</f>
        <v>-15.6653649632322</v>
      </c>
      <c r="K2307" s="6" t="n">
        <f aca="false">Sens!K2305-Sens!K2306</f>
        <v>93.6355783084709</v>
      </c>
    </row>
    <row r="2308" customFormat="false" ht="15" hidden="false" customHeight="false" outlineLevel="0" collapsed="false">
      <c r="A2308" s="1" t="s">
        <v>961</v>
      </c>
      <c r="B2308" s="0" t="s">
        <v>75</v>
      </c>
      <c r="F2308" s="29" t="n">
        <f aca="false">px*(1+bb_g)^(Sens!F2172-base_fy-mid_yr)</f>
        <v>553.494156066711</v>
      </c>
      <c r="G2308" s="29" t="n">
        <f aca="false">px*(1+bb_g)^(Sens!G2172-base_fy-mid_yr)</f>
        <v>597.773688552047</v>
      </c>
      <c r="H2308" s="29" t="n">
        <f aca="false">px*(1+bb_g)^(Sens!H2172-base_fy-mid_yr)</f>
        <v>645.595583636211</v>
      </c>
      <c r="I2308" s="29" t="n">
        <f aca="false">px*(1+bb_g)^(Sens!I2172-base_fy-mid_yr)</f>
        <v>697.243230327108</v>
      </c>
      <c r="J2308" s="29" t="n">
        <f aca="false">px*(1+bb_g)^(Sens!J2172-base_fy-mid_yr)</f>
        <v>753.022688753277</v>
      </c>
      <c r="K2308" s="29" t="n">
        <f aca="false">px*(1+bb_g)^(Sens!K2172-base_fy-mid_yr)</f>
        <v>813.264503853539</v>
      </c>
    </row>
    <row r="2309" customFormat="false" ht="15" hidden="false" customHeight="false" outlineLevel="0" collapsed="false">
      <c r="A2309" s="1" t="s">
        <v>962</v>
      </c>
      <c r="B2309" s="1" t="s">
        <v>81</v>
      </c>
      <c r="E2309" s="14" t="n">
        <f aca="false">sh_out26</f>
        <v>7.427</v>
      </c>
      <c r="F2309" s="14" t="n">
        <f aca="false">Sens!E2309+sh_iss-Sens!F2303/Sens!F2308</f>
        <v>7.472</v>
      </c>
      <c r="G2309" s="14" t="n">
        <f aca="false">Sens!F2309+sh_iss-Sens!G2303/Sens!G2308</f>
        <v>7.517</v>
      </c>
      <c r="H2309" s="14" t="n">
        <f aca="false">Sens!G2309+sh_iss-Sens!H2303/Sens!H2308</f>
        <v>7.562</v>
      </c>
      <c r="I2309" s="14" t="n">
        <f aca="false">Sens!H2309+sh_iss-Sens!I2303/Sens!I2308</f>
        <v>7.57505849231472</v>
      </c>
      <c r="J2309" s="14" t="n">
        <f aca="false">Sens!I2309+sh_iss-Sens!J2303/Sens!J2308</f>
        <v>7.59048302223576</v>
      </c>
      <c r="K2309" s="14" t="n">
        <f aca="false">Sens!J2309+sh_iss-Sens!K2303/Sens!K2308</f>
        <v>7.60809832771821</v>
      </c>
    </row>
    <row r="2310" customFormat="false" ht="15" hidden="false" customHeight="false" outlineLevel="0" collapsed="false">
      <c r="A2310" s="1" t="s">
        <v>963</v>
      </c>
      <c r="B2310" s="1" t="s">
        <v>81</v>
      </c>
      <c r="E2310" s="14" t="n">
        <f aca="false">sh_dil26</f>
        <v>7.453</v>
      </c>
      <c r="F2310" s="14" t="n">
        <f aca="false">(Sens!E2309+Sens!F2309)/2+dil_gap</f>
        <v>7.4735</v>
      </c>
      <c r="G2310" s="14" t="n">
        <f aca="false">(Sens!F2309+Sens!G2309)/2+dil_gap</f>
        <v>7.5185</v>
      </c>
      <c r="H2310" s="14" t="n">
        <f aca="false">(Sens!G2309+Sens!H2309)/2+dil_gap</f>
        <v>7.5635</v>
      </c>
      <c r="I2310" s="14" t="n">
        <f aca="false">(Sens!H2309+Sens!I2309)/2+dil_gap</f>
        <v>7.59252924615736</v>
      </c>
      <c r="J2310" s="14" t="n">
        <f aca="false">(Sens!I2309+Sens!J2309)/2+dil_gap</f>
        <v>7.60677075727524</v>
      </c>
      <c r="K2310" s="14" t="n">
        <f aca="false">(Sens!J2309+Sens!K2309)/2+dil_gap</f>
        <v>7.62329067497699</v>
      </c>
    </row>
    <row r="2311" customFormat="false" ht="17.15" hidden="false" customHeight="false" outlineLevel="0" collapsed="false">
      <c r="A2311" s="1" t="s">
        <v>964</v>
      </c>
      <c r="B2311" s="0" t="s">
        <v>98</v>
      </c>
      <c r="C2311" s="6" t="n">
        <f aca="false">SUM(Sens!F2301:J2301)</f>
        <v>-1.83036496323214</v>
      </c>
    </row>
    <row r="2312" customFormat="false" ht="15" hidden="false" customHeight="false" outlineLevel="0" collapsed="false">
      <c r="A2312" s="23" t="s">
        <v>935</v>
      </c>
      <c r="B2312" s="30" t="s">
        <v>98</v>
      </c>
      <c r="C2312" s="24" t="n">
        <f aca="false">Sens!$C$2311-(Sens!F2301+Sens!G2301+Sens!H2301+Sens!I2301+Sens!J2301)</f>
        <v>0</v>
      </c>
      <c r="D2312" s="30"/>
      <c r="E2312" s="30"/>
      <c r="F2312" s="30"/>
      <c r="G2312" s="30"/>
      <c r="H2312" s="30"/>
      <c r="I2312" s="30"/>
      <c r="J2312" s="30"/>
      <c r="K2312" s="30"/>
    </row>
    <row r="2313" customFormat="false" ht="17.15" hidden="false" customHeight="false" outlineLevel="0" collapsed="false">
      <c r="A2313" s="1" t="s">
        <v>929</v>
      </c>
      <c r="B2313" s="1" t="s">
        <v>965</v>
      </c>
      <c r="C2313" s="32" t="str">
        <f aca="false">IF(SUM(Sens!F2304:J2304)&gt;0.05,"需要舉債 "&amp;TEXT(SUM(Sens!F2304:J2304),"0.0")&amp;" 十億美元","不需舉債")&amp;"；"&amp;IF(SUM(Sens!F2303:J2303)&lt;COUNT(Sens!F2303:J2303)*bb_target-0.05,"回購較每年 "&amp;TEXT(bb_target,"0.0")&amp;" 的目標少 "&amp;TEXT(COUNT(Sens!F2303:J2303)*bb_target-SUM(Sens!F2303:J2303),"0.0")&amp;" 十億美元（"&amp;TEXT(COUNTIF(Sens!F2303:J2303,"&lt;"&amp;(bb_target-0.05)),"0")&amp;" 年減少）","回購不減")</f>
        <v>需要舉債 117.9 十億美元；回購較每年 22.3 的目標少 66.8 十億美元（3 年減少）</v>
      </c>
    </row>
    <row r="2314" customFormat="false" ht="17.15" hidden="false" customHeight="false" outlineLevel="0" collapsed="false">
      <c r="A2314" s="3" t="s">
        <v>1293</v>
      </c>
    </row>
    <row r="2315" customFormat="false" ht="15" hidden="false" customHeight="false" outlineLevel="0" collapsed="false">
      <c r="A2315" s="4" t="s">
        <v>43</v>
      </c>
      <c r="B2315" s="4" t="s">
        <v>65</v>
      </c>
      <c r="C2315" s="20" t="s">
        <v>788</v>
      </c>
      <c r="D2315" s="20" t="s">
        <v>789</v>
      </c>
      <c r="E2315" s="20" t="s">
        <v>790</v>
      </c>
      <c r="F2315" s="20" t="s">
        <v>791</v>
      </c>
      <c r="G2315" s="20" t="s">
        <v>792</v>
      </c>
      <c r="H2315" s="20" t="s">
        <v>793</v>
      </c>
      <c r="I2315" s="20" t="s">
        <v>794</v>
      </c>
      <c r="J2315" s="20" t="s">
        <v>795</v>
      </c>
      <c r="K2315" s="20" t="s">
        <v>796</v>
      </c>
      <c r="L2315" s="4" t="s">
        <v>47</v>
      </c>
    </row>
    <row r="2316" customFormat="false" ht="15" hidden="false" customHeight="false" outlineLevel="0" collapsed="false">
      <c r="A2316" s="1" t="s">
        <v>1042</v>
      </c>
      <c r="B2316" s="1" t="s">
        <v>235</v>
      </c>
      <c r="F2316" s="36" t="n">
        <f aca="false">Sens!F2172-base_fy-mid_yr</f>
        <v>0.5</v>
      </c>
      <c r="G2316" s="36" t="n">
        <f aca="false">Sens!G2172-base_fy-mid_yr</f>
        <v>1.5</v>
      </c>
      <c r="H2316" s="36" t="n">
        <f aca="false">Sens!H2172-base_fy-mid_yr</f>
        <v>2.5</v>
      </c>
      <c r="I2316" s="36" t="n">
        <f aca="false">Sens!I2172-base_fy-mid_yr</f>
        <v>3.5</v>
      </c>
      <c r="J2316" s="36" t="n">
        <f aca="false">Sens!J2172-base_fy-mid_yr</f>
        <v>4.5</v>
      </c>
      <c r="K2316" s="36" t="n">
        <f aca="false">Sens!K2172-base_fy-mid_yr</f>
        <v>5.5</v>
      </c>
    </row>
    <row r="2317" customFormat="false" ht="15" hidden="false" customHeight="false" outlineLevel="0" collapsed="false">
      <c r="A2317" s="1" t="s">
        <v>1043</v>
      </c>
      <c r="B2317" s="0" t="s">
        <v>185</v>
      </c>
      <c r="F2317" s="14" t="n">
        <f aca="false">1/(1+wacc)^Sens!F2316</f>
        <v>0.952193373608246</v>
      </c>
      <c r="G2317" s="14" t="n">
        <f aca="false">1/(1+wacc)^Sens!G2316</f>
        <v>0.863327280626589</v>
      </c>
      <c r="H2317" s="14" t="n">
        <f aca="false">1/(1+wacc)^Sens!H2316</f>
        <v>0.782754862754115</v>
      </c>
      <c r="I2317" s="14" t="n">
        <f aca="false">1/(1+wacc)^Sens!I2316</f>
        <v>0.709702089711011</v>
      </c>
      <c r="J2317" s="14" t="n">
        <f aca="false">1/(1+wacc)^Sens!J2316</f>
        <v>0.643467169744551</v>
      </c>
      <c r="K2317" s="14" t="n">
        <f aca="false">1/(1+wacc)^Sens!K2316</f>
        <v>0.583413807767797</v>
      </c>
    </row>
    <row r="2318" customFormat="false" ht="17.15" hidden="false" customHeight="false" outlineLevel="0" collapsed="false">
      <c r="A2318" s="1" t="s">
        <v>1044</v>
      </c>
      <c r="B2318" s="0" t="s">
        <v>98</v>
      </c>
      <c r="F2318" s="6" t="n">
        <f aca="false">Sens!F2292-Sens!F2290-Sens!F2295+Sens!F2276*(1-tax_f)</f>
        <v>-10.0755312112709</v>
      </c>
      <c r="G2318" s="6" t="n">
        <f aca="false">Sens!G2292-Sens!G2290-Sens!G2295+Sens!G2276*(1-tax_f)</f>
        <v>16.9658170743414</v>
      </c>
      <c r="H2318" s="6" t="n">
        <f aca="false">Sens!H2292-Sens!H2290-Sens!H2295+Sens!H2276*(1-tax_f)</f>
        <v>60.6436824381215</v>
      </c>
      <c r="I2318" s="6" t="n">
        <f aca="false">Sens!I2292-Sens!I2290-Sens!I2295+Sens!I2276*(1-tax_f)</f>
        <v>140.381220961946</v>
      </c>
      <c r="J2318" s="6" t="n">
        <f aca="false">Sens!J2292-Sens!J2290-Sens!J2295+Sens!J2276*(1-tax_f)</f>
        <v>226.724297236759</v>
      </c>
      <c r="K2318" s="6" t="n">
        <f aca="false">Sens!K2292-Sens!K2290-Sens!K2295+Sens!K2276*(1-tax_f)</f>
        <v>267.23949883018</v>
      </c>
      <c r="L2318" s="1" t="s">
        <v>1045</v>
      </c>
    </row>
    <row r="2319" customFormat="false" ht="15" hidden="false" customHeight="false" outlineLevel="0" collapsed="false">
      <c r="A2319" s="1" t="s">
        <v>1046</v>
      </c>
      <c r="B2319" s="0" t="s">
        <v>98</v>
      </c>
      <c r="F2319" s="6" t="n">
        <f aca="false">Sens!F2318*Sens!F2317</f>
        <v>-9.59385405495519</v>
      </c>
      <c r="G2319" s="6" t="n">
        <f aca="false">Sens!G2318*Sens!G2317</f>
        <v>14.6470527183993</v>
      </c>
      <c r="H2319" s="6" t="n">
        <f aca="false">Sens!H2318*Sens!H2317</f>
        <v>47.469137323756</v>
      </c>
      <c r="I2319" s="6" t="n">
        <f aca="false">Sens!I2318*Sens!I2317</f>
        <v>99.6288458728763</v>
      </c>
      <c r="J2319" s="6" t="n">
        <f aca="false">Sens!J2318*Sens!J2317</f>
        <v>145.88964185526</v>
      </c>
      <c r="K2319" s="6" t="n">
        <f aca="false">Sens!K2318*Sens!K2317</f>
        <v>155.911213598473</v>
      </c>
    </row>
    <row r="2320" customFormat="false" ht="17.15" hidden="false" customHeight="false" outlineLevel="0" collapsed="false">
      <c r="A2320" s="1" t="s">
        <v>1047</v>
      </c>
      <c r="B2320" s="0" t="s">
        <v>98</v>
      </c>
      <c r="C2320" s="6" t="n">
        <f aca="false">SUM(Sens!F2319:K2319)</f>
        <v>453.952037313809</v>
      </c>
    </row>
    <row r="2321" customFormat="false" ht="17.15" hidden="false" customHeight="false" outlineLevel="0" collapsed="false">
      <c r="A2321" s="1" t="s">
        <v>1048</v>
      </c>
      <c r="B2321" s="0" t="s">
        <v>98</v>
      </c>
      <c r="C2321" s="6" t="n">
        <f aca="false">Sens!K2262*(1+g_tv)*(1-tax_f)</f>
        <v>274.278517652942</v>
      </c>
    </row>
    <row r="2322" customFormat="false" ht="17.15" hidden="false" customHeight="false" outlineLevel="0" collapsed="false">
      <c r="A2322" s="1" t="s">
        <v>1049</v>
      </c>
      <c r="B2322" s="0" t="s">
        <v>98</v>
      </c>
      <c r="C2322" s="6" t="n">
        <f aca="false">Sens!$C$2321*(1-g_tv/(wacc+ronic_prem))</f>
        <v>194.340674488683</v>
      </c>
    </row>
    <row r="2323" customFormat="false" ht="17.15" hidden="false" customHeight="false" outlineLevel="0" collapsed="false">
      <c r="A2323" s="1" t="s">
        <v>1050</v>
      </c>
      <c r="B2323" s="0" t="s">
        <v>98</v>
      </c>
      <c r="C2323" s="6" t="n">
        <f aca="false">Sens!$C$2322/(wacc-g_tv)</f>
        <v>2664.59477214197</v>
      </c>
    </row>
    <row r="2324" customFormat="false" ht="15" hidden="false" customHeight="false" outlineLevel="0" collapsed="false">
      <c r="A2324" s="1" t="s">
        <v>1051</v>
      </c>
      <c r="B2324" s="0" t="s">
        <v>98</v>
      </c>
      <c r="C2324" s="6" t="n">
        <f aca="false">Sens!$C$2323/(1+wacc)^(Sens!K2316+mid_yr)</f>
        <v>1480.2430469729</v>
      </c>
    </row>
    <row r="2325" customFormat="false" ht="17.15" hidden="false" customHeight="false" outlineLevel="0" collapsed="false">
      <c r="A2325" s="0" t="s">
        <v>972</v>
      </c>
      <c r="B2325" s="0" t="s">
        <v>98</v>
      </c>
      <c r="C2325" s="6" t="n">
        <f aca="false">Sens!$C$2320+Sens!$C$2324</f>
        <v>1934.1950842867</v>
      </c>
    </row>
    <row r="2326" customFormat="false" ht="15" hidden="false" customHeight="false" outlineLevel="0" collapsed="false">
      <c r="A2326" s="1" t="s">
        <v>973</v>
      </c>
      <c r="B2326" s="0" t="s">
        <v>129</v>
      </c>
      <c r="C2326" s="7" t="n">
        <f aca="false">Sens!$C$2324/Sens!$C$2325</f>
        <v>0.765301834855392</v>
      </c>
    </row>
    <row r="2327" customFormat="false" ht="17.15" hidden="false" customHeight="false" outlineLevel="0" collapsed="false">
      <c r="A2327" s="1" t="s">
        <v>1052</v>
      </c>
      <c r="B2327" s="0" t="s">
        <v>98</v>
      </c>
      <c r="C2327" s="6" t="n">
        <f aca="false">Sens!$C$2325+Sens!E2307-Sens!E2296+oai_v</f>
        <v>2068.7080842867</v>
      </c>
    </row>
    <row r="2328" customFormat="false" ht="17.15" hidden="false" customHeight="false" outlineLevel="0" collapsed="false">
      <c r="A2328" s="0" t="s">
        <v>980</v>
      </c>
      <c r="B2328" s="0" t="s">
        <v>75</v>
      </c>
      <c r="C2328" s="5" t="n">
        <f aca="false">Sens!$C$2327/sh_dil26</f>
        <v>277.567165475205</v>
      </c>
    </row>
    <row r="2329" customFormat="false" ht="15" hidden="false" customHeight="false" outlineLevel="0" collapsed="false">
      <c r="A2329" s="1" t="s">
        <v>1053</v>
      </c>
      <c r="B2329" s="0" t="s">
        <v>75</v>
      </c>
      <c r="C2329" s="8" t="n">
        <f aca="false">dps_27+Sens!G2299*roll_div_q/q_per_yr</f>
        <v>4.8895</v>
      </c>
    </row>
    <row r="2330" customFormat="false" ht="17.15" hidden="false" customHeight="false" outlineLevel="0" collapsed="false">
      <c r="A2330" s="0" t="s">
        <v>1054</v>
      </c>
      <c r="B2330" s="0" t="s">
        <v>75</v>
      </c>
      <c r="C2330" s="5" t="n">
        <f aca="false">Sens!$C$2328*(1+wacc)^t_roll-Sens!$C$2329</f>
        <v>311.185499162633</v>
      </c>
    </row>
    <row r="2331" customFormat="false" ht="17.15" hidden="false" customHeight="false" outlineLevel="0" collapsed="false">
      <c r="A2331" s="1" t="s">
        <v>1055</v>
      </c>
      <c r="B2331" s="0" t="s">
        <v>129</v>
      </c>
      <c r="F2331" s="7" t="n">
        <f aca="false">Sens!F2288/(Sens!F2233-Sens!F2189)</f>
        <v>0.0601257437584986</v>
      </c>
      <c r="G2331" s="7" t="n">
        <f aca="false">Sens!G2288/(Sens!G2233-Sens!G2189)</f>
        <v>0.0593384850005896</v>
      </c>
      <c r="H2331" s="7" t="n">
        <f aca="false">Sens!H2288/(Sens!H2233-Sens!H2189)</f>
        <v>0.0593822090734172</v>
      </c>
      <c r="I2331" s="7" t="n">
        <f aca="false">Sens!I2288/(Sens!I2233-Sens!I2189)</f>
        <v>0.0601899850699919</v>
      </c>
      <c r="J2331" s="7" t="n">
        <f aca="false">Sens!J2288/(Sens!J2233-Sens!J2189)</f>
        <v>0.0616194686535238</v>
      </c>
      <c r="K2331" s="7" t="n">
        <f aca="false">Sens!K2288/(Sens!K2233-Sens!K2189)</f>
        <v>0.0634928642679492</v>
      </c>
    </row>
    <row r="2332" customFormat="false" ht="17.15" hidden="false" customHeight="false" outlineLevel="0" collapsed="false">
      <c r="A2332" s="0" t="s">
        <v>1056</v>
      </c>
      <c r="B2332" s="0" t="s">
        <v>98</v>
      </c>
      <c r="F2332" s="6" t="n">
        <f aca="false">Sens!F2218*(al_m365+Sens!F2331+sbc_r)</f>
        <v>81.8821683333124</v>
      </c>
      <c r="G2332" s="6" t="n">
        <f aca="false">Sens!G2218*(al_m365+Sens!G2331+sbc_r)</f>
        <v>92.3463150141624</v>
      </c>
      <c r="H2332" s="6" t="n">
        <f aca="false">Sens!H2218*(al_m365+Sens!H2331+sbc_r)</f>
        <v>102.966061550763</v>
      </c>
      <c r="I2332" s="6" t="n">
        <f aca="false">Sens!I2218*(al_m365+Sens!I2331+sbc_r)</f>
        <v>113.065372213196</v>
      </c>
      <c r="J2332" s="6" t="n">
        <f aca="false">Sens!J2218*(al_m365+Sens!J2331+sbc_r)</f>
        <v>122.453069210209</v>
      </c>
      <c r="K2332" s="6" t="n">
        <f aca="false">Sens!K2218*(al_m365+Sens!K2331+sbc_r)</f>
        <v>131.433765842201</v>
      </c>
      <c r="L2332" s="11" t="s">
        <v>1057</v>
      </c>
    </row>
    <row r="2333" customFormat="false" ht="17.15" hidden="false" customHeight="false" outlineLevel="0" collapsed="false">
      <c r="A2333" s="0" t="s">
        <v>1058</v>
      </c>
      <c r="B2333" s="0" t="s">
        <v>98</v>
      </c>
      <c r="F2333" s="6" t="n">
        <f aca="false">Sens!F2219*(al_lic+Sens!F2331+sbc_r)</f>
        <v>33.1139161758524</v>
      </c>
      <c r="G2333" s="6" t="n">
        <f aca="false">Sens!G2219*(al_lic+Sens!G2331+sbc_r)</f>
        <v>34.4840390078308</v>
      </c>
      <c r="H2333" s="6" t="n">
        <f aca="false">Sens!H2219*(al_lic+Sens!H2331+sbc_r)</f>
        <v>35.7534569280583</v>
      </c>
      <c r="I2333" s="6" t="n">
        <f aca="false">Sens!I2219*(al_lic+Sens!I2331+sbc_r)</f>
        <v>36.9031392251661</v>
      </c>
      <c r="J2333" s="6" t="n">
        <f aca="false">Sens!J2219*(al_lic+Sens!J2331+sbc_r)</f>
        <v>37.9111774846913</v>
      </c>
      <c r="K2333" s="6" t="n">
        <f aca="false">Sens!K2219*(al_lic+Sens!K2331+sbc_r)</f>
        <v>38.7547283735851</v>
      </c>
    </row>
    <row r="2334" customFormat="false" ht="17.15" hidden="false" customHeight="false" outlineLevel="0" collapsed="false">
      <c r="A2334" s="0" t="s">
        <v>1059</v>
      </c>
      <c r="B2334" s="0" t="s">
        <v>98</v>
      </c>
      <c r="F2334" s="6" t="n">
        <f aca="false">Sens!F2221*(al_ind+Sens!F2331+sbc_r)</f>
        <v>8.88718131312939</v>
      </c>
      <c r="G2334" s="6" t="n">
        <f aca="false">Sens!G2221*(al_ind+Sens!G2331+sbc_r)</f>
        <v>9.6955505383508</v>
      </c>
      <c r="H2334" s="6" t="n">
        <f aca="false">Sens!H2221*(al_ind+Sens!H2331+sbc_r)</f>
        <v>10.5435503812507</v>
      </c>
      <c r="I2334" s="6" t="n">
        <f aca="false">Sens!I2221*(al_ind+Sens!I2331+sbc_r)</f>
        <v>11.4267195090924</v>
      </c>
      <c r="J2334" s="6" t="n">
        <f aca="false">Sens!J2221*(al_ind+Sens!J2331+sbc_r)</f>
        <v>12.3368460937642</v>
      </c>
      <c r="K2334" s="6" t="n">
        <f aca="false">Sens!K2221*(al_ind+Sens!K2331+sbc_r)</f>
        <v>13.2624039958933</v>
      </c>
    </row>
    <row r="2335" customFormat="false" ht="17.15" hidden="false" customHeight="false" outlineLevel="0" collapsed="false">
      <c r="A2335" s="0" t="s">
        <v>1060</v>
      </c>
      <c r="B2335" s="0" t="s">
        <v>98</v>
      </c>
      <c r="F2335" s="6" t="n">
        <f aca="false">Sens!F2223*(al_fro+Sens!F2331+sbc_r)</f>
        <v>3.49802576597217</v>
      </c>
      <c r="G2335" s="6" t="n">
        <f aca="false">Sens!G2223*(al_fro+Sens!G2331+sbc_r)</f>
        <v>3.72251818955418</v>
      </c>
      <c r="H2335" s="6" t="n">
        <f aca="false">Sens!H2223*(al_fro+Sens!H2331+sbc_r)</f>
        <v>3.97317066359344</v>
      </c>
      <c r="I2335" s="6" t="n">
        <f aca="false">Sens!I2223*(al_fro+Sens!I2331+sbc_r)</f>
        <v>4.25255993945567</v>
      </c>
      <c r="J2335" s="6" t="n">
        <f aca="false">Sens!J2223*(al_fro+Sens!J2331+sbc_r)</f>
        <v>4.56263978958969</v>
      </c>
      <c r="K2335" s="6" t="n">
        <f aca="false">Sens!K2223*(al_fro+Sens!K2331+sbc_r)</f>
        <v>4.90494667092121</v>
      </c>
    </row>
    <row r="2336" customFormat="false" ht="17.15" hidden="false" customHeight="false" outlineLevel="0" collapsed="false">
      <c r="A2336" s="0" t="s">
        <v>1061</v>
      </c>
      <c r="B2336" s="0" t="s">
        <v>98</v>
      </c>
      <c r="F2336" s="6" t="n">
        <f aca="false">Sens!F2226*(al_srch+Sens!F2331+sbc_r)</f>
        <v>10.9757973241721</v>
      </c>
      <c r="G2336" s="6" t="n">
        <f aca="false">Sens!G2226*(al_srch+Sens!G2331+sbc_r)</f>
        <v>12.0871257095071</v>
      </c>
      <c r="H2336" s="6" t="n">
        <f aca="false">Sens!H2226*(al_srch+Sens!H2331+sbc_r)</f>
        <v>13.2378100868324</v>
      </c>
      <c r="I2336" s="6" t="n">
        <f aca="false">Sens!I2226*(al_srch+Sens!I2331+sbc_r)</f>
        <v>14.415067672264</v>
      </c>
      <c r="J2336" s="6" t="n">
        <f aca="false">Sens!J2226*(al_srch+Sens!J2331+sbc_r)</f>
        <v>15.6005162210795</v>
      </c>
      <c r="K2336" s="6" t="n">
        <f aca="false">Sens!K2226*(al_srch+Sens!K2331+sbc_r)</f>
        <v>16.770927277193</v>
      </c>
    </row>
    <row r="2337" customFormat="false" ht="17.15" hidden="false" customHeight="false" outlineLevel="0" collapsed="false">
      <c r="A2337" s="0" t="s">
        <v>1062</v>
      </c>
      <c r="B2337" s="0" t="s">
        <v>98</v>
      </c>
      <c r="F2337" s="6" t="n">
        <f aca="false">Sens!F2195-Sens!F2196+Sens!F2276</f>
        <v>59.2303530458784</v>
      </c>
      <c r="G2337" s="6" t="n">
        <f aca="false">Sens!G2195-Sens!G2196+Sens!G2276</f>
        <v>96.2108929993156</v>
      </c>
      <c r="H2337" s="6" t="n">
        <f aca="false">Sens!H2195-Sens!H2196+Sens!H2276</f>
        <v>130.715490106889</v>
      </c>
      <c r="I2337" s="6" t="n">
        <f aca="false">Sens!I2195-Sens!I2196+Sens!I2276</f>
        <v>168.106003601136</v>
      </c>
      <c r="J2337" s="6" t="n">
        <f aca="false">Sens!J2195-Sens!J2196+Sens!J2276</f>
        <v>194.464201020934</v>
      </c>
      <c r="K2337" s="6" t="n">
        <f aca="false">Sens!K2195-Sens!K2196+Sens!K2276</f>
        <v>211.115596349621</v>
      </c>
    </row>
    <row r="2338" customFormat="false" ht="17.15" hidden="false" customHeight="false" outlineLevel="0" collapsed="false">
      <c r="A2338" s="0" t="s">
        <v>1063</v>
      </c>
      <c r="B2338" s="0" t="s">
        <v>98</v>
      </c>
      <c r="F2338" s="6" t="n">
        <f aca="false">Sens!F2255+Sens!F2276+Sens!F2206+Sens!F2331*(Sens!F2225-Sens!F2189)+sbc_r*Sens!F2225</f>
        <v>252.404880243433</v>
      </c>
      <c r="G2338" s="6" t="n">
        <f aca="false">Sens!G2255+Sens!G2276+Sens!G2206+Sens!G2331*(Sens!G2225-Sens!G2189)+sbc_r*Sens!G2225</f>
        <v>315.139606310566</v>
      </c>
      <c r="H2338" s="6" t="n">
        <f aca="false">Sens!H2255+Sens!H2276+Sens!H2206+Sens!H2331*(Sens!H2225-Sens!H2189)+sbc_r*Sens!H2225</f>
        <v>375.674689465448</v>
      </c>
      <c r="I2338" s="6" t="n">
        <f aca="false">Sens!I2255+Sens!I2276+Sens!I2206+Sens!I2331*(Sens!I2225-Sens!I2189)+sbc_r*Sens!I2225</f>
        <v>438.441525191639</v>
      </c>
      <c r="J2338" s="6" t="n">
        <f aca="false">Sens!J2255+Sens!J2276+Sens!J2206+Sens!J2331*(Sens!J2225-Sens!J2189)+sbc_r*Sens!J2225</f>
        <v>488.209603298996</v>
      </c>
      <c r="K2338" s="6" t="n">
        <f aca="false">Sens!K2255+Sens!K2276+Sens!K2206+Sens!K2331*(Sens!K2225-Sens!K2189)+sbc_r*Sens!K2225</f>
        <v>525.885590964819</v>
      </c>
    </row>
    <row r="2339" customFormat="false" ht="17.15" hidden="false" customHeight="false" outlineLevel="0" collapsed="false">
      <c r="A2339" s="0" t="s">
        <v>1064</v>
      </c>
      <c r="B2339" s="0" t="s">
        <v>98</v>
      </c>
      <c r="F2339" s="6" t="n">
        <f aca="false">Sens!F2338-Sens!F2332-Sens!F2333-Sens!F2334-Sens!F2335-Sens!F2337</f>
        <v>65.7932356092883</v>
      </c>
      <c r="G2339" s="6" t="n">
        <f aca="false">Sens!G2338-Sens!G2332-Sens!G2333-Sens!G2334-Sens!G2335-Sens!G2337</f>
        <v>78.6802905613524</v>
      </c>
      <c r="H2339" s="6" t="n">
        <f aca="false">Sens!H2338-Sens!H2332-Sens!H2333-Sens!H2334-Sens!H2335-Sens!H2337</f>
        <v>91.7229598348936</v>
      </c>
      <c r="I2339" s="6" t="n">
        <f aca="false">Sens!I2338-Sens!I2332-Sens!I2333-Sens!I2334-Sens!I2335-Sens!I2337</f>
        <v>104.687730703592</v>
      </c>
      <c r="J2339" s="6" t="n">
        <f aca="false">Sens!J2338-Sens!J2332-Sens!J2333-Sens!J2334-Sens!J2335-Sens!J2337</f>
        <v>116.481669699808</v>
      </c>
      <c r="K2339" s="6" t="n">
        <f aca="false">Sens!K2338-Sens!K2332-Sens!K2333-Sens!K2334-Sens!K2335-Sens!K2337</f>
        <v>126.414149732597</v>
      </c>
    </row>
    <row r="2340" customFormat="false" ht="17.15" hidden="false" customHeight="false" outlineLevel="0" collapsed="false">
      <c r="A2340" s="0" t="s">
        <v>1065</v>
      </c>
      <c r="B2340" s="0" t="s">
        <v>98</v>
      </c>
      <c r="F2340" s="6" t="n">
        <f aca="false">Sens!F2257+Sens!F2331*Sens!F2232+sbc_r*Sens!F2232</f>
        <v>25.647298217861</v>
      </c>
      <c r="G2340" s="6" t="n">
        <f aca="false">Sens!G2257+Sens!G2331*Sens!G2232+sbc_r*Sens!G2232</f>
        <v>26.3755014625131</v>
      </c>
      <c r="H2340" s="6" t="n">
        <f aca="false">Sens!H2257+Sens!H2331*Sens!H2232+sbc_r*Sens!H2232</f>
        <v>27.3417870752284</v>
      </c>
      <c r="I2340" s="6" t="n">
        <f aca="false">Sens!I2257+Sens!I2331*Sens!I2232+sbc_r*Sens!I2232</f>
        <v>28.5188911929546</v>
      </c>
      <c r="J2340" s="6" t="n">
        <f aca="false">Sens!J2257+Sens!J2331*Sens!J2232+sbc_r*Sens!J2232</f>
        <v>29.8796180264299</v>
      </c>
      <c r="K2340" s="6" t="n">
        <f aca="false">Sens!K2257+Sens!K2331*Sens!K2232+sbc_r*Sens!K2232</f>
        <v>31.3979550212363</v>
      </c>
    </row>
    <row r="2341" customFormat="false" ht="17.15" hidden="false" customHeight="false" outlineLevel="0" collapsed="false">
      <c r="A2341" s="0" t="s">
        <v>1066</v>
      </c>
      <c r="B2341" s="0" t="s">
        <v>98</v>
      </c>
      <c r="F2341" s="6" t="n">
        <f aca="false">(Sens!F2340-Sens!F2336)*Sens!F2228/(Sens!F2228+Sens!F2230)</f>
        <v>8.04277389157213</v>
      </c>
      <c r="G2341" s="6" t="n">
        <f aca="false">(Sens!G2340-Sens!G2336)*Sens!G2228/(Sens!G2228+Sens!G2230)</f>
        <v>7.69309100896268</v>
      </c>
      <c r="H2341" s="6" t="n">
        <f aca="false">(Sens!H2340-Sens!H2336)*Sens!H2228/(Sens!H2228+Sens!H2230)</f>
        <v>7.4912281001941</v>
      </c>
      <c r="I2341" s="6" t="n">
        <f aca="false">(Sens!I2340-Sens!I2336)*Sens!I2228/(Sens!I2228+Sens!I2230)</f>
        <v>7.42336659720002</v>
      </c>
      <c r="J2341" s="6" t="n">
        <f aca="false">(Sens!J2340-Sens!J2336)*Sens!J2228/(Sens!J2228+Sens!J2230)</f>
        <v>7.48163670828062</v>
      </c>
      <c r="K2341" s="6" t="n">
        <f aca="false">(Sens!K2340-Sens!K2336)*Sens!K2228/(Sens!K2228+Sens!K2230)</f>
        <v>7.66393497256728</v>
      </c>
    </row>
    <row r="2342" customFormat="false" ht="17.15" hidden="false" customHeight="false" outlineLevel="0" collapsed="false">
      <c r="A2342" s="0" t="s">
        <v>1067</v>
      </c>
      <c r="B2342" s="0" t="s">
        <v>98</v>
      </c>
      <c r="F2342" s="6" t="n">
        <f aca="false">Sens!F2340-Sens!F2336-Sens!F2341</f>
        <v>6.62872700211674</v>
      </c>
      <c r="G2342" s="6" t="n">
        <f aca="false">Sens!G2340-Sens!G2336-Sens!G2341</f>
        <v>6.59528474404332</v>
      </c>
      <c r="H2342" s="6" t="n">
        <f aca="false">Sens!H2340-Sens!H2336-Sens!H2341</f>
        <v>6.61274888820195</v>
      </c>
      <c r="I2342" s="6" t="n">
        <f aca="false">Sens!I2340-Sens!I2336-Sens!I2341</f>
        <v>6.68045692349059</v>
      </c>
      <c r="J2342" s="6" t="n">
        <f aca="false">Sens!J2340-Sens!J2336-Sens!J2341</f>
        <v>6.7974650970698</v>
      </c>
      <c r="K2342" s="6" t="n">
        <f aca="false">Sens!K2340-Sens!K2336-Sens!K2341</f>
        <v>6.96309277147605</v>
      </c>
    </row>
    <row r="2343" customFormat="false" ht="17.15" hidden="false" customHeight="false" outlineLevel="0" collapsed="false">
      <c r="A2343" s="0" t="s">
        <v>1068</v>
      </c>
      <c r="B2343" s="0" t="s">
        <v>98</v>
      </c>
      <c r="F2343" s="6" t="n">
        <f aca="false">Sens!F2337-tax_f*(Sens!F2337-Sens!F2206)-Sens!F2203</f>
        <v>-136.843195637628</v>
      </c>
      <c r="G2343" s="6" t="n">
        <f aca="false">Sens!G2337-tax_f*(Sens!G2337-Sens!G2206)-Sens!G2203</f>
        <v>-129.130197273865</v>
      </c>
      <c r="H2343" s="6" t="n">
        <f aca="false">Sens!H2337-tax_f*(Sens!H2337-Sens!H2206)-Sens!H2203</f>
        <v>-100.397306244574</v>
      </c>
      <c r="I2343" s="6" t="n">
        <f aca="false">Sens!I2337-tax_f*(Sens!I2337-Sens!I2206)-Sens!I2203</f>
        <v>-35.417821584411</v>
      </c>
      <c r="J2343" s="6" t="n">
        <f aca="false">Sens!J2337-tax_f*(Sens!J2337-Sens!J2206)-Sens!J2203</f>
        <v>36.8289683005193</v>
      </c>
      <c r="K2343" s="6" t="n">
        <f aca="false">Sens!K2337-tax_f*(Sens!K2337-Sens!K2206)-Sens!K2203</f>
        <v>64.1250784664882</v>
      </c>
    </row>
    <row r="2344" customFormat="false" ht="17.15" hidden="false" customHeight="false" outlineLevel="0" collapsed="false">
      <c r="A2344" s="0" t="s">
        <v>1069</v>
      </c>
      <c r="B2344" s="0" t="s">
        <v>98</v>
      </c>
      <c r="F2344" s="6" t="n">
        <f aca="false">Sens!F2343*Sens!F2317</f>
        <v>-130.301184109526</v>
      </c>
      <c r="G2344" s="6" t="n">
        <f aca="false">Sens!G2343*Sens!G2317</f>
        <v>-111.481622059221</v>
      </c>
      <c r="H2344" s="6" t="n">
        <f aca="false">Sens!H2343*Sens!H2317</f>
        <v>-78.5864796703546</v>
      </c>
      <c r="I2344" s="6" t="n">
        <f aca="false">Sens!I2343*Sens!I2317</f>
        <v>-25.1361019914682</v>
      </c>
      <c r="J2344" s="6" t="n">
        <f aca="false">Sens!J2343*Sens!J2317</f>
        <v>23.698231996947</v>
      </c>
      <c r="K2344" s="6" t="n">
        <f aca="false">Sens!K2343*Sens!K2317</f>
        <v>37.4114562015426</v>
      </c>
    </row>
    <row r="2345" customFormat="false" ht="17.15" hidden="false" customHeight="false" outlineLevel="0" collapsed="false">
      <c r="A2345" s="0" t="s">
        <v>1070</v>
      </c>
      <c r="B2345" s="0" t="s">
        <v>98</v>
      </c>
      <c r="C2345" s="6" t="n">
        <f aca="false">(Sens!K2337-Sens!K2206)*(1-tax_f)*(1+g_tv)*(1-g_tv/(wacc+ronic_prem))/(wacc-g_tv)/(1+wacc)^(Sens!K2316+mid_yr)</f>
        <v>200.9871134696</v>
      </c>
    </row>
    <row r="2346" customFormat="false" ht="17.15" hidden="false" customHeight="false" outlineLevel="0" collapsed="false">
      <c r="A2346" s="1" t="s">
        <v>1071</v>
      </c>
      <c r="B2346" s="0" t="s">
        <v>98</v>
      </c>
      <c r="C2346" s="6" t="n">
        <f aca="false">(SUM(Sens!F2344:K2344)+Sens!$C$2345)*(1+wacc)^t_roll</f>
        <v>-94.980142036351</v>
      </c>
      <c r="L2346" s="11" t="s">
        <v>1072</v>
      </c>
    </row>
    <row r="2347" customFormat="false" ht="17.15" hidden="false" customHeight="false" outlineLevel="0" collapsed="false">
      <c r="A2347" s="1" t="s">
        <v>1073</v>
      </c>
      <c r="B2347" s="0" t="s">
        <v>98</v>
      </c>
      <c r="C2347" s="6" t="n">
        <f aca="false">(w_ntm28*Sens!G2195+(1-w_ntm28)*Sens!H2195)*m_ai</f>
        <v>338.776008390068</v>
      </c>
    </row>
    <row r="2348" customFormat="false" ht="17.15" hidden="false" customHeight="false" outlineLevel="0" collapsed="false">
      <c r="A2348" s="1" t="s">
        <v>1074</v>
      </c>
      <c r="B2348" s="0" t="s">
        <v>98</v>
      </c>
      <c r="C2348" s="6" t="n">
        <f aca="false">(w_ntm28*Sens!G2339+(1-w_ntm28)*Sens!H2339)*m_cloud</f>
        <v>1145.63411787164</v>
      </c>
    </row>
    <row r="2349" customFormat="false" ht="17.15" hidden="false" customHeight="false" outlineLevel="0" collapsed="false">
      <c r="A2349" s="1" t="s">
        <v>1075</v>
      </c>
      <c r="B2349" s="0" t="s">
        <v>98</v>
      </c>
      <c r="C2349" s="6" t="n">
        <f aca="false">(w_ntm28*Sens!G2332+(1-w_ntm28)*Sens!H2332)*m_sw</f>
        <v>1034.41911992349</v>
      </c>
    </row>
    <row r="2350" customFormat="false" ht="17.15" hidden="false" customHeight="false" outlineLevel="0" collapsed="false">
      <c r="A2350" s="1" t="s">
        <v>1076</v>
      </c>
      <c r="B2350" s="0" t="s">
        <v>98</v>
      </c>
      <c r="C2350" s="6" t="n">
        <f aca="false">(w_ntm28*Sens!G2333+(1-w_ntm28)*Sens!H2333)*m_sw</f>
        <v>376.85980264769</v>
      </c>
    </row>
    <row r="2351" customFormat="false" ht="17.15" hidden="false" customHeight="false" outlineLevel="0" collapsed="false">
      <c r="A2351" s="1" t="s">
        <v>1077</v>
      </c>
      <c r="B2351" s="0" t="s">
        <v>98</v>
      </c>
      <c r="C2351" s="6" t="n">
        <f aca="false">(w_ntm28*Sens!G2334+(1-w_ntm28)*Sens!H2334)*m_sw</f>
        <v>107.672743073892</v>
      </c>
    </row>
    <row r="2352" customFormat="false" ht="17.15" hidden="false" customHeight="false" outlineLevel="0" collapsed="false">
      <c r="A2352" s="1" t="s">
        <v>1078</v>
      </c>
      <c r="B2352" s="0" t="s">
        <v>98</v>
      </c>
      <c r="C2352" s="6" t="n">
        <f aca="false">(w_ntm28*Sens!G2335+(1-w_ntm28)*Sens!H2335)*m_sw</f>
        <v>41.078351277091</v>
      </c>
    </row>
    <row r="2353" customFormat="false" ht="17.15" hidden="false" customHeight="false" outlineLevel="0" collapsed="false">
      <c r="A2353" s="1" t="s">
        <v>1079</v>
      </c>
      <c r="B2353" s="0" t="s">
        <v>98</v>
      </c>
      <c r="C2353" s="6" t="n">
        <f aca="false">(w_ntm28*Sens!G2336+(1-w_ntm28)*Sens!H2336)*m_ads</f>
        <v>113.502654095629</v>
      </c>
    </row>
    <row r="2354" customFormat="false" ht="17.15" hidden="false" customHeight="false" outlineLevel="0" collapsed="false">
      <c r="A2354" s="1" t="s">
        <v>1080</v>
      </c>
      <c r="B2354" s="0" t="s">
        <v>98</v>
      </c>
      <c r="C2354" s="6" t="n">
        <f aca="false">(w_ntm28*Sens!G2341+(1-w_ntm28)*Sens!H2341)*m_game</f>
        <v>96.3395082994886</v>
      </c>
    </row>
    <row r="2355" customFormat="false" ht="17.15" hidden="false" customHeight="false" outlineLevel="0" collapsed="false">
      <c r="A2355" s="1" t="s">
        <v>1081</v>
      </c>
      <c r="B2355" s="0" t="s">
        <v>98</v>
      </c>
      <c r="C2355" s="6" t="n">
        <f aca="false">(w_ntm28*Sens!G2342+(1-w_ntm28)*Sens!H2342)*m_pc</f>
        <v>95.5154670342112</v>
      </c>
    </row>
    <row r="2356" customFormat="false" ht="17.15" hidden="false" customHeight="false" outlineLevel="0" collapsed="false">
      <c r="A2356" s="1" t="s">
        <v>1082</v>
      </c>
      <c r="B2356" s="0" t="s">
        <v>98</v>
      </c>
      <c r="C2356" s="6" t="n">
        <f aca="false">Sens!$C$2346+Sens!$C$2348+Sens!$C$2349+Sens!$C$2350+Sens!$C$2351+Sens!$C$2352+Sens!$C$2353+Sens!$C$2354+Sens!$C$2355</f>
        <v>2916.04162218678</v>
      </c>
    </row>
    <row r="2357" customFormat="false" ht="17.15" hidden="false" customHeight="false" outlineLevel="0" collapsed="false">
      <c r="A2357" s="1" t="s">
        <v>1000</v>
      </c>
      <c r="B2357" s="0" t="s">
        <v>98</v>
      </c>
      <c r="C2357" s="6" t="n">
        <f aca="false">Sens!F2307+oai_v-Sens!F2296</f>
        <v>83.375831053891</v>
      </c>
      <c r="L2357" s="1" t="s">
        <v>1083</v>
      </c>
    </row>
    <row r="2358" customFormat="false" ht="15" hidden="false" customHeight="false" outlineLevel="0" collapsed="false">
      <c r="A2358" s="1" t="s">
        <v>1001</v>
      </c>
      <c r="B2358" s="0" t="s">
        <v>75</v>
      </c>
      <c r="C2358" s="5" t="n">
        <f aca="false">(Sens!$C$2356+Sens!$C$2357)/Sens!F2309</f>
        <v>401.420965369469</v>
      </c>
    </row>
    <row r="2359" customFormat="false" ht="17.15" hidden="false" customHeight="false" outlineLevel="0" collapsed="false">
      <c r="A2359" s="1" t="s">
        <v>1084</v>
      </c>
      <c r="B2359" s="0" t="s">
        <v>75</v>
      </c>
      <c r="C2359" s="5" t="n">
        <f aca="false">w_dcf*Sens!$C$2330+(1-w_dcf)*Sens!$C$2358</f>
        <v>356.303232266051</v>
      </c>
    </row>
    <row r="2360" customFormat="false" ht="17.15" hidden="false" customHeight="false" outlineLevel="0" collapsed="false">
      <c r="A2360" s="3" t="s">
        <v>1294</v>
      </c>
    </row>
    <row r="2361" customFormat="false" ht="15" hidden="false" customHeight="false" outlineLevel="0" collapsed="false">
      <c r="A2361" s="4" t="s">
        <v>43</v>
      </c>
      <c r="B2361" s="4" t="s">
        <v>65</v>
      </c>
      <c r="C2361" s="20" t="s">
        <v>788</v>
      </c>
      <c r="D2361" s="20" t="s">
        <v>789</v>
      </c>
      <c r="E2361" s="20" t="s">
        <v>790</v>
      </c>
      <c r="F2361" s="20" t="s">
        <v>791</v>
      </c>
      <c r="G2361" s="20" t="s">
        <v>792</v>
      </c>
      <c r="H2361" s="20" t="s">
        <v>793</v>
      </c>
      <c r="I2361" s="20" t="s">
        <v>794</v>
      </c>
      <c r="J2361" s="20" t="s">
        <v>795</v>
      </c>
      <c r="K2361" s="20" t="s">
        <v>796</v>
      </c>
      <c r="L2361" s="4" t="s">
        <v>47</v>
      </c>
    </row>
    <row r="2362" customFormat="false" ht="17.15" hidden="false" customHeight="false" outlineLevel="0" collapsed="false">
      <c r="A2362" s="1" t="s">
        <v>797</v>
      </c>
      <c r="B2362" s="1" t="s">
        <v>235</v>
      </c>
      <c r="C2362" s="28" t="n">
        <v>2024</v>
      </c>
      <c r="D2362" s="28" t="n">
        <v>2025</v>
      </c>
      <c r="E2362" s="28" t="n">
        <v>2026</v>
      </c>
      <c r="F2362" s="28" t="n">
        <v>2027</v>
      </c>
      <c r="G2362" s="28" t="n">
        <v>2028</v>
      </c>
      <c r="H2362" s="28" t="n">
        <v>2029</v>
      </c>
      <c r="I2362" s="28" t="n">
        <v>2030</v>
      </c>
      <c r="J2362" s="28" t="n">
        <v>2031</v>
      </c>
      <c r="K2362" s="28" t="n">
        <v>2032</v>
      </c>
    </row>
    <row r="2363" customFormat="false" ht="17.15" hidden="false" customHeight="false" outlineLevel="0" collapsed="false">
      <c r="A2363" s="1" t="s">
        <v>798</v>
      </c>
      <c r="B2363" s="0" t="s">
        <v>392</v>
      </c>
      <c r="F2363" s="29" t="n">
        <f aca="false">pace</f>
        <v>2527.2</v>
      </c>
      <c r="G2363" s="29" t="n">
        <f aca="false">pace</f>
        <v>2527.2</v>
      </c>
      <c r="H2363" s="29" t="n">
        <f aca="false">pace</f>
        <v>2527.2</v>
      </c>
      <c r="I2363" s="29" t="n">
        <f aca="false">pace+(g_tv*Sens!H2364-pace)*MIN(1,(Sens!I2362-pace_y0)/(pace_y1-pace_y0))</f>
        <v>1793.116</v>
      </c>
      <c r="J2363" s="29" t="n">
        <f aca="false">pace+(g_tv*Sens!H2364-pace)*MIN(1,(Sens!J2362-pace_y0)/(pace_y1-pace_y0))</f>
        <v>1059.032</v>
      </c>
      <c r="K2363" s="29" t="n">
        <f aca="false">pace+(g_tv*Sens!H2364-pace)*MIN(1,(Sens!K2362-pace_y0)/(pace_y1-pace_y0))</f>
        <v>324.948</v>
      </c>
      <c r="L2363" s="11" t="s">
        <v>799</v>
      </c>
    </row>
    <row r="2364" customFormat="false" ht="17.15" hidden="false" customHeight="false" outlineLevel="0" collapsed="false">
      <c r="A2364" s="1" t="s">
        <v>800</v>
      </c>
      <c r="B2364" s="0" t="s">
        <v>392</v>
      </c>
      <c r="C2364" s="29" t="n">
        <f aca="false">mw_ext_24</f>
        <v>640</v>
      </c>
      <c r="D2364" s="29" t="n">
        <f aca="false">mw_ext_25</f>
        <v>1630</v>
      </c>
      <c r="E2364" s="29" t="n">
        <f aca="false">mw_ext_26</f>
        <v>3250</v>
      </c>
      <c r="F2364" s="29" t="n">
        <f aca="false">Sens!E2364+Sens!F2363</f>
        <v>5777.2</v>
      </c>
      <c r="G2364" s="29" t="n">
        <f aca="false">Sens!F2364+Sens!G2363</f>
        <v>8304.4</v>
      </c>
      <c r="H2364" s="29" t="n">
        <f aca="false">Sens!G2364+Sens!H2363</f>
        <v>10831.6</v>
      </c>
      <c r="I2364" s="29" t="n">
        <f aca="false">Sens!H2364+Sens!I2363</f>
        <v>12624.716</v>
      </c>
      <c r="J2364" s="29" t="n">
        <f aca="false">Sens!I2364+Sens!J2363</f>
        <v>13683.748</v>
      </c>
      <c r="K2364" s="29" t="n">
        <f aca="false">Sens!J2364+Sens!K2363</f>
        <v>14008.696</v>
      </c>
      <c r="L2364" s="1" t="s">
        <v>801</v>
      </c>
    </row>
    <row r="2365" customFormat="false" ht="17.15" hidden="false" customHeight="false" outlineLevel="0" collapsed="false">
      <c r="A2365" s="1" t="s">
        <v>802</v>
      </c>
      <c r="B2365" s="0" t="s">
        <v>392</v>
      </c>
      <c r="C2365" s="29" t="n">
        <f aca="false">rent_ext_24</f>
        <v>150</v>
      </c>
      <c r="D2365" s="29" t="n">
        <f aca="false">rent_ext_25</f>
        <v>400</v>
      </c>
      <c r="E2365" s="29" t="n">
        <f aca="false">rent_ext_26</f>
        <v>550</v>
      </c>
      <c r="F2365" s="29" t="n">
        <f aca="false">rent_ext_f</f>
        <v>756</v>
      </c>
      <c r="G2365" s="29" t="n">
        <f aca="false">rent_ext_f</f>
        <v>756</v>
      </c>
      <c r="H2365" s="29" t="n">
        <f aca="false">rent_ext_f</f>
        <v>756</v>
      </c>
      <c r="I2365" s="29" t="n">
        <f aca="false">rent_ext_f</f>
        <v>756</v>
      </c>
      <c r="J2365" s="29" t="n">
        <f aca="false">rent_ext_f</f>
        <v>756</v>
      </c>
      <c r="K2365" s="29" t="n">
        <f aca="false">rent_ext_f</f>
        <v>756</v>
      </c>
      <c r="L2365" s="1" t="s">
        <v>803</v>
      </c>
    </row>
    <row r="2366" customFormat="false" ht="17.15" hidden="false" customHeight="false" outlineLevel="0" collapsed="false">
      <c r="A2366" s="1" t="s">
        <v>804</v>
      </c>
      <c r="B2366" s="0" t="s">
        <v>392</v>
      </c>
      <c r="C2366" s="29" t="n">
        <f aca="false">Sens!C2364-Sens!C2365</f>
        <v>490</v>
      </c>
      <c r="D2366" s="29" t="n">
        <f aca="false">Sens!D2364-Sens!D2365</f>
        <v>1230</v>
      </c>
      <c r="E2366" s="29" t="n">
        <f aca="false">Sens!E2364-Sens!E2365</f>
        <v>2700</v>
      </c>
      <c r="F2366" s="29" t="n">
        <f aca="false">Sens!F2364-Sens!F2365</f>
        <v>5021.2</v>
      </c>
      <c r="G2366" s="29" t="n">
        <f aca="false">Sens!G2364-Sens!G2365</f>
        <v>7548.4</v>
      </c>
      <c r="H2366" s="29" t="n">
        <f aca="false">Sens!H2364-Sens!H2365</f>
        <v>10075.6</v>
      </c>
      <c r="I2366" s="29" t="n">
        <f aca="false">Sens!I2364-Sens!I2365</f>
        <v>11868.716</v>
      </c>
      <c r="J2366" s="29" t="n">
        <f aca="false">Sens!J2364-Sens!J2365</f>
        <v>12927.748</v>
      </c>
      <c r="K2366" s="29" t="n">
        <f aca="false">Sens!K2364-Sens!K2365</f>
        <v>13252.696</v>
      </c>
    </row>
    <row r="2367" customFormat="false" ht="17.15" hidden="false" customHeight="false" outlineLevel="0" collapsed="false">
      <c r="A2367" s="1" t="s">
        <v>805</v>
      </c>
      <c r="B2367" s="0" t="s">
        <v>392</v>
      </c>
      <c r="C2367" s="29" t="n">
        <f aca="false">Sens!C2366/ext_sh_hi</f>
        <v>653.333333333333</v>
      </c>
      <c r="D2367" s="29" t="n">
        <f aca="false">Sens!D2366/ext_sh_hi</f>
        <v>1640</v>
      </c>
      <c r="E2367" s="29" t="n">
        <f aca="false">Sens!E2366/ext_sh_hi</f>
        <v>3600</v>
      </c>
      <c r="F2367" s="29" t="n">
        <f aca="false">Sens!F2366/ext_sh_hi</f>
        <v>6694.93333333333</v>
      </c>
      <c r="G2367" s="29" t="n">
        <f aca="false">Sens!G2366/ext_sh_hi</f>
        <v>10064.5333333333</v>
      </c>
      <c r="H2367" s="29" t="n">
        <f aca="false">Sens!H2366/ext_sh_hi</f>
        <v>13434.1333333333</v>
      </c>
      <c r="I2367" s="29" t="n">
        <f aca="false">Sens!I2366/ext_sh_hi</f>
        <v>15824.9546666667</v>
      </c>
      <c r="J2367" s="29" t="n">
        <f aca="false">Sens!J2366/ext_sh_hi</f>
        <v>17236.9973333333</v>
      </c>
      <c r="K2367" s="29" t="n">
        <f aca="false">Sens!K2366/ext_sh_hi</f>
        <v>17670.2613333333</v>
      </c>
      <c r="L2367" s="1" t="s">
        <v>806</v>
      </c>
    </row>
    <row r="2368" customFormat="false" ht="17.15" hidden="false" customHeight="false" outlineLevel="0" collapsed="false">
      <c r="A2368" s="1" t="s">
        <v>807</v>
      </c>
      <c r="B2368" s="0" t="s">
        <v>392</v>
      </c>
      <c r="C2368" s="29" t="n">
        <f aca="false">Sens!C2367-Sens!C2366</f>
        <v>163.333333333333</v>
      </c>
      <c r="D2368" s="29" t="n">
        <f aca="false">Sens!D2367-Sens!D2366</f>
        <v>410</v>
      </c>
      <c r="E2368" s="29" t="n">
        <f aca="false">Sens!E2367-Sens!E2366</f>
        <v>900</v>
      </c>
      <c r="F2368" s="29" t="n">
        <f aca="false">Sens!F2367-Sens!F2366</f>
        <v>1673.73333333333</v>
      </c>
      <c r="G2368" s="29" t="n">
        <f aca="false">Sens!G2367-Sens!G2366</f>
        <v>2516.13333333333</v>
      </c>
      <c r="H2368" s="29" t="n">
        <f aca="false">Sens!H2367-Sens!H2366</f>
        <v>3358.53333333333</v>
      </c>
      <c r="I2368" s="29" t="n">
        <f aca="false">Sens!I2367-Sens!I2366</f>
        <v>3956.23866666667</v>
      </c>
      <c r="J2368" s="29" t="n">
        <f aca="false">Sens!J2367-Sens!J2366</f>
        <v>4309.24933333333</v>
      </c>
      <c r="K2368" s="29" t="n">
        <f aca="false">Sens!K2367-Sens!K2366</f>
        <v>4417.56533333333</v>
      </c>
    </row>
    <row r="2369" customFormat="false" ht="17.15" hidden="false" customHeight="false" outlineLevel="0" collapsed="false">
      <c r="A2369" s="1" t="s">
        <v>808</v>
      </c>
      <c r="B2369" s="0" t="s">
        <v>392</v>
      </c>
      <c r="C2369" s="29" t="n">
        <f aca="false">Sens!C2367</f>
        <v>653.333333333333</v>
      </c>
      <c r="D2369" s="29" t="n">
        <f aca="false">Sens!D2367-Sens!C2367</f>
        <v>986.666666666667</v>
      </c>
      <c r="E2369" s="29" t="n">
        <f aca="false">Sens!E2367-Sens!D2367</f>
        <v>1960</v>
      </c>
      <c r="F2369" s="29" t="n">
        <f aca="false">Sens!F2367-Sens!E2367</f>
        <v>3094.93333333333</v>
      </c>
      <c r="G2369" s="29" t="n">
        <f aca="false">Sens!G2367-Sens!F2367</f>
        <v>3369.6</v>
      </c>
      <c r="H2369" s="29" t="n">
        <f aca="false">Sens!H2367-Sens!G2367</f>
        <v>3369.6</v>
      </c>
      <c r="I2369" s="29" t="n">
        <f aca="false">Sens!I2367-Sens!H2367</f>
        <v>2390.82133333333</v>
      </c>
      <c r="J2369" s="29" t="n">
        <f aca="false">Sens!J2367-Sens!I2367</f>
        <v>1412.04266666666</v>
      </c>
      <c r="K2369" s="29" t="n">
        <f aca="false">Sens!K2367-Sens!J2367</f>
        <v>433.264000000003</v>
      </c>
    </row>
    <row r="2370" customFormat="false" ht="17.15" hidden="false" customHeight="false" outlineLevel="0" collapsed="false">
      <c r="A2370" s="1" t="s">
        <v>809</v>
      </c>
      <c r="B2370" s="0" t="s">
        <v>392</v>
      </c>
      <c r="D2370" s="29" t="n">
        <f aca="false">Sens!D2364-Sens!C2364</f>
        <v>990</v>
      </c>
      <c r="E2370" s="29" t="n">
        <f aca="false">Sens!E2364-Sens!D2364</f>
        <v>1620</v>
      </c>
      <c r="F2370" s="29" t="n">
        <f aca="false">Sens!F2364-Sens!E2364</f>
        <v>2527.2</v>
      </c>
      <c r="G2370" s="29" t="n">
        <f aca="false">Sens!G2364-Sens!F2364</f>
        <v>2527.2</v>
      </c>
      <c r="H2370" s="29" t="n">
        <f aca="false">Sens!H2364-Sens!G2364</f>
        <v>2527.2</v>
      </c>
      <c r="I2370" s="29" t="n">
        <f aca="false">Sens!I2364-Sens!H2364</f>
        <v>1793.116</v>
      </c>
      <c r="J2370" s="29" t="n">
        <f aca="false">Sens!J2364-Sens!I2364</f>
        <v>1059.032</v>
      </c>
      <c r="K2370" s="29" t="n">
        <f aca="false">Sens!K2364-Sens!J2364</f>
        <v>324.948</v>
      </c>
    </row>
    <row r="2371" customFormat="false" ht="17.15" hidden="false" customHeight="false" outlineLevel="0" collapsed="false">
      <c r="A2371" s="1" t="s">
        <v>810</v>
      </c>
      <c r="B2371" s="0" t="s">
        <v>392</v>
      </c>
      <c r="F2371" s="29" t="n">
        <f aca="false">Sens!F2388*ext_sh_hi</f>
        <v>0</v>
      </c>
      <c r="G2371" s="29" t="n">
        <f aca="false">Sens!G2388*ext_sh_hi</f>
        <v>0</v>
      </c>
      <c r="H2371" s="29" t="n">
        <f aca="false">Sens!H2388*ext_sh_hi</f>
        <v>0</v>
      </c>
      <c r="I2371" s="29" t="n">
        <f aca="false">Sens!I2388*ext_sh_hi</f>
        <v>490</v>
      </c>
      <c r="J2371" s="29" t="n">
        <f aca="false">Sens!J2388*ext_sh_hi</f>
        <v>740</v>
      </c>
      <c r="K2371" s="29" t="n">
        <f aca="false">Sens!K2388*ext_sh_hi</f>
        <v>1470</v>
      </c>
      <c r="L2371" s="1" t="s">
        <v>811</v>
      </c>
    </row>
    <row r="2372" customFormat="false" ht="17.15" hidden="false" customHeight="false" outlineLevel="0" collapsed="false">
      <c r="A2372" s="1" t="s">
        <v>812</v>
      </c>
      <c r="B2372" s="0" t="s">
        <v>392</v>
      </c>
      <c r="C2372" s="29" t="n">
        <f aca="false">mix_h*Sens!C2364</f>
        <v>128</v>
      </c>
      <c r="D2372" s="29" t="n">
        <f aca="false">mix_h*Sens!D2364</f>
        <v>326</v>
      </c>
      <c r="E2372" s="29" t="n">
        <f aca="false">mix_h*Sens!E2364</f>
        <v>650</v>
      </c>
      <c r="F2372" s="29" t="n">
        <f aca="false">Sens!E2372-Sens!F2371*mix_h</f>
        <v>650</v>
      </c>
      <c r="G2372" s="29" t="n">
        <f aca="false">Sens!F2372-Sens!G2371*mix_h</f>
        <v>650</v>
      </c>
      <c r="H2372" s="29" t="n">
        <f aca="false">Sens!G2372-Sens!H2371*mix_h</f>
        <v>650</v>
      </c>
      <c r="I2372" s="29" t="n">
        <f aca="false">Sens!H2372-Sens!I2371*mix_h</f>
        <v>552</v>
      </c>
      <c r="J2372" s="29" t="n">
        <f aca="false">Sens!I2372-Sens!J2371*mix_h</f>
        <v>404</v>
      </c>
      <c r="K2372" s="29" t="n">
        <f aca="false">Sens!J2372-Sens!K2371*mix_h</f>
        <v>110</v>
      </c>
    </row>
    <row r="2373" customFormat="false" ht="17.15" hidden="false" customHeight="false" outlineLevel="0" collapsed="false">
      <c r="A2373" s="1" t="s">
        <v>813</v>
      </c>
      <c r="B2373" s="0" t="s">
        <v>392</v>
      </c>
      <c r="C2373" s="29" t="n">
        <f aca="false">mix_g2*Sens!C2364</f>
        <v>288</v>
      </c>
      <c r="D2373" s="29" t="n">
        <f aca="false">mix_g2*Sens!D2364</f>
        <v>733.5</v>
      </c>
      <c r="E2373" s="29" t="n">
        <f aca="false">mix_g2*Sens!E2364</f>
        <v>1462.5</v>
      </c>
      <c r="F2373" s="29" t="n">
        <f aca="false">Sens!E2373-Sens!F2371*mix_g2</f>
        <v>1462.5</v>
      </c>
      <c r="G2373" s="29" t="n">
        <f aca="false">Sens!F2373-Sens!G2371*mix_g2</f>
        <v>1462.5</v>
      </c>
      <c r="H2373" s="29" t="n">
        <f aca="false">Sens!G2373-Sens!H2371*mix_g2</f>
        <v>1462.5</v>
      </c>
      <c r="I2373" s="29" t="n">
        <f aca="false">Sens!H2373-Sens!I2371*mix_g2</f>
        <v>1242</v>
      </c>
      <c r="J2373" s="29" t="n">
        <f aca="false">Sens!I2373-Sens!J2371*mix_g2</f>
        <v>909</v>
      </c>
      <c r="K2373" s="29" t="n">
        <f aca="false">Sens!J2373-Sens!K2371*mix_g2</f>
        <v>247.5</v>
      </c>
    </row>
    <row r="2374" customFormat="false" ht="17.15" hidden="false" customHeight="false" outlineLevel="0" collapsed="false">
      <c r="A2374" s="1" t="s">
        <v>814</v>
      </c>
      <c r="B2374" s="0" t="s">
        <v>392</v>
      </c>
      <c r="C2374" s="29" t="n">
        <f aca="false">mix_g3*Sens!C2364</f>
        <v>224</v>
      </c>
      <c r="D2374" s="29" t="n">
        <f aca="false">mix_g3*Sens!D2364</f>
        <v>570.5</v>
      </c>
      <c r="E2374" s="29" t="n">
        <f aca="false">mix_g3*Sens!E2364</f>
        <v>1137.5</v>
      </c>
      <c r="F2374" s="29" t="n">
        <f aca="false">Sens!E2374+(Sens!F2370+Sens!F2371)*a_g3_27-Sens!F2371*mix_g3</f>
        <v>2906.54</v>
      </c>
      <c r="G2374" s="29" t="n">
        <f aca="false">Sens!F2374+(Sens!G2370+Sens!G2371)*a_g3_28-Sens!G2371*mix_g3</f>
        <v>3664.7</v>
      </c>
      <c r="H2374" s="29" t="n">
        <f aca="false">Sens!G2374+(Sens!H2370+Sens!H2371)*a_g3_29-Sens!H2371*mix_g3</f>
        <v>3917.42</v>
      </c>
      <c r="I2374" s="29" t="n">
        <f aca="false">Sens!H2374+(Sens!I2370+Sens!I2371)*a_g3_29-Sens!I2371*mix_g3</f>
        <v>3974.2316</v>
      </c>
      <c r="J2374" s="29" t="n">
        <f aca="false">Sens!I2374+(Sens!J2370+Sens!J2371)*a_g3_29-Sens!J2371*mix_g3</f>
        <v>3895.1348</v>
      </c>
      <c r="K2374" s="29" t="n">
        <f aca="false">Sens!J2374+(Sens!K2370+Sens!K2371)*a_g3_29-Sens!K2371*mix_g3</f>
        <v>3560.1296</v>
      </c>
    </row>
    <row r="2375" customFormat="false" ht="17.15" hidden="false" customHeight="false" outlineLevel="0" collapsed="false">
      <c r="A2375" s="1" t="s">
        <v>815</v>
      </c>
      <c r="B2375" s="0" t="s">
        <v>392</v>
      </c>
      <c r="C2375" s="29" t="n">
        <v>0</v>
      </c>
      <c r="D2375" s="29" t="n">
        <v>0</v>
      </c>
      <c r="E2375" s="29" t="n">
        <v>0</v>
      </c>
      <c r="F2375" s="29" t="n">
        <f aca="false">Sens!E2375+(Sens!F2370+Sens!F2371)*(1-a_g3_27)</f>
        <v>758.16</v>
      </c>
      <c r="G2375" s="29" t="n">
        <f aca="false">Sens!F2375+(Sens!G2370+Sens!G2371)*(1-a_g3_28)</f>
        <v>2527.2</v>
      </c>
      <c r="H2375" s="29" t="n">
        <f aca="false">Sens!G2375+(Sens!H2370+Sens!H2371)*(1-a_g3_29)</f>
        <v>4801.68</v>
      </c>
      <c r="I2375" s="29" t="n">
        <f aca="false">Sens!H2375+(Sens!I2370+Sens!I2371)*(1-a_g3_29)</f>
        <v>6856.4844</v>
      </c>
      <c r="J2375" s="29" t="n">
        <f aca="false">Sens!I2375+(Sens!J2370+Sens!J2371)*(1-a_g3_29)</f>
        <v>8475.6132</v>
      </c>
      <c r="K2375" s="29" t="n">
        <f aca="false">Sens!J2375+(Sens!K2370+Sens!K2371)*(1-a_g3_29)</f>
        <v>10091.0664</v>
      </c>
    </row>
    <row r="2376" customFormat="false" ht="17.15" hidden="false" customHeight="false" outlineLevel="0" collapsed="false">
      <c r="A2376" s="1" t="s">
        <v>816</v>
      </c>
      <c r="B2376" s="0" t="s">
        <v>339</v>
      </c>
      <c r="C2376" s="14" t="n">
        <f aca="false">(Sens!C2372*tk_hold_h100+Sens!C2373*tk_hold_gb200+Sens!C2374*tk_hold_gb300+Sens!C2375*tk_hold_vr200)/Sens!C2364</f>
        <v>9.7235358126469</v>
      </c>
      <c r="D2376" s="14" t="n">
        <f aca="false">(Sens!D2372*tk_hold_h100+Sens!D2373*tk_hold_gb200+Sens!D2374*tk_hold_gb300+Sens!D2375*tk_hold_vr200)/Sens!D2364</f>
        <v>9.7235358126469</v>
      </c>
      <c r="E2376" s="14" t="n">
        <f aca="false">(Sens!E2372*tk_hold_h100+Sens!E2373*tk_hold_gb200+Sens!E2374*tk_hold_gb300+Sens!E2375*tk_hold_vr200)/Sens!E2364</f>
        <v>9.7235358126469</v>
      </c>
      <c r="F2376" s="14" t="n">
        <f aca="false">(Sens!F2372*tk_hold_h100+Sens!F2373*tk_hold_gb200+Sens!F2374*tk_hold_gb300+Sens!F2375*tk_hold_vr200)/Sens!F2364</f>
        <v>10.4079573161931</v>
      </c>
      <c r="G2376" s="14" t="n">
        <f aca="false">(Sens!G2372*tk_hold_h100+Sens!G2373*tk_hold_gb200+Sens!G2374*tk_hold_gb300+Sens!G2375*tk_hold_vr200)/Sens!G2364</f>
        <v>10.8388131109316</v>
      </c>
      <c r="H2376" s="14" t="n">
        <f aca="false">(Sens!H2372*tk_hold_h100+Sens!H2373*tk_hold_gb200+Sens!H2374*tk_hold_gb300+Sens!H2375*tk_hold_vr200)/Sens!H2364</f>
        <v>11.1311018388216</v>
      </c>
      <c r="I2376" s="14" t="n">
        <f aca="false">(Sens!I2372*tk_hold_h100+Sens!I2373*tk_hold_gb200+Sens!I2374*tk_hold_gb300+Sens!I2375*tk_hold_vr200)/Sens!I2364</f>
        <v>11.3594282560989</v>
      </c>
      <c r="J2376" s="14" t="n">
        <f aca="false">(Sens!J2372*tk_hold_h100+Sens!J2373*tk_hold_gb200+Sens!J2374*tk_hold_gb300+Sens!J2375*tk_hold_vr200)/Sens!J2364</f>
        <v>11.5441508808221</v>
      </c>
      <c r="K2376" s="14" t="n">
        <f aca="false">(Sens!K2372*tk_hold_h100+Sens!K2373*tk_hold_gb200+Sens!K2374*tk_hold_gb300+Sens!K2375*tk_hold_vr200)/Sens!K2364</f>
        <v>11.8053375063575</v>
      </c>
    </row>
    <row r="2377" customFormat="false" ht="17.15" hidden="false" customHeight="false" outlineLevel="0" collapsed="false">
      <c r="A2377" s="0" t="s">
        <v>817</v>
      </c>
      <c r="B2377" s="0" t="s">
        <v>185</v>
      </c>
      <c r="C2377" s="14" t="n">
        <f aca="false">k_B</f>
        <v>1.17213932619116</v>
      </c>
      <c r="D2377" s="14" t="n">
        <f aca="false">k_B</f>
        <v>1.17213932619116</v>
      </c>
      <c r="E2377" s="14" t="n">
        <f aca="false">k_B</f>
        <v>1.17213932619116</v>
      </c>
      <c r="F2377" s="14" t="n">
        <f aca="false">(k_B+((ls_A*k_long+(1-ls_A)*k_spot)-k_B)*MIN(1,(Sens!F2362-base_fy)/k_ramp))</f>
        <v>1.25022828131298</v>
      </c>
      <c r="G2377" s="14" t="n">
        <f aca="false">(k_B+((ls_A*k_long+(1-ls_A)*k_spot)-k_B)*MIN(1,(Sens!G2362-base_fy)/k_ramp))</f>
        <v>1.3283172364348</v>
      </c>
      <c r="H2377" s="14" t="n">
        <f aca="false">(k_B+((ls_A*k_long+(1-ls_A)*k_spot)-k_B)*MIN(1,(Sens!H2362-base_fy)/k_ramp))</f>
        <v>1.40640619155662</v>
      </c>
      <c r="I2377" s="14" t="n">
        <f aca="false">(k_B+((ls_A*k_long+(1-ls_A)*k_spot)-k_B)*MIN(1,(Sens!I2362-base_fy)/k_ramp))</f>
        <v>1.40640619155662</v>
      </c>
      <c r="J2377" s="14" t="n">
        <f aca="false">(k_B+((ls_A*k_long+(1-ls_A)*k_spot)-k_B)*MIN(1,(Sens!J2362-base_fy)/k_ramp))</f>
        <v>1.40640619155662</v>
      </c>
      <c r="K2377" s="14" t="n">
        <f aca="false">(k_B+((ls_A*k_long+(1-ls_A)*k_spot)-k_B)*MIN(1,(Sens!K2362-base_fy)/k_ramp))</f>
        <v>1.40640619155662</v>
      </c>
      <c r="L2377" s="1" t="s">
        <v>818</v>
      </c>
    </row>
    <row r="2378" customFormat="false" ht="17.15" hidden="false" customHeight="false" outlineLevel="0" collapsed="false">
      <c r="A2378" s="1" t="s">
        <v>819</v>
      </c>
      <c r="B2378" s="0" t="s">
        <v>339</v>
      </c>
      <c r="C2378" s="14" t="n">
        <f aca="false">Sens!C2376*Sens!C2377*chip_f</f>
        <v>11.3973387156315</v>
      </c>
      <c r="D2378" s="14" t="n">
        <f aca="false">Sens!D2376*Sens!D2377*chip_f</f>
        <v>11.3973387156315</v>
      </c>
      <c r="E2378" s="14" t="n">
        <f aca="false">Sens!E2376*Sens!E2377*chip_f</f>
        <v>11.3973387156315</v>
      </c>
      <c r="F2378" s="14" t="n">
        <f aca="false">Sens!F2376*Sens!F2377*chip_f</f>
        <v>13.0123225874029</v>
      </c>
      <c r="G2378" s="14" t="n">
        <f aca="false">Sens!G2376*Sens!G2377*chip_f</f>
        <v>14.3973822777458</v>
      </c>
      <c r="H2378" s="14" t="n">
        <f aca="false">Sens!H2376*Sens!H2377*chip_f</f>
        <v>15.6548505449659</v>
      </c>
      <c r="I2378" s="14" t="n">
        <f aca="false">Sens!I2376*Sens!I2377*chip_f</f>
        <v>15.9759702319207</v>
      </c>
      <c r="J2378" s="14" t="n">
        <f aca="false">Sens!J2376*Sens!J2377*chip_f</f>
        <v>16.2357652750519</v>
      </c>
      <c r="K2378" s="14" t="n">
        <f aca="false">Sens!K2376*Sens!K2377*chip_f</f>
        <v>16.6030997623568</v>
      </c>
      <c r="L2378" s="1" t="s">
        <v>820</v>
      </c>
    </row>
    <row r="2379" customFormat="false" ht="17.15" hidden="false" customHeight="false" outlineLevel="0" collapsed="false">
      <c r="A2379" s="0" t="s">
        <v>821</v>
      </c>
      <c r="B2379" s="0" t="s">
        <v>98</v>
      </c>
      <c r="D2379" s="6" t="n">
        <f aca="false">(Sens!C2364+Sens!D2364)/2*Sens!D2378/1000</f>
        <v>12.9359794422418</v>
      </c>
      <c r="E2379" s="6" t="n">
        <f aca="false">(Sens!D2364+Sens!E2364)/2*Sens!E2378/1000</f>
        <v>27.8095064661409</v>
      </c>
      <c r="F2379" s="6" t="n">
        <f aca="false">(Sens!E2364+Sens!F2364)/2*Sens!F2378/1000</f>
        <v>58.7324192305018</v>
      </c>
      <c r="G2379" s="6" t="n">
        <f aca="false">(Sens!F2364+Sens!G2364)/2*Sens!G2378/1000</f>
        <v>101.369089141153</v>
      </c>
      <c r="H2379" s="6" t="n">
        <f aca="false">(Sens!G2364+Sens!H2364)/2*Sens!H2378/1000</f>
        <v>149.785610014234</v>
      </c>
      <c r="I2379" s="6" t="n">
        <f aca="false">(Sens!H2364+Sens!I2364)/2*Sens!I2378/1000</f>
        <v>187.368703083263</v>
      </c>
      <c r="J2379" s="6" t="n">
        <f aca="false">(Sens!I2364+Sens!J2364)/2*Sens!J2378/1000</f>
        <v>213.569023125577</v>
      </c>
      <c r="K2379" s="6" t="n">
        <f aca="false">(Sens!J2364+Sens!K2364)/2*Sens!K2378/1000</f>
        <v>229.890205197739</v>
      </c>
      <c r="L2379" s="11" t="s">
        <v>822</v>
      </c>
    </row>
    <row r="2380" customFormat="false" ht="17.15" hidden="false" customHeight="false" outlineLevel="0" collapsed="false">
      <c r="A2380" s="1" t="s">
        <v>823</v>
      </c>
      <c r="B2380" s="0" t="s">
        <v>339</v>
      </c>
      <c r="C2380" s="14" t="n">
        <f aca="false">(Sens!C2372*tk_opex_h100+Sens!C2373*tk_opex_gb200+Sens!C2374*tk_opex_gb300+Sens!C2375*tk_opex_vr200)/Sens!C2364</f>
        <v>1.88636041306092</v>
      </c>
      <c r="D2380" s="14" t="n">
        <f aca="false">(Sens!D2372*tk_opex_h100+Sens!D2373*tk_opex_gb200+Sens!D2374*tk_opex_gb300+Sens!D2375*tk_opex_vr200)/Sens!D2364</f>
        <v>1.88636041306092</v>
      </c>
      <c r="E2380" s="14" t="n">
        <f aca="false">(Sens!E2372*tk_opex_h100+Sens!E2373*tk_opex_gb200+Sens!E2374*tk_opex_gb300+Sens!E2375*tk_opex_vr200)/Sens!E2364</f>
        <v>1.88636041306092</v>
      </c>
      <c r="F2380" s="14" t="n">
        <f aca="false">(Sens!F2372*tk_opex_h100+Sens!F2373*tk_opex_gb200+Sens!F2374*tk_opex_gb300+Sens!F2375*tk_opex_vr200)/Sens!F2364</f>
        <v>1.9430236476499</v>
      </c>
      <c r="G2380" s="14" t="n">
        <f aca="false">(Sens!G2372*tk_opex_h100+Sens!G2373*tk_opex_gb200+Sens!G2374*tk_opex_gb300+Sens!G2375*tk_opex_vr200)/Sens!G2364</f>
        <v>1.9786941852423</v>
      </c>
      <c r="H2380" s="14" t="n">
        <f aca="false">(Sens!H2372*tk_opex_h100+Sens!H2373*tk_opex_gb200+Sens!H2374*tk_opex_gb300+Sens!H2375*tk_opex_vr200)/Sens!H2364</f>
        <v>2.00289275976156</v>
      </c>
      <c r="I2380" s="14" t="n">
        <f aca="false">(Sens!I2372*tk_opex_h100+Sens!I2373*tk_opex_gb200+Sens!I2374*tk_opex_gb300+Sens!I2375*tk_opex_vr200)/Sens!I2364</f>
        <v>2.02179589661219</v>
      </c>
      <c r="J2380" s="14" t="n">
        <f aca="false">(Sens!J2372*tk_opex_h100+Sens!J2373*tk_opex_gb200+Sens!J2374*tk_opex_gb300+Sens!J2375*tk_opex_vr200)/Sens!J2364</f>
        <v>2.03708907685909</v>
      </c>
      <c r="K2380" s="14" t="n">
        <f aca="false">(Sens!K2372*tk_opex_h100+Sens!K2373*tk_opex_gb200+Sens!K2374*tk_opex_gb300+Sens!K2375*tk_opex_vr200)/Sens!K2364</f>
        <v>2.05871270931005</v>
      </c>
    </row>
    <row r="2381" customFormat="false" ht="17.15" hidden="false" customHeight="false" outlineLevel="0" collapsed="false">
      <c r="A2381" s="0" t="s">
        <v>824</v>
      </c>
      <c r="B2381" s="0" t="s">
        <v>98</v>
      </c>
      <c r="D2381" s="6" t="n">
        <f aca="false">(Sens!C2367+Sens!D2367)/2*Sens!D2380/1000</f>
        <v>2.16302660697652</v>
      </c>
      <c r="E2381" s="6" t="n">
        <f aca="false">(Sens!D2367+Sens!E2367)/2*Sens!E2380/1000</f>
        <v>4.9422642822196</v>
      </c>
      <c r="F2381" s="6" t="n">
        <f aca="false">(Sens!E2367+Sens!F2367)/2*Sens!F2380/1000</f>
        <v>10.001649458823</v>
      </c>
      <c r="G2381" s="6" t="n">
        <f aca="false">(Sens!F2367+Sens!G2367)/2*Sens!G2380/1000</f>
        <v>16.5809296205477</v>
      </c>
      <c r="H2381" s="6" t="n">
        <f aca="false">(Sens!G2367+Sens!H2367)/2*Sens!H2380/1000</f>
        <v>23.5326546653585</v>
      </c>
      <c r="I2381" s="6" t="n">
        <f aca="false">(Sens!H2367+Sens!I2367)/2*Sens!I2380/1000</f>
        <v>29.5779520285075</v>
      </c>
      <c r="J2381" s="6" t="n">
        <f aca="false">(Sens!I2367+Sens!J2367)/2*Sens!J2380/1000</f>
        <v>33.6750706394197</v>
      </c>
      <c r="K2381" s="6" t="n">
        <f aca="false">(Sens!J2367+Sens!K2367)/2*Sens!K2380/1000</f>
        <v>35.9320085321201</v>
      </c>
    </row>
    <row r="2382" customFormat="false" ht="17.15" hidden="false" customHeight="false" outlineLevel="0" collapsed="false">
      <c r="A2382" s="0" t="s">
        <v>825</v>
      </c>
      <c r="B2382" s="0" t="s">
        <v>98</v>
      </c>
      <c r="D2382" s="6" t="n">
        <f aca="false">(Sens!C2365+Sens!D2365)/2*rent_mw/1000</f>
        <v>2.44475</v>
      </c>
      <c r="E2382" s="6" t="n">
        <f aca="false">(Sens!D2365+Sens!E2365)/2*rent_mw/1000</f>
        <v>4.22275</v>
      </c>
      <c r="F2382" s="6" t="n">
        <f aca="false">(Sens!E2365+Sens!F2365)/2*rent_mw/1000</f>
        <v>5.80517</v>
      </c>
      <c r="G2382" s="6" t="n">
        <f aca="false">(Sens!F2365+Sens!G2365)/2*rent_mw/1000</f>
        <v>6.72084</v>
      </c>
      <c r="H2382" s="6" t="n">
        <f aca="false">(Sens!G2365+Sens!H2365)/2*rent_mw/1000</f>
        <v>6.72084</v>
      </c>
      <c r="I2382" s="6" t="n">
        <f aca="false">(Sens!H2365+Sens!I2365)/2*rent_mw/1000</f>
        <v>6.72084</v>
      </c>
      <c r="J2382" s="6" t="n">
        <f aca="false">(Sens!I2365+Sens!J2365)/2*rent_mw/1000</f>
        <v>6.72084</v>
      </c>
      <c r="K2382" s="6" t="n">
        <f aca="false">(Sens!J2365+Sens!K2365)/2*rent_mw/1000</f>
        <v>6.72084</v>
      </c>
    </row>
    <row r="2383" customFormat="false" ht="17.15" hidden="false" customHeight="false" outlineLevel="0" collapsed="false">
      <c r="A2383" s="0" t="s">
        <v>826</v>
      </c>
      <c r="B2383" s="0" t="s">
        <v>98</v>
      </c>
      <c r="D2383" s="6" t="n">
        <f aca="false">(Sens!C2367+Sens!D2367)/2*(1-self_build)*fac_rent/1000</f>
        <v>0.682593900504861</v>
      </c>
      <c r="E2383" s="6" t="n">
        <f aca="false">(Sens!D2367+Sens!E2367)/2*(1-self_build)*fac_rent/1000</f>
        <v>1.55964769126983</v>
      </c>
      <c r="F2383" s="6" t="n">
        <f aca="false">(Sens!E2367+Sens!F2367)/2*(1-self_build)*fac_rent/1000</f>
        <v>3.06421164219659</v>
      </c>
      <c r="G2383" s="6" t="n">
        <f aca="false">(Sens!F2367+Sens!G2367)/2*(1-self_build)*fac_rent/1000</f>
        <v>4.9883327277825</v>
      </c>
      <c r="H2383" s="6" t="n">
        <f aca="false">(Sens!G2367+Sens!H2367)/2*(1-self_build)*fac_rent/1000</f>
        <v>6.99420633866143</v>
      </c>
      <c r="I2383" s="6" t="n">
        <f aca="false">(Sens!H2367+Sens!I2367)/2*(1-self_build)*fac_rent/1000</f>
        <v>8.70875363508791</v>
      </c>
      <c r="J2383" s="6" t="n">
        <f aca="false">(Sens!I2367+Sens!J2367)/2*(1-self_build)*fac_rent/1000</f>
        <v>9.84064830260951</v>
      </c>
      <c r="K2383" s="6" t="n">
        <f aca="false">(Sens!J2367+Sens!K2367)/2*(1-self_build)*fac_rent/1000</f>
        <v>10.3898903412262</v>
      </c>
      <c r="L2383" s="11" t="s">
        <v>827</v>
      </c>
    </row>
    <row r="2384" customFormat="false" ht="17.15" hidden="false" customHeight="false" outlineLevel="0" collapsed="false">
      <c r="A2384" s="1" t="s">
        <v>828</v>
      </c>
      <c r="B2384" s="0" t="s">
        <v>129</v>
      </c>
      <c r="D2384" s="7" t="n">
        <f aca="false">(Sens!C2366+Sens!D2366)/(Sens!C2367+Sens!D2367)</f>
        <v>0.75</v>
      </c>
      <c r="E2384" s="7" t="n">
        <f aca="false">(Sens!D2366+Sens!E2366)/(Sens!D2367+Sens!E2367)</f>
        <v>0.75</v>
      </c>
      <c r="F2384" s="7" t="n">
        <f aca="false">(Sens!E2366+Sens!F2366)/(Sens!E2367+Sens!F2367)</f>
        <v>0.75</v>
      </c>
      <c r="G2384" s="7" t="n">
        <f aca="false">(Sens!F2366+Sens!G2366)/(Sens!F2367+Sens!G2367)</f>
        <v>0.75</v>
      </c>
      <c r="H2384" s="7" t="n">
        <f aca="false">(Sens!G2366+Sens!H2366)/(Sens!G2367+Sens!H2367)</f>
        <v>0.75</v>
      </c>
      <c r="I2384" s="7" t="n">
        <f aca="false">(Sens!H2366+Sens!I2366)/(Sens!H2367+Sens!I2367)</f>
        <v>0.75</v>
      </c>
      <c r="J2384" s="7" t="n">
        <f aca="false">(Sens!I2366+Sens!J2366)/(Sens!I2367+Sens!J2367)</f>
        <v>0.75</v>
      </c>
      <c r="K2384" s="7" t="n">
        <f aca="false">(Sens!J2366+Sens!K2366)/(Sens!J2367+Sens!K2367)</f>
        <v>0.75</v>
      </c>
    </row>
    <row r="2385" customFormat="false" ht="17.15" hidden="false" customHeight="false" outlineLevel="0" collapsed="false">
      <c r="A2385" s="0" t="s">
        <v>829</v>
      </c>
      <c r="B2385" s="0" t="s">
        <v>98</v>
      </c>
      <c r="D2385" s="6" t="n">
        <f aca="false">Sens!D2379-Sens!D2384*(Sens!D2381+Sens!D2383)-Sens!D2382</f>
        <v>8.35701406163072</v>
      </c>
      <c r="E2385" s="6" t="n">
        <f aca="false">Sens!E2379-Sens!E2384*(Sens!E2381+Sens!E2383)-Sens!E2382</f>
        <v>18.7103224860238</v>
      </c>
      <c r="F2385" s="6" t="n">
        <f aca="false">Sens!F2379-Sens!F2384*(Sens!F2381+Sens!F2383)-Sens!F2382</f>
        <v>43.1278534047371</v>
      </c>
      <c r="G2385" s="6" t="n">
        <f aca="false">Sens!G2379-Sens!G2384*(Sens!G2381+Sens!G2383)-Sens!G2382</f>
        <v>78.4713023799053</v>
      </c>
      <c r="H2385" s="6" t="n">
        <f aca="false">Sens!H2379-Sens!H2384*(Sens!H2381+Sens!H2383)-Sens!H2382</f>
        <v>120.169624261219</v>
      </c>
      <c r="I2385" s="6" t="n">
        <f aca="false">Sens!I2379-Sens!I2384*(Sens!I2381+Sens!I2383)-Sens!I2382</f>
        <v>151.932833835566</v>
      </c>
      <c r="J2385" s="6" t="n">
        <f aca="false">Sens!J2379-Sens!J2384*(Sens!J2381+Sens!J2383)-Sens!J2382</f>
        <v>174.211393919055</v>
      </c>
      <c r="K2385" s="6" t="n">
        <f aca="false">Sens!K2379-Sens!K2384*(Sens!K2381+Sens!K2383)-Sens!K2382</f>
        <v>188.427941042729</v>
      </c>
    </row>
    <row r="2386" customFormat="false" ht="17.15" hidden="false" customHeight="false" outlineLevel="0" collapsed="false">
      <c r="A2386" s="1" t="s">
        <v>830</v>
      </c>
      <c r="B2386" s="0" t="s">
        <v>98</v>
      </c>
      <c r="D2386" s="6" t="n">
        <f aca="false">(1-Sens!D2384)*(Sens!D2381+Sens!D2383)</f>
        <v>0.711405126870345</v>
      </c>
      <c r="E2386" s="6" t="n">
        <f aca="false">(1-Sens!E2384)*(Sens!E2381+Sens!E2383)</f>
        <v>1.62547799337236</v>
      </c>
      <c r="F2386" s="6" t="n">
        <f aca="false">(1-Sens!F2384)*(Sens!F2381+Sens!F2383)</f>
        <v>3.26646527525489</v>
      </c>
      <c r="G2386" s="6" t="n">
        <f aca="false">(1-Sens!G2384)*(Sens!G2381+Sens!G2383)</f>
        <v>5.39231558708256</v>
      </c>
      <c r="H2386" s="6" t="n">
        <f aca="false">(1-Sens!H2384)*(Sens!H2381+Sens!H2383)</f>
        <v>7.63171525100499</v>
      </c>
      <c r="I2386" s="6" t="n">
        <f aca="false">(1-Sens!I2384)*(Sens!I2381+Sens!I2383)</f>
        <v>9.57167641589886</v>
      </c>
      <c r="J2386" s="6" t="n">
        <f aca="false">(1-Sens!J2384)*(Sens!J2381+Sens!J2383)</f>
        <v>10.8789297355073</v>
      </c>
      <c r="K2386" s="6" t="n">
        <f aca="false">(1-Sens!K2384)*(Sens!K2381+Sens!K2383)</f>
        <v>11.5804747183366</v>
      </c>
    </row>
    <row r="2387" customFormat="false" ht="17.15" hidden="false" customHeight="false" outlineLevel="0" collapsed="false">
      <c r="A2387" s="1" t="s">
        <v>831</v>
      </c>
      <c r="B2387" s="0" t="s">
        <v>350</v>
      </c>
      <c r="C2387" s="8" t="n">
        <f aca="false">cxit_open</f>
        <v>27.5918995</v>
      </c>
      <c r="D2387" s="8" t="n">
        <f aca="false">cxit_open</f>
        <v>27.5918995</v>
      </c>
      <c r="E2387" s="8" t="n">
        <f aca="false">cxit_open</f>
        <v>27.5918995</v>
      </c>
      <c r="F2387" s="8" t="n">
        <f aca="false">(a_g3_27*tk_cxit_gb300+(1-a_g3_27)*tk_cxit_vr200)</f>
        <v>33.8419624</v>
      </c>
      <c r="G2387" s="8" t="n">
        <f aca="false">(a_g3_28*tk_cxit_gb300+(1-a_g3_28)*tk_cxit_vr200)</f>
        <v>35.9816136</v>
      </c>
      <c r="H2387" s="8" t="n">
        <f aca="false">(a_g3_29*tk_cxit_gb300+(1-a_g3_29)*tk_cxit_vr200)</f>
        <v>37.0514392</v>
      </c>
      <c r="I2387" s="8" t="n">
        <f aca="false">(a_g3_29*tk_cxit_gb300+(1-a_g3_29)*tk_cxit_vr200)</f>
        <v>37.0514392</v>
      </c>
      <c r="J2387" s="8" t="n">
        <f aca="false">(a_g3_29*tk_cxit_gb300+(1-a_g3_29)*tk_cxit_vr200)</f>
        <v>37.0514392</v>
      </c>
      <c r="K2387" s="8" t="n">
        <f aca="false">(a_g3_29*tk_cxit_gb300+(1-a_g3_29)*tk_cxit_vr200)</f>
        <v>37.0514392</v>
      </c>
      <c r="L2387" s="11" t="s">
        <v>832</v>
      </c>
    </row>
    <row r="2388" customFormat="false" ht="17.15" hidden="false" customHeight="false" outlineLevel="0" collapsed="false">
      <c r="A2388" s="0" t="s">
        <v>833</v>
      </c>
      <c r="B2388" s="0" t="s">
        <v>392</v>
      </c>
      <c r="F2388" s="29" t="n">
        <f aca="false">Sens!C2369*IF(Sens!F2362-Sens!C2362=life_it,1,0)+Sens!D2369*IF(Sens!F2362-Sens!D2362=life_it,1,0)+Sens!E2369*IF(Sens!F2362-Sens!E2362=life_it,1,0)</f>
        <v>0</v>
      </c>
      <c r="G2388" s="29" t="n">
        <f aca="false">Sens!C2369*IF(Sens!G2362-Sens!C2362=life_it,1,0)+Sens!D2369*IF(Sens!G2362-Sens!D2362=life_it,1,0)+Sens!E2369*IF(Sens!G2362-Sens!E2362=life_it,1,0)+Sens!F2369*IF(Sens!G2362-Sens!F2362=life_it,1,0)</f>
        <v>0</v>
      </c>
      <c r="H2388" s="29" t="n">
        <f aca="false">Sens!C2369*IF(Sens!H2362-Sens!C2362=life_it,1,0)+Sens!D2369*IF(Sens!H2362-Sens!D2362=life_it,1,0)+Sens!E2369*IF(Sens!H2362-Sens!E2362=life_it,1,0)+Sens!F2369*IF(Sens!H2362-Sens!F2362=life_it,1,0)+Sens!G2369*IF(Sens!H2362-Sens!G2362=life_it,1,0)</f>
        <v>0</v>
      </c>
      <c r="I2388" s="29" t="n">
        <f aca="false">Sens!C2369*IF(Sens!I2362-Sens!C2362=life_it,1,0)+Sens!D2369*IF(Sens!I2362-Sens!D2362=life_it,1,0)+Sens!E2369*IF(Sens!I2362-Sens!E2362=life_it,1,0)+Sens!F2369*IF(Sens!I2362-Sens!F2362=life_it,1,0)+Sens!G2369*IF(Sens!I2362-Sens!G2362=life_it,1,0)+Sens!H2369*IF(Sens!I2362-Sens!H2362=life_it,1,0)</f>
        <v>653.333333333333</v>
      </c>
      <c r="J2388" s="29" t="n">
        <f aca="false">Sens!C2369*IF(Sens!J2362-Sens!C2362=life_it,1,0)+Sens!D2369*IF(Sens!J2362-Sens!D2362=life_it,1,0)+Sens!E2369*IF(Sens!J2362-Sens!E2362=life_it,1,0)+Sens!F2369*IF(Sens!J2362-Sens!F2362=life_it,1,0)+Sens!G2369*IF(Sens!J2362-Sens!G2362=life_it,1,0)+Sens!H2369*IF(Sens!J2362-Sens!H2362=life_it,1,0)+Sens!I2369*IF(Sens!J2362-Sens!I2362=life_it,1,0)</f>
        <v>986.666666666667</v>
      </c>
      <c r="K2388" s="29" t="n">
        <f aca="false">Sens!C2369*IF(Sens!K2362-Sens!C2362=life_it,1,0)+Sens!D2369*IF(Sens!K2362-Sens!D2362=life_it,1,0)+Sens!E2369*IF(Sens!K2362-Sens!E2362=life_it,1,0)+Sens!F2369*IF(Sens!K2362-Sens!F2362=life_it,1,0)+Sens!G2369*IF(Sens!K2362-Sens!G2362=life_it,1,0)+Sens!H2369*IF(Sens!K2362-Sens!H2362=life_it,1,0)+Sens!I2369*IF(Sens!K2362-Sens!I2362=life_it,1,0)+Sens!J2369*IF(Sens!K2362-Sens!J2362=life_it,1,0)</f>
        <v>1960</v>
      </c>
      <c r="L2388" s="1" t="s">
        <v>834</v>
      </c>
    </row>
    <row r="2389" customFormat="false" ht="17.15" hidden="false" customHeight="false" outlineLevel="0" collapsed="false">
      <c r="A2389" s="0" t="s">
        <v>835</v>
      </c>
      <c r="B2389" s="0" t="s">
        <v>98</v>
      </c>
      <c r="C2389" s="6" t="n">
        <f aca="false">Sens!C2369*Sens!C2387/1000</f>
        <v>18.0267076733333</v>
      </c>
      <c r="D2389" s="6" t="n">
        <f aca="false">Sens!D2369*Sens!D2387/1000</f>
        <v>27.2240075066667</v>
      </c>
      <c r="E2389" s="6" t="n">
        <f aca="false">Sens!E2369*Sens!E2387/1000</f>
        <v>54.08012302</v>
      </c>
      <c r="F2389" s="6" t="n">
        <f aca="false">(Sens!F2369+Sens!F2388)*Sens!F2387/1000</f>
        <v>104.738617497173</v>
      </c>
      <c r="G2389" s="6" t="n">
        <f aca="false">(Sens!G2369+Sens!G2388)*Sens!G2387/1000</f>
        <v>121.24364518656</v>
      </c>
      <c r="H2389" s="6" t="n">
        <f aca="false">(Sens!H2369+Sens!H2388)*Sens!H2387/1000</f>
        <v>124.84852952832</v>
      </c>
      <c r="I2389" s="6" t="n">
        <f aca="false">(Sens!I2369+Sens!I2388)*Sens!I2387/1000</f>
        <v>112.790311547396</v>
      </c>
      <c r="J2389" s="6" t="n">
        <f aca="false">(Sens!J2369+Sens!J2388)*Sens!J2387/1000</f>
        <v>88.8756330224724</v>
      </c>
      <c r="K2389" s="6" t="n">
        <f aca="false">(Sens!K2369+Sens!K2388)*Sens!K2387/1000</f>
        <v>88.6738755855489</v>
      </c>
    </row>
    <row r="2390" customFormat="false" ht="17.15" hidden="false" customHeight="false" outlineLevel="0" collapsed="false">
      <c r="A2390" s="0" t="s">
        <v>836</v>
      </c>
      <c r="B2390" s="0" t="s">
        <v>98</v>
      </c>
      <c r="C2390" s="6" t="n">
        <f aca="false">Sens!C2369*self_build*tk_cxfac/1000</f>
        <v>4.96664</v>
      </c>
      <c r="D2390" s="6" t="n">
        <f aca="false">Sens!D2369*self_build*tk_cxfac/1000</f>
        <v>7.50064</v>
      </c>
      <c r="E2390" s="6" t="n">
        <f aca="false">Sens!E2369*self_build*tk_cxfac/1000</f>
        <v>14.89992</v>
      </c>
      <c r="F2390" s="6" t="n">
        <f aca="false">Sens!F2369*self_build*tk_cxfac/1000</f>
        <v>23.5276832</v>
      </c>
      <c r="G2390" s="6" t="n">
        <f aca="false">Sens!G2369*self_build*tk_cxfac/1000</f>
        <v>25.6156992</v>
      </c>
      <c r="H2390" s="6" t="n">
        <f aca="false">Sens!H2369*self_build*tk_cxfac/1000</f>
        <v>25.6156992</v>
      </c>
      <c r="I2390" s="6" t="n">
        <f aca="false">Sens!I2369*self_build*tk_cxfac/1000</f>
        <v>18.175023776</v>
      </c>
      <c r="J2390" s="6" t="n">
        <f aca="false">Sens!J2369*self_build*tk_cxfac/1000</f>
        <v>10.734348352</v>
      </c>
      <c r="K2390" s="6" t="n">
        <f aca="false">Sens!K2369*self_build*tk_cxfac/1000</f>
        <v>3.29367292800002</v>
      </c>
    </row>
    <row r="2391" customFormat="false" ht="17.15" hidden="false" customHeight="false" outlineLevel="0" collapsed="false">
      <c r="A2391" s="0" t="s">
        <v>837</v>
      </c>
      <c r="B2391" s="0" t="s">
        <v>98</v>
      </c>
      <c r="F2391" s="6" t="n">
        <f aca="false">MAX(0,capex_floor27-Sens!F2389-Sens!F2390-Sens!F2484)</f>
        <v>40.2043520732642</v>
      </c>
      <c r="L2391" s="1" t="s">
        <v>838</v>
      </c>
    </row>
    <row r="2392" customFormat="false" ht="17.15" hidden="false" customHeight="false" outlineLevel="0" collapsed="false">
      <c r="A2392" s="0" t="s">
        <v>839</v>
      </c>
      <c r="B2392" s="0" t="s">
        <v>98</v>
      </c>
      <c r="C2392" s="6" t="n">
        <f aca="false">Sens!C2389</f>
        <v>18.0267076733333</v>
      </c>
      <c r="D2392" s="6" t="n">
        <f aca="false">Sens!D2389</f>
        <v>27.2240075066667</v>
      </c>
      <c r="E2392" s="6" t="n">
        <f aca="false">Sens!E2389</f>
        <v>54.08012302</v>
      </c>
      <c r="F2392" s="6" t="n">
        <f aca="false">Sens!F2389+Sens!F2391</f>
        <v>144.942969570438</v>
      </c>
      <c r="G2392" s="6" t="n">
        <f aca="false">Sens!G2389</f>
        <v>121.24364518656</v>
      </c>
      <c r="H2392" s="6" t="n">
        <f aca="false">Sens!H2389</f>
        <v>124.84852952832</v>
      </c>
      <c r="I2392" s="6" t="n">
        <f aca="false">Sens!I2389</f>
        <v>112.790311547396</v>
      </c>
      <c r="J2392" s="6" t="n">
        <f aca="false">Sens!J2389</f>
        <v>88.8756330224724</v>
      </c>
      <c r="K2392" s="6" t="n">
        <f aca="false">Sens!K2389</f>
        <v>88.6738755855489</v>
      </c>
    </row>
    <row r="2393" customFormat="false" ht="17.15" hidden="false" customHeight="false" outlineLevel="0" collapsed="false">
      <c r="A2393" s="0" t="s">
        <v>840</v>
      </c>
      <c r="B2393" s="0" t="s">
        <v>98</v>
      </c>
      <c r="C2393" s="6" t="n">
        <f aca="false">Sens!C2392+Sens!C2390</f>
        <v>22.9933476733333</v>
      </c>
      <c r="D2393" s="6" t="n">
        <f aca="false">Sens!D2392+Sens!D2390</f>
        <v>34.7246475066667</v>
      </c>
      <c r="E2393" s="6" t="n">
        <f aca="false">Sens!E2392+Sens!E2390</f>
        <v>68.98004302</v>
      </c>
      <c r="F2393" s="6" t="n">
        <f aca="false">Sens!F2392+Sens!F2390</f>
        <v>168.470652770438</v>
      </c>
      <c r="G2393" s="6" t="n">
        <f aca="false">Sens!G2392+Sens!G2390</f>
        <v>146.85934438656</v>
      </c>
      <c r="H2393" s="6" t="n">
        <f aca="false">Sens!H2392+Sens!H2390</f>
        <v>150.46422872832</v>
      </c>
      <c r="I2393" s="6" t="n">
        <f aca="false">Sens!I2392+Sens!I2390</f>
        <v>130.965335323396</v>
      </c>
      <c r="J2393" s="6" t="n">
        <f aca="false">Sens!J2392+Sens!J2390</f>
        <v>99.6099813744724</v>
      </c>
      <c r="K2393" s="6" t="n">
        <f aca="false">Sens!K2392+Sens!K2390</f>
        <v>91.9675485135489</v>
      </c>
      <c r="L2393" s="11" t="s">
        <v>841</v>
      </c>
    </row>
    <row r="2394" customFormat="false" ht="17.15" hidden="false" customHeight="false" outlineLevel="0" collapsed="false">
      <c r="A2394" s="0" t="s">
        <v>842</v>
      </c>
      <c r="B2394" s="0" t="s">
        <v>98</v>
      </c>
      <c r="E2394" s="6" t="n">
        <f aca="false">(Sens!C2392*IF(2&lt;life_it,1,IF(2=life_it,0.5,0))+Sens!D2392*IF(1&lt;life_it,1,IF(1=life_it,0.5,0))+Sens!E2392*0.5)/life_it</f>
        <v>12.0484627816667</v>
      </c>
      <c r="F2394" s="6" t="n">
        <f aca="false">(Sens!C2392*IF(3&lt;life_it,1,IF(3=life_it,0.5,0))+Sens!D2392*IF(2&lt;life_it,1,IF(2=life_it,0.5,0))+Sens!E2392*IF(1&lt;life_it,1,IF(1=life_it,0.5,0))+Sens!F2392*0.5)/life_it</f>
        <v>28.6337204975365</v>
      </c>
      <c r="G2394" s="6" t="n">
        <f aca="false">(Sens!C2392*IF(4&lt;life_it,1,IF(4=life_it,0.5,0))+Sens!D2392*IF(3&lt;life_it,1,IF(3=life_it,0.5,0))+Sens!E2392*IF(2&lt;life_it,1,IF(2=life_it,0.5,0))+Sens!F2392*IF(1&lt;life_it,1,IF(1=life_it,0.5,0))+Sens!G2392*0.5)/life_it</f>
        <v>50.8159383939529</v>
      </c>
      <c r="H2394" s="6" t="n">
        <f aca="false">(Sens!C2392*IF(5&lt;life_it,1,IF(5=life_it,0.5,0))+Sens!D2392*IF(4&lt;life_it,1,IF(4=life_it,0.5,0))+Sens!E2392*IF(3&lt;life_it,1,IF(3=life_it,0.5,0))+Sens!F2392*IF(2&lt;life_it,1,IF(2=life_it,0.5,0))+Sens!G2392*IF(1&lt;life_it,1,IF(1=life_it,0.5,0))+Sens!H2392*0.5)/life_it</f>
        <v>71.3236196201929</v>
      </c>
      <c r="I2394" s="6" t="n">
        <f aca="false">(Sens!C2392*IF(6&lt;life_it,1,IF(6=life_it,0.5,0))+Sens!D2392*IF(5&lt;life_it,1,IF(5=life_it,0.5,0))+Sens!E2392*IF(4&lt;life_it,1,IF(4=life_it,0.5,0))+Sens!F2392*IF(3&lt;life_it,1,IF(3=life_it,0.5,0))+Sens!G2392*IF(2&lt;life_it,1,IF(2=life_it,0.5,0))+Sens!H2392*IF(1&lt;life_it,1,IF(1=life_it,0.5,0))+Sens!I2392*0.5)/life_it</f>
        <v>89.6246307370582</v>
      </c>
      <c r="J2394" s="6" t="n">
        <f aca="false">(Sens!C2392*IF(7&lt;life_it,1,IF(7=life_it,0.5,0))+Sens!D2392*IF(6&lt;life_it,1,IF(6=life_it,0.5,0))+Sens!E2392*IF(5&lt;life_it,1,IF(5=life_it,0.5,0))+Sens!F2392*IF(4&lt;life_it,1,IF(4=life_it,0.5,0))+Sens!G2392*IF(3&lt;life_it,1,IF(3=life_it,0.5,0))+Sens!H2392*IF(2&lt;life_it,1,IF(2=life_it,0.5,0))+Sens!I2392*IF(1&lt;life_it,1,IF(1=life_it,0.5,0))+Sens!J2392*0.5)/life_it</f>
        <v>102.659233186214</v>
      </c>
      <c r="K2394" s="6" t="n">
        <f aca="false">(Sens!C2392*IF(8&lt;life_it,1,IF(8=life_it,0.5,0))+Sens!D2392*IF(7&lt;life_it,1,IF(7=life_it,0.5,0))+Sens!E2392*IF(6&lt;life_it,1,IF(6=life_it,0.5,0))+Sens!F2392*IF(5&lt;life_it,1,IF(5=life_it,0.5,0))+Sens!G2392*IF(4&lt;life_it,1,IF(4=life_it,0.5,0))+Sens!H2392*IF(3&lt;life_it,1,IF(3=life_it,0.5,0))+Sens!I2392*IF(2&lt;life_it,1,IF(2=life_it,0.5,0))+Sens!J2392*IF(1&lt;life_it,1,IF(1=life_it,0.5,0))+Sens!K2392*0.5)/life_it</f>
        <v>110.67968135966</v>
      </c>
    </row>
    <row r="2395" customFormat="false" ht="17.15" hidden="false" customHeight="false" outlineLevel="0" collapsed="false">
      <c r="A2395" s="0" t="s">
        <v>843</v>
      </c>
      <c r="B2395" s="0" t="s">
        <v>98</v>
      </c>
      <c r="E2395" s="6" t="n">
        <f aca="false">(Sens!C2390*IF(2&lt;life_fac,1,IF(2=life_fac,0.5,0))+Sens!D2390*IF(1&lt;life_fac,1,IF(1=life_fac,0.5,0))+Sens!E2390*0.5)/life_fac</f>
        <v>0.995862</v>
      </c>
      <c r="F2395" s="6" t="n">
        <f aca="false">(Sens!C2390*IF(3&lt;life_fac,1,IF(3=life_fac,0.5,0))+Sens!D2390*IF(2&lt;life_fac,1,IF(2=life_fac,0.5,0))+Sens!E2390*IF(1&lt;life_fac,1,IF(1=life_fac,0.5,0))+Sens!F2390*0.5)/life_fac</f>
        <v>1.95655208</v>
      </c>
      <c r="G2395" s="6" t="n">
        <f aca="false">(Sens!C2390*IF(4&lt;life_fac,1,IF(4=life_fac,0.5,0))+Sens!D2390*IF(3&lt;life_fac,1,IF(3=life_fac,0.5,0))+Sens!E2390*IF(2&lt;life_fac,1,IF(2=life_fac,0.5,0))+Sens!F2390*IF(1&lt;life_fac,1,IF(1=life_fac,0.5,0))+Sens!G2390*0.5)/life_fac</f>
        <v>3.18513664</v>
      </c>
      <c r="H2395" s="6" t="n">
        <f aca="false">(Sens!C2390*IF(5&lt;life_fac,1,IF(5=life_fac,0.5,0))+Sens!D2390*IF(4&lt;life_fac,1,IF(4=life_fac,0.5,0))+Sens!E2390*IF(3&lt;life_fac,1,IF(3=life_fac,0.5,0))+Sens!F2390*IF(2&lt;life_fac,1,IF(2=life_fac,0.5,0))+Sens!G2390*IF(1&lt;life_fac,1,IF(1=life_fac,0.5,0))+Sens!H2390*0.5)/life_fac</f>
        <v>4.4659216</v>
      </c>
      <c r="I2395" s="6" t="n">
        <f aca="false">(Sens!C2390*IF(6&lt;life_fac,1,IF(6=life_fac,0.5,0))+Sens!D2390*IF(5&lt;life_fac,1,IF(5=life_fac,0.5,0))+Sens!E2390*IF(4&lt;life_fac,1,IF(4=life_fac,0.5,0))+Sens!F2390*IF(3&lt;life_fac,1,IF(3=life_fac,0.5,0))+Sens!G2390*IF(2&lt;life_fac,1,IF(2=life_fac,0.5,0))+Sens!H2390*IF(1&lt;life_fac,1,IF(1=life_fac,0.5,0))+Sens!I2390*0.5)/life_fac</f>
        <v>5.5606896744</v>
      </c>
      <c r="J2395" s="6" t="n">
        <f aca="false">(Sens!C2390*IF(7&lt;life_fac,1,IF(7=life_fac,0.5,0))+Sens!D2390*IF(6&lt;life_fac,1,IF(6=life_fac,0.5,0))+Sens!E2390*IF(5&lt;life_fac,1,IF(5=life_fac,0.5,0))+Sens!F2390*IF(4&lt;life_fac,1,IF(4=life_fac,0.5,0))+Sens!G2390*IF(3&lt;life_fac,1,IF(3=life_fac,0.5,0))+Sens!H2390*IF(2&lt;life_fac,1,IF(2=life_fac,0.5,0))+Sens!I2390*IF(1&lt;life_fac,1,IF(1=life_fac,0.5,0))+Sens!J2390*0.5)/life_fac</f>
        <v>6.2834239776</v>
      </c>
      <c r="K2395" s="6" t="n">
        <f aca="false">(Sens!C2390*IF(8&lt;life_fac,1,IF(8=life_fac,0.5,0))+Sens!D2390*IF(7&lt;life_fac,1,IF(7=life_fac,0.5,0))+Sens!E2390*IF(6&lt;life_fac,1,IF(6=life_fac,0.5,0))+Sens!F2390*IF(5&lt;life_fac,1,IF(5=life_fac,0.5,0))+Sens!G2390*IF(4&lt;life_fac,1,IF(4=life_fac,0.5,0))+Sens!H2390*IF(3&lt;life_fac,1,IF(3=life_fac,0.5,0))+Sens!I2390*IF(2&lt;life_fac,1,IF(2=life_fac,0.5,0))+Sens!J2390*IF(1&lt;life_fac,1,IF(1=life_fac,0.5,0))+Sens!K2390*0.5)/life_fac</f>
        <v>6.6341245096</v>
      </c>
    </row>
    <row r="2396" customFormat="false" ht="17.15" hidden="false" customHeight="false" outlineLevel="0" collapsed="false">
      <c r="A2396" s="0" t="s">
        <v>844</v>
      </c>
      <c r="B2396" s="0" t="s">
        <v>98</v>
      </c>
      <c r="E2396" s="6" t="n">
        <f aca="false">Sens!E2394+Sens!E2395</f>
        <v>13.0443247816667</v>
      </c>
      <c r="F2396" s="6" t="n">
        <f aca="false">Sens!F2394+Sens!F2395</f>
        <v>30.5902725775365</v>
      </c>
      <c r="G2396" s="6" t="n">
        <f aca="false">Sens!G2394+Sens!G2395</f>
        <v>54.0010750339529</v>
      </c>
      <c r="H2396" s="6" t="n">
        <f aca="false">Sens!H2394+Sens!H2395</f>
        <v>75.7895412201929</v>
      </c>
      <c r="I2396" s="6" t="n">
        <f aca="false">Sens!I2394+Sens!I2395</f>
        <v>95.1853204114582</v>
      </c>
      <c r="J2396" s="6" t="n">
        <f aca="false">Sens!J2394+Sens!J2395</f>
        <v>108.942657163814</v>
      </c>
      <c r="K2396" s="6" t="n">
        <f aca="false">Sens!K2394+Sens!K2395</f>
        <v>117.31380586926</v>
      </c>
    </row>
    <row r="2397" customFormat="false" ht="17.15" hidden="false" customHeight="false" outlineLevel="0" collapsed="false">
      <c r="A2397" s="0" t="s">
        <v>845</v>
      </c>
      <c r="B2397" s="0" t="s">
        <v>98</v>
      </c>
      <c r="E2397" s="6" t="n">
        <f aca="false">Sens!E2385-Sens!E2384*Sens!E2396</f>
        <v>8.92707889977379</v>
      </c>
      <c r="F2397" s="6" t="n">
        <f aca="false">Sens!F2385-Sens!F2384*Sens!F2396</f>
        <v>20.1851489715848</v>
      </c>
      <c r="G2397" s="6" t="n">
        <f aca="false">Sens!G2385-Sens!G2384*Sens!G2396</f>
        <v>37.9704961044406</v>
      </c>
      <c r="H2397" s="6" t="n">
        <f aca="false">Sens!H2385-Sens!H2384*Sens!H2396</f>
        <v>63.3274683460742</v>
      </c>
      <c r="I2397" s="6" t="n">
        <f aca="false">Sens!I2385-Sens!I2384*Sens!I2396</f>
        <v>80.5438435269723</v>
      </c>
      <c r="J2397" s="6" t="n">
        <f aca="false">Sens!J2385-Sens!J2384*Sens!J2396</f>
        <v>92.5044010461945</v>
      </c>
      <c r="K2397" s="6" t="n">
        <f aca="false">Sens!K2385-Sens!K2384*Sens!K2396</f>
        <v>100.442586640784</v>
      </c>
    </row>
    <row r="2398" customFormat="false" ht="17.15" hidden="false" customHeight="false" outlineLevel="0" collapsed="false">
      <c r="A2398" s="3" t="s">
        <v>1295</v>
      </c>
    </row>
    <row r="2399" customFormat="false" ht="15" hidden="false" customHeight="false" outlineLevel="0" collapsed="false">
      <c r="A2399" s="4" t="s">
        <v>43</v>
      </c>
      <c r="B2399" s="4" t="s">
        <v>65</v>
      </c>
      <c r="C2399" s="20" t="s">
        <v>788</v>
      </c>
      <c r="D2399" s="20" t="s">
        <v>789</v>
      </c>
      <c r="E2399" s="20" t="s">
        <v>790</v>
      </c>
      <c r="F2399" s="20" t="s">
        <v>791</v>
      </c>
      <c r="G2399" s="20" t="s">
        <v>792</v>
      </c>
      <c r="H2399" s="20" t="s">
        <v>793</v>
      </c>
      <c r="I2399" s="20" t="s">
        <v>794</v>
      </c>
      <c r="J2399" s="20" t="s">
        <v>795</v>
      </c>
      <c r="K2399" s="20" t="s">
        <v>796</v>
      </c>
      <c r="L2399" s="4" t="s">
        <v>47</v>
      </c>
    </row>
    <row r="2400" customFormat="false" ht="17.15" hidden="false" customHeight="false" outlineLevel="0" collapsed="false">
      <c r="A2400" s="0" t="s">
        <v>864</v>
      </c>
      <c r="B2400" s="0" t="s">
        <v>98</v>
      </c>
      <c r="D2400" s="6" t="n">
        <f aca="false">Sens!D2379</f>
        <v>12.9359794422418</v>
      </c>
      <c r="E2400" s="6" t="n">
        <f aca="false">Sens!E2379</f>
        <v>27.8095064661409</v>
      </c>
      <c r="F2400" s="6" t="n">
        <f aca="false">Sens!F2379</f>
        <v>58.7324192305018</v>
      </c>
      <c r="G2400" s="6" t="n">
        <f aca="false">Sens!G2379</f>
        <v>101.369089141153</v>
      </c>
      <c r="H2400" s="6" t="n">
        <f aca="false">Sens!H2379</f>
        <v>149.785610014234</v>
      </c>
      <c r="I2400" s="6" t="n">
        <f aca="false">Sens!I2379</f>
        <v>187.368703083263</v>
      </c>
      <c r="J2400" s="6" t="n">
        <f aca="false">Sens!J2379</f>
        <v>213.569023125577</v>
      </c>
      <c r="K2400" s="6" t="n">
        <f aca="false">Sens!K2379</f>
        <v>229.890205197739</v>
      </c>
    </row>
    <row r="2401" customFormat="false" ht="17.15" hidden="false" customHeight="false" outlineLevel="0" collapsed="false">
      <c r="A2401" s="0" t="s">
        <v>865</v>
      </c>
      <c r="B2401" s="0" t="s">
        <v>98</v>
      </c>
      <c r="D2401" s="6" t="n">
        <f aca="false">Q!L6-Sens!D2400</f>
        <v>59.6740205577583</v>
      </c>
      <c r="E2401" s="6" t="n">
        <f aca="false">Q!M6-Sens!E2400</f>
        <v>74.1284935338591</v>
      </c>
      <c r="F2401" s="6" t="n">
        <f aca="false">Sens!E2401*(1+Sens!F2402)</f>
        <v>90.0799497373663</v>
      </c>
      <c r="G2401" s="6" t="n">
        <f aca="false">Sens!F2401*(1+Sens!G2402)</f>
        <v>107.02842520331</v>
      </c>
      <c r="H2401" s="6" t="n">
        <f aca="false">Sens!G2401*(1+Sens!H2402)</f>
        <v>124.271982585636</v>
      </c>
      <c r="I2401" s="6" t="n">
        <f aca="false">Sens!H2401*(1+Sens!I2402)</f>
        <v>140.933702381855</v>
      </c>
      <c r="J2401" s="6" t="n">
        <f aca="false">Sens!I2401*(1+Sens!J2402)</f>
        <v>156.018867314332</v>
      </c>
      <c r="K2401" s="6" t="n">
        <f aca="false">Sens!J2401*(1+Sens!K2402)</f>
        <v>168.500376699478</v>
      </c>
    </row>
    <row r="2402" customFormat="false" ht="15" hidden="false" customHeight="false" outlineLevel="0" collapsed="false">
      <c r="A2402" s="1" t="s">
        <v>866</v>
      </c>
      <c r="B2402" s="0" t="s">
        <v>129</v>
      </c>
      <c r="E2402" s="7" t="n">
        <f aca="false">Sens!E2401/Sens!D2401-1</f>
        <v>0.242223883039864</v>
      </c>
      <c r="F2402" s="7" t="n">
        <f aca="false">Sens!$E$2402+(glt_azo-Sens!$E$2402)*MIN(1,(Sens!F2362-base_fy)/n_conv)</f>
        <v>0.215186569199887</v>
      </c>
      <c r="G2402" s="7" t="n">
        <f aca="false">Sens!$E$2402+(glt_azo-Sens!$E$2402)*MIN(1,(Sens!G2362-base_fy)/n_conv)</f>
        <v>0.18814925535991</v>
      </c>
      <c r="H2402" s="7" t="n">
        <f aca="false">Sens!$E$2402+(glt_azo-Sens!$E$2402)*MIN(1,(Sens!H2362-base_fy)/n_conv)</f>
        <v>0.161111941519932</v>
      </c>
      <c r="I2402" s="7" t="n">
        <f aca="false">Sens!$E$2402+(glt_azo-Sens!$E$2402)*MIN(1,(Sens!I2362-base_fy)/n_conv)</f>
        <v>0.134074627679955</v>
      </c>
      <c r="J2402" s="7" t="n">
        <f aca="false">Sens!$E$2402+(glt_azo-Sens!$E$2402)*MIN(1,(Sens!J2362-base_fy)/n_conv)</f>
        <v>0.107037313839977</v>
      </c>
      <c r="K2402" s="7" t="n">
        <f aca="false">Sens!$E$2402+(glt_azo-Sens!$E$2402)*MIN(1,(Sens!K2362-base_fy)/n_conv)</f>
        <v>0.08</v>
      </c>
    </row>
    <row r="2403" customFormat="false" ht="15" hidden="false" customHeight="false" outlineLevel="0" collapsed="false">
      <c r="A2403" s="0" t="s">
        <v>867</v>
      </c>
      <c r="B2403" s="0" t="s">
        <v>98</v>
      </c>
      <c r="D2403" s="6" t="n">
        <f aca="false">Sens!D2400+Sens!D2401</f>
        <v>72.61</v>
      </c>
      <c r="E2403" s="6" t="n">
        <f aca="false">Sens!E2400+Sens!E2401</f>
        <v>101.938</v>
      </c>
      <c r="F2403" s="6" t="n">
        <f aca="false">Sens!F2400+Sens!F2401</f>
        <v>148.812368967868</v>
      </c>
      <c r="G2403" s="6" t="n">
        <f aca="false">Sens!G2400+Sens!G2401</f>
        <v>208.397514344463</v>
      </c>
      <c r="H2403" s="6" t="n">
        <f aca="false">Sens!H2400+Sens!H2401</f>
        <v>274.05759259987</v>
      </c>
      <c r="I2403" s="6" t="n">
        <f aca="false">Sens!I2400+Sens!I2401</f>
        <v>328.302405465117</v>
      </c>
      <c r="J2403" s="6" t="n">
        <f aca="false">Sens!J2400+Sens!J2401</f>
        <v>369.587890439908</v>
      </c>
      <c r="K2403" s="6" t="n">
        <f aca="false">Sens!K2400+Sens!K2401</f>
        <v>398.390581897217</v>
      </c>
    </row>
    <row r="2404" customFormat="false" ht="17.15" hidden="false" customHeight="false" outlineLevel="0" collapsed="false">
      <c r="A2404" s="0" t="s">
        <v>868</v>
      </c>
      <c r="B2404" s="1" t="s">
        <v>521</v>
      </c>
      <c r="C2404" s="29" t="n">
        <f aca="false">cop_s24</f>
        <v>1</v>
      </c>
      <c r="D2404" s="29" t="n">
        <f aca="false">cop_s25</f>
        <v>5</v>
      </c>
      <c r="E2404" s="29" t="n">
        <f aca="false">cop_s26</f>
        <v>30</v>
      </c>
      <c r="F2404" s="29" t="n">
        <f aca="false">Sens!E2404+cop_add_A</f>
        <v>60</v>
      </c>
      <c r="G2404" s="29" t="n">
        <f aca="false">Sens!F2404+cop_add_A</f>
        <v>90</v>
      </c>
      <c r="H2404" s="29" t="n">
        <f aca="false">Sens!G2404+cop_add_A</f>
        <v>120</v>
      </c>
      <c r="I2404" s="29" t="n">
        <f aca="false">Sens!H2404+cop_add_A*cop_tail</f>
        <v>135</v>
      </c>
      <c r="J2404" s="29" t="n">
        <f aca="false">Sens!I2404+cop_add_A*cop_tail</f>
        <v>150</v>
      </c>
      <c r="K2404" s="29" t="n">
        <f aca="false">Sens!J2404+cop_add_A*cop_tail</f>
        <v>165</v>
      </c>
      <c r="L2404" s="11" t="s">
        <v>869</v>
      </c>
    </row>
    <row r="2405" customFormat="false" ht="17.15" hidden="false" customHeight="false" outlineLevel="0" collapsed="false">
      <c r="A2405" s="0" t="s">
        <v>870</v>
      </c>
      <c r="B2405" s="0" t="s">
        <v>98</v>
      </c>
      <c r="D2405" s="6" t="n">
        <f aca="false">(Sens!C2404+Sens!D2404)/2*cop_px*12/1000</f>
        <v>0.9</v>
      </c>
      <c r="E2405" s="6" t="n">
        <f aca="false">(Sens!D2404+Sens!E2404)/2*cop_px*12/1000</f>
        <v>5.25</v>
      </c>
      <c r="F2405" s="6" t="n">
        <f aca="false">(Sens!E2404+Sens!F2404)/2*cop_px*12/1000</f>
        <v>13.5</v>
      </c>
      <c r="G2405" s="6" t="n">
        <f aca="false">(Sens!F2404+Sens!G2404)/2*cop_px*12/1000</f>
        <v>22.5</v>
      </c>
      <c r="H2405" s="6" t="n">
        <f aca="false">(Sens!G2404+Sens!H2404)/2*cop_px*12/1000</f>
        <v>31.5</v>
      </c>
      <c r="I2405" s="6" t="n">
        <f aca="false">(Sens!H2404+Sens!I2404)/2*cop_px*12/1000</f>
        <v>38.25</v>
      </c>
      <c r="J2405" s="6" t="n">
        <f aca="false">(Sens!I2404+Sens!J2404)/2*cop_px*12/1000</f>
        <v>42.75</v>
      </c>
      <c r="K2405" s="6" t="n">
        <f aca="false">(Sens!J2404+Sens!K2404)/2*cop_px*12/1000</f>
        <v>47.25</v>
      </c>
      <c r="L2405" s="1" t="s">
        <v>871</v>
      </c>
    </row>
    <row r="2406" customFormat="false" ht="17.15" hidden="false" customHeight="false" outlineLevel="0" collapsed="false">
      <c r="A2406" s="0" t="s">
        <v>872</v>
      </c>
      <c r="B2406" s="0" t="s">
        <v>98</v>
      </c>
      <c r="D2406" s="6" t="n">
        <f aca="false">Q!L7-Sens!D2405</f>
        <v>83.705</v>
      </c>
      <c r="E2406" s="6" t="n">
        <f aca="false">Q!M7-Sens!E2405</f>
        <v>95.049</v>
      </c>
      <c r="F2406" s="6" t="n">
        <f aca="false">Sens!E2406*(1+Sens!F2407)</f>
        <v>106.89238776686</v>
      </c>
      <c r="G2406" s="6" t="n">
        <f aca="false">Sens!F2406*(1+Sens!G2407)</f>
        <v>119.044168448684</v>
      </c>
      <c r="H2406" s="6" t="n">
        <f aca="false">Sens!G2406*(1+Sens!H2407)</f>
        <v>131.277359388781</v>
      </c>
      <c r="I2406" s="6" t="n">
        <f aca="false">Sens!H2406*(1+Sens!I2407)</f>
        <v>143.334028071957</v>
      </c>
      <c r="J2406" s="6" t="n">
        <f aca="false">Sens!I2406*(1+Sens!J2407)</f>
        <v>154.932702785465</v>
      </c>
      <c r="K2406" s="6" t="n">
        <f aca="false">Sens!J2406*(1+Sens!K2407)</f>
        <v>165.777991980448</v>
      </c>
    </row>
    <row r="2407" customFormat="false" ht="15" hidden="false" customHeight="false" outlineLevel="0" collapsed="false">
      <c r="A2407" s="1" t="s">
        <v>866</v>
      </c>
      <c r="B2407" s="0" t="s">
        <v>129</v>
      </c>
      <c r="E2407" s="7" t="n">
        <f aca="false">Sens!E2406/Sens!D2406-1</f>
        <v>0.135523564900544</v>
      </c>
      <c r="F2407" s="7" t="n">
        <f aca="false">Sens!$E$2407+(glt_m365b-Sens!$E$2407)*MIN(1,(Sens!F2362-base_fy)/n_conv)</f>
        <v>0.124602970750453</v>
      </c>
      <c r="G2407" s="7" t="n">
        <f aca="false">Sens!$E$2407+(glt_m365b-Sens!$E$2407)*MIN(1,(Sens!G2362-base_fy)/n_conv)</f>
        <v>0.113682376600363</v>
      </c>
      <c r="H2407" s="7" t="n">
        <f aca="false">Sens!$E$2407+(glt_m365b-Sens!$E$2407)*MIN(1,(Sens!H2362-base_fy)/n_conv)</f>
        <v>0.102761782450272</v>
      </c>
      <c r="I2407" s="7" t="n">
        <f aca="false">Sens!$E$2407+(glt_m365b-Sens!$E$2407)*MIN(1,(Sens!I2362-base_fy)/n_conv)</f>
        <v>0.0918411883001813</v>
      </c>
      <c r="J2407" s="7" t="n">
        <f aca="false">Sens!$E$2407+(glt_m365b-Sens!$E$2407)*MIN(1,(Sens!J2362-base_fy)/n_conv)</f>
        <v>0.0809205941500906</v>
      </c>
      <c r="K2407" s="7" t="n">
        <f aca="false">Sens!$E$2407+(glt_m365b-Sens!$E$2407)*MIN(1,(Sens!K2362-base_fy)/n_conv)</f>
        <v>0.07</v>
      </c>
    </row>
    <row r="2408" customFormat="false" ht="15" hidden="false" customHeight="false" outlineLevel="0" collapsed="false">
      <c r="A2408" s="0" t="s">
        <v>873</v>
      </c>
      <c r="B2408" s="0" t="s">
        <v>98</v>
      </c>
      <c r="D2408" s="6" t="n">
        <f aca="false">Sens!D2406+Sens!D2405</f>
        <v>84.605</v>
      </c>
      <c r="E2408" s="6" t="n">
        <f aca="false">Sens!E2406+Sens!E2405</f>
        <v>100.299</v>
      </c>
      <c r="F2408" s="6" t="n">
        <f aca="false">Sens!F2406+Sens!F2405</f>
        <v>120.39238776686</v>
      </c>
      <c r="G2408" s="6" t="n">
        <f aca="false">Sens!G2406+Sens!G2405</f>
        <v>141.544168448684</v>
      </c>
      <c r="H2408" s="6" t="n">
        <f aca="false">Sens!H2406+Sens!H2405</f>
        <v>162.777359388781</v>
      </c>
      <c r="I2408" s="6" t="n">
        <f aca="false">Sens!I2406+Sens!I2405</f>
        <v>181.584028071957</v>
      </c>
      <c r="J2408" s="6" t="n">
        <f aca="false">Sens!J2406+Sens!J2405</f>
        <v>197.682702785465</v>
      </c>
      <c r="K2408" s="6" t="n">
        <f aca="false">Sens!K2406+Sens!K2405</f>
        <v>213.027991980448</v>
      </c>
    </row>
    <row r="2409" customFormat="false" ht="15" hidden="false" customHeight="false" outlineLevel="0" collapsed="false">
      <c r="A2409" s="0" t="s">
        <v>874</v>
      </c>
      <c r="B2409" s="0" t="s">
        <v>98</v>
      </c>
      <c r="D2409" s="6" t="n">
        <f aca="false">Q!L8</f>
        <v>35.391</v>
      </c>
      <c r="E2409" s="6" t="n">
        <f aca="false">Q!M8</f>
        <v>37.285</v>
      </c>
      <c r="F2409" s="6" t="n">
        <f aca="false">Sens!E2409*(1+Sens!F2410)</f>
        <v>39.0720834331704</v>
      </c>
      <c r="G2409" s="6" t="n">
        <f aca="false">Sens!F2409*(1+Sens!G2410)</f>
        <v>40.726562953769</v>
      </c>
      <c r="H2409" s="6" t="n">
        <f aca="false">Sens!G2409*(1+Sens!H2410)</f>
        <v>42.2235987259198</v>
      </c>
      <c r="I2409" s="6" t="n">
        <f aca="false">Sens!H2409*(1+Sens!I2410)</f>
        <v>43.5397988077414</v>
      </c>
      <c r="J2409" s="6" t="n">
        <f aca="false">Sens!I2409*(1+Sens!J2410)</f>
        <v>44.653811225693</v>
      </c>
      <c r="K2409" s="6" t="n">
        <f aca="false">Sens!J2409*(1+Sens!K2410)</f>
        <v>45.5468874502068</v>
      </c>
    </row>
    <row r="2410" customFormat="false" ht="15" hidden="false" customHeight="false" outlineLevel="0" collapsed="false">
      <c r="A2410" s="1" t="s">
        <v>866</v>
      </c>
      <c r="B2410" s="0" t="s">
        <v>129</v>
      </c>
      <c r="E2410" s="7" t="n">
        <f aca="false">Sens!E2409/Sens!D2409-1</f>
        <v>0.0535164307309768</v>
      </c>
      <c r="F2410" s="7" t="n">
        <f aca="false">Sens!$E$2410+(glt_lic-Sens!$E$2410)*MIN(1,(Sens!F2362-base_fy)/n_conv)</f>
        <v>0.0479303589424807</v>
      </c>
      <c r="G2410" s="7" t="n">
        <f aca="false">Sens!$E$2410+(glt_lic-Sens!$E$2410)*MIN(1,(Sens!G2362-base_fy)/n_conv)</f>
        <v>0.0423442871539845</v>
      </c>
      <c r="H2410" s="7" t="n">
        <f aca="false">Sens!$E$2410+(glt_lic-Sens!$E$2410)*MIN(1,(Sens!H2362-base_fy)/n_conv)</f>
        <v>0.0367582153654884</v>
      </c>
      <c r="I2410" s="7" t="n">
        <f aca="false">Sens!$E$2410+(glt_lic-Sens!$E$2410)*MIN(1,(Sens!I2362-base_fy)/n_conv)</f>
        <v>0.0311721435769923</v>
      </c>
      <c r="J2410" s="7" t="n">
        <f aca="false">Sens!$E$2410+(glt_lic-Sens!$E$2410)*MIN(1,(Sens!J2362-base_fy)/n_conv)</f>
        <v>0.0255860717884961</v>
      </c>
      <c r="K2410" s="7" t="n">
        <f aca="false">Sens!$E$2410+(glt_lic-Sens!$E$2410)*MIN(1,(Sens!K2362-base_fy)/n_conv)</f>
        <v>0.02</v>
      </c>
    </row>
    <row r="2411" customFormat="false" ht="15" hidden="false" customHeight="false" outlineLevel="0" collapsed="false">
      <c r="A2411" s="0" t="s">
        <v>875</v>
      </c>
      <c r="B2411" s="0" t="s">
        <v>98</v>
      </c>
      <c r="D2411" s="6" t="n">
        <f aca="false">Q!L9</f>
        <v>18.417</v>
      </c>
      <c r="E2411" s="6" t="n">
        <f aca="false">Q!M9</f>
        <v>20.345</v>
      </c>
      <c r="F2411" s="6" t="n">
        <f aca="false">Sens!E2411*(1+Sens!F2412)</f>
        <v>22.3572203267814</v>
      </c>
      <c r="G2411" s="6" t="n">
        <f aca="false">Sens!F2411*(1+Sens!G2412)</f>
        <v>24.4392124437232</v>
      </c>
      <c r="H2411" s="6" t="n">
        <f aca="false">Sens!G2411*(1+Sens!H2412)</f>
        <v>26.5738052080665</v>
      </c>
      <c r="I2411" s="6" t="n">
        <f aca="false">Sens!H2411*(1+Sens!I2412)</f>
        <v>28.7412169166967</v>
      </c>
      <c r="J2411" s="6" t="n">
        <f aca="false">Sens!I2411*(1+Sens!J2412)</f>
        <v>30.9192545395413</v>
      </c>
      <c r="K2411" s="6" t="n">
        <f aca="false">Sens!J2411*(1+Sens!K2412)</f>
        <v>33.0836023573092</v>
      </c>
    </row>
    <row r="2412" customFormat="false" ht="15" hidden="false" customHeight="false" outlineLevel="0" collapsed="false">
      <c r="A2412" s="1" t="s">
        <v>866</v>
      </c>
      <c r="B2412" s="0" t="s">
        <v>129</v>
      </c>
      <c r="E2412" s="7" t="n">
        <f aca="false">Sens!E2411/Sens!D2411-1</f>
        <v>0.104685888038225</v>
      </c>
      <c r="F2412" s="7" t="n">
        <f aca="false">Sens!$E$2412+(glt_ind-Sens!$E$2412)*MIN(1,(Sens!F2362-base_fy)/n_conv)</f>
        <v>0.0989049066985211</v>
      </c>
      <c r="G2412" s="7" t="n">
        <f aca="false">Sens!$E$2412+(glt_ind-Sens!$E$2412)*MIN(1,(Sens!G2362-base_fy)/n_conv)</f>
        <v>0.0931239253588169</v>
      </c>
      <c r="H2412" s="7" t="n">
        <f aca="false">Sens!$E$2412+(glt_ind-Sens!$E$2412)*MIN(1,(Sens!H2362-base_fy)/n_conv)</f>
        <v>0.0873429440191127</v>
      </c>
      <c r="I2412" s="7" t="n">
        <f aca="false">Sens!$E$2412+(glt_ind-Sens!$E$2412)*MIN(1,(Sens!I2362-base_fy)/n_conv)</f>
        <v>0.0815619626794085</v>
      </c>
      <c r="J2412" s="7" t="n">
        <f aca="false">Sens!$E$2412+(glt_ind-Sens!$E$2412)*MIN(1,(Sens!J2362-base_fy)/n_conv)</f>
        <v>0.0757809813397042</v>
      </c>
      <c r="K2412" s="7" t="n">
        <f aca="false">Sens!$E$2412+(glt_ind-Sens!$E$2412)*MIN(1,(Sens!K2362-base_fy)/n_conv)</f>
        <v>0.07</v>
      </c>
    </row>
    <row r="2413" customFormat="false" ht="15" hidden="false" customHeight="false" outlineLevel="0" collapsed="false">
      <c r="A2413" s="0" t="s">
        <v>876</v>
      </c>
      <c r="B2413" s="0" t="s">
        <v>98</v>
      </c>
      <c r="D2413" s="6" t="n">
        <f aca="false">Q!L10</f>
        <v>7.76</v>
      </c>
      <c r="E2413" s="6" t="n">
        <f aca="false">Q!M10</f>
        <v>8.26</v>
      </c>
      <c r="F2413" s="6" t="n">
        <f aca="false">Sens!E2413*(1+Sens!F2414)</f>
        <v>8.79988041237113</v>
      </c>
      <c r="G2413" s="6" t="n">
        <f aca="false">Sens!F2413*(1+Sens!G2414)</f>
        <v>9.38321269125306</v>
      </c>
      <c r="H2413" s="6" t="n">
        <f aca="false">Sens!G2413*(1+Sens!H2414)</f>
        <v>10.0139193587476</v>
      </c>
      <c r="I2413" s="6" t="n">
        <f aca="false">Sens!H2413*(1+Sens!I2414)</f>
        <v>10.6963111830911</v>
      </c>
      <c r="J2413" s="6" t="n">
        <f aca="false">Sens!I2413*(1+Sens!J2414)</f>
        <v>11.4351285534696</v>
      </c>
      <c r="K2413" s="6" t="n">
        <f aca="false">Sens!J2413*(1+Sens!K2414)</f>
        <v>12.2355875522124</v>
      </c>
    </row>
    <row r="2414" customFormat="false" ht="15" hidden="false" customHeight="false" outlineLevel="0" collapsed="false">
      <c r="A2414" s="1" t="s">
        <v>866</v>
      </c>
      <c r="B2414" s="0" t="s">
        <v>129</v>
      </c>
      <c r="E2414" s="7" t="n">
        <f aca="false">Sens!E2413/Sens!D2413-1</f>
        <v>0.0644329896907216</v>
      </c>
      <c r="F2414" s="7" t="n">
        <f aca="false">Sens!$E$2414+(glt_fro-Sens!$E$2414)*MIN(1,(Sens!F2362-base_fy)/n_conv)</f>
        <v>0.065360824742268</v>
      </c>
      <c r="G2414" s="7" t="n">
        <f aca="false">Sens!$E$2414+(glt_fro-Sens!$E$2414)*MIN(1,(Sens!G2362-base_fy)/n_conv)</f>
        <v>0.0662886597938144</v>
      </c>
      <c r="H2414" s="7" t="n">
        <f aca="false">Sens!$E$2414+(glt_fro-Sens!$E$2414)*MIN(1,(Sens!H2362-base_fy)/n_conv)</f>
        <v>0.0672164948453608</v>
      </c>
      <c r="I2414" s="7" t="n">
        <f aca="false">Sens!$E$2414+(glt_fro-Sens!$E$2414)*MIN(1,(Sens!I2362-base_fy)/n_conv)</f>
        <v>0.0681443298969072</v>
      </c>
      <c r="J2414" s="7" t="n">
        <f aca="false">Sens!$E$2414+(glt_fro-Sens!$E$2414)*MIN(1,(Sens!J2362-base_fy)/n_conv)</f>
        <v>0.0690721649484536</v>
      </c>
      <c r="K2414" s="7" t="n">
        <f aca="false">Sens!$E$2414+(glt_fro-Sens!$E$2414)*MIN(1,(Sens!K2362-base_fy)/n_conv)</f>
        <v>0.07</v>
      </c>
    </row>
    <row r="2415" customFormat="false" ht="15" hidden="false" customHeight="false" outlineLevel="0" collapsed="false">
      <c r="A2415" s="0" t="s">
        <v>704</v>
      </c>
      <c r="B2415" s="0" t="s">
        <v>98</v>
      </c>
      <c r="D2415" s="6" t="n">
        <f aca="false">Sens!D2403+Sens!D2408+Sens!D2409+Sens!D2411+Sens!D2413</f>
        <v>218.783</v>
      </c>
      <c r="E2415" s="6" t="n">
        <f aca="false">Sens!E2403+Sens!E2408+Sens!E2409+Sens!E2411+Sens!E2413</f>
        <v>268.127</v>
      </c>
      <c r="F2415" s="6" t="n">
        <f aca="false">Sens!F2403+Sens!F2408+Sens!F2409+Sens!F2411+Sens!F2413</f>
        <v>339.433940907051</v>
      </c>
      <c r="G2415" s="6" t="n">
        <f aca="false">Sens!G2403+Sens!G2408+Sens!G2409+Sens!G2411+Sens!G2413</f>
        <v>424.490670881892</v>
      </c>
      <c r="H2415" s="6" t="n">
        <f aca="false">Sens!H2403+Sens!H2408+Sens!H2409+Sens!H2411+Sens!H2413</f>
        <v>515.646275281385</v>
      </c>
      <c r="I2415" s="6" t="n">
        <f aca="false">Sens!I2403+Sens!I2408+Sens!I2409+Sens!I2411+Sens!I2413</f>
        <v>592.863760444604</v>
      </c>
      <c r="J2415" s="6" t="n">
        <f aca="false">Sens!J2403+Sens!J2408+Sens!J2409+Sens!J2411+Sens!J2413</f>
        <v>654.278787544077</v>
      </c>
      <c r="K2415" s="6" t="n">
        <f aca="false">Sens!K2403+Sens!K2408+Sens!K2409+Sens!K2411+Sens!K2413</f>
        <v>702.284651237393</v>
      </c>
    </row>
    <row r="2416" customFormat="false" ht="15" hidden="false" customHeight="false" outlineLevel="0" collapsed="false">
      <c r="A2416" s="0" t="s">
        <v>877</v>
      </c>
      <c r="B2416" s="0" t="s">
        <v>98</v>
      </c>
      <c r="D2416" s="6" t="n">
        <f aca="false">Q!L13</f>
        <v>22.171</v>
      </c>
      <c r="E2416" s="6" t="n">
        <f aca="false">Q!M13</f>
        <v>24.835</v>
      </c>
      <c r="F2416" s="6" t="n">
        <f aca="false">Sens!E2416*(1+Sens!F2417)</f>
        <v>27.6114901218559</v>
      </c>
      <c r="G2416" s="6" t="n">
        <f aca="false">Sens!F2416*(1+Sens!G2417)</f>
        <v>30.4675667338515</v>
      </c>
      <c r="H2416" s="6" t="n">
        <f aca="false">Sens!G2416*(1+Sens!H2417)</f>
        <v>33.3643766955789</v>
      </c>
      <c r="I2416" s="6" t="n">
        <f aca="false">Sens!H2416*(1+Sens!I2417)</f>
        <v>36.2577016533691</v>
      </c>
      <c r="J2416" s="6" t="n">
        <f aca="false">Sens!I2416*(1+Sens!J2417)</f>
        <v>39.0988367952171</v>
      </c>
      <c r="K2416" s="6" t="n">
        <f aca="false">Sens!J2416*(1+Sens!K2417)</f>
        <v>41.8357553708823</v>
      </c>
    </row>
    <row r="2417" customFormat="false" ht="15" hidden="false" customHeight="false" outlineLevel="0" collapsed="false">
      <c r="A2417" s="1" t="s">
        <v>866</v>
      </c>
      <c r="B2417" s="0" t="s">
        <v>129</v>
      </c>
      <c r="E2417" s="7" t="n">
        <f aca="false">Sens!E2416/Sens!D2416-1</f>
        <v>0.120156961796942</v>
      </c>
      <c r="F2417" s="7" t="n">
        <f aca="false">Sens!$E$2417+(glt_srch-Sens!$E$2417)*MIN(1,(Sens!F2362-base_fy)/n_conv)</f>
        <v>0.111797468164118</v>
      </c>
      <c r="G2417" s="7" t="n">
        <f aca="false">Sens!$E$2417+(glt_srch-Sens!$E$2417)*MIN(1,(Sens!G2362-base_fy)/n_conv)</f>
        <v>0.103437974531295</v>
      </c>
      <c r="H2417" s="7" t="n">
        <f aca="false">Sens!$E$2417+(glt_srch-Sens!$E$2417)*MIN(1,(Sens!H2362-base_fy)/n_conv)</f>
        <v>0.095078480898471</v>
      </c>
      <c r="I2417" s="7" t="n">
        <f aca="false">Sens!$E$2417+(glt_srch-Sens!$E$2417)*MIN(1,(Sens!I2362-base_fy)/n_conv)</f>
        <v>0.0867189872656474</v>
      </c>
      <c r="J2417" s="7" t="n">
        <f aca="false">Sens!$E$2417+(glt_srch-Sens!$E$2417)*MIN(1,(Sens!J2362-base_fy)/n_conv)</f>
        <v>0.0783594936328237</v>
      </c>
      <c r="K2417" s="7" t="n">
        <f aca="false">Sens!$E$2417+(glt_srch-Sens!$E$2417)*MIN(1,(Sens!K2362-base_fy)/n_conv)</f>
        <v>0.07</v>
      </c>
    </row>
    <row r="2418" customFormat="false" ht="15" hidden="false" customHeight="false" outlineLevel="0" collapsed="false">
      <c r="A2418" s="0" t="s">
        <v>878</v>
      </c>
      <c r="B2418" s="0" t="s">
        <v>98</v>
      </c>
      <c r="D2418" s="6" t="n">
        <f aca="false">Q!L14</f>
        <v>23.455</v>
      </c>
      <c r="E2418" s="6" t="n">
        <f aca="false">Q!M14</f>
        <v>21.79</v>
      </c>
      <c r="F2418" s="6" t="n">
        <f aca="false">Sens!E2418*(1+Sens!F2419)</f>
        <v>20.5736277908051</v>
      </c>
      <c r="G2418" s="6" t="n">
        <f aca="false">Sens!F2418*(1+Sens!G2419)</f>
        <v>19.7371452817919</v>
      </c>
      <c r="H2418" s="6" t="n">
        <f aca="false">Sens!G2418*(1+Sens!H2419)</f>
        <v>19.2339764043138</v>
      </c>
      <c r="I2418" s="6" t="n">
        <f aca="false">Sens!H2418*(1+Sens!I2419)</f>
        <v>19.0353086852681</v>
      </c>
      <c r="J2418" s="6" t="n">
        <f aca="false">Sens!I2418*(1+Sens!J2419)</f>
        <v>19.1273539319129</v>
      </c>
      <c r="K2418" s="6" t="n">
        <f aca="false">Sens!J2418*(1+Sens!K2419)</f>
        <v>19.5099010105511</v>
      </c>
    </row>
    <row r="2419" customFormat="false" ht="15" hidden="false" customHeight="false" outlineLevel="0" collapsed="false">
      <c r="A2419" s="1" t="s">
        <v>866</v>
      </c>
      <c r="B2419" s="0" t="s">
        <v>129</v>
      </c>
      <c r="E2419" s="7" t="n">
        <f aca="false">Sens!E2418/Sens!D2418-1</f>
        <v>-0.0709869963760392</v>
      </c>
      <c r="F2419" s="7" t="n">
        <f aca="false">Sens!$E$2419+(glt_xbox-Sens!$E$2419)*MIN(1,(Sens!F2362-base_fy)/n_conv)</f>
        <v>-0.0558224969800327</v>
      </c>
      <c r="G2419" s="7" t="n">
        <f aca="false">Sens!$E$2419+(glt_xbox-Sens!$E$2419)*MIN(1,(Sens!G2362-base_fy)/n_conv)</f>
        <v>-0.0406579975840262</v>
      </c>
      <c r="H2419" s="7" t="n">
        <f aca="false">Sens!$E$2419+(glt_xbox-Sens!$E$2419)*MIN(1,(Sens!H2362-base_fy)/n_conv)</f>
        <v>-0.0254934981880196</v>
      </c>
      <c r="I2419" s="7" t="n">
        <f aca="false">Sens!$E$2419+(glt_xbox-Sens!$E$2419)*MIN(1,(Sens!I2362-base_fy)/n_conv)</f>
        <v>-0.0103289987920131</v>
      </c>
      <c r="J2419" s="7" t="n">
        <f aca="false">Sens!$E$2419+(glt_xbox-Sens!$E$2419)*MIN(1,(Sens!J2362-base_fy)/n_conv)</f>
        <v>0.00483550060399347</v>
      </c>
      <c r="K2419" s="7" t="n">
        <f aca="false">Sens!$E$2419+(glt_xbox-Sens!$E$2419)*MIN(1,(Sens!K2362-base_fy)/n_conv)</f>
        <v>0.02</v>
      </c>
    </row>
    <row r="2420" customFormat="false" ht="15" hidden="false" customHeight="false" outlineLevel="0" collapsed="false">
      <c r="A2420" s="0" t="s">
        <v>879</v>
      </c>
      <c r="B2420" s="0" t="s">
        <v>98</v>
      </c>
      <c r="D2420" s="6" t="n">
        <f aca="false">Q!L15</f>
        <v>17.315</v>
      </c>
      <c r="E2420" s="6" t="n">
        <f aca="false">Q!M15</f>
        <v>17.087</v>
      </c>
      <c r="F2420" s="6" t="n">
        <f aca="false">Sens!E2420*(1+Sens!F2421)</f>
        <v>16.9564585436519</v>
      </c>
      <c r="G2420" s="6" t="n">
        <f aca="false">Sens!F2420*(1+Sens!G2421)</f>
        <v>16.9206490624268</v>
      </c>
      <c r="H2420" s="6" t="n">
        <f aca="false">Sens!G2420*(1+Sens!H2421)</f>
        <v>16.9784519149849</v>
      </c>
      <c r="I2420" s="6" t="n">
        <f aca="false">Sens!H2420*(1+Sens!I2421)</f>
        <v>17.1303084701817</v>
      </c>
      <c r="J2420" s="6" t="n">
        <f aca="false">Sens!I2420*(1+Sens!J2421)</f>
        <v>17.3782189407267</v>
      </c>
      <c r="K2420" s="6" t="n">
        <f aca="false">Sens!J2420*(1+Sens!K2421)</f>
        <v>17.7257833195413</v>
      </c>
    </row>
    <row r="2421" customFormat="false" ht="15" hidden="false" customHeight="false" outlineLevel="0" collapsed="false">
      <c r="A2421" s="1" t="s">
        <v>866</v>
      </c>
      <c r="B2421" s="0" t="s">
        <v>129</v>
      </c>
      <c r="E2421" s="7" t="n">
        <f aca="false">Sens!E2420/Sens!D2420-1</f>
        <v>-0.0131677736066995</v>
      </c>
      <c r="F2421" s="7" t="n">
        <f aca="false">Sens!$E$2421+(glt_win-Sens!$E$2421)*MIN(1,(Sens!F2362-base_fy)/n_conv)</f>
        <v>-0.00763981133891627</v>
      </c>
      <c r="G2421" s="7" t="n">
        <f aca="false">Sens!$E$2421+(glt_win-Sens!$E$2421)*MIN(1,(Sens!G2362-base_fy)/n_conv)</f>
        <v>-0.00211184907113301</v>
      </c>
      <c r="H2421" s="7" t="n">
        <f aca="false">Sens!$E$2421+(glt_win-Sens!$E$2421)*MIN(1,(Sens!H2362-base_fy)/n_conv)</f>
        <v>0.00341611319665024</v>
      </c>
      <c r="I2421" s="7" t="n">
        <f aca="false">Sens!$E$2421+(glt_win-Sens!$E$2421)*MIN(1,(Sens!I2362-base_fy)/n_conv)</f>
        <v>0.00894407546443349</v>
      </c>
      <c r="J2421" s="7" t="n">
        <f aca="false">Sens!$E$2421+(glt_win-Sens!$E$2421)*MIN(1,(Sens!J2362-base_fy)/n_conv)</f>
        <v>0.0144720377322168</v>
      </c>
      <c r="K2421" s="7" t="n">
        <f aca="false">Sens!$E$2421+(glt_win-Sens!$E$2421)*MIN(1,(Sens!K2362-base_fy)/n_conv)</f>
        <v>0.02</v>
      </c>
    </row>
    <row r="2422" customFormat="false" ht="15" hidden="false" customHeight="false" outlineLevel="0" collapsed="false">
      <c r="A2422" s="0" t="s">
        <v>718</v>
      </c>
      <c r="B2422" s="0" t="s">
        <v>98</v>
      </c>
      <c r="D2422" s="6" t="n">
        <f aca="false">Sens!D2416+Sens!D2418+Sens!D2420</f>
        <v>62.941</v>
      </c>
      <c r="E2422" s="6" t="n">
        <f aca="false">Sens!E2416+Sens!E2418+Sens!E2420</f>
        <v>63.712</v>
      </c>
      <c r="F2422" s="6" t="n">
        <f aca="false">Sens!F2416+Sens!F2418+Sens!F2420</f>
        <v>65.1415764563129</v>
      </c>
      <c r="G2422" s="6" t="n">
        <f aca="false">Sens!G2416+Sens!G2418+Sens!G2420</f>
        <v>67.1253610780702</v>
      </c>
      <c r="H2422" s="6" t="n">
        <f aca="false">Sens!H2416+Sens!H2418+Sens!H2420</f>
        <v>69.5768050148776</v>
      </c>
      <c r="I2422" s="6" t="n">
        <f aca="false">Sens!I2416+Sens!I2418+Sens!I2420</f>
        <v>72.4233188088189</v>
      </c>
      <c r="J2422" s="6" t="n">
        <f aca="false">Sens!J2416+Sens!J2418+Sens!J2420</f>
        <v>75.6044096678567</v>
      </c>
      <c r="K2422" s="6" t="n">
        <f aca="false">Sens!K2416+Sens!K2418+Sens!K2420</f>
        <v>79.0714397009747</v>
      </c>
    </row>
    <row r="2423" customFormat="false" ht="15" hidden="false" customHeight="false" outlineLevel="0" collapsed="false">
      <c r="A2423" s="1" t="s">
        <v>880</v>
      </c>
      <c r="B2423" s="0" t="s">
        <v>98</v>
      </c>
      <c r="D2423" s="6" t="n">
        <f aca="false">Sens!D2415+Sens!D2422</f>
        <v>281.724</v>
      </c>
      <c r="E2423" s="6" t="n">
        <f aca="false">Sens!E2415+Sens!E2422</f>
        <v>331.839</v>
      </c>
      <c r="F2423" s="6" t="n">
        <f aca="false">Sens!F2415+Sens!F2422</f>
        <v>404.575517363364</v>
      </c>
      <c r="G2423" s="6" t="n">
        <f aca="false">Sens!G2415+Sens!G2422</f>
        <v>491.616031959962</v>
      </c>
      <c r="H2423" s="6" t="n">
        <f aca="false">Sens!H2415+Sens!H2422</f>
        <v>585.223080296262</v>
      </c>
      <c r="I2423" s="6" t="n">
        <f aca="false">Sens!I2415+Sens!I2422</f>
        <v>665.287079253422</v>
      </c>
      <c r="J2423" s="6" t="n">
        <f aca="false">Sens!J2415+Sens!J2422</f>
        <v>729.883197211934</v>
      </c>
      <c r="K2423" s="6" t="n">
        <f aca="false">Sens!K2415+Sens!K2422</f>
        <v>781.356090938368</v>
      </c>
    </row>
    <row r="2424" customFormat="false" ht="15" hidden="false" customHeight="false" outlineLevel="0" collapsed="false">
      <c r="A2424" s="23" t="s">
        <v>881</v>
      </c>
      <c r="B2424" s="30" t="s">
        <v>98</v>
      </c>
      <c r="C2424" s="30"/>
      <c r="D2424" s="24" t="n">
        <f aca="false">(Sens!D2403+Sens!D2408+Sens!D2409+Sens!D2411+Sens!D2413-Sens!D2415)+(Sens!D2416+Sens!D2418+Sens!D2420-Sens!D2422)+(Sens!D2415-Q!L5)+(Sens!D2422-Q!L12)+(Sens!D2403-Q!L6)+(Sens!D2408-Q!L7)</f>
        <v>0</v>
      </c>
      <c r="E2424" s="24" t="n">
        <f aca="false">(Sens!E2403+Sens!E2408+Sens!E2409+Sens!E2411+Sens!E2413-Sens!E2415)+(Sens!E2416+Sens!E2418+Sens!E2420-Sens!E2422)+(Sens!E2415-Q!M5)+(Sens!E2422-Q!M12)+(Sens!E2403-Q!M6)+(Sens!E2408-Q!M7)</f>
        <v>0</v>
      </c>
      <c r="F2424" s="24" t="n">
        <f aca="false">(Sens!F2403+Sens!F2408+Sens!F2409+Sens!F2411+Sens!F2413-Sens!F2415)+(Sens!F2416+Sens!F2418+Sens!F2420-Sens!F2422)</f>
        <v>0</v>
      </c>
      <c r="G2424" s="24" t="n">
        <f aca="false">(Sens!G2403+Sens!G2408+Sens!G2409+Sens!G2411+Sens!G2413-Sens!G2415)+(Sens!G2416+Sens!G2418+Sens!G2420-Sens!G2422)</f>
        <v>0</v>
      </c>
      <c r="H2424" s="24" t="n">
        <f aca="false">(Sens!H2403+Sens!H2408+Sens!H2409+Sens!H2411+Sens!H2413-Sens!H2415)+(Sens!H2416+Sens!H2418+Sens!H2420-Sens!H2422)</f>
        <v>0</v>
      </c>
      <c r="I2424" s="24" t="n">
        <f aca="false">(Sens!I2403+Sens!I2408+Sens!I2409+Sens!I2411+Sens!I2413-Sens!I2415)+(Sens!I2416+Sens!I2418+Sens!I2420-Sens!I2422)</f>
        <v>0</v>
      </c>
      <c r="J2424" s="24" t="n">
        <f aca="false">(Sens!J2403+Sens!J2408+Sens!J2409+Sens!J2411+Sens!J2413-Sens!J2415)+(Sens!J2416+Sens!J2418+Sens!J2420-Sens!J2422)</f>
        <v>0</v>
      </c>
      <c r="K2424" s="24" t="n">
        <f aca="false">(Sens!K2403+Sens!K2408+Sens!K2409+Sens!K2411+Sens!K2413-Sens!K2415)+(Sens!K2416+Sens!K2418+Sens!K2420-Sens!K2422)</f>
        <v>0</v>
      </c>
    </row>
    <row r="2425" customFormat="false" ht="17.15" hidden="false" customHeight="false" outlineLevel="0" collapsed="false">
      <c r="A2425" s="3" t="s">
        <v>1296</v>
      </c>
    </row>
    <row r="2426" customFormat="false" ht="15" hidden="false" customHeight="false" outlineLevel="0" collapsed="false">
      <c r="A2426" s="4" t="s">
        <v>43</v>
      </c>
      <c r="B2426" s="4" t="s">
        <v>65</v>
      </c>
      <c r="C2426" s="20" t="s">
        <v>788</v>
      </c>
      <c r="D2426" s="20" t="s">
        <v>789</v>
      </c>
      <c r="E2426" s="20" t="s">
        <v>790</v>
      </c>
      <c r="F2426" s="20" t="s">
        <v>791</v>
      </c>
      <c r="G2426" s="20" t="s">
        <v>792</v>
      </c>
      <c r="H2426" s="20" t="s">
        <v>793</v>
      </c>
      <c r="I2426" s="20" t="s">
        <v>794</v>
      </c>
      <c r="J2426" s="20" t="s">
        <v>795</v>
      </c>
      <c r="K2426" s="20" t="s">
        <v>796</v>
      </c>
      <c r="L2426" s="4" t="s">
        <v>47</v>
      </c>
    </row>
    <row r="2427" customFormat="false" ht="15" hidden="false" customHeight="false" outlineLevel="0" collapsed="false">
      <c r="A2427" s="0" t="s">
        <v>867</v>
      </c>
      <c r="B2427" s="0" t="s">
        <v>98</v>
      </c>
      <c r="D2427" s="6" t="n">
        <f aca="false">Sens!D2403</f>
        <v>72.61</v>
      </c>
      <c r="E2427" s="6" t="n">
        <f aca="false">Sens!E2403</f>
        <v>101.938</v>
      </c>
      <c r="F2427" s="6" t="n">
        <f aca="false">Sens!F2403</f>
        <v>148.812368967868</v>
      </c>
      <c r="G2427" s="6" t="n">
        <f aca="false">Sens!G2403</f>
        <v>208.397514344463</v>
      </c>
      <c r="H2427" s="6" t="n">
        <f aca="false">Sens!H2403</f>
        <v>274.05759259987</v>
      </c>
      <c r="I2427" s="6" t="n">
        <f aca="false">Sens!I2403</f>
        <v>328.302405465117</v>
      </c>
      <c r="J2427" s="6" t="n">
        <f aca="false">Sens!J2403</f>
        <v>369.587890439908</v>
      </c>
      <c r="K2427" s="6" t="n">
        <f aca="false">Sens!K2403</f>
        <v>398.390581897217</v>
      </c>
    </row>
    <row r="2428" customFormat="false" ht="17.15" hidden="false" customHeight="false" outlineLevel="0" collapsed="false">
      <c r="A2428" s="0" t="s">
        <v>864</v>
      </c>
      <c r="B2428" s="0" t="s">
        <v>98</v>
      </c>
      <c r="D2428" s="6" t="n">
        <f aca="false">Sens!D2400</f>
        <v>12.9359794422418</v>
      </c>
      <c r="E2428" s="6" t="n">
        <f aca="false">Sens!E2400</f>
        <v>27.8095064661409</v>
      </c>
      <c r="F2428" s="6" t="n">
        <f aca="false">Sens!F2400</f>
        <v>58.7324192305018</v>
      </c>
      <c r="G2428" s="6" t="n">
        <f aca="false">Sens!G2400</f>
        <v>101.369089141153</v>
      </c>
      <c r="H2428" s="6" t="n">
        <f aca="false">Sens!H2400</f>
        <v>149.785610014234</v>
      </c>
      <c r="I2428" s="6" t="n">
        <f aca="false">Sens!I2400</f>
        <v>187.368703083263</v>
      </c>
      <c r="J2428" s="6" t="n">
        <f aca="false">Sens!J2400</f>
        <v>213.569023125577</v>
      </c>
      <c r="K2428" s="6" t="n">
        <f aca="false">Sens!K2400</f>
        <v>229.890205197739</v>
      </c>
    </row>
    <row r="2429" customFormat="false" ht="17.15" hidden="false" customHeight="false" outlineLevel="0" collapsed="false">
      <c r="A2429" s="0" t="s">
        <v>892</v>
      </c>
      <c r="B2429" s="0" t="s">
        <v>98</v>
      </c>
      <c r="D2429" s="6" t="n">
        <f aca="false">Sens!D2401</f>
        <v>59.6740205577583</v>
      </c>
      <c r="E2429" s="6" t="n">
        <f aca="false">Sens!E2401</f>
        <v>74.1284935338591</v>
      </c>
      <c r="F2429" s="6" t="n">
        <f aca="false">Sens!F2401</f>
        <v>90.0799497373663</v>
      </c>
      <c r="G2429" s="6" t="n">
        <f aca="false">Sens!G2401</f>
        <v>107.02842520331</v>
      </c>
      <c r="H2429" s="6" t="n">
        <f aca="false">Sens!H2401</f>
        <v>124.271982585636</v>
      </c>
      <c r="I2429" s="6" t="n">
        <f aca="false">Sens!I2401</f>
        <v>140.933702381855</v>
      </c>
      <c r="J2429" s="6" t="n">
        <f aca="false">Sens!J2401</f>
        <v>156.018867314332</v>
      </c>
      <c r="K2429" s="6" t="n">
        <f aca="false">Sens!K2401</f>
        <v>168.500376699478</v>
      </c>
    </row>
    <row r="2430" customFormat="false" ht="15" hidden="false" customHeight="false" outlineLevel="0" collapsed="false">
      <c r="A2430" s="0" t="s">
        <v>873</v>
      </c>
      <c r="B2430" s="0" t="s">
        <v>98</v>
      </c>
      <c r="D2430" s="6" t="n">
        <f aca="false">Sens!D2408</f>
        <v>84.605</v>
      </c>
      <c r="E2430" s="6" t="n">
        <f aca="false">Sens!E2408</f>
        <v>100.299</v>
      </c>
      <c r="F2430" s="6" t="n">
        <f aca="false">Sens!F2408</f>
        <v>120.39238776686</v>
      </c>
      <c r="G2430" s="6" t="n">
        <f aca="false">Sens!G2408</f>
        <v>141.544168448684</v>
      </c>
      <c r="H2430" s="6" t="n">
        <f aca="false">Sens!H2408</f>
        <v>162.777359388781</v>
      </c>
      <c r="I2430" s="6" t="n">
        <f aca="false">Sens!I2408</f>
        <v>181.584028071957</v>
      </c>
      <c r="J2430" s="6" t="n">
        <f aca="false">Sens!J2408</f>
        <v>197.682702785465</v>
      </c>
      <c r="K2430" s="6" t="n">
        <f aca="false">Sens!K2408</f>
        <v>213.027991980448</v>
      </c>
    </row>
    <row r="2431" customFormat="false" ht="17.15" hidden="false" customHeight="false" outlineLevel="0" collapsed="false">
      <c r="A2431" s="0" t="s">
        <v>893</v>
      </c>
      <c r="B2431" s="0" t="s">
        <v>98</v>
      </c>
      <c r="D2431" s="6" t="n">
        <f aca="false">Sens!D2406</f>
        <v>83.705</v>
      </c>
      <c r="E2431" s="6" t="n">
        <f aca="false">Sens!E2406</f>
        <v>95.049</v>
      </c>
      <c r="F2431" s="6" t="n">
        <f aca="false">Sens!F2406</f>
        <v>106.89238776686</v>
      </c>
      <c r="G2431" s="6" t="n">
        <f aca="false">Sens!G2406</f>
        <v>119.044168448684</v>
      </c>
      <c r="H2431" s="6" t="n">
        <f aca="false">Sens!H2406</f>
        <v>131.277359388781</v>
      </c>
      <c r="I2431" s="6" t="n">
        <f aca="false">Sens!I2406</f>
        <v>143.334028071957</v>
      </c>
      <c r="J2431" s="6" t="n">
        <f aca="false">Sens!J2406</f>
        <v>154.932702785465</v>
      </c>
      <c r="K2431" s="6" t="n">
        <f aca="false">Sens!K2406</f>
        <v>165.777991980448</v>
      </c>
    </row>
    <row r="2432" customFormat="false" ht="17.15" hidden="false" customHeight="false" outlineLevel="0" collapsed="false">
      <c r="A2432" s="0" t="s">
        <v>894</v>
      </c>
      <c r="B2432" s="0" t="s">
        <v>98</v>
      </c>
      <c r="D2432" s="6" t="n">
        <f aca="false">Sens!D2405</f>
        <v>0.9</v>
      </c>
      <c r="E2432" s="6" t="n">
        <f aca="false">Sens!E2405</f>
        <v>5.25</v>
      </c>
      <c r="F2432" s="6" t="n">
        <f aca="false">Sens!F2405</f>
        <v>13.5</v>
      </c>
      <c r="G2432" s="6" t="n">
        <f aca="false">Sens!G2405</f>
        <v>22.5</v>
      </c>
      <c r="H2432" s="6" t="n">
        <f aca="false">Sens!H2405</f>
        <v>31.5</v>
      </c>
      <c r="I2432" s="6" t="n">
        <f aca="false">Sens!I2405</f>
        <v>38.25</v>
      </c>
      <c r="J2432" s="6" t="n">
        <f aca="false">Sens!J2405</f>
        <v>42.75</v>
      </c>
      <c r="K2432" s="6" t="n">
        <f aca="false">Sens!K2405</f>
        <v>47.25</v>
      </c>
    </row>
    <row r="2433" customFormat="false" ht="15" hidden="false" customHeight="false" outlineLevel="0" collapsed="false">
      <c r="A2433" s="0" t="s">
        <v>874</v>
      </c>
      <c r="B2433" s="0" t="s">
        <v>98</v>
      </c>
      <c r="D2433" s="6" t="n">
        <f aca="false">Sens!D2409</f>
        <v>35.391</v>
      </c>
      <c r="E2433" s="6" t="n">
        <f aca="false">Sens!E2409</f>
        <v>37.285</v>
      </c>
      <c r="F2433" s="6" t="n">
        <f aca="false">Sens!F2409</f>
        <v>39.0720834331704</v>
      </c>
      <c r="G2433" s="6" t="n">
        <f aca="false">Sens!G2409</f>
        <v>40.726562953769</v>
      </c>
      <c r="H2433" s="6" t="n">
        <f aca="false">Sens!H2409</f>
        <v>42.2235987259198</v>
      </c>
      <c r="I2433" s="6" t="n">
        <f aca="false">Sens!I2409</f>
        <v>43.5397988077414</v>
      </c>
      <c r="J2433" s="6" t="n">
        <f aca="false">Sens!J2409</f>
        <v>44.653811225693</v>
      </c>
      <c r="K2433" s="6" t="n">
        <f aca="false">Sens!K2409</f>
        <v>45.5468874502068</v>
      </c>
    </row>
    <row r="2434" customFormat="false" ht="15" hidden="false" customHeight="false" outlineLevel="0" collapsed="false">
      <c r="A2434" s="0" t="s">
        <v>875</v>
      </c>
      <c r="B2434" s="0" t="s">
        <v>98</v>
      </c>
      <c r="D2434" s="6" t="n">
        <f aca="false">Sens!D2411</f>
        <v>18.417</v>
      </c>
      <c r="E2434" s="6" t="n">
        <f aca="false">Sens!E2411</f>
        <v>20.345</v>
      </c>
      <c r="F2434" s="6" t="n">
        <f aca="false">Sens!F2411</f>
        <v>22.3572203267814</v>
      </c>
      <c r="G2434" s="6" t="n">
        <f aca="false">Sens!G2411</f>
        <v>24.4392124437232</v>
      </c>
      <c r="H2434" s="6" t="n">
        <f aca="false">Sens!H2411</f>
        <v>26.5738052080665</v>
      </c>
      <c r="I2434" s="6" t="n">
        <f aca="false">Sens!I2411</f>
        <v>28.7412169166967</v>
      </c>
      <c r="J2434" s="6" t="n">
        <f aca="false">Sens!J2411</f>
        <v>30.9192545395413</v>
      </c>
      <c r="K2434" s="6" t="n">
        <f aca="false">Sens!K2411</f>
        <v>33.0836023573092</v>
      </c>
    </row>
    <row r="2435" customFormat="false" ht="15" hidden="false" customHeight="false" outlineLevel="0" collapsed="false">
      <c r="A2435" s="0" t="s">
        <v>876</v>
      </c>
      <c r="B2435" s="0" t="s">
        <v>98</v>
      </c>
      <c r="D2435" s="6" t="n">
        <f aca="false">Sens!D2413</f>
        <v>7.76</v>
      </c>
      <c r="E2435" s="6" t="n">
        <f aca="false">Sens!E2413</f>
        <v>8.26</v>
      </c>
      <c r="F2435" s="6" t="n">
        <f aca="false">Sens!F2413</f>
        <v>8.79988041237113</v>
      </c>
      <c r="G2435" s="6" t="n">
        <f aca="false">Sens!G2413</f>
        <v>9.38321269125306</v>
      </c>
      <c r="H2435" s="6" t="n">
        <f aca="false">Sens!H2413</f>
        <v>10.0139193587476</v>
      </c>
      <c r="I2435" s="6" t="n">
        <f aca="false">Sens!I2413</f>
        <v>10.6963111830911</v>
      </c>
      <c r="J2435" s="6" t="n">
        <f aca="false">Sens!J2413</f>
        <v>11.4351285534696</v>
      </c>
      <c r="K2435" s="6" t="n">
        <f aca="false">Sens!K2413</f>
        <v>12.2355875522124</v>
      </c>
    </row>
    <row r="2436" customFormat="false" ht="15" hidden="false" customHeight="false" outlineLevel="0" collapsed="false">
      <c r="A2436" s="0" t="s">
        <v>704</v>
      </c>
      <c r="B2436" s="0" t="s">
        <v>98</v>
      </c>
      <c r="D2436" s="6" t="n">
        <f aca="false">Sens!D2415</f>
        <v>218.783</v>
      </c>
      <c r="E2436" s="6" t="n">
        <f aca="false">Sens!E2415</f>
        <v>268.127</v>
      </c>
      <c r="F2436" s="6" t="n">
        <f aca="false">Sens!F2415</f>
        <v>339.433940907051</v>
      </c>
      <c r="G2436" s="6" t="n">
        <f aca="false">Sens!G2415</f>
        <v>424.490670881892</v>
      </c>
      <c r="H2436" s="6" t="n">
        <f aca="false">Sens!H2415</f>
        <v>515.646275281385</v>
      </c>
      <c r="I2436" s="6" t="n">
        <f aca="false">Sens!I2415</f>
        <v>592.863760444604</v>
      </c>
      <c r="J2436" s="6" t="n">
        <f aca="false">Sens!J2415</f>
        <v>654.278787544077</v>
      </c>
      <c r="K2436" s="6" t="n">
        <f aca="false">Sens!K2415</f>
        <v>702.284651237393</v>
      </c>
    </row>
    <row r="2437" customFormat="false" ht="15" hidden="false" customHeight="false" outlineLevel="0" collapsed="false">
      <c r="A2437" s="0" t="s">
        <v>877</v>
      </c>
      <c r="B2437" s="0" t="s">
        <v>98</v>
      </c>
      <c r="D2437" s="6" t="n">
        <f aca="false">Sens!D2416</f>
        <v>22.171</v>
      </c>
      <c r="E2437" s="6" t="n">
        <f aca="false">Sens!E2416</f>
        <v>24.835</v>
      </c>
      <c r="F2437" s="6" t="n">
        <f aca="false">Sens!F2416</f>
        <v>27.6114901218559</v>
      </c>
      <c r="G2437" s="6" t="n">
        <f aca="false">Sens!G2416</f>
        <v>30.4675667338515</v>
      </c>
      <c r="H2437" s="6" t="n">
        <f aca="false">Sens!H2416</f>
        <v>33.3643766955789</v>
      </c>
      <c r="I2437" s="6" t="n">
        <f aca="false">Sens!I2416</f>
        <v>36.2577016533691</v>
      </c>
      <c r="J2437" s="6" t="n">
        <f aca="false">Sens!J2416</f>
        <v>39.0988367952171</v>
      </c>
      <c r="K2437" s="6" t="n">
        <f aca="false">Sens!K2416</f>
        <v>41.8357553708823</v>
      </c>
    </row>
    <row r="2438" customFormat="false" ht="15" hidden="false" customHeight="false" outlineLevel="0" collapsed="false">
      <c r="A2438" s="0" t="s">
        <v>878</v>
      </c>
      <c r="B2438" s="0" t="s">
        <v>98</v>
      </c>
      <c r="D2438" s="6" t="n">
        <f aca="false">Sens!D2418</f>
        <v>23.455</v>
      </c>
      <c r="E2438" s="6" t="n">
        <f aca="false">Sens!E2418</f>
        <v>21.79</v>
      </c>
      <c r="F2438" s="6" t="n">
        <f aca="false">Sens!F2418</f>
        <v>20.5736277908051</v>
      </c>
      <c r="G2438" s="6" t="n">
        <f aca="false">Sens!G2418</f>
        <v>19.7371452817919</v>
      </c>
      <c r="H2438" s="6" t="n">
        <f aca="false">Sens!H2418</f>
        <v>19.2339764043138</v>
      </c>
      <c r="I2438" s="6" t="n">
        <f aca="false">Sens!I2418</f>
        <v>19.0353086852681</v>
      </c>
      <c r="J2438" s="6" t="n">
        <f aca="false">Sens!J2418</f>
        <v>19.1273539319129</v>
      </c>
      <c r="K2438" s="6" t="n">
        <f aca="false">Sens!K2418</f>
        <v>19.5099010105511</v>
      </c>
    </row>
    <row r="2439" customFormat="false" ht="15" hidden="false" customHeight="false" outlineLevel="0" collapsed="false">
      <c r="A2439" s="0" t="s">
        <v>879</v>
      </c>
      <c r="B2439" s="0" t="s">
        <v>98</v>
      </c>
      <c r="D2439" s="6" t="n">
        <f aca="false">Sens!D2420</f>
        <v>17.315</v>
      </c>
      <c r="E2439" s="6" t="n">
        <f aca="false">Sens!E2420</f>
        <v>17.087</v>
      </c>
      <c r="F2439" s="6" t="n">
        <f aca="false">Sens!F2420</f>
        <v>16.9564585436519</v>
      </c>
      <c r="G2439" s="6" t="n">
        <f aca="false">Sens!G2420</f>
        <v>16.9206490624268</v>
      </c>
      <c r="H2439" s="6" t="n">
        <f aca="false">Sens!H2420</f>
        <v>16.9784519149849</v>
      </c>
      <c r="I2439" s="6" t="n">
        <f aca="false">Sens!I2420</f>
        <v>17.1303084701817</v>
      </c>
      <c r="J2439" s="6" t="n">
        <f aca="false">Sens!J2420</f>
        <v>17.3782189407267</v>
      </c>
      <c r="K2439" s="6" t="n">
        <f aca="false">Sens!K2420</f>
        <v>17.7257833195413</v>
      </c>
    </row>
    <row r="2440" customFormat="false" ht="15" hidden="false" customHeight="false" outlineLevel="0" collapsed="false">
      <c r="A2440" s="0" t="s">
        <v>718</v>
      </c>
      <c r="B2440" s="0" t="s">
        <v>98</v>
      </c>
      <c r="D2440" s="6" t="n">
        <f aca="false">Sens!D2422</f>
        <v>62.941</v>
      </c>
      <c r="E2440" s="6" t="n">
        <f aca="false">Sens!E2422</f>
        <v>63.712</v>
      </c>
      <c r="F2440" s="6" t="n">
        <f aca="false">Sens!F2422</f>
        <v>65.1415764563129</v>
      </c>
      <c r="G2440" s="6" t="n">
        <f aca="false">Sens!G2422</f>
        <v>67.1253610780702</v>
      </c>
      <c r="H2440" s="6" t="n">
        <f aca="false">Sens!H2422</f>
        <v>69.5768050148776</v>
      </c>
      <c r="I2440" s="6" t="n">
        <f aca="false">Sens!I2422</f>
        <v>72.4233188088189</v>
      </c>
      <c r="J2440" s="6" t="n">
        <f aca="false">Sens!J2422</f>
        <v>75.6044096678567</v>
      </c>
      <c r="K2440" s="6" t="n">
        <f aca="false">Sens!K2422</f>
        <v>79.0714397009747</v>
      </c>
    </row>
    <row r="2441" customFormat="false" ht="15" hidden="false" customHeight="false" outlineLevel="0" collapsed="false">
      <c r="A2441" s="1" t="s">
        <v>895</v>
      </c>
      <c r="B2441" s="0" t="s">
        <v>98</v>
      </c>
      <c r="D2441" s="6" t="n">
        <f aca="false">Sens!D2423</f>
        <v>281.724</v>
      </c>
      <c r="E2441" s="6" t="n">
        <f aca="false">Sens!E2423</f>
        <v>331.839</v>
      </c>
      <c r="F2441" s="6" t="n">
        <f aca="false">Sens!F2423</f>
        <v>404.575517363364</v>
      </c>
      <c r="G2441" s="6" t="n">
        <f aca="false">Sens!G2423</f>
        <v>491.616031959962</v>
      </c>
      <c r="H2441" s="6" t="n">
        <f aca="false">Sens!H2423</f>
        <v>585.223080296262</v>
      </c>
      <c r="I2441" s="6" t="n">
        <f aca="false">Sens!I2423</f>
        <v>665.287079253422</v>
      </c>
      <c r="J2441" s="6" t="n">
        <f aca="false">Sens!J2423</f>
        <v>729.883197211934</v>
      </c>
      <c r="K2441" s="6" t="n">
        <f aca="false">Sens!K2423</f>
        <v>781.356090938368</v>
      </c>
    </row>
    <row r="2442" customFormat="false" ht="15" hidden="false" customHeight="false" outlineLevel="0" collapsed="false">
      <c r="A2442" s="1" t="s">
        <v>896</v>
      </c>
      <c r="B2442" s="0" t="s">
        <v>129</v>
      </c>
      <c r="E2442" s="7" t="n">
        <f aca="false">Sens!E2441/Sens!D2441-1</f>
        <v>0.177886867998467</v>
      </c>
      <c r="F2442" s="7" t="n">
        <f aca="false">Sens!F2441/Sens!E2441-1</f>
        <v>0.219192190680914</v>
      </c>
      <c r="G2442" s="7" t="n">
        <f aca="false">Sens!G2441/Sens!F2441-1</f>
        <v>0.215140340581766</v>
      </c>
      <c r="H2442" s="7" t="n">
        <f aca="false">Sens!H2441/Sens!G2441-1</f>
        <v>0.19040682616291</v>
      </c>
      <c r="I2442" s="7" t="n">
        <f aca="false">Sens!I2441/Sens!H2441-1</f>
        <v>0.13680936663781</v>
      </c>
      <c r="J2442" s="7" t="n">
        <f aca="false">Sens!J2441/Sens!I2441-1</f>
        <v>0.097095103712221</v>
      </c>
      <c r="K2442" s="7" t="n">
        <f aca="false">Sens!K2441/Sens!J2441-1</f>
        <v>0.0705220971287655</v>
      </c>
    </row>
    <row r="2443" customFormat="false" ht="17.15" hidden="false" customHeight="false" outlineLevel="0" collapsed="false">
      <c r="A2443" s="23" t="s">
        <v>897</v>
      </c>
      <c r="B2443" s="30" t="s">
        <v>98</v>
      </c>
      <c r="C2443" s="30"/>
      <c r="D2443" s="24" t="n">
        <f aca="false">(Sens!D2436+Sens!D2440-Sens!D2441)+(Sens!D2428+Sens!D2429-Sens!D2427)+(Sens!D2431+Sens!D2432-Sens!D2430)+(Sens!D2441-Q!L18)</f>
        <v>0</v>
      </c>
      <c r="E2443" s="24" t="n">
        <f aca="false">(Sens!E2436+Sens!E2440-Sens!E2441)+(Sens!E2428+Sens!E2429-Sens!E2427)+(Sens!E2431+Sens!E2432-Sens!E2430)+(Sens!E2441-Q!M18)</f>
        <v>0</v>
      </c>
      <c r="F2443" s="24" t="n">
        <f aca="false">(Sens!F2436+Sens!F2440-Sens!F2441)+(Sens!F2428+Sens!F2429-Sens!F2427)+(Sens!F2431+Sens!F2432-Sens!F2430)</f>
        <v>0</v>
      </c>
      <c r="G2443" s="24" t="n">
        <f aca="false">(Sens!G2436+Sens!G2440-Sens!G2441)+(Sens!G2428+Sens!G2429-Sens!G2427)+(Sens!G2431+Sens!G2432-Sens!G2430)</f>
        <v>0</v>
      </c>
      <c r="H2443" s="24" t="n">
        <f aca="false">(Sens!H2436+Sens!H2440-Sens!H2441)+(Sens!H2428+Sens!H2429-Sens!H2427)+(Sens!H2431+Sens!H2432-Sens!H2430)</f>
        <v>0</v>
      </c>
      <c r="I2443" s="24" t="n">
        <f aca="false">(Sens!I2436+Sens!I2440-Sens!I2441)+(Sens!I2428+Sens!I2429-Sens!I2427)+(Sens!I2431+Sens!I2432-Sens!I2430)</f>
        <v>0</v>
      </c>
      <c r="J2443" s="24" t="n">
        <f aca="false">(Sens!J2436+Sens!J2440-Sens!J2441)+(Sens!J2428+Sens!J2429-Sens!J2427)+(Sens!J2431+Sens!J2432-Sens!J2430)</f>
        <v>0</v>
      </c>
      <c r="K2443" s="24" t="n">
        <f aca="false">(Sens!K2436+Sens!K2440-Sens!K2441)+(Sens!K2428+Sens!K2429-Sens!K2427)+(Sens!K2431+Sens!K2432-Sens!K2430)</f>
        <v>0</v>
      </c>
    </row>
    <row r="2444" customFormat="false" ht="17.15" hidden="false" customHeight="false" outlineLevel="0" collapsed="false">
      <c r="A2444" s="0" t="s">
        <v>898</v>
      </c>
      <c r="B2444" s="0" t="s">
        <v>129</v>
      </c>
      <c r="E2444" s="7" t="n">
        <f aca="false">(Q!M21+Sens!E2381+Sens!E2382+Sens!E2383+Sens!E2396-Sens!E2379)/(Q!M5-Sens!E2379)</f>
        <v>0.550623586919075</v>
      </c>
      <c r="F2444" s="7" t="n">
        <f aca="false">Sens!$E$2444+dm_seg</f>
        <v>0.550623586919075</v>
      </c>
      <c r="G2444" s="7" t="n">
        <f aca="false">Sens!$E$2444+dm_seg</f>
        <v>0.550623586919075</v>
      </c>
      <c r="H2444" s="7" t="n">
        <f aca="false">Sens!$E$2444+dm_seg</f>
        <v>0.550623586919075</v>
      </c>
      <c r="I2444" s="7" t="n">
        <f aca="false">Sens!$E$2444+dm_seg</f>
        <v>0.550623586919075</v>
      </c>
      <c r="J2444" s="7" t="n">
        <f aca="false">Sens!$E$2444+dm_seg</f>
        <v>0.550623586919075</v>
      </c>
      <c r="K2444" s="7" t="n">
        <f aca="false">Sens!$E$2444+dm_seg</f>
        <v>0.550623586919075</v>
      </c>
      <c r="L2444" s="11" t="s">
        <v>899</v>
      </c>
    </row>
    <row r="2445" customFormat="false" ht="17.15" hidden="false" customHeight="false" outlineLevel="0" collapsed="false">
      <c r="A2445" s="0" t="s">
        <v>732</v>
      </c>
      <c r="B2445" s="0" t="s">
        <v>98</v>
      </c>
      <c r="D2445" s="6" t="n">
        <f aca="false">Q!L21</f>
        <v>110.814</v>
      </c>
      <c r="E2445" s="6" t="n">
        <f aca="false">Q!M21</f>
        <v>136.365</v>
      </c>
      <c r="F2445" s="6" t="n">
        <f aca="false">Sens!F2444*(Sens!F2415-Sens!F2379)+Sens!F2379-(Sens!F2381+Sens!F2382+Sens!F2383)-Sens!F2396</f>
        <v>163.83199427113</v>
      </c>
      <c r="G2445" s="6" t="n">
        <f aca="false">Sens!G2444*(Sens!G2415-Sens!G2379)+Sens!G2379-(Sens!G2381+Sens!G2382+Sens!G2383)-Sens!G2396</f>
        <v>196.996276107921</v>
      </c>
      <c r="H2445" s="6" t="n">
        <f aca="false">Sens!H2444*(Sens!H2415-Sens!H2379)+Sens!H2379-(Sens!H2381+Sens!H2382+Sens!H2383)-Sens!H2396</f>
        <v>238.199879612019</v>
      </c>
      <c r="I2445" s="6" t="n">
        <f aca="false">Sens!I2444*(Sens!I2415-Sens!I2379)+Sens!I2379-(Sens!I2381+Sens!I2382+Sens!I2383)-Sens!I2396</f>
        <v>270.450979970467</v>
      </c>
      <c r="J2445" s="6" t="n">
        <f aca="false">Sens!J2444*(Sens!J2415-Sens!J2379)+Sens!J2379-(Sens!J2381+Sens!J2382+Sens!J2383)-Sens!J2396</f>
        <v>297.054998294109</v>
      </c>
      <c r="K2445" s="6" t="n">
        <f aca="false">Sens!K2444*(Sens!K2415-Sens!K2379)+Sens!K2379-(Sens!K2381+Sens!K2382+Sens!K2383)-Sens!K2396</f>
        <v>319.645184774136</v>
      </c>
      <c r="L2445" s="1" t="s">
        <v>900</v>
      </c>
    </row>
    <row r="2446" customFormat="false" ht="17.15" hidden="false" customHeight="false" outlineLevel="0" collapsed="false">
      <c r="A2446" s="0" t="s">
        <v>901</v>
      </c>
      <c r="B2446" s="0" t="s">
        <v>129</v>
      </c>
      <c r="E2446" s="7" t="n">
        <f aca="false">Q!M22/Q!M12</f>
        <v>0.296207935710698</v>
      </c>
      <c r="F2446" s="7" t="n">
        <f aca="false">Sens!$E$2446+dm_seg</f>
        <v>0.296207935710698</v>
      </c>
      <c r="G2446" s="7" t="n">
        <f aca="false">Sens!$E$2446+dm_seg</f>
        <v>0.296207935710698</v>
      </c>
      <c r="H2446" s="7" t="n">
        <f aca="false">Sens!$E$2446+dm_seg</f>
        <v>0.296207935710698</v>
      </c>
      <c r="I2446" s="7" t="n">
        <f aca="false">Sens!$E$2446+dm_seg</f>
        <v>0.296207935710698</v>
      </c>
      <c r="J2446" s="7" t="n">
        <f aca="false">Sens!$E$2446+dm_seg</f>
        <v>0.296207935710698</v>
      </c>
      <c r="K2446" s="7" t="n">
        <f aca="false">Sens!$E$2446+dm_seg</f>
        <v>0.296207935710698</v>
      </c>
      <c r="L2446" s="11" t="s">
        <v>902</v>
      </c>
    </row>
    <row r="2447" customFormat="false" ht="17.15" hidden="false" customHeight="false" outlineLevel="0" collapsed="false">
      <c r="A2447" s="0" t="s">
        <v>734</v>
      </c>
      <c r="B2447" s="0" t="s">
        <v>98</v>
      </c>
      <c r="D2447" s="6" t="n">
        <f aca="false">Q!L22</f>
        <v>17.714</v>
      </c>
      <c r="E2447" s="6" t="n">
        <f aca="false">Q!M22</f>
        <v>18.872</v>
      </c>
      <c r="F2447" s="6" t="n">
        <f aca="false">Sens!F2422*Sens!F2446</f>
        <v>19.2954518910651</v>
      </c>
      <c r="G2447" s="6" t="n">
        <f aca="false">Sens!G2422*Sens!G2446</f>
        <v>19.8830646387704</v>
      </c>
      <c r="H2447" s="6" t="n">
        <f aca="false">Sens!H2422*Sens!H2446</f>
        <v>20.6092017868026</v>
      </c>
      <c r="I2447" s="6" t="n">
        <f aca="false">Sens!I2422*Sens!I2446</f>
        <v>21.452361761678</v>
      </c>
      <c r="J2447" s="6" t="n">
        <f aca="false">Sens!J2422*Sens!J2446</f>
        <v>22.3946261183418</v>
      </c>
      <c r="K2447" s="6" t="n">
        <f aca="false">Sens!K2422*Sens!K2446</f>
        <v>23.4215879274986</v>
      </c>
    </row>
    <row r="2448" customFormat="false" ht="15" hidden="false" customHeight="false" outlineLevel="0" collapsed="false">
      <c r="A2448" s="1" t="s">
        <v>903</v>
      </c>
      <c r="B2448" s="0" t="s">
        <v>98</v>
      </c>
      <c r="D2448" s="6" t="n">
        <f aca="false">Sens!D2445+Sens!D2447</f>
        <v>128.528</v>
      </c>
      <c r="E2448" s="6" t="n">
        <f aca="false">Sens!E2445+Sens!E2447</f>
        <v>155.237</v>
      </c>
      <c r="F2448" s="6" t="n">
        <f aca="false">Sens!F2445+Sens!F2447</f>
        <v>183.127446162195</v>
      </c>
      <c r="G2448" s="6" t="n">
        <f aca="false">Sens!G2445+Sens!G2447</f>
        <v>216.879340746691</v>
      </c>
      <c r="H2448" s="6" t="n">
        <f aca="false">Sens!H2445+Sens!H2447</f>
        <v>258.809081398821</v>
      </c>
      <c r="I2448" s="6" t="n">
        <f aca="false">Sens!I2445+Sens!I2447</f>
        <v>291.903341732145</v>
      </c>
      <c r="J2448" s="6" t="n">
        <f aca="false">Sens!J2445+Sens!J2447</f>
        <v>319.449624412451</v>
      </c>
      <c r="K2448" s="6" t="n">
        <f aca="false">Sens!K2445+Sens!K2447</f>
        <v>343.066772701635</v>
      </c>
    </row>
    <row r="2449" customFormat="false" ht="15" hidden="false" customHeight="false" outlineLevel="0" collapsed="false">
      <c r="A2449" s="23" t="s">
        <v>904</v>
      </c>
      <c r="B2449" s="30" t="s">
        <v>98</v>
      </c>
      <c r="C2449" s="30"/>
      <c r="D2449" s="24" t="n">
        <f aca="false">Sens!D2448-Q!L23</f>
        <v>0</v>
      </c>
      <c r="E2449" s="24" t="n">
        <f aca="false">Sens!E2448-Q!M23</f>
        <v>0</v>
      </c>
      <c r="F2449" s="30"/>
      <c r="G2449" s="30"/>
      <c r="H2449" s="30"/>
      <c r="I2449" s="30"/>
      <c r="J2449" s="30"/>
      <c r="K2449" s="30"/>
    </row>
    <row r="2450" customFormat="false" ht="15" hidden="false" customHeight="false" outlineLevel="0" collapsed="false">
      <c r="A2450" s="1" t="s">
        <v>905</v>
      </c>
      <c r="B2450" s="0" t="s">
        <v>129</v>
      </c>
      <c r="D2450" s="7" t="n">
        <f aca="false">Sens!D2448/Sens!D2441</f>
        <v>0.456219562408598</v>
      </c>
      <c r="E2450" s="7" t="n">
        <f aca="false">Sens!E2448/Sens!E2441</f>
        <v>0.467808184089272</v>
      </c>
      <c r="F2450" s="7" t="n">
        <f aca="false">Sens!F2448/Sens!F2441</f>
        <v>0.45264094910054</v>
      </c>
      <c r="G2450" s="7" t="n">
        <f aca="false">Sens!G2448/Sens!G2441</f>
        <v>0.441155956371158</v>
      </c>
      <c r="H2450" s="7" t="n">
        <f aca="false">Sens!H2448/Sens!H2441</f>
        <v>0.442240045057352</v>
      </c>
      <c r="I2450" s="7" t="n">
        <f aca="false">Sens!I2448/Sens!I2441</f>
        <v>0.438762980426007</v>
      </c>
      <c r="J2450" s="7" t="n">
        <f aca="false">Sens!J2448/Sens!J2441</f>
        <v>0.437672254454836</v>
      </c>
      <c r="K2450" s="7" t="n">
        <f aca="false">Sens!K2448/Sens!K2441</f>
        <v>0.439065845496424</v>
      </c>
    </row>
    <row r="2451" customFormat="false" ht="17.15" hidden="false" customHeight="false" outlineLevel="0" collapsed="false">
      <c r="A2451" s="1" t="s">
        <v>906</v>
      </c>
      <c r="B2451" s="0" t="s">
        <v>98</v>
      </c>
      <c r="F2451" s="6" t="n">
        <f aca="false">Sens!F2466</f>
        <v>5.96023491489084</v>
      </c>
      <c r="G2451" s="6" t="n">
        <f aca="false">Sens!G2466</f>
        <v>10.3175601741817</v>
      </c>
      <c r="H2451" s="6" t="n">
        <f aca="false">Sens!H2466</f>
        <v>15.3511134799477</v>
      </c>
      <c r="I2451" s="6" t="n">
        <f aca="false">Sens!I2466</f>
        <v>20.4844616722059</v>
      </c>
      <c r="J2451" s="6" t="n">
        <f aca="false">Sens!J2466</f>
        <v>24.1698619470216</v>
      </c>
      <c r="K2451" s="6" t="n">
        <f aca="false">Sens!K2466</f>
        <v>25.494531765789</v>
      </c>
      <c r="L2451" s="1" t="s">
        <v>907</v>
      </c>
    </row>
    <row r="2452" customFormat="false" ht="17.15" hidden="false" customHeight="false" outlineLevel="0" collapsed="false">
      <c r="A2452" s="1" t="s">
        <v>908</v>
      </c>
      <c r="B2452" s="0" t="s">
        <v>98</v>
      </c>
      <c r="D2452" s="6" t="n">
        <f aca="false">Sens!D2448</f>
        <v>128.528</v>
      </c>
      <c r="E2452" s="6" t="n">
        <f aca="false">Sens!E2448</f>
        <v>155.237</v>
      </c>
      <c r="F2452" s="6" t="n">
        <f aca="false">Sens!F2448+Sens!F2451</f>
        <v>189.087681077086</v>
      </c>
      <c r="G2452" s="6" t="n">
        <f aca="false">Sens!G2448+Sens!G2451</f>
        <v>227.196900920873</v>
      </c>
      <c r="H2452" s="6" t="n">
        <f aca="false">Sens!H2448+Sens!H2451</f>
        <v>274.160194878769</v>
      </c>
      <c r="I2452" s="6" t="n">
        <f aca="false">Sens!I2448+Sens!I2451</f>
        <v>312.387803404351</v>
      </c>
      <c r="J2452" s="6" t="n">
        <f aca="false">Sens!J2448+Sens!J2451</f>
        <v>343.619486359473</v>
      </c>
      <c r="K2452" s="6" t="n">
        <f aca="false">Sens!K2448+Sens!K2451</f>
        <v>368.561304467424</v>
      </c>
    </row>
    <row r="2453" customFormat="false" ht="17.15" hidden="false" customHeight="false" outlineLevel="0" collapsed="false">
      <c r="A2453" s="1" t="s">
        <v>909</v>
      </c>
      <c r="B2453" s="0" t="s">
        <v>98</v>
      </c>
      <c r="E2453" s="6" t="n">
        <f aca="false">Sens!E2396</f>
        <v>13.0443247816667</v>
      </c>
      <c r="F2453" s="6" t="n">
        <f aca="false">Sens!F2396</f>
        <v>30.5902725775365</v>
      </c>
      <c r="G2453" s="6" t="n">
        <f aca="false">Sens!G2396</f>
        <v>54.0010750339529</v>
      </c>
      <c r="H2453" s="6" t="n">
        <f aca="false">Sens!H2396</f>
        <v>75.7895412201929</v>
      </c>
      <c r="I2453" s="6" t="n">
        <f aca="false">Sens!I2396</f>
        <v>95.1853204114582</v>
      </c>
      <c r="J2453" s="6" t="n">
        <f aca="false">Sens!J2396</f>
        <v>108.942657163814</v>
      </c>
      <c r="K2453" s="6" t="n">
        <f aca="false">Sens!K2396</f>
        <v>117.31380586926</v>
      </c>
    </row>
    <row r="2454" customFormat="false" ht="17.15" hidden="false" customHeight="false" outlineLevel="0" collapsed="false">
      <c r="A2454" s="1" t="s">
        <v>910</v>
      </c>
      <c r="B2454" s="0" t="s">
        <v>98</v>
      </c>
      <c r="E2454" s="6" t="n">
        <f aca="false">Sens!E2478</f>
        <v>25.4896752183333</v>
      </c>
      <c r="F2454" s="6" t="n">
        <f aca="false">Sens!F2478</f>
        <v>26.5136424194562</v>
      </c>
      <c r="G2454" s="6" t="n">
        <f aca="false">Sens!G2478</f>
        <v>28.0225675345495</v>
      </c>
      <c r="H2454" s="6" t="n">
        <f aca="false">Sens!H2478</f>
        <v>29.9764621455036</v>
      </c>
      <c r="I2454" s="6" t="n">
        <f aca="false">Sens!I2478</f>
        <v>32.2961559621176</v>
      </c>
      <c r="J2454" s="6" t="n">
        <f aca="false">Sens!J2478</f>
        <v>34.8871316909432</v>
      </c>
      <c r="K2454" s="6" t="n">
        <f aca="false">Sens!K2478</f>
        <v>37.6627887960483</v>
      </c>
    </row>
    <row r="2455" customFormat="false" ht="17.15" hidden="false" customHeight="false" outlineLevel="0" collapsed="false">
      <c r="A2455" s="1" t="s">
        <v>911</v>
      </c>
      <c r="B2455" s="0" t="s">
        <v>98</v>
      </c>
      <c r="D2455" s="6" t="n">
        <f aca="false">Q!L27</f>
        <v>-4.901</v>
      </c>
      <c r="E2455" s="6" t="n">
        <f aca="false">Q!M27</f>
        <v>10.697</v>
      </c>
      <c r="F2455" s="6" t="n">
        <f aca="false">oie_f</f>
        <v>-0.4</v>
      </c>
      <c r="G2455" s="6" t="n">
        <f aca="false">oie_f</f>
        <v>-0.4</v>
      </c>
      <c r="H2455" s="6" t="n">
        <f aca="false">oie_f</f>
        <v>-0.4</v>
      </c>
      <c r="I2455" s="6" t="n">
        <f aca="false">oie_f</f>
        <v>-0.4</v>
      </c>
      <c r="J2455" s="6" t="n">
        <f aca="false">oie_f</f>
        <v>-0.4</v>
      </c>
      <c r="K2455" s="6" t="n">
        <f aca="false">oie_f</f>
        <v>-0.4</v>
      </c>
      <c r="L2455" s="11" t="s">
        <v>912</v>
      </c>
    </row>
    <row r="2456" customFormat="false" ht="15" hidden="false" customHeight="false" outlineLevel="0" collapsed="false">
      <c r="A2456" s="1" t="s">
        <v>913</v>
      </c>
      <c r="B2456" s="0" t="s">
        <v>98</v>
      </c>
      <c r="D2456" s="6" t="n">
        <f aca="false">Sens!D2448+Sens!D2455</f>
        <v>123.627</v>
      </c>
      <c r="E2456" s="6" t="n">
        <f aca="false">Sens!E2448+Sens!E2455</f>
        <v>165.934</v>
      </c>
      <c r="F2456" s="6" t="n">
        <f aca="false">Sens!F2448+Sens!F2455</f>
        <v>182.727446162195</v>
      </c>
      <c r="G2456" s="6" t="n">
        <f aca="false">Sens!G2448+Sens!G2455</f>
        <v>216.479340746691</v>
      </c>
      <c r="H2456" s="6" t="n">
        <f aca="false">Sens!H2448+Sens!H2455</f>
        <v>258.409081398821</v>
      </c>
      <c r="I2456" s="6" t="n">
        <f aca="false">Sens!I2448+Sens!I2455</f>
        <v>291.503341732145</v>
      </c>
      <c r="J2456" s="6" t="n">
        <f aca="false">Sens!J2448+Sens!J2455</f>
        <v>319.049624412451</v>
      </c>
      <c r="K2456" s="6" t="n">
        <f aca="false">Sens!K2448+Sens!K2455</f>
        <v>342.666772701635</v>
      </c>
    </row>
    <row r="2457" customFormat="false" ht="15" hidden="false" customHeight="false" outlineLevel="0" collapsed="false">
      <c r="A2457" s="1" t="s">
        <v>914</v>
      </c>
      <c r="B2457" s="0" t="s">
        <v>98</v>
      </c>
      <c r="D2457" s="6" t="n">
        <f aca="false">Q!L29</f>
        <v>21.795</v>
      </c>
      <c r="E2457" s="6" t="n">
        <f aca="false">Q!M29</f>
        <v>32.185</v>
      </c>
      <c r="F2457" s="6" t="n">
        <f aca="false">Sens!F2456*tax_f</f>
        <v>36.545489232439</v>
      </c>
      <c r="G2457" s="6" t="n">
        <f aca="false">Sens!G2456*tax_f</f>
        <v>43.2958681493382</v>
      </c>
      <c r="H2457" s="6" t="n">
        <f aca="false">Sens!H2456*tax_f</f>
        <v>51.6818162797643</v>
      </c>
      <c r="I2457" s="6" t="n">
        <f aca="false">Sens!I2456*tax_f</f>
        <v>58.3006683464289</v>
      </c>
      <c r="J2457" s="6" t="n">
        <f aca="false">Sens!J2456*tax_f</f>
        <v>63.8099248824902</v>
      </c>
      <c r="K2457" s="6" t="n">
        <f aca="false">Sens!K2456*tax_f</f>
        <v>68.533354540327</v>
      </c>
    </row>
    <row r="2458" customFormat="false" ht="15" hidden="false" customHeight="false" outlineLevel="0" collapsed="false">
      <c r="A2458" s="1" t="s">
        <v>915</v>
      </c>
      <c r="B2458" s="0" t="s">
        <v>98</v>
      </c>
      <c r="D2458" s="6" t="n">
        <f aca="false">Sens!D2456-Sens!D2457</f>
        <v>101.832</v>
      </c>
      <c r="E2458" s="6" t="n">
        <f aca="false">Sens!E2456-Sens!E2457</f>
        <v>133.749</v>
      </c>
      <c r="F2458" s="6" t="n">
        <f aca="false">Sens!F2456-Sens!F2457</f>
        <v>146.181956929756</v>
      </c>
      <c r="G2458" s="6" t="n">
        <f aca="false">Sens!G2456-Sens!G2457</f>
        <v>173.183472597353</v>
      </c>
      <c r="H2458" s="6" t="n">
        <f aca="false">Sens!H2456-Sens!H2457</f>
        <v>206.727265119057</v>
      </c>
      <c r="I2458" s="6" t="n">
        <f aca="false">Sens!I2456-Sens!I2457</f>
        <v>233.202673385716</v>
      </c>
      <c r="J2458" s="6" t="n">
        <f aca="false">Sens!J2456-Sens!J2457</f>
        <v>255.239699529961</v>
      </c>
      <c r="K2458" s="6" t="n">
        <f aca="false">Sens!K2456-Sens!K2457</f>
        <v>274.133418161308</v>
      </c>
    </row>
    <row r="2459" customFormat="false" ht="17.15" hidden="false" customHeight="false" outlineLevel="0" collapsed="false">
      <c r="A2459" s="1" t="s">
        <v>916</v>
      </c>
      <c r="B2459" s="1" t="s">
        <v>81</v>
      </c>
      <c r="D2459" s="14" t="n">
        <f aca="false">Q!L31</f>
        <v>7.465</v>
      </c>
      <c r="E2459" s="14" t="n">
        <f aca="false">Q!M31</f>
        <v>7.453</v>
      </c>
      <c r="F2459" s="14" t="n">
        <f aca="false">Sens!F2500</f>
        <v>7.4735</v>
      </c>
      <c r="G2459" s="14" t="n">
        <f aca="false">Sens!G2500</f>
        <v>7.49987171271795</v>
      </c>
      <c r="H2459" s="14" t="n">
        <f aca="false">Sens!H2500</f>
        <v>7.50899501128585</v>
      </c>
      <c r="I2459" s="14" t="n">
        <f aca="false">Sens!I2500</f>
        <v>7.52077584329316</v>
      </c>
      <c r="J2459" s="14" t="n">
        <f aca="false">Sens!J2500</f>
        <v>7.53501735441104</v>
      </c>
      <c r="K2459" s="14" t="n">
        <f aca="false">Sens!K2500</f>
        <v>7.55153727211278</v>
      </c>
    </row>
    <row r="2460" customFormat="false" ht="17.15" hidden="false" customHeight="false" outlineLevel="0" collapsed="false">
      <c r="A2460" s="0" t="s">
        <v>917</v>
      </c>
      <c r="B2460" s="0" t="s">
        <v>75</v>
      </c>
      <c r="D2460" s="8" t="n">
        <f aca="false">Sens!D2458/Sens!D2459</f>
        <v>13.641259209645</v>
      </c>
      <c r="E2460" s="8" t="n">
        <f aca="false">Sens!E2458/Sens!E2459</f>
        <v>17.9456594659869</v>
      </c>
      <c r="F2460" s="8" t="n">
        <f aca="false">Sens!F2458/Sens!F2459</f>
        <v>19.560039731017</v>
      </c>
      <c r="G2460" s="8" t="n">
        <f aca="false">Sens!G2458/Sens!G2459</f>
        <v>23.0915246595053</v>
      </c>
      <c r="H2460" s="8" t="n">
        <f aca="false">Sens!H2458/Sens!H2459</f>
        <v>27.5306169212193</v>
      </c>
      <c r="I2460" s="8" t="n">
        <f aca="false">Sens!I2458/Sens!I2459</f>
        <v>31.0077947069357</v>
      </c>
      <c r="J2460" s="8" t="n">
        <f aca="false">Sens!J2458/Sens!J2459</f>
        <v>33.8738038049165</v>
      </c>
      <c r="K2460" s="8" t="n">
        <f aca="false">Sens!K2458/Sens!K2459</f>
        <v>36.3016705451035</v>
      </c>
      <c r="L2460" s="1" t="s">
        <v>918</v>
      </c>
    </row>
    <row r="2461" customFormat="false" ht="17.15" hidden="false" customHeight="false" outlineLevel="0" collapsed="false">
      <c r="A2461" s="1" t="s">
        <v>919</v>
      </c>
      <c r="B2461" s="0" t="s">
        <v>98</v>
      </c>
      <c r="D2461" s="6" t="n">
        <f aca="false">Sens!D2458</f>
        <v>101.832</v>
      </c>
      <c r="E2461" s="6" t="n">
        <f aca="false">Sens!E2458</f>
        <v>133.749</v>
      </c>
      <c r="F2461" s="6" t="n">
        <f aca="false">Sens!F2458+Sens!F2451*(1-tax_f)</f>
        <v>150.950144861669</v>
      </c>
      <c r="G2461" s="6" t="n">
        <f aca="false">Sens!G2458+Sens!G2451*(1-tax_f)</f>
        <v>181.437520736698</v>
      </c>
      <c r="H2461" s="6" t="n">
        <f aca="false">Sens!H2458+Sens!H2451*(1-tax_f)</f>
        <v>219.008155903015</v>
      </c>
      <c r="I2461" s="6" t="n">
        <f aca="false">Sens!I2458+Sens!I2451*(1-tax_f)</f>
        <v>249.59024272348</v>
      </c>
      <c r="J2461" s="6" t="n">
        <f aca="false">Sens!J2458+Sens!J2451*(1-tax_f)</f>
        <v>274.575589087578</v>
      </c>
      <c r="K2461" s="6" t="n">
        <f aca="false">Sens!K2458+Sens!K2451*(1-tax_f)</f>
        <v>294.529043573939</v>
      </c>
    </row>
    <row r="2462" customFormat="false" ht="17.15" hidden="false" customHeight="false" outlineLevel="0" collapsed="false">
      <c r="A2462" s="0" t="s">
        <v>920</v>
      </c>
      <c r="B2462" s="0" t="s">
        <v>75</v>
      </c>
      <c r="D2462" s="8" t="n">
        <f aca="false">Sens!D2461/Sens!D2459</f>
        <v>13.641259209645</v>
      </c>
      <c r="E2462" s="8" t="n">
        <f aca="false">Sens!E2461/Sens!E2459</f>
        <v>17.9456594659869</v>
      </c>
      <c r="F2462" s="8" t="n">
        <f aca="false">Sens!F2461/Sens!F2459</f>
        <v>20.1980524334875</v>
      </c>
      <c r="G2462" s="8" t="n">
        <f aca="false">Sens!G2461/Sens!G2459</f>
        <v>24.1920832364405</v>
      </c>
      <c r="H2462" s="8" t="n">
        <f aca="false">Sens!H2461/Sens!H2459</f>
        <v>29.1661075248886</v>
      </c>
      <c r="I2462" s="8" t="n">
        <f aca="false">Sens!I2461/Sens!I2459</f>
        <v>33.186767951083</v>
      </c>
      <c r="J2462" s="8" t="n">
        <f aca="false">Sens!J2461/Sens!J2459</f>
        <v>36.4399411670685</v>
      </c>
      <c r="K2462" s="8" t="n">
        <f aca="false">Sens!K2461/Sens!K2459</f>
        <v>39.0025279570044</v>
      </c>
      <c r="L2462" s="1" t="s">
        <v>921</v>
      </c>
    </row>
    <row r="2463" customFormat="false" ht="17.15" hidden="false" customHeight="false" outlineLevel="0" collapsed="false">
      <c r="A2463" s="0" t="s">
        <v>922</v>
      </c>
      <c r="B2463" s="0" t="s">
        <v>129</v>
      </c>
      <c r="E2463" s="7" t="n">
        <f aca="false">Sens!E2462/Sens!D2462-1</f>
        <v>0.315542736208578</v>
      </c>
      <c r="F2463" s="7" t="n">
        <f aca="false">Sens!F2462/Sens!E2462-1</f>
        <v>0.125511852700073</v>
      </c>
      <c r="G2463" s="7" t="n">
        <f aca="false">Sens!G2462/Sens!F2462-1</f>
        <v>0.197743362440783</v>
      </c>
      <c r="H2463" s="7" t="n">
        <f aca="false">Sens!H2462/Sens!G2462-1</f>
        <v>0.205605455298523</v>
      </c>
      <c r="I2463" s="7" t="n">
        <f aca="false">Sens!I2462/Sens!H2462-1</f>
        <v>0.137853857350123</v>
      </c>
      <c r="J2463" s="7" t="n">
        <f aca="false">Sens!J2462/Sens!I2462-1</f>
        <v>0.0980262139651751</v>
      </c>
      <c r="K2463" s="7" t="n">
        <f aca="false">Sens!K2462/Sens!J2462-1</f>
        <v>0.0703235710010361</v>
      </c>
    </row>
    <row r="2464" customFormat="false" ht="17.15" hidden="false" customHeight="false" outlineLevel="0" collapsed="false">
      <c r="A2464" s="0" t="s">
        <v>846</v>
      </c>
      <c r="B2464" s="0" t="s">
        <v>98</v>
      </c>
      <c r="E2464" s="6" t="n">
        <f aca="false">Sens!E2405</f>
        <v>5.25</v>
      </c>
      <c r="F2464" s="6" t="n">
        <f aca="false">Sens!F2405</f>
        <v>13.5</v>
      </c>
      <c r="G2464" s="6" t="n">
        <f aca="false">Sens!G2405</f>
        <v>22.5</v>
      </c>
      <c r="H2464" s="6" t="n">
        <f aca="false">Sens!H2405</f>
        <v>31.5</v>
      </c>
      <c r="I2464" s="6" t="n">
        <f aca="false">Sens!I2405</f>
        <v>38.25</v>
      </c>
      <c r="J2464" s="6" t="n">
        <f aca="false">Sens!J2405</f>
        <v>42.75</v>
      </c>
      <c r="K2464" s="6" t="n">
        <f aca="false">Sens!K2405</f>
        <v>47.25</v>
      </c>
    </row>
    <row r="2465" customFormat="false" ht="17.15" hidden="false" customHeight="false" outlineLevel="0" collapsed="false">
      <c r="A2465" s="1" t="s">
        <v>847</v>
      </c>
      <c r="B2465" s="0" t="s">
        <v>98</v>
      </c>
      <c r="F2465" s="6" t="n">
        <f aca="false">MAX(0,(Sens!E2368+Sens!F2368)/2*Sens!F2376/1000-Sens!F2464*Sens!F2444)</f>
        <v>5.96023491489084</v>
      </c>
      <c r="G2465" s="6" t="n">
        <f aca="false">MAX(0,(Sens!F2368+Sens!G2368)/2*Sens!G2376/1000-Sens!G2464*Sens!G2444)</f>
        <v>10.3175601741817</v>
      </c>
      <c r="H2465" s="6" t="n">
        <f aca="false">MAX(0,(Sens!G2368+Sens!H2368)/2*Sens!H2376/1000-Sens!H2464*Sens!H2444)</f>
        <v>15.3511134799477</v>
      </c>
      <c r="I2465" s="6" t="n">
        <f aca="false">MAX(0,(Sens!H2368+Sens!I2368)/2*Sens!I2376/1000-Sens!I2464*Sens!I2444)</f>
        <v>20.4844616722059</v>
      </c>
      <c r="J2465" s="6" t="n">
        <f aca="false">MAX(0,(Sens!I2368+Sens!J2368)/2*Sens!J2376/1000-Sens!J2464*Sens!J2444)</f>
        <v>24.1698619470216</v>
      </c>
      <c r="K2465" s="6" t="n">
        <f aca="false">MAX(0,(Sens!J2368+Sens!K2368)/2*Sens!K2376/1000-Sens!K2464*Sens!K2444)</f>
        <v>25.494531765789</v>
      </c>
      <c r="L2465" s="1" t="s">
        <v>848</v>
      </c>
    </row>
    <row r="2466" customFormat="false" ht="17.15" hidden="false" customHeight="false" outlineLevel="0" collapsed="false">
      <c r="A2466" s="1" t="s">
        <v>849</v>
      </c>
      <c r="B2466" s="0" t="s">
        <v>98</v>
      </c>
      <c r="F2466" s="6" t="n">
        <f aca="false">IF(internal_ai_reading=2,1,0)*Sens!F2465</f>
        <v>5.96023491489084</v>
      </c>
      <c r="G2466" s="6" t="n">
        <f aca="false">IF(internal_ai_reading=2,1,0)*Sens!G2465</f>
        <v>10.3175601741817</v>
      </c>
      <c r="H2466" s="6" t="n">
        <f aca="false">IF(internal_ai_reading=2,1,0)*Sens!H2465</f>
        <v>15.3511134799477</v>
      </c>
      <c r="I2466" s="6" t="n">
        <f aca="false">IF(internal_ai_reading=2,1,0)*Sens!I2465</f>
        <v>20.4844616722059</v>
      </c>
      <c r="J2466" s="6" t="n">
        <f aca="false">IF(internal_ai_reading=2,1,0)*Sens!J2465</f>
        <v>24.1698619470216</v>
      </c>
      <c r="K2466" s="6" t="n">
        <f aca="false">IF(internal_ai_reading=2,1,0)*Sens!K2465</f>
        <v>25.494531765789</v>
      </c>
    </row>
    <row r="2467" customFormat="false" ht="17.15" hidden="false" customHeight="false" outlineLevel="0" collapsed="false">
      <c r="A2467" s="0" t="s">
        <v>850</v>
      </c>
      <c r="B2467" s="0" t="s">
        <v>98</v>
      </c>
      <c r="F2467" s="6" t="n">
        <f aca="false">Sens!F2385+Sens!F2464*Sens!F2444+Sens!F2466-Sens!F2386-Sens!F2396</f>
        <v>22.6647688902441</v>
      </c>
      <c r="G2467" s="6" t="n">
        <f aca="false">Sens!G2385+Sens!G2464*Sens!G2444+Sens!G2466-Sens!G2386-Sens!G2396</f>
        <v>41.7845026387306</v>
      </c>
      <c r="H2467" s="6" t="n">
        <f aca="false">Sens!H2385+Sens!H2464*Sens!H2444+Sens!H2466-Sens!H2386-Sens!H2396</f>
        <v>69.4441242579195</v>
      </c>
      <c r="I2467" s="6" t="n">
        <f aca="false">Sens!I2385+Sens!I2464*Sens!I2444+Sens!I2466-Sens!I2386-Sens!I2396</f>
        <v>88.7216508800694</v>
      </c>
      <c r="J2467" s="6" t="n">
        <f aca="false">Sens!J2385+Sens!J2464*Sens!J2444+Sens!J2466-Sens!J2386-Sens!J2396</f>
        <v>102.098827307546</v>
      </c>
      <c r="K2467" s="6" t="n">
        <f aca="false">Sens!K2385+Sens!K2464*Sens!K2444+Sens!K2466-Sens!K2386-Sens!K2396</f>
        <v>111.045156702848</v>
      </c>
    </row>
    <row r="2468" customFormat="false" ht="17.15" hidden="false" customHeight="false" outlineLevel="0" collapsed="false">
      <c r="A2468" s="0" t="s">
        <v>851</v>
      </c>
      <c r="B2468" s="0" t="s">
        <v>98</v>
      </c>
      <c r="E2468" s="6" t="n">
        <f aca="false">Sens!E2367*(cxit_open+self_build*tk_cxfac)/1000*ai_net_open</f>
        <v>101.35843056</v>
      </c>
      <c r="F2468" s="6" t="n">
        <f aca="false">Sens!E2468+Sens!F2393-Sens!F2396</f>
        <v>239.238810752901</v>
      </c>
      <c r="G2468" s="6" t="n">
        <f aca="false">Sens!F2468+Sens!G2393-Sens!G2396</f>
        <v>332.097080105508</v>
      </c>
      <c r="H2468" s="6" t="n">
        <f aca="false">Sens!G2468+Sens!H2393-Sens!H2396</f>
        <v>406.771767613635</v>
      </c>
      <c r="I2468" s="6" t="n">
        <f aca="false">Sens!H2468+Sens!I2393-Sens!I2396</f>
        <v>442.551782525573</v>
      </c>
      <c r="J2468" s="6" t="n">
        <f aca="false">Sens!I2468+Sens!J2393-Sens!J2396</f>
        <v>433.219106736232</v>
      </c>
      <c r="K2468" s="6" t="n">
        <f aca="false">Sens!J2468+Sens!K2393-Sens!K2396</f>
        <v>407.872849380521</v>
      </c>
      <c r="L2468" s="1" t="s">
        <v>852</v>
      </c>
    </row>
    <row r="2469" customFormat="false" ht="17.15" hidden="false" customHeight="false" outlineLevel="0" collapsed="false">
      <c r="A2469" s="0" t="s">
        <v>853</v>
      </c>
      <c r="B2469" s="0" t="s">
        <v>129</v>
      </c>
      <c r="F2469" s="7" t="n">
        <f aca="false">Sens!F2467*(1-tax_f)/((Sens!E2468+Sens!F2468)/2)</f>
        <v>0.106470710345759</v>
      </c>
      <c r="G2469" s="7" t="n">
        <f aca="false">Sens!G2467*(1-tax_f)/((Sens!F2468+Sens!G2468)/2)</f>
        <v>0.117015586263138</v>
      </c>
      <c r="H2469" s="7" t="n">
        <f aca="false">Sens!H2467*(1-tax_f)/((Sens!G2468+Sens!H2468)/2)</f>
        <v>0.150379325310121</v>
      </c>
      <c r="I2469" s="7" t="n">
        <f aca="false">Sens!I2467*(1-tax_f)/((Sens!H2468+Sens!I2468)/2)</f>
        <v>0.167138473182386</v>
      </c>
      <c r="J2469" s="7" t="n">
        <f aca="false">Sens!J2467*(1-tax_f)/((Sens!I2468+Sens!J2468)/2)</f>
        <v>0.186530661951745</v>
      </c>
      <c r="K2469" s="7" t="n">
        <f aca="false">Sens!K2467*(1-tax_f)/((Sens!J2468+Sens!K2468)/2)</f>
        <v>0.211239983253262</v>
      </c>
    </row>
    <row r="2470" customFormat="false" ht="17.15" hidden="false" customHeight="false" outlineLevel="0" collapsed="false">
      <c r="A2470" s="1" t="s">
        <v>854</v>
      </c>
      <c r="B2470" s="0" t="s">
        <v>129</v>
      </c>
      <c r="F2470" s="7" t="n">
        <f aca="false">(Sens!F2467-Sens!F2466)*(1-tax_f)/((Sens!E2468+Sens!F2468)/2)</f>
        <v>0.0784717288300387</v>
      </c>
      <c r="G2470" s="7" t="n">
        <f aca="false">(Sens!G2467-Sens!G2466)*(1-tax_f)/((Sens!F2468+Sens!G2468)/2)</f>
        <v>0.0881217314522878</v>
      </c>
      <c r="H2470" s="7" t="n">
        <f aca="false">(Sens!H2467-Sens!H2466)*(1-tax_f)/((Sens!G2468+Sens!H2468)/2)</f>
        <v>0.117136914774425</v>
      </c>
      <c r="I2470" s="7" t="n">
        <f aca="false">(Sens!I2467-Sens!I2466)*(1-tax_f)/((Sens!H2468+Sens!I2468)/2)</f>
        <v>0.12854877592254</v>
      </c>
      <c r="J2470" s="7" t="n">
        <f aca="false">(Sens!J2467-Sens!J2466)*(1-tax_f)/((Sens!I2468+Sens!J2468)/2)</f>
        <v>0.142373246365768</v>
      </c>
      <c r="K2470" s="7" t="n">
        <f aca="false">(Sens!K2467-Sens!K2466)*(1-tax_f)/((Sens!J2468+Sens!K2468)/2)</f>
        <v>0.162742015190897</v>
      </c>
    </row>
    <row r="2471" customFormat="false" ht="17.15" hidden="false" customHeight="false" outlineLevel="0" collapsed="false">
      <c r="A2471" s="1" t="s">
        <v>855</v>
      </c>
      <c r="B2471" s="0" t="s">
        <v>129</v>
      </c>
      <c r="F2471" s="7" t="n">
        <f aca="false">(Sens!F2467-Sens!F2466+Sens!F2465)*(1-tax_f)/((Sens!E2468+Sens!F2468)/2)</f>
        <v>0.106470710345759</v>
      </c>
      <c r="G2471" s="7" t="n">
        <f aca="false">(Sens!G2467-Sens!G2466+Sens!G2465)*(1-tax_f)/((Sens!F2468+Sens!G2468)/2)</f>
        <v>0.117015586263138</v>
      </c>
      <c r="H2471" s="7" t="n">
        <f aca="false">(Sens!H2467-Sens!H2466+Sens!H2465)*(1-tax_f)/((Sens!G2468+Sens!H2468)/2)</f>
        <v>0.150379325310121</v>
      </c>
      <c r="I2471" s="7" t="n">
        <f aca="false">(Sens!I2467-Sens!I2466+Sens!I2465)*(1-tax_f)/((Sens!H2468+Sens!I2468)/2)</f>
        <v>0.167138473182386</v>
      </c>
      <c r="J2471" s="7" t="n">
        <f aca="false">(Sens!J2467-Sens!J2466+Sens!J2465)*(1-tax_f)/((Sens!I2468+Sens!J2468)/2)</f>
        <v>0.186530661951745</v>
      </c>
      <c r="K2471" s="7" t="n">
        <f aca="false">(Sens!K2467-Sens!K2466+Sens!K2465)*(1-tax_f)/((Sens!J2468+Sens!K2468)/2)</f>
        <v>0.211239983253262</v>
      </c>
    </row>
    <row r="2472" customFormat="false" ht="17.15" hidden="false" customHeight="false" outlineLevel="0" collapsed="false">
      <c r="A2472" s="1" t="s">
        <v>856</v>
      </c>
      <c r="B2472" s="0" t="s">
        <v>129</v>
      </c>
      <c r="F2472" s="7" t="n">
        <f aca="false">Sens!F2397*(1-tax_f)/(Sens!F2384*(Sens!E2468+Sens!F2468)/2)</f>
        <v>0.126429829476572</v>
      </c>
      <c r="G2472" s="7" t="n">
        <f aca="false">Sens!G2397*(1-tax_f)/(Sens!G2384*(Sens!F2468+Sens!G2468)/2)</f>
        <v>0.141779514150777</v>
      </c>
      <c r="H2472" s="7" t="n">
        <f aca="false">Sens!H2397*(1-tax_f)/(Sens!H2384*(Sens!G2468+Sens!H2468)/2)</f>
        <v>0.182845168740481</v>
      </c>
      <c r="I2472" s="7" t="n">
        <f aca="false">Sens!I2397*(1-tax_f)/(Sens!I2384*(Sens!H2468+Sens!I2468)/2)</f>
        <v>0.202310257572289</v>
      </c>
      <c r="J2472" s="7" t="n">
        <f aca="false">Sens!J2397*(1-tax_f)/(Sens!J2384*(Sens!I2468+Sens!J2468)/2)</f>
        <v>0.225336014991573</v>
      </c>
      <c r="K2472" s="7" t="n">
        <f aca="false">Sens!K2397*(1-tax_f)/(Sens!K2384*(Sens!J2468+Sens!K2468)/2)</f>
        <v>0.254761107401747</v>
      </c>
    </row>
    <row r="2473" customFormat="false" ht="17.15" hidden="false" customHeight="false" outlineLevel="0" collapsed="false">
      <c r="A2473" s="0" t="s">
        <v>857</v>
      </c>
      <c r="B2473" s="0" t="s">
        <v>209</v>
      </c>
      <c r="F2473" s="7" t="n">
        <f aca="false">Sens!F2469-wacc</f>
        <v>0.00353629025288361</v>
      </c>
      <c r="G2473" s="7" t="n">
        <f aca="false">Sens!G2469-wacc</f>
        <v>0.0140811661702624</v>
      </c>
      <c r="H2473" s="7" t="n">
        <f aca="false">Sens!H2469-wacc</f>
        <v>0.0474449052172452</v>
      </c>
      <c r="I2473" s="7" t="n">
        <f aca="false">Sens!I2469-wacc</f>
        <v>0.0642040530895104</v>
      </c>
      <c r="J2473" s="7" t="n">
        <f aca="false">Sens!J2469-wacc</f>
        <v>0.0835962418588697</v>
      </c>
      <c r="K2473" s="7" t="n">
        <f aca="false">Sens!K2469-wacc</f>
        <v>0.108305563160387</v>
      </c>
    </row>
    <row r="2474" customFormat="false" ht="17.15" hidden="false" customHeight="false" outlineLevel="0" collapsed="false">
      <c r="A2474" s="0" t="s">
        <v>858</v>
      </c>
      <c r="B2474" s="0" t="s">
        <v>98</v>
      </c>
      <c r="F2474" s="6" t="n">
        <f aca="false">Sens!F2467*(1-tax_f)-wacc*(Sens!E2468+Sens!F2468)/2</f>
        <v>0.602225352306931</v>
      </c>
      <c r="G2474" s="6" t="n">
        <f aca="false">Sens!G2467*(1-tax_f)-wacc*(Sens!F2468+Sens!G2468)/2</f>
        <v>4.02253780910607</v>
      </c>
      <c r="H2474" s="6" t="n">
        <f aca="false">Sens!H2467*(1-tax_f)-wacc*(Sens!G2468+Sens!H2468)/2</f>
        <v>17.527781224005</v>
      </c>
      <c r="I2474" s="6" t="n">
        <f aca="false">Sens!I2467*(1-tax_f)-wacc*(Sens!H2468+Sens!I2468)/2</f>
        <v>27.2650071516546</v>
      </c>
      <c r="J2474" s="6" t="n">
        <f aca="false">Sens!J2467*(1-tax_f)-wacc*(Sens!I2468+Sens!J2468)/2</f>
        <v>36.6055775358436</v>
      </c>
      <c r="K2474" s="6" t="n">
        <f aca="false">Sens!K2467*(1-tax_f)-wacc*(Sens!J2468+Sens!K2468)/2</f>
        <v>45.547468988448</v>
      </c>
    </row>
    <row r="2475" customFormat="false" ht="17.15" hidden="false" customHeight="false" outlineLevel="0" collapsed="false">
      <c r="A2475" s="3" t="s">
        <v>1297</v>
      </c>
    </row>
    <row r="2476" customFormat="false" ht="15" hidden="false" customHeight="false" outlineLevel="0" collapsed="false">
      <c r="A2476" s="4" t="s">
        <v>43</v>
      </c>
      <c r="B2476" s="4" t="s">
        <v>65</v>
      </c>
      <c r="C2476" s="20" t="s">
        <v>788</v>
      </c>
      <c r="D2476" s="20" t="s">
        <v>789</v>
      </c>
      <c r="E2476" s="20" t="s">
        <v>790</v>
      </c>
      <c r="F2476" s="20" t="s">
        <v>791</v>
      </c>
      <c r="G2476" s="20" t="s">
        <v>792</v>
      </c>
      <c r="H2476" s="20" t="s">
        <v>793</v>
      </c>
      <c r="I2476" s="20" t="s">
        <v>794</v>
      </c>
      <c r="J2476" s="20" t="s">
        <v>795</v>
      </c>
      <c r="K2476" s="20" t="s">
        <v>796</v>
      </c>
      <c r="L2476" s="4" t="s">
        <v>47</v>
      </c>
    </row>
    <row r="2477" customFormat="false" ht="15" hidden="false" customHeight="false" outlineLevel="0" collapsed="false">
      <c r="A2477" s="1" t="s">
        <v>915</v>
      </c>
      <c r="B2477" s="0" t="s">
        <v>98</v>
      </c>
      <c r="F2477" s="6" t="n">
        <f aca="false">Sens!F2458</f>
        <v>146.181956929756</v>
      </c>
      <c r="G2477" s="6" t="n">
        <f aca="false">Sens!G2458</f>
        <v>173.183472597353</v>
      </c>
      <c r="H2477" s="6" t="n">
        <f aca="false">Sens!H2458</f>
        <v>206.727265119057</v>
      </c>
      <c r="I2477" s="6" t="n">
        <f aca="false">Sens!I2458</f>
        <v>233.202673385716</v>
      </c>
      <c r="J2477" s="6" t="n">
        <f aca="false">Sens!J2458</f>
        <v>255.239699529961</v>
      </c>
      <c r="K2477" s="6" t="n">
        <f aca="false">Sens!K2458</f>
        <v>274.133418161308</v>
      </c>
    </row>
    <row r="2478" customFormat="false" ht="17.15" hidden="false" customHeight="false" outlineLevel="0" collapsed="false">
      <c r="A2478" s="1" t="s">
        <v>937</v>
      </c>
      <c r="B2478" s="0" t="s">
        <v>98</v>
      </c>
      <c r="E2478" s="6" t="n">
        <f aca="false">Q!M38-Sens!E2396</f>
        <v>25.4896752183333</v>
      </c>
      <c r="F2478" s="6" t="n">
        <f aca="false">Sens!E2478*(1-1/life_nonai)+Sens!F2484/life_nonai</f>
        <v>26.5136424194562</v>
      </c>
      <c r="G2478" s="6" t="n">
        <f aca="false">Sens!F2478*(1-1/life_nonai)+Sens!G2484/life_nonai</f>
        <v>28.0225675345495</v>
      </c>
      <c r="H2478" s="6" t="n">
        <f aca="false">Sens!G2478*(1-1/life_nonai)+Sens!H2484/life_nonai</f>
        <v>29.9764621455036</v>
      </c>
      <c r="I2478" s="6" t="n">
        <f aca="false">Sens!H2478*(1-1/life_nonai)+Sens!I2484/life_nonai</f>
        <v>32.2961559621176</v>
      </c>
      <c r="J2478" s="6" t="n">
        <f aca="false">Sens!I2478*(1-1/life_nonai)+Sens!J2484/life_nonai</f>
        <v>34.8871316909432</v>
      </c>
      <c r="K2478" s="6" t="n">
        <f aca="false">Sens!J2478*(1-1/life_nonai)+Sens!K2484/life_nonai</f>
        <v>37.6627887960483</v>
      </c>
      <c r="L2478" s="11" t="s">
        <v>938</v>
      </c>
    </row>
    <row r="2479" customFormat="false" ht="17.15" hidden="false" customHeight="false" outlineLevel="0" collapsed="false">
      <c r="A2479" s="1" t="s">
        <v>939</v>
      </c>
      <c r="B2479" s="0" t="s">
        <v>98</v>
      </c>
      <c r="E2479" s="6" t="n">
        <f aca="false">Sens!E2396+Sens!E2478</f>
        <v>38.534</v>
      </c>
      <c r="F2479" s="6" t="n">
        <f aca="false">Sens!F2396+Sens!F2478</f>
        <v>57.1039149969927</v>
      </c>
      <c r="G2479" s="6" t="n">
        <f aca="false">Sens!G2396+Sens!G2478</f>
        <v>82.0236425685025</v>
      </c>
      <c r="H2479" s="6" t="n">
        <f aca="false">Sens!H2396+Sens!H2478</f>
        <v>105.766003365696</v>
      </c>
      <c r="I2479" s="6" t="n">
        <f aca="false">Sens!I2396+Sens!I2478</f>
        <v>127.481476373576</v>
      </c>
      <c r="J2479" s="6" t="n">
        <f aca="false">Sens!J2396+Sens!J2478</f>
        <v>143.829788854757</v>
      </c>
      <c r="K2479" s="6" t="n">
        <f aca="false">Sens!K2396+Sens!K2478</f>
        <v>154.976594665308</v>
      </c>
    </row>
    <row r="2480" customFormat="false" ht="17.15" hidden="false" customHeight="false" outlineLevel="0" collapsed="false">
      <c r="A2480" s="1" t="s">
        <v>940</v>
      </c>
      <c r="B2480" s="0" t="s">
        <v>98</v>
      </c>
      <c r="F2480" s="6" t="n">
        <f aca="false">Sens!F2423*sbc_r</f>
        <v>15.1240791253967</v>
      </c>
      <c r="G2480" s="6" t="n">
        <f aca="false">Sens!G2423*sbc_r</f>
        <v>18.3778786594202</v>
      </c>
      <c r="H2480" s="6" t="n">
        <f aca="false">Sens!H2423*sbc_r</f>
        <v>21.8771522065674</v>
      </c>
      <c r="I2480" s="6" t="n">
        <f aca="false">Sens!I2423*sbc_r</f>
        <v>24.8701515437869</v>
      </c>
      <c r="J2480" s="6" t="n">
        <f aca="false">Sens!J2423*sbc_r</f>
        <v>27.2849214872696</v>
      </c>
      <c r="K2480" s="6" t="n">
        <f aca="false">Sens!K2423*sbc_r</f>
        <v>29.2091113705455</v>
      </c>
    </row>
    <row r="2481" customFormat="false" ht="17.15" hidden="false" customHeight="false" outlineLevel="0" collapsed="false">
      <c r="A2481" s="1" t="s">
        <v>941</v>
      </c>
      <c r="B2481" s="0" t="s">
        <v>98</v>
      </c>
      <c r="F2481" s="6" t="n">
        <f aca="false">wc27</f>
        <v>-4.895</v>
      </c>
      <c r="G2481" s="6" t="n">
        <f aca="false">wc_f</f>
        <v>0</v>
      </c>
      <c r="H2481" s="6" t="n">
        <f aca="false">wc_f</f>
        <v>0</v>
      </c>
      <c r="I2481" s="6" t="n">
        <f aca="false">wc_f</f>
        <v>0</v>
      </c>
      <c r="J2481" s="6" t="n">
        <f aca="false">wc_f</f>
        <v>0</v>
      </c>
      <c r="K2481" s="6" t="n">
        <f aca="false">wc_f</f>
        <v>0</v>
      </c>
      <c r="L2481" s="11" t="s">
        <v>942</v>
      </c>
    </row>
    <row r="2482" customFormat="false" ht="15" hidden="false" customHeight="false" outlineLevel="0" collapsed="false">
      <c r="A2482" s="1" t="s">
        <v>756</v>
      </c>
      <c r="B2482" s="0" t="s">
        <v>98</v>
      </c>
      <c r="E2482" s="6" t="n">
        <f aca="false">Q!M35</f>
        <v>182.935</v>
      </c>
      <c r="F2482" s="6" t="n">
        <f aca="false">Sens!F2477+Sens!F2479+Sens!F2480+Sens!F2481</f>
        <v>213.514951052145</v>
      </c>
      <c r="G2482" s="6" t="n">
        <f aca="false">Sens!G2477+Sens!G2479+Sens!G2480+Sens!G2481</f>
        <v>273.584993825276</v>
      </c>
      <c r="H2482" s="6" t="n">
        <f aca="false">Sens!H2477+Sens!H2479+Sens!H2480+Sens!H2481</f>
        <v>334.370420691321</v>
      </c>
      <c r="I2482" s="6" t="n">
        <f aca="false">Sens!I2477+Sens!I2479+Sens!I2480+Sens!I2481</f>
        <v>385.554301303078</v>
      </c>
      <c r="J2482" s="6" t="n">
        <f aca="false">Sens!J2477+Sens!J2479+Sens!J2480+Sens!J2481</f>
        <v>426.354409871987</v>
      </c>
      <c r="K2482" s="6" t="n">
        <f aca="false">Sens!K2477+Sens!K2479+Sens!K2480+Sens!K2481</f>
        <v>458.319124197162</v>
      </c>
    </row>
    <row r="2483" customFormat="false" ht="17.15" hidden="false" customHeight="false" outlineLevel="0" collapsed="false">
      <c r="A2483" s="0" t="s">
        <v>943</v>
      </c>
      <c r="B2483" s="0" t="s">
        <v>98</v>
      </c>
      <c r="F2483" s="6" t="n">
        <f aca="false">Sens!F2393</f>
        <v>168.470652770438</v>
      </c>
      <c r="G2483" s="6" t="n">
        <f aca="false">Sens!G2393</f>
        <v>146.85934438656</v>
      </c>
      <c r="H2483" s="6" t="n">
        <f aca="false">Sens!H2393</f>
        <v>150.46422872832</v>
      </c>
      <c r="I2483" s="6" t="n">
        <f aca="false">Sens!I2393</f>
        <v>130.965335323396</v>
      </c>
      <c r="J2483" s="6" t="n">
        <f aca="false">Sens!J2393</f>
        <v>99.6099813744724</v>
      </c>
      <c r="K2483" s="6" t="n">
        <f aca="false">Sens!K2393</f>
        <v>91.9675485135489</v>
      </c>
    </row>
    <row r="2484" customFormat="false" ht="17.15" hidden="false" customHeight="false" outlineLevel="0" collapsed="false">
      <c r="A2484" s="1" t="s">
        <v>944</v>
      </c>
      <c r="B2484" s="0" t="s">
        <v>98</v>
      </c>
      <c r="E2484" s="6" t="n">
        <f aca="false">Sens!E2401*cx_azo+Sens!E2408*cx_m365+Sens!E2409*cx_lic+(Sens!E2411+Sens!E2413)*cx_ind+Sens!E2416*cx_srch+(Sens!E2418+Sens!E2420)*cx_dev</f>
        <v>30.1846587067718</v>
      </c>
      <c r="F2484" s="6" t="n">
        <f aca="false">Sens!F2401*cx_azo+Sens!F2408*cx_m365+Sens!F2409*cx_lic+(Sens!F2411+Sens!F2413)*cx_ind+Sens!F2416*cx_srch+(Sens!F2418+Sens!F2420)*cx_dev</f>
        <v>35.7293472295625</v>
      </c>
      <c r="G2484" s="6" t="n">
        <f aca="false">Sens!G2401*cx_azo+Sens!G2408*cx_m365+Sens!G2409*cx_lic+(Sens!G2411+Sens!G2413)*cx_ind+Sens!G2416*cx_srch+(Sens!G2418+Sens!G2420)*cx_dev</f>
        <v>41.6028935703892</v>
      </c>
      <c r="H2484" s="6" t="n">
        <f aca="false">Sens!H2401*cx_azo+Sens!H2408*cx_m365+Sens!H2409*cx_lic+(Sens!H2411+Sens!H2413)*cx_ind+Sens!H2416*cx_srch+(Sens!H2418+Sens!H2420)*cx_dev</f>
        <v>47.5615136440897</v>
      </c>
      <c r="I2484" s="6" t="n">
        <f aca="false">Sens!I2401*cx_azo+Sens!I2408*cx_m365+Sens!I2409*cx_lic+(Sens!I2411+Sens!I2413)*cx_ind+Sens!I2416*cx_srch+(Sens!I2418+Sens!I2420)*cx_dev</f>
        <v>53.1734003116439</v>
      </c>
      <c r="J2484" s="6" t="n">
        <f aca="false">Sens!J2401*cx_azo+Sens!J2408*cx_m365+Sens!J2409*cx_lic+(Sens!J2411+Sens!J2413)*cx_ind+Sens!J2416*cx_srch+(Sens!J2418+Sens!J2420)*cx_dev</f>
        <v>58.2059132503738</v>
      </c>
      <c r="K2484" s="6" t="n">
        <f aca="false">Sens!K2401*cx_azo+Sens!K2408*cx_m365+Sens!K2409*cx_lic+(Sens!K2411+Sens!K2413)*cx_ind+Sens!K2416*cx_srch+(Sens!K2418+Sens!K2420)*cx_dev</f>
        <v>62.643702741994</v>
      </c>
    </row>
    <row r="2485" customFormat="false" ht="17.15" hidden="false" customHeight="false" outlineLevel="0" collapsed="false">
      <c r="A2485" s="1" t="s">
        <v>945</v>
      </c>
      <c r="B2485" s="0" t="s">
        <v>98</v>
      </c>
      <c r="E2485" s="6" t="n">
        <f aca="false">Q!M42</f>
        <v>145.3</v>
      </c>
      <c r="F2485" s="6" t="n">
        <f aca="false">Sens!F2483+Sens!F2484</f>
        <v>204.2</v>
      </c>
      <c r="G2485" s="6" t="n">
        <f aca="false">Sens!G2483+Sens!G2484</f>
        <v>188.462237956949</v>
      </c>
      <c r="H2485" s="6" t="n">
        <f aca="false">Sens!H2483+Sens!H2484</f>
        <v>198.02574237241</v>
      </c>
      <c r="I2485" s="6" t="n">
        <f aca="false">Sens!I2483+Sens!I2484</f>
        <v>184.13873563504</v>
      </c>
      <c r="J2485" s="6" t="n">
        <f aca="false">Sens!J2483+Sens!J2484</f>
        <v>157.815894624846</v>
      </c>
      <c r="K2485" s="6" t="n">
        <f aca="false">Sens!K2483+Sens!K2484</f>
        <v>154.611251255543</v>
      </c>
      <c r="L2485" s="1" t="s">
        <v>946</v>
      </c>
    </row>
    <row r="2486" customFormat="false" ht="15" hidden="false" customHeight="false" outlineLevel="0" collapsed="false">
      <c r="A2486" s="1" t="s">
        <v>947</v>
      </c>
      <c r="B2486" s="0" t="s">
        <v>98</v>
      </c>
      <c r="E2486" s="6" t="n">
        <f aca="false">fl_liab</f>
        <v>66.594</v>
      </c>
      <c r="F2486" s="6" t="n">
        <f aca="false">Sens!E2486-Sens!F2487</f>
        <v>62.46973</v>
      </c>
      <c r="G2486" s="6" t="n">
        <f aca="false">Sens!F2486-Sens!G2487</f>
        <v>57.98686785</v>
      </c>
      <c r="H2486" s="6" t="n">
        <f aca="false">Sens!G2486-Sens!H2487</f>
        <v>53.92827690325</v>
      </c>
      <c r="I2486" s="6" t="n">
        <f aca="false">Sens!H2486-Sens!I2487</f>
        <v>49.7850493638962</v>
      </c>
      <c r="J2486" s="6" t="n">
        <f aca="false">Sens!I2486-Sens!J2487</f>
        <v>45.4823765852716</v>
      </c>
      <c r="K2486" s="6" t="n">
        <f aca="false">Sens!J2486-Sens!K2487</f>
        <v>40.9860835316088</v>
      </c>
    </row>
    <row r="2487" customFormat="false" ht="15" hidden="false" customHeight="false" outlineLevel="0" collapsed="false">
      <c r="A2487" s="1" t="s">
        <v>948</v>
      </c>
      <c r="B2487" s="0" t="s">
        <v>98</v>
      </c>
      <c r="F2487" s="6" t="n">
        <f aca="false">fl_pay_27-Sens!E2486*fl_rate</f>
        <v>4.12427</v>
      </c>
      <c r="G2487" s="6" t="n">
        <f aca="false">fl_pay_28-Sens!F2486*fl_rate</f>
        <v>4.48286215</v>
      </c>
      <c r="H2487" s="6" t="n">
        <f aca="false">fl_pay_29-Sens!G2486*fl_rate</f>
        <v>4.05859094675</v>
      </c>
      <c r="I2487" s="6" t="n">
        <f aca="false">fl_pay_30-Sens!H2486*fl_rate</f>
        <v>4.14322753935375</v>
      </c>
      <c r="J2487" s="6" t="n">
        <f aca="false">fl_pay_31-Sens!I2486*fl_rate</f>
        <v>4.30267277862467</v>
      </c>
      <c r="K2487" s="6" t="n">
        <f aca="false">fl_pay_32-Sens!J2486*fl_rate</f>
        <v>4.49629305366278</v>
      </c>
    </row>
    <row r="2488" customFormat="false" ht="17.15" hidden="false" customHeight="false" outlineLevel="0" collapsed="false">
      <c r="A2488" s="1" t="s">
        <v>949</v>
      </c>
      <c r="B2488" s="0" t="s">
        <v>98</v>
      </c>
      <c r="E2488" s="6" t="n">
        <f aca="false">Q!M35-Q!M36-Q!M43</f>
        <v>63.886</v>
      </c>
      <c r="F2488" s="6" t="n">
        <f aca="false">Sens!F2482-Sens!F2485-Sens!F2487</f>
        <v>5.19068105214535</v>
      </c>
      <c r="G2488" s="6" t="n">
        <f aca="false">Sens!G2482-Sens!G2485-Sens!G2487</f>
        <v>80.6398937183264</v>
      </c>
      <c r="H2488" s="6" t="n">
        <f aca="false">Sens!H2482-Sens!H2485-Sens!H2487</f>
        <v>132.286087372161</v>
      </c>
      <c r="I2488" s="6" t="n">
        <f aca="false">Sens!I2482-Sens!I2485-Sens!I2487</f>
        <v>197.272338128684</v>
      </c>
      <c r="J2488" s="6" t="n">
        <f aca="false">Sens!J2482-Sens!J2485-Sens!J2487</f>
        <v>264.235842468516</v>
      </c>
      <c r="K2488" s="6" t="n">
        <f aca="false">Sens!K2482-Sens!K2485-Sens!K2487</f>
        <v>299.211579887956</v>
      </c>
      <c r="L2488" s="11" t="s">
        <v>950</v>
      </c>
    </row>
    <row r="2489" customFormat="false" ht="15" hidden="false" customHeight="false" outlineLevel="0" collapsed="false">
      <c r="A2489" s="1" t="s">
        <v>951</v>
      </c>
      <c r="B2489" s="0" t="s">
        <v>75</v>
      </c>
      <c r="F2489" s="8" t="n">
        <f aca="false">dps_27</f>
        <v>3.85</v>
      </c>
      <c r="G2489" s="8" t="n">
        <f aca="false">Sens!F2489*(1+dps_g)</f>
        <v>4.158</v>
      </c>
      <c r="H2489" s="8" t="n">
        <f aca="false">Sens!G2489*(1+dps_g)</f>
        <v>4.49064</v>
      </c>
      <c r="I2489" s="8" t="n">
        <f aca="false">Sens!H2489*(1+dps_g)</f>
        <v>4.8498912</v>
      </c>
      <c r="J2489" s="8" t="n">
        <f aca="false">Sens!I2489*(1+dps_g)</f>
        <v>5.237882496</v>
      </c>
      <c r="K2489" s="8" t="n">
        <f aca="false">Sens!J2489*(1+dps_g)</f>
        <v>5.65691309568</v>
      </c>
    </row>
    <row r="2490" customFormat="false" ht="17.15" hidden="false" customHeight="false" outlineLevel="0" collapsed="false">
      <c r="A2490" s="1" t="s">
        <v>952</v>
      </c>
      <c r="B2490" s="0" t="s">
        <v>98</v>
      </c>
      <c r="E2490" s="6" t="n">
        <f aca="false">Q!M41</f>
        <v>26.445</v>
      </c>
      <c r="F2490" s="6" t="n">
        <f aca="false">Sens!F2489*Sens!E2499</f>
        <v>28.59395</v>
      </c>
      <c r="G2490" s="6" t="n">
        <f aca="false">Sens!G2489*Sens!F2499</f>
        <v>31.068576</v>
      </c>
      <c r="H2490" s="6" t="n">
        <f aca="false">Sens!H2489*Sens!G2499</f>
        <v>33.5888350159995</v>
      </c>
      <c r="I2490" s="6" t="n">
        <f aca="false">Sens!I2489*Sens!H2499</f>
        <v>36.3268810572789</v>
      </c>
      <c r="J2490" s="6" t="n">
        <f aca="false">Sens!J2489*Sens!I2499</f>
        <v>39.3014303901806</v>
      </c>
      <c r="K2490" s="6" t="n">
        <f aca="false">Sens!K2489*Sens!J2499</f>
        <v>42.5328000467001</v>
      </c>
      <c r="L2490" s="1" t="s">
        <v>953</v>
      </c>
    </row>
    <row r="2491" customFormat="false" ht="15" hidden="false" customHeight="false" outlineLevel="0" collapsed="false">
      <c r="A2491" s="1" t="s">
        <v>954</v>
      </c>
      <c r="B2491" s="0" t="s">
        <v>98</v>
      </c>
      <c r="E2491" s="6" t="n">
        <f aca="false">Sens!E2488-Sens!E2490</f>
        <v>37.441</v>
      </c>
      <c r="F2491" s="6" t="n">
        <f aca="false">Sens!F2488-Sens!F2490</f>
        <v>-23.4032689478547</v>
      </c>
      <c r="G2491" s="6" t="n">
        <f aca="false">Sens!G2488-Sens!G2490</f>
        <v>49.5713177183264</v>
      </c>
      <c r="H2491" s="6" t="n">
        <f aca="false">Sens!H2488-Sens!H2490</f>
        <v>98.6972523561619</v>
      </c>
      <c r="I2491" s="6" t="n">
        <f aca="false">Sens!I2488-Sens!I2490</f>
        <v>160.945457071406</v>
      </c>
      <c r="J2491" s="6" t="n">
        <f aca="false">Sens!J2488-Sens!J2490</f>
        <v>224.934412078336</v>
      </c>
      <c r="K2491" s="6" t="n">
        <f aca="false">Sens!K2488-Sens!K2490</f>
        <v>256.678779841256</v>
      </c>
    </row>
    <row r="2492" customFormat="false" ht="15" hidden="false" customHeight="false" outlineLevel="0" collapsed="false">
      <c r="A2492" s="1" t="s">
        <v>955</v>
      </c>
      <c r="B2492" s="0" t="s">
        <v>98</v>
      </c>
      <c r="F2492" s="6" t="n">
        <f aca="false">debt_mat_27</f>
        <v>9.25</v>
      </c>
      <c r="G2492" s="6" t="n">
        <f aca="false">debt_mat_28</f>
        <v>0</v>
      </c>
      <c r="H2492" s="6" t="n">
        <f aca="false">debt_mat_29</f>
        <v>2.001</v>
      </c>
      <c r="I2492" s="6" t="n">
        <f aca="false">debt_mat_30</f>
        <v>0</v>
      </c>
      <c r="J2492" s="6" t="n">
        <f aca="false">debt_mat_31</f>
        <v>0.5</v>
      </c>
      <c r="K2492" s="6" t="n">
        <f aca="false">debt_mat_32</f>
        <v>0</v>
      </c>
    </row>
    <row r="2493" customFormat="false" ht="15" hidden="false" customHeight="false" outlineLevel="0" collapsed="false">
      <c r="A2493" s="1" t="s">
        <v>956</v>
      </c>
      <c r="B2493" s="0" t="s">
        <v>98</v>
      </c>
      <c r="E2493" s="6" t="n">
        <f aca="false">Q!M40</f>
        <v>22.271</v>
      </c>
      <c r="F2493" s="6" t="n">
        <f aca="false">MAX(0,MIN(bb_target,Sens!E2495+Sens!F2491-Sens!F2492-min_cash))</f>
        <v>0</v>
      </c>
      <c r="G2493" s="6" t="n">
        <f aca="false">MAX(0,MIN(bb_target,Sens!F2495+Sens!G2491-Sens!G2492-min_cash))</f>
        <v>22.271</v>
      </c>
      <c r="H2493" s="6" t="n">
        <f aca="false">MAX(0,MIN(bb_target,Sens!G2495+Sens!H2491-Sens!H2492-min_cash))</f>
        <v>22.271</v>
      </c>
      <c r="I2493" s="6" t="n">
        <f aca="false">MAX(0,MIN(bb_target,Sens!H2495+Sens!I2491-Sens!I2492-min_cash))</f>
        <v>22.271</v>
      </c>
      <c r="J2493" s="6" t="n">
        <f aca="false">MAX(0,MIN(bb_target,Sens!I2495+Sens!J2491-Sens!J2492-min_cash))</f>
        <v>22.271</v>
      </c>
      <c r="K2493" s="6" t="n">
        <f aca="false">MAX(0,MIN(bb_target,Sens!J2495+Sens!K2491-Sens!K2492-min_cash))</f>
        <v>22.271</v>
      </c>
    </row>
    <row r="2494" customFormat="false" ht="15" hidden="false" customHeight="false" outlineLevel="0" collapsed="false">
      <c r="A2494" s="1" t="s">
        <v>957</v>
      </c>
      <c r="B2494" s="0" t="s">
        <v>98</v>
      </c>
      <c r="F2494" s="6" t="n">
        <f aca="false">MAX(0,min_cash-(Sens!E2495+Sens!F2491-Sens!F2492-Sens!F2493))</f>
        <v>5.81026894785465</v>
      </c>
      <c r="G2494" s="6" t="n">
        <f aca="false">MAX(0,min_cash-(Sens!F2495+Sens!G2491-Sens!G2492-Sens!G2493))</f>
        <v>0</v>
      </c>
      <c r="H2494" s="6" t="n">
        <f aca="false">MAX(0,min_cash-(Sens!G2495+Sens!H2491-Sens!H2492-Sens!H2493))</f>
        <v>0</v>
      </c>
      <c r="I2494" s="6" t="n">
        <f aca="false">MAX(0,min_cash-(Sens!H2495+Sens!I2491-Sens!I2492-Sens!I2493))</f>
        <v>0</v>
      </c>
      <c r="J2494" s="6" t="n">
        <f aca="false">MAX(0,min_cash-(Sens!I2495+Sens!J2491-Sens!J2492-Sens!J2493))</f>
        <v>0</v>
      </c>
      <c r="K2494" s="6" t="n">
        <f aca="false">MAX(0,min_cash-(Sens!J2495+Sens!K2491-Sens!K2492-Sens!K2493))</f>
        <v>0</v>
      </c>
    </row>
    <row r="2495" customFormat="false" ht="15" hidden="false" customHeight="false" outlineLevel="0" collapsed="false">
      <c r="A2495" s="1" t="s">
        <v>958</v>
      </c>
      <c r="B2495" s="0" t="s">
        <v>98</v>
      </c>
      <c r="E2495" s="6" t="n">
        <f aca="false">cash_open</f>
        <v>76.843</v>
      </c>
      <c r="F2495" s="6" t="n">
        <f aca="false">Sens!E2495+Sens!F2491-Sens!F2492-Sens!F2493+Sens!F2494</f>
        <v>50</v>
      </c>
      <c r="G2495" s="6" t="n">
        <f aca="false">Sens!F2495+Sens!G2491-Sens!G2492-Sens!G2493+Sens!G2494</f>
        <v>77.3003177183264</v>
      </c>
      <c r="H2495" s="6" t="n">
        <f aca="false">Sens!G2495+Sens!H2491-Sens!H2492-Sens!H2493+Sens!H2494</f>
        <v>151.725570074488</v>
      </c>
      <c r="I2495" s="6" t="n">
        <f aca="false">Sens!H2495+Sens!I2491-Sens!I2492-Sens!I2493+Sens!I2494</f>
        <v>290.400027145894</v>
      </c>
      <c r="J2495" s="6" t="n">
        <f aca="false">Sens!I2495+Sens!J2491-Sens!J2492-Sens!J2493+Sens!J2494</f>
        <v>492.56343922423</v>
      </c>
      <c r="K2495" s="6" t="n">
        <f aca="false">Sens!J2495+Sens!K2491-Sens!K2492-Sens!K2493+Sens!K2494</f>
        <v>726.971219065486</v>
      </c>
    </row>
    <row r="2496" customFormat="false" ht="15" hidden="false" customHeight="false" outlineLevel="0" collapsed="false">
      <c r="A2496" s="1" t="s">
        <v>959</v>
      </c>
      <c r="B2496" s="0" t="s">
        <v>98</v>
      </c>
      <c r="E2496" s="6" t="n">
        <f aca="false">debt_face</f>
        <v>46.136</v>
      </c>
      <c r="F2496" s="6" t="n">
        <f aca="false">Sens!E2496-Sens!F2492+Sens!F2494</f>
        <v>42.6962689478547</v>
      </c>
      <c r="G2496" s="6" t="n">
        <f aca="false">Sens!F2496-Sens!G2492+Sens!G2494</f>
        <v>42.6962689478547</v>
      </c>
      <c r="H2496" s="6" t="n">
        <f aca="false">Sens!G2496-Sens!H2492+Sens!H2494</f>
        <v>40.6952689478547</v>
      </c>
      <c r="I2496" s="6" t="n">
        <f aca="false">Sens!H2496-Sens!I2492+Sens!I2494</f>
        <v>40.6952689478547</v>
      </c>
      <c r="J2496" s="6" t="n">
        <f aca="false">Sens!I2496-Sens!J2492+Sens!J2494</f>
        <v>40.1952689478547</v>
      </c>
      <c r="K2496" s="6" t="n">
        <f aca="false">Sens!J2496-Sens!K2492+Sens!K2494</f>
        <v>40.1952689478547</v>
      </c>
    </row>
    <row r="2497" customFormat="false" ht="15" hidden="false" customHeight="false" outlineLevel="0" collapsed="false">
      <c r="A2497" s="1" t="s">
        <v>960</v>
      </c>
      <c r="B2497" s="0" t="s">
        <v>98</v>
      </c>
      <c r="E2497" s="6" t="n">
        <f aca="false">Sens!E2495-Sens!E2496</f>
        <v>30.707</v>
      </c>
      <c r="F2497" s="6" t="n">
        <f aca="false">Sens!F2495-Sens!F2496</f>
        <v>7.30373105214535</v>
      </c>
      <c r="G2497" s="6" t="n">
        <f aca="false">Sens!G2495-Sens!G2496</f>
        <v>34.6040487704717</v>
      </c>
      <c r="H2497" s="6" t="n">
        <f aca="false">Sens!H2495-Sens!H2496</f>
        <v>111.030301126634</v>
      </c>
      <c r="I2497" s="6" t="n">
        <f aca="false">Sens!I2495-Sens!I2496</f>
        <v>249.704758198039</v>
      </c>
      <c r="J2497" s="6" t="n">
        <f aca="false">Sens!J2495-Sens!J2496</f>
        <v>452.368170276375</v>
      </c>
      <c r="K2497" s="6" t="n">
        <f aca="false">Sens!K2495-Sens!K2496</f>
        <v>686.775950117631</v>
      </c>
    </row>
    <row r="2498" customFormat="false" ht="15" hidden="false" customHeight="false" outlineLevel="0" collapsed="false">
      <c r="A2498" s="1" t="s">
        <v>961</v>
      </c>
      <c r="B2498" s="0" t="s">
        <v>75</v>
      </c>
      <c r="F2498" s="29" t="n">
        <f aca="false">px*(1+bb_g)^(Sens!F2362-base_fy-mid_yr)</f>
        <v>553.494156066711</v>
      </c>
      <c r="G2498" s="29" t="n">
        <f aca="false">px*(1+bb_g)^(Sens!G2362-base_fy-mid_yr)</f>
        <v>597.773688552047</v>
      </c>
      <c r="H2498" s="29" t="n">
        <f aca="false">px*(1+bb_g)^(Sens!H2362-base_fy-mid_yr)</f>
        <v>645.595583636211</v>
      </c>
      <c r="I2498" s="29" t="n">
        <f aca="false">px*(1+bb_g)^(Sens!I2362-base_fy-mid_yr)</f>
        <v>697.243230327108</v>
      </c>
      <c r="J2498" s="29" t="n">
        <f aca="false">px*(1+bb_g)^(Sens!J2362-base_fy-mid_yr)</f>
        <v>753.022688753277</v>
      </c>
      <c r="K2498" s="29" t="n">
        <f aca="false">px*(1+bb_g)^(Sens!K2362-base_fy-mid_yr)</f>
        <v>813.264503853539</v>
      </c>
    </row>
    <row r="2499" customFormat="false" ht="15" hidden="false" customHeight="false" outlineLevel="0" collapsed="false">
      <c r="A2499" s="1" t="s">
        <v>962</v>
      </c>
      <c r="B2499" s="1" t="s">
        <v>81</v>
      </c>
      <c r="E2499" s="14" t="n">
        <f aca="false">sh_out26</f>
        <v>7.427</v>
      </c>
      <c r="F2499" s="14" t="n">
        <f aca="false">Sens!E2499+sh_iss-Sens!F2493/Sens!F2498</f>
        <v>7.472</v>
      </c>
      <c r="G2499" s="14" t="n">
        <f aca="false">Sens!F2499+sh_iss-Sens!G2493/Sens!G2498</f>
        <v>7.47974342543589</v>
      </c>
      <c r="H2499" s="14" t="n">
        <f aca="false">Sens!G2499+sh_iss-Sens!H2493/Sens!H2498</f>
        <v>7.4902465971358</v>
      </c>
      <c r="I2499" s="14" t="n">
        <f aca="false">Sens!H2499+sh_iss-Sens!I2493/Sens!I2498</f>
        <v>7.50330508945052</v>
      </c>
      <c r="J2499" s="14" t="n">
        <f aca="false">Sens!I2499+sh_iss-Sens!J2493/Sens!J2498</f>
        <v>7.51872961937156</v>
      </c>
      <c r="K2499" s="14" t="n">
        <f aca="false">Sens!J2499+sh_iss-Sens!K2493/Sens!K2498</f>
        <v>7.53634492485401</v>
      </c>
    </row>
    <row r="2500" customFormat="false" ht="15" hidden="false" customHeight="false" outlineLevel="0" collapsed="false">
      <c r="A2500" s="1" t="s">
        <v>963</v>
      </c>
      <c r="B2500" s="1" t="s">
        <v>81</v>
      </c>
      <c r="E2500" s="14" t="n">
        <f aca="false">sh_dil26</f>
        <v>7.453</v>
      </c>
      <c r="F2500" s="14" t="n">
        <f aca="false">(Sens!E2499+Sens!F2499)/2+dil_gap</f>
        <v>7.4735</v>
      </c>
      <c r="G2500" s="14" t="n">
        <f aca="false">(Sens!F2499+Sens!G2499)/2+dil_gap</f>
        <v>7.49987171271795</v>
      </c>
      <c r="H2500" s="14" t="n">
        <f aca="false">(Sens!G2499+Sens!H2499)/2+dil_gap</f>
        <v>7.50899501128585</v>
      </c>
      <c r="I2500" s="14" t="n">
        <f aca="false">(Sens!H2499+Sens!I2499)/2+dil_gap</f>
        <v>7.52077584329316</v>
      </c>
      <c r="J2500" s="14" t="n">
        <f aca="false">(Sens!I2499+Sens!J2499)/2+dil_gap</f>
        <v>7.53501735441104</v>
      </c>
      <c r="K2500" s="14" t="n">
        <f aca="false">(Sens!J2499+Sens!K2499)/2+dil_gap</f>
        <v>7.55153727211278</v>
      </c>
    </row>
    <row r="2501" customFormat="false" ht="17.15" hidden="false" customHeight="false" outlineLevel="0" collapsed="false">
      <c r="A2501" s="1" t="s">
        <v>964</v>
      </c>
      <c r="B2501" s="0" t="s">
        <v>98</v>
      </c>
      <c r="C2501" s="6" t="n">
        <f aca="false">SUM(Sens!F2491:J2491)</f>
        <v>510.745170276375</v>
      </c>
    </row>
    <row r="2502" customFormat="false" ht="15" hidden="false" customHeight="false" outlineLevel="0" collapsed="false">
      <c r="A2502" s="23" t="s">
        <v>935</v>
      </c>
      <c r="B2502" s="30" t="s">
        <v>98</v>
      </c>
      <c r="C2502" s="24" t="n">
        <f aca="false">Sens!$C$2501-(Sens!F2491+Sens!G2491+Sens!H2491+Sens!I2491+Sens!J2491)</f>
        <v>0</v>
      </c>
      <c r="D2502" s="30"/>
      <c r="E2502" s="30"/>
      <c r="F2502" s="30"/>
      <c r="G2502" s="30"/>
      <c r="H2502" s="30"/>
      <c r="I2502" s="30"/>
      <c r="J2502" s="30"/>
      <c r="K2502" s="30"/>
    </row>
    <row r="2503" customFormat="false" ht="17.15" hidden="false" customHeight="false" outlineLevel="0" collapsed="false">
      <c r="A2503" s="1" t="s">
        <v>929</v>
      </c>
      <c r="B2503" s="1" t="s">
        <v>965</v>
      </c>
      <c r="C2503" s="32" t="str">
        <f aca="false">IF(SUM(Sens!F2494:J2494)&gt;0.05,"需要舉債 "&amp;TEXT(SUM(Sens!F2494:J2494),"0.0")&amp;" 十億美元","不需舉債")&amp;"；"&amp;IF(SUM(Sens!F2493:J2493)&lt;COUNT(Sens!F2493:J2493)*bb_target-0.05,"回購較每年 "&amp;TEXT(bb_target,"0.0")&amp;" 的目標少 "&amp;TEXT(COUNT(Sens!F2493:J2493)*bb_target-SUM(Sens!F2493:J2493),"0.0")&amp;" 十億美元（"&amp;TEXT(COUNTIF(Sens!F2493:J2493,"&lt;"&amp;(bb_target-0.05)),"0")&amp;" 年減少）","回購不減")</f>
        <v>需要舉債 5.8 十億美元；回購較每年 22.3 的目標少 22.3 十億美元（1 年減少）</v>
      </c>
    </row>
    <row r="2504" customFormat="false" ht="17.15" hidden="false" customHeight="false" outlineLevel="0" collapsed="false">
      <c r="A2504" s="3" t="s">
        <v>1298</v>
      </c>
    </row>
    <row r="2505" customFormat="false" ht="15" hidden="false" customHeight="false" outlineLevel="0" collapsed="false">
      <c r="A2505" s="4" t="s">
        <v>43</v>
      </c>
      <c r="B2505" s="4" t="s">
        <v>65</v>
      </c>
      <c r="C2505" s="20" t="s">
        <v>788</v>
      </c>
      <c r="D2505" s="20" t="s">
        <v>789</v>
      </c>
      <c r="E2505" s="20" t="s">
        <v>790</v>
      </c>
      <c r="F2505" s="20" t="s">
        <v>791</v>
      </c>
      <c r="G2505" s="20" t="s">
        <v>792</v>
      </c>
      <c r="H2505" s="20" t="s">
        <v>793</v>
      </c>
      <c r="I2505" s="20" t="s">
        <v>794</v>
      </c>
      <c r="J2505" s="20" t="s">
        <v>795</v>
      </c>
      <c r="K2505" s="20" t="s">
        <v>796</v>
      </c>
      <c r="L2505" s="4" t="s">
        <v>47</v>
      </c>
    </row>
    <row r="2506" customFormat="false" ht="15" hidden="false" customHeight="false" outlineLevel="0" collapsed="false">
      <c r="A2506" s="1" t="s">
        <v>1042</v>
      </c>
      <c r="B2506" s="1" t="s">
        <v>235</v>
      </c>
      <c r="F2506" s="36" t="n">
        <f aca="false">Sens!F2362-base_fy-mid_yr</f>
        <v>0.5</v>
      </c>
      <c r="G2506" s="36" t="n">
        <f aca="false">Sens!G2362-base_fy-mid_yr</f>
        <v>1.5</v>
      </c>
      <c r="H2506" s="36" t="n">
        <f aca="false">Sens!H2362-base_fy-mid_yr</f>
        <v>2.5</v>
      </c>
      <c r="I2506" s="36" t="n">
        <f aca="false">Sens!I2362-base_fy-mid_yr</f>
        <v>3.5</v>
      </c>
      <c r="J2506" s="36" t="n">
        <f aca="false">Sens!J2362-base_fy-mid_yr</f>
        <v>4.5</v>
      </c>
      <c r="K2506" s="36" t="n">
        <f aca="false">Sens!K2362-base_fy-mid_yr</f>
        <v>5.5</v>
      </c>
    </row>
    <row r="2507" customFormat="false" ht="15" hidden="false" customHeight="false" outlineLevel="0" collapsed="false">
      <c r="A2507" s="1" t="s">
        <v>1043</v>
      </c>
      <c r="B2507" s="0" t="s">
        <v>185</v>
      </c>
      <c r="F2507" s="14" t="n">
        <f aca="false">1/(1+wacc)^Sens!F2506</f>
        <v>0.952193373608246</v>
      </c>
      <c r="G2507" s="14" t="n">
        <f aca="false">1/(1+wacc)^Sens!G2506</f>
        <v>0.863327280626589</v>
      </c>
      <c r="H2507" s="14" t="n">
        <f aca="false">1/(1+wacc)^Sens!H2506</f>
        <v>0.782754862754115</v>
      </c>
      <c r="I2507" s="14" t="n">
        <f aca="false">1/(1+wacc)^Sens!I2506</f>
        <v>0.709702089711011</v>
      </c>
      <c r="J2507" s="14" t="n">
        <f aca="false">1/(1+wacc)^Sens!J2506</f>
        <v>0.643467169744551</v>
      </c>
      <c r="K2507" s="14" t="n">
        <f aca="false">1/(1+wacc)^Sens!K2506</f>
        <v>0.583413807767797</v>
      </c>
    </row>
    <row r="2508" customFormat="false" ht="17.15" hidden="false" customHeight="false" outlineLevel="0" collapsed="false">
      <c r="A2508" s="1" t="s">
        <v>1044</v>
      </c>
      <c r="B2508" s="0" t="s">
        <v>98</v>
      </c>
      <c r="F2508" s="6" t="n">
        <f aca="false">Sens!F2482-Sens!F2480-Sens!F2485+Sens!F2466*(1-tax_f)</f>
        <v>-1.0409401413387</v>
      </c>
      <c r="G2508" s="6" t="n">
        <f aca="false">Sens!G2482-Sens!G2480-Sens!G2485+Sens!G2466*(1-tax_f)</f>
        <v>74.9989253482515</v>
      </c>
      <c r="H2508" s="6" t="n">
        <f aca="false">Sens!H2482-Sens!H2480-Sens!H2485+Sens!H2466*(1-tax_f)</f>
        <v>126.748416896302</v>
      </c>
      <c r="I2508" s="6" t="n">
        <f aca="false">Sens!I2482-Sens!I2480-Sens!I2485+Sens!I2466*(1-tax_f)</f>
        <v>192.932983462016</v>
      </c>
      <c r="J2508" s="6" t="n">
        <f aca="false">Sens!J2482-Sens!J2480-Sens!J2485+Sens!J2466*(1-tax_f)</f>
        <v>260.589483317489</v>
      </c>
      <c r="K2508" s="6" t="n">
        <f aca="false">Sens!K2482-Sens!K2480-Sens!K2485+Sens!K2466*(1-tax_f)</f>
        <v>294.894386983705</v>
      </c>
      <c r="L2508" s="1" t="s">
        <v>1045</v>
      </c>
    </row>
    <row r="2509" customFormat="false" ht="15" hidden="false" customHeight="false" outlineLevel="0" collapsed="false">
      <c r="A2509" s="1" t="s">
        <v>1046</v>
      </c>
      <c r="B2509" s="0" t="s">
        <v>98</v>
      </c>
      <c r="F2509" s="6" t="n">
        <f aca="false">Sens!F2508*Sens!F2507</f>
        <v>-0.99117630490554</v>
      </c>
      <c r="G2509" s="6" t="n">
        <f aca="false">Sens!G2508*Sens!G2507</f>
        <v>64.7486182708225</v>
      </c>
      <c r="H2509" s="6" t="n">
        <f aca="false">Sens!H2508*Sens!H2507</f>
        <v>99.2129396719663</v>
      </c>
      <c r="I2509" s="6" t="n">
        <f aca="false">Sens!I2508*Sens!I2507</f>
        <v>136.924941537173</v>
      </c>
      <c r="J2509" s="6" t="n">
        <f aca="false">Sens!J2508*Sens!J2507</f>
        <v>167.6807772955</v>
      </c>
      <c r="K2509" s="6" t="n">
        <f aca="false">Sens!K2508*Sens!K2507</f>
        <v>172.045457199513</v>
      </c>
    </row>
    <row r="2510" customFormat="false" ht="17.15" hidden="false" customHeight="false" outlineLevel="0" collapsed="false">
      <c r="A2510" s="1" t="s">
        <v>1047</v>
      </c>
      <c r="B2510" s="0" t="s">
        <v>98</v>
      </c>
      <c r="C2510" s="6" t="n">
        <f aca="false">SUM(Sens!F2509:K2509)</f>
        <v>639.621557670069</v>
      </c>
    </row>
    <row r="2511" customFormat="false" ht="17.15" hidden="false" customHeight="false" outlineLevel="0" collapsed="false">
      <c r="A2511" s="1" t="s">
        <v>1048</v>
      </c>
      <c r="B2511" s="0" t="s">
        <v>98</v>
      </c>
      <c r="C2511" s="6" t="n">
        <f aca="false">Sens!K2452*(1+g_tv)*(1-tax_f)</f>
        <v>303.694514881158</v>
      </c>
    </row>
    <row r="2512" customFormat="false" ht="17.15" hidden="false" customHeight="false" outlineLevel="0" collapsed="false">
      <c r="A2512" s="1" t="s">
        <v>1049</v>
      </c>
      <c r="B2512" s="0" t="s">
        <v>98</v>
      </c>
      <c r="C2512" s="6" t="n">
        <f aca="false">Sens!$C$2511*(1-g_tv/(wacc+ronic_prem))</f>
        <v>215.183446977786</v>
      </c>
    </row>
    <row r="2513" customFormat="false" ht="17.15" hidden="false" customHeight="false" outlineLevel="0" collapsed="false">
      <c r="A2513" s="1" t="s">
        <v>1050</v>
      </c>
      <c r="B2513" s="0" t="s">
        <v>98</v>
      </c>
      <c r="C2513" s="6" t="n">
        <f aca="false">Sens!$C$2512/(wacc-g_tv)</f>
        <v>2950.36893011239</v>
      </c>
    </row>
    <row r="2514" customFormat="false" ht="15" hidden="false" customHeight="false" outlineLevel="0" collapsed="false">
      <c r="A2514" s="1" t="s">
        <v>1051</v>
      </c>
      <c r="B2514" s="0" t="s">
        <v>98</v>
      </c>
      <c r="C2514" s="6" t="n">
        <f aca="false">Sens!$C$2513/(1+wacc)^(Sens!K2506+mid_yr)</f>
        <v>1638.99709646771</v>
      </c>
    </row>
    <row r="2515" customFormat="false" ht="17.15" hidden="false" customHeight="false" outlineLevel="0" collapsed="false">
      <c r="A2515" s="0" t="s">
        <v>972</v>
      </c>
      <c r="B2515" s="0" t="s">
        <v>98</v>
      </c>
      <c r="C2515" s="6" t="n">
        <f aca="false">Sens!$C$2510+Sens!$C$2514</f>
        <v>2278.61865413778</v>
      </c>
    </row>
    <row r="2516" customFormat="false" ht="15" hidden="false" customHeight="false" outlineLevel="0" collapsed="false">
      <c r="A2516" s="1" t="s">
        <v>973</v>
      </c>
      <c r="B2516" s="0" t="s">
        <v>129</v>
      </c>
      <c r="C2516" s="7" t="n">
        <f aca="false">Sens!$C$2514/Sens!$C$2515</f>
        <v>0.719294162492451</v>
      </c>
    </row>
    <row r="2517" customFormat="false" ht="17.15" hidden="false" customHeight="false" outlineLevel="0" collapsed="false">
      <c r="A2517" s="1" t="s">
        <v>1052</v>
      </c>
      <c r="B2517" s="0" t="s">
        <v>98</v>
      </c>
      <c r="C2517" s="6" t="n">
        <f aca="false">Sens!$C$2515+Sens!E2497-Sens!E2486+oai_v</f>
        <v>2413.13165413778</v>
      </c>
    </row>
    <row r="2518" customFormat="false" ht="17.15" hidden="false" customHeight="false" outlineLevel="0" collapsed="false">
      <c r="A2518" s="0" t="s">
        <v>980</v>
      </c>
      <c r="B2518" s="0" t="s">
        <v>75</v>
      </c>
      <c r="C2518" s="5" t="n">
        <f aca="false">Sens!$C$2517/sh_dil26</f>
        <v>323.779907975014</v>
      </c>
    </row>
    <row r="2519" customFormat="false" ht="15" hidden="false" customHeight="false" outlineLevel="0" collapsed="false">
      <c r="A2519" s="1" t="s">
        <v>1053</v>
      </c>
      <c r="B2519" s="0" t="s">
        <v>75</v>
      </c>
      <c r="C2519" s="8" t="n">
        <f aca="false">dps_27+Sens!G2489*roll_div_q/q_per_yr</f>
        <v>4.8895</v>
      </c>
    </row>
    <row r="2520" customFormat="false" ht="17.15" hidden="false" customHeight="false" outlineLevel="0" collapsed="false">
      <c r="A2520" s="0" t="s">
        <v>1054</v>
      </c>
      <c r="B2520" s="0" t="s">
        <v>75</v>
      </c>
      <c r="C2520" s="5" t="n">
        <f aca="false">Sens!$C$2518*(1+wacc)^t_roll-Sens!$C$2519</f>
        <v>363.809492068721</v>
      </c>
    </row>
    <row r="2521" customFormat="false" ht="17.15" hidden="false" customHeight="false" outlineLevel="0" collapsed="false">
      <c r="A2521" s="1" t="s">
        <v>1055</v>
      </c>
      <c r="B2521" s="0" t="s">
        <v>129</v>
      </c>
      <c r="F2521" s="7" t="n">
        <f aca="false">Sens!F2478/(Sens!F2423-Sens!F2379)</f>
        <v>0.0766637893385704</v>
      </c>
      <c r="G2521" s="7" t="n">
        <f aca="false">Sens!G2478/(Sens!G2423-Sens!G2379)</f>
        <v>0.0718072698587683</v>
      </c>
      <c r="H2521" s="7" t="n">
        <f aca="false">Sens!H2478/(Sens!H2423-Sens!H2379)</f>
        <v>0.0688421741153514</v>
      </c>
      <c r="I2521" s="7" t="n">
        <f aca="false">Sens!I2478/(Sens!I2423-Sens!I2379)</f>
        <v>0.0675767193153894</v>
      </c>
      <c r="J2521" s="7" t="n">
        <f aca="false">Sens!J2478/(Sens!J2423-Sens!J2379)</f>
        <v>0.0675695796124088</v>
      </c>
      <c r="K2521" s="7" t="n">
        <f aca="false">Sens!K2478/(Sens!K2423-Sens!K2379)</f>
        <v>0.06829577272122</v>
      </c>
    </row>
    <row r="2522" customFormat="false" ht="17.15" hidden="false" customHeight="false" outlineLevel="0" collapsed="false">
      <c r="A2522" s="0" t="s">
        <v>1056</v>
      </c>
      <c r="B2522" s="0" t="s">
        <v>98</v>
      </c>
      <c r="F2522" s="6" t="n">
        <f aca="false">Sens!F2408*(al_m365+Sens!F2521+sbc_r)</f>
        <v>85.9657481193708</v>
      </c>
      <c r="G2522" s="6" t="n">
        <f aca="false">Sens!G2408*(al_m365+Sens!G2521+sbc_r)</f>
        <v>100.381688438687</v>
      </c>
      <c r="H2522" s="6" t="n">
        <f aca="false">Sens!H2408*(al_m365+Sens!H2521+sbc_r)</f>
        <v>114.957401608305</v>
      </c>
      <c r="I2522" s="6" t="n">
        <f aca="false">Sens!I2408*(al_m365+Sens!I2521+sbc_r)</f>
        <v>128.009350310243</v>
      </c>
      <c r="J2522" s="6" t="n">
        <f aca="false">Sens!J2408*(al_m365+Sens!J2521+sbc_r)</f>
        <v>139.356849459146</v>
      </c>
      <c r="K2522" s="6" t="n">
        <f aca="false">Sens!K2408*(al_m365+Sens!K2521+sbc_r)</f>
        <v>150.329243770908</v>
      </c>
      <c r="L2522" s="11" t="s">
        <v>1057</v>
      </c>
    </row>
    <row r="2523" customFormat="false" ht="17.15" hidden="false" customHeight="false" outlineLevel="0" collapsed="false">
      <c r="A2523" s="0" t="s">
        <v>1058</v>
      </c>
      <c r="B2523" s="0" t="s">
        <v>98</v>
      </c>
      <c r="F2523" s="6" t="n">
        <f aca="false">Sens!F2409*(al_lic+Sens!F2521+sbc_r)</f>
        <v>33.7600920725786</v>
      </c>
      <c r="G2523" s="6" t="n">
        <f aca="false">Sens!G2409*(al_lic+Sens!G2521+sbc_r)</f>
        <v>34.9918497593144</v>
      </c>
      <c r="H2523" s="6" t="n">
        <f aca="false">Sens!H2409*(al_lic+Sens!H2521+sbc_r)</f>
        <v>36.1528906959501</v>
      </c>
      <c r="I2523" s="6" t="n">
        <f aca="false">Sens!I2409*(al_lic+Sens!I2521+sbc_r)</f>
        <v>37.224756148057</v>
      </c>
      <c r="J2523" s="6" t="n">
        <f aca="false">Sens!J2409*(al_lic+Sens!J2521+sbc_r)</f>
        <v>38.1768726162213</v>
      </c>
      <c r="K2523" s="6" t="n">
        <f aca="false">Sens!K2409*(al_lic+Sens!K2521+sbc_r)</f>
        <v>38.9734859043399</v>
      </c>
    </row>
    <row r="2524" customFormat="false" ht="17.15" hidden="false" customHeight="false" outlineLevel="0" collapsed="false">
      <c r="A2524" s="0" t="s">
        <v>1059</v>
      </c>
      <c r="B2524" s="0" t="s">
        <v>98</v>
      </c>
      <c r="F2524" s="6" t="n">
        <f aca="false">Sens!F2411*(al_ind+Sens!F2521+sbc_r)</f>
        <v>9.25692604193741</v>
      </c>
      <c r="G2524" s="6" t="n">
        <f aca="false">Sens!G2411*(al_ind+Sens!G2521+sbc_r)</f>
        <v>10.0002778204149</v>
      </c>
      <c r="H2524" s="6" t="n">
        <f aca="false">Sens!H2411*(al_ind+Sens!H2521+sbc_r)</f>
        <v>10.7949376495502</v>
      </c>
      <c r="I2524" s="6" t="n">
        <f aca="false">Sens!I2411*(al_ind+Sens!I2521+sbc_r)</f>
        <v>11.6390232403453</v>
      </c>
      <c r="J2524" s="6" t="n">
        <f aca="false">Sens!J2411*(al_ind+Sens!J2521+sbc_r)</f>
        <v>12.5208190890405</v>
      </c>
      <c r="K2524" s="6" t="n">
        <f aca="false">Sens!K2411*(al_ind+Sens!K2521+sbc_r)</f>
        <v>13.4213015093199</v>
      </c>
    </row>
    <row r="2525" customFormat="false" ht="17.15" hidden="false" customHeight="false" outlineLevel="0" collapsed="false">
      <c r="A2525" s="0" t="s">
        <v>1060</v>
      </c>
      <c r="B2525" s="0" t="s">
        <v>98</v>
      </c>
      <c r="F2525" s="6" t="n">
        <f aca="false">Sens!F2413*(al_fro+Sens!F2521+sbc_r)</f>
        <v>3.64355858933114</v>
      </c>
      <c r="G2525" s="6" t="n">
        <f aca="false">Sens!G2413*(al_fro+Sens!G2521+sbc_r)</f>
        <v>3.83951544987995</v>
      </c>
      <c r="H2525" s="6" t="n">
        <f aca="false">Sens!H2413*(al_fro+Sens!H2521+sbc_r)</f>
        <v>4.06790199065994</v>
      </c>
      <c r="I2525" s="6" t="n">
        <f aca="false">Sens!I2413*(al_fro+Sens!I2521+sbc_r)</f>
        <v>4.33157074757123</v>
      </c>
      <c r="J2525" s="6" t="n">
        <f aca="false">Sens!J2413*(al_fro+Sens!J2521+sbc_r)</f>
        <v>4.63068007331195</v>
      </c>
      <c r="K2525" s="6" t="n">
        <f aca="false">Sens!K2413*(al_fro+Sens!K2521+sbc_r)</f>
        <v>4.96371307780646</v>
      </c>
    </row>
    <row r="2526" customFormat="false" ht="17.15" hidden="false" customHeight="false" outlineLevel="0" collapsed="false">
      <c r="A2526" s="0" t="s">
        <v>1061</v>
      </c>
      <c r="B2526" s="0" t="s">
        <v>98</v>
      </c>
      <c r="F2526" s="6" t="n">
        <f aca="false">Sens!F2416*(al_srch+Sens!F2521+sbc_r)</f>
        <v>11.4324374063411</v>
      </c>
      <c r="G2526" s="6" t="n">
        <f aca="false">Sens!G2416*(al_srch+Sens!G2521+sbc_r)</f>
        <v>12.4670192442637</v>
      </c>
      <c r="H2526" s="6" t="n">
        <f aca="false">Sens!H2416*(al_srch+Sens!H2521+sbc_r)</f>
        <v>13.5534359240185</v>
      </c>
      <c r="I2526" s="6" t="n">
        <f aca="false">Sens!I2416*(al_srch+Sens!I2521+sbc_r)</f>
        <v>14.6828936787264</v>
      </c>
      <c r="J2526" s="6" t="n">
        <f aca="false">Sens!J2416*(al_srch+Sens!J2521+sbc_r)</f>
        <v>15.8331586383743</v>
      </c>
      <c r="K2526" s="6" t="n">
        <f aca="false">Sens!K2416*(al_srch+Sens!K2521+sbc_r)</f>
        <v>16.9718605803128</v>
      </c>
    </row>
    <row r="2527" customFormat="false" ht="17.15" hidden="false" customHeight="false" outlineLevel="0" collapsed="false">
      <c r="A2527" s="0" t="s">
        <v>1062</v>
      </c>
      <c r="B2527" s="0" t="s">
        <v>98</v>
      </c>
      <c r="F2527" s="6" t="n">
        <f aca="false">Sens!F2385-Sens!F2386+Sens!F2466</f>
        <v>45.8216230443731</v>
      </c>
      <c r="G2527" s="6" t="n">
        <f aca="false">Sens!G2385-Sens!G2386+Sens!G2466</f>
        <v>83.3965469670044</v>
      </c>
      <c r="H2527" s="6" t="n">
        <f aca="false">Sens!H2385-Sens!H2386+Sens!H2466</f>
        <v>127.889022490162</v>
      </c>
      <c r="I2527" s="6" t="n">
        <f aca="false">Sens!I2385-Sens!I2386+Sens!I2466</f>
        <v>162.845619091873</v>
      </c>
      <c r="J2527" s="6" t="n">
        <f aca="false">Sens!J2385-Sens!J2386+Sens!J2466</f>
        <v>187.502326130569</v>
      </c>
      <c r="K2527" s="6" t="n">
        <f aca="false">Sens!K2385-Sens!K2386+Sens!K2466</f>
        <v>202.341998090182</v>
      </c>
    </row>
    <row r="2528" customFormat="false" ht="17.15" hidden="false" customHeight="false" outlineLevel="0" collapsed="false">
      <c r="A2528" s="0" t="s">
        <v>1063</v>
      </c>
      <c r="B2528" s="0" t="s">
        <v>98</v>
      </c>
      <c r="F2528" s="6" t="n">
        <f aca="false">Sens!F2445+Sens!F2466+Sens!F2396+Sens!F2521*(Sens!F2415-Sens!F2379)+sbc_r*Sens!F2415</f>
        <v>234.591062621022</v>
      </c>
      <c r="G2528" s="6" t="n">
        <f aca="false">Sens!G2445+Sens!G2466+Sens!G2396+Sens!G2521*(Sens!G2415-Sens!G2379)+sbc_r*Sens!G2415</f>
        <v>300.385949000472</v>
      </c>
      <c r="H2528" s="6" t="n">
        <f aca="false">Sens!H2445+Sens!H2466+Sens!H2396+Sens!H2521*(Sens!H2415-Sens!H2379)+sbc_r*Sens!H2415</f>
        <v>373.803369232634</v>
      </c>
      <c r="I2528" s="6" t="n">
        <f aca="false">Sens!I2445+Sens!I2466+Sens!I2396+Sens!I2521*(Sens!I2415-Sens!I2379)+sbc_r*Sens!I2415</f>
        <v>435.685568319548</v>
      </c>
      <c r="J2528" s="6" t="n">
        <f aca="false">Sens!J2445+Sens!J2466+Sens!J2396+Sens!J2521*(Sens!J2415-Sens!J2379)+sbc_r*Sens!J2415</f>
        <v>484.404724048565</v>
      </c>
      <c r="K2528" s="6" t="n">
        <f aca="false">Sens!K2445+Sens!K2466+Sens!K2396+Sens!K2521*(Sens!K2415-Sens!K2379)+sbc_r*Sens!K2415</f>
        <v>520.96928259589</v>
      </c>
    </row>
    <row r="2529" customFormat="false" ht="17.15" hidden="false" customHeight="false" outlineLevel="0" collapsed="false">
      <c r="A2529" s="0" t="s">
        <v>1064</v>
      </c>
      <c r="B2529" s="0" t="s">
        <v>98</v>
      </c>
      <c r="F2529" s="6" t="n">
        <f aca="false">Sens!F2528-Sens!F2522-Sens!F2523-Sens!F2524-Sens!F2525-Sens!F2527</f>
        <v>56.143114753431</v>
      </c>
      <c r="G2529" s="6" t="n">
        <f aca="false">Sens!G2528-Sens!G2522-Sens!G2523-Sens!G2524-Sens!G2525-Sens!G2527</f>
        <v>67.7760705651718</v>
      </c>
      <c r="H2529" s="6" t="n">
        <f aca="false">Sens!H2528-Sens!H2522-Sens!H2523-Sens!H2524-Sens!H2525-Sens!H2527</f>
        <v>79.9412147980071</v>
      </c>
      <c r="I2529" s="6" t="n">
        <f aca="false">Sens!I2528-Sens!I2522-Sens!I2523-Sens!I2524-Sens!I2525-Sens!I2527</f>
        <v>91.6352487814586</v>
      </c>
      <c r="J2529" s="6" t="n">
        <f aca="false">Sens!J2528-Sens!J2522-Sens!J2523-Sens!J2524-Sens!J2525-Sens!J2527</f>
        <v>102.217176680276</v>
      </c>
      <c r="K2529" s="6" t="n">
        <f aca="false">Sens!K2528-Sens!K2522-Sens!K2523-Sens!K2524-Sens!K2525-Sens!K2527</f>
        <v>110.939540243334</v>
      </c>
    </row>
    <row r="2530" customFormat="false" ht="17.15" hidden="false" customHeight="false" outlineLevel="0" collapsed="false">
      <c r="A2530" s="0" t="s">
        <v>1065</v>
      </c>
      <c r="B2530" s="0" t="s">
        <v>98</v>
      </c>
      <c r="F2530" s="6" t="n">
        <f aca="false">Sens!F2447+Sens!F2521*Sens!F2422+sbc_r*Sens!F2422</f>
        <v>26.7246125784532</v>
      </c>
      <c r="G2530" s="6" t="n">
        <f aca="false">Sens!G2447+Sens!G2521*Sens!G2422+sbc_r*Sens!G2422</f>
        <v>27.2124731483231</v>
      </c>
      <c r="H2530" s="6" t="n">
        <f aca="false">Sens!H2447+Sens!H2521*Sens!H2422+sbc_r*Sens!H2422</f>
        <v>27.9999812183986</v>
      </c>
      <c r="I2530" s="6" t="n">
        <f aca="false">Sens!I2447+Sens!I2521*Sens!I2422+sbc_r*Sens!I2422</f>
        <v>29.0538630021651</v>
      </c>
      <c r="J2530" s="6" t="n">
        <f aca="false">Sens!J2447+Sens!J2521*Sens!J2422+sbc_r*Sens!J2422</f>
        <v>30.3294726529346</v>
      </c>
      <c r="K2530" s="6" t="n">
        <f aca="false">Sens!K2447+Sens!K2521*Sens!K2422+sbc_r*Sens!K2422</f>
        <v>31.7777279073884</v>
      </c>
    </row>
    <row r="2531" customFormat="false" ht="17.15" hidden="false" customHeight="false" outlineLevel="0" collapsed="false">
      <c r="A2531" s="0" t="s">
        <v>1066</v>
      </c>
      <c r="B2531" s="0" t="s">
        <v>98</v>
      </c>
      <c r="F2531" s="6" t="n">
        <f aca="false">(Sens!F2530-Sens!F2526)*Sens!F2418/(Sens!F2418+Sens!F2420)</f>
        <v>8.38302148572389</v>
      </c>
      <c r="G2531" s="6" t="n">
        <f aca="false">(Sens!G2530-Sens!G2526)*Sens!G2418/(Sens!G2418+Sens!G2420)</f>
        <v>7.93918922719596</v>
      </c>
      <c r="H2531" s="6" t="n">
        <f aca="false">(Sens!H2530-Sens!H2526)*Sens!H2418/(Sens!H2418+Sens!H2420)</f>
        <v>7.67318084459629</v>
      </c>
      <c r="I2531" s="6" t="n">
        <f aca="false">(Sens!I2530-Sens!I2526)*Sens!I2418/(Sens!I2418+Sens!I2420)</f>
        <v>7.5639753637372</v>
      </c>
      <c r="J2531" s="6" t="n">
        <f aca="false">(Sens!J2530-Sens!J2526)*Sens!J2418/(Sens!J2418+Sens!J2420)</f>
        <v>7.59544658652537</v>
      </c>
      <c r="K2531" s="6" t="n">
        <f aca="false">(Sens!K2530-Sens!K2526)*Sens!K2418/(Sens!K2418+Sens!K2420)</f>
        <v>7.75763924105333</v>
      </c>
    </row>
    <row r="2532" customFormat="false" ht="17.15" hidden="false" customHeight="false" outlineLevel="0" collapsed="false">
      <c r="A2532" s="0" t="s">
        <v>1067</v>
      </c>
      <c r="B2532" s="0" t="s">
        <v>98</v>
      </c>
      <c r="F2532" s="6" t="n">
        <f aca="false">Sens!F2530-Sens!F2526-Sens!F2531</f>
        <v>6.90915368638825</v>
      </c>
      <c r="G2532" s="6" t="n">
        <f aca="false">Sens!G2530-Sens!G2526-Sens!G2531</f>
        <v>6.80626467686346</v>
      </c>
      <c r="H2532" s="6" t="n">
        <f aca="false">Sens!H2530-Sens!H2526-Sens!H2531</f>
        <v>6.77336444978387</v>
      </c>
      <c r="I2532" s="6" t="n">
        <f aca="false">Sens!I2530-Sens!I2526-Sens!I2531</f>
        <v>6.8069939597015</v>
      </c>
      <c r="J2532" s="6" t="n">
        <f aca="false">Sens!J2530-Sens!J2526-Sens!J2531</f>
        <v>6.90086742803492</v>
      </c>
      <c r="K2532" s="6" t="n">
        <f aca="false">Sens!K2530-Sens!K2526-Sens!K2531</f>
        <v>7.04822808602232</v>
      </c>
    </row>
    <row r="2533" customFormat="false" ht="17.15" hidden="false" customHeight="false" outlineLevel="0" collapsed="false">
      <c r="A2533" s="0" t="s">
        <v>1068</v>
      </c>
      <c r="B2533" s="0" t="s">
        <v>98</v>
      </c>
      <c r="F2533" s="6" t="n">
        <f aca="false">Sens!F2527-tax_f*(Sens!F2527-Sens!F2396)-Sens!F2393</f>
        <v>-125.695299819432</v>
      </c>
      <c r="G2533" s="6" t="n">
        <f aca="false">Sens!G2527-tax_f*(Sens!G2527-Sens!G2396)-Sens!G2393</f>
        <v>-69.3418918061659</v>
      </c>
      <c r="H2533" s="6" t="n">
        <f aca="false">Sens!H2527-tax_f*(Sens!H2527-Sens!H2396)-Sens!H2393</f>
        <v>-32.9951024921521</v>
      </c>
      <c r="I2533" s="6" t="n">
        <f aca="false">Sens!I2527-tax_f*(Sens!I2527-Sens!I2396)-Sens!I2393</f>
        <v>18.3482240323937</v>
      </c>
      <c r="J2533" s="6" t="n">
        <f aca="false">Sens!J2527-tax_f*(Sens!J2527-Sens!J2396)-Sens!J2393</f>
        <v>72.1804109627457</v>
      </c>
      <c r="K2533" s="6" t="n">
        <f aca="false">Sens!K2527-tax_f*(Sens!K2527-Sens!K2396)-Sens!K2393</f>
        <v>93.3688111324483</v>
      </c>
    </row>
    <row r="2534" customFormat="false" ht="17.15" hidden="false" customHeight="false" outlineLevel="0" collapsed="false">
      <c r="A2534" s="0" t="s">
        <v>1069</v>
      </c>
      <c r="B2534" s="0" t="s">
        <v>98</v>
      </c>
      <c r="F2534" s="6" t="n">
        <f aca="false">Sens!F2533*Sens!F2507</f>
        <v>-119.686231581765</v>
      </c>
      <c r="G2534" s="6" t="n">
        <f aca="false">Sens!G2533*Sens!G2507</f>
        <v>-59.8647468865203</v>
      </c>
      <c r="H2534" s="6" t="n">
        <f aca="false">Sens!H2533*Sens!H2507</f>
        <v>-25.8270769228025</v>
      </c>
      <c r="I2534" s="6" t="n">
        <f aca="false">Sens!I2533*Sens!I2507</f>
        <v>13.0217729382756</v>
      </c>
      <c r="J2534" s="6" t="n">
        <f aca="false">Sens!J2533*Sens!J2507</f>
        <v>46.4457247531966</v>
      </c>
      <c r="K2534" s="6" t="n">
        <f aca="false">Sens!K2533*Sens!K2507</f>
        <v>54.4726536295339</v>
      </c>
    </row>
    <row r="2535" customFormat="false" ht="17.15" hidden="false" customHeight="false" outlineLevel="0" collapsed="false">
      <c r="A2535" s="0" t="s">
        <v>1070</v>
      </c>
      <c r="B2535" s="0" t="s">
        <v>98</v>
      </c>
      <c r="C2535" s="6" t="n">
        <f aca="false">(Sens!K2527-Sens!K2396)*(1-tax_f)*(1+g_tv)*(1-g_tv/(wacc+ronic_prem))/(wacc-g_tv)/(1+wacc)^(Sens!K2506+mid_yr)</f>
        <v>378.121518669375</v>
      </c>
    </row>
    <row r="2536" customFormat="false" ht="17.15" hidden="false" customHeight="false" outlineLevel="0" collapsed="false">
      <c r="A2536" s="1" t="s">
        <v>1071</v>
      </c>
      <c r="B2536" s="0" t="s">
        <v>98</v>
      </c>
      <c r="C2536" s="6" t="n">
        <f aca="false">(SUM(Sens!F2534:K2534)+Sens!$C$2535)*(1+wacc)^t_roll</f>
        <v>326.456204174146</v>
      </c>
      <c r="L2536" s="11" t="s">
        <v>1072</v>
      </c>
    </row>
    <row r="2537" customFormat="false" ht="17.15" hidden="false" customHeight="false" outlineLevel="0" collapsed="false">
      <c r="A2537" s="1" t="s">
        <v>1073</v>
      </c>
      <c r="B2537" s="0" t="s">
        <v>98</v>
      </c>
      <c r="C2537" s="6" t="n">
        <f aca="false">(w_ntm28*Sens!G2385+(1-w_ntm28)*Sens!H2385)*m_ai</f>
        <v>551.711134531404</v>
      </c>
    </row>
    <row r="2538" customFormat="false" ht="17.15" hidden="false" customHeight="false" outlineLevel="0" collapsed="false">
      <c r="A2538" s="1" t="s">
        <v>1074</v>
      </c>
      <c r="B2538" s="0" t="s">
        <v>98</v>
      </c>
      <c r="C2538" s="6" t="n">
        <f aca="false">(w_ntm28*Sens!G2529+(1-w_ntm28)*Sens!H2529)*m_cloud</f>
        <v>991.017159893245</v>
      </c>
    </row>
    <row r="2539" customFormat="false" ht="17.15" hidden="false" customHeight="false" outlineLevel="0" collapsed="false">
      <c r="A2539" s="1" t="s">
        <v>1075</v>
      </c>
      <c r="B2539" s="0" t="s">
        <v>98</v>
      </c>
      <c r="C2539" s="6" t="n">
        <f aca="false">(w_ntm28*Sens!G2522+(1-w_ntm28)*Sens!H2522)*m_sw</f>
        <v>1135.01343750319</v>
      </c>
    </row>
    <row r="2540" customFormat="false" ht="17.15" hidden="false" customHeight="false" outlineLevel="0" collapsed="false">
      <c r="A2540" s="1" t="s">
        <v>1076</v>
      </c>
      <c r="B2540" s="0" t="s">
        <v>98</v>
      </c>
      <c r="C2540" s="6" t="n">
        <f aca="false">(w_ntm28*Sens!G2523+(1-w_ntm28)*Sens!H2523)*m_sw</f>
        <v>381.965759783194</v>
      </c>
    </row>
    <row r="2541" customFormat="false" ht="17.15" hidden="false" customHeight="false" outlineLevel="0" collapsed="false">
      <c r="A2541" s="1" t="s">
        <v>1077</v>
      </c>
      <c r="B2541" s="0" t="s">
        <v>98</v>
      </c>
      <c r="C2541" s="6" t="n">
        <f aca="false">(w_ntm28*Sens!G2524+(1-w_ntm28)*Sens!H2524)*m_sw</f>
        <v>110.777560696782</v>
      </c>
    </row>
    <row r="2542" customFormat="false" ht="17.15" hidden="false" customHeight="false" outlineLevel="0" collapsed="false">
      <c r="A2542" s="1" t="s">
        <v>1078</v>
      </c>
      <c r="B2542" s="0" t="s">
        <v>98</v>
      </c>
      <c r="C2542" s="6" t="n">
        <f aca="false">(w_ntm28*Sens!G2525+(1-w_ntm28)*Sens!H2525)*m_sw</f>
        <v>42.2641800301282</v>
      </c>
    </row>
    <row r="2543" customFormat="false" ht="17.15" hidden="false" customHeight="false" outlineLevel="0" collapsed="false">
      <c r="A2543" s="1" t="s">
        <v>1079</v>
      </c>
      <c r="B2543" s="0" t="s">
        <v>98</v>
      </c>
      <c r="C2543" s="6" t="n">
        <f aca="false">(w_ntm28*Sens!G2526+(1-w_ntm28)*Sens!H2526)*m_ads</f>
        <v>116.774206143743</v>
      </c>
    </row>
    <row r="2544" customFormat="false" ht="17.15" hidden="false" customHeight="false" outlineLevel="0" collapsed="false">
      <c r="A2544" s="1" t="s">
        <v>1080</v>
      </c>
      <c r="B2544" s="0" t="s">
        <v>98</v>
      </c>
      <c r="C2544" s="6" t="n">
        <f aca="false">(w_ntm28*Sens!G2531+(1-w_ntm28)*Sens!H2531)*m_game</f>
        <v>99.1858149177765</v>
      </c>
    </row>
    <row r="2545" customFormat="false" ht="17.15" hidden="false" customHeight="false" outlineLevel="0" collapsed="false">
      <c r="A2545" s="1" t="s">
        <v>1081</v>
      </c>
      <c r="B2545" s="0" t="s">
        <v>98</v>
      </c>
      <c r="C2545" s="6" t="n">
        <f aca="false">(w_ntm28*Sens!G2532+(1-w_ntm28)*Sens!H2532)*m_pc</f>
        <v>98.332743513312</v>
      </c>
    </row>
    <row r="2546" customFormat="false" ht="17.15" hidden="false" customHeight="false" outlineLevel="0" collapsed="false">
      <c r="A2546" s="1" t="s">
        <v>1082</v>
      </c>
      <c r="B2546" s="0" t="s">
        <v>98</v>
      </c>
      <c r="C2546" s="6" t="n">
        <f aca="false">Sens!$C$2536+Sens!$C$2538+Sens!$C$2539+Sens!$C$2540+Sens!$C$2541+Sens!$C$2542+Sens!$C$2543+Sens!$C$2544+Sens!$C$2545</f>
        <v>3301.78706665552</v>
      </c>
    </row>
    <row r="2547" customFormat="false" ht="17.15" hidden="false" customHeight="false" outlineLevel="0" collapsed="false">
      <c r="A2547" s="1" t="s">
        <v>1000</v>
      </c>
      <c r="B2547" s="0" t="s">
        <v>98</v>
      </c>
      <c r="C2547" s="6" t="n">
        <f aca="false">Sens!F2497+oai_v-Sens!F2486</f>
        <v>115.234001052145</v>
      </c>
      <c r="L2547" s="1" t="s">
        <v>1083</v>
      </c>
    </row>
    <row r="2548" customFormat="false" ht="15" hidden="false" customHeight="false" outlineLevel="0" collapsed="false">
      <c r="A2548" s="1" t="s">
        <v>1001</v>
      </c>
      <c r="B2548" s="0" t="s">
        <v>75</v>
      </c>
      <c r="C2548" s="5" t="n">
        <f aca="false">(Sens!$C$2546+Sens!$C$2547)/Sens!F2499</f>
        <v>457.310100067943</v>
      </c>
    </row>
    <row r="2549" customFormat="false" ht="17.15" hidden="false" customHeight="false" outlineLevel="0" collapsed="false">
      <c r="A2549" s="1" t="s">
        <v>1084</v>
      </c>
      <c r="B2549" s="0" t="s">
        <v>75</v>
      </c>
      <c r="C2549" s="5" t="n">
        <f aca="false">w_dcf*Sens!$C$2520+(1-w_dcf)*Sens!$C$2548</f>
        <v>410.559796068332</v>
      </c>
    </row>
    <row r="2550" customFormat="false" ht="17.15" hidden="false" customHeight="false" outlineLevel="0" collapsed="false">
      <c r="A2550" s="3" t="s">
        <v>1299</v>
      </c>
    </row>
    <row r="2551" customFormat="false" ht="15" hidden="false" customHeight="false" outlineLevel="0" collapsed="false">
      <c r="A2551" s="4" t="s">
        <v>43</v>
      </c>
      <c r="B2551" s="4" t="s">
        <v>65</v>
      </c>
      <c r="C2551" s="20" t="s">
        <v>788</v>
      </c>
      <c r="D2551" s="20" t="s">
        <v>789</v>
      </c>
      <c r="E2551" s="20" t="s">
        <v>790</v>
      </c>
      <c r="F2551" s="20" t="s">
        <v>791</v>
      </c>
      <c r="G2551" s="20" t="s">
        <v>792</v>
      </c>
      <c r="H2551" s="20" t="s">
        <v>793</v>
      </c>
      <c r="I2551" s="20" t="s">
        <v>794</v>
      </c>
      <c r="J2551" s="20" t="s">
        <v>795</v>
      </c>
      <c r="K2551" s="20" t="s">
        <v>796</v>
      </c>
      <c r="L2551" s="4" t="s">
        <v>47</v>
      </c>
    </row>
    <row r="2552" customFormat="false" ht="17.15" hidden="false" customHeight="false" outlineLevel="0" collapsed="false">
      <c r="A2552" s="1" t="s">
        <v>797</v>
      </c>
      <c r="B2552" s="1" t="s">
        <v>235</v>
      </c>
      <c r="C2552" s="28" t="n">
        <v>2024</v>
      </c>
      <c r="D2552" s="28" t="n">
        <v>2025</v>
      </c>
      <c r="E2552" s="28" t="n">
        <v>2026</v>
      </c>
      <c r="F2552" s="28" t="n">
        <v>2027</v>
      </c>
      <c r="G2552" s="28" t="n">
        <v>2028</v>
      </c>
      <c r="H2552" s="28" t="n">
        <v>2029</v>
      </c>
      <c r="I2552" s="28" t="n">
        <v>2030</v>
      </c>
      <c r="J2552" s="28" t="n">
        <v>2031</v>
      </c>
      <c r="K2552" s="28" t="n">
        <v>2032</v>
      </c>
    </row>
    <row r="2553" customFormat="false" ht="17.15" hidden="false" customHeight="false" outlineLevel="0" collapsed="false">
      <c r="A2553" s="1" t="s">
        <v>798</v>
      </c>
      <c r="B2553" s="0" t="s">
        <v>392</v>
      </c>
      <c r="F2553" s="29" t="n">
        <f aca="false">pace</f>
        <v>2527.2</v>
      </c>
      <c r="G2553" s="29" t="n">
        <f aca="false">pace</f>
        <v>2527.2</v>
      </c>
      <c r="H2553" s="29" t="n">
        <f aca="false">pace</f>
        <v>2527.2</v>
      </c>
      <c r="I2553" s="29" t="n">
        <f aca="false">pace+(g_tv*Sens!H2554-pace)*MIN(1,(Sens!I2552-pace_y0)/(pace_y1-pace_y0))</f>
        <v>1793.116</v>
      </c>
      <c r="J2553" s="29" t="n">
        <f aca="false">pace+(g_tv*Sens!H2554-pace)*MIN(1,(Sens!J2552-pace_y0)/(pace_y1-pace_y0))</f>
        <v>1059.032</v>
      </c>
      <c r="K2553" s="29" t="n">
        <f aca="false">pace+(g_tv*Sens!H2554-pace)*MIN(1,(Sens!K2552-pace_y0)/(pace_y1-pace_y0))</f>
        <v>324.948</v>
      </c>
      <c r="L2553" s="11" t="s">
        <v>799</v>
      </c>
    </row>
    <row r="2554" customFormat="false" ht="17.15" hidden="false" customHeight="false" outlineLevel="0" collapsed="false">
      <c r="A2554" s="1" t="s">
        <v>800</v>
      </c>
      <c r="B2554" s="0" t="s">
        <v>392</v>
      </c>
      <c r="C2554" s="29" t="n">
        <f aca="false">mw_ext_24</f>
        <v>640</v>
      </c>
      <c r="D2554" s="29" t="n">
        <f aca="false">mw_ext_25</f>
        <v>1630</v>
      </c>
      <c r="E2554" s="29" t="n">
        <f aca="false">mw_ext_26</f>
        <v>3250</v>
      </c>
      <c r="F2554" s="29" t="n">
        <f aca="false">Sens!E2554+Sens!F2553</f>
        <v>5777.2</v>
      </c>
      <c r="G2554" s="29" t="n">
        <f aca="false">Sens!F2554+Sens!G2553</f>
        <v>8304.4</v>
      </c>
      <c r="H2554" s="29" t="n">
        <f aca="false">Sens!G2554+Sens!H2553</f>
        <v>10831.6</v>
      </c>
      <c r="I2554" s="29" t="n">
        <f aca="false">Sens!H2554+Sens!I2553</f>
        <v>12624.716</v>
      </c>
      <c r="J2554" s="29" t="n">
        <f aca="false">Sens!I2554+Sens!J2553</f>
        <v>13683.748</v>
      </c>
      <c r="K2554" s="29" t="n">
        <f aca="false">Sens!J2554+Sens!K2553</f>
        <v>14008.696</v>
      </c>
      <c r="L2554" s="1" t="s">
        <v>801</v>
      </c>
    </row>
    <row r="2555" customFormat="false" ht="17.15" hidden="false" customHeight="false" outlineLevel="0" collapsed="false">
      <c r="A2555" s="1" t="s">
        <v>802</v>
      </c>
      <c r="B2555" s="0" t="s">
        <v>392</v>
      </c>
      <c r="C2555" s="29" t="n">
        <f aca="false">rent_ext_24</f>
        <v>150</v>
      </c>
      <c r="D2555" s="29" t="n">
        <f aca="false">rent_ext_25</f>
        <v>400</v>
      </c>
      <c r="E2555" s="29" t="n">
        <f aca="false">rent_ext_26</f>
        <v>550</v>
      </c>
      <c r="F2555" s="29" t="n">
        <f aca="false">rent_ext_f</f>
        <v>756</v>
      </c>
      <c r="G2555" s="29" t="n">
        <f aca="false">rent_ext_f</f>
        <v>756</v>
      </c>
      <c r="H2555" s="29" t="n">
        <f aca="false">rent_ext_f</f>
        <v>756</v>
      </c>
      <c r="I2555" s="29" t="n">
        <f aca="false">rent_ext_f</f>
        <v>756</v>
      </c>
      <c r="J2555" s="29" t="n">
        <f aca="false">rent_ext_f</f>
        <v>756</v>
      </c>
      <c r="K2555" s="29" t="n">
        <f aca="false">rent_ext_f</f>
        <v>756</v>
      </c>
      <c r="L2555" s="1" t="s">
        <v>803</v>
      </c>
    </row>
    <row r="2556" customFormat="false" ht="17.15" hidden="false" customHeight="false" outlineLevel="0" collapsed="false">
      <c r="A2556" s="1" t="s">
        <v>804</v>
      </c>
      <c r="B2556" s="0" t="s">
        <v>392</v>
      </c>
      <c r="C2556" s="29" t="n">
        <f aca="false">Sens!C2554-Sens!C2555</f>
        <v>490</v>
      </c>
      <c r="D2556" s="29" t="n">
        <f aca="false">Sens!D2554-Sens!D2555</f>
        <v>1230</v>
      </c>
      <c r="E2556" s="29" t="n">
        <f aca="false">Sens!E2554-Sens!E2555</f>
        <v>2700</v>
      </c>
      <c r="F2556" s="29" t="n">
        <f aca="false">Sens!F2554-Sens!F2555</f>
        <v>5021.2</v>
      </c>
      <c r="G2556" s="29" t="n">
        <f aca="false">Sens!G2554-Sens!G2555</f>
        <v>7548.4</v>
      </c>
      <c r="H2556" s="29" t="n">
        <f aca="false">Sens!H2554-Sens!H2555</f>
        <v>10075.6</v>
      </c>
      <c r="I2556" s="29" t="n">
        <f aca="false">Sens!I2554-Sens!I2555</f>
        <v>11868.716</v>
      </c>
      <c r="J2556" s="29" t="n">
        <f aca="false">Sens!J2554-Sens!J2555</f>
        <v>12927.748</v>
      </c>
      <c r="K2556" s="29" t="n">
        <f aca="false">Sens!K2554-Sens!K2555</f>
        <v>13252.696</v>
      </c>
    </row>
    <row r="2557" customFormat="false" ht="17.15" hidden="false" customHeight="false" outlineLevel="0" collapsed="false">
      <c r="A2557" s="1" t="s">
        <v>805</v>
      </c>
      <c r="B2557" s="0" t="s">
        <v>392</v>
      </c>
      <c r="C2557" s="29" t="n">
        <f aca="false">Sens!C2556/ext_sh_hi</f>
        <v>653.333333333333</v>
      </c>
      <c r="D2557" s="29" t="n">
        <f aca="false">Sens!D2556/ext_sh_hi</f>
        <v>1640</v>
      </c>
      <c r="E2557" s="29" t="n">
        <f aca="false">Sens!E2556/ext_sh_hi</f>
        <v>3600</v>
      </c>
      <c r="F2557" s="29" t="n">
        <f aca="false">Sens!F2556/ext_sh_hi</f>
        <v>6694.93333333333</v>
      </c>
      <c r="G2557" s="29" t="n">
        <f aca="false">Sens!G2556/ext_sh_hi</f>
        <v>10064.5333333333</v>
      </c>
      <c r="H2557" s="29" t="n">
        <f aca="false">Sens!H2556/ext_sh_hi</f>
        <v>13434.1333333333</v>
      </c>
      <c r="I2557" s="29" t="n">
        <f aca="false">Sens!I2556/ext_sh_hi</f>
        <v>15824.9546666667</v>
      </c>
      <c r="J2557" s="29" t="n">
        <f aca="false">Sens!J2556/ext_sh_hi</f>
        <v>17236.9973333333</v>
      </c>
      <c r="K2557" s="29" t="n">
        <f aca="false">Sens!K2556/ext_sh_hi</f>
        <v>17670.2613333333</v>
      </c>
      <c r="L2557" s="1" t="s">
        <v>806</v>
      </c>
    </row>
    <row r="2558" customFormat="false" ht="17.15" hidden="false" customHeight="false" outlineLevel="0" collapsed="false">
      <c r="A2558" s="1" t="s">
        <v>807</v>
      </c>
      <c r="B2558" s="0" t="s">
        <v>392</v>
      </c>
      <c r="C2558" s="29" t="n">
        <f aca="false">Sens!C2557-Sens!C2556</f>
        <v>163.333333333333</v>
      </c>
      <c r="D2558" s="29" t="n">
        <f aca="false">Sens!D2557-Sens!D2556</f>
        <v>410</v>
      </c>
      <c r="E2558" s="29" t="n">
        <f aca="false">Sens!E2557-Sens!E2556</f>
        <v>900</v>
      </c>
      <c r="F2558" s="29" t="n">
        <f aca="false">Sens!F2557-Sens!F2556</f>
        <v>1673.73333333333</v>
      </c>
      <c r="G2558" s="29" t="n">
        <f aca="false">Sens!G2557-Sens!G2556</f>
        <v>2516.13333333333</v>
      </c>
      <c r="H2558" s="29" t="n">
        <f aca="false">Sens!H2557-Sens!H2556</f>
        <v>3358.53333333333</v>
      </c>
      <c r="I2558" s="29" t="n">
        <f aca="false">Sens!I2557-Sens!I2556</f>
        <v>3956.23866666667</v>
      </c>
      <c r="J2558" s="29" t="n">
        <f aca="false">Sens!J2557-Sens!J2556</f>
        <v>4309.24933333333</v>
      </c>
      <c r="K2558" s="29" t="n">
        <f aca="false">Sens!K2557-Sens!K2556</f>
        <v>4417.56533333333</v>
      </c>
    </row>
    <row r="2559" customFormat="false" ht="17.15" hidden="false" customHeight="false" outlineLevel="0" collapsed="false">
      <c r="A2559" s="1" t="s">
        <v>808</v>
      </c>
      <c r="B2559" s="0" t="s">
        <v>392</v>
      </c>
      <c r="C2559" s="29" t="n">
        <f aca="false">Sens!C2557</f>
        <v>653.333333333333</v>
      </c>
      <c r="D2559" s="29" t="n">
        <f aca="false">Sens!D2557-Sens!C2557</f>
        <v>986.666666666667</v>
      </c>
      <c r="E2559" s="29" t="n">
        <f aca="false">Sens!E2557-Sens!D2557</f>
        <v>1960</v>
      </c>
      <c r="F2559" s="29" t="n">
        <f aca="false">Sens!F2557-Sens!E2557</f>
        <v>3094.93333333333</v>
      </c>
      <c r="G2559" s="29" t="n">
        <f aca="false">Sens!G2557-Sens!F2557</f>
        <v>3369.6</v>
      </c>
      <c r="H2559" s="29" t="n">
        <f aca="false">Sens!H2557-Sens!G2557</f>
        <v>3369.6</v>
      </c>
      <c r="I2559" s="29" t="n">
        <f aca="false">Sens!I2557-Sens!H2557</f>
        <v>2390.82133333333</v>
      </c>
      <c r="J2559" s="29" t="n">
        <f aca="false">Sens!J2557-Sens!I2557</f>
        <v>1412.04266666666</v>
      </c>
      <c r="K2559" s="29" t="n">
        <f aca="false">Sens!K2557-Sens!J2557</f>
        <v>433.264000000003</v>
      </c>
    </row>
    <row r="2560" customFormat="false" ht="17.15" hidden="false" customHeight="false" outlineLevel="0" collapsed="false">
      <c r="A2560" s="1" t="s">
        <v>809</v>
      </c>
      <c r="B2560" s="0" t="s">
        <v>392</v>
      </c>
      <c r="D2560" s="29" t="n">
        <f aca="false">Sens!D2554-Sens!C2554</f>
        <v>990</v>
      </c>
      <c r="E2560" s="29" t="n">
        <f aca="false">Sens!E2554-Sens!D2554</f>
        <v>1620</v>
      </c>
      <c r="F2560" s="29" t="n">
        <f aca="false">Sens!F2554-Sens!E2554</f>
        <v>2527.2</v>
      </c>
      <c r="G2560" s="29" t="n">
        <f aca="false">Sens!G2554-Sens!F2554</f>
        <v>2527.2</v>
      </c>
      <c r="H2560" s="29" t="n">
        <f aca="false">Sens!H2554-Sens!G2554</f>
        <v>2527.2</v>
      </c>
      <c r="I2560" s="29" t="n">
        <f aca="false">Sens!I2554-Sens!H2554</f>
        <v>1793.116</v>
      </c>
      <c r="J2560" s="29" t="n">
        <f aca="false">Sens!J2554-Sens!I2554</f>
        <v>1059.032</v>
      </c>
      <c r="K2560" s="29" t="n">
        <f aca="false">Sens!K2554-Sens!J2554</f>
        <v>324.948</v>
      </c>
    </row>
    <row r="2561" customFormat="false" ht="17.15" hidden="false" customHeight="false" outlineLevel="0" collapsed="false">
      <c r="A2561" s="1" t="s">
        <v>810</v>
      </c>
      <c r="B2561" s="0" t="s">
        <v>392</v>
      </c>
      <c r="F2561" s="29" t="n">
        <f aca="false">Sens!F2578*ext_sh_hi</f>
        <v>0</v>
      </c>
      <c r="G2561" s="29" t="n">
        <f aca="false">Sens!G2578*ext_sh_hi</f>
        <v>0</v>
      </c>
      <c r="H2561" s="29" t="n">
        <f aca="false">Sens!H2578*ext_sh_hi</f>
        <v>0</v>
      </c>
      <c r="I2561" s="29" t="n">
        <f aca="false">Sens!I2578*ext_sh_hi</f>
        <v>490</v>
      </c>
      <c r="J2561" s="29" t="n">
        <f aca="false">Sens!J2578*ext_sh_hi</f>
        <v>740</v>
      </c>
      <c r="K2561" s="29" t="n">
        <f aca="false">Sens!K2578*ext_sh_hi</f>
        <v>1470</v>
      </c>
      <c r="L2561" s="1" t="s">
        <v>811</v>
      </c>
    </row>
    <row r="2562" customFormat="false" ht="17.15" hidden="false" customHeight="false" outlineLevel="0" collapsed="false">
      <c r="A2562" s="1" t="s">
        <v>812</v>
      </c>
      <c r="B2562" s="0" t="s">
        <v>392</v>
      </c>
      <c r="C2562" s="29" t="n">
        <f aca="false">mix_h*Sens!C2554</f>
        <v>128</v>
      </c>
      <c r="D2562" s="29" t="n">
        <f aca="false">mix_h*Sens!D2554</f>
        <v>326</v>
      </c>
      <c r="E2562" s="29" t="n">
        <f aca="false">mix_h*Sens!E2554</f>
        <v>650</v>
      </c>
      <c r="F2562" s="29" t="n">
        <f aca="false">Sens!E2562-Sens!F2561*mix_h</f>
        <v>650</v>
      </c>
      <c r="G2562" s="29" t="n">
        <f aca="false">Sens!F2562-Sens!G2561*mix_h</f>
        <v>650</v>
      </c>
      <c r="H2562" s="29" t="n">
        <f aca="false">Sens!G2562-Sens!H2561*mix_h</f>
        <v>650</v>
      </c>
      <c r="I2562" s="29" t="n">
        <f aca="false">Sens!H2562-Sens!I2561*mix_h</f>
        <v>552</v>
      </c>
      <c r="J2562" s="29" t="n">
        <f aca="false">Sens!I2562-Sens!J2561*mix_h</f>
        <v>404</v>
      </c>
      <c r="K2562" s="29" t="n">
        <f aca="false">Sens!J2562-Sens!K2561*mix_h</f>
        <v>110</v>
      </c>
    </row>
    <row r="2563" customFormat="false" ht="17.15" hidden="false" customHeight="false" outlineLevel="0" collapsed="false">
      <c r="A2563" s="1" t="s">
        <v>813</v>
      </c>
      <c r="B2563" s="0" t="s">
        <v>392</v>
      </c>
      <c r="C2563" s="29" t="n">
        <f aca="false">mix_g2*Sens!C2554</f>
        <v>288</v>
      </c>
      <c r="D2563" s="29" t="n">
        <f aca="false">mix_g2*Sens!D2554</f>
        <v>733.5</v>
      </c>
      <c r="E2563" s="29" t="n">
        <f aca="false">mix_g2*Sens!E2554</f>
        <v>1462.5</v>
      </c>
      <c r="F2563" s="29" t="n">
        <f aca="false">Sens!E2563-Sens!F2561*mix_g2</f>
        <v>1462.5</v>
      </c>
      <c r="G2563" s="29" t="n">
        <f aca="false">Sens!F2563-Sens!G2561*mix_g2</f>
        <v>1462.5</v>
      </c>
      <c r="H2563" s="29" t="n">
        <f aca="false">Sens!G2563-Sens!H2561*mix_g2</f>
        <v>1462.5</v>
      </c>
      <c r="I2563" s="29" t="n">
        <f aca="false">Sens!H2563-Sens!I2561*mix_g2</f>
        <v>1242</v>
      </c>
      <c r="J2563" s="29" t="n">
        <f aca="false">Sens!I2563-Sens!J2561*mix_g2</f>
        <v>909</v>
      </c>
      <c r="K2563" s="29" t="n">
        <f aca="false">Sens!J2563-Sens!K2561*mix_g2</f>
        <v>247.5</v>
      </c>
    </row>
    <row r="2564" customFormat="false" ht="17.15" hidden="false" customHeight="false" outlineLevel="0" collapsed="false">
      <c r="A2564" s="1" t="s">
        <v>814</v>
      </c>
      <c r="B2564" s="0" t="s">
        <v>392</v>
      </c>
      <c r="C2564" s="29" t="n">
        <f aca="false">mix_g3*Sens!C2554</f>
        <v>224</v>
      </c>
      <c r="D2564" s="29" t="n">
        <f aca="false">mix_g3*Sens!D2554</f>
        <v>570.5</v>
      </c>
      <c r="E2564" s="29" t="n">
        <f aca="false">mix_g3*Sens!E2554</f>
        <v>1137.5</v>
      </c>
      <c r="F2564" s="29" t="n">
        <f aca="false">Sens!E2564+(Sens!F2560+Sens!F2561)*a_g3_27-Sens!F2561*mix_g3</f>
        <v>2906.54</v>
      </c>
      <c r="G2564" s="29" t="n">
        <f aca="false">Sens!F2564+(Sens!G2560+Sens!G2561)*a_g3_28-Sens!G2561*mix_g3</f>
        <v>3664.7</v>
      </c>
      <c r="H2564" s="29" t="n">
        <f aca="false">Sens!G2564+(Sens!H2560+Sens!H2561)*a_g3_29-Sens!H2561*mix_g3</f>
        <v>3917.42</v>
      </c>
      <c r="I2564" s="29" t="n">
        <f aca="false">Sens!H2564+(Sens!I2560+Sens!I2561)*a_g3_29-Sens!I2561*mix_g3</f>
        <v>3974.2316</v>
      </c>
      <c r="J2564" s="29" t="n">
        <f aca="false">Sens!I2564+(Sens!J2560+Sens!J2561)*a_g3_29-Sens!J2561*mix_g3</f>
        <v>3895.1348</v>
      </c>
      <c r="K2564" s="29" t="n">
        <f aca="false">Sens!J2564+(Sens!K2560+Sens!K2561)*a_g3_29-Sens!K2561*mix_g3</f>
        <v>3560.1296</v>
      </c>
    </row>
    <row r="2565" customFormat="false" ht="17.15" hidden="false" customHeight="false" outlineLevel="0" collapsed="false">
      <c r="A2565" s="1" t="s">
        <v>815</v>
      </c>
      <c r="B2565" s="0" t="s">
        <v>392</v>
      </c>
      <c r="C2565" s="29" t="n">
        <v>0</v>
      </c>
      <c r="D2565" s="29" t="n">
        <v>0</v>
      </c>
      <c r="E2565" s="29" t="n">
        <v>0</v>
      </c>
      <c r="F2565" s="29" t="n">
        <f aca="false">Sens!E2565+(Sens!F2560+Sens!F2561)*(1-a_g3_27)</f>
        <v>758.16</v>
      </c>
      <c r="G2565" s="29" t="n">
        <f aca="false">Sens!F2565+(Sens!G2560+Sens!G2561)*(1-a_g3_28)</f>
        <v>2527.2</v>
      </c>
      <c r="H2565" s="29" t="n">
        <f aca="false">Sens!G2565+(Sens!H2560+Sens!H2561)*(1-a_g3_29)</f>
        <v>4801.68</v>
      </c>
      <c r="I2565" s="29" t="n">
        <f aca="false">Sens!H2565+(Sens!I2560+Sens!I2561)*(1-a_g3_29)</f>
        <v>6856.4844</v>
      </c>
      <c r="J2565" s="29" t="n">
        <f aca="false">Sens!I2565+(Sens!J2560+Sens!J2561)*(1-a_g3_29)</f>
        <v>8475.6132</v>
      </c>
      <c r="K2565" s="29" t="n">
        <f aca="false">Sens!J2565+(Sens!K2560+Sens!K2561)*(1-a_g3_29)</f>
        <v>10091.0664</v>
      </c>
    </row>
    <row r="2566" customFormat="false" ht="17.15" hidden="false" customHeight="false" outlineLevel="0" collapsed="false">
      <c r="A2566" s="1" t="s">
        <v>816</v>
      </c>
      <c r="B2566" s="0" t="s">
        <v>339</v>
      </c>
      <c r="C2566" s="14" t="n">
        <f aca="false">(Sens!C2562*tk_hold_h100+Sens!C2563*tk_hold_gb200+Sens!C2564*tk_hold_gb300+Sens!C2565*tk_hold_vr200)/Sens!C2554</f>
        <v>9.7235358126469</v>
      </c>
      <c r="D2566" s="14" t="n">
        <f aca="false">(Sens!D2562*tk_hold_h100+Sens!D2563*tk_hold_gb200+Sens!D2564*tk_hold_gb300+Sens!D2565*tk_hold_vr200)/Sens!D2554</f>
        <v>9.7235358126469</v>
      </c>
      <c r="E2566" s="14" t="n">
        <f aca="false">(Sens!E2562*tk_hold_h100+Sens!E2563*tk_hold_gb200+Sens!E2564*tk_hold_gb300+Sens!E2565*tk_hold_vr200)/Sens!E2554</f>
        <v>9.7235358126469</v>
      </c>
      <c r="F2566" s="14" t="n">
        <f aca="false">(Sens!F2562*tk_hold_h100+Sens!F2563*tk_hold_gb200+Sens!F2564*tk_hold_gb300+Sens!F2565*tk_hold_vr200)/Sens!F2554</f>
        <v>10.4079573161931</v>
      </c>
      <c r="G2566" s="14" t="n">
        <f aca="false">(Sens!G2562*tk_hold_h100+Sens!G2563*tk_hold_gb200+Sens!G2564*tk_hold_gb300+Sens!G2565*tk_hold_vr200)/Sens!G2554</f>
        <v>10.8388131109316</v>
      </c>
      <c r="H2566" s="14" t="n">
        <f aca="false">(Sens!H2562*tk_hold_h100+Sens!H2563*tk_hold_gb200+Sens!H2564*tk_hold_gb300+Sens!H2565*tk_hold_vr200)/Sens!H2554</f>
        <v>11.1311018388216</v>
      </c>
      <c r="I2566" s="14" t="n">
        <f aca="false">(Sens!I2562*tk_hold_h100+Sens!I2563*tk_hold_gb200+Sens!I2564*tk_hold_gb300+Sens!I2565*tk_hold_vr200)/Sens!I2554</f>
        <v>11.3594282560989</v>
      </c>
      <c r="J2566" s="14" t="n">
        <f aca="false">(Sens!J2562*tk_hold_h100+Sens!J2563*tk_hold_gb200+Sens!J2564*tk_hold_gb300+Sens!J2565*tk_hold_vr200)/Sens!J2554</f>
        <v>11.5441508808221</v>
      </c>
      <c r="K2566" s="14" t="n">
        <f aca="false">(Sens!K2562*tk_hold_h100+Sens!K2563*tk_hold_gb200+Sens!K2564*tk_hold_gb300+Sens!K2565*tk_hold_vr200)/Sens!K2554</f>
        <v>11.8053375063575</v>
      </c>
    </row>
    <row r="2567" customFormat="false" ht="17.15" hidden="false" customHeight="false" outlineLevel="0" collapsed="false">
      <c r="A2567" s="0" t="s">
        <v>817</v>
      </c>
      <c r="B2567" s="0" t="s">
        <v>185</v>
      </c>
      <c r="C2567" s="14" t="n">
        <f aca="false">k_B</f>
        <v>1.17213932619116</v>
      </c>
      <c r="D2567" s="14" t="n">
        <f aca="false">k_B</f>
        <v>1.17213932619116</v>
      </c>
      <c r="E2567" s="14" t="n">
        <f aca="false">k_B</f>
        <v>1.17213932619116</v>
      </c>
      <c r="F2567" s="14" t="n">
        <f aca="false">(k_B+((ls_B*k_long+(1-ls_B)*k_spot)-k_B)*MIN(1,(Sens!F2552-base_fy)/k_ramp))</f>
        <v>1.17213932619116</v>
      </c>
      <c r="G2567" s="14" t="n">
        <f aca="false">(k_B+((ls_B*k_long+(1-ls_B)*k_spot)-k_B)*MIN(1,(Sens!G2552-base_fy)/k_ramp))</f>
        <v>1.17213932619116</v>
      </c>
      <c r="H2567" s="14" t="n">
        <f aca="false">(k_B+((ls_B*k_long+(1-ls_B)*k_spot)-k_B)*MIN(1,(Sens!H2552-base_fy)/k_ramp))</f>
        <v>1.17213932619116</v>
      </c>
      <c r="I2567" s="14" t="n">
        <f aca="false">(k_B+((ls_B*k_long+(1-ls_B)*k_spot)-k_B)*MIN(1,(Sens!I2552-base_fy)/k_ramp))</f>
        <v>1.17213932619116</v>
      </c>
      <c r="J2567" s="14" t="n">
        <f aca="false">(k_B+((ls_B*k_long+(1-ls_B)*k_spot)-k_B)*MIN(1,(Sens!J2552-base_fy)/k_ramp))</f>
        <v>1.17213932619116</v>
      </c>
      <c r="K2567" s="14" t="n">
        <f aca="false">(k_B+((ls_B*k_long+(1-ls_B)*k_spot)-k_B)*MIN(1,(Sens!K2552-base_fy)/k_ramp))</f>
        <v>1.17213932619116</v>
      </c>
      <c r="L2567" s="1" t="s">
        <v>818</v>
      </c>
    </row>
    <row r="2568" customFormat="false" ht="17.15" hidden="false" customHeight="false" outlineLevel="0" collapsed="false">
      <c r="A2568" s="1" t="s">
        <v>819</v>
      </c>
      <c r="B2568" s="0" t="s">
        <v>339</v>
      </c>
      <c r="C2568" s="14" t="n">
        <f aca="false">Sens!C2566*Sens!C2567*chip_f</f>
        <v>11.3973387156315</v>
      </c>
      <c r="D2568" s="14" t="n">
        <f aca="false">Sens!D2566*Sens!D2567*chip_f</f>
        <v>11.3973387156315</v>
      </c>
      <c r="E2568" s="14" t="n">
        <f aca="false">Sens!E2566*Sens!E2567*chip_f</f>
        <v>11.3973387156315</v>
      </c>
      <c r="F2568" s="14" t="n">
        <f aca="false">Sens!F2566*Sens!F2567*chip_f</f>
        <v>12.1995760756289</v>
      </c>
      <c r="G2568" s="14" t="n">
        <f aca="false">Sens!G2566*Sens!G2567*chip_f</f>
        <v>12.7045990965592</v>
      </c>
      <c r="H2568" s="14" t="n">
        <f aca="false">Sens!H2566*Sens!H2567*chip_f</f>
        <v>13.0472022091214</v>
      </c>
      <c r="I2568" s="14" t="n">
        <f aca="false">Sens!I2566*Sens!I2567*chip_f</f>
        <v>13.3148325820205</v>
      </c>
      <c r="J2568" s="14" t="n">
        <f aca="false">Sens!J2566*Sens!J2567*chip_f</f>
        <v>13.5313532348958</v>
      </c>
      <c r="K2568" s="14" t="n">
        <f aca="false">Sens!K2566*Sens!K2567*chip_f</f>
        <v>13.8375003501611</v>
      </c>
      <c r="L2568" s="1" t="s">
        <v>820</v>
      </c>
    </row>
    <row r="2569" customFormat="false" ht="17.15" hidden="false" customHeight="false" outlineLevel="0" collapsed="false">
      <c r="A2569" s="0" t="s">
        <v>821</v>
      </c>
      <c r="B2569" s="0" t="s">
        <v>98</v>
      </c>
      <c r="D2569" s="6" t="n">
        <f aca="false">(Sens!C2554+Sens!D2554)/2*Sens!D2568/1000</f>
        <v>12.9359794422418</v>
      </c>
      <c r="E2569" s="6" t="n">
        <f aca="false">(Sens!D2554+Sens!E2554)/2*Sens!E2568/1000</f>
        <v>27.8095064661409</v>
      </c>
      <c r="F2569" s="6" t="n">
        <f aca="false">(Sens!E2554+Sens!F2554)/2*Sens!F2568/1000</f>
        <v>55.0640065749585</v>
      </c>
      <c r="G2569" s="6" t="n">
        <f aca="false">(Sens!F2554+Sens!G2554)/2*Sens!G2568/1000</f>
        <v>89.4505413190538</v>
      </c>
      <c r="H2569" s="6" t="n">
        <f aca="false">(Sens!G2554+Sens!H2554)/2*Sens!H2568/1000</f>
        <v>124.835630736874</v>
      </c>
      <c r="I2569" s="6" t="n">
        <f aca="false">(Sens!H2554+Sens!I2554)/2*Sens!I2568/1000</f>
        <v>156.158460265485</v>
      </c>
      <c r="J2569" s="6" t="n">
        <f aca="false">(Sens!I2554+Sens!J2554)/2*Sens!J2568/1000</f>
        <v>177.99455972577</v>
      </c>
      <c r="K2569" s="6" t="n">
        <f aca="false">(Sens!J2554+Sens!K2554)/2*Sens!K2568/1000</f>
        <v>191.597101773408</v>
      </c>
      <c r="L2569" s="11" t="s">
        <v>822</v>
      </c>
    </row>
    <row r="2570" customFormat="false" ht="17.15" hidden="false" customHeight="false" outlineLevel="0" collapsed="false">
      <c r="A2570" s="1" t="s">
        <v>823</v>
      </c>
      <c r="B2570" s="0" t="s">
        <v>339</v>
      </c>
      <c r="C2570" s="14" t="n">
        <f aca="false">(Sens!C2562*tk_opex_h100+Sens!C2563*tk_opex_gb200+Sens!C2564*tk_opex_gb300+Sens!C2565*tk_opex_vr200)/Sens!C2554</f>
        <v>1.88636041306092</v>
      </c>
      <c r="D2570" s="14" t="n">
        <f aca="false">(Sens!D2562*tk_opex_h100+Sens!D2563*tk_opex_gb200+Sens!D2564*tk_opex_gb300+Sens!D2565*tk_opex_vr200)/Sens!D2554</f>
        <v>1.88636041306092</v>
      </c>
      <c r="E2570" s="14" t="n">
        <f aca="false">(Sens!E2562*tk_opex_h100+Sens!E2563*tk_opex_gb200+Sens!E2564*tk_opex_gb300+Sens!E2565*tk_opex_vr200)/Sens!E2554</f>
        <v>1.88636041306092</v>
      </c>
      <c r="F2570" s="14" t="n">
        <f aca="false">(Sens!F2562*tk_opex_h100+Sens!F2563*tk_opex_gb200+Sens!F2564*tk_opex_gb300+Sens!F2565*tk_opex_vr200)/Sens!F2554</f>
        <v>1.9430236476499</v>
      </c>
      <c r="G2570" s="14" t="n">
        <f aca="false">(Sens!G2562*tk_opex_h100+Sens!G2563*tk_opex_gb200+Sens!G2564*tk_opex_gb300+Sens!G2565*tk_opex_vr200)/Sens!G2554</f>
        <v>1.9786941852423</v>
      </c>
      <c r="H2570" s="14" t="n">
        <f aca="false">(Sens!H2562*tk_opex_h100+Sens!H2563*tk_opex_gb200+Sens!H2564*tk_opex_gb300+Sens!H2565*tk_opex_vr200)/Sens!H2554</f>
        <v>2.00289275976156</v>
      </c>
      <c r="I2570" s="14" t="n">
        <f aca="false">(Sens!I2562*tk_opex_h100+Sens!I2563*tk_opex_gb200+Sens!I2564*tk_opex_gb300+Sens!I2565*tk_opex_vr200)/Sens!I2554</f>
        <v>2.02179589661219</v>
      </c>
      <c r="J2570" s="14" t="n">
        <f aca="false">(Sens!J2562*tk_opex_h100+Sens!J2563*tk_opex_gb200+Sens!J2564*tk_opex_gb300+Sens!J2565*tk_opex_vr200)/Sens!J2554</f>
        <v>2.03708907685909</v>
      </c>
      <c r="K2570" s="14" t="n">
        <f aca="false">(Sens!K2562*tk_opex_h100+Sens!K2563*tk_opex_gb200+Sens!K2564*tk_opex_gb300+Sens!K2565*tk_opex_vr200)/Sens!K2554</f>
        <v>2.05871270931005</v>
      </c>
    </row>
    <row r="2571" customFormat="false" ht="17.15" hidden="false" customHeight="false" outlineLevel="0" collapsed="false">
      <c r="A2571" s="0" t="s">
        <v>824</v>
      </c>
      <c r="B2571" s="0" t="s">
        <v>98</v>
      </c>
      <c r="D2571" s="6" t="n">
        <f aca="false">(Sens!C2557+Sens!D2557)/2*Sens!D2570/1000</f>
        <v>2.16302660697652</v>
      </c>
      <c r="E2571" s="6" t="n">
        <f aca="false">(Sens!D2557+Sens!E2557)/2*Sens!E2570/1000</f>
        <v>4.9422642822196</v>
      </c>
      <c r="F2571" s="6" t="n">
        <f aca="false">(Sens!E2557+Sens!F2557)/2*Sens!F2570/1000</f>
        <v>10.001649458823</v>
      </c>
      <c r="G2571" s="6" t="n">
        <f aca="false">(Sens!F2557+Sens!G2557)/2*Sens!G2570/1000</f>
        <v>16.5809296205477</v>
      </c>
      <c r="H2571" s="6" t="n">
        <f aca="false">(Sens!G2557+Sens!H2557)/2*Sens!H2570/1000</f>
        <v>23.5326546653585</v>
      </c>
      <c r="I2571" s="6" t="n">
        <f aca="false">(Sens!H2557+Sens!I2557)/2*Sens!I2570/1000</f>
        <v>29.5779520285075</v>
      </c>
      <c r="J2571" s="6" t="n">
        <f aca="false">(Sens!I2557+Sens!J2557)/2*Sens!J2570/1000</f>
        <v>33.6750706394197</v>
      </c>
      <c r="K2571" s="6" t="n">
        <f aca="false">(Sens!J2557+Sens!K2557)/2*Sens!K2570/1000</f>
        <v>35.9320085321201</v>
      </c>
    </row>
    <row r="2572" customFormat="false" ht="17.15" hidden="false" customHeight="false" outlineLevel="0" collapsed="false">
      <c r="A2572" s="0" t="s">
        <v>825</v>
      </c>
      <c r="B2572" s="0" t="s">
        <v>98</v>
      </c>
      <c r="D2572" s="6" t="n">
        <f aca="false">(Sens!C2555+Sens!D2555)/2*rent_mw/1000</f>
        <v>2.44475</v>
      </c>
      <c r="E2572" s="6" t="n">
        <f aca="false">(Sens!D2555+Sens!E2555)/2*rent_mw/1000</f>
        <v>4.22275</v>
      </c>
      <c r="F2572" s="6" t="n">
        <f aca="false">(Sens!E2555+Sens!F2555)/2*rent_mw/1000</f>
        <v>5.80517</v>
      </c>
      <c r="G2572" s="6" t="n">
        <f aca="false">(Sens!F2555+Sens!G2555)/2*rent_mw/1000</f>
        <v>6.72084</v>
      </c>
      <c r="H2572" s="6" t="n">
        <f aca="false">(Sens!G2555+Sens!H2555)/2*rent_mw/1000</f>
        <v>6.72084</v>
      </c>
      <c r="I2572" s="6" t="n">
        <f aca="false">(Sens!H2555+Sens!I2555)/2*rent_mw/1000</f>
        <v>6.72084</v>
      </c>
      <c r="J2572" s="6" t="n">
        <f aca="false">(Sens!I2555+Sens!J2555)/2*rent_mw/1000</f>
        <v>6.72084</v>
      </c>
      <c r="K2572" s="6" t="n">
        <f aca="false">(Sens!J2555+Sens!K2555)/2*rent_mw/1000</f>
        <v>6.72084</v>
      </c>
    </row>
    <row r="2573" customFormat="false" ht="17.15" hidden="false" customHeight="false" outlineLevel="0" collapsed="false">
      <c r="A2573" s="0" t="s">
        <v>826</v>
      </c>
      <c r="B2573" s="0" t="s">
        <v>98</v>
      </c>
      <c r="D2573" s="6" t="n">
        <f aca="false">(Sens!C2557+Sens!D2557)/2*(1-self_build)*fac_rent/1000</f>
        <v>0.682593900504861</v>
      </c>
      <c r="E2573" s="6" t="n">
        <f aca="false">(Sens!D2557+Sens!E2557)/2*(1-self_build)*fac_rent/1000</f>
        <v>1.55964769126983</v>
      </c>
      <c r="F2573" s="6" t="n">
        <f aca="false">(Sens!E2557+Sens!F2557)/2*(1-self_build)*fac_rent/1000</f>
        <v>3.06421164219659</v>
      </c>
      <c r="G2573" s="6" t="n">
        <f aca="false">(Sens!F2557+Sens!G2557)/2*(1-self_build)*fac_rent/1000</f>
        <v>4.9883327277825</v>
      </c>
      <c r="H2573" s="6" t="n">
        <f aca="false">(Sens!G2557+Sens!H2557)/2*(1-self_build)*fac_rent/1000</f>
        <v>6.99420633866143</v>
      </c>
      <c r="I2573" s="6" t="n">
        <f aca="false">(Sens!H2557+Sens!I2557)/2*(1-self_build)*fac_rent/1000</f>
        <v>8.70875363508791</v>
      </c>
      <c r="J2573" s="6" t="n">
        <f aca="false">(Sens!I2557+Sens!J2557)/2*(1-self_build)*fac_rent/1000</f>
        <v>9.84064830260951</v>
      </c>
      <c r="K2573" s="6" t="n">
        <f aca="false">(Sens!J2557+Sens!K2557)/2*(1-self_build)*fac_rent/1000</f>
        <v>10.3898903412262</v>
      </c>
      <c r="L2573" s="11" t="s">
        <v>827</v>
      </c>
    </row>
    <row r="2574" customFormat="false" ht="17.15" hidden="false" customHeight="false" outlineLevel="0" collapsed="false">
      <c r="A2574" s="1" t="s">
        <v>828</v>
      </c>
      <c r="B2574" s="0" t="s">
        <v>129</v>
      </c>
      <c r="D2574" s="7" t="n">
        <f aca="false">(Sens!C2556+Sens!D2556)/(Sens!C2557+Sens!D2557)</f>
        <v>0.75</v>
      </c>
      <c r="E2574" s="7" t="n">
        <f aca="false">(Sens!D2556+Sens!E2556)/(Sens!D2557+Sens!E2557)</f>
        <v>0.75</v>
      </c>
      <c r="F2574" s="7" t="n">
        <f aca="false">(Sens!E2556+Sens!F2556)/(Sens!E2557+Sens!F2557)</f>
        <v>0.75</v>
      </c>
      <c r="G2574" s="7" t="n">
        <f aca="false">(Sens!F2556+Sens!G2556)/(Sens!F2557+Sens!G2557)</f>
        <v>0.75</v>
      </c>
      <c r="H2574" s="7" t="n">
        <f aca="false">(Sens!G2556+Sens!H2556)/(Sens!G2557+Sens!H2557)</f>
        <v>0.75</v>
      </c>
      <c r="I2574" s="7" t="n">
        <f aca="false">(Sens!H2556+Sens!I2556)/(Sens!H2557+Sens!I2557)</f>
        <v>0.75</v>
      </c>
      <c r="J2574" s="7" t="n">
        <f aca="false">(Sens!I2556+Sens!J2556)/(Sens!I2557+Sens!J2557)</f>
        <v>0.75</v>
      </c>
      <c r="K2574" s="7" t="n">
        <f aca="false">(Sens!J2556+Sens!K2556)/(Sens!J2557+Sens!K2557)</f>
        <v>0.75</v>
      </c>
    </row>
    <row r="2575" customFormat="false" ht="17.15" hidden="false" customHeight="false" outlineLevel="0" collapsed="false">
      <c r="A2575" s="0" t="s">
        <v>829</v>
      </c>
      <c r="B2575" s="0" t="s">
        <v>98</v>
      </c>
      <c r="D2575" s="6" t="n">
        <f aca="false">Sens!D2569-Sens!D2574*(Sens!D2571+Sens!D2573)-Sens!D2572</f>
        <v>8.35701406163072</v>
      </c>
      <c r="E2575" s="6" t="n">
        <f aca="false">Sens!E2569-Sens!E2574*(Sens!E2571+Sens!E2573)-Sens!E2572</f>
        <v>18.7103224860238</v>
      </c>
      <c r="F2575" s="6" t="n">
        <f aca="false">Sens!F2569-Sens!F2574*(Sens!F2571+Sens!F2573)-Sens!F2572</f>
        <v>39.4594407491938</v>
      </c>
      <c r="G2575" s="6" t="n">
        <f aca="false">Sens!G2569-Sens!G2574*(Sens!G2571+Sens!G2573)-Sens!G2572</f>
        <v>66.5527545578061</v>
      </c>
      <c r="H2575" s="6" t="n">
        <f aca="false">Sens!H2569-Sens!H2574*(Sens!H2571+Sens!H2573)-Sens!H2572</f>
        <v>95.219644983859</v>
      </c>
      <c r="I2575" s="6" t="n">
        <f aca="false">Sens!I2569-Sens!I2574*(Sens!I2571+Sens!I2573)-Sens!I2572</f>
        <v>120.722591017788</v>
      </c>
      <c r="J2575" s="6" t="n">
        <f aca="false">Sens!J2569-Sens!J2574*(Sens!J2571+Sens!J2573)-Sens!J2572</f>
        <v>138.636930519248</v>
      </c>
      <c r="K2575" s="6" t="n">
        <f aca="false">Sens!K2569-Sens!K2574*(Sens!K2571+Sens!K2573)-Sens!K2572</f>
        <v>150.134837618398</v>
      </c>
    </row>
    <row r="2576" customFormat="false" ht="17.15" hidden="false" customHeight="false" outlineLevel="0" collapsed="false">
      <c r="A2576" s="1" t="s">
        <v>830</v>
      </c>
      <c r="B2576" s="0" t="s">
        <v>98</v>
      </c>
      <c r="D2576" s="6" t="n">
        <f aca="false">(1-Sens!D2574)*(Sens!D2571+Sens!D2573)</f>
        <v>0.711405126870345</v>
      </c>
      <c r="E2576" s="6" t="n">
        <f aca="false">(1-Sens!E2574)*(Sens!E2571+Sens!E2573)</f>
        <v>1.62547799337236</v>
      </c>
      <c r="F2576" s="6" t="n">
        <f aca="false">(1-Sens!F2574)*(Sens!F2571+Sens!F2573)</f>
        <v>3.26646527525489</v>
      </c>
      <c r="G2576" s="6" t="n">
        <f aca="false">(1-Sens!G2574)*(Sens!G2571+Sens!G2573)</f>
        <v>5.39231558708256</v>
      </c>
      <c r="H2576" s="6" t="n">
        <f aca="false">(1-Sens!H2574)*(Sens!H2571+Sens!H2573)</f>
        <v>7.63171525100499</v>
      </c>
      <c r="I2576" s="6" t="n">
        <f aca="false">(1-Sens!I2574)*(Sens!I2571+Sens!I2573)</f>
        <v>9.57167641589886</v>
      </c>
      <c r="J2576" s="6" t="n">
        <f aca="false">(1-Sens!J2574)*(Sens!J2571+Sens!J2573)</f>
        <v>10.8789297355073</v>
      </c>
      <c r="K2576" s="6" t="n">
        <f aca="false">(1-Sens!K2574)*(Sens!K2571+Sens!K2573)</f>
        <v>11.5804747183366</v>
      </c>
    </row>
    <row r="2577" customFormat="false" ht="17.15" hidden="false" customHeight="false" outlineLevel="0" collapsed="false">
      <c r="A2577" s="1" t="s">
        <v>831</v>
      </c>
      <c r="B2577" s="0" t="s">
        <v>350</v>
      </c>
      <c r="C2577" s="8" t="n">
        <f aca="false">cxit_open</f>
        <v>27.5918995</v>
      </c>
      <c r="D2577" s="8" t="n">
        <f aca="false">cxit_open</f>
        <v>27.5918995</v>
      </c>
      <c r="E2577" s="8" t="n">
        <f aca="false">cxit_open</f>
        <v>27.5918995</v>
      </c>
      <c r="F2577" s="8" t="n">
        <f aca="false">(a_g3_27*tk_cxit_gb300+(1-a_g3_27)*tk_cxit_vr200)</f>
        <v>33.8419624</v>
      </c>
      <c r="G2577" s="8" t="n">
        <f aca="false">(a_g3_28*tk_cxit_gb300+(1-a_g3_28)*tk_cxit_vr200)</f>
        <v>35.9816136</v>
      </c>
      <c r="H2577" s="8" t="n">
        <f aca="false">(a_g3_29*tk_cxit_gb300+(1-a_g3_29)*tk_cxit_vr200)</f>
        <v>37.0514392</v>
      </c>
      <c r="I2577" s="8" t="n">
        <f aca="false">(a_g3_29*tk_cxit_gb300+(1-a_g3_29)*tk_cxit_vr200)</f>
        <v>37.0514392</v>
      </c>
      <c r="J2577" s="8" t="n">
        <f aca="false">(a_g3_29*tk_cxit_gb300+(1-a_g3_29)*tk_cxit_vr200)</f>
        <v>37.0514392</v>
      </c>
      <c r="K2577" s="8" t="n">
        <f aca="false">(a_g3_29*tk_cxit_gb300+(1-a_g3_29)*tk_cxit_vr200)</f>
        <v>37.0514392</v>
      </c>
      <c r="L2577" s="11" t="s">
        <v>832</v>
      </c>
    </row>
    <row r="2578" customFormat="false" ht="17.15" hidden="false" customHeight="false" outlineLevel="0" collapsed="false">
      <c r="A2578" s="0" t="s">
        <v>833</v>
      </c>
      <c r="B2578" s="0" t="s">
        <v>392</v>
      </c>
      <c r="F2578" s="29" t="n">
        <f aca="false">Sens!C2559*IF(Sens!F2552-Sens!C2552=life_it,1,0)+Sens!D2559*IF(Sens!F2552-Sens!D2552=life_it,1,0)+Sens!E2559*IF(Sens!F2552-Sens!E2552=life_it,1,0)</f>
        <v>0</v>
      </c>
      <c r="G2578" s="29" t="n">
        <f aca="false">Sens!C2559*IF(Sens!G2552-Sens!C2552=life_it,1,0)+Sens!D2559*IF(Sens!G2552-Sens!D2552=life_it,1,0)+Sens!E2559*IF(Sens!G2552-Sens!E2552=life_it,1,0)+Sens!F2559*IF(Sens!G2552-Sens!F2552=life_it,1,0)</f>
        <v>0</v>
      </c>
      <c r="H2578" s="29" t="n">
        <f aca="false">Sens!C2559*IF(Sens!H2552-Sens!C2552=life_it,1,0)+Sens!D2559*IF(Sens!H2552-Sens!D2552=life_it,1,0)+Sens!E2559*IF(Sens!H2552-Sens!E2552=life_it,1,0)+Sens!F2559*IF(Sens!H2552-Sens!F2552=life_it,1,0)+Sens!G2559*IF(Sens!H2552-Sens!G2552=life_it,1,0)</f>
        <v>0</v>
      </c>
      <c r="I2578" s="29" t="n">
        <f aca="false">Sens!C2559*IF(Sens!I2552-Sens!C2552=life_it,1,0)+Sens!D2559*IF(Sens!I2552-Sens!D2552=life_it,1,0)+Sens!E2559*IF(Sens!I2552-Sens!E2552=life_it,1,0)+Sens!F2559*IF(Sens!I2552-Sens!F2552=life_it,1,0)+Sens!G2559*IF(Sens!I2552-Sens!G2552=life_it,1,0)+Sens!H2559*IF(Sens!I2552-Sens!H2552=life_it,1,0)</f>
        <v>653.333333333333</v>
      </c>
      <c r="J2578" s="29" t="n">
        <f aca="false">Sens!C2559*IF(Sens!J2552-Sens!C2552=life_it,1,0)+Sens!D2559*IF(Sens!J2552-Sens!D2552=life_it,1,0)+Sens!E2559*IF(Sens!J2552-Sens!E2552=life_it,1,0)+Sens!F2559*IF(Sens!J2552-Sens!F2552=life_it,1,0)+Sens!G2559*IF(Sens!J2552-Sens!G2552=life_it,1,0)+Sens!H2559*IF(Sens!J2552-Sens!H2552=life_it,1,0)+Sens!I2559*IF(Sens!J2552-Sens!I2552=life_it,1,0)</f>
        <v>986.666666666667</v>
      </c>
      <c r="K2578" s="29" t="n">
        <f aca="false">Sens!C2559*IF(Sens!K2552-Sens!C2552=life_it,1,0)+Sens!D2559*IF(Sens!K2552-Sens!D2552=life_it,1,0)+Sens!E2559*IF(Sens!K2552-Sens!E2552=life_it,1,0)+Sens!F2559*IF(Sens!K2552-Sens!F2552=life_it,1,0)+Sens!G2559*IF(Sens!K2552-Sens!G2552=life_it,1,0)+Sens!H2559*IF(Sens!K2552-Sens!H2552=life_it,1,0)+Sens!I2559*IF(Sens!K2552-Sens!I2552=life_it,1,0)+Sens!J2559*IF(Sens!K2552-Sens!J2552=life_it,1,0)</f>
        <v>1960</v>
      </c>
      <c r="L2578" s="1" t="s">
        <v>834</v>
      </c>
    </row>
    <row r="2579" customFormat="false" ht="17.15" hidden="false" customHeight="false" outlineLevel="0" collapsed="false">
      <c r="A2579" s="0" t="s">
        <v>835</v>
      </c>
      <c r="B2579" s="0" t="s">
        <v>98</v>
      </c>
      <c r="C2579" s="6" t="n">
        <f aca="false">Sens!C2559*Sens!C2577/1000</f>
        <v>18.0267076733333</v>
      </c>
      <c r="D2579" s="6" t="n">
        <f aca="false">Sens!D2559*Sens!D2577/1000</f>
        <v>27.2240075066667</v>
      </c>
      <c r="E2579" s="6" t="n">
        <f aca="false">Sens!E2559*Sens!E2577/1000</f>
        <v>54.08012302</v>
      </c>
      <c r="F2579" s="6" t="n">
        <f aca="false">(Sens!F2559+Sens!F2578)*Sens!F2577/1000</f>
        <v>104.738617497173</v>
      </c>
      <c r="G2579" s="6" t="n">
        <f aca="false">(Sens!G2559+Sens!G2578)*Sens!G2577/1000</f>
        <v>121.24364518656</v>
      </c>
      <c r="H2579" s="6" t="n">
        <f aca="false">(Sens!H2559+Sens!H2578)*Sens!H2577/1000</f>
        <v>124.84852952832</v>
      </c>
      <c r="I2579" s="6" t="n">
        <f aca="false">(Sens!I2559+Sens!I2578)*Sens!I2577/1000</f>
        <v>112.790311547396</v>
      </c>
      <c r="J2579" s="6" t="n">
        <f aca="false">(Sens!J2559+Sens!J2578)*Sens!J2577/1000</f>
        <v>88.8756330224724</v>
      </c>
      <c r="K2579" s="6" t="n">
        <f aca="false">(Sens!K2559+Sens!K2578)*Sens!K2577/1000</f>
        <v>88.6738755855489</v>
      </c>
    </row>
    <row r="2580" customFormat="false" ht="17.15" hidden="false" customHeight="false" outlineLevel="0" collapsed="false">
      <c r="A2580" s="0" t="s">
        <v>836</v>
      </c>
      <c r="B2580" s="0" t="s">
        <v>98</v>
      </c>
      <c r="C2580" s="6" t="n">
        <f aca="false">Sens!C2559*self_build*tk_cxfac/1000</f>
        <v>4.96664</v>
      </c>
      <c r="D2580" s="6" t="n">
        <f aca="false">Sens!D2559*self_build*tk_cxfac/1000</f>
        <v>7.50064</v>
      </c>
      <c r="E2580" s="6" t="n">
        <f aca="false">Sens!E2559*self_build*tk_cxfac/1000</f>
        <v>14.89992</v>
      </c>
      <c r="F2580" s="6" t="n">
        <f aca="false">Sens!F2559*self_build*tk_cxfac/1000</f>
        <v>23.5276832</v>
      </c>
      <c r="G2580" s="6" t="n">
        <f aca="false">Sens!G2559*self_build*tk_cxfac/1000</f>
        <v>25.6156992</v>
      </c>
      <c r="H2580" s="6" t="n">
        <f aca="false">Sens!H2559*self_build*tk_cxfac/1000</f>
        <v>25.6156992</v>
      </c>
      <c r="I2580" s="6" t="n">
        <f aca="false">Sens!I2559*self_build*tk_cxfac/1000</f>
        <v>18.175023776</v>
      </c>
      <c r="J2580" s="6" t="n">
        <f aca="false">Sens!J2559*self_build*tk_cxfac/1000</f>
        <v>10.734348352</v>
      </c>
      <c r="K2580" s="6" t="n">
        <f aca="false">Sens!K2559*self_build*tk_cxfac/1000</f>
        <v>3.29367292800002</v>
      </c>
    </row>
    <row r="2581" customFormat="false" ht="17.15" hidden="false" customHeight="false" outlineLevel="0" collapsed="false">
      <c r="A2581" s="0" t="s">
        <v>837</v>
      </c>
      <c r="B2581" s="0" t="s">
        <v>98</v>
      </c>
      <c r="F2581" s="6" t="n">
        <f aca="false">MAX(0,capex_floor27-Sens!F2579-Sens!F2580-Sens!F2674)</f>
        <v>40.3543520732642</v>
      </c>
      <c r="L2581" s="1" t="s">
        <v>838</v>
      </c>
    </row>
    <row r="2582" customFormat="false" ht="17.15" hidden="false" customHeight="false" outlineLevel="0" collapsed="false">
      <c r="A2582" s="0" t="s">
        <v>839</v>
      </c>
      <c r="B2582" s="0" t="s">
        <v>98</v>
      </c>
      <c r="C2582" s="6" t="n">
        <f aca="false">Sens!C2579</f>
        <v>18.0267076733333</v>
      </c>
      <c r="D2582" s="6" t="n">
        <f aca="false">Sens!D2579</f>
        <v>27.2240075066667</v>
      </c>
      <c r="E2582" s="6" t="n">
        <f aca="false">Sens!E2579</f>
        <v>54.08012302</v>
      </c>
      <c r="F2582" s="6" t="n">
        <f aca="false">Sens!F2579+Sens!F2581</f>
        <v>145.092969570438</v>
      </c>
      <c r="G2582" s="6" t="n">
        <f aca="false">Sens!G2579</f>
        <v>121.24364518656</v>
      </c>
      <c r="H2582" s="6" t="n">
        <f aca="false">Sens!H2579</f>
        <v>124.84852952832</v>
      </c>
      <c r="I2582" s="6" t="n">
        <f aca="false">Sens!I2579</f>
        <v>112.790311547396</v>
      </c>
      <c r="J2582" s="6" t="n">
        <f aca="false">Sens!J2579</f>
        <v>88.8756330224724</v>
      </c>
      <c r="K2582" s="6" t="n">
        <f aca="false">Sens!K2579</f>
        <v>88.6738755855489</v>
      </c>
    </row>
    <row r="2583" customFormat="false" ht="17.15" hidden="false" customHeight="false" outlineLevel="0" collapsed="false">
      <c r="A2583" s="0" t="s">
        <v>840</v>
      </c>
      <c r="B2583" s="0" t="s">
        <v>98</v>
      </c>
      <c r="C2583" s="6" t="n">
        <f aca="false">Sens!C2582+Sens!C2580</f>
        <v>22.9933476733333</v>
      </c>
      <c r="D2583" s="6" t="n">
        <f aca="false">Sens!D2582+Sens!D2580</f>
        <v>34.7246475066667</v>
      </c>
      <c r="E2583" s="6" t="n">
        <f aca="false">Sens!E2582+Sens!E2580</f>
        <v>68.98004302</v>
      </c>
      <c r="F2583" s="6" t="n">
        <f aca="false">Sens!F2582+Sens!F2580</f>
        <v>168.620652770438</v>
      </c>
      <c r="G2583" s="6" t="n">
        <f aca="false">Sens!G2582+Sens!G2580</f>
        <v>146.85934438656</v>
      </c>
      <c r="H2583" s="6" t="n">
        <f aca="false">Sens!H2582+Sens!H2580</f>
        <v>150.46422872832</v>
      </c>
      <c r="I2583" s="6" t="n">
        <f aca="false">Sens!I2582+Sens!I2580</f>
        <v>130.965335323396</v>
      </c>
      <c r="J2583" s="6" t="n">
        <f aca="false">Sens!J2582+Sens!J2580</f>
        <v>99.6099813744724</v>
      </c>
      <c r="K2583" s="6" t="n">
        <f aca="false">Sens!K2582+Sens!K2580</f>
        <v>91.9675485135489</v>
      </c>
      <c r="L2583" s="11" t="s">
        <v>841</v>
      </c>
    </row>
    <row r="2584" customFormat="false" ht="17.15" hidden="false" customHeight="false" outlineLevel="0" collapsed="false">
      <c r="A2584" s="0" t="s">
        <v>842</v>
      </c>
      <c r="B2584" s="0" t="s">
        <v>98</v>
      </c>
      <c r="E2584" s="6" t="n">
        <f aca="false">(Sens!C2582*IF(2&lt;life_it,1,IF(2=life_it,0.5,0))+Sens!D2582*IF(1&lt;life_it,1,IF(1=life_it,0.5,0))+Sens!E2582*0.5)/life_it</f>
        <v>12.0484627816667</v>
      </c>
      <c r="F2584" s="6" t="n">
        <f aca="false">(Sens!C2582*IF(3&lt;life_it,1,IF(3=life_it,0.5,0))+Sens!D2582*IF(2&lt;life_it,1,IF(2=life_it,0.5,0))+Sens!E2582*IF(1&lt;life_it,1,IF(1=life_it,0.5,0))+Sens!F2582*0.5)/life_it</f>
        <v>28.6462204975365</v>
      </c>
      <c r="G2584" s="6" t="n">
        <f aca="false">(Sens!C2582*IF(4&lt;life_it,1,IF(4=life_it,0.5,0))+Sens!D2582*IF(3&lt;life_it,1,IF(3=life_it,0.5,0))+Sens!E2582*IF(2&lt;life_it,1,IF(2=life_it,0.5,0))+Sens!F2582*IF(1&lt;life_it,1,IF(1=life_it,0.5,0))+Sens!G2582*0.5)/life_it</f>
        <v>50.8409383939529</v>
      </c>
      <c r="H2584" s="6" t="n">
        <f aca="false">(Sens!C2582*IF(5&lt;life_it,1,IF(5=life_it,0.5,0))+Sens!D2582*IF(4&lt;life_it,1,IF(4=life_it,0.5,0))+Sens!E2582*IF(3&lt;life_it,1,IF(3=life_it,0.5,0))+Sens!F2582*IF(2&lt;life_it,1,IF(2=life_it,0.5,0))+Sens!G2582*IF(1&lt;life_it,1,IF(1=life_it,0.5,0))+Sens!H2582*0.5)/life_it</f>
        <v>71.3486196201929</v>
      </c>
      <c r="I2584" s="6" t="n">
        <f aca="false">(Sens!C2582*IF(6&lt;life_it,1,IF(6=life_it,0.5,0))+Sens!D2582*IF(5&lt;life_it,1,IF(5=life_it,0.5,0))+Sens!E2582*IF(4&lt;life_it,1,IF(4=life_it,0.5,0))+Sens!F2582*IF(3&lt;life_it,1,IF(3=life_it,0.5,0))+Sens!G2582*IF(2&lt;life_it,1,IF(2=life_it,0.5,0))+Sens!H2582*IF(1&lt;life_it,1,IF(1=life_it,0.5,0))+Sens!I2582*0.5)/life_it</f>
        <v>89.6496307370582</v>
      </c>
      <c r="J2584" s="6" t="n">
        <f aca="false">(Sens!C2582*IF(7&lt;life_it,1,IF(7=life_it,0.5,0))+Sens!D2582*IF(6&lt;life_it,1,IF(6=life_it,0.5,0))+Sens!E2582*IF(5&lt;life_it,1,IF(5=life_it,0.5,0))+Sens!F2582*IF(4&lt;life_it,1,IF(4=life_it,0.5,0))+Sens!G2582*IF(3&lt;life_it,1,IF(3=life_it,0.5,0))+Sens!H2582*IF(2&lt;life_it,1,IF(2=life_it,0.5,0))+Sens!I2582*IF(1&lt;life_it,1,IF(1=life_it,0.5,0))+Sens!J2582*0.5)/life_it</f>
        <v>102.684233186214</v>
      </c>
      <c r="K2584" s="6" t="n">
        <f aca="false">(Sens!C2582*IF(8&lt;life_it,1,IF(8=life_it,0.5,0))+Sens!D2582*IF(7&lt;life_it,1,IF(7=life_it,0.5,0))+Sens!E2582*IF(6&lt;life_it,1,IF(6=life_it,0.5,0))+Sens!F2582*IF(5&lt;life_it,1,IF(5=life_it,0.5,0))+Sens!G2582*IF(4&lt;life_it,1,IF(4=life_it,0.5,0))+Sens!H2582*IF(3&lt;life_it,1,IF(3=life_it,0.5,0))+Sens!I2582*IF(2&lt;life_it,1,IF(2=life_it,0.5,0))+Sens!J2582*IF(1&lt;life_it,1,IF(1=life_it,0.5,0))+Sens!K2582*0.5)/life_it</f>
        <v>110.70468135966</v>
      </c>
    </row>
    <row r="2585" customFormat="false" ht="17.15" hidden="false" customHeight="false" outlineLevel="0" collapsed="false">
      <c r="A2585" s="0" t="s">
        <v>843</v>
      </c>
      <c r="B2585" s="0" t="s">
        <v>98</v>
      </c>
      <c r="E2585" s="6" t="n">
        <f aca="false">(Sens!C2580*IF(2&lt;life_fac,1,IF(2=life_fac,0.5,0))+Sens!D2580*IF(1&lt;life_fac,1,IF(1=life_fac,0.5,0))+Sens!E2580*0.5)/life_fac</f>
        <v>0.995862</v>
      </c>
      <c r="F2585" s="6" t="n">
        <f aca="false">(Sens!C2580*IF(3&lt;life_fac,1,IF(3=life_fac,0.5,0))+Sens!D2580*IF(2&lt;life_fac,1,IF(2=life_fac,0.5,0))+Sens!E2580*IF(1&lt;life_fac,1,IF(1=life_fac,0.5,0))+Sens!F2580*0.5)/life_fac</f>
        <v>1.95655208</v>
      </c>
      <c r="G2585" s="6" t="n">
        <f aca="false">(Sens!C2580*IF(4&lt;life_fac,1,IF(4=life_fac,0.5,0))+Sens!D2580*IF(3&lt;life_fac,1,IF(3=life_fac,0.5,0))+Sens!E2580*IF(2&lt;life_fac,1,IF(2=life_fac,0.5,0))+Sens!F2580*IF(1&lt;life_fac,1,IF(1=life_fac,0.5,0))+Sens!G2580*0.5)/life_fac</f>
        <v>3.18513664</v>
      </c>
      <c r="H2585" s="6" t="n">
        <f aca="false">(Sens!C2580*IF(5&lt;life_fac,1,IF(5=life_fac,0.5,0))+Sens!D2580*IF(4&lt;life_fac,1,IF(4=life_fac,0.5,0))+Sens!E2580*IF(3&lt;life_fac,1,IF(3=life_fac,0.5,0))+Sens!F2580*IF(2&lt;life_fac,1,IF(2=life_fac,0.5,0))+Sens!G2580*IF(1&lt;life_fac,1,IF(1=life_fac,0.5,0))+Sens!H2580*0.5)/life_fac</f>
        <v>4.4659216</v>
      </c>
      <c r="I2585" s="6" t="n">
        <f aca="false">(Sens!C2580*IF(6&lt;life_fac,1,IF(6=life_fac,0.5,0))+Sens!D2580*IF(5&lt;life_fac,1,IF(5=life_fac,0.5,0))+Sens!E2580*IF(4&lt;life_fac,1,IF(4=life_fac,0.5,0))+Sens!F2580*IF(3&lt;life_fac,1,IF(3=life_fac,0.5,0))+Sens!G2580*IF(2&lt;life_fac,1,IF(2=life_fac,0.5,0))+Sens!H2580*IF(1&lt;life_fac,1,IF(1=life_fac,0.5,0))+Sens!I2580*0.5)/life_fac</f>
        <v>5.5606896744</v>
      </c>
      <c r="J2585" s="6" t="n">
        <f aca="false">(Sens!C2580*IF(7&lt;life_fac,1,IF(7=life_fac,0.5,0))+Sens!D2580*IF(6&lt;life_fac,1,IF(6=life_fac,0.5,0))+Sens!E2580*IF(5&lt;life_fac,1,IF(5=life_fac,0.5,0))+Sens!F2580*IF(4&lt;life_fac,1,IF(4=life_fac,0.5,0))+Sens!G2580*IF(3&lt;life_fac,1,IF(3=life_fac,0.5,0))+Sens!H2580*IF(2&lt;life_fac,1,IF(2=life_fac,0.5,0))+Sens!I2580*IF(1&lt;life_fac,1,IF(1=life_fac,0.5,0))+Sens!J2580*0.5)/life_fac</f>
        <v>6.2834239776</v>
      </c>
      <c r="K2585" s="6" t="n">
        <f aca="false">(Sens!C2580*IF(8&lt;life_fac,1,IF(8=life_fac,0.5,0))+Sens!D2580*IF(7&lt;life_fac,1,IF(7=life_fac,0.5,0))+Sens!E2580*IF(6&lt;life_fac,1,IF(6=life_fac,0.5,0))+Sens!F2580*IF(5&lt;life_fac,1,IF(5=life_fac,0.5,0))+Sens!G2580*IF(4&lt;life_fac,1,IF(4=life_fac,0.5,0))+Sens!H2580*IF(3&lt;life_fac,1,IF(3=life_fac,0.5,0))+Sens!I2580*IF(2&lt;life_fac,1,IF(2=life_fac,0.5,0))+Sens!J2580*IF(1&lt;life_fac,1,IF(1=life_fac,0.5,0))+Sens!K2580*0.5)/life_fac</f>
        <v>6.6341245096</v>
      </c>
    </row>
    <row r="2586" customFormat="false" ht="17.15" hidden="false" customHeight="false" outlineLevel="0" collapsed="false">
      <c r="A2586" s="0" t="s">
        <v>844</v>
      </c>
      <c r="B2586" s="0" t="s">
        <v>98</v>
      </c>
      <c r="E2586" s="6" t="n">
        <f aca="false">Sens!E2584+Sens!E2585</f>
        <v>13.0443247816667</v>
      </c>
      <c r="F2586" s="6" t="n">
        <f aca="false">Sens!F2584+Sens!F2585</f>
        <v>30.6027725775365</v>
      </c>
      <c r="G2586" s="6" t="n">
        <f aca="false">Sens!G2584+Sens!G2585</f>
        <v>54.0260750339529</v>
      </c>
      <c r="H2586" s="6" t="n">
        <f aca="false">Sens!H2584+Sens!H2585</f>
        <v>75.8145412201929</v>
      </c>
      <c r="I2586" s="6" t="n">
        <f aca="false">Sens!I2584+Sens!I2585</f>
        <v>95.2103204114581</v>
      </c>
      <c r="J2586" s="6" t="n">
        <f aca="false">Sens!J2584+Sens!J2585</f>
        <v>108.967657163814</v>
      </c>
      <c r="K2586" s="6" t="n">
        <f aca="false">Sens!K2584+Sens!K2585</f>
        <v>117.33880586926</v>
      </c>
    </row>
    <row r="2587" customFormat="false" ht="17.15" hidden="false" customHeight="false" outlineLevel="0" collapsed="false">
      <c r="A2587" s="0" t="s">
        <v>845</v>
      </c>
      <c r="B2587" s="0" t="s">
        <v>98</v>
      </c>
      <c r="E2587" s="6" t="n">
        <f aca="false">Sens!E2575-Sens!E2574*Sens!E2586</f>
        <v>8.92707889977379</v>
      </c>
      <c r="F2587" s="6" t="n">
        <f aca="false">Sens!F2575-Sens!F2574*Sens!F2586</f>
        <v>16.5073613160415</v>
      </c>
      <c r="G2587" s="6" t="n">
        <f aca="false">Sens!G2575-Sens!G2574*Sens!G2586</f>
        <v>26.0331982823414</v>
      </c>
      <c r="H2587" s="6" t="n">
        <f aca="false">Sens!H2575-Sens!H2574*Sens!H2586</f>
        <v>38.3587390687143</v>
      </c>
      <c r="I2587" s="6" t="n">
        <f aca="false">Sens!I2575-Sens!I2574*Sens!I2586</f>
        <v>49.3148507091946</v>
      </c>
      <c r="J2587" s="6" t="n">
        <f aca="false">Sens!J2575-Sens!J2574*Sens!J2586</f>
        <v>56.9111876463874</v>
      </c>
      <c r="K2587" s="6" t="n">
        <f aca="false">Sens!K2575-Sens!K2574*Sens!K2586</f>
        <v>62.1307332164528</v>
      </c>
    </row>
    <row r="2588" customFormat="false" ht="17.15" hidden="false" customHeight="false" outlineLevel="0" collapsed="false">
      <c r="A2588" s="3" t="s">
        <v>1300</v>
      </c>
    </row>
    <row r="2589" customFormat="false" ht="15" hidden="false" customHeight="false" outlineLevel="0" collapsed="false">
      <c r="A2589" s="4" t="s">
        <v>43</v>
      </c>
      <c r="B2589" s="4" t="s">
        <v>65</v>
      </c>
      <c r="C2589" s="20" t="s">
        <v>788</v>
      </c>
      <c r="D2589" s="20" t="s">
        <v>789</v>
      </c>
      <c r="E2589" s="20" t="s">
        <v>790</v>
      </c>
      <c r="F2589" s="20" t="s">
        <v>791</v>
      </c>
      <c r="G2589" s="20" t="s">
        <v>792</v>
      </c>
      <c r="H2589" s="20" t="s">
        <v>793</v>
      </c>
      <c r="I2589" s="20" t="s">
        <v>794</v>
      </c>
      <c r="J2589" s="20" t="s">
        <v>795</v>
      </c>
      <c r="K2589" s="20" t="s">
        <v>796</v>
      </c>
      <c r="L2589" s="4" t="s">
        <v>47</v>
      </c>
    </row>
    <row r="2590" customFormat="false" ht="17.15" hidden="false" customHeight="false" outlineLevel="0" collapsed="false">
      <c r="A2590" s="0" t="s">
        <v>864</v>
      </c>
      <c r="B2590" s="0" t="s">
        <v>98</v>
      </c>
      <c r="D2590" s="6" t="n">
        <f aca="false">Sens!D2569</f>
        <v>12.9359794422418</v>
      </c>
      <c r="E2590" s="6" t="n">
        <f aca="false">Sens!E2569</f>
        <v>27.8095064661409</v>
      </c>
      <c r="F2590" s="6" t="n">
        <f aca="false">Sens!F2569</f>
        <v>55.0640065749585</v>
      </c>
      <c r="G2590" s="6" t="n">
        <f aca="false">Sens!G2569</f>
        <v>89.4505413190538</v>
      </c>
      <c r="H2590" s="6" t="n">
        <f aca="false">Sens!H2569</f>
        <v>124.835630736874</v>
      </c>
      <c r="I2590" s="6" t="n">
        <f aca="false">Sens!I2569</f>
        <v>156.158460265485</v>
      </c>
      <c r="J2590" s="6" t="n">
        <f aca="false">Sens!J2569</f>
        <v>177.99455972577</v>
      </c>
      <c r="K2590" s="6" t="n">
        <f aca="false">Sens!K2569</f>
        <v>191.597101773408</v>
      </c>
    </row>
    <row r="2591" customFormat="false" ht="17.15" hidden="false" customHeight="false" outlineLevel="0" collapsed="false">
      <c r="A2591" s="0" t="s">
        <v>865</v>
      </c>
      <c r="B2591" s="0" t="s">
        <v>98</v>
      </c>
      <c r="D2591" s="6" t="n">
        <f aca="false">Q!L6-Sens!D2590</f>
        <v>59.6740205577583</v>
      </c>
      <c r="E2591" s="6" t="n">
        <f aca="false">Q!M6-Sens!E2590</f>
        <v>74.1284935338591</v>
      </c>
      <c r="F2591" s="6" t="n">
        <f aca="false">Sens!E2591*(1+Sens!F2592)</f>
        <v>90.0799497373663</v>
      </c>
      <c r="G2591" s="6" t="n">
        <f aca="false">Sens!F2591*(1+Sens!G2592)</f>
        <v>107.02842520331</v>
      </c>
      <c r="H2591" s="6" t="n">
        <f aca="false">Sens!G2591*(1+Sens!H2592)</f>
        <v>124.271982585636</v>
      </c>
      <c r="I2591" s="6" t="n">
        <f aca="false">Sens!H2591*(1+Sens!I2592)</f>
        <v>140.933702381855</v>
      </c>
      <c r="J2591" s="6" t="n">
        <f aca="false">Sens!I2591*(1+Sens!J2592)</f>
        <v>156.018867314332</v>
      </c>
      <c r="K2591" s="6" t="n">
        <f aca="false">Sens!J2591*(1+Sens!K2592)</f>
        <v>168.500376699478</v>
      </c>
    </row>
    <row r="2592" customFormat="false" ht="15" hidden="false" customHeight="false" outlineLevel="0" collapsed="false">
      <c r="A2592" s="1" t="s">
        <v>866</v>
      </c>
      <c r="B2592" s="0" t="s">
        <v>129</v>
      </c>
      <c r="E2592" s="7" t="n">
        <f aca="false">Sens!E2591/Sens!D2591-1</f>
        <v>0.242223883039864</v>
      </c>
      <c r="F2592" s="7" t="n">
        <f aca="false">Sens!$E$2592+(glt_azo-Sens!$E$2592)*MIN(1,(Sens!F2552-base_fy)/n_conv)</f>
        <v>0.215186569199887</v>
      </c>
      <c r="G2592" s="7" t="n">
        <f aca="false">Sens!$E$2592+(glt_azo-Sens!$E$2592)*MIN(1,(Sens!G2552-base_fy)/n_conv)</f>
        <v>0.18814925535991</v>
      </c>
      <c r="H2592" s="7" t="n">
        <f aca="false">Sens!$E$2592+(glt_azo-Sens!$E$2592)*MIN(1,(Sens!H2552-base_fy)/n_conv)</f>
        <v>0.161111941519932</v>
      </c>
      <c r="I2592" s="7" t="n">
        <f aca="false">Sens!$E$2592+(glt_azo-Sens!$E$2592)*MIN(1,(Sens!I2552-base_fy)/n_conv)</f>
        <v>0.134074627679955</v>
      </c>
      <c r="J2592" s="7" t="n">
        <f aca="false">Sens!$E$2592+(glt_azo-Sens!$E$2592)*MIN(1,(Sens!J2552-base_fy)/n_conv)</f>
        <v>0.107037313839977</v>
      </c>
      <c r="K2592" s="7" t="n">
        <f aca="false">Sens!$E$2592+(glt_azo-Sens!$E$2592)*MIN(1,(Sens!K2552-base_fy)/n_conv)</f>
        <v>0.08</v>
      </c>
    </row>
    <row r="2593" customFormat="false" ht="15" hidden="false" customHeight="false" outlineLevel="0" collapsed="false">
      <c r="A2593" s="0" t="s">
        <v>867</v>
      </c>
      <c r="B2593" s="0" t="s">
        <v>98</v>
      </c>
      <c r="D2593" s="6" t="n">
        <f aca="false">Sens!D2590+Sens!D2591</f>
        <v>72.61</v>
      </c>
      <c r="E2593" s="6" t="n">
        <f aca="false">Sens!E2590+Sens!E2591</f>
        <v>101.938</v>
      </c>
      <c r="F2593" s="6" t="n">
        <f aca="false">Sens!F2590+Sens!F2591</f>
        <v>145.143956312325</v>
      </c>
      <c r="G2593" s="6" t="n">
        <f aca="false">Sens!G2590+Sens!G2591</f>
        <v>196.478966522364</v>
      </c>
      <c r="H2593" s="6" t="n">
        <f aca="false">Sens!H2590+Sens!H2591</f>
        <v>249.10761332251</v>
      </c>
      <c r="I2593" s="6" t="n">
        <f aca="false">Sens!I2590+Sens!I2591</f>
        <v>297.09216264734</v>
      </c>
      <c r="J2593" s="6" t="n">
        <f aca="false">Sens!J2590+Sens!J2591</f>
        <v>334.013427040101</v>
      </c>
      <c r="K2593" s="6" t="n">
        <f aca="false">Sens!K2590+Sens!K2591</f>
        <v>360.097478472886</v>
      </c>
    </row>
    <row r="2594" customFormat="false" ht="17.15" hidden="false" customHeight="false" outlineLevel="0" collapsed="false">
      <c r="A2594" s="0" t="s">
        <v>868</v>
      </c>
      <c r="B2594" s="1" t="s">
        <v>521</v>
      </c>
      <c r="C2594" s="29" t="n">
        <f aca="false">cop_s24</f>
        <v>1</v>
      </c>
      <c r="D2594" s="29" t="n">
        <f aca="false">cop_s25</f>
        <v>5</v>
      </c>
      <c r="E2594" s="29" t="n">
        <f aca="false">cop_s26</f>
        <v>30</v>
      </c>
      <c r="F2594" s="29" t="n">
        <f aca="false">Sens!E2594+cop_add_B</f>
        <v>50</v>
      </c>
      <c r="G2594" s="29" t="n">
        <f aca="false">Sens!F2594+cop_add_B</f>
        <v>70</v>
      </c>
      <c r="H2594" s="29" t="n">
        <f aca="false">Sens!G2594+cop_add_B</f>
        <v>90</v>
      </c>
      <c r="I2594" s="29" t="n">
        <f aca="false">Sens!H2594+cop_add_B*cop_tail</f>
        <v>100</v>
      </c>
      <c r="J2594" s="29" t="n">
        <f aca="false">Sens!I2594+cop_add_B*cop_tail</f>
        <v>110</v>
      </c>
      <c r="K2594" s="29" t="n">
        <f aca="false">Sens!J2594+cop_add_B*cop_tail</f>
        <v>120</v>
      </c>
      <c r="L2594" s="11" t="s">
        <v>869</v>
      </c>
    </row>
    <row r="2595" customFormat="false" ht="17.15" hidden="false" customHeight="false" outlineLevel="0" collapsed="false">
      <c r="A2595" s="0" t="s">
        <v>870</v>
      </c>
      <c r="B2595" s="0" t="s">
        <v>98</v>
      </c>
      <c r="D2595" s="6" t="n">
        <f aca="false">(Sens!C2594+Sens!D2594)/2*cop_px*12/1000</f>
        <v>0.9</v>
      </c>
      <c r="E2595" s="6" t="n">
        <f aca="false">(Sens!D2594+Sens!E2594)/2*cop_px*12/1000</f>
        <v>5.25</v>
      </c>
      <c r="F2595" s="6" t="n">
        <f aca="false">(Sens!E2594+Sens!F2594)/2*cop_px*12/1000</f>
        <v>12</v>
      </c>
      <c r="G2595" s="6" t="n">
        <f aca="false">(Sens!F2594+Sens!G2594)/2*cop_px*12/1000</f>
        <v>18</v>
      </c>
      <c r="H2595" s="6" t="n">
        <f aca="false">(Sens!G2594+Sens!H2594)/2*cop_px*12/1000</f>
        <v>24</v>
      </c>
      <c r="I2595" s="6" t="n">
        <f aca="false">(Sens!H2594+Sens!I2594)/2*cop_px*12/1000</f>
        <v>28.5</v>
      </c>
      <c r="J2595" s="6" t="n">
        <f aca="false">(Sens!I2594+Sens!J2594)/2*cop_px*12/1000</f>
        <v>31.5</v>
      </c>
      <c r="K2595" s="6" t="n">
        <f aca="false">(Sens!J2594+Sens!K2594)/2*cop_px*12/1000</f>
        <v>34.5</v>
      </c>
      <c r="L2595" s="1" t="s">
        <v>871</v>
      </c>
    </row>
    <row r="2596" customFormat="false" ht="17.15" hidden="false" customHeight="false" outlineLevel="0" collapsed="false">
      <c r="A2596" s="0" t="s">
        <v>872</v>
      </c>
      <c r="B2596" s="0" t="s">
        <v>98</v>
      </c>
      <c r="D2596" s="6" t="n">
        <f aca="false">Q!L7-Sens!D2595</f>
        <v>83.705</v>
      </c>
      <c r="E2596" s="6" t="n">
        <f aca="false">Q!M7-Sens!E2595</f>
        <v>95.049</v>
      </c>
      <c r="F2596" s="6" t="n">
        <f aca="false">Sens!E2596*(1+Sens!F2597)</f>
        <v>106.89238776686</v>
      </c>
      <c r="G2596" s="6" t="n">
        <f aca="false">Sens!F2596*(1+Sens!G2597)</f>
        <v>119.044168448684</v>
      </c>
      <c r="H2596" s="6" t="n">
        <f aca="false">Sens!G2596*(1+Sens!H2597)</f>
        <v>131.277359388781</v>
      </c>
      <c r="I2596" s="6" t="n">
        <f aca="false">Sens!H2596*(1+Sens!I2597)</f>
        <v>143.334028071957</v>
      </c>
      <c r="J2596" s="6" t="n">
        <f aca="false">Sens!I2596*(1+Sens!J2597)</f>
        <v>154.932702785465</v>
      </c>
      <c r="K2596" s="6" t="n">
        <f aca="false">Sens!J2596*(1+Sens!K2597)</f>
        <v>165.777991980448</v>
      </c>
    </row>
    <row r="2597" customFormat="false" ht="15" hidden="false" customHeight="false" outlineLevel="0" collapsed="false">
      <c r="A2597" s="1" t="s">
        <v>866</v>
      </c>
      <c r="B2597" s="0" t="s">
        <v>129</v>
      </c>
      <c r="E2597" s="7" t="n">
        <f aca="false">Sens!E2596/Sens!D2596-1</f>
        <v>0.135523564900544</v>
      </c>
      <c r="F2597" s="7" t="n">
        <f aca="false">Sens!$E$2597+(glt_m365b-Sens!$E$2597)*MIN(1,(Sens!F2552-base_fy)/n_conv)</f>
        <v>0.124602970750453</v>
      </c>
      <c r="G2597" s="7" t="n">
        <f aca="false">Sens!$E$2597+(glt_m365b-Sens!$E$2597)*MIN(1,(Sens!G2552-base_fy)/n_conv)</f>
        <v>0.113682376600363</v>
      </c>
      <c r="H2597" s="7" t="n">
        <f aca="false">Sens!$E$2597+(glt_m365b-Sens!$E$2597)*MIN(1,(Sens!H2552-base_fy)/n_conv)</f>
        <v>0.102761782450272</v>
      </c>
      <c r="I2597" s="7" t="n">
        <f aca="false">Sens!$E$2597+(glt_m365b-Sens!$E$2597)*MIN(1,(Sens!I2552-base_fy)/n_conv)</f>
        <v>0.0918411883001813</v>
      </c>
      <c r="J2597" s="7" t="n">
        <f aca="false">Sens!$E$2597+(glt_m365b-Sens!$E$2597)*MIN(1,(Sens!J2552-base_fy)/n_conv)</f>
        <v>0.0809205941500906</v>
      </c>
      <c r="K2597" s="7" t="n">
        <f aca="false">Sens!$E$2597+(glt_m365b-Sens!$E$2597)*MIN(1,(Sens!K2552-base_fy)/n_conv)</f>
        <v>0.07</v>
      </c>
    </row>
    <row r="2598" customFormat="false" ht="15" hidden="false" customHeight="false" outlineLevel="0" collapsed="false">
      <c r="A2598" s="0" t="s">
        <v>873</v>
      </c>
      <c r="B2598" s="0" t="s">
        <v>98</v>
      </c>
      <c r="D2598" s="6" t="n">
        <f aca="false">Sens!D2596+Sens!D2595</f>
        <v>84.605</v>
      </c>
      <c r="E2598" s="6" t="n">
        <f aca="false">Sens!E2596+Sens!E2595</f>
        <v>100.299</v>
      </c>
      <c r="F2598" s="6" t="n">
        <f aca="false">Sens!F2596+Sens!F2595</f>
        <v>118.89238776686</v>
      </c>
      <c r="G2598" s="6" t="n">
        <f aca="false">Sens!G2596+Sens!G2595</f>
        <v>137.044168448684</v>
      </c>
      <c r="H2598" s="6" t="n">
        <f aca="false">Sens!H2596+Sens!H2595</f>
        <v>155.277359388781</v>
      </c>
      <c r="I2598" s="6" t="n">
        <f aca="false">Sens!I2596+Sens!I2595</f>
        <v>171.834028071957</v>
      </c>
      <c r="J2598" s="6" t="n">
        <f aca="false">Sens!J2596+Sens!J2595</f>
        <v>186.432702785465</v>
      </c>
      <c r="K2598" s="6" t="n">
        <f aca="false">Sens!K2596+Sens!K2595</f>
        <v>200.277991980448</v>
      </c>
    </row>
    <row r="2599" customFormat="false" ht="15" hidden="false" customHeight="false" outlineLevel="0" collapsed="false">
      <c r="A2599" s="0" t="s">
        <v>874</v>
      </c>
      <c r="B2599" s="0" t="s">
        <v>98</v>
      </c>
      <c r="D2599" s="6" t="n">
        <f aca="false">Q!L8</f>
        <v>35.391</v>
      </c>
      <c r="E2599" s="6" t="n">
        <f aca="false">Q!M8</f>
        <v>37.285</v>
      </c>
      <c r="F2599" s="6" t="n">
        <f aca="false">Sens!E2599*(1+Sens!F2600)</f>
        <v>39.0720834331704</v>
      </c>
      <c r="G2599" s="6" t="n">
        <f aca="false">Sens!F2599*(1+Sens!G2600)</f>
        <v>40.726562953769</v>
      </c>
      <c r="H2599" s="6" t="n">
        <f aca="false">Sens!G2599*(1+Sens!H2600)</f>
        <v>42.2235987259198</v>
      </c>
      <c r="I2599" s="6" t="n">
        <f aca="false">Sens!H2599*(1+Sens!I2600)</f>
        <v>43.5397988077414</v>
      </c>
      <c r="J2599" s="6" t="n">
        <f aca="false">Sens!I2599*(1+Sens!J2600)</f>
        <v>44.653811225693</v>
      </c>
      <c r="K2599" s="6" t="n">
        <f aca="false">Sens!J2599*(1+Sens!K2600)</f>
        <v>45.5468874502068</v>
      </c>
    </row>
    <row r="2600" customFormat="false" ht="15" hidden="false" customHeight="false" outlineLevel="0" collapsed="false">
      <c r="A2600" s="1" t="s">
        <v>866</v>
      </c>
      <c r="B2600" s="0" t="s">
        <v>129</v>
      </c>
      <c r="E2600" s="7" t="n">
        <f aca="false">Sens!E2599/Sens!D2599-1</f>
        <v>0.0535164307309768</v>
      </c>
      <c r="F2600" s="7" t="n">
        <f aca="false">Sens!$E$2600+(glt_lic-Sens!$E$2600)*MIN(1,(Sens!F2552-base_fy)/n_conv)</f>
        <v>0.0479303589424807</v>
      </c>
      <c r="G2600" s="7" t="n">
        <f aca="false">Sens!$E$2600+(glt_lic-Sens!$E$2600)*MIN(1,(Sens!G2552-base_fy)/n_conv)</f>
        <v>0.0423442871539845</v>
      </c>
      <c r="H2600" s="7" t="n">
        <f aca="false">Sens!$E$2600+(glt_lic-Sens!$E$2600)*MIN(1,(Sens!H2552-base_fy)/n_conv)</f>
        <v>0.0367582153654884</v>
      </c>
      <c r="I2600" s="7" t="n">
        <f aca="false">Sens!$E$2600+(glt_lic-Sens!$E$2600)*MIN(1,(Sens!I2552-base_fy)/n_conv)</f>
        <v>0.0311721435769923</v>
      </c>
      <c r="J2600" s="7" t="n">
        <f aca="false">Sens!$E$2600+(glt_lic-Sens!$E$2600)*MIN(1,(Sens!J2552-base_fy)/n_conv)</f>
        <v>0.0255860717884961</v>
      </c>
      <c r="K2600" s="7" t="n">
        <f aca="false">Sens!$E$2600+(glt_lic-Sens!$E$2600)*MIN(1,(Sens!K2552-base_fy)/n_conv)</f>
        <v>0.02</v>
      </c>
    </row>
    <row r="2601" customFormat="false" ht="15" hidden="false" customHeight="false" outlineLevel="0" collapsed="false">
      <c r="A2601" s="0" t="s">
        <v>875</v>
      </c>
      <c r="B2601" s="0" t="s">
        <v>98</v>
      </c>
      <c r="D2601" s="6" t="n">
        <f aca="false">Q!L9</f>
        <v>18.417</v>
      </c>
      <c r="E2601" s="6" t="n">
        <f aca="false">Q!M9</f>
        <v>20.345</v>
      </c>
      <c r="F2601" s="6" t="n">
        <f aca="false">Sens!E2601*(1+Sens!F2602)</f>
        <v>22.3572203267814</v>
      </c>
      <c r="G2601" s="6" t="n">
        <f aca="false">Sens!F2601*(1+Sens!G2602)</f>
        <v>24.4392124437232</v>
      </c>
      <c r="H2601" s="6" t="n">
        <f aca="false">Sens!G2601*(1+Sens!H2602)</f>
        <v>26.5738052080665</v>
      </c>
      <c r="I2601" s="6" t="n">
        <f aca="false">Sens!H2601*(1+Sens!I2602)</f>
        <v>28.7412169166967</v>
      </c>
      <c r="J2601" s="6" t="n">
        <f aca="false">Sens!I2601*(1+Sens!J2602)</f>
        <v>30.9192545395413</v>
      </c>
      <c r="K2601" s="6" t="n">
        <f aca="false">Sens!J2601*(1+Sens!K2602)</f>
        <v>33.0836023573092</v>
      </c>
    </row>
    <row r="2602" customFormat="false" ht="15" hidden="false" customHeight="false" outlineLevel="0" collapsed="false">
      <c r="A2602" s="1" t="s">
        <v>866</v>
      </c>
      <c r="B2602" s="0" t="s">
        <v>129</v>
      </c>
      <c r="E2602" s="7" t="n">
        <f aca="false">Sens!E2601/Sens!D2601-1</f>
        <v>0.104685888038225</v>
      </c>
      <c r="F2602" s="7" t="n">
        <f aca="false">Sens!$E$2602+(glt_ind-Sens!$E$2602)*MIN(1,(Sens!F2552-base_fy)/n_conv)</f>
        <v>0.0989049066985211</v>
      </c>
      <c r="G2602" s="7" t="n">
        <f aca="false">Sens!$E$2602+(glt_ind-Sens!$E$2602)*MIN(1,(Sens!G2552-base_fy)/n_conv)</f>
        <v>0.0931239253588169</v>
      </c>
      <c r="H2602" s="7" t="n">
        <f aca="false">Sens!$E$2602+(glt_ind-Sens!$E$2602)*MIN(1,(Sens!H2552-base_fy)/n_conv)</f>
        <v>0.0873429440191127</v>
      </c>
      <c r="I2602" s="7" t="n">
        <f aca="false">Sens!$E$2602+(glt_ind-Sens!$E$2602)*MIN(1,(Sens!I2552-base_fy)/n_conv)</f>
        <v>0.0815619626794085</v>
      </c>
      <c r="J2602" s="7" t="n">
        <f aca="false">Sens!$E$2602+(glt_ind-Sens!$E$2602)*MIN(1,(Sens!J2552-base_fy)/n_conv)</f>
        <v>0.0757809813397042</v>
      </c>
      <c r="K2602" s="7" t="n">
        <f aca="false">Sens!$E$2602+(glt_ind-Sens!$E$2602)*MIN(1,(Sens!K2552-base_fy)/n_conv)</f>
        <v>0.07</v>
      </c>
    </row>
    <row r="2603" customFormat="false" ht="15" hidden="false" customHeight="false" outlineLevel="0" collapsed="false">
      <c r="A2603" s="0" t="s">
        <v>876</v>
      </c>
      <c r="B2603" s="0" t="s">
        <v>98</v>
      </c>
      <c r="D2603" s="6" t="n">
        <f aca="false">Q!L10</f>
        <v>7.76</v>
      </c>
      <c r="E2603" s="6" t="n">
        <f aca="false">Q!M10</f>
        <v>8.26</v>
      </c>
      <c r="F2603" s="6" t="n">
        <f aca="false">Sens!E2603*(1+Sens!F2604)</f>
        <v>8.79988041237113</v>
      </c>
      <c r="G2603" s="6" t="n">
        <f aca="false">Sens!F2603*(1+Sens!G2604)</f>
        <v>9.38321269125306</v>
      </c>
      <c r="H2603" s="6" t="n">
        <f aca="false">Sens!G2603*(1+Sens!H2604)</f>
        <v>10.0139193587476</v>
      </c>
      <c r="I2603" s="6" t="n">
        <f aca="false">Sens!H2603*(1+Sens!I2604)</f>
        <v>10.6963111830911</v>
      </c>
      <c r="J2603" s="6" t="n">
        <f aca="false">Sens!I2603*(1+Sens!J2604)</f>
        <v>11.4351285534696</v>
      </c>
      <c r="K2603" s="6" t="n">
        <f aca="false">Sens!J2603*(1+Sens!K2604)</f>
        <v>12.2355875522124</v>
      </c>
    </row>
    <row r="2604" customFormat="false" ht="15" hidden="false" customHeight="false" outlineLevel="0" collapsed="false">
      <c r="A2604" s="1" t="s">
        <v>866</v>
      </c>
      <c r="B2604" s="0" t="s">
        <v>129</v>
      </c>
      <c r="E2604" s="7" t="n">
        <f aca="false">Sens!E2603/Sens!D2603-1</f>
        <v>0.0644329896907216</v>
      </c>
      <c r="F2604" s="7" t="n">
        <f aca="false">Sens!$E$2604+(glt_fro-Sens!$E$2604)*MIN(1,(Sens!F2552-base_fy)/n_conv)</f>
        <v>0.065360824742268</v>
      </c>
      <c r="G2604" s="7" t="n">
        <f aca="false">Sens!$E$2604+(glt_fro-Sens!$E$2604)*MIN(1,(Sens!G2552-base_fy)/n_conv)</f>
        <v>0.0662886597938144</v>
      </c>
      <c r="H2604" s="7" t="n">
        <f aca="false">Sens!$E$2604+(glt_fro-Sens!$E$2604)*MIN(1,(Sens!H2552-base_fy)/n_conv)</f>
        <v>0.0672164948453608</v>
      </c>
      <c r="I2604" s="7" t="n">
        <f aca="false">Sens!$E$2604+(glt_fro-Sens!$E$2604)*MIN(1,(Sens!I2552-base_fy)/n_conv)</f>
        <v>0.0681443298969072</v>
      </c>
      <c r="J2604" s="7" t="n">
        <f aca="false">Sens!$E$2604+(glt_fro-Sens!$E$2604)*MIN(1,(Sens!J2552-base_fy)/n_conv)</f>
        <v>0.0690721649484536</v>
      </c>
      <c r="K2604" s="7" t="n">
        <f aca="false">Sens!$E$2604+(glt_fro-Sens!$E$2604)*MIN(1,(Sens!K2552-base_fy)/n_conv)</f>
        <v>0.07</v>
      </c>
    </row>
    <row r="2605" customFormat="false" ht="15" hidden="false" customHeight="false" outlineLevel="0" collapsed="false">
      <c r="A2605" s="0" t="s">
        <v>704</v>
      </c>
      <c r="B2605" s="0" t="s">
        <v>98</v>
      </c>
      <c r="D2605" s="6" t="n">
        <f aca="false">Sens!D2593+Sens!D2598+Sens!D2599+Sens!D2601+Sens!D2603</f>
        <v>218.783</v>
      </c>
      <c r="E2605" s="6" t="n">
        <f aca="false">Sens!E2593+Sens!E2598+Sens!E2599+Sens!E2601+Sens!E2603</f>
        <v>268.127</v>
      </c>
      <c r="F2605" s="6" t="n">
        <f aca="false">Sens!F2593+Sens!F2598+Sens!F2599+Sens!F2601+Sens!F2603</f>
        <v>334.265528251508</v>
      </c>
      <c r="G2605" s="6" t="n">
        <f aca="false">Sens!G2593+Sens!G2598+Sens!G2599+Sens!G2601+Sens!G2603</f>
        <v>408.072123059793</v>
      </c>
      <c r="H2605" s="6" t="n">
        <f aca="false">Sens!H2593+Sens!H2598+Sens!H2599+Sens!H2601+Sens!H2603</f>
        <v>483.196296004025</v>
      </c>
      <c r="I2605" s="6" t="n">
        <f aca="false">Sens!I2593+Sens!I2598+Sens!I2599+Sens!I2601+Sens!I2603</f>
        <v>551.903517626826</v>
      </c>
      <c r="J2605" s="6" t="n">
        <f aca="false">Sens!J2593+Sens!J2598+Sens!J2599+Sens!J2601+Sens!J2603</f>
        <v>607.45432414427</v>
      </c>
      <c r="K2605" s="6" t="n">
        <f aca="false">Sens!K2593+Sens!K2598+Sens!K2599+Sens!K2601+Sens!K2603</f>
        <v>651.241547813062</v>
      </c>
    </row>
    <row r="2606" customFormat="false" ht="15" hidden="false" customHeight="false" outlineLevel="0" collapsed="false">
      <c r="A2606" s="0" t="s">
        <v>877</v>
      </c>
      <c r="B2606" s="0" t="s">
        <v>98</v>
      </c>
      <c r="D2606" s="6" t="n">
        <f aca="false">Q!L13</f>
        <v>22.171</v>
      </c>
      <c r="E2606" s="6" t="n">
        <f aca="false">Q!M13</f>
        <v>24.835</v>
      </c>
      <c r="F2606" s="6" t="n">
        <f aca="false">Sens!E2606*(1+Sens!F2607)</f>
        <v>27.6114901218559</v>
      </c>
      <c r="G2606" s="6" t="n">
        <f aca="false">Sens!F2606*(1+Sens!G2607)</f>
        <v>30.4675667338515</v>
      </c>
      <c r="H2606" s="6" t="n">
        <f aca="false">Sens!G2606*(1+Sens!H2607)</f>
        <v>33.3643766955789</v>
      </c>
      <c r="I2606" s="6" t="n">
        <f aca="false">Sens!H2606*(1+Sens!I2607)</f>
        <v>36.2577016533691</v>
      </c>
      <c r="J2606" s="6" t="n">
        <f aca="false">Sens!I2606*(1+Sens!J2607)</f>
        <v>39.0988367952171</v>
      </c>
      <c r="K2606" s="6" t="n">
        <f aca="false">Sens!J2606*(1+Sens!K2607)</f>
        <v>41.8357553708823</v>
      </c>
    </row>
    <row r="2607" customFormat="false" ht="15" hidden="false" customHeight="false" outlineLevel="0" collapsed="false">
      <c r="A2607" s="1" t="s">
        <v>866</v>
      </c>
      <c r="B2607" s="0" t="s">
        <v>129</v>
      </c>
      <c r="E2607" s="7" t="n">
        <f aca="false">Sens!E2606/Sens!D2606-1</f>
        <v>0.120156961796942</v>
      </c>
      <c r="F2607" s="7" t="n">
        <f aca="false">Sens!$E$2607+(glt_srch-Sens!$E$2607)*MIN(1,(Sens!F2552-base_fy)/n_conv)</f>
        <v>0.111797468164118</v>
      </c>
      <c r="G2607" s="7" t="n">
        <f aca="false">Sens!$E$2607+(glt_srch-Sens!$E$2607)*MIN(1,(Sens!G2552-base_fy)/n_conv)</f>
        <v>0.103437974531295</v>
      </c>
      <c r="H2607" s="7" t="n">
        <f aca="false">Sens!$E$2607+(glt_srch-Sens!$E$2607)*MIN(1,(Sens!H2552-base_fy)/n_conv)</f>
        <v>0.095078480898471</v>
      </c>
      <c r="I2607" s="7" t="n">
        <f aca="false">Sens!$E$2607+(glt_srch-Sens!$E$2607)*MIN(1,(Sens!I2552-base_fy)/n_conv)</f>
        <v>0.0867189872656474</v>
      </c>
      <c r="J2607" s="7" t="n">
        <f aca="false">Sens!$E$2607+(glt_srch-Sens!$E$2607)*MIN(1,(Sens!J2552-base_fy)/n_conv)</f>
        <v>0.0783594936328237</v>
      </c>
      <c r="K2607" s="7" t="n">
        <f aca="false">Sens!$E$2607+(glt_srch-Sens!$E$2607)*MIN(1,(Sens!K2552-base_fy)/n_conv)</f>
        <v>0.07</v>
      </c>
    </row>
    <row r="2608" customFormat="false" ht="15" hidden="false" customHeight="false" outlineLevel="0" collapsed="false">
      <c r="A2608" s="0" t="s">
        <v>878</v>
      </c>
      <c r="B2608" s="0" t="s">
        <v>98</v>
      </c>
      <c r="D2608" s="6" t="n">
        <f aca="false">Q!L14</f>
        <v>23.455</v>
      </c>
      <c r="E2608" s="6" t="n">
        <f aca="false">Q!M14</f>
        <v>21.79</v>
      </c>
      <c r="F2608" s="6" t="n">
        <f aca="false">Sens!E2608*(1+Sens!F2609)</f>
        <v>20.5736277908051</v>
      </c>
      <c r="G2608" s="6" t="n">
        <f aca="false">Sens!F2608*(1+Sens!G2609)</f>
        <v>19.7371452817919</v>
      </c>
      <c r="H2608" s="6" t="n">
        <f aca="false">Sens!G2608*(1+Sens!H2609)</f>
        <v>19.2339764043138</v>
      </c>
      <c r="I2608" s="6" t="n">
        <f aca="false">Sens!H2608*(1+Sens!I2609)</f>
        <v>19.0353086852681</v>
      </c>
      <c r="J2608" s="6" t="n">
        <f aca="false">Sens!I2608*(1+Sens!J2609)</f>
        <v>19.1273539319129</v>
      </c>
      <c r="K2608" s="6" t="n">
        <f aca="false">Sens!J2608*(1+Sens!K2609)</f>
        <v>19.5099010105511</v>
      </c>
    </row>
    <row r="2609" customFormat="false" ht="15" hidden="false" customHeight="false" outlineLevel="0" collapsed="false">
      <c r="A2609" s="1" t="s">
        <v>866</v>
      </c>
      <c r="B2609" s="0" t="s">
        <v>129</v>
      </c>
      <c r="E2609" s="7" t="n">
        <f aca="false">Sens!E2608/Sens!D2608-1</f>
        <v>-0.0709869963760392</v>
      </c>
      <c r="F2609" s="7" t="n">
        <f aca="false">Sens!$E$2609+(glt_xbox-Sens!$E$2609)*MIN(1,(Sens!F2552-base_fy)/n_conv)</f>
        <v>-0.0558224969800327</v>
      </c>
      <c r="G2609" s="7" t="n">
        <f aca="false">Sens!$E$2609+(glt_xbox-Sens!$E$2609)*MIN(1,(Sens!G2552-base_fy)/n_conv)</f>
        <v>-0.0406579975840262</v>
      </c>
      <c r="H2609" s="7" t="n">
        <f aca="false">Sens!$E$2609+(glt_xbox-Sens!$E$2609)*MIN(1,(Sens!H2552-base_fy)/n_conv)</f>
        <v>-0.0254934981880196</v>
      </c>
      <c r="I2609" s="7" t="n">
        <f aca="false">Sens!$E$2609+(glt_xbox-Sens!$E$2609)*MIN(1,(Sens!I2552-base_fy)/n_conv)</f>
        <v>-0.0103289987920131</v>
      </c>
      <c r="J2609" s="7" t="n">
        <f aca="false">Sens!$E$2609+(glt_xbox-Sens!$E$2609)*MIN(1,(Sens!J2552-base_fy)/n_conv)</f>
        <v>0.00483550060399347</v>
      </c>
      <c r="K2609" s="7" t="n">
        <f aca="false">Sens!$E$2609+(glt_xbox-Sens!$E$2609)*MIN(1,(Sens!K2552-base_fy)/n_conv)</f>
        <v>0.02</v>
      </c>
    </row>
    <row r="2610" customFormat="false" ht="15" hidden="false" customHeight="false" outlineLevel="0" collapsed="false">
      <c r="A2610" s="0" t="s">
        <v>879</v>
      </c>
      <c r="B2610" s="0" t="s">
        <v>98</v>
      </c>
      <c r="D2610" s="6" t="n">
        <f aca="false">Q!L15</f>
        <v>17.315</v>
      </c>
      <c r="E2610" s="6" t="n">
        <f aca="false">Q!M15</f>
        <v>17.087</v>
      </c>
      <c r="F2610" s="6" t="n">
        <f aca="false">Sens!E2610*(1+Sens!F2611)</f>
        <v>16.9564585436519</v>
      </c>
      <c r="G2610" s="6" t="n">
        <f aca="false">Sens!F2610*(1+Sens!G2611)</f>
        <v>16.9206490624268</v>
      </c>
      <c r="H2610" s="6" t="n">
        <f aca="false">Sens!G2610*(1+Sens!H2611)</f>
        <v>16.9784519149849</v>
      </c>
      <c r="I2610" s="6" t="n">
        <f aca="false">Sens!H2610*(1+Sens!I2611)</f>
        <v>17.1303084701817</v>
      </c>
      <c r="J2610" s="6" t="n">
        <f aca="false">Sens!I2610*(1+Sens!J2611)</f>
        <v>17.3782189407267</v>
      </c>
      <c r="K2610" s="6" t="n">
        <f aca="false">Sens!J2610*(1+Sens!K2611)</f>
        <v>17.7257833195413</v>
      </c>
    </row>
    <row r="2611" customFormat="false" ht="15" hidden="false" customHeight="false" outlineLevel="0" collapsed="false">
      <c r="A2611" s="1" t="s">
        <v>866</v>
      </c>
      <c r="B2611" s="0" t="s">
        <v>129</v>
      </c>
      <c r="E2611" s="7" t="n">
        <f aca="false">Sens!E2610/Sens!D2610-1</f>
        <v>-0.0131677736066995</v>
      </c>
      <c r="F2611" s="7" t="n">
        <f aca="false">Sens!$E$2611+(glt_win-Sens!$E$2611)*MIN(1,(Sens!F2552-base_fy)/n_conv)</f>
        <v>-0.00763981133891627</v>
      </c>
      <c r="G2611" s="7" t="n">
        <f aca="false">Sens!$E$2611+(glt_win-Sens!$E$2611)*MIN(1,(Sens!G2552-base_fy)/n_conv)</f>
        <v>-0.00211184907113301</v>
      </c>
      <c r="H2611" s="7" t="n">
        <f aca="false">Sens!$E$2611+(glt_win-Sens!$E$2611)*MIN(1,(Sens!H2552-base_fy)/n_conv)</f>
        <v>0.00341611319665024</v>
      </c>
      <c r="I2611" s="7" t="n">
        <f aca="false">Sens!$E$2611+(glt_win-Sens!$E$2611)*MIN(1,(Sens!I2552-base_fy)/n_conv)</f>
        <v>0.00894407546443349</v>
      </c>
      <c r="J2611" s="7" t="n">
        <f aca="false">Sens!$E$2611+(glt_win-Sens!$E$2611)*MIN(1,(Sens!J2552-base_fy)/n_conv)</f>
        <v>0.0144720377322168</v>
      </c>
      <c r="K2611" s="7" t="n">
        <f aca="false">Sens!$E$2611+(glt_win-Sens!$E$2611)*MIN(1,(Sens!K2552-base_fy)/n_conv)</f>
        <v>0.02</v>
      </c>
    </row>
    <row r="2612" customFormat="false" ht="15" hidden="false" customHeight="false" outlineLevel="0" collapsed="false">
      <c r="A2612" s="0" t="s">
        <v>718</v>
      </c>
      <c r="B2612" s="0" t="s">
        <v>98</v>
      </c>
      <c r="D2612" s="6" t="n">
        <f aca="false">Sens!D2606+Sens!D2608+Sens!D2610</f>
        <v>62.941</v>
      </c>
      <c r="E2612" s="6" t="n">
        <f aca="false">Sens!E2606+Sens!E2608+Sens!E2610</f>
        <v>63.712</v>
      </c>
      <c r="F2612" s="6" t="n">
        <f aca="false">Sens!F2606+Sens!F2608+Sens!F2610</f>
        <v>65.1415764563129</v>
      </c>
      <c r="G2612" s="6" t="n">
        <f aca="false">Sens!G2606+Sens!G2608+Sens!G2610</f>
        <v>67.1253610780702</v>
      </c>
      <c r="H2612" s="6" t="n">
        <f aca="false">Sens!H2606+Sens!H2608+Sens!H2610</f>
        <v>69.5768050148776</v>
      </c>
      <c r="I2612" s="6" t="n">
        <f aca="false">Sens!I2606+Sens!I2608+Sens!I2610</f>
        <v>72.4233188088189</v>
      </c>
      <c r="J2612" s="6" t="n">
        <f aca="false">Sens!J2606+Sens!J2608+Sens!J2610</f>
        <v>75.6044096678567</v>
      </c>
      <c r="K2612" s="6" t="n">
        <f aca="false">Sens!K2606+Sens!K2608+Sens!K2610</f>
        <v>79.0714397009747</v>
      </c>
    </row>
    <row r="2613" customFormat="false" ht="15" hidden="false" customHeight="false" outlineLevel="0" collapsed="false">
      <c r="A2613" s="1" t="s">
        <v>880</v>
      </c>
      <c r="B2613" s="0" t="s">
        <v>98</v>
      </c>
      <c r="D2613" s="6" t="n">
        <f aca="false">Sens!D2605+Sens!D2612</f>
        <v>281.724</v>
      </c>
      <c r="E2613" s="6" t="n">
        <f aca="false">Sens!E2605+Sens!E2612</f>
        <v>331.839</v>
      </c>
      <c r="F2613" s="6" t="n">
        <f aca="false">Sens!F2605+Sens!F2612</f>
        <v>399.407104707821</v>
      </c>
      <c r="G2613" s="6" t="n">
        <f aca="false">Sens!G2605+Sens!G2612</f>
        <v>475.197484137863</v>
      </c>
      <c r="H2613" s="6" t="n">
        <f aca="false">Sens!H2605+Sens!H2612</f>
        <v>552.773101018903</v>
      </c>
      <c r="I2613" s="6" t="n">
        <f aca="false">Sens!I2605+Sens!I2612</f>
        <v>624.326836435645</v>
      </c>
      <c r="J2613" s="6" t="n">
        <f aca="false">Sens!J2605+Sens!J2612</f>
        <v>683.058733812127</v>
      </c>
      <c r="K2613" s="6" t="n">
        <f aca="false">Sens!K2605+Sens!K2612</f>
        <v>730.312987514037</v>
      </c>
    </row>
    <row r="2614" customFormat="false" ht="15" hidden="false" customHeight="false" outlineLevel="0" collapsed="false">
      <c r="A2614" s="23" t="s">
        <v>881</v>
      </c>
      <c r="B2614" s="30" t="s">
        <v>98</v>
      </c>
      <c r="C2614" s="30"/>
      <c r="D2614" s="24" t="n">
        <f aca="false">(Sens!D2593+Sens!D2598+Sens!D2599+Sens!D2601+Sens!D2603-Sens!D2605)+(Sens!D2606+Sens!D2608+Sens!D2610-Sens!D2612)+(Sens!D2605-Q!L5)+(Sens!D2612-Q!L12)+(Sens!D2593-Q!L6)+(Sens!D2598-Q!L7)</f>
        <v>0</v>
      </c>
      <c r="E2614" s="24" t="n">
        <f aca="false">(Sens!E2593+Sens!E2598+Sens!E2599+Sens!E2601+Sens!E2603-Sens!E2605)+(Sens!E2606+Sens!E2608+Sens!E2610-Sens!E2612)+(Sens!E2605-Q!M5)+(Sens!E2612-Q!M12)+(Sens!E2593-Q!M6)+(Sens!E2598-Q!M7)</f>
        <v>0</v>
      </c>
      <c r="F2614" s="24" t="n">
        <f aca="false">(Sens!F2593+Sens!F2598+Sens!F2599+Sens!F2601+Sens!F2603-Sens!F2605)+(Sens!F2606+Sens!F2608+Sens!F2610-Sens!F2612)</f>
        <v>0</v>
      </c>
      <c r="G2614" s="24" t="n">
        <f aca="false">(Sens!G2593+Sens!G2598+Sens!G2599+Sens!G2601+Sens!G2603-Sens!G2605)+(Sens!G2606+Sens!G2608+Sens!G2610-Sens!G2612)</f>
        <v>0</v>
      </c>
      <c r="H2614" s="24" t="n">
        <f aca="false">(Sens!H2593+Sens!H2598+Sens!H2599+Sens!H2601+Sens!H2603-Sens!H2605)+(Sens!H2606+Sens!H2608+Sens!H2610-Sens!H2612)</f>
        <v>0</v>
      </c>
      <c r="I2614" s="24" t="n">
        <f aca="false">(Sens!I2593+Sens!I2598+Sens!I2599+Sens!I2601+Sens!I2603-Sens!I2605)+(Sens!I2606+Sens!I2608+Sens!I2610-Sens!I2612)</f>
        <v>0</v>
      </c>
      <c r="J2614" s="24" t="n">
        <f aca="false">(Sens!J2593+Sens!J2598+Sens!J2599+Sens!J2601+Sens!J2603-Sens!J2605)+(Sens!J2606+Sens!J2608+Sens!J2610-Sens!J2612)</f>
        <v>0</v>
      </c>
      <c r="K2614" s="24" t="n">
        <f aca="false">(Sens!K2593+Sens!K2598+Sens!K2599+Sens!K2601+Sens!K2603-Sens!K2605)+(Sens!K2606+Sens!K2608+Sens!K2610-Sens!K2612)</f>
        <v>0</v>
      </c>
    </row>
    <row r="2615" customFormat="false" ht="17.15" hidden="false" customHeight="false" outlineLevel="0" collapsed="false">
      <c r="A2615" s="3" t="s">
        <v>1301</v>
      </c>
    </row>
    <row r="2616" customFormat="false" ht="15" hidden="false" customHeight="false" outlineLevel="0" collapsed="false">
      <c r="A2616" s="4" t="s">
        <v>43</v>
      </c>
      <c r="B2616" s="4" t="s">
        <v>65</v>
      </c>
      <c r="C2616" s="20" t="s">
        <v>788</v>
      </c>
      <c r="D2616" s="20" t="s">
        <v>789</v>
      </c>
      <c r="E2616" s="20" t="s">
        <v>790</v>
      </c>
      <c r="F2616" s="20" t="s">
        <v>791</v>
      </c>
      <c r="G2616" s="20" t="s">
        <v>792</v>
      </c>
      <c r="H2616" s="20" t="s">
        <v>793</v>
      </c>
      <c r="I2616" s="20" t="s">
        <v>794</v>
      </c>
      <c r="J2616" s="20" t="s">
        <v>795</v>
      </c>
      <c r="K2616" s="20" t="s">
        <v>796</v>
      </c>
      <c r="L2616" s="4" t="s">
        <v>47</v>
      </c>
    </row>
    <row r="2617" customFormat="false" ht="15" hidden="false" customHeight="false" outlineLevel="0" collapsed="false">
      <c r="A2617" s="0" t="s">
        <v>867</v>
      </c>
      <c r="B2617" s="0" t="s">
        <v>98</v>
      </c>
      <c r="D2617" s="6" t="n">
        <f aca="false">Sens!D2593</f>
        <v>72.61</v>
      </c>
      <c r="E2617" s="6" t="n">
        <f aca="false">Sens!E2593</f>
        <v>101.938</v>
      </c>
      <c r="F2617" s="6" t="n">
        <f aca="false">Sens!F2593</f>
        <v>145.143956312325</v>
      </c>
      <c r="G2617" s="6" t="n">
        <f aca="false">Sens!G2593</f>
        <v>196.478966522364</v>
      </c>
      <c r="H2617" s="6" t="n">
        <f aca="false">Sens!H2593</f>
        <v>249.10761332251</v>
      </c>
      <c r="I2617" s="6" t="n">
        <f aca="false">Sens!I2593</f>
        <v>297.09216264734</v>
      </c>
      <c r="J2617" s="6" t="n">
        <f aca="false">Sens!J2593</f>
        <v>334.013427040101</v>
      </c>
      <c r="K2617" s="6" t="n">
        <f aca="false">Sens!K2593</f>
        <v>360.097478472886</v>
      </c>
    </row>
    <row r="2618" customFormat="false" ht="17.15" hidden="false" customHeight="false" outlineLevel="0" collapsed="false">
      <c r="A2618" s="0" t="s">
        <v>864</v>
      </c>
      <c r="B2618" s="0" t="s">
        <v>98</v>
      </c>
      <c r="D2618" s="6" t="n">
        <f aca="false">Sens!D2590</f>
        <v>12.9359794422418</v>
      </c>
      <c r="E2618" s="6" t="n">
        <f aca="false">Sens!E2590</f>
        <v>27.8095064661409</v>
      </c>
      <c r="F2618" s="6" t="n">
        <f aca="false">Sens!F2590</f>
        <v>55.0640065749585</v>
      </c>
      <c r="G2618" s="6" t="n">
        <f aca="false">Sens!G2590</f>
        <v>89.4505413190538</v>
      </c>
      <c r="H2618" s="6" t="n">
        <f aca="false">Sens!H2590</f>
        <v>124.835630736874</v>
      </c>
      <c r="I2618" s="6" t="n">
        <f aca="false">Sens!I2590</f>
        <v>156.158460265485</v>
      </c>
      <c r="J2618" s="6" t="n">
        <f aca="false">Sens!J2590</f>
        <v>177.99455972577</v>
      </c>
      <c r="K2618" s="6" t="n">
        <f aca="false">Sens!K2590</f>
        <v>191.597101773408</v>
      </c>
    </row>
    <row r="2619" customFormat="false" ht="17.15" hidden="false" customHeight="false" outlineLevel="0" collapsed="false">
      <c r="A2619" s="0" t="s">
        <v>892</v>
      </c>
      <c r="B2619" s="0" t="s">
        <v>98</v>
      </c>
      <c r="D2619" s="6" t="n">
        <f aca="false">Sens!D2591</f>
        <v>59.6740205577583</v>
      </c>
      <c r="E2619" s="6" t="n">
        <f aca="false">Sens!E2591</f>
        <v>74.1284935338591</v>
      </c>
      <c r="F2619" s="6" t="n">
        <f aca="false">Sens!F2591</f>
        <v>90.0799497373663</v>
      </c>
      <c r="G2619" s="6" t="n">
        <f aca="false">Sens!G2591</f>
        <v>107.02842520331</v>
      </c>
      <c r="H2619" s="6" t="n">
        <f aca="false">Sens!H2591</f>
        <v>124.271982585636</v>
      </c>
      <c r="I2619" s="6" t="n">
        <f aca="false">Sens!I2591</f>
        <v>140.933702381855</v>
      </c>
      <c r="J2619" s="6" t="n">
        <f aca="false">Sens!J2591</f>
        <v>156.018867314332</v>
      </c>
      <c r="K2619" s="6" t="n">
        <f aca="false">Sens!K2591</f>
        <v>168.500376699478</v>
      </c>
    </row>
    <row r="2620" customFormat="false" ht="15" hidden="false" customHeight="false" outlineLevel="0" collapsed="false">
      <c r="A2620" s="0" t="s">
        <v>873</v>
      </c>
      <c r="B2620" s="0" t="s">
        <v>98</v>
      </c>
      <c r="D2620" s="6" t="n">
        <f aca="false">Sens!D2598</f>
        <v>84.605</v>
      </c>
      <c r="E2620" s="6" t="n">
        <f aca="false">Sens!E2598</f>
        <v>100.299</v>
      </c>
      <c r="F2620" s="6" t="n">
        <f aca="false">Sens!F2598</f>
        <v>118.89238776686</v>
      </c>
      <c r="G2620" s="6" t="n">
        <f aca="false">Sens!G2598</f>
        <v>137.044168448684</v>
      </c>
      <c r="H2620" s="6" t="n">
        <f aca="false">Sens!H2598</f>
        <v>155.277359388781</v>
      </c>
      <c r="I2620" s="6" t="n">
        <f aca="false">Sens!I2598</f>
        <v>171.834028071957</v>
      </c>
      <c r="J2620" s="6" t="n">
        <f aca="false">Sens!J2598</f>
        <v>186.432702785465</v>
      </c>
      <c r="K2620" s="6" t="n">
        <f aca="false">Sens!K2598</f>
        <v>200.277991980448</v>
      </c>
    </row>
    <row r="2621" customFormat="false" ht="17.15" hidden="false" customHeight="false" outlineLevel="0" collapsed="false">
      <c r="A2621" s="0" t="s">
        <v>893</v>
      </c>
      <c r="B2621" s="0" t="s">
        <v>98</v>
      </c>
      <c r="D2621" s="6" t="n">
        <f aca="false">Sens!D2596</f>
        <v>83.705</v>
      </c>
      <c r="E2621" s="6" t="n">
        <f aca="false">Sens!E2596</f>
        <v>95.049</v>
      </c>
      <c r="F2621" s="6" t="n">
        <f aca="false">Sens!F2596</f>
        <v>106.89238776686</v>
      </c>
      <c r="G2621" s="6" t="n">
        <f aca="false">Sens!G2596</f>
        <v>119.044168448684</v>
      </c>
      <c r="H2621" s="6" t="n">
        <f aca="false">Sens!H2596</f>
        <v>131.277359388781</v>
      </c>
      <c r="I2621" s="6" t="n">
        <f aca="false">Sens!I2596</f>
        <v>143.334028071957</v>
      </c>
      <c r="J2621" s="6" t="n">
        <f aca="false">Sens!J2596</f>
        <v>154.932702785465</v>
      </c>
      <c r="K2621" s="6" t="n">
        <f aca="false">Sens!K2596</f>
        <v>165.777991980448</v>
      </c>
    </row>
    <row r="2622" customFormat="false" ht="17.15" hidden="false" customHeight="false" outlineLevel="0" collapsed="false">
      <c r="A2622" s="0" t="s">
        <v>894</v>
      </c>
      <c r="B2622" s="0" t="s">
        <v>98</v>
      </c>
      <c r="D2622" s="6" t="n">
        <f aca="false">Sens!D2595</f>
        <v>0.9</v>
      </c>
      <c r="E2622" s="6" t="n">
        <f aca="false">Sens!E2595</f>
        <v>5.25</v>
      </c>
      <c r="F2622" s="6" t="n">
        <f aca="false">Sens!F2595</f>
        <v>12</v>
      </c>
      <c r="G2622" s="6" t="n">
        <f aca="false">Sens!G2595</f>
        <v>18</v>
      </c>
      <c r="H2622" s="6" t="n">
        <f aca="false">Sens!H2595</f>
        <v>24</v>
      </c>
      <c r="I2622" s="6" t="n">
        <f aca="false">Sens!I2595</f>
        <v>28.5</v>
      </c>
      <c r="J2622" s="6" t="n">
        <f aca="false">Sens!J2595</f>
        <v>31.5</v>
      </c>
      <c r="K2622" s="6" t="n">
        <f aca="false">Sens!K2595</f>
        <v>34.5</v>
      </c>
    </row>
    <row r="2623" customFormat="false" ht="15" hidden="false" customHeight="false" outlineLevel="0" collapsed="false">
      <c r="A2623" s="0" t="s">
        <v>874</v>
      </c>
      <c r="B2623" s="0" t="s">
        <v>98</v>
      </c>
      <c r="D2623" s="6" t="n">
        <f aca="false">Sens!D2599</f>
        <v>35.391</v>
      </c>
      <c r="E2623" s="6" t="n">
        <f aca="false">Sens!E2599</f>
        <v>37.285</v>
      </c>
      <c r="F2623" s="6" t="n">
        <f aca="false">Sens!F2599</f>
        <v>39.0720834331704</v>
      </c>
      <c r="G2623" s="6" t="n">
        <f aca="false">Sens!G2599</f>
        <v>40.726562953769</v>
      </c>
      <c r="H2623" s="6" t="n">
        <f aca="false">Sens!H2599</f>
        <v>42.2235987259198</v>
      </c>
      <c r="I2623" s="6" t="n">
        <f aca="false">Sens!I2599</f>
        <v>43.5397988077414</v>
      </c>
      <c r="J2623" s="6" t="n">
        <f aca="false">Sens!J2599</f>
        <v>44.653811225693</v>
      </c>
      <c r="K2623" s="6" t="n">
        <f aca="false">Sens!K2599</f>
        <v>45.5468874502068</v>
      </c>
    </row>
    <row r="2624" customFormat="false" ht="15" hidden="false" customHeight="false" outlineLevel="0" collapsed="false">
      <c r="A2624" s="0" t="s">
        <v>875</v>
      </c>
      <c r="B2624" s="0" t="s">
        <v>98</v>
      </c>
      <c r="D2624" s="6" t="n">
        <f aca="false">Sens!D2601</f>
        <v>18.417</v>
      </c>
      <c r="E2624" s="6" t="n">
        <f aca="false">Sens!E2601</f>
        <v>20.345</v>
      </c>
      <c r="F2624" s="6" t="n">
        <f aca="false">Sens!F2601</f>
        <v>22.3572203267814</v>
      </c>
      <c r="G2624" s="6" t="n">
        <f aca="false">Sens!G2601</f>
        <v>24.4392124437232</v>
      </c>
      <c r="H2624" s="6" t="n">
        <f aca="false">Sens!H2601</f>
        <v>26.5738052080665</v>
      </c>
      <c r="I2624" s="6" t="n">
        <f aca="false">Sens!I2601</f>
        <v>28.7412169166967</v>
      </c>
      <c r="J2624" s="6" t="n">
        <f aca="false">Sens!J2601</f>
        <v>30.9192545395413</v>
      </c>
      <c r="K2624" s="6" t="n">
        <f aca="false">Sens!K2601</f>
        <v>33.0836023573092</v>
      </c>
    </row>
    <row r="2625" customFormat="false" ht="15" hidden="false" customHeight="false" outlineLevel="0" collapsed="false">
      <c r="A2625" s="0" t="s">
        <v>876</v>
      </c>
      <c r="B2625" s="0" t="s">
        <v>98</v>
      </c>
      <c r="D2625" s="6" t="n">
        <f aca="false">Sens!D2603</f>
        <v>7.76</v>
      </c>
      <c r="E2625" s="6" t="n">
        <f aca="false">Sens!E2603</f>
        <v>8.26</v>
      </c>
      <c r="F2625" s="6" t="n">
        <f aca="false">Sens!F2603</f>
        <v>8.79988041237113</v>
      </c>
      <c r="G2625" s="6" t="n">
        <f aca="false">Sens!G2603</f>
        <v>9.38321269125306</v>
      </c>
      <c r="H2625" s="6" t="n">
        <f aca="false">Sens!H2603</f>
        <v>10.0139193587476</v>
      </c>
      <c r="I2625" s="6" t="n">
        <f aca="false">Sens!I2603</f>
        <v>10.6963111830911</v>
      </c>
      <c r="J2625" s="6" t="n">
        <f aca="false">Sens!J2603</f>
        <v>11.4351285534696</v>
      </c>
      <c r="K2625" s="6" t="n">
        <f aca="false">Sens!K2603</f>
        <v>12.2355875522124</v>
      </c>
    </row>
    <row r="2626" customFormat="false" ht="15" hidden="false" customHeight="false" outlineLevel="0" collapsed="false">
      <c r="A2626" s="0" t="s">
        <v>704</v>
      </c>
      <c r="B2626" s="0" t="s">
        <v>98</v>
      </c>
      <c r="D2626" s="6" t="n">
        <f aca="false">Sens!D2605</f>
        <v>218.783</v>
      </c>
      <c r="E2626" s="6" t="n">
        <f aca="false">Sens!E2605</f>
        <v>268.127</v>
      </c>
      <c r="F2626" s="6" t="n">
        <f aca="false">Sens!F2605</f>
        <v>334.265528251508</v>
      </c>
      <c r="G2626" s="6" t="n">
        <f aca="false">Sens!G2605</f>
        <v>408.072123059793</v>
      </c>
      <c r="H2626" s="6" t="n">
        <f aca="false">Sens!H2605</f>
        <v>483.196296004025</v>
      </c>
      <c r="I2626" s="6" t="n">
        <f aca="false">Sens!I2605</f>
        <v>551.903517626826</v>
      </c>
      <c r="J2626" s="6" t="n">
        <f aca="false">Sens!J2605</f>
        <v>607.45432414427</v>
      </c>
      <c r="K2626" s="6" t="n">
        <f aca="false">Sens!K2605</f>
        <v>651.241547813062</v>
      </c>
    </row>
    <row r="2627" customFormat="false" ht="15" hidden="false" customHeight="false" outlineLevel="0" collapsed="false">
      <c r="A2627" s="0" t="s">
        <v>877</v>
      </c>
      <c r="B2627" s="0" t="s">
        <v>98</v>
      </c>
      <c r="D2627" s="6" t="n">
        <f aca="false">Sens!D2606</f>
        <v>22.171</v>
      </c>
      <c r="E2627" s="6" t="n">
        <f aca="false">Sens!E2606</f>
        <v>24.835</v>
      </c>
      <c r="F2627" s="6" t="n">
        <f aca="false">Sens!F2606</f>
        <v>27.6114901218559</v>
      </c>
      <c r="G2627" s="6" t="n">
        <f aca="false">Sens!G2606</f>
        <v>30.4675667338515</v>
      </c>
      <c r="H2627" s="6" t="n">
        <f aca="false">Sens!H2606</f>
        <v>33.3643766955789</v>
      </c>
      <c r="I2627" s="6" t="n">
        <f aca="false">Sens!I2606</f>
        <v>36.2577016533691</v>
      </c>
      <c r="J2627" s="6" t="n">
        <f aca="false">Sens!J2606</f>
        <v>39.0988367952171</v>
      </c>
      <c r="K2627" s="6" t="n">
        <f aca="false">Sens!K2606</f>
        <v>41.8357553708823</v>
      </c>
    </row>
    <row r="2628" customFormat="false" ht="15" hidden="false" customHeight="false" outlineLevel="0" collapsed="false">
      <c r="A2628" s="0" t="s">
        <v>878</v>
      </c>
      <c r="B2628" s="0" t="s">
        <v>98</v>
      </c>
      <c r="D2628" s="6" t="n">
        <f aca="false">Sens!D2608</f>
        <v>23.455</v>
      </c>
      <c r="E2628" s="6" t="n">
        <f aca="false">Sens!E2608</f>
        <v>21.79</v>
      </c>
      <c r="F2628" s="6" t="n">
        <f aca="false">Sens!F2608</f>
        <v>20.5736277908051</v>
      </c>
      <c r="G2628" s="6" t="n">
        <f aca="false">Sens!G2608</f>
        <v>19.7371452817919</v>
      </c>
      <c r="H2628" s="6" t="n">
        <f aca="false">Sens!H2608</f>
        <v>19.2339764043138</v>
      </c>
      <c r="I2628" s="6" t="n">
        <f aca="false">Sens!I2608</f>
        <v>19.0353086852681</v>
      </c>
      <c r="J2628" s="6" t="n">
        <f aca="false">Sens!J2608</f>
        <v>19.1273539319129</v>
      </c>
      <c r="K2628" s="6" t="n">
        <f aca="false">Sens!K2608</f>
        <v>19.5099010105511</v>
      </c>
    </row>
    <row r="2629" customFormat="false" ht="15" hidden="false" customHeight="false" outlineLevel="0" collapsed="false">
      <c r="A2629" s="0" t="s">
        <v>879</v>
      </c>
      <c r="B2629" s="0" t="s">
        <v>98</v>
      </c>
      <c r="D2629" s="6" t="n">
        <f aca="false">Sens!D2610</f>
        <v>17.315</v>
      </c>
      <c r="E2629" s="6" t="n">
        <f aca="false">Sens!E2610</f>
        <v>17.087</v>
      </c>
      <c r="F2629" s="6" t="n">
        <f aca="false">Sens!F2610</f>
        <v>16.9564585436519</v>
      </c>
      <c r="G2629" s="6" t="n">
        <f aca="false">Sens!G2610</f>
        <v>16.9206490624268</v>
      </c>
      <c r="H2629" s="6" t="n">
        <f aca="false">Sens!H2610</f>
        <v>16.9784519149849</v>
      </c>
      <c r="I2629" s="6" t="n">
        <f aca="false">Sens!I2610</f>
        <v>17.1303084701817</v>
      </c>
      <c r="J2629" s="6" t="n">
        <f aca="false">Sens!J2610</f>
        <v>17.3782189407267</v>
      </c>
      <c r="K2629" s="6" t="n">
        <f aca="false">Sens!K2610</f>
        <v>17.7257833195413</v>
      </c>
    </row>
    <row r="2630" customFormat="false" ht="15" hidden="false" customHeight="false" outlineLevel="0" collapsed="false">
      <c r="A2630" s="0" t="s">
        <v>718</v>
      </c>
      <c r="B2630" s="0" t="s">
        <v>98</v>
      </c>
      <c r="D2630" s="6" t="n">
        <f aca="false">Sens!D2612</f>
        <v>62.941</v>
      </c>
      <c r="E2630" s="6" t="n">
        <f aca="false">Sens!E2612</f>
        <v>63.712</v>
      </c>
      <c r="F2630" s="6" t="n">
        <f aca="false">Sens!F2612</f>
        <v>65.1415764563129</v>
      </c>
      <c r="G2630" s="6" t="n">
        <f aca="false">Sens!G2612</f>
        <v>67.1253610780702</v>
      </c>
      <c r="H2630" s="6" t="n">
        <f aca="false">Sens!H2612</f>
        <v>69.5768050148776</v>
      </c>
      <c r="I2630" s="6" t="n">
        <f aca="false">Sens!I2612</f>
        <v>72.4233188088189</v>
      </c>
      <c r="J2630" s="6" t="n">
        <f aca="false">Sens!J2612</f>
        <v>75.6044096678567</v>
      </c>
      <c r="K2630" s="6" t="n">
        <f aca="false">Sens!K2612</f>
        <v>79.0714397009747</v>
      </c>
    </row>
    <row r="2631" customFormat="false" ht="15" hidden="false" customHeight="false" outlineLevel="0" collapsed="false">
      <c r="A2631" s="1" t="s">
        <v>895</v>
      </c>
      <c r="B2631" s="0" t="s">
        <v>98</v>
      </c>
      <c r="D2631" s="6" t="n">
        <f aca="false">Sens!D2613</f>
        <v>281.724</v>
      </c>
      <c r="E2631" s="6" t="n">
        <f aca="false">Sens!E2613</f>
        <v>331.839</v>
      </c>
      <c r="F2631" s="6" t="n">
        <f aca="false">Sens!F2613</f>
        <v>399.407104707821</v>
      </c>
      <c r="G2631" s="6" t="n">
        <f aca="false">Sens!G2613</f>
        <v>475.197484137863</v>
      </c>
      <c r="H2631" s="6" t="n">
        <f aca="false">Sens!H2613</f>
        <v>552.773101018903</v>
      </c>
      <c r="I2631" s="6" t="n">
        <f aca="false">Sens!I2613</f>
        <v>624.326836435645</v>
      </c>
      <c r="J2631" s="6" t="n">
        <f aca="false">Sens!J2613</f>
        <v>683.058733812127</v>
      </c>
      <c r="K2631" s="6" t="n">
        <f aca="false">Sens!K2613</f>
        <v>730.312987514037</v>
      </c>
    </row>
    <row r="2632" customFormat="false" ht="15" hidden="false" customHeight="false" outlineLevel="0" collapsed="false">
      <c r="A2632" s="1" t="s">
        <v>896</v>
      </c>
      <c r="B2632" s="0" t="s">
        <v>129</v>
      </c>
      <c r="E2632" s="7" t="n">
        <f aca="false">Sens!E2631/Sens!D2631-1</f>
        <v>0.177886867998467</v>
      </c>
      <c r="F2632" s="7" t="n">
        <f aca="false">Sens!F2631/Sens!E2631-1</f>
        <v>0.203617129715978</v>
      </c>
      <c r="G2632" s="7" t="n">
        <f aca="false">Sens!G2631/Sens!F2631-1</f>
        <v>0.189757213972159</v>
      </c>
      <c r="H2632" s="7" t="n">
        <f aca="false">Sens!H2631/Sens!G2631-1</f>
        <v>0.163249216316418</v>
      </c>
      <c r="I2632" s="7" t="n">
        <f aca="false">Sens!I2631/Sens!H2631-1</f>
        <v>0.129445038633121</v>
      </c>
      <c r="J2632" s="7" t="n">
        <f aca="false">Sens!J2631/Sens!I2631-1</f>
        <v>0.0940723575359816</v>
      </c>
      <c r="K2632" s="7" t="n">
        <f aca="false">Sens!K2631/Sens!J2631-1</f>
        <v>0.0691803667280342</v>
      </c>
    </row>
    <row r="2633" customFormat="false" ht="17.15" hidden="false" customHeight="false" outlineLevel="0" collapsed="false">
      <c r="A2633" s="23" t="s">
        <v>897</v>
      </c>
      <c r="B2633" s="30" t="s">
        <v>98</v>
      </c>
      <c r="C2633" s="30"/>
      <c r="D2633" s="24" t="n">
        <f aca="false">(Sens!D2626+Sens!D2630-Sens!D2631)+(Sens!D2618+Sens!D2619-Sens!D2617)+(Sens!D2621+Sens!D2622-Sens!D2620)+(Sens!D2631-Q!L18)</f>
        <v>0</v>
      </c>
      <c r="E2633" s="24" t="n">
        <f aca="false">(Sens!E2626+Sens!E2630-Sens!E2631)+(Sens!E2618+Sens!E2619-Sens!E2617)+(Sens!E2621+Sens!E2622-Sens!E2620)+(Sens!E2631-Q!M18)</f>
        <v>0</v>
      </c>
      <c r="F2633" s="24" t="n">
        <f aca="false">(Sens!F2626+Sens!F2630-Sens!F2631)+(Sens!F2618+Sens!F2619-Sens!F2617)+(Sens!F2621+Sens!F2622-Sens!F2620)</f>
        <v>0</v>
      </c>
      <c r="G2633" s="24" t="n">
        <f aca="false">(Sens!G2626+Sens!G2630-Sens!G2631)+(Sens!G2618+Sens!G2619-Sens!G2617)+(Sens!G2621+Sens!G2622-Sens!G2620)</f>
        <v>0</v>
      </c>
      <c r="H2633" s="24" t="n">
        <f aca="false">(Sens!H2626+Sens!H2630-Sens!H2631)+(Sens!H2618+Sens!H2619-Sens!H2617)+(Sens!H2621+Sens!H2622-Sens!H2620)</f>
        <v>0</v>
      </c>
      <c r="I2633" s="24" t="n">
        <f aca="false">(Sens!I2626+Sens!I2630-Sens!I2631)+(Sens!I2618+Sens!I2619-Sens!I2617)+(Sens!I2621+Sens!I2622-Sens!I2620)</f>
        <v>0</v>
      </c>
      <c r="J2633" s="24" t="n">
        <f aca="false">(Sens!J2626+Sens!J2630-Sens!J2631)+(Sens!J2618+Sens!J2619-Sens!J2617)+(Sens!J2621+Sens!J2622-Sens!J2620)</f>
        <v>0</v>
      </c>
      <c r="K2633" s="24" t="n">
        <f aca="false">(Sens!K2626+Sens!K2630-Sens!K2631)+(Sens!K2618+Sens!K2619-Sens!K2617)+(Sens!K2621+Sens!K2622-Sens!K2620)</f>
        <v>0</v>
      </c>
    </row>
    <row r="2634" customFormat="false" ht="17.15" hidden="false" customHeight="false" outlineLevel="0" collapsed="false">
      <c r="A2634" s="0" t="s">
        <v>898</v>
      </c>
      <c r="B2634" s="0" t="s">
        <v>129</v>
      </c>
      <c r="E2634" s="7" t="n">
        <f aca="false">(Q!M21+Sens!E2571+Sens!E2572+Sens!E2573+Sens!E2586-Sens!E2569)/(Q!M5-Sens!E2569)</f>
        <v>0.550623586919075</v>
      </c>
      <c r="F2634" s="7" t="n">
        <f aca="false">Sens!$E$2634+dm_seg</f>
        <v>0.550623586919075</v>
      </c>
      <c r="G2634" s="7" t="n">
        <f aca="false">Sens!$E$2634+dm_seg</f>
        <v>0.550623586919075</v>
      </c>
      <c r="H2634" s="7" t="n">
        <f aca="false">Sens!$E$2634+dm_seg</f>
        <v>0.550623586919075</v>
      </c>
      <c r="I2634" s="7" t="n">
        <f aca="false">Sens!$E$2634+dm_seg</f>
        <v>0.550623586919075</v>
      </c>
      <c r="J2634" s="7" t="n">
        <f aca="false">Sens!$E$2634+dm_seg</f>
        <v>0.550623586919075</v>
      </c>
      <c r="K2634" s="7" t="n">
        <f aca="false">Sens!$E$2634+dm_seg</f>
        <v>0.550623586919075</v>
      </c>
      <c r="L2634" s="11" t="s">
        <v>899</v>
      </c>
    </row>
    <row r="2635" customFormat="false" ht="17.15" hidden="false" customHeight="false" outlineLevel="0" collapsed="false">
      <c r="A2635" s="0" t="s">
        <v>732</v>
      </c>
      <c r="B2635" s="0" t="s">
        <v>98</v>
      </c>
      <c r="D2635" s="6" t="n">
        <f aca="false">Q!L21</f>
        <v>110.814</v>
      </c>
      <c r="E2635" s="6" t="n">
        <f aca="false">Q!M21</f>
        <v>136.365</v>
      </c>
      <c r="F2635" s="6" t="n">
        <f aca="false">Sens!F2634*(Sens!F2605-Sens!F2569)+Sens!F2569-(Sens!F2571+Sens!F2572+Sens!F2573)-Sens!F2586</f>
        <v>159.325146235208</v>
      </c>
      <c r="G2635" s="6" t="n">
        <f aca="false">Sens!G2634*(Sens!G2605-Sens!G2569)+Sens!G2569-(Sens!G2571+Sens!G2572+Sens!G2573)-Sens!G2586</f>
        <v>182.574922144686</v>
      </c>
      <c r="H2635" s="6" t="n">
        <f aca="false">Sens!H2634*(Sens!H2605-Sens!H2569)+Sens!H2569-(Sens!H2571+Sens!H2572+Sens!H2573)-Sens!H2586</f>
        <v>209.095223432766</v>
      </c>
      <c r="I2635" s="6" t="n">
        <f aca="false">Sens!I2634*(Sens!I2605-Sens!I2569)+Sens!I2569-(Sens!I2571+Sens!I2572+Sens!I2573)-Sens!I2586</f>
        <v>233.847157180228</v>
      </c>
      <c r="J2635" s="6" t="n">
        <f aca="false">Sens!J2634*(Sens!J2605-Sens!J2569)+Sens!J2569-(Sens!J2571+Sens!J2572+Sens!J2573)-Sens!J2586</f>
        <v>255.261019541463</v>
      </c>
      <c r="K2635" s="6" t="n">
        <f aca="false">Sens!K2634*(Sens!K2605-Sens!K2569)+Sens!K2569-(Sens!K2571+Sens!K2572+Sens!K2573)-Sens!K2586</f>
        <v>274.306630616587</v>
      </c>
      <c r="L2635" s="1" t="s">
        <v>900</v>
      </c>
    </row>
    <row r="2636" customFormat="false" ht="17.15" hidden="false" customHeight="false" outlineLevel="0" collapsed="false">
      <c r="A2636" s="0" t="s">
        <v>901</v>
      </c>
      <c r="B2636" s="0" t="s">
        <v>129</v>
      </c>
      <c r="E2636" s="7" t="n">
        <f aca="false">Q!M22/Q!M12</f>
        <v>0.296207935710698</v>
      </c>
      <c r="F2636" s="7" t="n">
        <f aca="false">Sens!$E$2636+dm_seg</f>
        <v>0.296207935710698</v>
      </c>
      <c r="G2636" s="7" t="n">
        <f aca="false">Sens!$E$2636+dm_seg</f>
        <v>0.296207935710698</v>
      </c>
      <c r="H2636" s="7" t="n">
        <f aca="false">Sens!$E$2636+dm_seg</f>
        <v>0.296207935710698</v>
      </c>
      <c r="I2636" s="7" t="n">
        <f aca="false">Sens!$E$2636+dm_seg</f>
        <v>0.296207935710698</v>
      </c>
      <c r="J2636" s="7" t="n">
        <f aca="false">Sens!$E$2636+dm_seg</f>
        <v>0.296207935710698</v>
      </c>
      <c r="K2636" s="7" t="n">
        <f aca="false">Sens!$E$2636+dm_seg</f>
        <v>0.296207935710698</v>
      </c>
      <c r="L2636" s="11" t="s">
        <v>902</v>
      </c>
    </row>
    <row r="2637" customFormat="false" ht="17.15" hidden="false" customHeight="false" outlineLevel="0" collapsed="false">
      <c r="A2637" s="0" t="s">
        <v>734</v>
      </c>
      <c r="B2637" s="0" t="s">
        <v>98</v>
      </c>
      <c r="D2637" s="6" t="n">
        <f aca="false">Q!L22</f>
        <v>17.714</v>
      </c>
      <c r="E2637" s="6" t="n">
        <f aca="false">Q!M22</f>
        <v>18.872</v>
      </c>
      <c r="F2637" s="6" t="n">
        <f aca="false">Sens!F2612*Sens!F2636</f>
        <v>19.2954518910651</v>
      </c>
      <c r="G2637" s="6" t="n">
        <f aca="false">Sens!G2612*Sens!G2636</f>
        <v>19.8830646387704</v>
      </c>
      <c r="H2637" s="6" t="n">
        <f aca="false">Sens!H2612*Sens!H2636</f>
        <v>20.6092017868026</v>
      </c>
      <c r="I2637" s="6" t="n">
        <f aca="false">Sens!I2612*Sens!I2636</f>
        <v>21.452361761678</v>
      </c>
      <c r="J2637" s="6" t="n">
        <f aca="false">Sens!J2612*Sens!J2636</f>
        <v>22.3946261183418</v>
      </c>
      <c r="K2637" s="6" t="n">
        <f aca="false">Sens!K2612*Sens!K2636</f>
        <v>23.4215879274986</v>
      </c>
    </row>
    <row r="2638" customFormat="false" ht="15" hidden="false" customHeight="false" outlineLevel="0" collapsed="false">
      <c r="A2638" s="1" t="s">
        <v>903</v>
      </c>
      <c r="B2638" s="0" t="s">
        <v>98</v>
      </c>
      <c r="D2638" s="6" t="n">
        <f aca="false">Sens!D2635+Sens!D2637</f>
        <v>128.528</v>
      </c>
      <c r="E2638" s="6" t="n">
        <f aca="false">Sens!E2635+Sens!E2637</f>
        <v>155.237</v>
      </c>
      <c r="F2638" s="6" t="n">
        <f aca="false">Sens!F2635+Sens!F2637</f>
        <v>178.620598126273</v>
      </c>
      <c r="G2638" s="6" t="n">
        <f aca="false">Sens!G2635+Sens!G2637</f>
        <v>202.457986783456</v>
      </c>
      <c r="H2638" s="6" t="n">
        <f aca="false">Sens!H2635+Sens!H2637</f>
        <v>229.704425219568</v>
      </c>
      <c r="I2638" s="6" t="n">
        <f aca="false">Sens!I2635+Sens!I2637</f>
        <v>255.299518941906</v>
      </c>
      <c r="J2638" s="6" t="n">
        <f aca="false">Sens!J2635+Sens!J2637</f>
        <v>277.655645659804</v>
      </c>
      <c r="K2638" s="6" t="n">
        <f aca="false">Sens!K2635+Sens!K2637</f>
        <v>297.728218544086</v>
      </c>
    </row>
    <row r="2639" customFormat="false" ht="15" hidden="false" customHeight="false" outlineLevel="0" collapsed="false">
      <c r="A2639" s="23" t="s">
        <v>904</v>
      </c>
      <c r="B2639" s="30" t="s">
        <v>98</v>
      </c>
      <c r="C2639" s="30"/>
      <c r="D2639" s="24" t="n">
        <f aca="false">Sens!D2638-Q!L23</f>
        <v>0</v>
      </c>
      <c r="E2639" s="24" t="n">
        <f aca="false">Sens!E2638-Q!M23</f>
        <v>0</v>
      </c>
      <c r="F2639" s="30"/>
      <c r="G2639" s="30"/>
      <c r="H2639" s="30"/>
      <c r="I2639" s="30"/>
      <c r="J2639" s="30"/>
      <c r="K2639" s="30"/>
    </row>
    <row r="2640" customFormat="false" ht="15" hidden="false" customHeight="false" outlineLevel="0" collapsed="false">
      <c r="A2640" s="1" t="s">
        <v>905</v>
      </c>
      <c r="B2640" s="0" t="s">
        <v>129</v>
      </c>
      <c r="D2640" s="7" t="n">
        <f aca="false">Sens!D2638/Sens!D2631</f>
        <v>0.456219562408598</v>
      </c>
      <c r="E2640" s="7" t="n">
        <f aca="false">Sens!E2638/Sens!E2631</f>
        <v>0.467808184089272</v>
      </c>
      <c r="F2640" s="7" t="n">
        <f aca="false">Sens!F2638/Sens!F2631</f>
        <v>0.447214373557375</v>
      </c>
      <c r="G2640" s="7" t="n">
        <f aca="false">Sens!G2638/Sens!G2631</f>
        <v>0.426050207632664</v>
      </c>
      <c r="H2640" s="7" t="n">
        <f aca="false">Sens!H2638/Sens!H2631</f>
        <v>0.415549209605468</v>
      </c>
      <c r="I2640" s="7" t="n">
        <f aca="false">Sens!I2638/Sens!I2631</f>
        <v>0.408919662014596</v>
      </c>
      <c r="J2640" s="7" t="n">
        <f aca="false">Sens!J2638/Sens!J2631</f>
        <v>0.406488683791828</v>
      </c>
      <c r="K2640" s="7" t="n">
        <f aca="false">Sens!K2638/Sens!K2631</f>
        <v>0.407672085303513</v>
      </c>
    </row>
    <row r="2641" customFormat="false" ht="17.15" hidden="false" customHeight="false" outlineLevel="0" collapsed="false">
      <c r="A2641" s="1" t="s">
        <v>906</v>
      </c>
      <c r="B2641" s="0" t="s">
        <v>98</v>
      </c>
      <c r="F2641" s="6" t="n">
        <f aca="false">Sens!F2656</f>
        <v>6.78617029526946</v>
      </c>
      <c r="G2641" s="6" t="n">
        <f aca="false">Sens!G2656</f>
        <v>12.7953663153175</v>
      </c>
      <c r="H2641" s="6" t="n">
        <f aca="false">Sens!H2656</f>
        <v>19.4807903818407</v>
      </c>
      <c r="I2641" s="6" t="n">
        <f aca="false">Sens!I2656</f>
        <v>25.8530416446669</v>
      </c>
      <c r="J2641" s="6" t="n">
        <f aca="false">Sens!J2656</f>
        <v>30.3643772998612</v>
      </c>
      <c r="K2641" s="6" t="n">
        <f aca="false">Sens!K2656</f>
        <v>32.5149824990073</v>
      </c>
      <c r="L2641" s="1" t="s">
        <v>907</v>
      </c>
    </row>
    <row r="2642" customFormat="false" ht="17.15" hidden="false" customHeight="false" outlineLevel="0" collapsed="false">
      <c r="A2642" s="1" t="s">
        <v>908</v>
      </c>
      <c r="B2642" s="0" t="s">
        <v>98</v>
      </c>
      <c r="D2642" s="6" t="n">
        <f aca="false">Sens!D2638</f>
        <v>128.528</v>
      </c>
      <c r="E2642" s="6" t="n">
        <f aca="false">Sens!E2638</f>
        <v>155.237</v>
      </c>
      <c r="F2642" s="6" t="n">
        <f aca="false">Sens!F2638+Sens!F2641</f>
        <v>185.406768421542</v>
      </c>
      <c r="G2642" s="6" t="n">
        <f aca="false">Sens!G2638+Sens!G2641</f>
        <v>215.253353098774</v>
      </c>
      <c r="H2642" s="6" t="n">
        <f aca="false">Sens!H2638+Sens!H2641</f>
        <v>249.185215601409</v>
      </c>
      <c r="I2642" s="6" t="n">
        <f aca="false">Sens!I2638+Sens!I2641</f>
        <v>281.152560586573</v>
      </c>
      <c r="J2642" s="6" t="n">
        <f aca="false">Sens!J2638+Sens!J2641</f>
        <v>308.020022959666</v>
      </c>
      <c r="K2642" s="6" t="n">
        <f aca="false">Sens!K2638+Sens!K2641</f>
        <v>330.243201043093</v>
      </c>
    </row>
    <row r="2643" customFormat="false" ht="17.15" hidden="false" customHeight="false" outlineLevel="0" collapsed="false">
      <c r="A2643" s="1" t="s">
        <v>909</v>
      </c>
      <c r="B2643" s="0" t="s">
        <v>98</v>
      </c>
      <c r="E2643" s="6" t="n">
        <f aca="false">Sens!E2586</f>
        <v>13.0443247816667</v>
      </c>
      <c r="F2643" s="6" t="n">
        <f aca="false">Sens!F2586</f>
        <v>30.6027725775365</v>
      </c>
      <c r="G2643" s="6" t="n">
        <f aca="false">Sens!G2586</f>
        <v>54.0260750339529</v>
      </c>
      <c r="H2643" s="6" t="n">
        <f aca="false">Sens!H2586</f>
        <v>75.8145412201929</v>
      </c>
      <c r="I2643" s="6" t="n">
        <f aca="false">Sens!I2586</f>
        <v>95.2103204114581</v>
      </c>
      <c r="J2643" s="6" t="n">
        <f aca="false">Sens!J2586</f>
        <v>108.967657163814</v>
      </c>
      <c r="K2643" s="6" t="n">
        <f aca="false">Sens!K2586</f>
        <v>117.33880586926</v>
      </c>
    </row>
    <row r="2644" customFormat="false" ht="17.15" hidden="false" customHeight="false" outlineLevel="0" collapsed="false">
      <c r="A2644" s="1" t="s">
        <v>910</v>
      </c>
      <c r="B2644" s="0" t="s">
        <v>98</v>
      </c>
      <c r="E2644" s="6" t="n">
        <f aca="false">Sens!E2668</f>
        <v>25.4896752183333</v>
      </c>
      <c r="F2644" s="6" t="n">
        <f aca="false">Sens!F2668</f>
        <v>26.4986424194562</v>
      </c>
      <c r="G2644" s="6" t="n">
        <f aca="false">Sens!G2668</f>
        <v>27.9640675345495</v>
      </c>
      <c r="H2644" s="6" t="n">
        <f aca="false">Sens!H2668</f>
        <v>29.8488121455036</v>
      </c>
      <c r="I2644" s="6" t="n">
        <f aca="false">Sens!I2668</f>
        <v>32.0837709621176</v>
      </c>
      <c r="J2644" s="6" t="n">
        <f aca="false">Sens!J2668</f>
        <v>34.5834851909432</v>
      </c>
      <c r="K2644" s="6" t="n">
        <f aca="false">Sens!K2668</f>
        <v>37.2620069460483</v>
      </c>
    </row>
    <row r="2645" customFormat="false" ht="17.15" hidden="false" customHeight="false" outlineLevel="0" collapsed="false">
      <c r="A2645" s="1" t="s">
        <v>911</v>
      </c>
      <c r="B2645" s="0" t="s">
        <v>98</v>
      </c>
      <c r="D2645" s="6" t="n">
        <f aca="false">Q!L27</f>
        <v>-4.901</v>
      </c>
      <c r="E2645" s="6" t="n">
        <f aca="false">Q!M27</f>
        <v>10.697</v>
      </c>
      <c r="F2645" s="6" t="n">
        <f aca="false">oie_f</f>
        <v>-0.4</v>
      </c>
      <c r="G2645" s="6" t="n">
        <f aca="false">oie_f</f>
        <v>-0.4</v>
      </c>
      <c r="H2645" s="6" t="n">
        <f aca="false">oie_f</f>
        <v>-0.4</v>
      </c>
      <c r="I2645" s="6" t="n">
        <f aca="false">oie_f</f>
        <v>-0.4</v>
      </c>
      <c r="J2645" s="6" t="n">
        <f aca="false">oie_f</f>
        <v>-0.4</v>
      </c>
      <c r="K2645" s="6" t="n">
        <f aca="false">oie_f</f>
        <v>-0.4</v>
      </c>
      <c r="L2645" s="11" t="s">
        <v>912</v>
      </c>
    </row>
    <row r="2646" customFormat="false" ht="15" hidden="false" customHeight="false" outlineLevel="0" collapsed="false">
      <c r="A2646" s="1" t="s">
        <v>913</v>
      </c>
      <c r="B2646" s="0" t="s">
        <v>98</v>
      </c>
      <c r="D2646" s="6" t="n">
        <f aca="false">Sens!D2638+Sens!D2645</f>
        <v>123.627</v>
      </c>
      <c r="E2646" s="6" t="n">
        <f aca="false">Sens!E2638+Sens!E2645</f>
        <v>165.934</v>
      </c>
      <c r="F2646" s="6" t="n">
        <f aca="false">Sens!F2638+Sens!F2645</f>
        <v>178.220598126273</v>
      </c>
      <c r="G2646" s="6" t="n">
        <f aca="false">Sens!G2638+Sens!G2645</f>
        <v>202.057986783456</v>
      </c>
      <c r="H2646" s="6" t="n">
        <f aca="false">Sens!H2638+Sens!H2645</f>
        <v>229.304425219568</v>
      </c>
      <c r="I2646" s="6" t="n">
        <f aca="false">Sens!I2638+Sens!I2645</f>
        <v>254.899518941906</v>
      </c>
      <c r="J2646" s="6" t="n">
        <f aca="false">Sens!J2638+Sens!J2645</f>
        <v>277.255645659804</v>
      </c>
      <c r="K2646" s="6" t="n">
        <f aca="false">Sens!K2638+Sens!K2645</f>
        <v>297.328218544086</v>
      </c>
    </row>
    <row r="2647" customFormat="false" ht="15" hidden="false" customHeight="false" outlineLevel="0" collapsed="false">
      <c r="A2647" s="1" t="s">
        <v>914</v>
      </c>
      <c r="B2647" s="0" t="s">
        <v>98</v>
      </c>
      <c r="D2647" s="6" t="n">
        <f aca="false">Q!L29</f>
        <v>21.795</v>
      </c>
      <c r="E2647" s="6" t="n">
        <f aca="false">Q!M29</f>
        <v>32.185</v>
      </c>
      <c r="F2647" s="6" t="n">
        <f aca="false">Sens!F2646*tax_f</f>
        <v>35.6441196252546</v>
      </c>
      <c r="G2647" s="6" t="n">
        <f aca="false">Sens!G2646*tax_f</f>
        <v>40.4115973566912</v>
      </c>
      <c r="H2647" s="6" t="n">
        <f aca="false">Sens!H2646*tax_f</f>
        <v>45.8608850439137</v>
      </c>
      <c r="I2647" s="6" t="n">
        <f aca="false">Sens!I2646*tax_f</f>
        <v>50.9799037883812</v>
      </c>
      <c r="J2647" s="6" t="n">
        <f aca="false">Sens!J2646*tax_f</f>
        <v>55.4511291319609</v>
      </c>
      <c r="K2647" s="6" t="n">
        <f aca="false">Sens!K2646*tax_f</f>
        <v>59.4656437088171</v>
      </c>
    </row>
    <row r="2648" customFormat="false" ht="15" hidden="false" customHeight="false" outlineLevel="0" collapsed="false">
      <c r="A2648" s="1" t="s">
        <v>915</v>
      </c>
      <c r="B2648" s="0" t="s">
        <v>98</v>
      </c>
      <c r="D2648" s="6" t="n">
        <f aca="false">Sens!D2646-Sens!D2647</f>
        <v>101.832</v>
      </c>
      <c r="E2648" s="6" t="n">
        <f aca="false">Sens!E2646-Sens!E2647</f>
        <v>133.749</v>
      </c>
      <c r="F2648" s="6" t="n">
        <f aca="false">Sens!F2646-Sens!F2647</f>
        <v>142.576478501018</v>
      </c>
      <c r="G2648" s="6" t="n">
        <f aca="false">Sens!G2646-Sens!G2647</f>
        <v>161.646389426765</v>
      </c>
      <c r="H2648" s="6" t="n">
        <f aca="false">Sens!H2646-Sens!H2647</f>
        <v>183.443540175655</v>
      </c>
      <c r="I2648" s="6" t="n">
        <f aca="false">Sens!I2646-Sens!I2647</f>
        <v>203.919615153525</v>
      </c>
      <c r="J2648" s="6" t="n">
        <f aca="false">Sens!J2646-Sens!J2647</f>
        <v>221.804516527843</v>
      </c>
      <c r="K2648" s="6" t="n">
        <f aca="false">Sens!K2646-Sens!K2647</f>
        <v>237.862574835269</v>
      </c>
    </row>
    <row r="2649" customFormat="false" ht="17.15" hidden="false" customHeight="false" outlineLevel="0" collapsed="false">
      <c r="A2649" s="1" t="s">
        <v>916</v>
      </c>
      <c r="B2649" s="1" t="s">
        <v>81</v>
      </c>
      <c r="D2649" s="14" t="n">
        <f aca="false">Q!L31</f>
        <v>7.465</v>
      </c>
      <c r="E2649" s="14" t="n">
        <f aca="false">Q!M31</f>
        <v>7.453</v>
      </c>
      <c r="F2649" s="14" t="n">
        <f aca="false">Sens!F2690</f>
        <v>7.4735</v>
      </c>
      <c r="G2649" s="14" t="n">
        <f aca="false">Sens!G2690</f>
        <v>7.49987171271795</v>
      </c>
      <c r="H2649" s="14" t="n">
        <f aca="false">Sens!H2690</f>
        <v>7.50899501128585</v>
      </c>
      <c r="I2649" s="14" t="n">
        <f aca="false">Sens!I2690</f>
        <v>7.52077584329316</v>
      </c>
      <c r="J2649" s="14" t="n">
        <f aca="false">Sens!J2690</f>
        <v>7.53501735441104</v>
      </c>
      <c r="K2649" s="14" t="n">
        <f aca="false">Sens!K2690</f>
        <v>7.55153727211278</v>
      </c>
    </row>
    <row r="2650" customFormat="false" ht="17.15" hidden="false" customHeight="false" outlineLevel="0" collapsed="false">
      <c r="A2650" s="0" t="s">
        <v>917</v>
      </c>
      <c r="B2650" s="0" t="s">
        <v>75</v>
      </c>
      <c r="D2650" s="8" t="n">
        <f aca="false">Sens!D2648/Sens!D2649</f>
        <v>13.641259209645</v>
      </c>
      <c r="E2650" s="8" t="n">
        <f aca="false">Sens!E2648/Sens!E2649</f>
        <v>17.9456594659869</v>
      </c>
      <c r="F2650" s="8" t="n">
        <f aca="false">Sens!F2648/Sens!F2649</f>
        <v>19.0776046699697</v>
      </c>
      <c r="G2650" s="8" t="n">
        <f aca="false">Sens!G2648/Sens!G2649</f>
        <v>21.5532205907805</v>
      </c>
      <c r="H2650" s="8" t="n">
        <f aca="false">Sens!H2648/Sens!H2649</f>
        <v>24.4298391329257</v>
      </c>
      <c r="I2650" s="8" t="n">
        <f aca="false">Sens!I2648/Sens!I2649</f>
        <v>27.1141727133611</v>
      </c>
      <c r="J2650" s="8" t="n">
        <f aca="false">Sens!J2648/Sens!J2649</f>
        <v>29.4364971034868</v>
      </c>
      <c r="K2650" s="8" t="n">
        <f aca="false">Sens!K2648/Sens!K2649</f>
        <v>31.4985633075898</v>
      </c>
      <c r="L2650" s="1" t="s">
        <v>918</v>
      </c>
    </row>
    <row r="2651" customFormat="false" ht="17.15" hidden="false" customHeight="false" outlineLevel="0" collapsed="false">
      <c r="A2651" s="1" t="s">
        <v>919</v>
      </c>
      <c r="B2651" s="0" t="s">
        <v>98</v>
      </c>
      <c r="D2651" s="6" t="n">
        <f aca="false">Sens!D2648</f>
        <v>101.832</v>
      </c>
      <c r="E2651" s="6" t="n">
        <f aca="false">Sens!E2648</f>
        <v>133.749</v>
      </c>
      <c r="F2651" s="6" t="n">
        <f aca="false">Sens!F2648+Sens!F2641*(1-tax_f)</f>
        <v>148.005414737234</v>
      </c>
      <c r="G2651" s="6" t="n">
        <f aca="false">Sens!G2648+Sens!G2641*(1-tax_f)</f>
        <v>171.882682479019</v>
      </c>
      <c r="H2651" s="6" t="n">
        <f aca="false">Sens!H2648+Sens!H2641*(1-tax_f)</f>
        <v>199.028172481127</v>
      </c>
      <c r="I2651" s="6" t="n">
        <f aca="false">Sens!I2648+Sens!I2641*(1-tax_f)</f>
        <v>224.602048469258</v>
      </c>
      <c r="J2651" s="6" t="n">
        <f aca="false">Sens!J2648+Sens!J2641*(1-tax_f)</f>
        <v>246.096018367732</v>
      </c>
      <c r="K2651" s="6" t="n">
        <f aca="false">Sens!K2648+Sens!K2641*(1-tax_f)</f>
        <v>263.874560834474</v>
      </c>
    </row>
    <row r="2652" customFormat="false" ht="17.15" hidden="false" customHeight="false" outlineLevel="0" collapsed="false">
      <c r="A2652" s="0" t="s">
        <v>920</v>
      </c>
      <c r="B2652" s="0" t="s">
        <v>75</v>
      </c>
      <c r="D2652" s="8" t="n">
        <f aca="false">Sens!D2651/Sens!D2649</f>
        <v>13.641259209645</v>
      </c>
      <c r="E2652" s="8" t="n">
        <f aca="false">Sens!E2651/Sens!E2649</f>
        <v>17.9456594659869</v>
      </c>
      <c r="F2652" s="8" t="n">
        <f aca="false">Sens!F2651/Sens!F2649</f>
        <v>19.8040295359917</v>
      </c>
      <c r="G2652" s="8" t="n">
        <f aca="false">Sens!G2651/Sens!G2649</f>
        <v>22.9180830103464</v>
      </c>
      <c r="H2652" s="8" t="n">
        <f aca="false">Sens!H2651/Sens!H2649</f>
        <v>26.5053009333463</v>
      </c>
      <c r="I2652" s="8" t="n">
        <f aca="false">Sens!I2651/Sens!I2649</f>
        <v>29.8642125691797</v>
      </c>
      <c r="J2652" s="8" t="n">
        <f aca="false">Sens!J2651/Sens!J2649</f>
        <v>32.6603120858994</v>
      </c>
      <c r="K2652" s="8" t="n">
        <f aca="false">Sens!K2651/Sens!K2649</f>
        <v>34.943158104899</v>
      </c>
      <c r="L2652" s="1" t="s">
        <v>921</v>
      </c>
    </row>
    <row r="2653" customFormat="false" ht="17.15" hidden="false" customHeight="false" outlineLevel="0" collapsed="false">
      <c r="A2653" s="0" t="s">
        <v>922</v>
      </c>
      <c r="B2653" s="0" t="s">
        <v>129</v>
      </c>
      <c r="E2653" s="7" t="n">
        <f aca="false">Sens!E2652/Sens!D2652-1</f>
        <v>0.315542736208578</v>
      </c>
      <c r="F2653" s="7" t="n">
        <f aca="false">Sens!F2652/Sens!E2652-1</f>
        <v>0.103555407006752</v>
      </c>
      <c r="G2653" s="7" t="n">
        <f aca="false">Sens!G2652/Sens!F2652-1</f>
        <v>0.157243427086153</v>
      </c>
      <c r="H2653" s="7" t="n">
        <f aca="false">Sens!H2652/Sens!G2652-1</f>
        <v>0.156523471940494</v>
      </c>
      <c r="I2653" s="7" t="n">
        <f aca="false">Sens!I2652/Sens!H2652-1</f>
        <v>0.126726032814346</v>
      </c>
      <c r="J2653" s="7" t="n">
        <f aca="false">Sens!J2652/Sens!I2652-1</f>
        <v>0.0936270966543189</v>
      </c>
      <c r="K2653" s="7" t="n">
        <f aca="false">Sens!K2652/Sens!J2652-1</f>
        <v>0.0698966382499808</v>
      </c>
    </row>
    <row r="2654" customFormat="false" ht="17.15" hidden="false" customHeight="false" outlineLevel="0" collapsed="false">
      <c r="A2654" s="0" t="s">
        <v>846</v>
      </c>
      <c r="B2654" s="0" t="s">
        <v>98</v>
      </c>
      <c r="E2654" s="6" t="n">
        <f aca="false">Sens!E2595</f>
        <v>5.25</v>
      </c>
      <c r="F2654" s="6" t="n">
        <f aca="false">Sens!F2595</f>
        <v>12</v>
      </c>
      <c r="G2654" s="6" t="n">
        <f aca="false">Sens!G2595</f>
        <v>18</v>
      </c>
      <c r="H2654" s="6" t="n">
        <f aca="false">Sens!H2595</f>
        <v>24</v>
      </c>
      <c r="I2654" s="6" t="n">
        <f aca="false">Sens!I2595</f>
        <v>28.5</v>
      </c>
      <c r="J2654" s="6" t="n">
        <f aca="false">Sens!J2595</f>
        <v>31.5</v>
      </c>
      <c r="K2654" s="6" t="n">
        <f aca="false">Sens!K2595</f>
        <v>34.5</v>
      </c>
    </row>
    <row r="2655" customFormat="false" ht="17.15" hidden="false" customHeight="false" outlineLevel="0" collapsed="false">
      <c r="A2655" s="1" t="s">
        <v>847</v>
      </c>
      <c r="B2655" s="0" t="s">
        <v>98</v>
      </c>
      <c r="F2655" s="6" t="n">
        <f aca="false">MAX(0,(Sens!E2558+Sens!F2558)/2*Sens!F2566/1000-Sens!F2654*Sens!F2634)</f>
        <v>6.78617029526946</v>
      </c>
      <c r="G2655" s="6" t="n">
        <f aca="false">MAX(0,(Sens!F2558+Sens!G2558)/2*Sens!G2566/1000-Sens!G2654*Sens!G2634)</f>
        <v>12.7953663153175</v>
      </c>
      <c r="H2655" s="6" t="n">
        <f aca="false">MAX(0,(Sens!G2558+Sens!H2558)/2*Sens!H2566/1000-Sens!H2654*Sens!H2634)</f>
        <v>19.4807903818407</v>
      </c>
      <c r="I2655" s="6" t="n">
        <f aca="false">MAX(0,(Sens!H2558+Sens!I2558)/2*Sens!I2566/1000-Sens!I2654*Sens!I2634)</f>
        <v>25.8530416446669</v>
      </c>
      <c r="J2655" s="6" t="n">
        <f aca="false">MAX(0,(Sens!I2558+Sens!J2558)/2*Sens!J2566/1000-Sens!J2654*Sens!J2634)</f>
        <v>30.3643772998612</v>
      </c>
      <c r="K2655" s="6" t="n">
        <f aca="false">MAX(0,(Sens!J2558+Sens!K2558)/2*Sens!K2566/1000-Sens!K2654*Sens!K2634)</f>
        <v>32.5149824990073</v>
      </c>
      <c r="L2655" s="1" t="s">
        <v>848</v>
      </c>
    </row>
    <row r="2656" customFormat="false" ht="17.15" hidden="false" customHeight="false" outlineLevel="0" collapsed="false">
      <c r="A2656" s="1" t="s">
        <v>849</v>
      </c>
      <c r="B2656" s="0" t="s">
        <v>98</v>
      </c>
      <c r="F2656" s="6" t="n">
        <f aca="false">IF(internal_ai_reading=2,1,0)*Sens!F2655</f>
        <v>6.78617029526946</v>
      </c>
      <c r="G2656" s="6" t="n">
        <f aca="false">IF(internal_ai_reading=2,1,0)*Sens!G2655</f>
        <v>12.7953663153175</v>
      </c>
      <c r="H2656" s="6" t="n">
        <f aca="false">IF(internal_ai_reading=2,1,0)*Sens!H2655</f>
        <v>19.4807903818407</v>
      </c>
      <c r="I2656" s="6" t="n">
        <f aca="false">IF(internal_ai_reading=2,1,0)*Sens!I2655</f>
        <v>25.8530416446669</v>
      </c>
      <c r="J2656" s="6" t="n">
        <f aca="false">IF(internal_ai_reading=2,1,0)*Sens!J2655</f>
        <v>30.3643772998612</v>
      </c>
      <c r="K2656" s="6" t="n">
        <f aca="false">IF(internal_ai_reading=2,1,0)*Sens!K2655</f>
        <v>32.5149824990073</v>
      </c>
    </row>
    <row r="2657" customFormat="false" ht="17.15" hidden="false" customHeight="false" outlineLevel="0" collapsed="false">
      <c r="A2657" s="0" t="s">
        <v>850</v>
      </c>
      <c r="B2657" s="0" t="s">
        <v>98</v>
      </c>
      <c r="F2657" s="6" t="n">
        <f aca="false">Sens!F2575+Sens!F2654*Sens!F2634+Sens!F2656-Sens!F2576-Sens!F2586</f>
        <v>18.9838562347009</v>
      </c>
      <c r="G2657" s="6" t="n">
        <f aca="false">Sens!G2575+Sens!G2654*Sens!G2634+Sens!G2656-Sens!G2576-Sens!G2586</f>
        <v>29.8409548166315</v>
      </c>
      <c r="H2657" s="6" t="n">
        <f aca="false">Sens!H2575+Sens!H2654*Sens!H2634+Sens!H2656-Sens!H2576-Sens!H2586</f>
        <v>44.4691449805596</v>
      </c>
      <c r="I2657" s="6" t="n">
        <f aca="false">Sens!I2575+Sens!I2654*Sens!I2634+Sens!I2656-Sens!I2576-Sens!I2586</f>
        <v>57.4864080622917</v>
      </c>
      <c r="J2657" s="6" t="n">
        <f aca="false">Sens!J2575+Sens!J2654*Sens!J2634+Sens!J2656-Sens!J2576-Sens!J2586</f>
        <v>66.4993639077387</v>
      </c>
      <c r="K2657" s="6" t="n">
        <f aca="false">Sens!K2575+Sens!K2654*Sens!K2634+Sens!K2656-Sens!K2576-Sens!K2586</f>
        <v>72.7270532785165</v>
      </c>
    </row>
    <row r="2658" customFormat="false" ht="17.15" hidden="false" customHeight="false" outlineLevel="0" collapsed="false">
      <c r="A2658" s="0" t="s">
        <v>851</v>
      </c>
      <c r="B2658" s="0" t="s">
        <v>98</v>
      </c>
      <c r="E2658" s="6" t="n">
        <f aca="false">Sens!E2557*(cxit_open+self_build*tk_cxfac)/1000*ai_net_open</f>
        <v>101.35843056</v>
      </c>
      <c r="F2658" s="6" t="n">
        <f aca="false">Sens!E2658+Sens!F2583-Sens!F2586</f>
        <v>239.376310752901</v>
      </c>
      <c r="G2658" s="6" t="n">
        <f aca="false">Sens!F2658+Sens!G2583-Sens!G2586</f>
        <v>332.209580105508</v>
      </c>
      <c r="H2658" s="6" t="n">
        <f aca="false">Sens!G2658+Sens!H2583-Sens!H2586</f>
        <v>406.859267613635</v>
      </c>
      <c r="I2658" s="6" t="n">
        <f aca="false">Sens!H2658+Sens!I2583-Sens!I2586</f>
        <v>442.614282525573</v>
      </c>
      <c r="J2658" s="6" t="n">
        <f aca="false">Sens!I2658+Sens!J2583-Sens!J2586</f>
        <v>433.256606736232</v>
      </c>
      <c r="K2658" s="6" t="n">
        <f aca="false">Sens!J2658+Sens!K2583-Sens!K2586</f>
        <v>407.885349380521</v>
      </c>
      <c r="L2658" s="1" t="s">
        <v>852</v>
      </c>
    </row>
    <row r="2659" customFormat="false" ht="17.15" hidden="false" customHeight="false" outlineLevel="0" collapsed="false">
      <c r="A2659" s="0" t="s">
        <v>853</v>
      </c>
      <c r="B2659" s="0" t="s">
        <v>129</v>
      </c>
      <c r="F2659" s="7" t="n">
        <f aca="false">Sens!F2657*(1-tax_f)/((Sens!E2658+Sens!F2658)/2)</f>
        <v>0.0891431553427315</v>
      </c>
      <c r="G2659" s="7" t="n">
        <f aca="false">Sens!G2657*(1-tax_f)/((Sens!F2658+Sens!G2658)/2)</f>
        <v>0.0835316764640675</v>
      </c>
      <c r="H2659" s="7" t="n">
        <f aca="false">Sens!H2657*(1-tax_f)/((Sens!G2658+Sens!H2658)/2)</f>
        <v>0.0962706413461681</v>
      </c>
      <c r="I2659" s="7" t="n">
        <f aca="false">Sens!I2657*(1-tax_f)/((Sens!H2658+Sens!I2658)/2)</f>
        <v>0.108276770812456</v>
      </c>
      <c r="J2659" s="7" t="n">
        <f aca="false">Sens!J2657*(1-tax_f)/((Sens!I2658+Sens!J2658)/2)</f>
        <v>0.121477929631908</v>
      </c>
      <c r="K2659" s="7" t="n">
        <f aca="false">Sens!K2657*(1-tax_f)/((Sens!J2658+Sens!K2658)/2)</f>
        <v>0.138339651707345</v>
      </c>
    </row>
    <row r="2660" customFormat="false" ht="17.15" hidden="false" customHeight="false" outlineLevel="0" collapsed="false">
      <c r="A2660" s="1" t="s">
        <v>854</v>
      </c>
      <c r="B2660" s="0" t="s">
        <v>129</v>
      </c>
      <c r="F2660" s="7" t="n">
        <f aca="false">(Sens!F2657-Sens!F2656)*(1-tax_f)/((Sens!E2658+Sens!F2658)/2)</f>
        <v>0.0572770989770256</v>
      </c>
      <c r="G2660" s="7" t="n">
        <f aca="false">(Sens!G2657-Sens!G2656)*(1-tax_f)/((Sens!F2658+Sens!G2658)/2)</f>
        <v>0.0477145115691078</v>
      </c>
      <c r="H2660" s="7" t="n">
        <f aca="false">(Sens!H2657-Sens!H2656)*(1-tax_f)/((Sens!G2658+Sens!H2658)/2)</f>
        <v>0.0540969457464451</v>
      </c>
      <c r="I2660" s="7" t="n">
        <f aca="false">(Sens!I2657-Sens!I2656)*(1-tax_f)/((Sens!H2658+Sens!I2658)/2)</f>
        <v>0.0595820626315033</v>
      </c>
      <c r="J2660" s="7" t="n">
        <f aca="false">(Sens!J2657-Sens!J2656)*(1-tax_f)/((Sens!I2658+Sens!J2658)/2)</f>
        <v>0.0660097044911861</v>
      </c>
      <c r="K2660" s="7" t="n">
        <f aca="false">(Sens!K2657-Sens!K2656)*(1-tax_f)/((Sens!J2658+Sens!K2658)/2)</f>
        <v>0.0764904339622364</v>
      </c>
    </row>
    <row r="2661" customFormat="false" ht="17.15" hidden="false" customHeight="false" outlineLevel="0" collapsed="false">
      <c r="A2661" s="1" t="s">
        <v>855</v>
      </c>
      <c r="B2661" s="0" t="s">
        <v>129</v>
      </c>
      <c r="F2661" s="7" t="n">
        <f aca="false">(Sens!F2657-Sens!F2656+Sens!F2655)*(1-tax_f)/((Sens!E2658+Sens!F2658)/2)</f>
        <v>0.0891431553427315</v>
      </c>
      <c r="G2661" s="7" t="n">
        <f aca="false">(Sens!G2657-Sens!G2656+Sens!G2655)*(1-tax_f)/((Sens!F2658+Sens!G2658)/2)</f>
        <v>0.0835316764640675</v>
      </c>
      <c r="H2661" s="7" t="n">
        <f aca="false">(Sens!H2657-Sens!H2656+Sens!H2655)*(1-tax_f)/((Sens!G2658+Sens!H2658)/2)</f>
        <v>0.0962706413461681</v>
      </c>
      <c r="I2661" s="7" t="n">
        <f aca="false">(Sens!I2657-Sens!I2656+Sens!I2655)*(1-tax_f)/((Sens!H2658+Sens!I2658)/2)</f>
        <v>0.108276770812456</v>
      </c>
      <c r="J2661" s="7" t="n">
        <f aca="false">(Sens!J2657-Sens!J2656+Sens!J2655)*(1-tax_f)/((Sens!I2658+Sens!J2658)/2)</f>
        <v>0.121477929631908</v>
      </c>
      <c r="K2661" s="7" t="n">
        <f aca="false">(Sens!K2657-Sens!K2656+Sens!K2655)*(1-tax_f)/((Sens!J2658+Sens!K2658)/2)</f>
        <v>0.138339651707345</v>
      </c>
    </row>
    <row r="2662" customFormat="false" ht="17.15" hidden="false" customHeight="false" outlineLevel="0" collapsed="false">
      <c r="A2662" s="1" t="s">
        <v>856</v>
      </c>
      <c r="B2662" s="0" t="s">
        <v>129</v>
      </c>
      <c r="F2662" s="7" t="n">
        <f aca="false">Sens!F2587*(1-tax_f)/(Sens!F2574*(Sens!E2658+Sens!F2658)/2)</f>
        <v>0.103352255790523</v>
      </c>
      <c r="G2662" s="7" t="n">
        <f aca="false">Sens!G2587*(1-tax_f)/(Sens!G2574*(Sens!F2658+Sens!G2658)/2)</f>
        <v>0.0971638568362643</v>
      </c>
      <c r="H2662" s="7" t="n">
        <f aca="false">Sens!H2587*(1-tax_f)/(Sens!H2574*(Sens!G2658+Sens!H2658)/2)</f>
        <v>0.110723076655804</v>
      </c>
      <c r="I2662" s="7" t="n">
        <f aca="false">Sens!I2587*(1-tax_f)/(Sens!I2574*(Sens!H2658+Sens!I2658)/2)</f>
        <v>0.123847310877474</v>
      </c>
      <c r="J2662" s="7" t="n">
        <f aca="false">Sens!J2587*(1-tax_f)/(Sens!J2574*(Sens!I2658+Sens!J2658)/2)</f>
        <v>0.138616929885583</v>
      </c>
      <c r="K2662" s="7" t="n">
        <f aca="false">Sens!K2587*(1-tax_f)/(Sens!K2574*(Sens!J2658+Sens!K2658)/2)</f>
        <v>0.157578115359997</v>
      </c>
    </row>
    <row r="2663" customFormat="false" ht="17.15" hidden="false" customHeight="false" outlineLevel="0" collapsed="false">
      <c r="A2663" s="0" t="s">
        <v>857</v>
      </c>
      <c r="B2663" s="0" t="s">
        <v>209</v>
      </c>
      <c r="F2663" s="7" t="n">
        <f aca="false">Sens!F2659-wacc</f>
        <v>-0.0137912647501442</v>
      </c>
      <c r="G2663" s="7" t="n">
        <f aca="false">Sens!G2659-wacc</f>
        <v>-0.0194027436288083</v>
      </c>
      <c r="H2663" s="7" t="n">
        <f aca="false">Sens!H2659-wacc</f>
        <v>-0.00666377874670764</v>
      </c>
      <c r="I2663" s="7" t="n">
        <f aca="false">Sens!I2659-wacc</f>
        <v>0.00534235071958072</v>
      </c>
      <c r="J2663" s="7" t="n">
        <f aca="false">Sens!J2659-wacc</f>
        <v>0.018543509539032</v>
      </c>
      <c r="K2663" s="7" t="n">
        <f aca="false">Sens!K2659-wacc</f>
        <v>0.0354052316144693</v>
      </c>
    </row>
    <row r="2664" customFormat="false" ht="17.15" hidden="false" customHeight="false" outlineLevel="0" collapsed="false">
      <c r="A2664" s="0" t="s">
        <v>858</v>
      </c>
      <c r="B2664" s="0" t="s">
        <v>98</v>
      </c>
      <c r="F2664" s="6" t="n">
        <f aca="false">Sens!F2657*(1-tax_f)-wacc*(Sens!E2658+Sens!F2658)/2</f>
        <v>-2.34958151350906</v>
      </c>
      <c r="G2664" s="6" t="n">
        <f aca="false">Sens!G2657*(1-tax_f)-wacc*(Sens!F2658+Sens!G2658)/2</f>
        <v>-5.54516725108485</v>
      </c>
      <c r="H2664" s="6" t="n">
        <f aca="false">Sens!H2657*(1-tax_f)-wacc*(Sens!G2658+Sens!H2658)/2</f>
        <v>-2.46249563989226</v>
      </c>
      <c r="I2664" s="6" t="n">
        <f aca="false">Sens!I2657*(1-tax_f)-wacc*(Sens!H2658+Sens!I2658)/2</f>
        <v>2.2690928159255</v>
      </c>
      <c r="J2664" s="6" t="n">
        <f aca="false">Sens!J2657*(1-tax_f)-wacc*(Sens!I2658+Sens!J2658)/2</f>
        <v>8.12086009499335</v>
      </c>
      <c r="K2664" s="6" t="n">
        <f aca="false">Sens!K2657*(1-tax_f)-wacc*(Sens!J2658+Sens!K2658)/2</f>
        <v>14.8904128884807</v>
      </c>
    </row>
    <row r="2665" customFormat="false" ht="17.15" hidden="false" customHeight="false" outlineLevel="0" collapsed="false">
      <c r="A2665" s="3" t="s">
        <v>1302</v>
      </c>
    </row>
    <row r="2666" customFormat="false" ht="15" hidden="false" customHeight="false" outlineLevel="0" collapsed="false">
      <c r="A2666" s="4" t="s">
        <v>43</v>
      </c>
      <c r="B2666" s="4" t="s">
        <v>65</v>
      </c>
      <c r="C2666" s="20" t="s">
        <v>788</v>
      </c>
      <c r="D2666" s="20" t="s">
        <v>789</v>
      </c>
      <c r="E2666" s="20" t="s">
        <v>790</v>
      </c>
      <c r="F2666" s="20" t="s">
        <v>791</v>
      </c>
      <c r="G2666" s="20" t="s">
        <v>792</v>
      </c>
      <c r="H2666" s="20" t="s">
        <v>793</v>
      </c>
      <c r="I2666" s="20" t="s">
        <v>794</v>
      </c>
      <c r="J2666" s="20" t="s">
        <v>795</v>
      </c>
      <c r="K2666" s="20" t="s">
        <v>796</v>
      </c>
      <c r="L2666" s="4" t="s">
        <v>47</v>
      </c>
    </row>
    <row r="2667" customFormat="false" ht="15" hidden="false" customHeight="false" outlineLevel="0" collapsed="false">
      <c r="A2667" s="1" t="s">
        <v>915</v>
      </c>
      <c r="B2667" s="0" t="s">
        <v>98</v>
      </c>
      <c r="F2667" s="6" t="n">
        <f aca="false">Sens!F2648</f>
        <v>142.576478501018</v>
      </c>
      <c r="G2667" s="6" t="n">
        <f aca="false">Sens!G2648</f>
        <v>161.646389426765</v>
      </c>
      <c r="H2667" s="6" t="n">
        <f aca="false">Sens!H2648</f>
        <v>183.443540175655</v>
      </c>
      <c r="I2667" s="6" t="n">
        <f aca="false">Sens!I2648</f>
        <v>203.919615153525</v>
      </c>
      <c r="J2667" s="6" t="n">
        <f aca="false">Sens!J2648</f>
        <v>221.804516527843</v>
      </c>
      <c r="K2667" s="6" t="n">
        <f aca="false">Sens!K2648</f>
        <v>237.862574835269</v>
      </c>
    </row>
    <row r="2668" customFormat="false" ht="17.15" hidden="false" customHeight="false" outlineLevel="0" collapsed="false">
      <c r="A2668" s="1" t="s">
        <v>937</v>
      </c>
      <c r="B2668" s="0" t="s">
        <v>98</v>
      </c>
      <c r="E2668" s="6" t="n">
        <f aca="false">Q!M38-Sens!E2586</f>
        <v>25.4896752183333</v>
      </c>
      <c r="F2668" s="6" t="n">
        <f aca="false">Sens!E2668*(1-1/life_nonai)+Sens!F2674/life_nonai</f>
        <v>26.4986424194562</v>
      </c>
      <c r="G2668" s="6" t="n">
        <f aca="false">Sens!F2668*(1-1/life_nonai)+Sens!G2674/life_nonai</f>
        <v>27.9640675345495</v>
      </c>
      <c r="H2668" s="6" t="n">
        <f aca="false">Sens!G2668*(1-1/life_nonai)+Sens!H2674/life_nonai</f>
        <v>29.8488121455036</v>
      </c>
      <c r="I2668" s="6" t="n">
        <f aca="false">Sens!H2668*(1-1/life_nonai)+Sens!I2674/life_nonai</f>
        <v>32.0837709621176</v>
      </c>
      <c r="J2668" s="6" t="n">
        <f aca="false">Sens!I2668*(1-1/life_nonai)+Sens!J2674/life_nonai</f>
        <v>34.5834851909432</v>
      </c>
      <c r="K2668" s="6" t="n">
        <f aca="false">Sens!J2668*(1-1/life_nonai)+Sens!K2674/life_nonai</f>
        <v>37.2620069460483</v>
      </c>
      <c r="L2668" s="11" t="s">
        <v>938</v>
      </c>
    </row>
    <row r="2669" customFormat="false" ht="17.15" hidden="false" customHeight="false" outlineLevel="0" collapsed="false">
      <c r="A2669" s="1" t="s">
        <v>939</v>
      </c>
      <c r="B2669" s="0" t="s">
        <v>98</v>
      </c>
      <c r="E2669" s="6" t="n">
        <f aca="false">Sens!E2586+Sens!E2668</f>
        <v>38.534</v>
      </c>
      <c r="F2669" s="6" t="n">
        <f aca="false">Sens!F2586+Sens!F2668</f>
        <v>57.1014149969927</v>
      </c>
      <c r="G2669" s="6" t="n">
        <f aca="false">Sens!G2586+Sens!G2668</f>
        <v>81.9901425685025</v>
      </c>
      <c r="H2669" s="6" t="n">
        <f aca="false">Sens!H2586+Sens!H2668</f>
        <v>105.663353365696</v>
      </c>
      <c r="I2669" s="6" t="n">
        <f aca="false">Sens!I2586+Sens!I2668</f>
        <v>127.294091373576</v>
      </c>
      <c r="J2669" s="6" t="n">
        <f aca="false">Sens!J2586+Sens!J2668</f>
        <v>143.551142354757</v>
      </c>
      <c r="K2669" s="6" t="n">
        <f aca="false">Sens!K2586+Sens!K2668</f>
        <v>154.600812815308</v>
      </c>
    </row>
    <row r="2670" customFormat="false" ht="17.15" hidden="false" customHeight="false" outlineLevel="0" collapsed="false">
      <c r="A2670" s="1" t="s">
        <v>940</v>
      </c>
      <c r="B2670" s="0" t="s">
        <v>98</v>
      </c>
      <c r="F2670" s="6" t="n">
        <f aca="false">Sens!F2613*sbc_r</f>
        <v>14.9308704941267</v>
      </c>
      <c r="G2670" s="6" t="n">
        <f aca="false">Sens!G2613*sbc_r</f>
        <v>17.7641108812713</v>
      </c>
      <c r="H2670" s="6" t="n">
        <f aca="false">Sens!H2613*sbc_r</f>
        <v>20.6640880611968</v>
      </c>
      <c r="I2670" s="6" t="n">
        <f aca="false">Sens!I2613*sbc_r</f>
        <v>23.3389517385966</v>
      </c>
      <c r="J2670" s="6" t="n">
        <f aca="false">Sens!J2613*sbc_r</f>
        <v>25.5345019510649</v>
      </c>
      <c r="K2670" s="6" t="n">
        <f aca="false">Sens!K2613*sbc_r</f>
        <v>27.3009881602573</v>
      </c>
    </row>
    <row r="2671" customFormat="false" ht="17.15" hidden="false" customHeight="false" outlineLevel="0" collapsed="false">
      <c r="A2671" s="1" t="s">
        <v>941</v>
      </c>
      <c r="B2671" s="0" t="s">
        <v>98</v>
      </c>
      <c r="F2671" s="6" t="n">
        <f aca="false">wc27</f>
        <v>-4.895</v>
      </c>
      <c r="G2671" s="6" t="n">
        <f aca="false">wc_f</f>
        <v>0</v>
      </c>
      <c r="H2671" s="6" t="n">
        <f aca="false">wc_f</f>
        <v>0</v>
      </c>
      <c r="I2671" s="6" t="n">
        <f aca="false">wc_f</f>
        <v>0</v>
      </c>
      <c r="J2671" s="6" t="n">
        <f aca="false">wc_f</f>
        <v>0</v>
      </c>
      <c r="K2671" s="6" t="n">
        <f aca="false">wc_f</f>
        <v>0</v>
      </c>
      <c r="L2671" s="11" t="s">
        <v>942</v>
      </c>
    </row>
    <row r="2672" customFormat="false" ht="15" hidden="false" customHeight="false" outlineLevel="0" collapsed="false">
      <c r="A2672" s="1" t="s">
        <v>756</v>
      </c>
      <c r="B2672" s="0" t="s">
        <v>98</v>
      </c>
      <c r="E2672" s="6" t="n">
        <f aca="false">Q!M35</f>
        <v>182.935</v>
      </c>
      <c r="F2672" s="6" t="n">
        <f aca="false">Sens!F2667+Sens!F2669+Sens!F2670+Sens!F2671</f>
        <v>209.713763992138</v>
      </c>
      <c r="G2672" s="6" t="n">
        <f aca="false">Sens!G2667+Sens!G2669+Sens!G2670+Sens!G2671</f>
        <v>261.400642876539</v>
      </c>
      <c r="H2672" s="6" t="n">
        <f aca="false">Sens!H2667+Sens!H2669+Sens!H2670+Sens!H2671</f>
        <v>309.770981602548</v>
      </c>
      <c r="I2672" s="6" t="n">
        <f aca="false">Sens!I2667+Sens!I2669+Sens!I2670+Sens!I2671</f>
        <v>354.552658265697</v>
      </c>
      <c r="J2672" s="6" t="n">
        <f aca="false">Sens!J2667+Sens!J2669+Sens!J2670+Sens!J2671</f>
        <v>390.890160833665</v>
      </c>
      <c r="K2672" s="6" t="n">
        <f aca="false">Sens!K2667+Sens!K2669+Sens!K2670+Sens!K2671</f>
        <v>419.764375810834</v>
      </c>
    </row>
    <row r="2673" customFormat="false" ht="17.15" hidden="false" customHeight="false" outlineLevel="0" collapsed="false">
      <c r="A2673" s="0" t="s">
        <v>943</v>
      </c>
      <c r="B2673" s="0" t="s">
        <v>98</v>
      </c>
      <c r="F2673" s="6" t="n">
        <f aca="false">Sens!F2583</f>
        <v>168.620652770438</v>
      </c>
      <c r="G2673" s="6" t="n">
        <f aca="false">Sens!G2583</f>
        <v>146.85934438656</v>
      </c>
      <c r="H2673" s="6" t="n">
        <f aca="false">Sens!H2583</f>
        <v>150.46422872832</v>
      </c>
      <c r="I2673" s="6" t="n">
        <f aca="false">Sens!I2583</f>
        <v>130.965335323396</v>
      </c>
      <c r="J2673" s="6" t="n">
        <f aca="false">Sens!J2583</f>
        <v>99.6099813744724</v>
      </c>
      <c r="K2673" s="6" t="n">
        <f aca="false">Sens!K2583</f>
        <v>91.9675485135489</v>
      </c>
    </row>
    <row r="2674" customFormat="false" ht="17.15" hidden="false" customHeight="false" outlineLevel="0" collapsed="false">
      <c r="A2674" s="1" t="s">
        <v>944</v>
      </c>
      <c r="B2674" s="0" t="s">
        <v>98</v>
      </c>
      <c r="E2674" s="6" t="n">
        <f aca="false">Sens!E2591*cx_azo+Sens!E2598*cx_m365+Sens!E2599*cx_lic+(Sens!E2601+Sens!E2603)*cx_ind+Sens!E2606*cx_srch+(Sens!E2608+Sens!E2610)*cx_dev</f>
        <v>30.1846587067718</v>
      </c>
      <c r="F2674" s="6" t="n">
        <f aca="false">Sens!F2591*cx_azo+Sens!F2598*cx_m365+Sens!F2599*cx_lic+(Sens!F2601+Sens!F2603)*cx_ind+Sens!F2606*cx_srch+(Sens!F2608+Sens!F2610)*cx_dev</f>
        <v>35.5793472295625</v>
      </c>
      <c r="G2674" s="6" t="n">
        <f aca="false">Sens!G2591*cx_azo+Sens!G2598*cx_m365+Sens!G2599*cx_lic+(Sens!G2601+Sens!G2603)*cx_ind+Sens!G2606*cx_srch+(Sens!G2608+Sens!G2610)*cx_dev</f>
        <v>41.1528935703892</v>
      </c>
      <c r="H2674" s="6" t="n">
        <f aca="false">Sens!H2591*cx_azo+Sens!H2598*cx_m365+Sens!H2599*cx_lic+(Sens!H2601+Sens!H2603)*cx_ind+Sens!H2606*cx_srch+(Sens!H2608+Sens!H2610)*cx_dev</f>
        <v>46.8115136440897</v>
      </c>
      <c r="I2674" s="6" t="n">
        <f aca="false">Sens!I2591*cx_azo+Sens!I2598*cx_m365+Sens!I2599*cx_lic+(Sens!I2601+Sens!I2603)*cx_ind+Sens!I2606*cx_srch+(Sens!I2608+Sens!I2610)*cx_dev</f>
        <v>52.1984003116439</v>
      </c>
      <c r="J2674" s="6" t="n">
        <f aca="false">Sens!J2591*cx_azo+Sens!J2598*cx_m365+Sens!J2599*cx_lic+(Sens!J2601+Sens!J2603)*cx_ind+Sens!J2606*cx_srch+(Sens!J2608+Sens!J2610)*cx_dev</f>
        <v>57.0809132503738</v>
      </c>
      <c r="K2674" s="6" t="n">
        <f aca="false">Sens!K2591*cx_azo+Sens!K2598*cx_m365+Sens!K2599*cx_lic+(Sens!K2601+Sens!K2603)*cx_ind+Sens!K2606*cx_srch+(Sens!K2608+Sens!K2610)*cx_dev</f>
        <v>61.368702741994</v>
      </c>
    </row>
    <row r="2675" customFormat="false" ht="17.15" hidden="false" customHeight="false" outlineLevel="0" collapsed="false">
      <c r="A2675" s="1" t="s">
        <v>945</v>
      </c>
      <c r="B2675" s="0" t="s">
        <v>98</v>
      </c>
      <c r="E2675" s="6" t="n">
        <f aca="false">Q!M42</f>
        <v>145.3</v>
      </c>
      <c r="F2675" s="6" t="n">
        <f aca="false">Sens!F2673+Sens!F2674</f>
        <v>204.2</v>
      </c>
      <c r="G2675" s="6" t="n">
        <f aca="false">Sens!G2673+Sens!G2674</f>
        <v>188.012237956949</v>
      </c>
      <c r="H2675" s="6" t="n">
        <f aca="false">Sens!H2673+Sens!H2674</f>
        <v>197.27574237241</v>
      </c>
      <c r="I2675" s="6" t="n">
        <f aca="false">Sens!I2673+Sens!I2674</f>
        <v>183.16373563504</v>
      </c>
      <c r="J2675" s="6" t="n">
        <f aca="false">Sens!J2673+Sens!J2674</f>
        <v>156.690894624846</v>
      </c>
      <c r="K2675" s="6" t="n">
        <f aca="false">Sens!K2673+Sens!K2674</f>
        <v>153.336251255543</v>
      </c>
      <c r="L2675" s="1" t="s">
        <v>946</v>
      </c>
    </row>
    <row r="2676" customFormat="false" ht="15" hidden="false" customHeight="false" outlineLevel="0" collapsed="false">
      <c r="A2676" s="1" t="s">
        <v>947</v>
      </c>
      <c r="B2676" s="0" t="s">
        <v>98</v>
      </c>
      <c r="E2676" s="6" t="n">
        <f aca="false">fl_liab</f>
        <v>66.594</v>
      </c>
      <c r="F2676" s="6" t="n">
        <f aca="false">Sens!E2676-Sens!F2677</f>
        <v>62.46973</v>
      </c>
      <c r="G2676" s="6" t="n">
        <f aca="false">Sens!F2676-Sens!G2677</f>
        <v>57.98686785</v>
      </c>
      <c r="H2676" s="6" t="n">
        <f aca="false">Sens!G2676-Sens!H2677</f>
        <v>53.92827690325</v>
      </c>
      <c r="I2676" s="6" t="n">
        <f aca="false">Sens!H2676-Sens!I2677</f>
        <v>49.7850493638962</v>
      </c>
      <c r="J2676" s="6" t="n">
        <f aca="false">Sens!I2676-Sens!J2677</f>
        <v>45.4823765852716</v>
      </c>
      <c r="K2676" s="6" t="n">
        <f aca="false">Sens!J2676-Sens!K2677</f>
        <v>40.9860835316088</v>
      </c>
    </row>
    <row r="2677" customFormat="false" ht="15" hidden="false" customHeight="false" outlineLevel="0" collapsed="false">
      <c r="A2677" s="1" t="s">
        <v>948</v>
      </c>
      <c r="B2677" s="0" t="s">
        <v>98</v>
      </c>
      <c r="F2677" s="6" t="n">
        <f aca="false">fl_pay_27-Sens!E2676*fl_rate</f>
        <v>4.12427</v>
      </c>
      <c r="G2677" s="6" t="n">
        <f aca="false">fl_pay_28-Sens!F2676*fl_rate</f>
        <v>4.48286215</v>
      </c>
      <c r="H2677" s="6" t="n">
        <f aca="false">fl_pay_29-Sens!G2676*fl_rate</f>
        <v>4.05859094675</v>
      </c>
      <c r="I2677" s="6" t="n">
        <f aca="false">fl_pay_30-Sens!H2676*fl_rate</f>
        <v>4.14322753935375</v>
      </c>
      <c r="J2677" s="6" t="n">
        <f aca="false">fl_pay_31-Sens!I2676*fl_rate</f>
        <v>4.30267277862467</v>
      </c>
      <c r="K2677" s="6" t="n">
        <f aca="false">fl_pay_32-Sens!J2676*fl_rate</f>
        <v>4.49629305366278</v>
      </c>
    </row>
    <row r="2678" customFormat="false" ht="17.15" hidden="false" customHeight="false" outlineLevel="0" collapsed="false">
      <c r="A2678" s="1" t="s">
        <v>949</v>
      </c>
      <c r="B2678" s="0" t="s">
        <v>98</v>
      </c>
      <c r="E2678" s="6" t="n">
        <f aca="false">Q!M35-Q!M36-Q!M43</f>
        <v>63.886</v>
      </c>
      <c r="F2678" s="6" t="n">
        <f aca="false">Sens!F2672-Sens!F2675-Sens!F2677</f>
        <v>1.3894939921378</v>
      </c>
      <c r="G2678" s="6" t="n">
        <f aca="false">Sens!G2672-Sens!G2675-Sens!G2677</f>
        <v>68.9055427695895</v>
      </c>
      <c r="H2678" s="6" t="n">
        <f aca="false">Sens!H2672-Sens!H2675-Sens!H2677</f>
        <v>108.436648283388</v>
      </c>
      <c r="I2678" s="6" t="n">
        <f aca="false">Sens!I2672-Sens!I2675-Sens!I2677</f>
        <v>167.245695091303</v>
      </c>
      <c r="J2678" s="6" t="n">
        <f aca="false">Sens!J2672-Sens!J2675-Sens!J2677</f>
        <v>229.896593430195</v>
      </c>
      <c r="K2678" s="6" t="n">
        <f aca="false">Sens!K2672-Sens!K2675-Sens!K2677</f>
        <v>261.931831501629</v>
      </c>
      <c r="L2678" s="11" t="s">
        <v>950</v>
      </c>
    </row>
    <row r="2679" customFormat="false" ht="15" hidden="false" customHeight="false" outlineLevel="0" collapsed="false">
      <c r="A2679" s="1" t="s">
        <v>951</v>
      </c>
      <c r="B2679" s="0" t="s">
        <v>75</v>
      </c>
      <c r="F2679" s="8" t="n">
        <f aca="false">dps_27</f>
        <v>3.85</v>
      </c>
      <c r="G2679" s="8" t="n">
        <f aca="false">Sens!F2679*(1+dps_g)</f>
        <v>4.158</v>
      </c>
      <c r="H2679" s="8" t="n">
        <f aca="false">Sens!G2679*(1+dps_g)</f>
        <v>4.49064</v>
      </c>
      <c r="I2679" s="8" t="n">
        <f aca="false">Sens!H2679*(1+dps_g)</f>
        <v>4.8498912</v>
      </c>
      <c r="J2679" s="8" t="n">
        <f aca="false">Sens!I2679*(1+dps_g)</f>
        <v>5.237882496</v>
      </c>
      <c r="K2679" s="8" t="n">
        <f aca="false">Sens!J2679*(1+dps_g)</f>
        <v>5.65691309568</v>
      </c>
    </row>
    <row r="2680" customFormat="false" ht="17.15" hidden="false" customHeight="false" outlineLevel="0" collapsed="false">
      <c r="A2680" s="1" t="s">
        <v>952</v>
      </c>
      <c r="B2680" s="0" t="s">
        <v>98</v>
      </c>
      <c r="E2680" s="6" t="n">
        <f aca="false">Q!M41</f>
        <v>26.445</v>
      </c>
      <c r="F2680" s="6" t="n">
        <f aca="false">Sens!F2679*Sens!E2689</f>
        <v>28.59395</v>
      </c>
      <c r="G2680" s="6" t="n">
        <f aca="false">Sens!G2679*Sens!F2689</f>
        <v>31.068576</v>
      </c>
      <c r="H2680" s="6" t="n">
        <f aca="false">Sens!H2679*Sens!G2689</f>
        <v>33.5888350159995</v>
      </c>
      <c r="I2680" s="6" t="n">
        <f aca="false">Sens!I2679*Sens!H2689</f>
        <v>36.3268810572789</v>
      </c>
      <c r="J2680" s="6" t="n">
        <f aca="false">Sens!J2679*Sens!I2689</f>
        <v>39.3014303901806</v>
      </c>
      <c r="K2680" s="6" t="n">
        <f aca="false">Sens!K2679*Sens!J2689</f>
        <v>42.5328000467001</v>
      </c>
      <c r="L2680" s="1" t="s">
        <v>953</v>
      </c>
    </row>
    <row r="2681" customFormat="false" ht="15" hidden="false" customHeight="false" outlineLevel="0" collapsed="false">
      <c r="A2681" s="1" t="s">
        <v>954</v>
      </c>
      <c r="B2681" s="0" t="s">
        <v>98</v>
      </c>
      <c r="E2681" s="6" t="n">
        <f aca="false">Sens!E2678-Sens!E2680</f>
        <v>37.441</v>
      </c>
      <c r="F2681" s="6" t="n">
        <f aca="false">Sens!F2678-Sens!F2680</f>
        <v>-27.2044560078622</v>
      </c>
      <c r="G2681" s="6" t="n">
        <f aca="false">Sens!G2678-Sens!G2680</f>
        <v>37.8369667695895</v>
      </c>
      <c r="H2681" s="6" t="n">
        <f aca="false">Sens!H2678-Sens!H2680</f>
        <v>74.8478132673889</v>
      </c>
      <c r="I2681" s="6" t="n">
        <f aca="false">Sens!I2678-Sens!I2680</f>
        <v>130.918814034024</v>
      </c>
      <c r="J2681" s="6" t="n">
        <f aca="false">Sens!J2678-Sens!J2680</f>
        <v>190.595163040014</v>
      </c>
      <c r="K2681" s="6" t="n">
        <f aca="false">Sens!K2678-Sens!K2680</f>
        <v>219.399031454928</v>
      </c>
    </row>
    <row r="2682" customFormat="false" ht="15" hidden="false" customHeight="false" outlineLevel="0" collapsed="false">
      <c r="A2682" s="1" t="s">
        <v>955</v>
      </c>
      <c r="B2682" s="0" t="s">
        <v>98</v>
      </c>
      <c r="F2682" s="6" t="n">
        <f aca="false">debt_mat_27</f>
        <v>9.25</v>
      </c>
      <c r="G2682" s="6" t="n">
        <f aca="false">debt_mat_28</f>
        <v>0</v>
      </c>
      <c r="H2682" s="6" t="n">
        <f aca="false">debt_mat_29</f>
        <v>2.001</v>
      </c>
      <c r="I2682" s="6" t="n">
        <f aca="false">debt_mat_30</f>
        <v>0</v>
      </c>
      <c r="J2682" s="6" t="n">
        <f aca="false">debt_mat_31</f>
        <v>0.5</v>
      </c>
      <c r="K2682" s="6" t="n">
        <f aca="false">debt_mat_32</f>
        <v>0</v>
      </c>
    </row>
    <row r="2683" customFormat="false" ht="15" hidden="false" customHeight="false" outlineLevel="0" collapsed="false">
      <c r="A2683" s="1" t="s">
        <v>956</v>
      </c>
      <c r="B2683" s="0" t="s">
        <v>98</v>
      </c>
      <c r="E2683" s="6" t="n">
        <f aca="false">Q!M40</f>
        <v>22.271</v>
      </c>
      <c r="F2683" s="6" t="n">
        <f aca="false">MAX(0,MIN(bb_target,Sens!E2685+Sens!F2681-Sens!F2682-min_cash))</f>
        <v>0</v>
      </c>
      <c r="G2683" s="6" t="n">
        <f aca="false">MAX(0,MIN(bb_target,Sens!F2685+Sens!G2681-Sens!G2682-min_cash))</f>
        <v>22.271</v>
      </c>
      <c r="H2683" s="6" t="n">
        <f aca="false">MAX(0,MIN(bb_target,Sens!G2685+Sens!H2681-Sens!H2682-min_cash))</f>
        <v>22.271</v>
      </c>
      <c r="I2683" s="6" t="n">
        <f aca="false">MAX(0,MIN(bb_target,Sens!H2685+Sens!I2681-Sens!I2682-min_cash))</f>
        <v>22.271</v>
      </c>
      <c r="J2683" s="6" t="n">
        <f aca="false">MAX(0,MIN(bb_target,Sens!I2685+Sens!J2681-Sens!J2682-min_cash))</f>
        <v>22.271</v>
      </c>
      <c r="K2683" s="6" t="n">
        <f aca="false">MAX(0,MIN(bb_target,Sens!J2685+Sens!K2681-Sens!K2682-min_cash))</f>
        <v>22.271</v>
      </c>
    </row>
    <row r="2684" customFormat="false" ht="15" hidden="false" customHeight="false" outlineLevel="0" collapsed="false">
      <c r="A2684" s="1" t="s">
        <v>957</v>
      </c>
      <c r="B2684" s="0" t="s">
        <v>98</v>
      </c>
      <c r="F2684" s="6" t="n">
        <f aca="false">MAX(0,min_cash-(Sens!E2685+Sens!F2681-Sens!F2682-Sens!F2683))</f>
        <v>9.6114560078622</v>
      </c>
      <c r="G2684" s="6" t="n">
        <f aca="false">MAX(0,min_cash-(Sens!F2685+Sens!G2681-Sens!G2682-Sens!G2683))</f>
        <v>0</v>
      </c>
      <c r="H2684" s="6" t="n">
        <f aca="false">MAX(0,min_cash-(Sens!G2685+Sens!H2681-Sens!H2682-Sens!H2683))</f>
        <v>0</v>
      </c>
      <c r="I2684" s="6" t="n">
        <f aca="false">MAX(0,min_cash-(Sens!H2685+Sens!I2681-Sens!I2682-Sens!I2683))</f>
        <v>0</v>
      </c>
      <c r="J2684" s="6" t="n">
        <f aca="false">MAX(0,min_cash-(Sens!I2685+Sens!J2681-Sens!J2682-Sens!J2683))</f>
        <v>0</v>
      </c>
      <c r="K2684" s="6" t="n">
        <f aca="false">MAX(0,min_cash-(Sens!J2685+Sens!K2681-Sens!K2682-Sens!K2683))</f>
        <v>0</v>
      </c>
    </row>
    <row r="2685" customFormat="false" ht="15" hidden="false" customHeight="false" outlineLevel="0" collapsed="false">
      <c r="A2685" s="1" t="s">
        <v>958</v>
      </c>
      <c r="B2685" s="0" t="s">
        <v>98</v>
      </c>
      <c r="E2685" s="6" t="n">
        <f aca="false">cash_open</f>
        <v>76.843</v>
      </c>
      <c r="F2685" s="6" t="n">
        <f aca="false">Sens!E2685+Sens!F2681-Sens!F2682-Sens!F2683+Sens!F2684</f>
        <v>50</v>
      </c>
      <c r="G2685" s="6" t="n">
        <f aca="false">Sens!F2685+Sens!G2681-Sens!G2682-Sens!G2683+Sens!G2684</f>
        <v>65.5659667695895</v>
      </c>
      <c r="H2685" s="6" t="n">
        <f aca="false">Sens!G2685+Sens!H2681-Sens!H2682-Sens!H2683+Sens!H2684</f>
        <v>116.141780036978</v>
      </c>
      <c r="I2685" s="6" t="n">
        <f aca="false">Sens!H2685+Sens!I2681-Sens!I2682-Sens!I2683+Sens!I2684</f>
        <v>224.789594071003</v>
      </c>
      <c r="J2685" s="6" t="n">
        <f aca="false">Sens!I2685+Sens!J2681-Sens!J2682-Sens!J2683+Sens!J2684</f>
        <v>392.613757111017</v>
      </c>
      <c r="K2685" s="6" t="n">
        <f aca="false">Sens!J2685+Sens!K2681-Sens!K2682-Sens!K2683+Sens!K2684</f>
        <v>589.741788565945</v>
      </c>
    </row>
    <row r="2686" customFormat="false" ht="15" hidden="false" customHeight="false" outlineLevel="0" collapsed="false">
      <c r="A2686" s="1" t="s">
        <v>959</v>
      </c>
      <c r="B2686" s="0" t="s">
        <v>98</v>
      </c>
      <c r="E2686" s="6" t="n">
        <f aca="false">debt_face</f>
        <v>46.136</v>
      </c>
      <c r="F2686" s="6" t="n">
        <f aca="false">Sens!E2686-Sens!F2682+Sens!F2684</f>
        <v>46.4974560078622</v>
      </c>
      <c r="G2686" s="6" t="n">
        <f aca="false">Sens!F2686-Sens!G2682+Sens!G2684</f>
        <v>46.4974560078622</v>
      </c>
      <c r="H2686" s="6" t="n">
        <f aca="false">Sens!G2686-Sens!H2682+Sens!H2684</f>
        <v>44.4964560078622</v>
      </c>
      <c r="I2686" s="6" t="n">
        <f aca="false">Sens!H2686-Sens!I2682+Sens!I2684</f>
        <v>44.4964560078622</v>
      </c>
      <c r="J2686" s="6" t="n">
        <f aca="false">Sens!I2686-Sens!J2682+Sens!J2684</f>
        <v>43.9964560078622</v>
      </c>
      <c r="K2686" s="6" t="n">
        <f aca="false">Sens!J2686-Sens!K2682+Sens!K2684</f>
        <v>43.9964560078622</v>
      </c>
    </row>
    <row r="2687" customFormat="false" ht="15" hidden="false" customHeight="false" outlineLevel="0" collapsed="false">
      <c r="A2687" s="1" t="s">
        <v>960</v>
      </c>
      <c r="B2687" s="0" t="s">
        <v>98</v>
      </c>
      <c r="E2687" s="6" t="n">
        <f aca="false">Sens!E2685-Sens!E2686</f>
        <v>30.707</v>
      </c>
      <c r="F2687" s="6" t="n">
        <f aca="false">Sens!F2685-Sens!F2686</f>
        <v>3.5025439921378</v>
      </c>
      <c r="G2687" s="6" t="n">
        <f aca="false">Sens!G2685-Sens!G2686</f>
        <v>19.0685107617273</v>
      </c>
      <c r="H2687" s="6" t="n">
        <f aca="false">Sens!H2685-Sens!H2686</f>
        <v>71.6453240291162</v>
      </c>
      <c r="I2687" s="6" t="n">
        <f aca="false">Sens!I2685-Sens!I2686</f>
        <v>180.293138063141</v>
      </c>
      <c r="J2687" s="6" t="n">
        <f aca="false">Sens!J2685-Sens!J2686</f>
        <v>348.617301103155</v>
      </c>
      <c r="K2687" s="6" t="n">
        <f aca="false">Sens!K2685-Sens!K2686</f>
        <v>545.745332558083</v>
      </c>
    </row>
    <row r="2688" customFormat="false" ht="15" hidden="false" customHeight="false" outlineLevel="0" collapsed="false">
      <c r="A2688" s="1" t="s">
        <v>961</v>
      </c>
      <c r="B2688" s="0" t="s">
        <v>75</v>
      </c>
      <c r="F2688" s="29" t="n">
        <f aca="false">px*(1+bb_g)^(Sens!F2552-base_fy-mid_yr)</f>
        <v>553.494156066711</v>
      </c>
      <c r="G2688" s="29" t="n">
        <f aca="false">px*(1+bb_g)^(Sens!G2552-base_fy-mid_yr)</f>
        <v>597.773688552047</v>
      </c>
      <c r="H2688" s="29" t="n">
        <f aca="false">px*(1+bb_g)^(Sens!H2552-base_fy-mid_yr)</f>
        <v>645.595583636211</v>
      </c>
      <c r="I2688" s="29" t="n">
        <f aca="false">px*(1+bb_g)^(Sens!I2552-base_fy-mid_yr)</f>
        <v>697.243230327108</v>
      </c>
      <c r="J2688" s="29" t="n">
        <f aca="false">px*(1+bb_g)^(Sens!J2552-base_fy-mid_yr)</f>
        <v>753.022688753277</v>
      </c>
      <c r="K2688" s="29" t="n">
        <f aca="false">px*(1+bb_g)^(Sens!K2552-base_fy-mid_yr)</f>
        <v>813.264503853539</v>
      </c>
    </row>
    <row r="2689" customFormat="false" ht="15" hidden="false" customHeight="false" outlineLevel="0" collapsed="false">
      <c r="A2689" s="1" t="s">
        <v>962</v>
      </c>
      <c r="B2689" s="1" t="s">
        <v>81</v>
      </c>
      <c r="E2689" s="14" t="n">
        <f aca="false">sh_out26</f>
        <v>7.427</v>
      </c>
      <c r="F2689" s="14" t="n">
        <f aca="false">Sens!E2689+sh_iss-Sens!F2683/Sens!F2688</f>
        <v>7.472</v>
      </c>
      <c r="G2689" s="14" t="n">
        <f aca="false">Sens!F2689+sh_iss-Sens!G2683/Sens!G2688</f>
        <v>7.47974342543589</v>
      </c>
      <c r="H2689" s="14" t="n">
        <f aca="false">Sens!G2689+sh_iss-Sens!H2683/Sens!H2688</f>
        <v>7.4902465971358</v>
      </c>
      <c r="I2689" s="14" t="n">
        <f aca="false">Sens!H2689+sh_iss-Sens!I2683/Sens!I2688</f>
        <v>7.50330508945052</v>
      </c>
      <c r="J2689" s="14" t="n">
        <f aca="false">Sens!I2689+sh_iss-Sens!J2683/Sens!J2688</f>
        <v>7.51872961937156</v>
      </c>
      <c r="K2689" s="14" t="n">
        <f aca="false">Sens!J2689+sh_iss-Sens!K2683/Sens!K2688</f>
        <v>7.53634492485401</v>
      </c>
    </row>
    <row r="2690" customFormat="false" ht="15" hidden="false" customHeight="false" outlineLevel="0" collapsed="false">
      <c r="A2690" s="1" t="s">
        <v>963</v>
      </c>
      <c r="B2690" s="1" t="s">
        <v>81</v>
      </c>
      <c r="E2690" s="14" t="n">
        <f aca="false">sh_dil26</f>
        <v>7.453</v>
      </c>
      <c r="F2690" s="14" t="n">
        <f aca="false">(Sens!E2689+Sens!F2689)/2+dil_gap</f>
        <v>7.4735</v>
      </c>
      <c r="G2690" s="14" t="n">
        <f aca="false">(Sens!F2689+Sens!G2689)/2+dil_gap</f>
        <v>7.49987171271795</v>
      </c>
      <c r="H2690" s="14" t="n">
        <f aca="false">(Sens!G2689+Sens!H2689)/2+dil_gap</f>
        <v>7.50899501128585</v>
      </c>
      <c r="I2690" s="14" t="n">
        <f aca="false">(Sens!H2689+Sens!I2689)/2+dil_gap</f>
        <v>7.52077584329316</v>
      </c>
      <c r="J2690" s="14" t="n">
        <f aca="false">(Sens!I2689+Sens!J2689)/2+dil_gap</f>
        <v>7.53501735441104</v>
      </c>
      <c r="K2690" s="14" t="n">
        <f aca="false">(Sens!J2689+Sens!K2689)/2+dil_gap</f>
        <v>7.55153727211278</v>
      </c>
    </row>
    <row r="2691" customFormat="false" ht="17.15" hidden="false" customHeight="false" outlineLevel="0" collapsed="false">
      <c r="A2691" s="1" t="s">
        <v>964</v>
      </c>
      <c r="B2691" s="0" t="s">
        <v>98</v>
      </c>
      <c r="C2691" s="6" t="n">
        <f aca="false">SUM(Sens!F2681:J2681)</f>
        <v>406.994301103155</v>
      </c>
    </row>
    <row r="2692" customFormat="false" ht="15" hidden="false" customHeight="false" outlineLevel="0" collapsed="false">
      <c r="A2692" s="23" t="s">
        <v>935</v>
      </c>
      <c r="B2692" s="30" t="s">
        <v>98</v>
      </c>
      <c r="C2692" s="24" t="n">
        <f aca="false">Sens!$C$2691-(Sens!F2681+Sens!G2681+Sens!H2681+Sens!I2681+Sens!J2681)</f>
        <v>0</v>
      </c>
      <c r="D2692" s="30"/>
      <c r="E2692" s="30"/>
      <c r="F2692" s="30"/>
      <c r="G2692" s="30"/>
      <c r="H2692" s="30"/>
      <c r="I2692" s="30"/>
      <c r="J2692" s="30"/>
      <c r="K2692" s="30"/>
    </row>
    <row r="2693" customFormat="false" ht="17.15" hidden="false" customHeight="false" outlineLevel="0" collapsed="false">
      <c r="A2693" s="1" t="s">
        <v>929</v>
      </c>
      <c r="B2693" s="1" t="s">
        <v>965</v>
      </c>
      <c r="C2693" s="32" t="str">
        <f aca="false">IF(SUM(Sens!F2684:J2684)&gt;0.05,"需要舉債 "&amp;TEXT(SUM(Sens!F2684:J2684),"0.0")&amp;" 十億美元","不需舉債")&amp;"；"&amp;IF(SUM(Sens!F2683:J2683)&lt;COUNT(Sens!F2683:J2683)*bb_target-0.05,"回購較每年 "&amp;TEXT(bb_target,"0.0")&amp;" 的目標少 "&amp;TEXT(COUNT(Sens!F2683:J2683)*bb_target-SUM(Sens!F2683:J2683),"0.0")&amp;" 十億美元（"&amp;TEXT(COUNTIF(Sens!F2683:J2683,"&lt;"&amp;(bb_target-0.05)),"0")&amp;" 年減少）","回購不減")</f>
        <v>需要舉債 9.6 十億美元；回購較每年 22.3 的目標少 22.3 十億美元（1 年減少）</v>
      </c>
    </row>
    <row r="2694" customFormat="false" ht="17.15" hidden="false" customHeight="false" outlineLevel="0" collapsed="false">
      <c r="A2694" s="3" t="s">
        <v>1303</v>
      </c>
    </row>
    <row r="2695" customFormat="false" ht="15" hidden="false" customHeight="false" outlineLevel="0" collapsed="false">
      <c r="A2695" s="4" t="s">
        <v>43</v>
      </c>
      <c r="B2695" s="4" t="s">
        <v>65</v>
      </c>
      <c r="C2695" s="20" t="s">
        <v>788</v>
      </c>
      <c r="D2695" s="20" t="s">
        <v>789</v>
      </c>
      <c r="E2695" s="20" t="s">
        <v>790</v>
      </c>
      <c r="F2695" s="20" t="s">
        <v>791</v>
      </c>
      <c r="G2695" s="20" t="s">
        <v>792</v>
      </c>
      <c r="H2695" s="20" t="s">
        <v>793</v>
      </c>
      <c r="I2695" s="20" t="s">
        <v>794</v>
      </c>
      <c r="J2695" s="20" t="s">
        <v>795</v>
      </c>
      <c r="K2695" s="20" t="s">
        <v>796</v>
      </c>
      <c r="L2695" s="4" t="s">
        <v>47</v>
      </c>
    </row>
    <row r="2696" customFormat="false" ht="15" hidden="false" customHeight="false" outlineLevel="0" collapsed="false">
      <c r="A2696" s="1" t="s">
        <v>1042</v>
      </c>
      <c r="B2696" s="1" t="s">
        <v>235</v>
      </c>
      <c r="F2696" s="36" t="n">
        <f aca="false">Sens!F2552-base_fy-mid_yr</f>
        <v>0.5</v>
      </c>
      <c r="G2696" s="36" t="n">
        <f aca="false">Sens!G2552-base_fy-mid_yr</f>
        <v>1.5</v>
      </c>
      <c r="H2696" s="36" t="n">
        <f aca="false">Sens!H2552-base_fy-mid_yr</f>
        <v>2.5</v>
      </c>
      <c r="I2696" s="36" t="n">
        <f aca="false">Sens!I2552-base_fy-mid_yr</f>
        <v>3.5</v>
      </c>
      <c r="J2696" s="36" t="n">
        <f aca="false">Sens!J2552-base_fy-mid_yr</f>
        <v>4.5</v>
      </c>
      <c r="K2696" s="36" t="n">
        <f aca="false">Sens!K2552-base_fy-mid_yr</f>
        <v>5.5</v>
      </c>
    </row>
    <row r="2697" customFormat="false" ht="15" hidden="false" customHeight="false" outlineLevel="0" collapsed="false">
      <c r="A2697" s="1" t="s">
        <v>1043</v>
      </c>
      <c r="B2697" s="0" t="s">
        <v>185</v>
      </c>
      <c r="F2697" s="14" t="n">
        <f aca="false">1/(1+wacc)^Sens!F2696</f>
        <v>0.952193373608246</v>
      </c>
      <c r="G2697" s="14" t="n">
        <f aca="false">1/(1+wacc)^Sens!G2696</f>
        <v>0.863327280626589</v>
      </c>
      <c r="H2697" s="14" t="n">
        <f aca="false">1/(1+wacc)^Sens!H2696</f>
        <v>0.782754862754115</v>
      </c>
      <c r="I2697" s="14" t="n">
        <f aca="false">1/(1+wacc)^Sens!I2696</f>
        <v>0.709702089711011</v>
      </c>
      <c r="J2697" s="14" t="n">
        <f aca="false">1/(1+wacc)^Sens!J2696</f>
        <v>0.643467169744551</v>
      </c>
      <c r="K2697" s="14" t="n">
        <f aca="false">1/(1+wacc)^Sens!K2696</f>
        <v>0.583413807767797</v>
      </c>
    </row>
    <row r="2698" customFormat="false" ht="17.15" hidden="false" customHeight="false" outlineLevel="0" collapsed="false">
      <c r="A2698" s="1" t="s">
        <v>1044</v>
      </c>
      <c r="B2698" s="0" t="s">
        <v>98</v>
      </c>
      <c r="F2698" s="6" t="n">
        <f aca="false">Sens!F2672-Sens!F2670-Sens!F2675+Sens!F2656*(1-tax_f)</f>
        <v>-3.98817026577335</v>
      </c>
      <c r="G2698" s="6" t="n">
        <f aca="false">Sens!G2672-Sens!G2670-Sens!G2675+Sens!G2656*(1-tax_f)</f>
        <v>65.8605870905722</v>
      </c>
      <c r="H2698" s="6" t="n">
        <f aca="false">Sens!H2672-Sens!H2670-Sens!H2675+Sens!H2656*(1-tax_f)</f>
        <v>107.415783474414</v>
      </c>
      <c r="I2698" s="6" t="n">
        <f aca="false">Sens!I2672-Sens!I2670-Sens!I2675+Sens!I2656*(1-tax_f)</f>
        <v>168.732404207794</v>
      </c>
      <c r="J2698" s="6" t="n">
        <f aca="false">Sens!J2672-Sens!J2670-Sens!J2675+Sens!J2656*(1-tax_f)</f>
        <v>232.956266097643</v>
      </c>
      <c r="K2698" s="6" t="n">
        <f aca="false">Sens!K2672-Sens!K2670-Sens!K2675+Sens!K2656*(1-tax_f)</f>
        <v>265.13912239424</v>
      </c>
      <c r="L2698" s="1" t="s">
        <v>1045</v>
      </c>
    </row>
    <row r="2699" customFormat="false" ht="15" hidden="false" customHeight="false" outlineLevel="0" collapsed="false">
      <c r="A2699" s="1" t="s">
        <v>1046</v>
      </c>
      <c r="B2699" s="0" t="s">
        <v>98</v>
      </c>
      <c r="F2699" s="6" t="n">
        <f aca="false">Sens!F2698*Sens!F2697</f>
        <v>-3.79750929989082</v>
      </c>
      <c r="G2699" s="6" t="n">
        <f aca="false">Sens!G2698*Sens!G2697</f>
        <v>56.8592415533743</v>
      </c>
      <c r="H2699" s="6" t="n">
        <f aca="false">Sens!H2698*Sens!H2697</f>
        <v>84.0802268511409</v>
      </c>
      <c r="I2699" s="6" t="n">
        <f aca="false">Sens!I2698*Sens!I2697</f>
        <v>119.749739868234</v>
      </c>
      <c r="J2699" s="6" t="n">
        <f aca="false">Sens!J2698*Sens!J2697</f>
        <v>149.899709220109</v>
      </c>
      <c r="K2699" s="6" t="n">
        <f aca="false">Sens!K2698*Sens!K2697</f>
        <v>154.685824984235</v>
      </c>
    </row>
    <row r="2700" customFormat="false" ht="17.15" hidden="false" customHeight="false" outlineLevel="0" collapsed="false">
      <c r="A2700" s="1" t="s">
        <v>1047</v>
      </c>
      <c r="B2700" s="0" t="s">
        <v>98</v>
      </c>
      <c r="C2700" s="6" t="n">
        <f aca="false">SUM(Sens!F2699:K2699)</f>
        <v>561.477233177203</v>
      </c>
    </row>
    <row r="2701" customFormat="false" ht="17.15" hidden="false" customHeight="false" outlineLevel="0" collapsed="false">
      <c r="A2701" s="1" t="s">
        <v>1048</v>
      </c>
      <c r="B2701" s="0" t="s">
        <v>98</v>
      </c>
      <c r="C2701" s="6" t="n">
        <f aca="false">Sens!K2642*(1+g_tv)*(1-tax_f)</f>
        <v>272.120397659509</v>
      </c>
    </row>
    <row r="2702" customFormat="false" ht="17.15" hidden="false" customHeight="false" outlineLevel="0" collapsed="false">
      <c r="A2702" s="1" t="s">
        <v>1049</v>
      </c>
      <c r="B2702" s="0" t="s">
        <v>98</v>
      </c>
      <c r="C2702" s="6" t="n">
        <f aca="false">Sens!$C$2701*(1-g_tv/(wacc+ronic_prem))</f>
        <v>192.811533603934</v>
      </c>
    </row>
    <row r="2703" customFormat="false" ht="17.15" hidden="false" customHeight="false" outlineLevel="0" collapsed="false">
      <c r="A2703" s="1" t="s">
        <v>1050</v>
      </c>
      <c r="B2703" s="0" t="s">
        <v>98</v>
      </c>
      <c r="C2703" s="6" t="n">
        <f aca="false">Sens!$C$2702/(wacc-g_tv)</f>
        <v>2643.62880185248</v>
      </c>
    </row>
    <row r="2704" customFormat="false" ht="15" hidden="false" customHeight="false" outlineLevel="0" collapsed="false">
      <c r="A2704" s="1" t="s">
        <v>1051</v>
      </c>
      <c r="B2704" s="0" t="s">
        <v>98</v>
      </c>
      <c r="C2704" s="6" t="n">
        <f aca="false">Sens!$C$2703/(1+wacc)^(Sens!K2696+mid_yr)</f>
        <v>1468.59597325327</v>
      </c>
    </row>
    <row r="2705" customFormat="false" ht="17.15" hidden="false" customHeight="false" outlineLevel="0" collapsed="false">
      <c r="A2705" s="0" t="s">
        <v>972</v>
      </c>
      <c r="B2705" s="0" t="s">
        <v>98</v>
      </c>
      <c r="C2705" s="6" t="n">
        <f aca="false">Sens!$C$2700+Sens!$C$2704</f>
        <v>2030.07320643047</v>
      </c>
    </row>
    <row r="2706" customFormat="false" ht="15" hidden="false" customHeight="false" outlineLevel="0" collapsed="false">
      <c r="A2706" s="1" t="s">
        <v>973</v>
      </c>
      <c r="B2706" s="0" t="s">
        <v>129</v>
      </c>
      <c r="C2706" s="7" t="n">
        <f aca="false">Sens!$C$2704/Sens!$C$2705</f>
        <v>0.723420204060295</v>
      </c>
    </row>
    <row r="2707" customFormat="false" ht="17.15" hidden="false" customHeight="false" outlineLevel="0" collapsed="false">
      <c r="A2707" s="1" t="s">
        <v>1052</v>
      </c>
      <c r="B2707" s="0" t="s">
        <v>98</v>
      </c>
      <c r="C2707" s="6" t="n">
        <f aca="false">Sens!$C$2705+Sens!E2687-Sens!E2676+oai_v</f>
        <v>2164.58620643047</v>
      </c>
    </row>
    <row r="2708" customFormat="false" ht="17.15" hidden="false" customHeight="false" outlineLevel="0" collapsed="false">
      <c r="A2708" s="0" t="s">
        <v>980</v>
      </c>
      <c r="B2708" s="0" t="s">
        <v>75</v>
      </c>
      <c r="C2708" s="5" t="n">
        <f aca="false">Sens!$C$2707/sh_dil26</f>
        <v>290.431531789947</v>
      </c>
    </row>
    <row r="2709" customFormat="false" ht="15" hidden="false" customHeight="false" outlineLevel="0" collapsed="false">
      <c r="A2709" s="1" t="s">
        <v>1053</v>
      </c>
      <c r="B2709" s="0" t="s">
        <v>75</v>
      </c>
      <c r="C2709" s="8" t="n">
        <f aca="false">dps_27+Sens!G2679*roll_div_q/q_per_yr</f>
        <v>4.8895</v>
      </c>
    </row>
    <row r="2710" customFormat="false" ht="17.15" hidden="false" customHeight="false" outlineLevel="0" collapsed="false">
      <c r="A2710" s="0" t="s">
        <v>1054</v>
      </c>
      <c r="B2710" s="0" t="s">
        <v>75</v>
      </c>
      <c r="C2710" s="5" t="n">
        <f aca="false">Sens!$C$2708*(1+wacc)^t_roll-Sens!$C$2709</f>
        <v>325.83458262032</v>
      </c>
    </row>
    <row r="2711" customFormat="false" ht="17.15" hidden="false" customHeight="false" outlineLevel="0" collapsed="false">
      <c r="A2711" s="1" t="s">
        <v>1055</v>
      </c>
      <c r="B2711" s="0" t="s">
        <v>129</v>
      </c>
      <c r="F2711" s="7" t="n">
        <f aca="false">Sens!F2668/(Sens!F2613-Sens!F2569)</f>
        <v>0.0769541848323382</v>
      </c>
      <c r="G2711" s="7" t="n">
        <f aca="false">Sens!G2668/(Sens!G2613-Sens!G2569)</f>
        <v>0.0724932965902588</v>
      </c>
      <c r="H2711" s="7" t="n">
        <f aca="false">Sens!H2668/(Sens!H2613-Sens!H2569)</f>
        <v>0.069750405651162</v>
      </c>
      <c r="I2711" s="7" t="n">
        <f aca="false">Sens!I2668/(Sens!I2613-Sens!I2569)</f>
        <v>0.0685304104146848</v>
      </c>
      <c r="J2711" s="7" t="n">
        <f aca="false">Sens!J2668/(Sens!J2613-Sens!J2569)</f>
        <v>0.0684734474653711</v>
      </c>
      <c r="K2711" s="7" t="n">
        <f aca="false">Sens!K2668/(Sens!K2613-Sens!K2569)</f>
        <v>0.0691681978058255</v>
      </c>
    </row>
    <row r="2712" customFormat="false" ht="17.15" hidden="false" customHeight="false" outlineLevel="0" collapsed="false">
      <c r="A2712" s="0" t="s">
        <v>1056</v>
      </c>
      <c r="B2712" s="0" t="s">
        <v>98</v>
      </c>
      <c r="F2712" s="6" t="n">
        <f aca="false">Sens!F2598*(al_m365+Sens!F2711+sbc_r)</f>
        <v>84.9292043698133</v>
      </c>
      <c r="G2712" s="6" t="n">
        <f aca="false">Sens!G2598*(al_m365+Sens!G2711+sbc_r)</f>
        <v>97.2843500496718</v>
      </c>
      <c r="H2712" s="6" t="n">
        <f aca="false">Sens!H2598*(al_m365+Sens!H2711+sbc_r)</f>
        <v>109.801743701032</v>
      </c>
      <c r="I2712" s="6" t="n">
        <f aca="false">Sens!I2598*(al_m365+Sens!I2711+sbc_r)</f>
        <v>121.299873665243</v>
      </c>
      <c r="J2712" s="6" t="n">
        <f aca="false">Sens!J2598*(al_m365+Sens!J2711+sbc_r)</f>
        <v>131.594648121291</v>
      </c>
      <c r="K2712" s="6" t="n">
        <f aca="false">Sens!K2598*(al_m365+Sens!K2711+sbc_r)</f>
        <v>141.506572239607</v>
      </c>
      <c r="L2712" s="11" t="s">
        <v>1057</v>
      </c>
    </row>
    <row r="2713" customFormat="false" ht="17.15" hidden="false" customHeight="false" outlineLevel="0" collapsed="false">
      <c r="A2713" s="0" t="s">
        <v>1058</v>
      </c>
      <c r="B2713" s="0" t="s">
        <v>98</v>
      </c>
      <c r="F2713" s="6" t="n">
        <f aca="false">Sens!F2599*(al_lic+Sens!F2711+sbc_r)</f>
        <v>33.7714384295397</v>
      </c>
      <c r="G2713" s="6" t="n">
        <f aca="false">Sens!G2599*(al_lic+Sens!G2711+sbc_r)</f>
        <v>35.0197892701824</v>
      </c>
      <c r="H2713" s="6" t="n">
        <f aca="false">Sens!H2599*(al_lic+Sens!H2711+sbc_r)</f>
        <v>36.1912394998684</v>
      </c>
      <c r="I2713" s="6" t="n">
        <f aca="false">Sens!I2599*(al_lic+Sens!I2711+sbc_r)</f>
        <v>37.266279666645</v>
      </c>
      <c r="J2713" s="6" t="n">
        <f aca="false">Sens!J2599*(al_lic+Sens!J2711+sbc_r)</f>
        <v>38.2172337607005</v>
      </c>
      <c r="K2713" s="6" t="n">
        <f aca="false">Sens!K2599*(al_lic+Sens!K2711+sbc_r)</f>
        <v>39.0132221514771</v>
      </c>
    </row>
    <row r="2714" customFormat="false" ht="17.15" hidden="false" customHeight="false" outlineLevel="0" collapsed="false">
      <c r="A2714" s="0" t="s">
        <v>1059</v>
      </c>
      <c r="B2714" s="0" t="s">
        <v>98</v>
      </c>
      <c r="F2714" s="6" t="n">
        <f aca="false">Sens!F2601*(al_ind+Sens!F2711+sbc_r)</f>
        <v>9.26341847797348</v>
      </c>
      <c r="G2714" s="6" t="n">
        <f aca="false">Sens!G2601*(al_ind+Sens!G2711+sbc_r)</f>
        <v>10.0170437734479</v>
      </c>
      <c r="H2714" s="6" t="n">
        <f aca="false">Sens!H2601*(al_ind+Sens!H2711+sbc_r)</f>
        <v>10.8190728174666</v>
      </c>
      <c r="I2714" s="6" t="n">
        <f aca="false">Sens!I2601*(al_ind+Sens!I2711+sbc_r)</f>
        <v>11.6664334831017</v>
      </c>
      <c r="J2714" s="6" t="n">
        <f aca="false">Sens!J2601*(al_ind+Sens!J2711+sbc_r)</f>
        <v>12.5487660092564</v>
      </c>
      <c r="K2714" s="6" t="n">
        <f aca="false">Sens!K2601*(al_ind+Sens!K2711+sbc_r)</f>
        <v>13.4501644739055</v>
      </c>
    </row>
    <row r="2715" customFormat="false" ht="17.15" hidden="false" customHeight="false" outlineLevel="0" collapsed="false">
      <c r="A2715" s="0" t="s">
        <v>1060</v>
      </c>
      <c r="B2715" s="0" t="s">
        <v>98</v>
      </c>
      <c r="F2715" s="6" t="n">
        <f aca="false">Sens!F2603*(al_fro+Sens!F2711+sbc_r)</f>
        <v>3.64611403494859</v>
      </c>
      <c r="G2715" s="6" t="n">
        <f aca="false">Sens!G2603*(al_fro+Sens!G2711+sbc_r)</f>
        <v>3.84595258461341</v>
      </c>
      <c r="H2715" s="6" t="n">
        <f aca="false">Sens!H2603*(al_fro+Sens!H2711+sbc_r)</f>
        <v>4.07699694801862</v>
      </c>
      <c r="I2715" s="6" t="n">
        <f aca="false">Sens!I2603*(al_fro+Sens!I2711+sbc_r)</f>
        <v>4.34177172434184</v>
      </c>
      <c r="J2715" s="6" t="n">
        <f aca="false">Sens!J2603*(al_fro+Sens!J2711+sbc_r)</f>
        <v>4.64101591840592</v>
      </c>
      <c r="K2715" s="6" t="n">
        <f aca="false">Sens!K2603*(al_fro+Sens!K2711+sbc_r)</f>
        <v>4.9743877113119</v>
      </c>
    </row>
    <row r="2716" customFormat="false" ht="17.15" hidden="false" customHeight="false" outlineLevel="0" collapsed="false">
      <c r="A2716" s="0" t="s">
        <v>1061</v>
      </c>
      <c r="B2716" s="0" t="s">
        <v>98</v>
      </c>
      <c r="F2716" s="6" t="n">
        <f aca="false">Sens!F2606*(al_srch+Sens!F2711+sbc_r)</f>
        <v>11.4404556586487</v>
      </c>
      <c r="G2716" s="6" t="n">
        <f aca="false">Sens!G2606*(al_srch+Sens!G2711+sbc_r)</f>
        <v>12.4879208094866</v>
      </c>
      <c r="H2716" s="6" t="n">
        <f aca="false">Sens!H2606*(al_srch+Sens!H2711+sbc_r)</f>
        <v>13.5837385031061</v>
      </c>
      <c r="I2716" s="6" t="n">
        <f aca="false">Sens!I2606*(al_srch+Sens!I2711+sbc_r)</f>
        <v>14.7174723260741</v>
      </c>
      <c r="J2716" s="6" t="n">
        <f aca="false">Sens!J2606*(al_srch+Sens!J2711+sbc_r)</f>
        <v>15.8684988200417</v>
      </c>
      <c r="K2716" s="6" t="n">
        <f aca="false">Sens!K2606*(al_srch+Sens!K2711+sbc_r)</f>
        <v>17.0083591427318</v>
      </c>
    </row>
    <row r="2717" customFormat="false" ht="17.15" hidden="false" customHeight="false" outlineLevel="0" collapsed="false">
      <c r="A2717" s="0" t="s">
        <v>1062</v>
      </c>
      <c r="B2717" s="0" t="s">
        <v>98</v>
      </c>
      <c r="F2717" s="6" t="n">
        <f aca="false">Sens!F2575-Sens!F2576+Sens!F2656</f>
        <v>42.9791457692084</v>
      </c>
      <c r="G2717" s="6" t="n">
        <f aca="false">Sens!G2575-Sens!G2576+Sens!G2656</f>
        <v>73.9558052860411</v>
      </c>
      <c r="H2717" s="6" t="n">
        <f aca="false">Sens!H2575-Sens!H2576+Sens!H2656</f>
        <v>107.068720114695</v>
      </c>
      <c r="I2717" s="6" t="n">
        <f aca="false">Sens!I2575-Sens!I2576+Sens!I2656</f>
        <v>137.003956246556</v>
      </c>
      <c r="J2717" s="6" t="n">
        <f aca="false">Sens!J2575-Sens!J2576+Sens!J2656</f>
        <v>158.122378083602</v>
      </c>
      <c r="K2717" s="6" t="n">
        <f aca="false">Sens!K2575-Sens!K2576+Sens!K2656</f>
        <v>171.069345399069</v>
      </c>
    </row>
    <row r="2718" customFormat="false" ht="17.15" hidden="false" customHeight="false" outlineLevel="0" collapsed="false">
      <c r="A2718" s="0" t="s">
        <v>1063</v>
      </c>
      <c r="B2718" s="0" t="s">
        <v>98</v>
      </c>
      <c r="F2718" s="6" t="n">
        <f aca="false">Sens!F2635+Sens!F2656+Sens!F2586+Sens!F2711*(Sens!F2605-Sens!F2569)+sbc_r*Sens!F2605</f>
        <v>230.695524513949</v>
      </c>
      <c r="G2718" s="6" t="n">
        <f aca="false">Sens!G2635+Sens!G2656+Sens!G2586+Sens!G2711*(Sens!G2605-Sens!G2569)+sbc_r*Sens!G2605</f>
        <v>287.749083608164</v>
      </c>
      <c r="H2718" s="6" t="n">
        <f aca="false">Sens!H2635+Sens!H2656+Sens!H2586+Sens!H2711*(Sens!H2605-Sens!H2569)+sbc_r*Sens!H2605</f>
        <v>347.449483961428</v>
      </c>
      <c r="I2718" s="6" t="n">
        <f aca="false">Sens!I2635+Sens!I2656+Sens!I2586+Sens!I2711*(Sens!I2605-Sens!I2569)+sbc_r*Sens!I2605</f>
        <v>402.662671222051</v>
      </c>
      <c r="J2718" s="6" t="n">
        <f aca="false">Sens!J2635+Sens!J2656+Sens!J2586+Sens!J2711*(Sens!J2605-Sens!J2569)+sbc_r*Sens!J2605</f>
        <v>446.707858217112</v>
      </c>
      <c r="K2718" s="6" t="n">
        <f aca="false">Sens!K2635+Sens!K2656+Sens!K2586+Sens!K2711*(Sens!K2605-Sens!K2569)+sbc_r*Sens!K2605</f>
        <v>480.298290203799</v>
      </c>
    </row>
    <row r="2719" customFormat="false" ht="17.15" hidden="false" customHeight="false" outlineLevel="0" collapsed="false">
      <c r="A2719" s="0" t="s">
        <v>1064</v>
      </c>
      <c r="B2719" s="0" t="s">
        <v>98</v>
      </c>
      <c r="F2719" s="6" t="n">
        <f aca="false">Sens!F2718-Sens!F2712-Sens!F2713-Sens!F2714-Sens!F2715-Sens!F2717</f>
        <v>56.1062034324654</v>
      </c>
      <c r="G2719" s="6" t="n">
        <f aca="false">Sens!G2718-Sens!G2712-Sens!G2713-Sens!G2714-Sens!G2715-Sens!G2717</f>
        <v>67.6261426442072</v>
      </c>
      <c r="H2719" s="6" t="n">
        <f aca="false">Sens!H2718-Sens!H2712-Sens!H2713-Sens!H2714-Sens!H2715-Sens!H2717</f>
        <v>79.4917108803477</v>
      </c>
      <c r="I2719" s="6" t="n">
        <f aca="false">Sens!I2718-Sens!I2712-Sens!I2713-Sens!I2714-Sens!I2715-Sens!I2717</f>
        <v>91.0843564361626</v>
      </c>
      <c r="J2719" s="6" t="n">
        <f aca="false">Sens!J2718-Sens!J2712-Sens!J2713-Sens!J2714-Sens!J2715-Sens!J2717</f>
        <v>101.583816323856</v>
      </c>
      <c r="K2719" s="6" t="n">
        <f aca="false">Sens!K2718-Sens!K2712-Sens!K2713-Sens!K2714-Sens!K2715-Sens!K2717</f>
        <v>110.284598228429</v>
      </c>
    </row>
    <row r="2720" customFormat="false" ht="17.15" hidden="false" customHeight="false" outlineLevel="0" collapsed="false">
      <c r="A2720" s="0" t="s">
        <v>1065</v>
      </c>
      <c r="B2720" s="0" t="s">
        <v>98</v>
      </c>
      <c r="F2720" s="6" t="n">
        <f aca="false">Sens!F2637+Sens!F2711*Sens!F2612+sbc_r*Sens!F2612</f>
        <v>26.7435293987131</v>
      </c>
      <c r="G2720" s="6" t="n">
        <f aca="false">Sens!G2637+Sens!G2711*Sens!G2612+sbc_r*Sens!G2612</f>
        <v>27.2585229403836</v>
      </c>
      <c r="H2720" s="6" t="n">
        <f aca="false">Sens!H2637+Sens!H2711*Sens!H2612+sbc_r*Sens!H2612</f>
        <v>28.0631730668741</v>
      </c>
      <c r="I2720" s="6" t="n">
        <f aca="false">Sens!I2637+Sens!I2711*Sens!I2612+sbc_r*Sens!I2612</f>
        <v>29.1229324766945</v>
      </c>
      <c r="J2720" s="6" t="n">
        <f aca="false">Sens!J2637+Sens!J2711*Sens!J2612+sbc_r*Sens!J2612</f>
        <v>30.3978090483756</v>
      </c>
      <c r="K2720" s="6" t="n">
        <f aca="false">Sens!K2637+Sens!K2711*Sens!K2612+sbc_r*Sens!K2612</f>
        <v>31.8467118148594</v>
      </c>
    </row>
    <row r="2721" customFormat="false" ht="17.15" hidden="false" customHeight="false" outlineLevel="0" collapsed="false">
      <c r="A2721" s="0" t="s">
        <v>1066</v>
      </c>
      <c r="B2721" s="0" t="s">
        <v>98</v>
      </c>
      <c r="F2721" s="6" t="n">
        <f aca="false">(Sens!F2720-Sens!F2716)*Sens!F2608/(Sens!F2608+Sens!F2610)</f>
        <v>8.3889959745248</v>
      </c>
      <c r="G2721" s="6" t="n">
        <f aca="false">(Sens!G2720-Sens!G2716)*Sens!G2608/(Sens!G2608+Sens!G2610)</f>
        <v>7.95272943646258</v>
      </c>
      <c r="H2721" s="6" t="n">
        <f aca="false">(Sens!H2720-Sens!H2716)*Sens!H2608/(Sens!H2608+Sens!H2610)</f>
        <v>7.69064974852573</v>
      </c>
      <c r="I2721" s="6" t="n">
        <f aca="false">(Sens!I2720-Sens!I2716)*Sens!I2608/(Sens!I2608+Sens!I2610)</f>
        <v>7.58212916820268</v>
      </c>
      <c r="J2721" s="6" t="n">
        <f aca="false">(Sens!J2720-Sens!J2716)*Sens!J2608/(Sens!J2608+Sens!J2610)</f>
        <v>7.61273518685666</v>
      </c>
      <c r="K2721" s="6" t="n">
        <f aca="false">(Sens!K2720-Sens!K2716)*Sens!K2608/(Sens!K2608+Sens!K2610)</f>
        <v>7.77466016809311</v>
      </c>
    </row>
    <row r="2722" customFormat="false" ht="17.15" hidden="false" customHeight="false" outlineLevel="0" collapsed="false">
      <c r="A2722" s="0" t="s">
        <v>1067</v>
      </c>
      <c r="B2722" s="0" t="s">
        <v>98</v>
      </c>
      <c r="F2722" s="6" t="n">
        <f aca="false">Sens!F2720-Sens!F2716-Sens!F2721</f>
        <v>6.91407776553959</v>
      </c>
      <c r="G2722" s="6" t="n">
        <f aca="false">Sens!G2720-Sens!G2716-Sens!G2721</f>
        <v>6.81787269443445</v>
      </c>
      <c r="H2722" s="6" t="n">
        <f aca="false">Sens!H2720-Sens!H2716-Sens!H2721</f>
        <v>6.7887848152423</v>
      </c>
      <c r="I2722" s="6" t="n">
        <f aca="false">Sens!I2720-Sens!I2716-Sens!I2721</f>
        <v>6.8233309824177</v>
      </c>
      <c r="J2722" s="6" t="n">
        <f aca="false">Sens!J2720-Sens!J2716-Sens!J2721</f>
        <v>6.91657504147718</v>
      </c>
      <c r="K2722" s="6" t="n">
        <f aca="false">Sens!K2720-Sens!K2716-Sens!K2721</f>
        <v>7.06369250403457</v>
      </c>
    </row>
    <row r="2723" customFormat="false" ht="17.15" hidden="false" customHeight="false" outlineLevel="0" collapsed="false">
      <c r="A2723" s="0" t="s">
        <v>1068</v>
      </c>
      <c r="B2723" s="0" t="s">
        <v>98</v>
      </c>
      <c r="F2723" s="6" t="n">
        <f aca="false">Sens!F2717-tax_f*(Sens!F2717-Sens!F2586)-Sens!F2583</f>
        <v>-128.116781639564</v>
      </c>
      <c r="G2723" s="6" t="n">
        <f aca="false">Sens!G2717-tax_f*(Sens!G2717-Sens!G2586)-Sens!G2583</f>
        <v>-76.8894851509365</v>
      </c>
      <c r="H2723" s="6" t="n">
        <f aca="false">Sens!H2717-tax_f*(Sens!H2717-Sens!H2586)-Sens!H2583</f>
        <v>-49.6463443925256</v>
      </c>
      <c r="I2723" s="6" t="n">
        <f aca="false">Sens!I2717-tax_f*(Sens!I2717-Sens!I2586)-Sens!I2583</f>
        <v>-2.32010624385964</v>
      </c>
      <c r="J2723" s="6" t="n">
        <f aca="false">Sens!J2717-tax_f*(Sens!J2717-Sens!J2586)-Sens!J2583</f>
        <v>48.6814525251717</v>
      </c>
      <c r="K2723" s="6" t="n">
        <f aca="false">Sens!K2717-tax_f*(Sens!K2717-Sens!K2586)-Sens!K2583</f>
        <v>68.3556889795579</v>
      </c>
    </row>
    <row r="2724" customFormat="false" ht="17.15" hidden="false" customHeight="false" outlineLevel="0" collapsed="false">
      <c r="A2724" s="0" t="s">
        <v>1069</v>
      </c>
      <c r="B2724" s="0" t="s">
        <v>98</v>
      </c>
      <c r="F2724" s="6" t="n">
        <f aca="false">Sens!F2723*Sens!F2697</f>
        <v>-121.991950525207</v>
      </c>
      <c r="G2724" s="6" t="n">
        <f aca="false">Sens!G2723*Sens!G2697</f>
        <v>-66.3807901241365</v>
      </c>
      <c r="H2724" s="6" t="n">
        <f aca="false">Sens!H2723*Sens!H2697</f>
        <v>-38.8609174912149</v>
      </c>
      <c r="I2724" s="6" t="n">
        <f aca="false">Sens!I2723*Sens!I2697</f>
        <v>-1.64658424961875</v>
      </c>
      <c r="J2724" s="6" t="n">
        <f aca="false">Sens!J2723*Sens!J2697</f>
        <v>31.324916475426</v>
      </c>
      <c r="K2724" s="6" t="n">
        <f aca="false">Sens!K2723*Sens!K2697</f>
        <v>39.8796527901551</v>
      </c>
    </row>
    <row r="2725" customFormat="false" ht="17.15" hidden="false" customHeight="false" outlineLevel="0" collapsed="false">
      <c r="A2725" s="0" t="s">
        <v>1070</v>
      </c>
      <c r="B2725" s="0" t="s">
        <v>98</v>
      </c>
      <c r="C2725" s="6" t="n">
        <f aca="false">(Sens!K2717-Sens!K2586)*(1-tax_f)*(1+g_tv)*(1-g_tv/(wacc+ronic_prem))/(wacc-g_tv)/(1+wacc)^(Sens!K2696+mid_yr)</f>
        <v>238.940434640184</v>
      </c>
    </row>
    <row r="2726" customFormat="false" ht="17.15" hidden="false" customHeight="false" outlineLevel="0" collapsed="false">
      <c r="A2726" s="1" t="s">
        <v>1071</v>
      </c>
      <c r="B2726" s="0" t="s">
        <v>98</v>
      </c>
      <c r="C2726" s="6" t="n">
        <f aca="false">(SUM(Sens!F2724:K2724)+Sens!$C$2725)*(1+wacc)^t_roll</f>
        <v>92.5388973296466</v>
      </c>
      <c r="L2726" s="11" t="s">
        <v>1072</v>
      </c>
    </row>
    <row r="2727" customFormat="false" ht="17.15" hidden="false" customHeight="false" outlineLevel="0" collapsed="false">
      <c r="A2727" s="1" t="s">
        <v>1073</v>
      </c>
      <c r="B2727" s="0" t="s">
        <v>98</v>
      </c>
      <c r="C2727" s="6" t="n">
        <f aca="false">(w_ntm28*Sens!G2575+(1-w_ntm28)*Sens!H2575)*m_ai</f>
        <v>454.922440830797</v>
      </c>
    </row>
    <row r="2728" customFormat="false" ht="17.15" hidden="false" customHeight="false" outlineLevel="0" collapsed="false">
      <c r="A2728" s="1" t="s">
        <v>1074</v>
      </c>
      <c r="B2728" s="0" t="s">
        <v>98</v>
      </c>
      <c r="C2728" s="6" t="n">
        <f aca="false">(w_ntm28*Sens!G2719+(1-w_ntm28)*Sens!H2719)*m_cloud</f>
        <v>987.606699717652</v>
      </c>
    </row>
    <row r="2729" customFormat="false" ht="17.15" hidden="false" customHeight="false" outlineLevel="0" collapsed="false">
      <c r="A2729" s="1" t="s">
        <v>1075</v>
      </c>
      <c r="B2729" s="0" t="s">
        <v>98</v>
      </c>
      <c r="C2729" s="6" t="n">
        <f aca="false">(w_ntm28*Sens!G2712+(1-w_ntm28)*Sens!H2712)*m_sw</f>
        <v>1094.37554620575</v>
      </c>
    </row>
    <row r="2730" customFormat="false" ht="17.15" hidden="false" customHeight="false" outlineLevel="0" collapsed="false">
      <c r="A2730" s="1" t="s">
        <v>1076</v>
      </c>
      <c r="B2730" s="0" t="s">
        <v>98</v>
      </c>
      <c r="C2730" s="6" t="n">
        <f aca="false">(w_ntm28*Sens!G2713+(1-w_ntm28)*Sens!H2713)*m_sw</f>
        <v>382.303850618551</v>
      </c>
    </row>
    <row r="2731" customFormat="false" ht="17.15" hidden="false" customHeight="false" outlineLevel="0" collapsed="false">
      <c r="A2731" s="1" t="s">
        <v>1077</v>
      </c>
      <c r="B2731" s="0" t="s">
        <v>98</v>
      </c>
      <c r="C2731" s="6" t="n">
        <f aca="false">(w_ntm28*Sens!G2714+(1-w_ntm28)*Sens!H2714)*m_sw</f>
        <v>110.984362653778</v>
      </c>
    </row>
    <row r="2732" customFormat="false" ht="17.15" hidden="false" customHeight="false" outlineLevel="0" collapsed="false">
      <c r="A2732" s="1" t="s">
        <v>1078</v>
      </c>
      <c r="B2732" s="0" t="s">
        <v>98</v>
      </c>
      <c r="C2732" s="6" t="n">
        <f aca="false">(w_ntm28*Sens!G2715+(1-w_ntm28)*Sens!H2715)*m_sw</f>
        <v>42.3429808911498</v>
      </c>
    </row>
    <row r="2733" customFormat="false" ht="17.15" hidden="false" customHeight="false" outlineLevel="0" collapsed="false">
      <c r="A2733" s="1" t="s">
        <v>1079</v>
      </c>
      <c r="B2733" s="0" t="s">
        <v>98</v>
      </c>
      <c r="C2733" s="6" t="n">
        <f aca="false">(w_ntm28*Sens!G2716+(1-w_ntm28)*Sens!H2716)*m_ads</f>
        <v>116.992306805346</v>
      </c>
    </row>
    <row r="2734" customFormat="false" ht="17.15" hidden="false" customHeight="false" outlineLevel="0" collapsed="false">
      <c r="A2734" s="1" t="s">
        <v>1080</v>
      </c>
      <c r="B2734" s="0" t="s">
        <v>98</v>
      </c>
      <c r="C2734" s="6" t="n">
        <f aca="false">(w_ntm28*Sens!G2721+(1-w_ntm28)*Sens!H2721)*m_game</f>
        <v>99.3728691054818</v>
      </c>
    </row>
    <row r="2735" customFormat="false" ht="17.15" hidden="false" customHeight="false" outlineLevel="0" collapsed="false">
      <c r="A2735" s="1" t="s">
        <v>1081</v>
      </c>
      <c r="B2735" s="0" t="s">
        <v>98</v>
      </c>
      <c r="C2735" s="6" t="n">
        <f aca="false">(w_ntm28*Sens!G2722+(1-w_ntm28)*Sens!H2722)*m_pc</f>
        <v>98.5185455865338</v>
      </c>
    </row>
    <row r="2736" customFormat="false" ht="17.15" hidden="false" customHeight="false" outlineLevel="0" collapsed="false">
      <c r="A2736" s="1" t="s">
        <v>1082</v>
      </c>
      <c r="B2736" s="0" t="s">
        <v>98</v>
      </c>
      <c r="C2736" s="6" t="n">
        <f aca="false">Sens!$C$2726+Sens!$C$2728+Sens!$C$2729+Sens!$C$2730+Sens!$C$2731+Sens!$C$2732+Sens!$C$2733+Sens!$C$2734+Sens!$C$2735</f>
        <v>3025.03605891389</v>
      </c>
    </row>
    <row r="2737" customFormat="false" ht="17.15" hidden="false" customHeight="false" outlineLevel="0" collapsed="false">
      <c r="A2737" s="1" t="s">
        <v>1000</v>
      </c>
      <c r="B2737" s="0" t="s">
        <v>98</v>
      </c>
      <c r="C2737" s="6" t="n">
        <f aca="false">Sens!F2687+oai_v-Sens!F2676</f>
        <v>111.432813992138</v>
      </c>
      <c r="L2737" s="1" t="s">
        <v>1083</v>
      </c>
    </row>
    <row r="2738" customFormat="false" ht="15" hidden="false" customHeight="false" outlineLevel="0" collapsed="false">
      <c r="A2738" s="1" t="s">
        <v>1001</v>
      </c>
      <c r="B2738" s="0" t="s">
        <v>75</v>
      </c>
      <c r="C2738" s="5" t="n">
        <f aca="false">(Sens!$C$2736+Sens!$C$2737)/Sens!F2689</f>
        <v>419.762964789351</v>
      </c>
    </row>
    <row r="2739" customFormat="false" ht="17.15" hidden="false" customHeight="false" outlineLevel="0" collapsed="false">
      <c r="A2739" s="1" t="s">
        <v>1084</v>
      </c>
      <c r="B2739" s="0" t="s">
        <v>75</v>
      </c>
      <c r="C2739" s="5" t="n">
        <f aca="false">w_dcf*Sens!$C$2710+(1-w_dcf)*Sens!$C$2738</f>
        <v>372.798773704835</v>
      </c>
    </row>
    <row r="2740" customFormat="false" ht="17.15" hidden="false" customHeight="false" outlineLevel="0" collapsed="false">
      <c r="A2740" s="3" t="s">
        <v>1304</v>
      </c>
    </row>
    <row r="2741" customFormat="false" ht="15" hidden="false" customHeight="false" outlineLevel="0" collapsed="false">
      <c r="A2741" s="4" t="s">
        <v>43</v>
      </c>
      <c r="B2741" s="4" t="s">
        <v>65</v>
      </c>
      <c r="C2741" s="20" t="s">
        <v>788</v>
      </c>
      <c r="D2741" s="20" t="s">
        <v>789</v>
      </c>
      <c r="E2741" s="20" t="s">
        <v>790</v>
      </c>
      <c r="F2741" s="20" t="s">
        <v>791</v>
      </c>
      <c r="G2741" s="20" t="s">
        <v>792</v>
      </c>
      <c r="H2741" s="20" t="s">
        <v>793</v>
      </c>
      <c r="I2741" s="20" t="s">
        <v>794</v>
      </c>
      <c r="J2741" s="20" t="s">
        <v>795</v>
      </c>
      <c r="K2741" s="20" t="s">
        <v>796</v>
      </c>
      <c r="L2741" s="4" t="s">
        <v>47</v>
      </c>
    </row>
    <row r="2742" customFormat="false" ht="17.15" hidden="false" customHeight="false" outlineLevel="0" collapsed="false">
      <c r="A2742" s="1" t="s">
        <v>797</v>
      </c>
      <c r="B2742" s="1" t="s">
        <v>235</v>
      </c>
      <c r="C2742" s="28" t="n">
        <v>2024</v>
      </c>
      <c r="D2742" s="28" t="n">
        <v>2025</v>
      </c>
      <c r="E2742" s="28" t="n">
        <v>2026</v>
      </c>
      <c r="F2742" s="28" t="n">
        <v>2027</v>
      </c>
      <c r="G2742" s="28" t="n">
        <v>2028</v>
      </c>
      <c r="H2742" s="28" t="n">
        <v>2029</v>
      </c>
      <c r="I2742" s="28" t="n">
        <v>2030</v>
      </c>
      <c r="J2742" s="28" t="n">
        <v>2031</v>
      </c>
      <c r="K2742" s="28" t="n">
        <v>2032</v>
      </c>
    </row>
    <row r="2743" customFormat="false" ht="17.15" hidden="false" customHeight="false" outlineLevel="0" collapsed="false">
      <c r="A2743" s="1" t="s">
        <v>798</v>
      </c>
      <c r="B2743" s="0" t="s">
        <v>392</v>
      </c>
      <c r="F2743" s="29" t="n">
        <f aca="false">pace</f>
        <v>2527.2</v>
      </c>
      <c r="G2743" s="29" t="n">
        <f aca="false">pace</f>
        <v>2527.2</v>
      </c>
      <c r="H2743" s="29" t="n">
        <f aca="false">pace</f>
        <v>2527.2</v>
      </c>
      <c r="I2743" s="29" t="n">
        <f aca="false">pace+(g_tv*Sens!H2744-pace)*MIN(1,(Sens!I2742-pace_y0)/(pace_y1-pace_y0))</f>
        <v>1793.116</v>
      </c>
      <c r="J2743" s="29" t="n">
        <f aca="false">pace+(g_tv*Sens!H2744-pace)*MIN(1,(Sens!J2742-pace_y0)/(pace_y1-pace_y0))</f>
        <v>1059.032</v>
      </c>
      <c r="K2743" s="29" t="n">
        <f aca="false">pace+(g_tv*Sens!H2744-pace)*MIN(1,(Sens!K2742-pace_y0)/(pace_y1-pace_y0))</f>
        <v>324.948</v>
      </c>
      <c r="L2743" s="11" t="s">
        <v>799</v>
      </c>
    </row>
    <row r="2744" customFormat="false" ht="17.15" hidden="false" customHeight="false" outlineLevel="0" collapsed="false">
      <c r="A2744" s="1" t="s">
        <v>800</v>
      </c>
      <c r="B2744" s="0" t="s">
        <v>392</v>
      </c>
      <c r="C2744" s="29" t="n">
        <f aca="false">mw_ext_24</f>
        <v>640</v>
      </c>
      <c r="D2744" s="29" t="n">
        <f aca="false">mw_ext_25</f>
        <v>1630</v>
      </c>
      <c r="E2744" s="29" t="n">
        <f aca="false">mw_ext_26</f>
        <v>3250</v>
      </c>
      <c r="F2744" s="29" t="n">
        <f aca="false">Sens!E2744+Sens!F2743</f>
        <v>5777.2</v>
      </c>
      <c r="G2744" s="29" t="n">
        <f aca="false">Sens!F2744+Sens!G2743</f>
        <v>8304.4</v>
      </c>
      <c r="H2744" s="29" t="n">
        <f aca="false">Sens!G2744+Sens!H2743</f>
        <v>10831.6</v>
      </c>
      <c r="I2744" s="29" t="n">
        <f aca="false">Sens!H2744+Sens!I2743</f>
        <v>12624.716</v>
      </c>
      <c r="J2744" s="29" t="n">
        <f aca="false">Sens!I2744+Sens!J2743</f>
        <v>13683.748</v>
      </c>
      <c r="K2744" s="29" t="n">
        <f aca="false">Sens!J2744+Sens!K2743</f>
        <v>14008.696</v>
      </c>
      <c r="L2744" s="1" t="s">
        <v>801</v>
      </c>
    </row>
    <row r="2745" customFormat="false" ht="17.15" hidden="false" customHeight="false" outlineLevel="0" collapsed="false">
      <c r="A2745" s="1" t="s">
        <v>802</v>
      </c>
      <c r="B2745" s="0" t="s">
        <v>392</v>
      </c>
      <c r="C2745" s="29" t="n">
        <f aca="false">rent_ext_24</f>
        <v>150</v>
      </c>
      <c r="D2745" s="29" t="n">
        <f aca="false">rent_ext_25</f>
        <v>400</v>
      </c>
      <c r="E2745" s="29" t="n">
        <f aca="false">rent_ext_26</f>
        <v>550</v>
      </c>
      <c r="F2745" s="29" t="n">
        <f aca="false">rent_ext_f</f>
        <v>756</v>
      </c>
      <c r="G2745" s="29" t="n">
        <f aca="false">rent_ext_f</f>
        <v>756</v>
      </c>
      <c r="H2745" s="29" t="n">
        <f aca="false">rent_ext_f</f>
        <v>756</v>
      </c>
      <c r="I2745" s="29" t="n">
        <f aca="false">rent_ext_f</f>
        <v>756</v>
      </c>
      <c r="J2745" s="29" t="n">
        <f aca="false">rent_ext_f</f>
        <v>756</v>
      </c>
      <c r="K2745" s="29" t="n">
        <f aca="false">rent_ext_f</f>
        <v>756</v>
      </c>
      <c r="L2745" s="1" t="s">
        <v>803</v>
      </c>
    </row>
    <row r="2746" customFormat="false" ht="17.15" hidden="false" customHeight="false" outlineLevel="0" collapsed="false">
      <c r="A2746" s="1" t="s">
        <v>804</v>
      </c>
      <c r="B2746" s="0" t="s">
        <v>392</v>
      </c>
      <c r="C2746" s="29" t="n">
        <f aca="false">Sens!C2744-Sens!C2745</f>
        <v>490</v>
      </c>
      <c r="D2746" s="29" t="n">
        <f aca="false">Sens!D2744-Sens!D2745</f>
        <v>1230</v>
      </c>
      <c r="E2746" s="29" t="n">
        <f aca="false">Sens!E2744-Sens!E2745</f>
        <v>2700</v>
      </c>
      <c r="F2746" s="29" t="n">
        <f aca="false">Sens!F2744-Sens!F2745</f>
        <v>5021.2</v>
      </c>
      <c r="G2746" s="29" t="n">
        <f aca="false">Sens!G2744-Sens!G2745</f>
        <v>7548.4</v>
      </c>
      <c r="H2746" s="29" t="n">
        <f aca="false">Sens!H2744-Sens!H2745</f>
        <v>10075.6</v>
      </c>
      <c r="I2746" s="29" t="n">
        <f aca="false">Sens!I2744-Sens!I2745</f>
        <v>11868.716</v>
      </c>
      <c r="J2746" s="29" t="n">
        <f aca="false">Sens!J2744-Sens!J2745</f>
        <v>12927.748</v>
      </c>
      <c r="K2746" s="29" t="n">
        <f aca="false">Sens!K2744-Sens!K2745</f>
        <v>13252.696</v>
      </c>
    </row>
    <row r="2747" customFormat="false" ht="17.15" hidden="false" customHeight="false" outlineLevel="0" collapsed="false">
      <c r="A2747" s="1" t="s">
        <v>805</v>
      </c>
      <c r="B2747" s="0" t="s">
        <v>392</v>
      </c>
      <c r="C2747" s="29" t="n">
        <f aca="false">Sens!C2746/ext_sh_hi</f>
        <v>653.333333333333</v>
      </c>
      <c r="D2747" s="29" t="n">
        <f aca="false">Sens!D2746/ext_sh_hi</f>
        <v>1640</v>
      </c>
      <c r="E2747" s="29" t="n">
        <f aca="false">Sens!E2746/ext_sh_hi</f>
        <v>3600</v>
      </c>
      <c r="F2747" s="29" t="n">
        <f aca="false">Sens!F2746/ext_sh_hi</f>
        <v>6694.93333333333</v>
      </c>
      <c r="G2747" s="29" t="n">
        <f aca="false">Sens!G2746/ext_sh_hi</f>
        <v>10064.5333333333</v>
      </c>
      <c r="H2747" s="29" t="n">
        <f aca="false">Sens!H2746/ext_sh_hi</f>
        <v>13434.1333333333</v>
      </c>
      <c r="I2747" s="29" t="n">
        <f aca="false">Sens!I2746/ext_sh_hi</f>
        <v>15824.9546666667</v>
      </c>
      <c r="J2747" s="29" t="n">
        <f aca="false">Sens!J2746/ext_sh_hi</f>
        <v>17236.9973333333</v>
      </c>
      <c r="K2747" s="29" t="n">
        <f aca="false">Sens!K2746/ext_sh_hi</f>
        <v>17670.2613333333</v>
      </c>
      <c r="L2747" s="1" t="s">
        <v>806</v>
      </c>
    </row>
    <row r="2748" customFormat="false" ht="17.15" hidden="false" customHeight="false" outlineLevel="0" collapsed="false">
      <c r="A2748" s="1" t="s">
        <v>807</v>
      </c>
      <c r="B2748" s="0" t="s">
        <v>392</v>
      </c>
      <c r="C2748" s="29" t="n">
        <f aca="false">Sens!C2747-Sens!C2746</f>
        <v>163.333333333333</v>
      </c>
      <c r="D2748" s="29" t="n">
        <f aca="false">Sens!D2747-Sens!D2746</f>
        <v>410</v>
      </c>
      <c r="E2748" s="29" t="n">
        <f aca="false">Sens!E2747-Sens!E2746</f>
        <v>900</v>
      </c>
      <c r="F2748" s="29" t="n">
        <f aca="false">Sens!F2747-Sens!F2746</f>
        <v>1673.73333333333</v>
      </c>
      <c r="G2748" s="29" t="n">
        <f aca="false">Sens!G2747-Sens!G2746</f>
        <v>2516.13333333333</v>
      </c>
      <c r="H2748" s="29" t="n">
        <f aca="false">Sens!H2747-Sens!H2746</f>
        <v>3358.53333333333</v>
      </c>
      <c r="I2748" s="29" t="n">
        <f aca="false">Sens!I2747-Sens!I2746</f>
        <v>3956.23866666667</v>
      </c>
      <c r="J2748" s="29" t="n">
        <f aca="false">Sens!J2747-Sens!J2746</f>
        <v>4309.24933333333</v>
      </c>
      <c r="K2748" s="29" t="n">
        <f aca="false">Sens!K2747-Sens!K2746</f>
        <v>4417.56533333333</v>
      </c>
    </row>
    <row r="2749" customFormat="false" ht="17.15" hidden="false" customHeight="false" outlineLevel="0" collapsed="false">
      <c r="A2749" s="1" t="s">
        <v>808</v>
      </c>
      <c r="B2749" s="0" t="s">
        <v>392</v>
      </c>
      <c r="C2749" s="29" t="n">
        <f aca="false">Sens!C2747</f>
        <v>653.333333333333</v>
      </c>
      <c r="D2749" s="29" t="n">
        <f aca="false">Sens!D2747-Sens!C2747</f>
        <v>986.666666666667</v>
      </c>
      <c r="E2749" s="29" t="n">
        <f aca="false">Sens!E2747-Sens!D2747</f>
        <v>1960</v>
      </c>
      <c r="F2749" s="29" t="n">
        <f aca="false">Sens!F2747-Sens!E2747</f>
        <v>3094.93333333333</v>
      </c>
      <c r="G2749" s="29" t="n">
        <f aca="false">Sens!G2747-Sens!F2747</f>
        <v>3369.6</v>
      </c>
      <c r="H2749" s="29" t="n">
        <f aca="false">Sens!H2747-Sens!G2747</f>
        <v>3369.6</v>
      </c>
      <c r="I2749" s="29" t="n">
        <f aca="false">Sens!I2747-Sens!H2747</f>
        <v>2390.82133333333</v>
      </c>
      <c r="J2749" s="29" t="n">
        <f aca="false">Sens!J2747-Sens!I2747</f>
        <v>1412.04266666666</v>
      </c>
      <c r="K2749" s="29" t="n">
        <f aca="false">Sens!K2747-Sens!J2747</f>
        <v>433.264000000003</v>
      </c>
    </row>
    <row r="2750" customFormat="false" ht="17.15" hidden="false" customHeight="false" outlineLevel="0" collapsed="false">
      <c r="A2750" s="1" t="s">
        <v>809</v>
      </c>
      <c r="B2750" s="0" t="s">
        <v>392</v>
      </c>
      <c r="D2750" s="29" t="n">
        <f aca="false">Sens!D2744-Sens!C2744</f>
        <v>990</v>
      </c>
      <c r="E2750" s="29" t="n">
        <f aca="false">Sens!E2744-Sens!D2744</f>
        <v>1620</v>
      </c>
      <c r="F2750" s="29" t="n">
        <f aca="false">Sens!F2744-Sens!E2744</f>
        <v>2527.2</v>
      </c>
      <c r="G2750" s="29" t="n">
        <f aca="false">Sens!G2744-Sens!F2744</f>
        <v>2527.2</v>
      </c>
      <c r="H2750" s="29" t="n">
        <f aca="false">Sens!H2744-Sens!G2744</f>
        <v>2527.2</v>
      </c>
      <c r="I2750" s="29" t="n">
        <f aca="false">Sens!I2744-Sens!H2744</f>
        <v>1793.116</v>
      </c>
      <c r="J2750" s="29" t="n">
        <f aca="false">Sens!J2744-Sens!I2744</f>
        <v>1059.032</v>
      </c>
      <c r="K2750" s="29" t="n">
        <f aca="false">Sens!K2744-Sens!J2744</f>
        <v>324.948</v>
      </c>
    </row>
    <row r="2751" customFormat="false" ht="17.15" hidden="false" customHeight="false" outlineLevel="0" collapsed="false">
      <c r="A2751" s="1" t="s">
        <v>810</v>
      </c>
      <c r="B2751" s="0" t="s">
        <v>392</v>
      </c>
      <c r="F2751" s="29" t="n">
        <f aca="false">Sens!F2768*ext_sh_hi</f>
        <v>0</v>
      </c>
      <c r="G2751" s="29" t="n">
        <f aca="false">Sens!G2768*ext_sh_hi</f>
        <v>0</v>
      </c>
      <c r="H2751" s="29" t="n">
        <f aca="false">Sens!H2768*ext_sh_hi</f>
        <v>0</v>
      </c>
      <c r="I2751" s="29" t="n">
        <f aca="false">Sens!I2768*ext_sh_hi</f>
        <v>490</v>
      </c>
      <c r="J2751" s="29" t="n">
        <f aca="false">Sens!J2768*ext_sh_hi</f>
        <v>740</v>
      </c>
      <c r="K2751" s="29" t="n">
        <f aca="false">Sens!K2768*ext_sh_hi</f>
        <v>1470</v>
      </c>
      <c r="L2751" s="1" t="s">
        <v>811</v>
      </c>
    </row>
    <row r="2752" customFormat="false" ht="17.15" hidden="false" customHeight="false" outlineLevel="0" collapsed="false">
      <c r="A2752" s="1" t="s">
        <v>812</v>
      </c>
      <c r="B2752" s="0" t="s">
        <v>392</v>
      </c>
      <c r="C2752" s="29" t="n">
        <f aca="false">mix_h*Sens!C2744</f>
        <v>128</v>
      </c>
      <c r="D2752" s="29" t="n">
        <f aca="false">mix_h*Sens!D2744</f>
        <v>326</v>
      </c>
      <c r="E2752" s="29" t="n">
        <f aca="false">mix_h*Sens!E2744</f>
        <v>650</v>
      </c>
      <c r="F2752" s="29" t="n">
        <f aca="false">Sens!E2752-Sens!F2751*mix_h</f>
        <v>650</v>
      </c>
      <c r="G2752" s="29" t="n">
        <f aca="false">Sens!F2752-Sens!G2751*mix_h</f>
        <v>650</v>
      </c>
      <c r="H2752" s="29" t="n">
        <f aca="false">Sens!G2752-Sens!H2751*mix_h</f>
        <v>650</v>
      </c>
      <c r="I2752" s="29" t="n">
        <f aca="false">Sens!H2752-Sens!I2751*mix_h</f>
        <v>552</v>
      </c>
      <c r="J2752" s="29" t="n">
        <f aca="false">Sens!I2752-Sens!J2751*mix_h</f>
        <v>404</v>
      </c>
      <c r="K2752" s="29" t="n">
        <f aca="false">Sens!J2752-Sens!K2751*mix_h</f>
        <v>110</v>
      </c>
    </row>
    <row r="2753" customFormat="false" ht="17.15" hidden="false" customHeight="false" outlineLevel="0" collapsed="false">
      <c r="A2753" s="1" t="s">
        <v>813</v>
      </c>
      <c r="B2753" s="0" t="s">
        <v>392</v>
      </c>
      <c r="C2753" s="29" t="n">
        <f aca="false">mix_g2*Sens!C2744</f>
        <v>288</v>
      </c>
      <c r="D2753" s="29" t="n">
        <f aca="false">mix_g2*Sens!D2744</f>
        <v>733.5</v>
      </c>
      <c r="E2753" s="29" t="n">
        <f aca="false">mix_g2*Sens!E2744</f>
        <v>1462.5</v>
      </c>
      <c r="F2753" s="29" t="n">
        <f aca="false">Sens!E2753-Sens!F2751*mix_g2</f>
        <v>1462.5</v>
      </c>
      <c r="G2753" s="29" t="n">
        <f aca="false">Sens!F2753-Sens!G2751*mix_g2</f>
        <v>1462.5</v>
      </c>
      <c r="H2753" s="29" t="n">
        <f aca="false">Sens!G2753-Sens!H2751*mix_g2</f>
        <v>1462.5</v>
      </c>
      <c r="I2753" s="29" t="n">
        <f aca="false">Sens!H2753-Sens!I2751*mix_g2</f>
        <v>1242</v>
      </c>
      <c r="J2753" s="29" t="n">
        <f aca="false">Sens!I2753-Sens!J2751*mix_g2</f>
        <v>909</v>
      </c>
      <c r="K2753" s="29" t="n">
        <f aca="false">Sens!J2753-Sens!K2751*mix_g2</f>
        <v>247.5</v>
      </c>
    </row>
    <row r="2754" customFormat="false" ht="17.15" hidden="false" customHeight="false" outlineLevel="0" collapsed="false">
      <c r="A2754" s="1" t="s">
        <v>814</v>
      </c>
      <c r="B2754" s="0" t="s">
        <v>392</v>
      </c>
      <c r="C2754" s="29" t="n">
        <f aca="false">mix_g3*Sens!C2744</f>
        <v>224</v>
      </c>
      <c r="D2754" s="29" t="n">
        <f aca="false">mix_g3*Sens!D2744</f>
        <v>570.5</v>
      </c>
      <c r="E2754" s="29" t="n">
        <f aca="false">mix_g3*Sens!E2744</f>
        <v>1137.5</v>
      </c>
      <c r="F2754" s="29" t="n">
        <f aca="false">Sens!E2754+(Sens!F2750+Sens!F2751)*a_g3_27-Sens!F2751*mix_g3</f>
        <v>2906.54</v>
      </c>
      <c r="G2754" s="29" t="n">
        <f aca="false">Sens!F2754+(Sens!G2750+Sens!G2751)*a_g3_28-Sens!G2751*mix_g3</f>
        <v>3664.7</v>
      </c>
      <c r="H2754" s="29" t="n">
        <f aca="false">Sens!G2754+(Sens!H2750+Sens!H2751)*a_g3_29-Sens!H2751*mix_g3</f>
        <v>3917.42</v>
      </c>
      <c r="I2754" s="29" t="n">
        <f aca="false">Sens!H2754+(Sens!I2750+Sens!I2751)*a_g3_29-Sens!I2751*mix_g3</f>
        <v>3974.2316</v>
      </c>
      <c r="J2754" s="29" t="n">
        <f aca="false">Sens!I2754+(Sens!J2750+Sens!J2751)*a_g3_29-Sens!J2751*mix_g3</f>
        <v>3895.1348</v>
      </c>
      <c r="K2754" s="29" t="n">
        <f aca="false">Sens!J2754+(Sens!K2750+Sens!K2751)*a_g3_29-Sens!K2751*mix_g3</f>
        <v>3560.1296</v>
      </c>
    </row>
    <row r="2755" customFormat="false" ht="17.15" hidden="false" customHeight="false" outlineLevel="0" collapsed="false">
      <c r="A2755" s="1" t="s">
        <v>815</v>
      </c>
      <c r="B2755" s="0" t="s">
        <v>392</v>
      </c>
      <c r="C2755" s="29" t="n">
        <v>0</v>
      </c>
      <c r="D2755" s="29" t="n">
        <v>0</v>
      </c>
      <c r="E2755" s="29" t="n">
        <v>0</v>
      </c>
      <c r="F2755" s="29" t="n">
        <f aca="false">Sens!E2755+(Sens!F2750+Sens!F2751)*(1-a_g3_27)</f>
        <v>758.16</v>
      </c>
      <c r="G2755" s="29" t="n">
        <f aca="false">Sens!F2755+(Sens!G2750+Sens!G2751)*(1-a_g3_28)</f>
        <v>2527.2</v>
      </c>
      <c r="H2755" s="29" t="n">
        <f aca="false">Sens!G2755+(Sens!H2750+Sens!H2751)*(1-a_g3_29)</f>
        <v>4801.68</v>
      </c>
      <c r="I2755" s="29" t="n">
        <f aca="false">Sens!H2755+(Sens!I2750+Sens!I2751)*(1-a_g3_29)</f>
        <v>6856.4844</v>
      </c>
      <c r="J2755" s="29" t="n">
        <f aca="false">Sens!I2755+(Sens!J2750+Sens!J2751)*(1-a_g3_29)</f>
        <v>8475.6132</v>
      </c>
      <c r="K2755" s="29" t="n">
        <f aca="false">Sens!J2755+(Sens!K2750+Sens!K2751)*(1-a_g3_29)</f>
        <v>10091.0664</v>
      </c>
    </row>
    <row r="2756" customFormat="false" ht="17.15" hidden="false" customHeight="false" outlineLevel="0" collapsed="false">
      <c r="A2756" s="1" t="s">
        <v>816</v>
      </c>
      <c r="B2756" s="0" t="s">
        <v>339</v>
      </c>
      <c r="C2756" s="14" t="n">
        <f aca="false">(Sens!C2752*tk_hold_h100+Sens!C2753*tk_hold_gb200+Sens!C2754*tk_hold_gb300+Sens!C2755*tk_hold_vr200)/Sens!C2744</f>
        <v>9.7235358126469</v>
      </c>
      <c r="D2756" s="14" t="n">
        <f aca="false">(Sens!D2752*tk_hold_h100+Sens!D2753*tk_hold_gb200+Sens!D2754*tk_hold_gb300+Sens!D2755*tk_hold_vr200)/Sens!D2744</f>
        <v>9.7235358126469</v>
      </c>
      <c r="E2756" s="14" t="n">
        <f aca="false">(Sens!E2752*tk_hold_h100+Sens!E2753*tk_hold_gb200+Sens!E2754*tk_hold_gb300+Sens!E2755*tk_hold_vr200)/Sens!E2744</f>
        <v>9.7235358126469</v>
      </c>
      <c r="F2756" s="14" t="n">
        <f aca="false">(Sens!F2752*tk_hold_h100+Sens!F2753*tk_hold_gb200+Sens!F2754*tk_hold_gb300+Sens!F2755*tk_hold_vr200)/Sens!F2744</f>
        <v>10.4079573161931</v>
      </c>
      <c r="G2756" s="14" t="n">
        <f aca="false">(Sens!G2752*tk_hold_h100+Sens!G2753*tk_hold_gb200+Sens!G2754*tk_hold_gb300+Sens!G2755*tk_hold_vr200)/Sens!G2744</f>
        <v>10.8388131109316</v>
      </c>
      <c r="H2756" s="14" t="n">
        <f aca="false">(Sens!H2752*tk_hold_h100+Sens!H2753*tk_hold_gb200+Sens!H2754*tk_hold_gb300+Sens!H2755*tk_hold_vr200)/Sens!H2744</f>
        <v>11.1311018388216</v>
      </c>
      <c r="I2756" s="14" t="n">
        <f aca="false">(Sens!I2752*tk_hold_h100+Sens!I2753*tk_hold_gb200+Sens!I2754*tk_hold_gb300+Sens!I2755*tk_hold_vr200)/Sens!I2744</f>
        <v>11.3594282560989</v>
      </c>
      <c r="J2756" s="14" t="n">
        <f aca="false">(Sens!J2752*tk_hold_h100+Sens!J2753*tk_hold_gb200+Sens!J2754*tk_hold_gb300+Sens!J2755*tk_hold_vr200)/Sens!J2744</f>
        <v>11.5441508808221</v>
      </c>
      <c r="K2756" s="14" t="n">
        <f aca="false">(Sens!K2752*tk_hold_h100+Sens!K2753*tk_hold_gb200+Sens!K2754*tk_hold_gb300+Sens!K2755*tk_hold_vr200)/Sens!K2744</f>
        <v>11.8053375063575</v>
      </c>
    </row>
    <row r="2757" customFormat="false" ht="17.15" hidden="false" customHeight="false" outlineLevel="0" collapsed="false">
      <c r="A2757" s="0" t="s">
        <v>817</v>
      </c>
      <c r="B2757" s="0" t="s">
        <v>185</v>
      </c>
      <c r="C2757" s="14" t="n">
        <f aca="false">k_B</f>
        <v>1.17213932619116</v>
      </c>
      <c r="D2757" s="14" t="n">
        <f aca="false">k_B</f>
        <v>1.17213932619116</v>
      </c>
      <c r="E2757" s="14" t="n">
        <f aca="false">k_B</f>
        <v>1.17213932619116</v>
      </c>
      <c r="F2757" s="14" t="n">
        <f aca="false">(k_B+((ls_C*k_long+(1-ls_C)*k_spot)-k_B)*MIN(1,(Sens!F2742-base_fy)/k_ramp))</f>
        <v>1.07843258004497</v>
      </c>
      <c r="G2757" s="14" t="n">
        <f aca="false">(k_B+((ls_C*k_long+(1-ls_C)*k_spot)-k_B)*MIN(1,(Sens!G2742-base_fy)/k_ramp))</f>
        <v>0.984725833898784</v>
      </c>
      <c r="H2757" s="14" t="n">
        <f aca="false">(k_B+((ls_C*k_long+(1-ls_C)*k_spot)-k_B)*MIN(1,(Sens!H2742-base_fy)/k_ramp))</f>
        <v>0.891019087752599</v>
      </c>
      <c r="I2757" s="14" t="n">
        <f aca="false">(k_B+((ls_C*k_long+(1-ls_C)*k_spot)-k_B)*MIN(1,(Sens!I2742-base_fy)/k_ramp))</f>
        <v>0.891019087752599</v>
      </c>
      <c r="J2757" s="14" t="n">
        <f aca="false">(k_B+((ls_C*k_long+(1-ls_C)*k_spot)-k_B)*MIN(1,(Sens!J2742-base_fy)/k_ramp))</f>
        <v>0.891019087752599</v>
      </c>
      <c r="K2757" s="14" t="n">
        <f aca="false">(k_B+((ls_C*k_long+(1-ls_C)*k_spot)-k_B)*MIN(1,(Sens!K2742-base_fy)/k_ramp))</f>
        <v>0.891019087752599</v>
      </c>
      <c r="L2757" s="1" t="s">
        <v>818</v>
      </c>
    </row>
    <row r="2758" customFormat="false" ht="17.15" hidden="false" customHeight="false" outlineLevel="0" collapsed="false">
      <c r="A2758" s="1" t="s">
        <v>819</v>
      </c>
      <c r="B2758" s="0" t="s">
        <v>339</v>
      </c>
      <c r="C2758" s="14" t="n">
        <f aca="false">Sens!C2756*Sens!C2757*chip_f</f>
        <v>11.3973387156315</v>
      </c>
      <c r="D2758" s="14" t="n">
        <f aca="false">Sens!D2756*Sens!D2757*chip_f</f>
        <v>11.3973387156315</v>
      </c>
      <c r="E2758" s="14" t="n">
        <f aca="false">Sens!E2756*Sens!E2757*chip_f</f>
        <v>11.3973387156315</v>
      </c>
      <c r="F2758" s="14" t="n">
        <f aca="false">Sens!F2756*Sens!F2757*chip_f</f>
        <v>11.2242802615</v>
      </c>
      <c r="G2758" s="14" t="n">
        <f aca="false">Sens!G2756*Sens!G2757*chip_f</f>
        <v>10.6732592791352</v>
      </c>
      <c r="H2758" s="14" t="n">
        <f aca="false">Sens!H2756*Sens!H2757*chip_f</f>
        <v>9.91802420610807</v>
      </c>
      <c r="I2758" s="14" t="n">
        <f aca="false">Sens!I2756*Sens!I2757*chip_f</f>
        <v>10.1214674021403</v>
      </c>
      <c r="J2758" s="14" t="n">
        <f aca="false">Sens!J2756*Sens!J2757*chip_f</f>
        <v>10.2860587867084</v>
      </c>
      <c r="K2758" s="14" t="n">
        <f aca="false">Sens!K2756*Sens!K2757*chip_f</f>
        <v>10.5187810555262</v>
      </c>
      <c r="L2758" s="1" t="s">
        <v>820</v>
      </c>
    </row>
    <row r="2759" customFormat="false" ht="17.15" hidden="false" customHeight="false" outlineLevel="0" collapsed="false">
      <c r="A2759" s="0" t="s">
        <v>821</v>
      </c>
      <c r="B2759" s="0" t="s">
        <v>98</v>
      </c>
      <c r="D2759" s="6" t="n">
        <f aca="false">(Sens!C2744+Sens!D2744)/2*Sens!D2758/1000</f>
        <v>12.9359794422418</v>
      </c>
      <c r="E2759" s="6" t="n">
        <f aca="false">(Sens!D2744+Sens!E2744)/2*Sens!E2758/1000</f>
        <v>27.8095064661409</v>
      </c>
      <c r="F2759" s="6" t="n">
        <f aca="false">(Sens!E2744+Sens!F2744)/2*Sens!F2758/1000</f>
        <v>50.6619113883066</v>
      </c>
      <c r="G2759" s="6" t="n">
        <f aca="false">(Sens!F2744+Sens!G2744)/2*Sens!G2758/1000</f>
        <v>75.1482839325348</v>
      </c>
      <c r="H2759" s="6" t="n">
        <f aca="false">(Sens!G2744+Sens!H2744)/2*Sens!H2758/1000</f>
        <v>94.895655604042</v>
      </c>
      <c r="I2759" s="6" t="n">
        <f aca="false">(Sens!H2744+Sens!I2744)/2*Sens!I2758/1000</f>
        <v>118.706168884151</v>
      </c>
      <c r="J2759" s="6" t="n">
        <f aca="false">(Sens!I2744+Sens!J2744)/2*Sens!J2758/1000</f>
        <v>135.305203646001</v>
      </c>
      <c r="K2759" s="6" t="n">
        <f aca="false">(Sens!J2744+Sens!K2744)/2*Sens!K2758/1000</f>
        <v>145.64537766421</v>
      </c>
      <c r="L2759" s="11" t="s">
        <v>822</v>
      </c>
    </row>
    <row r="2760" customFormat="false" ht="17.15" hidden="false" customHeight="false" outlineLevel="0" collapsed="false">
      <c r="A2760" s="1" t="s">
        <v>823</v>
      </c>
      <c r="B2760" s="0" t="s">
        <v>339</v>
      </c>
      <c r="C2760" s="14" t="n">
        <f aca="false">(Sens!C2752*tk_opex_h100+Sens!C2753*tk_opex_gb200+Sens!C2754*tk_opex_gb300+Sens!C2755*tk_opex_vr200)/Sens!C2744</f>
        <v>1.88636041306092</v>
      </c>
      <c r="D2760" s="14" t="n">
        <f aca="false">(Sens!D2752*tk_opex_h100+Sens!D2753*tk_opex_gb200+Sens!D2754*tk_opex_gb300+Sens!D2755*tk_opex_vr200)/Sens!D2744</f>
        <v>1.88636041306092</v>
      </c>
      <c r="E2760" s="14" t="n">
        <f aca="false">(Sens!E2752*tk_opex_h100+Sens!E2753*tk_opex_gb200+Sens!E2754*tk_opex_gb300+Sens!E2755*tk_opex_vr200)/Sens!E2744</f>
        <v>1.88636041306092</v>
      </c>
      <c r="F2760" s="14" t="n">
        <f aca="false">(Sens!F2752*tk_opex_h100+Sens!F2753*tk_opex_gb200+Sens!F2754*tk_opex_gb300+Sens!F2755*tk_opex_vr200)/Sens!F2744</f>
        <v>1.9430236476499</v>
      </c>
      <c r="G2760" s="14" t="n">
        <f aca="false">(Sens!G2752*tk_opex_h100+Sens!G2753*tk_opex_gb200+Sens!G2754*tk_opex_gb300+Sens!G2755*tk_opex_vr200)/Sens!G2744</f>
        <v>1.9786941852423</v>
      </c>
      <c r="H2760" s="14" t="n">
        <f aca="false">(Sens!H2752*tk_opex_h100+Sens!H2753*tk_opex_gb200+Sens!H2754*tk_opex_gb300+Sens!H2755*tk_opex_vr200)/Sens!H2744</f>
        <v>2.00289275976156</v>
      </c>
      <c r="I2760" s="14" t="n">
        <f aca="false">(Sens!I2752*tk_opex_h100+Sens!I2753*tk_opex_gb200+Sens!I2754*tk_opex_gb300+Sens!I2755*tk_opex_vr200)/Sens!I2744</f>
        <v>2.02179589661219</v>
      </c>
      <c r="J2760" s="14" t="n">
        <f aca="false">(Sens!J2752*tk_opex_h100+Sens!J2753*tk_opex_gb200+Sens!J2754*tk_opex_gb300+Sens!J2755*tk_opex_vr200)/Sens!J2744</f>
        <v>2.03708907685909</v>
      </c>
      <c r="K2760" s="14" t="n">
        <f aca="false">(Sens!K2752*tk_opex_h100+Sens!K2753*tk_opex_gb200+Sens!K2754*tk_opex_gb300+Sens!K2755*tk_opex_vr200)/Sens!K2744</f>
        <v>2.05871270931005</v>
      </c>
    </row>
    <row r="2761" customFormat="false" ht="17.15" hidden="false" customHeight="false" outlineLevel="0" collapsed="false">
      <c r="A2761" s="0" t="s">
        <v>824</v>
      </c>
      <c r="B2761" s="0" t="s">
        <v>98</v>
      </c>
      <c r="D2761" s="6" t="n">
        <f aca="false">(Sens!C2747+Sens!D2747)/2*Sens!D2760/1000</f>
        <v>2.16302660697652</v>
      </c>
      <c r="E2761" s="6" t="n">
        <f aca="false">(Sens!D2747+Sens!E2747)/2*Sens!E2760/1000</f>
        <v>4.9422642822196</v>
      </c>
      <c r="F2761" s="6" t="n">
        <f aca="false">(Sens!E2747+Sens!F2747)/2*Sens!F2760/1000</f>
        <v>10.001649458823</v>
      </c>
      <c r="G2761" s="6" t="n">
        <f aca="false">(Sens!F2747+Sens!G2747)/2*Sens!G2760/1000</f>
        <v>16.5809296205477</v>
      </c>
      <c r="H2761" s="6" t="n">
        <f aca="false">(Sens!G2747+Sens!H2747)/2*Sens!H2760/1000</f>
        <v>23.5326546653585</v>
      </c>
      <c r="I2761" s="6" t="n">
        <f aca="false">(Sens!H2747+Sens!I2747)/2*Sens!I2760/1000</f>
        <v>29.5779520285075</v>
      </c>
      <c r="J2761" s="6" t="n">
        <f aca="false">(Sens!I2747+Sens!J2747)/2*Sens!J2760/1000</f>
        <v>33.6750706394197</v>
      </c>
      <c r="K2761" s="6" t="n">
        <f aca="false">(Sens!J2747+Sens!K2747)/2*Sens!K2760/1000</f>
        <v>35.9320085321201</v>
      </c>
    </row>
    <row r="2762" customFormat="false" ht="17.15" hidden="false" customHeight="false" outlineLevel="0" collapsed="false">
      <c r="A2762" s="0" t="s">
        <v>825</v>
      </c>
      <c r="B2762" s="0" t="s">
        <v>98</v>
      </c>
      <c r="D2762" s="6" t="n">
        <f aca="false">(Sens!C2745+Sens!D2745)/2*rent_mw/1000</f>
        <v>2.44475</v>
      </c>
      <c r="E2762" s="6" t="n">
        <f aca="false">(Sens!D2745+Sens!E2745)/2*rent_mw/1000</f>
        <v>4.22275</v>
      </c>
      <c r="F2762" s="6" t="n">
        <f aca="false">(Sens!E2745+Sens!F2745)/2*rent_mw/1000</f>
        <v>5.80517</v>
      </c>
      <c r="G2762" s="6" t="n">
        <f aca="false">(Sens!F2745+Sens!G2745)/2*rent_mw/1000</f>
        <v>6.72084</v>
      </c>
      <c r="H2762" s="6" t="n">
        <f aca="false">(Sens!G2745+Sens!H2745)/2*rent_mw/1000</f>
        <v>6.72084</v>
      </c>
      <c r="I2762" s="6" t="n">
        <f aca="false">(Sens!H2745+Sens!I2745)/2*rent_mw/1000</f>
        <v>6.72084</v>
      </c>
      <c r="J2762" s="6" t="n">
        <f aca="false">(Sens!I2745+Sens!J2745)/2*rent_mw/1000</f>
        <v>6.72084</v>
      </c>
      <c r="K2762" s="6" t="n">
        <f aca="false">(Sens!J2745+Sens!K2745)/2*rent_mw/1000</f>
        <v>6.72084</v>
      </c>
    </row>
    <row r="2763" customFormat="false" ht="17.15" hidden="false" customHeight="false" outlineLevel="0" collapsed="false">
      <c r="A2763" s="0" t="s">
        <v>826</v>
      </c>
      <c r="B2763" s="0" t="s">
        <v>98</v>
      </c>
      <c r="D2763" s="6" t="n">
        <f aca="false">(Sens!C2747+Sens!D2747)/2*(1-self_build)*fac_rent/1000</f>
        <v>0.682593900504861</v>
      </c>
      <c r="E2763" s="6" t="n">
        <f aca="false">(Sens!D2747+Sens!E2747)/2*(1-self_build)*fac_rent/1000</f>
        <v>1.55964769126983</v>
      </c>
      <c r="F2763" s="6" t="n">
        <f aca="false">(Sens!E2747+Sens!F2747)/2*(1-self_build)*fac_rent/1000</f>
        <v>3.06421164219659</v>
      </c>
      <c r="G2763" s="6" t="n">
        <f aca="false">(Sens!F2747+Sens!G2747)/2*(1-self_build)*fac_rent/1000</f>
        <v>4.9883327277825</v>
      </c>
      <c r="H2763" s="6" t="n">
        <f aca="false">(Sens!G2747+Sens!H2747)/2*(1-self_build)*fac_rent/1000</f>
        <v>6.99420633866143</v>
      </c>
      <c r="I2763" s="6" t="n">
        <f aca="false">(Sens!H2747+Sens!I2747)/2*(1-self_build)*fac_rent/1000</f>
        <v>8.70875363508791</v>
      </c>
      <c r="J2763" s="6" t="n">
        <f aca="false">(Sens!I2747+Sens!J2747)/2*(1-self_build)*fac_rent/1000</f>
        <v>9.84064830260951</v>
      </c>
      <c r="K2763" s="6" t="n">
        <f aca="false">(Sens!J2747+Sens!K2747)/2*(1-self_build)*fac_rent/1000</f>
        <v>10.3898903412262</v>
      </c>
      <c r="L2763" s="11" t="s">
        <v>827</v>
      </c>
    </row>
    <row r="2764" customFormat="false" ht="17.15" hidden="false" customHeight="false" outlineLevel="0" collapsed="false">
      <c r="A2764" s="1" t="s">
        <v>828</v>
      </c>
      <c r="B2764" s="0" t="s">
        <v>129</v>
      </c>
      <c r="D2764" s="7" t="n">
        <f aca="false">(Sens!C2746+Sens!D2746)/(Sens!C2747+Sens!D2747)</f>
        <v>0.75</v>
      </c>
      <c r="E2764" s="7" t="n">
        <f aca="false">(Sens!D2746+Sens!E2746)/(Sens!D2747+Sens!E2747)</f>
        <v>0.75</v>
      </c>
      <c r="F2764" s="7" t="n">
        <f aca="false">(Sens!E2746+Sens!F2746)/(Sens!E2747+Sens!F2747)</f>
        <v>0.75</v>
      </c>
      <c r="G2764" s="7" t="n">
        <f aca="false">(Sens!F2746+Sens!G2746)/(Sens!F2747+Sens!G2747)</f>
        <v>0.75</v>
      </c>
      <c r="H2764" s="7" t="n">
        <f aca="false">(Sens!G2746+Sens!H2746)/(Sens!G2747+Sens!H2747)</f>
        <v>0.75</v>
      </c>
      <c r="I2764" s="7" t="n">
        <f aca="false">(Sens!H2746+Sens!I2746)/(Sens!H2747+Sens!I2747)</f>
        <v>0.75</v>
      </c>
      <c r="J2764" s="7" t="n">
        <f aca="false">(Sens!I2746+Sens!J2746)/(Sens!I2747+Sens!J2747)</f>
        <v>0.75</v>
      </c>
      <c r="K2764" s="7" t="n">
        <f aca="false">(Sens!J2746+Sens!K2746)/(Sens!J2747+Sens!K2747)</f>
        <v>0.75</v>
      </c>
    </row>
    <row r="2765" customFormat="false" ht="17.15" hidden="false" customHeight="false" outlineLevel="0" collapsed="false">
      <c r="A2765" s="0" t="s">
        <v>829</v>
      </c>
      <c r="B2765" s="0" t="s">
        <v>98</v>
      </c>
      <c r="D2765" s="6" t="n">
        <f aca="false">Sens!D2759-Sens!D2764*(Sens!D2761+Sens!D2763)-Sens!D2762</f>
        <v>8.35701406163072</v>
      </c>
      <c r="E2765" s="6" t="n">
        <f aca="false">Sens!E2759-Sens!E2764*(Sens!E2761+Sens!E2763)-Sens!E2762</f>
        <v>18.7103224860238</v>
      </c>
      <c r="F2765" s="6" t="n">
        <f aca="false">Sens!F2759-Sens!F2764*(Sens!F2761+Sens!F2763)-Sens!F2762</f>
        <v>35.0573455625419</v>
      </c>
      <c r="G2765" s="6" t="n">
        <f aca="false">Sens!G2759-Sens!G2764*(Sens!G2761+Sens!G2763)-Sens!G2762</f>
        <v>52.2504971712871</v>
      </c>
      <c r="H2765" s="6" t="n">
        <f aca="false">Sens!H2759-Sens!H2764*(Sens!H2761+Sens!H2763)-Sens!H2762</f>
        <v>65.2796698510271</v>
      </c>
      <c r="I2765" s="6" t="n">
        <f aca="false">Sens!I2759-Sens!I2764*(Sens!I2761+Sens!I2763)-Sens!I2762</f>
        <v>83.2702996364549</v>
      </c>
      <c r="J2765" s="6" t="n">
        <f aca="false">Sens!J2759-Sens!J2764*(Sens!J2761+Sens!J2763)-Sens!J2762</f>
        <v>95.9475744394793</v>
      </c>
      <c r="K2765" s="6" t="n">
        <f aca="false">Sens!K2759-Sens!K2764*(Sens!K2761+Sens!K2763)-Sens!K2762</f>
        <v>104.1831135092</v>
      </c>
    </row>
    <row r="2766" customFormat="false" ht="17.15" hidden="false" customHeight="false" outlineLevel="0" collapsed="false">
      <c r="A2766" s="1" t="s">
        <v>830</v>
      </c>
      <c r="B2766" s="0" t="s">
        <v>98</v>
      </c>
      <c r="D2766" s="6" t="n">
        <f aca="false">(1-Sens!D2764)*(Sens!D2761+Sens!D2763)</f>
        <v>0.711405126870345</v>
      </c>
      <c r="E2766" s="6" t="n">
        <f aca="false">(1-Sens!E2764)*(Sens!E2761+Sens!E2763)</f>
        <v>1.62547799337236</v>
      </c>
      <c r="F2766" s="6" t="n">
        <f aca="false">(1-Sens!F2764)*(Sens!F2761+Sens!F2763)</f>
        <v>3.26646527525489</v>
      </c>
      <c r="G2766" s="6" t="n">
        <f aca="false">(1-Sens!G2764)*(Sens!G2761+Sens!G2763)</f>
        <v>5.39231558708256</v>
      </c>
      <c r="H2766" s="6" t="n">
        <f aca="false">(1-Sens!H2764)*(Sens!H2761+Sens!H2763)</f>
        <v>7.63171525100499</v>
      </c>
      <c r="I2766" s="6" t="n">
        <f aca="false">(1-Sens!I2764)*(Sens!I2761+Sens!I2763)</f>
        <v>9.57167641589886</v>
      </c>
      <c r="J2766" s="6" t="n">
        <f aca="false">(1-Sens!J2764)*(Sens!J2761+Sens!J2763)</f>
        <v>10.8789297355073</v>
      </c>
      <c r="K2766" s="6" t="n">
        <f aca="false">(1-Sens!K2764)*(Sens!K2761+Sens!K2763)</f>
        <v>11.5804747183366</v>
      </c>
    </row>
    <row r="2767" customFormat="false" ht="17.15" hidden="false" customHeight="false" outlineLevel="0" collapsed="false">
      <c r="A2767" s="1" t="s">
        <v>831</v>
      </c>
      <c r="B2767" s="0" t="s">
        <v>350</v>
      </c>
      <c r="C2767" s="8" t="n">
        <f aca="false">cxit_open</f>
        <v>27.5918995</v>
      </c>
      <c r="D2767" s="8" t="n">
        <f aca="false">cxit_open</f>
        <v>27.5918995</v>
      </c>
      <c r="E2767" s="8" t="n">
        <f aca="false">cxit_open</f>
        <v>27.5918995</v>
      </c>
      <c r="F2767" s="8" t="n">
        <f aca="false">(a_g3_27*tk_cxit_gb300+(1-a_g3_27)*tk_cxit_vr200)</f>
        <v>33.8419624</v>
      </c>
      <c r="G2767" s="8" t="n">
        <f aca="false">(a_g3_28*tk_cxit_gb300+(1-a_g3_28)*tk_cxit_vr200)</f>
        <v>35.9816136</v>
      </c>
      <c r="H2767" s="8" t="n">
        <f aca="false">(a_g3_29*tk_cxit_gb300+(1-a_g3_29)*tk_cxit_vr200)</f>
        <v>37.0514392</v>
      </c>
      <c r="I2767" s="8" t="n">
        <f aca="false">(a_g3_29*tk_cxit_gb300+(1-a_g3_29)*tk_cxit_vr200)</f>
        <v>37.0514392</v>
      </c>
      <c r="J2767" s="8" t="n">
        <f aca="false">(a_g3_29*tk_cxit_gb300+(1-a_g3_29)*tk_cxit_vr200)</f>
        <v>37.0514392</v>
      </c>
      <c r="K2767" s="8" t="n">
        <f aca="false">(a_g3_29*tk_cxit_gb300+(1-a_g3_29)*tk_cxit_vr200)</f>
        <v>37.0514392</v>
      </c>
      <c r="L2767" s="11" t="s">
        <v>832</v>
      </c>
    </row>
    <row r="2768" customFormat="false" ht="17.15" hidden="false" customHeight="false" outlineLevel="0" collapsed="false">
      <c r="A2768" s="0" t="s">
        <v>833</v>
      </c>
      <c r="B2768" s="0" t="s">
        <v>392</v>
      </c>
      <c r="F2768" s="29" t="n">
        <f aca="false">Sens!C2749*IF(Sens!F2742-Sens!C2742=life_it,1,0)+Sens!D2749*IF(Sens!F2742-Sens!D2742=life_it,1,0)+Sens!E2749*IF(Sens!F2742-Sens!E2742=life_it,1,0)</f>
        <v>0</v>
      </c>
      <c r="G2768" s="29" t="n">
        <f aca="false">Sens!C2749*IF(Sens!G2742-Sens!C2742=life_it,1,0)+Sens!D2749*IF(Sens!G2742-Sens!D2742=life_it,1,0)+Sens!E2749*IF(Sens!G2742-Sens!E2742=life_it,1,0)+Sens!F2749*IF(Sens!G2742-Sens!F2742=life_it,1,0)</f>
        <v>0</v>
      </c>
      <c r="H2768" s="29" t="n">
        <f aca="false">Sens!C2749*IF(Sens!H2742-Sens!C2742=life_it,1,0)+Sens!D2749*IF(Sens!H2742-Sens!D2742=life_it,1,0)+Sens!E2749*IF(Sens!H2742-Sens!E2742=life_it,1,0)+Sens!F2749*IF(Sens!H2742-Sens!F2742=life_it,1,0)+Sens!G2749*IF(Sens!H2742-Sens!G2742=life_it,1,0)</f>
        <v>0</v>
      </c>
      <c r="I2768" s="29" t="n">
        <f aca="false">Sens!C2749*IF(Sens!I2742-Sens!C2742=life_it,1,0)+Sens!D2749*IF(Sens!I2742-Sens!D2742=life_it,1,0)+Sens!E2749*IF(Sens!I2742-Sens!E2742=life_it,1,0)+Sens!F2749*IF(Sens!I2742-Sens!F2742=life_it,1,0)+Sens!G2749*IF(Sens!I2742-Sens!G2742=life_it,1,0)+Sens!H2749*IF(Sens!I2742-Sens!H2742=life_it,1,0)</f>
        <v>653.333333333333</v>
      </c>
      <c r="J2768" s="29" t="n">
        <f aca="false">Sens!C2749*IF(Sens!J2742-Sens!C2742=life_it,1,0)+Sens!D2749*IF(Sens!J2742-Sens!D2742=life_it,1,0)+Sens!E2749*IF(Sens!J2742-Sens!E2742=life_it,1,0)+Sens!F2749*IF(Sens!J2742-Sens!F2742=life_it,1,0)+Sens!G2749*IF(Sens!J2742-Sens!G2742=life_it,1,0)+Sens!H2749*IF(Sens!J2742-Sens!H2742=life_it,1,0)+Sens!I2749*IF(Sens!J2742-Sens!I2742=life_it,1,0)</f>
        <v>986.666666666667</v>
      </c>
      <c r="K2768" s="29" t="n">
        <f aca="false">Sens!C2749*IF(Sens!K2742-Sens!C2742=life_it,1,0)+Sens!D2749*IF(Sens!K2742-Sens!D2742=life_it,1,0)+Sens!E2749*IF(Sens!K2742-Sens!E2742=life_it,1,0)+Sens!F2749*IF(Sens!K2742-Sens!F2742=life_it,1,0)+Sens!G2749*IF(Sens!K2742-Sens!G2742=life_it,1,0)+Sens!H2749*IF(Sens!K2742-Sens!H2742=life_it,1,0)+Sens!I2749*IF(Sens!K2742-Sens!I2742=life_it,1,0)+Sens!J2749*IF(Sens!K2742-Sens!J2742=life_it,1,0)</f>
        <v>1960</v>
      </c>
      <c r="L2768" s="1" t="s">
        <v>834</v>
      </c>
    </row>
    <row r="2769" customFormat="false" ht="17.15" hidden="false" customHeight="false" outlineLevel="0" collapsed="false">
      <c r="A2769" s="0" t="s">
        <v>835</v>
      </c>
      <c r="B2769" s="0" t="s">
        <v>98</v>
      </c>
      <c r="C2769" s="6" t="n">
        <f aca="false">Sens!C2749*Sens!C2767/1000</f>
        <v>18.0267076733333</v>
      </c>
      <c r="D2769" s="6" t="n">
        <f aca="false">Sens!D2749*Sens!D2767/1000</f>
        <v>27.2240075066667</v>
      </c>
      <c r="E2769" s="6" t="n">
        <f aca="false">Sens!E2749*Sens!E2767/1000</f>
        <v>54.08012302</v>
      </c>
      <c r="F2769" s="6" t="n">
        <f aca="false">(Sens!F2749+Sens!F2768)*Sens!F2767/1000</f>
        <v>104.738617497173</v>
      </c>
      <c r="G2769" s="6" t="n">
        <f aca="false">(Sens!G2749+Sens!G2768)*Sens!G2767/1000</f>
        <v>121.24364518656</v>
      </c>
      <c r="H2769" s="6" t="n">
        <f aca="false">(Sens!H2749+Sens!H2768)*Sens!H2767/1000</f>
        <v>124.84852952832</v>
      </c>
      <c r="I2769" s="6" t="n">
        <f aca="false">(Sens!I2749+Sens!I2768)*Sens!I2767/1000</f>
        <v>112.790311547396</v>
      </c>
      <c r="J2769" s="6" t="n">
        <f aca="false">(Sens!J2749+Sens!J2768)*Sens!J2767/1000</f>
        <v>88.8756330224724</v>
      </c>
      <c r="K2769" s="6" t="n">
        <f aca="false">(Sens!K2749+Sens!K2768)*Sens!K2767/1000</f>
        <v>88.6738755855489</v>
      </c>
    </row>
    <row r="2770" customFormat="false" ht="17.15" hidden="false" customHeight="false" outlineLevel="0" collapsed="false">
      <c r="A2770" s="0" t="s">
        <v>836</v>
      </c>
      <c r="B2770" s="0" t="s">
        <v>98</v>
      </c>
      <c r="C2770" s="6" t="n">
        <f aca="false">Sens!C2749*self_build*tk_cxfac/1000</f>
        <v>4.96664</v>
      </c>
      <c r="D2770" s="6" t="n">
        <f aca="false">Sens!D2749*self_build*tk_cxfac/1000</f>
        <v>7.50064</v>
      </c>
      <c r="E2770" s="6" t="n">
        <f aca="false">Sens!E2749*self_build*tk_cxfac/1000</f>
        <v>14.89992</v>
      </c>
      <c r="F2770" s="6" t="n">
        <f aca="false">Sens!F2749*self_build*tk_cxfac/1000</f>
        <v>23.5276832</v>
      </c>
      <c r="G2770" s="6" t="n">
        <f aca="false">Sens!G2749*self_build*tk_cxfac/1000</f>
        <v>25.6156992</v>
      </c>
      <c r="H2770" s="6" t="n">
        <f aca="false">Sens!H2749*self_build*tk_cxfac/1000</f>
        <v>25.6156992</v>
      </c>
      <c r="I2770" s="6" t="n">
        <f aca="false">Sens!I2749*self_build*tk_cxfac/1000</f>
        <v>18.175023776</v>
      </c>
      <c r="J2770" s="6" t="n">
        <f aca="false">Sens!J2749*self_build*tk_cxfac/1000</f>
        <v>10.734348352</v>
      </c>
      <c r="K2770" s="6" t="n">
        <f aca="false">Sens!K2749*self_build*tk_cxfac/1000</f>
        <v>3.29367292800002</v>
      </c>
    </row>
    <row r="2771" customFormat="false" ht="17.15" hidden="false" customHeight="false" outlineLevel="0" collapsed="false">
      <c r="A2771" s="0" t="s">
        <v>837</v>
      </c>
      <c r="B2771" s="0" t="s">
        <v>98</v>
      </c>
      <c r="F2771" s="6" t="n">
        <f aca="false">MAX(0,capex_floor27-Sens!F2769-Sens!F2770-Sens!F2864)</f>
        <v>40.5043520732642</v>
      </c>
      <c r="L2771" s="1" t="s">
        <v>838</v>
      </c>
    </row>
    <row r="2772" customFormat="false" ht="17.15" hidden="false" customHeight="false" outlineLevel="0" collapsed="false">
      <c r="A2772" s="0" t="s">
        <v>839</v>
      </c>
      <c r="B2772" s="0" t="s">
        <v>98</v>
      </c>
      <c r="C2772" s="6" t="n">
        <f aca="false">Sens!C2769</f>
        <v>18.0267076733333</v>
      </c>
      <c r="D2772" s="6" t="n">
        <f aca="false">Sens!D2769</f>
        <v>27.2240075066667</v>
      </c>
      <c r="E2772" s="6" t="n">
        <f aca="false">Sens!E2769</f>
        <v>54.08012302</v>
      </c>
      <c r="F2772" s="6" t="n">
        <f aca="false">Sens!F2769+Sens!F2771</f>
        <v>145.242969570438</v>
      </c>
      <c r="G2772" s="6" t="n">
        <f aca="false">Sens!G2769</f>
        <v>121.24364518656</v>
      </c>
      <c r="H2772" s="6" t="n">
        <f aca="false">Sens!H2769</f>
        <v>124.84852952832</v>
      </c>
      <c r="I2772" s="6" t="n">
        <f aca="false">Sens!I2769</f>
        <v>112.790311547396</v>
      </c>
      <c r="J2772" s="6" t="n">
        <f aca="false">Sens!J2769</f>
        <v>88.8756330224724</v>
      </c>
      <c r="K2772" s="6" t="n">
        <f aca="false">Sens!K2769</f>
        <v>88.6738755855489</v>
      </c>
    </row>
    <row r="2773" customFormat="false" ht="17.15" hidden="false" customHeight="false" outlineLevel="0" collapsed="false">
      <c r="A2773" s="0" t="s">
        <v>840</v>
      </c>
      <c r="B2773" s="0" t="s">
        <v>98</v>
      </c>
      <c r="C2773" s="6" t="n">
        <f aca="false">Sens!C2772+Sens!C2770</f>
        <v>22.9933476733333</v>
      </c>
      <c r="D2773" s="6" t="n">
        <f aca="false">Sens!D2772+Sens!D2770</f>
        <v>34.7246475066667</v>
      </c>
      <c r="E2773" s="6" t="n">
        <f aca="false">Sens!E2772+Sens!E2770</f>
        <v>68.98004302</v>
      </c>
      <c r="F2773" s="6" t="n">
        <f aca="false">Sens!F2772+Sens!F2770</f>
        <v>168.770652770438</v>
      </c>
      <c r="G2773" s="6" t="n">
        <f aca="false">Sens!G2772+Sens!G2770</f>
        <v>146.85934438656</v>
      </c>
      <c r="H2773" s="6" t="n">
        <f aca="false">Sens!H2772+Sens!H2770</f>
        <v>150.46422872832</v>
      </c>
      <c r="I2773" s="6" t="n">
        <f aca="false">Sens!I2772+Sens!I2770</f>
        <v>130.965335323396</v>
      </c>
      <c r="J2773" s="6" t="n">
        <f aca="false">Sens!J2772+Sens!J2770</f>
        <v>99.6099813744724</v>
      </c>
      <c r="K2773" s="6" t="n">
        <f aca="false">Sens!K2772+Sens!K2770</f>
        <v>91.9675485135489</v>
      </c>
      <c r="L2773" s="11" t="s">
        <v>841</v>
      </c>
    </row>
    <row r="2774" customFormat="false" ht="17.15" hidden="false" customHeight="false" outlineLevel="0" collapsed="false">
      <c r="A2774" s="0" t="s">
        <v>842</v>
      </c>
      <c r="B2774" s="0" t="s">
        <v>98</v>
      </c>
      <c r="E2774" s="6" t="n">
        <f aca="false">(Sens!C2772*IF(2&lt;life_it,1,IF(2=life_it,0.5,0))+Sens!D2772*IF(1&lt;life_it,1,IF(1=life_it,0.5,0))+Sens!E2772*0.5)/life_it</f>
        <v>12.0484627816667</v>
      </c>
      <c r="F2774" s="6" t="n">
        <f aca="false">(Sens!C2772*IF(3&lt;life_it,1,IF(3=life_it,0.5,0))+Sens!D2772*IF(2&lt;life_it,1,IF(2=life_it,0.5,0))+Sens!E2772*IF(1&lt;life_it,1,IF(1=life_it,0.5,0))+Sens!F2772*0.5)/life_it</f>
        <v>28.6587204975365</v>
      </c>
      <c r="G2774" s="6" t="n">
        <f aca="false">(Sens!C2772*IF(4&lt;life_it,1,IF(4=life_it,0.5,0))+Sens!D2772*IF(3&lt;life_it,1,IF(3=life_it,0.5,0))+Sens!E2772*IF(2&lt;life_it,1,IF(2=life_it,0.5,0))+Sens!F2772*IF(1&lt;life_it,1,IF(1=life_it,0.5,0))+Sens!G2772*0.5)/life_it</f>
        <v>50.8659383939529</v>
      </c>
      <c r="H2774" s="6" t="n">
        <f aca="false">(Sens!C2772*IF(5&lt;life_it,1,IF(5=life_it,0.5,0))+Sens!D2772*IF(4&lt;life_it,1,IF(4=life_it,0.5,0))+Sens!E2772*IF(3&lt;life_it,1,IF(3=life_it,0.5,0))+Sens!F2772*IF(2&lt;life_it,1,IF(2=life_it,0.5,0))+Sens!G2772*IF(1&lt;life_it,1,IF(1=life_it,0.5,0))+Sens!H2772*0.5)/life_it</f>
        <v>71.3736196201929</v>
      </c>
      <c r="I2774" s="6" t="n">
        <f aca="false">(Sens!C2772*IF(6&lt;life_it,1,IF(6=life_it,0.5,0))+Sens!D2772*IF(5&lt;life_it,1,IF(5=life_it,0.5,0))+Sens!E2772*IF(4&lt;life_it,1,IF(4=life_it,0.5,0))+Sens!F2772*IF(3&lt;life_it,1,IF(3=life_it,0.5,0))+Sens!G2772*IF(2&lt;life_it,1,IF(2=life_it,0.5,0))+Sens!H2772*IF(1&lt;life_it,1,IF(1=life_it,0.5,0))+Sens!I2772*0.5)/life_it</f>
        <v>89.6746307370582</v>
      </c>
      <c r="J2774" s="6" t="n">
        <f aca="false">(Sens!C2772*IF(7&lt;life_it,1,IF(7=life_it,0.5,0))+Sens!D2772*IF(6&lt;life_it,1,IF(6=life_it,0.5,0))+Sens!E2772*IF(5&lt;life_it,1,IF(5=life_it,0.5,0))+Sens!F2772*IF(4&lt;life_it,1,IF(4=life_it,0.5,0))+Sens!G2772*IF(3&lt;life_it,1,IF(3=life_it,0.5,0))+Sens!H2772*IF(2&lt;life_it,1,IF(2=life_it,0.5,0))+Sens!I2772*IF(1&lt;life_it,1,IF(1=life_it,0.5,0))+Sens!J2772*0.5)/life_it</f>
        <v>102.709233186214</v>
      </c>
      <c r="K2774" s="6" t="n">
        <f aca="false">(Sens!C2772*IF(8&lt;life_it,1,IF(8=life_it,0.5,0))+Sens!D2772*IF(7&lt;life_it,1,IF(7=life_it,0.5,0))+Sens!E2772*IF(6&lt;life_it,1,IF(6=life_it,0.5,0))+Sens!F2772*IF(5&lt;life_it,1,IF(5=life_it,0.5,0))+Sens!G2772*IF(4&lt;life_it,1,IF(4=life_it,0.5,0))+Sens!H2772*IF(3&lt;life_it,1,IF(3=life_it,0.5,0))+Sens!I2772*IF(2&lt;life_it,1,IF(2=life_it,0.5,0))+Sens!J2772*IF(1&lt;life_it,1,IF(1=life_it,0.5,0))+Sens!K2772*0.5)/life_it</f>
        <v>110.72968135966</v>
      </c>
    </row>
    <row r="2775" customFormat="false" ht="17.15" hidden="false" customHeight="false" outlineLevel="0" collapsed="false">
      <c r="A2775" s="0" t="s">
        <v>843</v>
      </c>
      <c r="B2775" s="0" t="s">
        <v>98</v>
      </c>
      <c r="E2775" s="6" t="n">
        <f aca="false">(Sens!C2770*IF(2&lt;life_fac,1,IF(2=life_fac,0.5,0))+Sens!D2770*IF(1&lt;life_fac,1,IF(1=life_fac,0.5,0))+Sens!E2770*0.5)/life_fac</f>
        <v>0.995862</v>
      </c>
      <c r="F2775" s="6" t="n">
        <f aca="false">(Sens!C2770*IF(3&lt;life_fac,1,IF(3=life_fac,0.5,0))+Sens!D2770*IF(2&lt;life_fac,1,IF(2=life_fac,0.5,0))+Sens!E2770*IF(1&lt;life_fac,1,IF(1=life_fac,0.5,0))+Sens!F2770*0.5)/life_fac</f>
        <v>1.95655208</v>
      </c>
      <c r="G2775" s="6" t="n">
        <f aca="false">(Sens!C2770*IF(4&lt;life_fac,1,IF(4=life_fac,0.5,0))+Sens!D2770*IF(3&lt;life_fac,1,IF(3=life_fac,0.5,0))+Sens!E2770*IF(2&lt;life_fac,1,IF(2=life_fac,0.5,0))+Sens!F2770*IF(1&lt;life_fac,1,IF(1=life_fac,0.5,0))+Sens!G2770*0.5)/life_fac</f>
        <v>3.18513664</v>
      </c>
      <c r="H2775" s="6" t="n">
        <f aca="false">(Sens!C2770*IF(5&lt;life_fac,1,IF(5=life_fac,0.5,0))+Sens!D2770*IF(4&lt;life_fac,1,IF(4=life_fac,0.5,0))+Sens!E2770*IF(3&lt;life_fac,1,IF(3=life_fac,0.5,0))+Sens!F2770*IF(2&lt;life_fac,1,IF(2=life_fac,0.5,0))+Sens!G2770*IF(1&lt;life_fac,1,IF(1=life_fac,0.5,0))+Sens!H2770*0.5)/life_fac</f>
        <v>4.4659216</v>
      </c>
      <c r="I2775" s="6" t="n">
        <f aca="false">(Sens!C2770*IF(6&lt;life_fac,1,IF(6=life_fac,0.5,0))+Sens!D2770*IF(5&lt;life_fac,1,IF(5=life_fac,0.5,0))+Sens!E2770*IF(4&lt;life_fac,1,IF(4=life_fac,0.5,0))+Sens!F2770*IF(3&lt;life_fac,1,IF(3=life_fac,0.5,0))+Sens!G2770*IF(2&lt;life_fac,1,IF(2=life_fac,0.5,0))+Sens!H2770*IF(1&lt;life_fac,1,IF(1=life_fac,0.5,0))+Sens!I2770*0.5)/life_fac</f>
        <v>5.5606896744</v>
      </c>
      <c r="J2775" s="6" t="n">
        <f aca="false">(Sens!C2770*IF(7&lt;life_fac,1,IF(7=life_fac,0.5,0))+Sens!D2770*IF(6&lt;life_fac,1,IF(6=life_fac,0.5,0))+Sens!E2770*IF(5&lt;life_fac,1,IF(5=life_fac,0.5,0))+Sens!F2770*IF(4&lt;life_fac,1,IF(4=life_fac,0.5,0))+Sens!G2770*IF(3&lt;life_fac,1,IF(3=life_fac,0.5,0))+Sens!H2770*IF(2&lt;life_fac,1,IF(2=life_fac,0.5,0))+Sens!I2770*IF(1&lt;life_fac,1,IF(1=life_fac,0.5,0))+Sens!J2770*0.5)/life_fac</f>
        <v>6.2834239776</v>
      </c>
      <c r="K2775" s="6" t="n">
        <f aca="false">(Sens!C2770*IF(8&lt;life_fac,1,IF(8=life_fac,0.5,0))+Sens!D2770*IF(7&lt;life_fac,1,IF(7=life_fac,0.5,0))+Sens!E2770*IF(6&lt;life_fac,1,IF(6=life_fac,0.5,0))+Sens!F2770*IF(5&lt;life_fac,1,IF(5=life_fac,0.5,0))+Sens!G2770*IF(4&lt;life_fac,1,IF(4=life_fac,0.5,0))+Sens!H2770*IF(3&lt;life_fac,1,IF(3=life_fac,0.5,0))+Sens!I2770*IF(2&lt;life_fac,1,IF(2=life_fac,0.5,0))+Sens!J2770*IF(1&lt;life_fac,1,IF(1=life_fac,0.5,0))+Sens!K2770*0.5)/life_fac</f>
        <v>6.6341245096</v>
      </c>
    </row>
    <row r="2776" customFormat="false" ht="17.15" hidden="false" customHeight="false" outlineLevel="0" collapsed="false">
      <c r="A2776" s="0" t="s">
        <v>844</v>
      </c>
      <c r="B2776" s="0" t="s">
        <v>98</v>
      </c>
      <c r="E2776" s="6" t="n">
        <f aca="false">Sens!E2774+Sens!E2775</f>
        <v>13.0443247816667</v>
      </c>
      <c r="F2776" s="6" t="n">
        <f aca="false">Sens!F2774+Sens!F2775</f>
        <v>30.6152725775365</v>
      </c>
      <c r="G2776" s="6" t="n">
        <f aca="false">Sens!G2774+Sens!G2775</f>
        <v>54.0510750339529</v>
      </c>
      <c r="H2776" s="6" t="n">
        <f aca="false">Sens!H2774+Sens!H2775</f>
        <v>75.8395412201929</v>
      </c>
      <c r="I2776" s="6" t="n">
        <f aca="false">Sens!I2774+Sens!I2775</f>
        <v>95.2353204114582</v>
      </c>
      <c r="J2776" s="6" t="n">
        <f aca="false">Sens!J2774+Sens!J2775</f>
        <v>108.992657163814</v>
      </c>
      <c r="K2776" s="6" t="n">
        <f aca="false">Sens!K2774+Sens!K2775</f>
        <v>117.36380586926</v>
      </c>
    </row>
    <row r="2777" customFormat="false" ht="17.15" hidden="false" customHeight="false" outlineLevel="0" collapsed="false">
      <c r="A2777" s="0" t="s">
        <v>845</v>
      </c>
      <c r="B2777" s="0" t="s">
        <v>98</v>
      </c>
      <c r="E2777" s="6" t="n">
        <f aca="false">Sens!E2765-Sens!E2764*Sens!E2776</f>
        <v>8.92707889977379</v>
      </c>
      <c r="F2777" s="6" t="n">
        <f aca="false">Sens!F2765-Sens!F2764*Sens!F2776</f>
        <v>12.0958911293896</v>
      </c>
      <c r="G2777" s="6" t="n">
        <f aca="false">Sens!G2765-Sens!G2764*Sens!G2776</f>
        <v>11.7121908958224</v>
      </c>
      <c r="H2777" s="6" t="n">
        <f aca="false">Sens!H2765-Sens!H2764*Sens!H2776</f>
        <v>8.40001393588236</v>
      </c>
      <c r="I2777" s="6" t="n">
        <f aca="false">Sens!I2765-Sens!I2764*Sens!I2776</f>
        <v>11.8438093278612</v>
      </c>
      <c r="J2777" s="6" t="n">
        <f aca="false">Sens!J2765-Sens!J2764*Sens!J2776</f>
        <v>14.2030815666189</v>
      </c>
      <c r="K2777" s="6" t="n">
        <f aca="false">Sens!K2765-Sens!K2764*Sens!K2776</f>
        <v>16.1602591072553</v>
      </c>
    </row>
    <row r="2778" customFormat="false" ht="17.15" hidden="false" customHeight="false" outlineLevel="0" collapsed="false">
      <c r="A2778" s="3" t="s">
        <v>1305</v>
      </c>
    </row>
    <row r="2779" customFormat="false" ht="15" hidden="false" customHeight="false" outlineLevel="0" collapsed="false">
      <c r="A2779" s="4" t="s">
        <v>43</v>
      </c>
      <c r="B2779" s="4" t="s">
        <v>65</v>
      </c>
      <c r="C2779" s="20" t="s">
        <v>788</v>
      </c>
      <c r="D2779" s="20" t="s">
        <v>789</v>
      </c>
      <c r="E2779" s="20" t="s">
        <v>790</v>
      </c>
      <c r="F2779" s="20" t="s">
        <v>791</v>
      </c>
      <c r="G2779" s="20" t="s">
        <v>792</v>
      </c>
      <c r="H2779" s="20" t="s">
        <v>793</v>
      </c>
      <c r="I2779" s="20" t="s">
        <v>794</v>
      </c>
      <c r="J2779" s="20" t="s">
        <v>795</v>
      </c>
      <c r="K2779" s="20" t="s">
        <v>796</v>
      </c>
      <c r="L2779" s="4" t="s">
        <v>47</v>
      </c>
    </row>
    <row r="2780" customFormat="false" ht="17.15" hidden="false" customHeight="false" outlineLevel="0" collapsed="false">
      <c r="A2780" s="0" t="s">
        <v>864</v>
      </c>
      <c r="B2780" s="0" t="s">
        <v>98</v>
      </c>
      <c r="D2780" s="6" t="n">
        <f aca="false">Sens!D2759</f>
        <v>12.9359794422418</v>
      </c>
      <c r="E2780" s="6" t="n">
        <f aca="false">Sens!E2759</f>
        <v>27.8095064661409</v>
      </c>
      <c r="F2780" s="6" t="n">
        <f aca="false">Sens!F2759</f>
        <v>50.6619113883066</v>
      </c>
      <c r="G2780" s="6" t="n">
        <f aca="false">Sens!G2759</f>
        <v>75.1482839325348</v>
      </c>
      <c r="H2780" s="6" t="n">
        <f aca="false">Sens!H2759</f>
        <v>94.895655604042</v>
      </c>
      <c r="I2780" s="6" t="n">
        <f aca="false">Sens!I2759</f>
        <v>118.706168884151</v>
      </c>
      <c r="J2780" s="6" t="n">
        <f aca="false">Sens!J2759</f>
        <v>135.305203646001</v>
      </c>
      <c r="K2780" s="6" t="n">
        <f aca="false">Sens!K2759</f>
        <v>145.64537766421</v>
      </c>
    </row>
    <row r="2781" customFormat="false" ht="17.15" hidden="false" customHeight="false" outlineLevel="0" collapsed="false">
      <c r="A2781" s="0" t="s">
        <v>865</v>
      </c>
      <c r="B2781" s="0" t="s">
        <v>98</v>
      </c>
      <c r="D2781" s="6" t="n">
        <f aca="false">Q!L6-Sens!D2780</f>
        <v>59.6740205577583</v>
      </c>
      <c r="E2781" s="6" t="n">
        <f aca="false">Q!M6-Sens!E2780</f>
        <v>74.1284935338591</v>
      </c>
      <c r="F2781" s="6" t="n">
        <f aca="false">Sens!E2781*(1+Sens!F2782)</f>
        <v>90.0799497373663</v>
      </c>
      <c r="G2781" s="6" t="n">
        <f aca="false">Sens!F2781*(1+Sens!G2782)</f>
        <v>107.02842520331</v>
      </c>
      <c r="H2781" s="6" t="n">
        <f aca="false">Sens!G2781*(1+Sens!H2782)</f>
        <v>124.271982585636</v>
      </c>
      <c r="I2781" s="6" t="n">
        <f aca="false">Sens!H2781*(1+Sens!I2782)</f>
        <v>140.933702381855</v>
      </c>
      <c r="J2781" s="6" t="n">
        <f aca="false">Sens!I2781*(1+Sens!J2782)</f>
        <v>156.018867314332</v>
      </c>
      <c r="K2781" s="6" t="n">
        <f aca="false">Sens!J2781*(1+Sens!K2782)</f>
        <v>168.500376699478</v>
      </c>
    </row>
    <row r="2782" customFormat="false" ht="15" hidden="false" customHeight="false" outlineLevel="0" collapsed="false">
      <c r="A2782" s="1" t="s">
        <v>866</v>
      </c>
      <c r="B2782" s="0" t="s">
        <v>129</v>
      </c>
      <c r="E2782" s="7" t="n">
        <f aca="false">Sens!E2781/Sens!D2781-1</f>
        <v>0.242223883039864</v>
      </c>
      <c r="F2782" s="7" t="n">
        <f aca="false">Sens!$E$2782+(glt_azo-Sens!$E$2782)*MIN(1,(Sens!F2742-base_fy)/n_conv)</f>
        <v>0.215186569199887</v>
      </c>
      <c r="G2782" s="7" t="n">
        <f aca="false">Sens!$E$2782+(glt_azo-Sens!$E$2782)*MIN(1,(Sens!G2742-base_fy)/n_conv)</f>
        <v>0.18814925535991</v>
      </c>
      <c r="H2782" s="7" t="n">
        <f aca="false">Sens!$E$2782+(glt_azo-Sens!$E$2782)*MIN(1,(Sens!H2742-base_fy)/n_conv)</f>
        <v>0.161111941519932</v>
      </c>
      <c r="I2782" s="7" t="n">
        <f aca="false">Sens!$E$2782+(glt_azo-Sens!$E$2782)*MIN(1,(Sens!I2742-base_fy)/n_conv)</f>
        <v>0.134074627679955</v>
      </c>
      <c r="J2782" s="7" t="n">
        <f aca="false">Sens!$E$2782+(glt_azo-Sens!$E$2782)*MIN(1,(Sens!J2742-base_fy)/n_conv)</f>
        <v>0.107037313839977</v>
      </c>
      <c r="K2782" s="7" t="n">
        <f aca="false">Sens!$E$2782+(glt_azo-Sens!$E$2782)*MIN(1,(Sens!K2742-base_fy)/n_conv)</f>
        <v>0.08</v>
      </c>
    </row>
    <row r="2783" customFormat="false" ht="15" hidden="false" customHeight="false" outlineLevel="0" collapsed="false">
      <c r="A2783" s="0" t="s">
        <v>867</v>
      </c>
      <c r="B2783" s="0" t="s">
        <v>98</v>
      </c>
      <c r="D2783" s="6" t="n">
        <f aca="false">Sens!D2780+Sens!D2781</f>
        <v>72.61</v>
      </c>
      <c r="E2783" s="6" t="n">
        <f aca="false">Sens!E2780+Sens!E2781</f>
        <v>101.938</v>
      </c>
      <c r="F2783" s="6" t="n">
        <f aca="false">Sens!F2780+Sens!F2781</f>
        <v>140.741861125673</v>
      </c>
      <c r="G2783" s="6" t="n">
        <f aca="false">Sens!G2780+Sens!G2781</f>
        <v>182.176709135845</v>
      </c>
      <c r="H2783" s="6" t="n">
        <f aca="false">Sens!H2780+Sens!H2781</f>
        <v>219.167638189678</v>
      </c>
      <c r="I2783" s="6" t="n">
        <f aca="false">Sens!I2780+Sens!I2781</f>
        <v>259.639871266006</v>
      </c>
      <c r="J2783" s="6" t="n">
        <f aca="false">Sens!J2780+Sens!J2781</f>
        <v>291.324070960333</v>
      </c>
      <c r="K2783" s="6" t="n">
        <f aca="false">Sens!K2780+Sens!K2781</f>
        <v>314.145754363688</v>
      </c>
    </row>
    <row r="2784" customFormat="false" ht="17.15" hidden="false" customHeight="false" outlineLevel="0" collapsed="false">
      <c r="A2784" s="0" t="s">
        <v>868</v>
      </c>
      <c r="B2784" s="1" t="s">
        <v>521</v>
      </c>
      <c r="C2784" s="29" t="n">
        <f aca="false">cop_s24</f>
        <v>1</v>
      </c>
      <c r="D2784" s="29" t="n">
        <f aca="false">cop_s25</f>
        <v>5</v>
      </c>
      <c r="E2784" s="29" t="n">
        <f aca="false">cop_s26</f>
        <v>30</v>
      </c>
      <c r="F2784" s="29" t="n">
        <f aca="false">Sens!E2784+cop_add_C</f>
        <v>40</v>
      </c>
      <c r="G2784" s="29" t="n">
        <f aca="false">Sens!F2784+cop_add_C</f>
        <v>50</v>
      </c>
      <c r="H2784" s="29" t="n">
        <f aca="false">Sens!G2784+cop_add_C</f>
        <v>60</v>
      </c>
      <c r="I2784" s="29" t="n">
        <f aca="false">Sens!H2784+cop_add_C*cop_tail</f>
        <v>65</v>
      </c>
      <c r="J2784" s="29" t="n">
        <f aca="false">Sens!I2784+cop_add_C*cop_tail</f>
        <v>70</v>
      </c>
      <c r="K2784" s="29" t="n">
        <f aca="false">Sens!J2784+cop_add_C*cop_tail</f>
        <v>75</v>
      </c>
      <c r="L2784" s="11" t="s">
        <v>869</v>
      </c>
    </row>
    <row r="2785" customFormat="false" ht="17.15" hidden="false" customHeight="false" outlineLevel="0" collapsed="false">
      <c r="A2785" s="0" t="s">
        <v>870</v>
      </c>
      <c r="B2785" s="0" t="s">
        <v>98</v>
      </c>
      <c r="D2785" s="6" t="n">
        <f aca="false">(Sens!C2784+Sens!D2784)/2*cop_px*12/1000</f>
        <v>0.9</v>
      </c>
      <c r="E2785" s="6" t="n">
        <f aca="false">(Sens!D2784+Sens!E2784)/2*cop_px*12/1000</f>
        <v>5.25</v>
      </c>
      <c r="F2785" s="6" t="n">
        <f aca="false">(Sens!E2784+Sens!F2784)/2*cop_px*12/1000</f>
        <v>10.5</v>
      </c>
      <c r="G2785" s="6" t="n">
        <f aca="false">(Sens!F2784+Sens!G2784)/2*cop_px*12/1000</f>
        <v>13.5</v>
      </c>
      <c r="H2785" s="6" t="n">
        <f aca="false">(Sens!G2784+Sens!H2784)/2*cop_px*12/1000</f>
        <v>16.5</v>
      </c>
      <c r="I2785" s="6" t="n">
        <f aca="false">(Sens!H2784+Sens!I2784)/2*cop_px*12/1000</f>
        <v>18.75</v>
      </c>
      <c r="J2785" s="6" t="n">
        <f aca="false">(Sens!I2784+Sens!J2784)/2*cop_px*12/1000</f>
        <v>20.25</v>
      </c>
      <c r="K2785" s="6" t="n">
        <f aca="false">(Sens!J2784+Sens!K2784)/2*cop_px*12/1000</f>
        <v>21.75</v>
      </c>
      <c r="L2785" s="1" t="s">
        <v>871</v>
      </c>
    </row>
    <row r="2786" customFormat="false" ht="17.15" hidden="false" customHeight="false" outlineLevel="0" collapsed="false">
      <c r="A2786" s="0" t="s">
        <v>872</v>
      </c>
      <c r="B2786" s="0" t="s">
        <v>98</v>
      </c>
      <c r="D2786" s="6" t="n">
        <f aca="false">Q!L7-Sens!D2785</f>
        <v>83.705</v>
      </c>
      <c r="E2786" s="6" t="n">
        <f aca="false">Q!M7-Sens!E2785</f>
        <v>95.049</v>
      </c>
      <c r="F2786" s="6" t="n">
        <f aca="false">Sens!E2786*(1+Sens!F2787)</f>
        <v>106.89238776686</v>
      </c>
      <c r="G2786" s="6" t="n">
        <f aca="false">Sens!F2786*(1+Sens!G2787)</f>
        <v>119.044168448684</v>
      </c>
      <c r="H2786" s="6" t="n">
        <f aca="false">Sens!G2786*(1+Sens!H2787)</f>
        <v>131.277359388781</v>
      </c>
      <c r="I2786" s="6" t="n">
        <f aca="false">Sens!H2786*(1+Sens!I2787)</f>
        <v>143.334028071957</v>
      </c>
      <c r="J2786" s="6" t="n">
        <f aca="false">Sens!I2786*(1+Sens!J2787)</f>
        <v>154.932702785465</v>
      </c>
      <c r="K2786" s="6" t="n">
        <f aca="false">Sens!J2786*(1+Sens!K2787)</f>
        <v>165.777991980448</v>
      </c>
    </row>
    <row r="2787" customFormat="false" ht="15" hidden="false" customHeight="false" outlineLevel="0" collapsed="false">
      <c r="A2787" s="1" t="s">
        <v>866</v>
      </c>
      <c r="B2787" s="0" t="s">
        <v>129</v>
      </c>
      <c r="E2787" s="7" t="n">
        <f aca="false">Sens!E2786/Sens!D2786-1</f>
        <v>0.135523564900544</v>
      </c>
      <c r="F2787" s="7" t="n">
        <f aca="false">Sens!$E$2787+(glt_m365b-Sens!$E$2787)*MIN(1,(Sens!F2742-base_fy)/n_conv)</f>
        <v>0.124602970750453</v>
      </c>
      <c r="G2787" s="7" t="n">
        <f aca="false">Sens!$E$2787+(glt_m365b-Sens!$E$2787)*MIN(1,(Sens!G2742-base_fy)/n_conv)</f>
        <v>0.113682376600363</v>
      </c>
      <c r="H2787" s="7" t="n">
        <f aca="false">Sens!$E$2787+(glt_m365b-Sens!$E$2787)*MIN(1,(Sens!H2742-base_fy)/n_conv)</f>
        <v>0.102761782450272</v>
      </c>
      <c r="I2787" s="7" t="n">
        <f aca="false">Sens!$E$2787+(glt_m365b-Sens!$E$2787)*MIN(1,(Sens!I2742-base_fy)/n_conv)</f>
        <v>0.0918411883001813</v>
      </c>
      <c r="J2787" s="7" t="n">
        <f aca="false">Sens!$E$2787+(glt_m365b-Sens!$E$2787)*MIN(1,(Sens!J2742-base_fy)/n_conv)</f>
        <v>0.0809205941500906</v>
      </c>
      <c r="K2787" s="7" t="n">
        <f aca="false">Sens!$E$2787+(glt_m365b-Sens!$E$2787)*MIN(1,(Sens!K2742-base_fy)/n_conv)</f>
        <v>0.07</v>
      </c>
    </row>
    <row r="2788" customFormat="false" ht="15" hidden="false" customHeight="false" outlineLevel="0" collapsed="false">
      <c r="A2788" s="0" t="s">
        <v>873</v>
      </c>
      <c r="B2788" s="0" t="s">
        <v>98</v>
      </c>
      <c r="D2788" s="6" t="n">
        <f aca="false">Sens!D2786+Sens!D2785</f>
        <v>84.605</v>
      </c>
      <c r="E2788" s="6" t="n">
        <f aca="false">Sens!E2786+Sens!E2785</f>
        <v>100.299</v>
      </c>
      <c r="F2788" s="6" t="n">
        <f aca="false">Sens!F2786+Sens!F2785</f>
        <v>117.39238776686</v>
      </c>
      <c r="G2788" s="6" t="n">
        <f aca="false">Sens!G2786+Sens!G2785</f>
        <v>132.544168448684</v>
      </c>
      <c r="H2788" s="6" t="n">
        <f aca="false">Sens!H2786+Sens!H2785</f>
        <v>147.777359388781</v>
      </c>
      <c r="I2788" s="6" t="n">
        <f aca="false">Sens!I2786+Sens!I2785</f>
        <v>162.084028071957</v>
      </c>
      <c r="J2788" s="6" t="n">
        <f aca="false">Sens!J2786+Sens!J2785</f>
        <v>175.182702785465</v>
      </c>
      <c r="K2788" s="6" t="n">
        <f aca="false">Sens!K2786+Sens!K2785</f>
        <v>187.527991980448</v>
      </c>
    </row>
    <row r="2789" customFormat="false" ht="15" hidden="false" customHeight="false" outlineLevel="0" collapsed="false">
      <c r="A2789" s="0" t="s">
        <v>874</v>
      </c>
      <c r="B2789" s="0" t="s">
        <v>98</v>
      </c>
      <c r="D2789" s="6" t="n">
        <f aca="false">Q!L8</f>
        <v>35.391</v>
      </c>
      <c r="E2789" s="6" t="n">
        <f aca="false">Q!M8</f>
        <v>37.285</v>
      </c>
      <c r="F2789" s="6" t="n">
        <f aca="false">Sens!E2789*(1+Sens!F2790)</f>
        <v>39.0720834331704</v>
      </c>
      <c r="G2789" s="6" t="n">
        <f aca="false">Sens!F2789*(1+Sens!G2790)</f>
        <v>40.726562953769</v>
      </c>
      <c r="H2789" s="6" t="n">
        <f aca="false">Sens!G2789*(1+Sens!H2790)</f>
        <v>42.2235987259198</v>
      </c>
      <c r="I2789" s="6" t="n">
        <f aca="false">Sens!H2789*(1+Sens!I2790)</f>
        <v>43.5397988077414</v>
      </c>
      <c r="J2789" s="6" t="n">
        <f aca="false">Sens!I2789*(1+Sens!J2790)</f>
        <v>44.653811225693</v>
      </c>
      <c r="K2789" s="6" t="n">
        <f aca="false">Sens!J2789*(1+Sens!K2790)</f>
        <v>45.5468874502068</v>
      </c>
    </row>
    <row r="2790" customFormat="false" ht="15" hidden="false" customHeight="false" outlineLevel="0" collapsed="false">
      <c r="A2790" s="1" t="s">
        <v>866</v>
      </c>
      <c r="B2790" s="0" t="s">
        <v>129</v>
      </c>
      <c r="E2790" s="7" t="n">
        <f aca="false">Sens!E2789/Sens!D2789-1</f>
        <v>0.0535164307309768</v>
      </c>
      <c r="F2790" s="7" t="n">
        <f aca="false">Sens!$E$2790+(glt_lic-Sens!$E$2790)*MIN(1,(Sens!F2742-base_fy)/n_conv)</f>
        <v>0.0479303589424807</v>
      </c>
      <c r="G2790" s="7" t="n">
        <f aca="false">Sens!$E$2790+(glt_lic-Sens!$E$2790)*MIN(1,(Sens!G2742-base_fy)/n_conv)</f>
        <v>0.0423442871539845</v>
      </c>
      <c r="H2790" s="7" t="n">
        <f aca="false">Sens!$E$2790+(glt_lic-Sens!$E$2790)*MIN(1,(Sens!H2742-base_fy)/n_conv)</f>
        <v>0.0367582153654884</v>
      </c>
      <c r="I2790" s="7" t="n">
        <f aca="false">Sens!$E$2790+(glt_lic-Sens!$E$2790)*MIN(1,(Sens!I2742-base_fy)/n_conv)</f>
        <v>0.0311721435769923</v>
      </c>
      <c r="J2790" s="7" t="n">
        <f aca="false">Sens!$E$2790+(glt_lic-Sens!$E$2790)*MIN(1,(Sens!J2742-base_fy)/n_conv)</f>
        <v>0.0255860717884961</v>
      </c>
      <c r="K2790" s="7" t="n">
        <f aca="false">Sens!$E$2790+(glt_lic-Sens!$E$2790)*MIN(1,(Sens!K2742-base_fy)/n_conv)</f>
        <v>0.02</v>
      </c>
    </row>
    <row r="2791" customFormat="false" ht="15" hidden="false" customHeight="false" outlineLevel="0" collapsed="false">
      <c r="A2791" s="0" t="s">
        <v>875</v>
      </c>
      <c r="B2791" s="0" t="s">
        <v>98</v>
      </c>
      <c r="D2791" s="6" t="n">
        <f aca="false">Q!L9</f>
        <v>18.417</v>
      </c>
      <c r="E2791" s="6" t="n">
        <f aca="false">Q!M9</f>
        <v>20.345</v>
      </c>
      <c r="F2791" s="6" t="n">
        <f aca="false">Sens!E2791*(1+Sens!F2792)</f>
        <v>22.3572203267814</v>
      </c>
      <c r="G2791" s="6" t="n">
        <f aca="false">Sens!F2791*(1+Sens!G2792)</f>
        <v>24.4392124437232</v>
      </c>
      <c r="H2791" s="6" t="n">
        <f aca="false">Sens!G2791*(1+Sens!H2792)</f>
        <v>26.5738052080665</v>
      </c>
      <c r="I2791" s="6" t="n">
        <f aca="false">Sens!H2791*(1+Sens!I2792)</f>
        <v>28.7412169166967</v>
      </c>
      <c r="J2791" s="6" t="n">
        <f aca="false">Sens!I2791*(1+Sens!J2792)</f>
        <v>30.9192545395413</v>
      </c>
      <c r="K2791" s="6" t="n">
        <f aca="false">Sens!J2791*(1+Sens!K2792)</f>
        <v>33.0836023573092</v>
      </c>
    </row>
    <row r="2792" customFormat="false" ht="15" hidden="false" customHeight="false" outlineLevel="0" collapsed="false">
      <c r="A2792" s="1" t="s">
        <v>866</v>
      </c>
      <c r="B2792" s="0" t="s">
        <v>129</v>
      </c>
      <c r="E2792" s="7" t="n">
        <f aca="false">Sens!E2791/Sens!D2791-1</f>
        <v>0.104685888038225</v>
      </c>
      <c r="F2792" s="7" t="n">
        <f aca="false">Sens!$E$2792+(glt_ind-Sens!$E$2792)*MIN(1,(Sens!F2742-base_fy)/n_conv)</f>
        <v>0.0989049066985211</v>
      </c>
      <c r="G2792" s="7" t="n">
        <f aca="false">Sens!$E$2792+(glt_ind-Sens!$E$2792)*MIN(1,(Sens!G2742-base_fy)/n_conv)</f>
        <v>0.0931239253588169</v>
      </c>
      <c r="H2792" s="7" t="n">
        <f aca="false">Sens!$E$2792+(glt_ind-Sens!$E$2792)*MIN(1,(Sens!H2742-base_fy)/n_conv)</f>
        <v>0.0873429440191127</v>
      </c>
      <c r="I2792" s="7" t="n">
        <f aca="false">Sens!$E$2792+(glt_ind-Sens!$E$2792)*MIN(1,(Sens!I2742-base_fy)/n_conv)</f>
        <v>0.0815619626794085</v>
      </c>
      <c r="J2792" s="7" t="n">
        <f aca="false">Sens!$E$2792+(glt_ind-Sens!$E$2792)*MIN(1,(Sens!J2742-base_fy)/n_conv)</f>
        <v>0.0757809813397042</v>
      </c>
      <c r="K2792" s="7" t="n">
        <f aca="false">Sens!$E$2792+(glt_ind-Sens!$E$2792)*MIN(1,(Sens!K2742-base_fy)/n_conv)</f>
        <v>0.07</v>
      </c>
    </row>
    <row r="2793" customFormat="false" ht="15" hidden="false" customHeight="false" outlineLevel="0" collapsed="false">
      <c r="A2793" s="0" t="s">
        <v>876</v>
      </c>
      <c r="B2793" s="0" t="s">
        <v>98</v>
      </c>
      <c r="D2793" s="6" t="n">
        <f aca="false">Q!L10</f>
        <v>7.76</v>
      </c>
      <c r="E2793" s="6" t="n">
        <f aca="false">Q!M10</f>
        <v>8.26</v>
      </c>
      <c r="F2793" s="6" t="n">
        <f aca="false">Sens!E2793*(1+Sens!F2794)</f>
        <v>8.79988041237113</v>
      </c>
      <c r="G2793" s="6" t="n">
        <f aca="false">Sens!F2793*(1+Sens!G2794)</f>
        <v>9.38321269125306</v>
      </c>
      <c r="H2793" s="6" t="n">
        <f aca="false">Sens!G2793*(1+Sens!H2794)</f>
        <v>10.0139193587476</v>
      </c>
      <c r="I2793" s="6" t="n">
        <f aca="false">Sens!H2793*(1+Sens!I2794)</f>
        <v>10.6963111830911</v>
      </c>
      <c r="J2793" s="6" t="n">
        <f aca="false">Sens!I2793*(1+Sens!J2794)</f>
        <v>11.4351285534696</v>
      </c>
      <c r="K2793" s="6" t="n">
        <f aca="false">Sens!J2793*(1+Sens!K2794)</f>
        <v>12.2355875522124</v>
      </c>
    </row>
    <row r="2794" customFormat="false" ht="15" hidden="false" customHeight="false" outlineLevel="0" collapsed="false">
      <c r="A2794" s="1" t="s">
        <v>866</v>
      </c>
      <c r="B2794" s="0" t="s">
        <v>129</v>
      </c>
      <c r="E2794" s="7" t="n">
        <f aca="false">Sens!E2793/Sens!D2793-1</f>
        <v>0.0644329896907216</v>
      </c>
      <c r="F2794" s="7" t="n">
        <f aca="false">Sens!$E$2794+(glt_fro-Sens!$E$2794)*MIN(1,(Sens!F2742-base_fy)/n_conv)</f>
        <v>0.065360824742268</v>
      </c>
      <c r="G2794" s="7" t="n">
        <f aca="false">Sens!$E$2794+(glt_fro-Sens!$E$2794)*MIN(1,(Sens!G2742-base_fy)/n_conv)</f>
        <v>0.0662886597938144</v>
      </c>
      <c r="H2794" s="7" t="n">
        <f aca="false">Sens!$E$2794+(glt_fro-Sens!$E$2794)*MIN(1,(Sens!H2742-base_fy)/n_conv)</f>
        <v>0.0672164948453608</v>
      </c>
      <c r="I2794" s="7" t="n">
        <f aca="false">Sens!$E$2794+(glt_fro-Sens!$E$2794)*MIN(1,(Sens!I2742-base_fy)/n_conv)</f>
        <v>0.0681443298969072</v>
      </c>
      <c r="J2794" s="7" t="n">
        <f aca="false">Sens!$E$2794+(glt_fro-Sens!$E$2794)*MIN(1,(Sens!J2742-base_fy)/n_conv)</f>
        <v>0.0690721649484536</v>
      </c>
      <c r="K2794" s="7" t="n">
        <f aca="false">Sens!$E$2794+(glt_fro-Sens!$E$2794)*MIN(1,(Sens!K2742-base_fy)/n_conv)</f>
        <v>0.07</v>
      </c>
    </row>
    <row r="2795" customFormat="false" ht="15" hidden="false" customHeight="false" outlineLevel="0" collapsed="false">
      <c r="A2795" s="0" t="s">
        <v>704</v>
      </c>
      <c r="B2795" s="0" t="s">
        <v>98</v>
      </c>
      <c r="D2795" s="6" t="n">
        <f aca="false">Sens!D2783+Sens!D2788+Sens!D2789+Sens!D2791+Sens!D2793</f>
        <v>218.783</v>
      </c>
      <c r="E2795" s="6" t="n">
        <f aca="false">Sens!E2783+Sens!E2788+Sens!E2789+Sens!E2791+Sens!E2793</f>
        <v>268.127</v>
      </c>
      <c r="F2795" s="6" t="n">
        <f aca="false">Sens!F2783+Sens!F2788+Sens!F2789+Sens!F2791+Sens!F2793</f>
        <v>328.363433064856</v>
      </c>
      <c r="G2795" s="6" t="n">
        <f aca="false">Sens!G2783+Sens!G2788+Sens!G2789+Sens!G2791+Sens!G2793</f>
        <v>389.269865673274</v>
      </c>
      <c r="H2795" s="6" t="n">
        <f aca="false">Sens!H2783+Sens!H2788+Sens!H2789+Sens!H2791+Sens!H2793</f>
        <v>445.756320871193</v>
      </c>
      <c r="I2795" s="6" t="n">
        <f aca="false">Sens!I2783+Sens!I2788+Sens!I2789+Sens!I2791+Sens!I2793</f>
        <v>504.701226245492</v>
      </c>
      <c r="J2795" s="6" t="n">
        <f aca="false">Sens!J2783+Sens!J2788+Sens!J2789+Sens!J2791+Sens!J2793</f>
        <v>553.514968064502</v>
      </c>
      <c r="K2795" s="6" t="n">
        <f aca="false">Sens!K2783+Sens!K2788+Sens!K2789+Sens!K2791+Sens!K2793</f>
        <v>592.539823703865</v>
      </c>
    </row>
    <row r="2796" customFormat="false" ht="15" hidden="false" customHeight="false" outlineLevel="0" collapsed="false">
      <c r="A2796" s="0" t="s">
        <v>877</v>
      </c>
      <c r="B2796" s="0" t="s">
        <v>98</v>
      </c>
      <c r="D2796" s="6" t="n">
        <f aca="false">Q!L13</f>
        <v>22.171</v>
      </c>
      <c r="E2796" s="6" t="n">
        <f aca="false">Q!M13</f>
        <v>24.835</v>
      </c>
      <c r="F2796" s="6" t="n">
        <f aca="false">Sens!E2796*(1+Sens!F2797)</f>
        <v>27.6114901218559</v>
      </c>
      <c r="G2796" s="6" t="n">
        <f aca="false">Sens!F2796*(1+Sens!G2797)</f>
        <v>30.4675667338515</v>
      </c>
      <c r="H2796" s="6" t="n">
        <f aca="false">Sens!G2796*(1+Sens!H2797)</f>
        <v>33.3643766955789</v>
      </c>
      <c r="I2796" s="6" t="n">
        <f aca="false">Sens!H2796*(1+Sens!I2797)</f>
        <v>36.2577016533691</v>
      </c>
      <c r="J2796" s="6" t="n">
        <f aca="false">Sens!I2796*(1+Sens!J2797)</f>
        <v>39.0988367952171</v>
      </c>
      <c r="K2796" s="6" t="n">
        <f aca="false">Sens!J2796*(1+Sens!K2797)</f>
        <v>41.8357553708823</v>
      </c>
    </row>
    <row r="2797" customFormat="false" ht="15" hidden="false" customHeight="false" outlineLevel="0" collapsed="false">
      <c r="A2797" s="1" t="s">
        <v>866</v>
      </c>
      <c r="B2797" s="0" t="s">
        <v>129</v>
      </c>
      <c r="E2797" s="7" t="n">
        <f aca="false">Sens!E2796/Sens!D2796-1</f>
        <v>0.120156961796942</v>
      </c>
      <c r="F2797" s="7" t="n">
        <f aca="false">Sens!$E$2797+(glt_srch-Sens!$E$2797)*MIN(1,(Sens!F2742-base_fy)/n_conv)</f>
        <v>0.111797468164118</v>
      </c>
      <c r="G2797" s="7" t="n">
        <f aca="false">Sens!$E$2797+(glt_srch-Sens!$E$2797)*MIN(1,(Sens!G2742-base_fy)/n_conv)</f>
        <v>0.103437974531295</v>
      </c>
      <c r="H2797" s="7" t="n">
        <f aca="false">Sens!$E$2797+(glt_srch-Sens!$E$2797)*MIN(1,(Sens!H2742-base_fy)/n_conv)</f>
        <v>0.095078480898471</v>
      </c>
      <c r="I2797" s="7" t="n">
        <f aca="false">Sens!$E$2797+(glt_srch-Sens!$E$2797)*MIN(1,(Sens!I2742-base_fy)/n_conv)</f>
        <v>0.0867189872656474</v>
      </c>
      <c r="J2797" s="7" t="n">
        <f aca="false">Sens!$E$2797+(glt_srch-Sens!$E$2797)*MIN(1,(Sens!J2742-base_fy)/n_conv)</f>
        <v>0.0783594936328237</v>
      </c>
      <c r="K2797" s="7" t="n">
        <f aca="false">Sens!$E$2797+(glt_srch-Sens!$E$2797)*MIN(1,(Sens!K2742-base_fy)/n_conv)</f>
        <v>0.07</v>
      </c>
    </row>
    <row r="2798" customFormat="false" ht="15" hidden="false" customHeight="false" outlineLevel="0" collapsed="false">
      <c r="A2798" s="0" t="s">
        <v>878</v>
      </c>
      <c r="B2798" s="0" t="s">
        <v>98</v>
      </c>
      <c r="D2798" s="6" t="n">
        <f aca="false">Q!L14</f>
        <v>23.455</v>
      </c>
      <c r="E2798" s="6" t="n">
        <f aca="false">Q!M14</f>
        <v>21.79</v>
      </c>
      <c r="F2798" s="6" t="n">
        <f aca="false">Sens!E2798*(1+Sens!F2799)</f>
        <v>20.5736277908051</v>
      </c>
      <c r="G2798" s="6" t="n">
        <f aca="false">Sens!F2798*(1+Sens!G2799)</f>
        <v>19.7371452817919</v>
      </c>
      <c r="H2798" s="6" t="n">
        <f aca="false">Sens!G2798*(1+Sens!H2799)</f>
        <v>19.2339764043138</v>
      </c>
      <c r="I2798" s="6" t="n">
        <f aca="false">Sens!H2798*(1+Sens!I2799)</f>
        <v>19.0353086852681</v>
      </c>
      <c r="J2798" s="6" t="n">
        <f aca="false">Sens!I2798*(1+Sens!J2799)</f>
        <v>19.1273539319129</v>
      </c>
      <c r="K2798" s="6" t="n">
        <f aca="false">Sens!J2798*(1+Sens!K2799)</f>
        <v>19.5099010105511</v>
      </c>
    </row>
    <row r="2799" customFormat="false" ht="15" hidden="false" customHeight="false" outlineLevel="0" collapsed="false">
      <c r="A2799" s="1" t="s">
        <v>866</v>
      </c>
      <c r="B2799" s="0" t="s">
        <v>129</v>
      </c>
      <c r="E2799" s="7" t="n">
        <f aca="false">Sens!E2798/Sens!D2798-1</f>
        <v>-0.0709869963760392</v>
      </c>
      <c r="F2799" s="7" t="n">
        <f aca="false">Sens!$E$2799+(glt_xbox-Sens!$E$2799)*MIN(1,(Sens!F2742-base_fy)/n_conv)</f>
        <v>-0.0558224969800327</v>
      </c>
      <c r="G2799" s="7" t="n">
        <f aca="false">Sens!$E$2799+(glt_xbox-Sens!$E$2799)*MIN(1,(Sens!G2742-base_fy)/n_conv)</f>
        <v>-0.0406579975840262</v>
      </c>
      <c r="H2799" s="7" t="n">
        <f aca="false">Sens!$E$2799+(glt_xbox-Sens!$E$2799)*MIN(1,(Sens!H2742-base_fy)/n_conv)</f>
        <v>-0.0254934981880196</v>
      </c>
      <c r="I2799" s="7" t="n">
        <f aca="false">Sens!$E$2799+(glt_xbox-Sens!$E$2799)*MIN(1,(Sens!I2742-base_fy)/n_conv)</f>
        <v>-0.0103289987920131</v>
      </c>
      <c r="J2799" s="7" t="n">
        <f aca="false">Sens!$E$2799+(glt_xbox-Sens!$E$2799)*MIN(1,(Sens!J2742-base_fy)/n_conv)</f>
        <v>0.00483550060399347</v>
      </c>
      <c r="K2799" s="7" t="n">
        <f aca="false">Sens!$E$2799+(glt_xbox-Sens!$E$2799)*MIN(1,(Sens!K2742-base_fy)/n_conv)</f>
        <v>0.02</v>
      </c>
    </row>
    <row r="2800" customFormat="false" ht="15" hidden="false" customHeight="false" outlineLevel="0" collapsed="false">
      <c r="A2800" s="0" t="s">
        <v>879</v>
      </c>
      <c r="B2800" s="0" t="s">
        <v>98</v>
      </c>
      <c r="D2800" s="6" t="n">
        <f aca="false">Q!L15</f>
        <v>17.315</v>
      </c>
      <c r="E2800" s="6" t="n">
        <f aca="false">Q!M15</f>
        <v>17.087</v>
      </c>
      <c r="F2800" s="6" t="n">
        <f aca="false">Sens!E2800*(1+Sens!F2801)</f>
        <v>16.9564585436519</v>
      </c>
      <c r="G2800" s="6" t="n">
        <f aca="false">Sens!F2800*(1+Sens!G2801)</f>
        <v>16.9206490624268</v>
      </c>
      <c r="H2800" s="6" t="n">
        <f aca="false">Sens!G2800*(1+Sens!H2801)</f>
        <v>16.9784519149849</v>
      </c>
      <c r="I2800" s="6" t="n">
        <f aca="false">Sens!H2800*(1+Sens!I2801)</f>
        <v>17.1303084701817</v>
      </c>
      <c r="J2800" s="6" t="n">
        <f aca="false">Sens!I2800*(1+Sens!J2801)</f>
        <v>17.3782189407267</v>
      </c>
      <c r="K2800" s="6" t="n">
        <f aca="false">Sens!J2800*(1+Sens!K2801)</f>
        <v>17.7257833195413</v>
      </c>
    </row>
    <row r="2801" customFormat="false" ht="15" hidden="false" customHeight="false" outlineLevel="0" collapsed="false">
      <c r="A2801" s="1" t="s">
        <v>866</v>
      </c>
      <c r="B2801" s="0" t="s">
        <v>129</v>
      </c>
      <c r="E2801" s="7" t="n">
        <f aca="false">Sens!E2800/Sens!D2800-1</f>
        <v>-0.0131677736066995</v>
      </c>
      <c r="F2801" s="7" t="n">
        <f aca="false">Sens!$E$2801+(glt_win-Sens!$E$2801)*MIN(1,(Sens!F2742-base_fy)/n_conv)</f>
        <v>-0.00763981133891627</v>
      </c>
      <c r="G2801" s="7" t="n">
        <f aca="false">Sens!$E$2801+(glt_win-Sens!$E$2801)*MIN(1,(Sens!G2742-base_fy)/n_conv)</f>
        <v>-0.00211184907113301</v>
      </c>
      <c r="H2801" s="7" t="n">
        <f aca="false">Sens!$E$2801+(glt_win-Sens!$E$2801)*MIN(1,(Sens!H2742-base_fy)/n_conv)</f>
        <v>0.00341611319665024</v>
      </c>
      <c r="I2801" s="7" t="n">
        <f aca="false">Sens!$E$2801+(glt_win-Sens!$E$2801)*MIN(1,(Sens!I2742-base_fy)/n_conv)</f>
        <v>0.00894407546443349</v>
      </c>
      <c r="J2801" s="7" t="n">
        <f aca="false">Sens!$E$2801+(glt_win-Sens!$E$2801)*MIN(1,(Sens!J2742-base_fy)/n_conv)</f>
        <v>0.0144720377322168</v>
      </c>
      <c r="K2801" s="7" t="n">
        <f aca="false">Sens!$E$2801+(glt_win-Sens!$E$2801)*MIN(1,(Sens!K2742-base_fy)/n_conv)</f>
        <v>0.02</v>
      </c>
    </row>
    <row r="2802" customFormat="false" ht="15" hidden="false" customHeight="false" outlineLevel="0" collapsed="false">
      <c r="A2802" s="0" t="s">
        <v>718</v>
      </c>
      <c r="B2802" s="0" t="s">
        <v>98</v>
      </c>
      <c r="D2802" s="6" t="n">
        <f aca="false">Sens!D2796+Sens!D2798+Sens!D2800</f>
        <v>62.941</v>
      </c>
      <c r="E2802" s="6" t="n">
        <f aca="false">Sens!E2796+Sens!E2798+Sens!E2800</f>
        <v>63.712</v>
      </c>
      <c r="F2802" s="6" t="n">
        <f aca="false">Sens!F2796+Sens!F2798+Sens!F2800</f>
        <v>65.1415764563129</v>
      </c>
      <c r="G2802" s="6" t="n">
        <f aca="false">Sens!G2796+Sens!G2798+Sens!G2800</f>
        <v>67.1253610780702</v>
      </c>
      <c r="H2802" s="6" t="n">
        <f aca="false">Sens!H2796+Sens!H2798+Sens!H2800</f>
        <v>69.5768050148776</v>
      </c>
      <c r="I2802" s="6" t="n">
        <f aca="false">Sens!I2796+Sens!I2798+Sens!I2800</f>
        <v>72.4233188088189</v>
      </c>
      <c r="J2802" s="6" t="n">
        <f aca="false">Sens!J2796+Sens!J2798+Sens!J2800</f>
        <v>75.6044096678567</v>
      </c>
      <c r="K2802" s="6" t="n">
        <f aca="false">Sens!K2796+Sens!K2798+Sens!K2800</f>
        <v>79.0714397009747</v>
      </c>
    </row>
    <row r="2803" customFormat="false" ht="15" hidden="false" customHeight="false" outlineLevel="0" collapsed="false">
      <c r="A2803" s="1" t="s">
        <v>880</v>
      </c>
      <c r="B2803" s="0" t="s">
        <v>98</v>
      </c>
      <c r="D2803" s="6" t="n">
        <f aca="false">Sens!D2795+Sens!D2802</f>
        <v>281.724</v>
      </c>
      <c r="E2803" s="6" t="n">
        <f aca="false">Sens!E2795+Sens!E2802</f>
        <v>331.839</v>
      </c>
      <c r="F2803" s="6" t="n">
        <f aca="false">Sens!F2795+Sens!F2802</f>
        <v>393.505009521169</v>
      </c>
      <c r="G2803" s="6" t="n">
        <f aca="false">Sens!G2795+Sens!G2802</f>
        <v>456.395226751344</v>
      </c>
      <c r="H2803" s="6" t="n">
        <f aca="false">Sens!H2795+Sens!H2802</f>
        <v>515.333125886071</v>
      </c>
      <c r="I2803" s="6" t="n">
        <f aca="false">Sens!I2795+Sens!I2802</f>
        <v>577.124545054311</v>
      </c>
      <c r="J2803" s="6" t="n">
        <f aca="false">Sens!J2795+Sens!J2802</f>
        <v>629.119377732358</v>
      </c>
      <c r="K2803" s="6" t="n">
        <f aca="false">Sens!K2795+Sens!K2802</f>
        <v>671.611263404839</v>
      </c>
    </row>
    <row r="2804" customFormat="false" ht="15" hidden="false" customHeight="false" outlineLevel="0" collapsed="false">
      <c r="A2804" s="23" t="s">
        <v>881</v>
      </c>
      <c r="B2804" s="30" t="s">
        <v>98</v>
      </c>
      <c r="C2804" s="30"/>
      <c r="D2804" s="24" t="n">
        <f aca="false">(Sens!D2783+Sens!D2788+Sens!D2789+Sens!D2791+Sens!D2793-Sens!D2795)+(Sens!D2796+Sens!D2798+Sens!D2800-Sens!D2802)+(Sens!D2795-Q!L5)+(Sens!D2802-Q!L12)+(Sens!D2783-Q!L6)+(Sens!D2788-Q!L7)</f>
        <v>0</v>
      </c>
      <c r="E2804" s="24" t="n">
        <f aca="false">(Sens!E2783+Sens!E2788+Sens!E2789+Sens!E2791+Sens!E2793-Sens!E2795)+(Sens!E2796+Sens!E2798+Sens!E2800-Sens!E2802)+(Sens!E2795-Q!M5)+(Sens!E2802-Q!M12)+(Sens!E2783-Q!M6)+(Sens!E2788-Q!M7)</f>
        <v>0</v>
      </c>
      <c r="F2804" s="24" t="n">
        <f aca="false">(Sens!F2783+Sens!F2788+Sens!F2789+Sens!F2791+Sens!F2793-Sens!F2795)+(Sens!F2796+Sens!F2798+Sens!F2800-Sens!F2802)</f>
        <v>0</v>
      </c>
      <c r="G2804" s="24" t="n">
        <f aca="false">(Sens!G2783+Sens!G2788+Sens!G2789+Sens!G2791+Sens!G2793-Sens!G2795)+(Sens!G2796+Sens!G2798+Sens!G2800-Sens!G2802)</f>
        <v>0</v>
      </c>
      <c r="H2804" s="24" t="n">
        <f aca="false">(Sens!H2783+Sens!H2788+Sens!H2789+Sens!H2791+Sens!H2793-Sens!H2795)+(Sens!H2796+Sens!H2798+Sens!H2800-Sens!H2802)</f>
        <v>0</v>
      </c>
      <c r="I2804" s="24" t="n">
        <f aca="false">(Sens!I2783+Sens!I2788+Sens!I2789+Sens!I2791+Sens!I2793-Sens!I2795)+(Sens!I2796+Sens!I2798+Sens!I2800-Sens!I2802)</f>
        <v>0</v>
      </c>
      <c r="J2804" s="24" t="n">
        <f aca="false">(Sens!J2783+Sens!J2788+Sens!J2789+Sens!J2791+Sens!J2793-Sens!J2795)+(Sens!J2796+Sens!J2798+Sens!J2800-Sens!J2802)</f>
        <v>0</v>
      </c>
      <c r="K2804" s="24" t="n">
        <f aca="false">(Sens!K2783+Sens!K2788+Sens!K2789+Sens!K2791+Sens!K2793-Sens!K2795)+(Sens!K2796+Sens!K2798+Sens!K2800-Sens!K2802)</f>
        <v>0</v>
      </c>
    </row>
    <row r="2805" customFormat="false" ht="17.15" hidden="false" customHeight="false" outlineLevel="0" collapsed="false">
      <c r="A2805" s="3" t="s">
        <v>1306</v>
      </c>
    </row>
    <row r="2806" customFormat="false" ht="15" hidden="false" customHeight="false" outlineLevel="0" collapsed="false">
      <c r="A2806" s="4" t="s">
        <v>43</v>
      </c>
      <c r="B2806" s="4" t="s">
        <v>65</v>
      </c>
      <c r="C2806" s="20" t="s">
        <v>788</v>
      </c>
      <c r="D2806" s="20" t="s">
        <v>789</v>
      </c>
      <c r="E2806" s="20" t="s">
        <v>790</v>
      </c>
      <c r="F2806" s="20" t="s">
        <v>791</v>
      </c>
      <c r="G2806" s="20" t="s">
        <v>792</v>
      </c>
      <c r="H2806" s="20" t="s">
        <v>793</v>
      </c>
      <c r="I2806" s="20" t="s">
        <v>794</v>
      </c>
      <c r="J2806" s="20" t="s">
        <v>795</v>
      </c>
      <c r="K2806" s="20" t="s">
        <v>796</v>
      </c>
      <c r="L2806" s="4" t="s">
        <v>47</v>
      </c>
    </row>
    <row r="2807" customFormat="false" ht="15" hidden="false" customHeight="false" outlineLevel="0" collapsed="false">
      <c r="A2807" s="0" t="s">
        <v>867</v>
      </c>
      <c r="B2807" s="0" t="s">
        <v>98</v>
      </c>
      <c r="D2807" s="6" t="n">
        <f aca="false">Sens!D2783</f>
        <v>72.61</v>
      </c>
      <c r="E2807" s="6" t="n">
        <f aca="false">Sens!E2783</f>
        <v>101.938</v>
      </c>
      <c r="F2807" s="6" t="n">
        <f aca="false">Sens!F2783</f>
        <v>140.741861125673</v>
      </c>
      <c r="G2807" s="6" t="n">
        <f aca="false">Sens!G2783</f>
        <v>182.176709135845</v>
      </c>
      <c r="H2807" s="6" t="n">
        <f aca="false">Sens!H2783</f>
        <v>219.167638189678</v>
      </c>
      <c r="I2807" s="6" t="n">
        <f aca="false">Sens!I2783</f>
        <v>259.639871266006</v>
      </c>
      <c r="J2807" s="6" t="n">
        <f aca="false">Sens!J2783</f>
        <v>291.324070960333</v>
      </c>
      <c r="K2807" s="6" t="n">
        <f aca="false">Sens!K2783</f>
        <v>314.145754363688</v>
      </c>
    </row>
    <row r="2808" customFormat="false" ht="17.15" hidden="false" customHeight="false" outlineLevel="0" collapsed="false">
      <c r="A2808" s="0" t="s">
        <v>864</v>
      </c>
      <c r="B2808" s="0" t="s">
        <v>98</v>
      </c>
      <c r="D2808" s="6" t="n">
        <f aca="false">Sens!D2780</f>
        <v>12.9359794422418</v>
      </c>
      <c r="E2808" s="6" t="n">
        <f aca="false">Sens!E2780</f>
        <v>27.8095064661409</v>
      </c>
      <c r="F2808" s="6" t="n">
        <f aca="false">Sens!F2780</f>
        <v>50.6619113883066</v>
      </c>
      <c r="G2808" s="6" t="n">
        <f aca="false">Sens!G2780</f>
        <v>75.1482839325348</v>
      </c>
      <c r="H2808" s="6" t="n">
        <f aca="false">Sens!H2780</f>
        <v>94.895655604042</v>
      </c>
      <c r="I2808" s="6" t="n">
        <f aca="false">Sens!I2780</f>
        <v>118.706168884151</v>
      </c>
      <c r="J2808" s="6" t="n">
        <f aca="false">Sens!J2780</f>
        <v>135.305203646001</v>
      </c>
      <c r="K2808" s="6" t="n">
        <f aca="false">Sens!K2780</f>
        <v>145.64537766421</v>
      </c>
    </row>
    <row r="2809" customFormat="false" ht="17.15" hidden="false" customHeight="false" outlineLevel="0" collapsed="false">
      <c r="A2809" s="0" t="s">
        <v>892</v>
      </c>
      <c r="B2809" s="0" t="s">
        <v>98</v>
      </c>
      <c r="D2809" s="6" t="n">
        <f aca="false">Sens!D2781</f>
        <v>59.6740205577583</v>
      </c>
      <c r="E2809" s="6" t="n">
        <f aca="false">Sens!E2781</f>
        <v>74.1284935338591</v>
      </c>
      <c r="F2809" s="6" t="n">
        <f aca="false">Sens!F2781</f>
        <v>90.0799497373663</v>
      </c>
      <c r="G2809" s="6" t="n">
        <f aca="false">Sens!G2781</f>
        <v>107.02842520331</v>
      </c>
      <c r="H2809" s="6" t="n">
        <f aca="false">Sens!H2781</f>
        <v>124.271982585636</v>
      </c>
      <c r="I2809" s="6" t="n">
        <f aca="false">Sens!I2781</f>
        <v>140.933702381855</v>
      </c>
      <c r="J2809" s="6" t="n">
        <f aca="false">Sens!J2781</f>
        <v>156.018867314332</v>
      </c>
      <c r="K2809" s="6" t="n">
        <f aca="false">Sens!K2781</f>
        <v>168.500376699478</v>
      </c>
    </row>
    <row r="2810" customFormat="false" ht="15" hidden="false" customHeight="false" outlineLevel="0" collapsed="false">
      <c r="A2810" s="0" t="s">
        <v>873</v>
      </c>
      <c r="B2810" s="0" t="s">
        <v>98</v>
      </c>
      <c r="D2810" s="6" t="n">
        <f aca="false">Sens!D2788</f>
        <v>84.605</v>
      </c>
      <c r="E2810" s="6" t="n">
        <f aca="false">Sens!E2788</f>
        <v>100.299</v>
      </c>
      <c r="F2810" s="6" t="n">
        <f aca="false">Sens!F2788</f>
        <v>117.39238776686</v>
      </c>
      <c r="G2810" s="6" t="n">
        <f aca="false">Sens!G2788</f>
        <v>132.544168448684</v>
      </c>
      <c r="H2810" s="6" t="n">
        <f aca="false">Sens!H2788</f>
        <v>147.777359388781</v>
      </c>
      <c r="I2810" s="6" t="n">
        <f aca="false">Sens!I2788</f>
        <v>162.084028071957</v>
      </c>
      <c r="J2810" s="6" t="n">
        <f aca="false">Sens!J2788</f>
        <v>175.182702785465</v>
      </c>
      <c r="K2810" s="6" t="n">
        <f aca="false">Sens!K2788</f>
        <v>187.527991980448</v>
      </c>
    </row>
    <row r="2811" customFormat="false" ht="17.15" hidden="false" customHeight="false" outlineLevel="0" collapsed="false">
      <c r="A2811" s="0" t="s">
        <v>893</v>
      </c>
      <c r="B2811" s="0" t="s">
        <v>98</v>
      </c>
      <c r="D2811" s="6" t="n">
        <f aca="false">Sens!D2786</f>
        <v>83.705</v>
      </c>
      <c r="E2811" s="6" t="n">
        <f aca="false">Sens!E2786</f>
        <v>95.049</v>
      </c>
      <c r="F2811" s="6" t="n">
        <f aca="false">Sens!F2786</f>
        <v>106.89238776686</v>
      </c>
      <c r="G2811" s="6" t="n">
        <f aca="false">Sens!G2786</f>
        <v>119.044168448684</v>
      </c>
      <c r="H2811" s="6" t="n">
        <f aca="false">Sens!H2786</f>
        <v>131.277359388781</v>
      </c>
      <c r="I2811" s="6" t="n">
        <f aca="false">Sens!I2786</f>
        <v>143.334028071957</v>
      </c>
      <c r="J2811" s="6" t="n">
        <f aca="false">Sens!J2786</f>
        <v>154.932702785465</v>
      </c>
      <c r="K2811" s="6" t="n">
        <f aca="false">Sens!K2786</f>
        <v>165.777991980448</v>
      </c>
    </row>
    <row r="2812" customFormat="false" ht="17.15" hidden="false" customHeight="false" outlineLevel="0" collapsed="false">
      <c r="A2812" s="0" t="s">
        <v>894</v>
      </c>
      <c r="B2812" s="0" t="s">
        <v>98</v>
      </c>
      <c r="D2812" s="6" t="n">
        <f aca="false">Sens!D2785</f>
        <v>0.9</v>
      </c>
      <c r="E2812" s="6" t="n">
        <f aca="false">Sens!E2785</f>
        <v>5.25</v>
      </c>
      <c r="F2812" s="6" t="n">
        <f aca="false">Sens!F2785</f>
        <v>10.5</v>
      </c>
      <c r="G2812" s="6" t="n">
        <f aca="false">Sens!G2785</f>
        <v>13.5</v>
      </c>
      <c r="H2812" s="6" t="n">
        <f aca="false">Sens!H2785</f>
        <v>16.5</v>
      </c>
      <c r="I2812" s="6" t="n">
        <f aca="false">Sens!I2785</f>
        <v>18.75</v>
      </c>
      <c r="J2812" s="6" t="n">
        <f aca="false">Sens!J2785</f>
        <v>20.25</v>
      </c>
      <c r="K2812" s="6" t="n">
        <f aca="false">Sens!K2785</f>
        <v>21.75</v>
      </c>
    </row>
    <row r="2813" customFormat="false" ht="15" hidden="false" customHeight="false" outlineLevel="0" collapsed="false">
      <c r="A2813" s="0" t="s">
        <v>874</v>
      </c>
      <c r="B2813" s="0" t="s">
        <v>98</v>
      </c>
      <c r="D2813" s="6" t="n">
        <f aca="false">Sens!D2789</f>
        <v>35.391</v>
      </c>
      <c r="E2813" s="6" t="n">
        <f aca="false">Sens!E2789</f>
        <v>37.285</v>
      </c>
      <c r="F2813" s="6" t="n">
        <f aca="false">Sens!F2789</f>
        <v>39.0720834331704</v>
      </c>
      <c r="G2813" s="6" t="n">
        <f aca="false">Sens!G2789</f>
        <v>40.726562953769</v>
      </c>
      <c r="H2813" s="6" t="n">
        <f aca="false">Sens!H2789</f>
        <v>42.2235987259198</v>
      </c>
      <c r="I2813" s="6" t="n">
        <f aca="false">Sens!I2789</f>
        <v>43.5397988077414</v>
      </c>
      <c r="J2813" s="6" t="n">
        <f aca="false">Sens!J2789</f>
        <v>44.653811225693</v>
      </c>
      <c r="K2813" s="6" t="n">
        <f aca="false">Sens!K2789</f>
        <v>45.5468874502068</v>
      </c>
    </row>
    <row r="2814" customFormat="false" ht="15" hidden="false" customHeight="false" outlineLevel="0" collapsed="false">
      <c r="A2814" s="0" t="s">
        <v>875</v>
      </c>
      <c r="B2814" s="0" t="s">
        <v>98</v>
      </c>
      <c r="D2814" s="6" t="n">
        <f aca="false">Sens!D2791</f>
        <v>18.417</v>
      </c>
      <c r="E2814" s="6" t="n">
        <f aca="false">Sens!E2791</f>
        <v>20.345</v>
      </c>
      <c r="F2814" s="6" t="n">
        <f aca="false">Sens!F2791</f>
        <v>22.3572203267814</v>
      </c>
      <c r="G2814" s="6" t="n">
        <f aca="false">Sens!G2791</f>
        <v>24.4392124437232</v>
      </c>
      <c r="H2814" s="6" t="n">
        <f aca="false">Sens!H2791</f>
        <v>26.5738052080665</v>
      </c>
      <c r="I2814" s="6" t="n">
        <f aca="false">Sens!I2791</f>
        <v>28.7412169166967</v>
      </c>
      <c r="J2814" s="6" t="n">
        <f aca="false">Sens!J2791</f>
        <v>30.9192545395413</v>
      </c>
      <c r="K2814" s="6" t="n">
        <f aca="false">Sens!K2791</f>
        <v>33.0836023573092</v>
      </c>
    </row>
    <row r="2815" customFormat="false" ht="15" hidden="false" customHeight="false" outlineLevel="0" collapsed="false">
      <c r="A2815" s="0" t="s">
        <v>876</v>
      </c>
      <c r="B2815" s="0" t="s">
        <v>98</v>
      </c>
      <c r="D2815" s="6" t="n">
        <f aca="false">Sens!D2793</f>
        <v>7.76</v>
      </c>
      <c r="E2815" s="6" t="n">
        <f aca="false">Sens!E2793</f>
        <v>8.26</v>
      </c>
      <c r="F2815" s="6" t="n">
        <f aca="false">Sens!F2793</f>
        <v>8.79988041237113</v>
      </c>
      <c r="G2815" s="6" t="n">
        <f aca="false">Sens!G2793</f>
        <v>9.38321269125306</v>
      </c>
      <c r="H2815" s="6" t="n">
        <f aca="false">Sens!H2793</f>
        <v>10.0139193587476</v>
      </c>
      <c r="I2815" s="6" t="n">
        <f aca="false">Sens!I2793</f>
        <v>10.6963111830911</v>
      </c>
      <c r="J2815" s="6" t="n">
        <f aca="false">Sens!J2793</f>
        <v>11.4351285534696</v>
      </c>
      <c r="K2815" s="6" t="n">
        <f aca="false">Sens!K2793</f>
        <v>12.2355875522124</v>
      </c>
    </row>
    <row r="2816" customFormat="false" ht="15" hidden="false" customHeight="false" outlineLevel="0" collapsed="false">
      <c r="A2816" s="0" t="s">
        <v>704</v>
      </c>
      <c r="B2816" s="0" t="s">
        <v>98</v>
      </c>
      <c r="D2816" s="6" t="n">
        <f aca="false">Sens!D2795</f>
        <v>218.783</v>
      </c>
      <c r="E2816" s="6" t="n">
        <f aca="false">Sens!E2795</f>
        <v>268.127</v>
      </c>
      <c r="F2816" s="6" t="n">
        <f aca="false">Sens!F2795</f>
        <v>328.363433064856</v>
      </c>
      <c r="G2816" s="6" t="n">
        <f aca="false">Sens!G2795</f>
        <v>389.269865673274</v>
      </c>
      <c r="H2816" s="6" t="n">
        <f aca="false">Sens!H2795</f>
        <v>445.756320871193</v>
      </c>
      <c r="I2816" s="6" t="n">
        <f aca="false">Sens!I2795</f>
        <v>504.701226245492</v>
      </c>
      <c r="J2816" s="6" t="n">
        <f aca="false">Sens!J2795</f>
        <v>553.514968064502</v>
      </c>
      <c r="K2816" s="6" t="n">
        <f aca="false">Sens!K2795</f>
        <v>592.539823703865</v>
      </c>
    </row>
    <row r="2817" customFormat="false" ht="15" hidden="false" customHeight="false" outlineLevel="0" collapsed="false">
      <c r="A2817" s="0" t="s">
        <v>877</v>
      </c>
      <c r="B2817" s="0" t="s">
        <v>98</v>
      </c>
      <c r="D2817" s="6" t="n">
        <f aca="false">Sens!D2796</f>
        <v>22.171</v>
      </c>
      <c r="E2817" s="6" t="n">
        <f aca="false">Sens!E2796</f>
        <v>24.835</v>
      </c>
      <c r="F2817" s="6" t="n">
        <f aca="false">Sens!F2796</f>
        <v>27.6114901218559</v>
      </c>
      <c r="G2817" s="6" t="n">
        <f aca="false">Sens!G2796</f>
        <v>30.4675667338515</v>
      </c>
      <c r="H2817" s="6" t="n">
        <f aca="false">Sens!H2796</f>
        <v>33.3643766955789</v>
      </c>
      <c r="I2817" s="6" t="n">
        <f aca="false">Sens!I2796</f>
        <v>36.2577016533691</v>
      </c>
      <c r="J2817" s="6" t="n">
        <f aca="false">Sens!J2796</f>
        <v>39.0988367952171</v>
      </c>
      <c r="K2817" s="6" t="n">
        <f aca="false">Sens!K2796</f>
        <v>41.8357553708823</v>
      </c>
    </row>
    <row r="2818" customFormat="false" ht="15" hidden="false" customHeight="false" outlineLevel="0" collapsed="false">
      <c r="A2818" s="0" t="s">
        <v>878</v>
      </c>
      <c r="B2818" s="0" t="s">
        <v>98</v>
      </c>
      <c r="D2818" s="6" t="n">
        <f aca="false">Sens!D2798</f>
        <v>23.455</v>
      </c>
      <c r="E2818" s="6" t="n">
        <f aca="false">Sens!E2798</f>
        <v>21.79</v>
      </c>
      <c r="F2818" s="6" t="n">
        <f aca="false">Sens!F2798</f>
        <v>20.5736277908051</v>
      </c>
      <c r="G2818" s="6" t="n">
        <f aca="false">Sens!G2798</f>
        <v>19.7371452817919</v>
      </c>
      <c r="H2818" s="6" t="n">
        <f aca="false">Sens!H2798</f>
        <v>19.2339764043138</v>
      </c>
      <c r="I2818" s="6" t="n">
        <f aca="false">Sens!I2798</f>
        <v>19.0353086852681</v>
      </c>
      <c r="J2818" s="6" t="n">
        <f aca="false">Sens!J2798</f>
        <v>19.1273539319129</v>
      </c>
      <c r="K2818" s="6" t="n">
        <f aca="false">Sens!K2798</f>
        <v>19.5099010105511</v>
      </c>
    </row>
    <row r="2819" customFormat="false" ht="15" hidden="false" customHeight="false" outlineLevel="0" collapsed="false">
      <c r="A2819" s="0" t="s">
        <v>879</v>
      </c>
      <c r="B2819" s="0" t="s">
        <v>98</v>
      </c>
      <c r="D2819" s="6" t="n">
        <f aca="false">Sens!D2800</f>
        <v>17.315</v>
      </c>
      <c r="E2819" s="6" t="n">
        <f aca="false">Sens!E2800</f>
        <v>17.087</v>
      </c>
      <c r="F2819" s="6" t="n">
        <f aca="false">Sens!F2800</f>
        <v>16.9564585436519</v>
      </c>
      <c r="G2819" s="6" t="n">
        <f aca="false">Sens!G2800</f>
        <v>16.9206490624268</v>
      </c>
      <c r="H2819" s="6" t="n">
        <f aca="false">Sens!H2800</f>
        <v>16.9784519149849</v>
      </c>
      <c r="I2819" s="6" t="n">
        <f aca="false">Sens!I2800</f>
        <v>17.1303084701817</v>
      </c>
      <c r="J2819" s="6" t="n">
        <f aca="false">Sens!J2800</f>
        <v>17.3782189407267</v>
      </c>
      <c r="K2819" s="6" t="n">
        <f aca="false">Sens!K2800</f>
        <v>17.7257833195413</v>
      </c>
    </row>
    <row r="2820" customFormat="false" ht="15" hidden="false" customHeight="false" outlineLevel="0" collapsed="false">
      <c r="A2820" s="0" t="s">
        <v>718</v>
      </c>
      <c r="B2820" s="0" t="s">
        <v>98</v>
      </c>
      <c r="D2820" s="6" t="n">
        <f aca="false">Sens!D2802</f>
        <v>62.941</v>
      </c>
      <c r="E2820" s="6" t="n">
        <f aca="false">Sens!E2802</f>
        <v>63.712</v>
      </c>
      <c r="F2820" s="6" t="n">
        <f aca="false">Sens!F2802</f>
        <v>65.1415764563129</v>
      </c>
      <c r="G2820" s="6" t="n">
        <f aca="false">Sens!G2802</f>
        <v>67.1253610780702</v>
      </c>
      <c r="H2820" s="6" t="n">
        <f aca="false">Sens!H2802</f>
        <v>69.5768050148776</v>
      </c>
      <c r="I2820" s="6" t="n">
        <f aca="false">Sens!I2802</f>
        <v>72.4233188088189</v>
      </c>
      <c r="J2820" s="6" t="n">
        <f aca="false">Sens!J2802</f>
        <v>75.6044096678567</v>
      </c>
      <c r="K2820" s="6" t="n">
        <f aca="false">Sens!K2802</f>
        <v>79.0714397009747</v>
      </c>
    </row>
    <row r="2821" customFormat="false" ht="15" hidden="false" customHeight="false" outlineLevel="0" collapsed="false">
      <c r="A2821" s="1" t="s">
        <v>895</v>
      </c>
      <c r="B2821" s="0" t="s">
        <v>98</v>
      </c>
      <c r="D2821" s="6" t="n">
        <f aca="false">Sens!D2803</f>
        <v>281.724</v>
      </c>
      <c r="E2821" s="6" t="n">
        <f aca="false">Sens!E2803</f>
        <v>331.839</v>
      </c>
      <c r="F2821" s="6" t="n">
        <f aca="false">Sens!F2803</f>
        <v>393.505009521169</v>
      </c>
      <c r="G2821" s="6" t="n">
        <f aca="false">Sens!G2803</f>
        <v>456.395226751344</v>
      </c>
      <c r="H2821" s="6" t="n">
        <f aca="false">Sens!H2803</f>
        <v>515.333125886071</v>
      </c>
      <c r="I2821" s="6" t="n">
        <f aca="false">Sens!I2803</f>
        <v>577.124545054311</v>
      </c>
      <c r="J2821" s="6" t="n">
        <f aca="false">Sens!J2803</f>
        <v>629.119377732358</v>
      </c>
      <c r="K2821" s="6" t="n">
        <f aca="false">Sens!K2803</f>
        <v>671.611263404839</v>
      </c>
    </row>
    <row r="2822" customFormat="false" ht="15" hidden="false" customHeight="false" outlineLevel="0" collapsed="false">
      <c r="A2822" s="1" t="s">
        <v>896</v>
      </c>
      <c r="B2822" s="0" t="s">
        <v>129</v>
      </c>
      <c r="E2822" s="7" t="n">
        <f aca="false">Sens!E2821/Sens!D2821-1</f>
        <v>0.177886867998467</v>
      </c>
      <c r="F2822" s="7" t="n">
        <f aca="false">Sens!F2821/Sens!E2821-1</f>
        <v>0.185831109427067</v>
      </c>
      <c r="G2822" s="7" t="n">
        <f aca="false">Sens!G2821/Sens!F2821-1</f>
        <v>0.159820626697237</v>
      </c>
      <c r="H2822" s="7" t="n">
        <f aca="false">Sens!H2821/Sens!G2821-1</f>
        <v>0.129137851756801</v>
      </c>
      <c r="I2822" s="7" t="n">
        <f aca="false">Sens!I2821/Sens!H2821-1</f>
        <v>0.119905777572508</v>
      </c>
      <c r="J2822" s="7" t="n">
        <f aca="false">Sens!J2821/Sens!I2821-1</f>
        <v>0.090092915166438</v>
      </c>
      <c r="K2822" s="7" t="n">
        <f aca="false">Sens!K2821/Sens!J2821-1</f>
        <v>0.0675418484575083</v>
      </c>
    </row>
    <row r="2823" customFormat="false" ht="17.15" hidden="false" customHeight="false" outlineLevel="0" collapsed="false">
      <c r="A2823" s="23" t="s">
        <v>897</v>
      </c>
      <c r="B2823" s="30" t="s">
        <v>98</v>
      </c>
      <c r="C2823" s="30"/>
      <c r="D2823" s="24" t="n">
        <f aca="false">(Sens!D2816+Sens!D2820-Sens!D2821)+(Sens!D2808+Sens!D2809-Sens!D2807)+(Sens!D2811+Sens!D2812-Sens!D2810)+(Sens!D2821-Q!L18)</f>
        <v>0</v>
      </c>
      <c r="E2823" s="24" t="n">
        <f aca="false">(Sens!E2816+Sens!E2820-Sens!E2821)+(Sens!E2808+Sens!E2809-Sens!E2807)+(Sens!E2811+Sens!E2812-Sens!E2810)+(Sens!E2821-Q!M18)</f>
        <v>0</v>
      </c>
      <c r="F2823" s="24" t="n">
        <f aca="false">(Sens!F2816+Sens!F2820-Sens!F2821)+(Sens!F2808+Sens!F2809-Sens!F2807)+(Sens!F2811+Sens!F2812-Sens!F2810)</f>
        <v>0</v>
      </c>
      <c r="G2823" s="24" t="n">
        <f aca="false">(Sens!G2816+Sens!G2820-Sens!G2821)+(Sens!G2808+Sens!G2809-Sens!G2807)+(Sens!G2811+Sens!G2812-Sens!G2810)</f>
        <v>0</v>
      </c>
      <c r="H2823" s="24" t="n">
        <f aca="false">(Sens!H2816+Sens!H2820-Sens!H2821)+(Sens!H2808+Sens!H2809-Sens!H2807)+(Sens!H2811+Sens!H2812-Sens!H2810)</f>
        <v>0</v>
      </c>
      <c r="I2823" s="24" t="n">
        <f aca="false">(Sens!I2816+Sens!I2820-Sens!I2821)+(Sens!I2808+Sens!I2809-Sens!I2807)+(Sens!I2811+Sens!I2812-Sens!I2810)</f>
        <v>0</v>
      </c>
      <c r="J2823" s="24" t="n">
        <f aca="false">(Sens!J2816+Sens!J2820-Sens!J2821)+(Sens!J2808+Sens!J2809-Sens!J2807)+(Sens!J2811+Sens!J2812-Sens!J2810)</f>
        <v>0</v>
      </c>
      <c r="K2823" s="24" t="n">
        <f aca="false">(Sens!K2816+Sens!K2820-Sens!K2821)+(Sens!K2808+Sens!K2809-Sens!K2807)+(Sens!K2811+Sens!K2812-Sens!K2810)</f>
        <v>0</v>
      </c>
    </row>
    <row r="2824" customFormat="false" ht="17.15" hidden="false" customHeight="false" outlineLevel="0" collapsed="false">
      <c r="A2824" s="0" t="s">
        <v>898</v>
      </c>
      <c r="B2824" s="0" t="s">
        <v>129</v>
      </c>
      <c r="E2824" s="7" t="n">
        <f aca="false">(Q!M21+Sens!E2761+Sens!E2762+Sens!E2763+Sens!E2776-Sens!E2759)/(Q!M5-Sens!E2759)</f>
        <v>0.550623586919075</v>
      </c>
      <c r="F2824" s="7" t="n">
        <f aca="false">Sens!$E$2824+dm_seg</f>
        <v>0.550623586919075</v>
      </c>
      <c r="G2824" s="7" t="n">
        <f aca="false">Sens!$E$2824+dm_seg</f>
        <v>0.550623586919075</v>
      </c>
      <c r="H2824" s="7" t="n">
        <f aca="false">Sens!$E$2824+dm_seg</f>
        <v>0.550623586919075</v>
      </c>
      <c r="I2824" s="7" t="n">
        <f aca="false">Sens!$E$2824+dm_seg</f>
        <v>0.550623586919075</v>
      </c>
      <c r="J2824" s="7" t="n">
        <f aca="false">Sens!$E$2824+dm_seg</f>
        <v>0.550623586919075</v>
      </c>
      <c r="K2824" s="7" t="n">
        <f aca="false">Sens!$E$2824+dm_seg</f>
        <v>0.550623586919075</v>
      </c>
      <c r="L2824" s="11" t="s">
        <v>899</v>
      </c>
    </row>
    <row r="2825" customFormat="false" ht="17.15" hidden="false" customHeight="false" outlineLevel="0" collapsed="false">
      <c r="A2825" s="0" t="s">
        <v>732</v>
      </c>
      <c r="B2825" s="0" t="s">
        <v>98</v>
      </c>
      <c r="D2825" s="6" t="n">
        <f aca="false">Q!L21</f>
        <v>110.814</v>
      </c>
      <c r="E2825" s="6" t="n">
        <f aca="false">Q!M21</f>
        <v>136.365</v>
      </c>
      <c r="F2825" s="6" t="n">
        <f aca="false">Sens!F2824*(Sens!F2795-Sens!F2759)+Sens!F2759-(Sens!F2761+Sens!F2762+Sens!F2763)-Sens!F2776</f>
        <v>154.084615668177</v>
      </c>
      <c r="G2825" s="6" t="n">
        <f aca="false">Sens!G2824*(Sens!G2795-Sens!G2759)+Sens!G2759-(Sens!G2761+Sens!G2762+Sens!G2763)-Sens!G2776</f>
        <v>165.769858617031</v>
      </c>
      <c r="H2825" s="6" t="n">
        <f aca="false">Sens!H2824*(Sens!H2795-Sens!H2759)+Sens!H2759-(Sens!H2761+Sens!H2762+Sens!H2763)-Sens!H2776</f>
        <v>175.000571398041</v>
      </c>
      <c r="I2825" s="6" t="n">
        <f aca="false">Sens!I2824*(Sens!I2795-Sens!I2759)+Sens!I2759-(Sens!I2761+Sens!I2762+Sens!I2763)-Sens!I2776</f>
        <v>191.001285826434</v>
      </c>
      <c r="J2825" s="6" t="n">
        <f aca="false">Sens!J2824*(Sens!J2795-Sens!J2759)+Sens!J2759-(Sens!J2761+Sens!J2762+Sens!J2763)-Sens!J2776</f>
        <v>206.352148108854</v>
      </c>
      <c r="K2825" s="6" t="n">
        <f aca="false">Sens!K2824*(Sens!K2795-Sens!K2759)+Sens!K2759-(Sens!K2761+Sens!K2762+Sens!K2763)-Sens!K2776</f>
        <v>221.309455774171</v>
      </c>
      <c r="L2825" s="1" t="s">
        <v>900</v>
      </c>
    </row>
    <row r="2826" customFormat="false" ht="17.15" hidden="false" customHeight="false" outlineLevel="0" collapsed="false">
      <c r="A2826" s="0" t="s">
        <v>901</v>
      </c>
      <c r="B2826" s="0" t="s">
        <v>129</v>
      </c>
      <c r="E2826" s="7" t="n">
        <f aca="false">Q!M22/Q!M12</f>
        <v>0.296207935710698</v>
      </c>
      <c r="F2826" s="7" t="n">
        <f aca="false">Sens!$E$2826+dm_seg</f>
        <v>0.296207935710698</v>
      </c>
      <c r="G2826" s="7" t="n">
        <f aca="false">Sens!$E$2826+dm_seg</f>
        <v>0.296207935710698</v>
      </c>
      <c r="H2826" s="7" t="n">
        <f aca="false">Sens!$E$2826+dm_seg</f>
        <v>0.296207935710698</v>
      </c>
      <c r="I2826" s="7" t="n">
        <f aca="false">Sens!$E$2826+dm_seg</f>
        <v>0.296207935710698</v>
      </c>
      <c r="J2826" s="7" t="n">
        <f aca="false">Sens!$E$2826+dm_seg</f>
        <v>0.296207935710698</v>
      </c>
      <c r="K2826" s="7" t="n">
        <f aca="false">Sens!$E$2826+dm_seg</f>
        <v>0.296207935710698</v>
      </c>
      <c r="L2826" s="11" t="s">
        <v>902</v>
      </c>
    </row>
    <row r="2827" customFormat="false" ht="17.15" hidden="false" customHeight="false" outlineLevel="0" collapsed="false">
      <c r="A2827" s="0" t="s">
        <v>734</v>
      </c>
      <c r="B2827" s="0" t="s">
        <v>98</v>
      </c>
      <c r="D2827" s="6" t="n">
        <f aca="false">Q!L22</f>
        <v>17.714</v>
      </c>
      <c r="E2827" s="6" t="n">
        <f aca="false">Q!M22</f>
        <v>18.872</v>
      </c>
      <c r="F2827" s="6" t="n">
        <f aca="false">Sens!F2802*Sens!F2826</f>
        <v>19.2954518910651</v>
      </c>
      <c r="G2827" s="6" t="n">
        <f aca="false">Sens!G2802*Sens!G2826</f>
        <v>19.8830646387704</v>
      </c>
      <c r="H2827" s="6" t="n">
        <f aca="false">Sens!H2802*Sens!H2826</f>
        <v>20.6092017868026</v>
      </c>
      <c r="I2827" s="6" t="n">
        <f aca="false">Sens!I2802*Sens!I2826</f>
        <v>21.452361761678</v>
      </c>
      <c r="J2827" s="6" t="n">
        <f aca="false">Sens!J2802*Sens!J2826</f>
        <v>22.3946261183418</v>
      </c>
      <c r="K2827" s="6" t="n">
        <f aca="false">Sens!K2802*Sens!K2826</f>
        <v>23.4215879274986</v>
      </c>
    </row>
    <row r="2828" customFormat="false" ht="15" hidden="false" customHeight="false" outlineLevel="0" collapsed="false">
      <c r="A2828" s="1" t="s">
        <v>903</v>
      </c>
      <c r="B2828" s="0" t="s">
        <v>98</v>
      </c>
      <c r="D2828" s="6" t="n">
        <f aca="false">Sens!D2825+Sens!D2827</f>
        <v>128.528</v>
      </c>
      <c r="E2828" s="6" t="n">
        <f aca="false">Sens!E2825+Sens!E2827</f>
        <v>155.237</v>
      </c>
      <c r="F2828" s="6" t="n">
        <f aca="false">Sens!F2825+Sens!F2827</f>
        <v>173.380067559242</v>
      </c>
      <c r="G2828" s="6" t="n">
        <f aca="false">Sens!G2825+Sens!G2827</f>
        <v>185.652923255801</v>
      </c>
      <c r="H2828" s="6" t="n">
        <f aca="false">Sens!H2825+Sens!H2827</f>
        <v>195.609773184844</v>
      </c>
      <c r="I2828" s="6" t="n">
        <f aca="false">Sens!I2825+Sens!I2827</f>
        <v>212.453647588112</v>
      </c>
      <c r="J2828" s="6" t="n">
        <f aca="false">Sens!J2825+Sens!J2827</f>
        <v>228.746774227196</v>
      </c>
      <c r="K2828" s="6" t="n">
        <f aca="false">Sens!K2825+Sens!K2827</f>
        <v>244.73104370167</v>
      </c>
    </row>
    <row r="2829" customFormat="false" ht="15" hidden="false" customHeight="false" outlineLevel="0" collapsed="false">
      <c r="A2829" s="23" t="s">
        <v>904</v>
      </c>
      <c r="B2829" s="30" t="s">
        <v>98</v>
      </c>
      <c r="C2829" s="30"/>
      <c r="D2829" s="24" t="n">
        <f aca="false">Sens!D2828-Q!L23</f>
        <v>0</v>
      </c>
      <c r="E2829" s="24" t="n">
        <f aca="false">Sens!E2828-Q!M23</f>
        <v>0</v>
      </c>
      <c r="F2829" s="30"/>
      <c r="G2829" s="30"/>
      <c r="H2829" s="30"/>
      <c r="I2829" s="30"/>
      <c r="J2829" s="30"/>
      <c r="K2829" s="30"/>
    </row>
    <row r="2830" customFormat="false" ht="15" hidden="false" customHeight="false" outlineLevel="0" collapsed="false">
      <c r="A2830" s="1" t="s">
        <v>905</v>
      </c>
      <c r="B2830" s="0" t="s">
        <v>129</v>
      </c>
      <c r="D2830" s="7" t="n">
        <f aca="false">Sens!D2828/Sens!D2821</f>
        <v>0.456219562408598</v>
      </c>
      <c r="E2830" s="7" t="n">
        <f aca="false">Sens!E2828/Sens!E2821</f>
        <v>0.467808184089272</v>
      </c>
      <c r="F2830" s="7" t="n">
        <f aca="false">Sens!F2828/Sens!F2821</f>
        <v>0.440604473549696</v>
      </c>
      <c r="G2830" s="7" t="n">
        <f aca="false">Sens!G2828/Sens!G2821</f>
        <v>0.406781036202532</v>
      </c>
      <c r="H2830" s="7" t="n">
        <f aca="false">Sens!H2828/Sens!H2821</f>
        <v>0.379579272821846</v>
      </c>
      <c r="I2830" s="7" t="n">
        <f aca="false">Sens!I2828/Sens!I2821</f>
        <v>0.368124435892981</v>
      </c>
      <c r="J2830" s="7" t="n">
        <f aca="false">Sens!J2828/Sens!J2821</f>
        <v>0.363598360380675</v>
      </c>
      <c r="K2830" s="7" t="n">
        <f aca="false">Sens!K2828/Sens!K2821</f>
        <v>0.364393894261045</v>
      </c>
    </row>
    <row r="2831" customFormat="false" ht="17.15" hidden="false" customHeight="false" outlineLevel="0" collapsed="false">
      <c r="A2831" s="1" t="s">
        <v>906</v>
      </c>
      <c r="B2831" s="0" t="s">
        <v>98</v>
      </c>
      <c r="F2831" s="6" t="n">
        <f aca="false">Sens!F2846</f>
        <v>7.61210567564807</v>
      </c>
      <c r="G2831" s="6" t="n">
        <f aca="false">Sens!G2846</f>
        <v>15.2731724564534</v>
      </c>
      <c r="H2831" s="6" t="n">
        <f aca="false">Sens!H2846</f>
        <v>23.6104672837338</v>
      </c>
      <c r="I2831" s="6" t="n">
        <f aca="false">Sens!I2846</f>
        <v>31.2216216171279</v>
      </c>
      <c r="J2831" s="6" t="n">
        <f aca="false">Sens!J2846</f>
        <v>36.5588926527008</v>
      </c>
      <c r="K2831" s="6" t="n">
        <f aca="false">Sens!K2846</f>
        <v>39.5354332322255</v>
      </c>
      <c r="L2831" s="1" t="s">
        <v>907</v>
      </c>
    </row>
    <row r="2832" customFormat="false" ht="17.15" hidden="false" customHeight="false" outlineLevel="0" collapsed="false">
      <c r="A2832" s="1" t="s">
        <v>908</v>
      </c>
      <c r="B2832" s="0" t="s">
        <v>98</v>
      </c>
      <c r="D2832" s="6" t="n">
        <f aca="false">Sens!D2828</f>
        <v>128.528</v>
      </c>
      <c r="E2832" s="6" t="n">
        <f aca="false">Sens!E2828</f>
        <v>155.237</v>
      </c>
      <c r="F2832" s="6" t="n">
        <f aca="false">Sens!F2828+Sens!F2831</f>
        <v>180.992173234891</v>
      </c>
      <c r="G2832" s="6" t="n">
        <f aca="false">Sens!G2828+Sens!G2831</f>
        <v>200.926095712255</v>
      </c>
      <c r="H2832" s="6" t="n">
        <f aca="false">Sens!H2828+Sens!H2831</f>
        <v>219.220240468577</v>
      </c>
      <c r="I2832" s="6" t="n">
        <f aca="false">Sens!I2828+Sens!I2831</f>
        <v>243.675269205239</v>
      </c>
      <c r="J2832" s="6" t="n">
        <f aca="false">Sens!J2828+Sens!J2831</f>
        <v>265.305666879897</v>
      </c>
      <c r="K2832" s="6" t="n">
        <f aca="false">Sens!K2828+Sens!K2831</f>
        <v>284.266476933895</v>
      </c>
    </row>
    <row r="2833" customFormat="false" ht="17.15" hidden="false" customHeight="false" outlineLevel="0" collapsed="false">
      <c r="A2833" s="1" t="s">
        <v>909</v>
      </c>
      <c r="B2833" s="0" t="s">
        <v>98</v>
      </c>
      <c r="E2833" s="6" t="n">
        <f aca="false">Sens!E2776</f>
        <v>13.0443247816667</v>
      </c>
      <c r="F2833" s="6" t="n">
        <f aca="false">Sens!F2776</f>
        <v>30.6152725775365</v>
      </c>
      <c r="G2833" s="6" t="n">
        <f aca="false">Sens!G2776</f>
        <v>54.0510750339529</v>
      </c>
      <c r="H2833" s="6" t="n">
        <f aca="false">Sens!H2776</f>
        <v>75.8395412201929</v>
      </c>
      <c r="I2833" s="6" t="n">
        <f aca="false">Sens!I2776</f>
        <v>95.2353204114582</v>
      </c>
      <c r="J2833" s="6" t="n">
        <f aca="false">Sens!J2776</f>
        <v>108.992657163814</v>
      </c>
      <c r="K2833" s="6" t="n">
        <f aca="false">Sens!K2776</f>
        <v>117.36380586926</v>
      </c>
    </row>
    <row r="2834" customFormat="false" ht="17.15" hidden="false" customHeight="false" outlineLevel="0" collapsed="false">
      <c r="A2834" s="1" t="s">
        <v>910</v>
      </c>
      <c r="B2834" s="0" t="s">
        <v>98</v>
      </c>
      <c r="E2834" s="6" t="n">
        <f aca="false">Sens!E2858</f>
        <v>25.4896752183333</v>
      </c>
      <c r="F2834" s="6" t="n">
        <f aca="false">Sens!F2858</f>
        <v>26.4836424194562</v>
      </c>
      <c r="G2834" s="6" t="n">
        <f aca="false">Sens!G2858</f>
        <v>27.9055675345495</v>
      </c>
      <c r="H2834" s="6" t="n">
        <f aca="false">Sens!H2858</f>
        <v>29.7211621455036</v>
      </c>
      <c r="I2834" s="6" t="n">
        <f aca="false">Sens!I2858</f>
        <v>31.8713859621176</v>
      </c>
      <c r="J2834" s="6" t="n">
        <f aca="false">Sens!J2858</f>
        <v>34.2798386909432</v>
      </c>
      <c r="K2834" s="6" t="n">
        <f aca="false">Sens!K2858</f>
        <v>36.8612250960483</v>
      </c>
    </row>
    <row r="2835" customFormat="false" ht="17.15" hidden="false" customHeight="false" outlineLevel="0" collapsed="false">
      <c r="A2835" s="1" t="s">
        <v>911</v>
      </c>
      <c r="B2835" s="0" t="s">
        <v>98</v>
      </c>
      <c r="D2835" s="6" t="n">
        <f aca="false">Q!L27</f>
        <v>-4.901</v>
      </c>
      <c r="E2835" s="6" t="n">
        <f aca="false">Q!M27</f>
        <v>10.697</v>
      </c>
      <c r="F2835" s="6" t="n">
        <f aca="false">oie_f</f>
        <v>-0.4</v>
      </c>
      <c r="G2835" s="6" t="n">
        <f aca="false">oie_f</f>
        <v>-0.4</v>
      </c>
      <c r="H2835" s="6" t="n">
        <f aca="false">oie_f</f>
        <v>-0.4</v>
      </c>
      <c r="I2835" s="6" t="n">
        <f aca="false">oie_f</f>
        <v>-0.4</v>
      </c>
      <c r="J2835" s="6" t="n">
        <f aca="false">oie_f</f>
        <v>-0.4</v>
      </c>
      <c r="K2835" s="6" t="n">
        <f aca="false">oie_f</f>
        <v>-0.4</v>
      </c>
      <c r="L2835" s="11" t="s">
        <v>912</v>
      </c>
    </row>
    <row r="2836" customFormat="false" ht="15" hidden="false" customHeight="false" outlineLevel="0" collapsed="false">
      <c r="A2836" s="1" t="s">
        <v>913</v>
      </c>
      <c r="B2836" s="0" t="s">
        <v>98</v>
      </c>
      <c r="D2836" s="6" t="n">
        <f aca="false">Sens!D2828+Sens!D2835</f>
        <v>123.627</v>
      </c>
      <c r="E2836" s="6" t="n">
        <f aca="false">Sens!E2828+Sens!E2835</f>
        <v>165.934</v>
      </c>
      <c r="F2836" s="6" t="n">
        <f aca="false">Sens!F2828+Sens!F2835</f>
        <v>172.980067559242</v>
      </c>
      <c r="G2836" s="6" t="n">
        <f aca="false">Sens!G2828+Sens!G2835</f>
        <v>185.252923255801</v>
      </c>
      <c r="H2836" s="6" t="n">
        <f aca="false">Sens!H2828+Sens!H2835</f>
        <v>195.209773184844</v>
      </c>
      <c r="I2836" s="6" t="n">
        <f aca="false">Sens!I2828+Sens!I2835</f>
        <v>212.053647588112</v>
      </c>
      <c r="J2836" s="6" t="n">
        <f aca="false">Sens!J2828+Sens!J2835</f>
        <v>228.346774227196</v>
      </c>
      <c r="K2836" s="6" t="n">
        <f aca="false">Sens!K2828+Sens!K2835</f>
        <v>244.33104370167</v>
      </c>
    </row>
    <row r="2837" customFormat="false" ht="15" hidden="false" customHeight="false" outlineLevel="0" collapsed="false">
      <c r="A2837" s="1" t="s">
        <v>914</v>
      </c>
      <c r="B2837" s="0" t="s">
        <v>98</v>
      </c>
      <c r="D2837" s="6" t="n">
        <f aca="false">Q!L29</f>
        <v>21.795</v>
      </c>
      <c r="E2837" s="6" t="n">
        <f aca="false">Q!M29</f>
        <v>32.185</v>
      </c>
      <c r="F2837" s="6" t="n">
        <f aca="false">Sens!F2836*tax_f</f>
        <v>34.5960135118485</v>
      </c>
      <c r="G2837" s="6" t="n">
        <f aca="false">Sens!G2836*tax_f</f>
        <v>37.0505846511603</v>
      </c>
      <c r="H2837" s="6" t="n">
        <f aca="false">Sens!H2836*tax_f</f>
        <v>39.0419546369687</v>
      </c>
      <c r="I2837" s="6" t="n">
        <f aca="false">Sens!I2836*tax_f</f>
        <v>42.4107295176223</v>
      </c>
      <c r="J2837" s="6" t="n">
        <f aca="false">Sens!J2836*tax_f</f>
        <v>45.6693548454392</v>
      </c>
      <c r="K2837" s="6" t="n">
        <f aca="false">Sens!K2836*tax_f</f>
        <v>48.866208740334</v>
      </c>
    </row>
    <row r="2838" customFormat="false" ht="15" hidden="false" customHeight="false" outlineLevel="0" collapsed="false">
      <c r="A2838" s="1" t="s">
        <v>915</v>
      </c>
      <c r="B2838" s="0" t="s">
        <v>98</v>
      </c>
      <c r="D2838" s="6" t="n">
        <f aca="false">Sens!D2836-Sens!D2837</f>
        <v>101.832</v>
      </c>
      <c r="E2838" s="6" t="n">
        <f aca="false">Sens!E2836-Sens!E2837</f>
        <v>133.749</v>
      </c>
      <c r="F2838" s="6" t="n">
        <f aca="false">Sens!F2836-Sens!F2837</f>
        <v>138.384054047394</v>
      </c>
      <c r="G2838" s="6" t="n">
        <f aca="false">Sens!G2836-Sens!G2837</f>
        <v>148.202338604641</v>
      </c>
      <c r="H2838" s="6" t="n">
        <f aca="false">Sens!H2836-Sens!H2837</f>
        <v>156.167818547875</v>
      </c>
      <c r="I2838" s="6" t="n">
        <f aca="false">Sens!I2836-Sens!I2837</f>
        <v>169.642918070489</v>
      </c>
      <c r="J2838" s="6" t="n">
        <f aca="false">Sens!J2836-Sens!J2837</f>
        <v>182.677419381757</v>
      </c>
      <c r="K2838" s="6" t="n">
        <f aca="false">Sens!K2836-Sens!K2837</f>
        <v>195.464834961336</v>
      </c>
    </row>
    <row r="2839" customFormat="false" ht="17.15" hidden="false" customHeight="false" outlineLevel="0" collapsed="false">
      <c r="A2839" s="1" t="s">
        <v>916</v>
      </c>
      <c r="B2839" s="1" t="s">
        <v>81</v>
      </c>
      <c r="D2839" s="14" t="n">
        <f aca="false">Q!L31</f>
        <v>7.465</v>
      </c>
      <c r="E2839" s="14" t="n">
        <f aca="false">Q!M31</f>
        <v>7.453</v>
      </c>
      <c r="F2839" s="14" t="n">
        <f aca="false">Sens!F2880</f>
        <v>7.4735</v>
      </c>
      <c r="G2839" s="14" t="n">
        <f aca="false">Sens!G2880</f>
        <v>7.49987171271795</v>
      </c>
      <c r="H2839" s="14" t="n">
        <f aca="false">Sens!H2880</f>
        <v>7.50899501128585</v>
      </c>
      <c r="I2839" s="14" t="n">
        <f aca="false">Sens!I2880</f>
        <v>7.52077584329316</v>
      </c>
      <c r="J2839" s="14" t="n">
        <f aca="false">Sens!J2880</f>
        <v>7.53501735441104</v>
      </c>
      <c r="K2839" s="14" t="n">
        <f aca="false">Sens!K2880</f>
        <v>7.55153727211278</v>
      </c>
    </row>
    <row r="2840" customFormat="false" ht="17.15" hidden="false" customHeight="false" outlineLevel="0" collapsed="false">
      <c r="A2840" s="0" t="s">
        <v>917</v>
      </c>
      <c r="B2840" s="0" t="s">
        <v>75</v>
      </c>
      <c r="D2840" s="8" t="n">
        <f aca="false">Sens!D2838/Sens!D2839</f>
        <v>13.641259209645</v>
      </c>
      <c r="E2840" s="8" t="n">
        <f aca="false">Sens!E2838/Sens!E2839</f>
        <v>17.9456594659869</v>
      </c>
      <c r="F2840" s="8" t="n">
        <f aca="false">Sens!F2838/Sens!F2839</f>
        <v>18.516632641653</v>
      </c>
      <c r="G2840" s="8" t="n">
        <f aca="false">Sens!G2838/Sens!G2839</f>
        <v>19.7606498192931</v>
      </c>
      <c r="H2840" s="8" t="n">
        <f aca="false">Sens!H2838/Sens!H2839</f>
        <v>20.797432720778</v>
      </c>
      <c r="I2840" s="8" t="n">
        <f aca="false">Sens!I2838/Sens!I2839</f>
        <v>22.5565715034271</v>
      </c>
      <c r="J2840" s="8" t="n">
        <f aca="false">Sens!J2838/Sens!J2839</f>
        <v>24.2437954406059</v>
      </c>
      <c r="K2840" s="8" t="n">
        <f aca="false">Sens!K2838/Sens!K2839</f>
        <v>25.8841117931275</v>
      </c>
      <c r="L2840" s="1" t="s">
        <v>918</v>
      </c>
    </row>
    <row r="2841" customFormat="false" ht="17.15" hidden="false" customHeight="false" outlineLevel="0" collapsed="false">
      <c r="A2841" s="1" t="s">
        <v>919</v>
      </c>
      <c r="B2841" s="0" t="s">
        <v>98</v>
      </c>
      <c r="D2841" s="6" t="n">
        <f aca="false">Sens!D2838</f>
        <v>101.832</v>
      </c>
      <c r="E2841" s="6" t="n">
        <f aca="false">Sens!E2838</f>
        <v>133.749</v>
      </c>
      <c r="F2841" s="6" t="n">
        <f aca="false">Sens!F2838+Sens!F2831*(1-tax_f)</f>
        <v>144.473738587912</v>
      </c>
      <c r="G2841" s="6" t="n">
        <f aca="false">Sens!G2838+Sens!G2831*(1-tax_f)</f>
        <v>160.420876569804</v>
      </c>
      <c r="H2841" s="6" t="n">
        <f aca="false">Sens!H2838+Sens!H2831*(1-tax_f)</f>
        <v>175.056192374862</v>
      </c>
      <c r="I2841" s="6" t="n">
        <f aca="false">Sens!I2838+Sens!I2831*(1-tax_f)</f>
        <v>194.620215364192</v>
      </c>
      <c r="J2841" s="6" t="n">
        <f aca="false">Sens!J2838+Sens!J2831*(1-tax_f)</f>
        <v>211.924533503917</v>
      </c>
      <c r="K2841" s="6" t="n">
        <f aca="false">Sens!K2838+Sens!K2831*(1-tax_f)</f>
        <v>227.093181547116</v>
      </c>
    </row>
    <row r="2842" customFormat="false" ht="17.15" hidden="false" customHeight="false" outlineLevel="0" collapsed="false">
      <c r="A2842" s="0" t="s">
        <v>920</v>
      </c>
      <c r="B2842" s="0" t="s">
        <v>75</v>
      </c>
      <c r="D2842" s="8" t="n">
        <f aca="false">Sens!D2841/Sens!D2839</f>
        <v>13.641259209645</v>
      </c>
      <c r="E2842" s="8" t="n">
        <f aca="false">Sens!E2841/Sens!E2839</f>
        <v>17.9456594659869</v>
      </c>
      <c r="F2842" s="8" t="n">
        <f aca="false">Sens!F2841/Sens!F2839</f>
        <v>19.3314696712267</v>
      </c>
      <c r="G2842" s="8" t="n">
        <f aca="false">Sens!G2841/Sens!G2839</f>
        <v>21.3898160814897</v>
      </c>
      <c r="H2842" s="8" t="n">
        <f aca="false">Sens!H2841/Sens!H2839</f>
        <v>23.3128657179498</v>
      </c>
      <c r="I2842" s="8" t="n">
        <f aca="false">Sens!I2841/Sens!I2839</f>
        <v>25.8776779709169</v>
      </c>
      <c r="J2842" s="8" t="n">
        <f aca="false">Sens!J2841/Sens!J2839</f>
        <v>28.1252880432791</v>
      </c>
      <c r="K2842" s="8" t="n">
        <f aca="false">Sens!K2841/Sens!K2839</f>
        <v>30.0724439758449</v>
      </c>
      <c r="L2842" s="1" t="s">
        <v>921</v>
      </c>
    </row>
    <row r="2843" customFormat="false" ht="17.15" hidden="false" customHeight="false" outlineLevel="0" collapsed="false">
      <c r="A2843" s="0" t="s">
        <v>922</v>
      </c>
      <c r="B2843" s="0" t="s">
        <v>129</v>
      </c>
      <c r="E2843" s="7" t="n">
        <f aca="false">Sens!E2842/Sens!D2842-1</f>
        <v>0.315542736208578</v>
      </c>
      <c r="F2843" s="7" t="n">
        <f aca="false">Sens!F2842/Sens!E2842-1</f>
        <v>0.077222584540088</v>
      </c>
      <c r="G2843" s="7" t="n">
        <f aca="false">Sens!G2842/Sens!F2842-1</f>
        <v>0.106476457572529</v>
      </c>
      <c r="H2843" s="7" t="n">
        <f aca="false">Sens!H2842/Sens!G2842-1</f>
        <v>0.0899049168601465</v>
      </c>
      <c r="I2843" s="7" t="n">
        <f aca="false">Sens!I2842/Sens!H2842-1</f>
        <v>0.110017030252627</v>
      </c>
      <c r="J2843" s="7" t="n">
        <f aca="false">Sens!J2842/Sens!I2842-1</f>
        <v>0.0868551681834902</v>
      </c>
      <c r="K2843" s="7" t="n">
        <f aca="false">Sens!K2842/Sens!J2842-1</f>
        <v>0.0692315018985588</v>
      </c>
    </row>
    <row r="2844" customFormat="false" ht="17.15" hidden="false" customHeight="false" outlineLevel="0" collapsed="false">
      <c r="A2844" s="0" t="s">
        <v>846</v>
      </c>
      <c r="B2844" s="0" t="s">
        <v>98</v>
      </c>
      <c r="E2844" s="6" t="n">
        <f aca="false">Sens!E2785</f>
        <v>5.25</v>
      </c>
      <c r="F2844" s="6" t="n">
        <f aca="false">Sens!F2785</f>
        <v>10.5</v>
      </c>
      <c r="G2844" s="6" t="n">
        <f aca="false">Sens!G2785</f>
        <v>13.5</v>
      </c>
      <c r="H2844" s="6" t="n">
        <f aca="false">Sens!H2785</f>
        <v>16.5</v>
      </c>
      <c r="I2844" s="6" t="n">
        <f aca="false">Sens!I2785</f>
        <v>18.75</v>
      </c>
      <c r="J2844" s="6" t="n">
        <f aca="false">Sens!J2785</f>
        <v>20.25</v>
      </c>
      <c r="K2844" s="6" t="n">
        <f aca="false">Sens!K2785</f>
        <v>21.75</v>
      </c>
    </row>
    <row r="2845" customFormat="false" ht="17.15" hidden="false" customHeight="false" outlineLevel="0" collapsed="false">
      <c r="A2845" s="1" t="s">
        <v>847</v>
      </c>
      <c r="B2845" s="0" t="s">
        <v>98</v>
      </c>
      <c r="F2845" s="6" t="n">
        <f aca="false">MAX(0,(Sens!E2748+Sens!F2748)/2*Sens!F2756/1000-Sens!F2844*Sens!F2824)</f>
        <v>7.61210567564807</v>
      </c>
      <c r="G2845" s="6" t="n">
        <f aca="false">MAX(0,(Sens!F2748+Sens!G2748)/2*Sens!G2756/1000-Sens!G2844*Sens!G2824)</f>
        <v>15.2731724564534</v>
      </c>
      <c r="H2845" s="6" t="n">
        <f aca="false">MAX(0,(Sens!G2748+Sens!H2748)/2*Sens!H2756/1000-Sens!H2844*Sens!H2824)</f>
        <v>23.6104672837338</v>
      </c>
      <c r="I2845" s="6" t="n">
        <f aca="false">MAX(0,(Sens!H2748+Sens!I2748)/2*Sens!I2756/1000-Sens!I2844*Sens!I2824)</f>
        <v>31.2216216171279</v>
      </c>
      <c r="J2845" s="6" t="n">
        <f aca="false">MAX(0,(Sens!I2748+Sens!J2748)/2*Sens!J2756/1000-Sens!J2844*Sens!J2824)</f>
        <v>36.5588926527008</v>
      </c>
      <c r="K2845" s="6" t="n">
        <f aca="false">MAX(0,(Sens!J2748+Sens!K2748)/2*Sens!K2756/1000-Sens!K2844*Sens!K2824)</f>
        <v>39.5354332322255</v>
      </c>
      <c r="L2845" s="1" t="s">
        <v>848</v>
      </c>
    </row>
    <row r="2846" customFormat="false" ht="17.15" hidden="false" customHeight="false" outlineLevel="0" collapsed="false">
      <c r="A2846" s="1" t="s">
        <v>849</v>
      </c>
      <c r="B2846" s="0" t="s">
        <v>98</v>
      </c>
      <c r="F2846" s="6" t="n">
        <f aca="false">IF(internal_ai_reading=2,1,0)*Sens!F2845</f>
        <v>7.61210567564807</v>
      </c>
      <c r="G2846" s="6" t="n">
        <f aca="false">IF(internal_ai_reading=2,1,0)*Sens!G2845</f>
        <v>15.2731724564534</v>
      </c>
      <c r="H2846" s="6" t="n">
        <f aca="false">IF(internal_ai_reading=2,1,0)*Sens!H2845</f>
        <v>23.6104672837338</v>
      </c>
      <c r="I2846" s="6" t="n">
        <f aca="false">IF(internal_ai_reading=2,1,0)*Sens!I2845</f>
        <v>31.2216216171279</v>
      </c>
      <c r="J2846" s="6" t="n">
        <f aca="false">IF(internal_ai_reading=2,1,0)*Sens!J2845</f>
        <v>36.5588926527008</v>
      </c>
      <c r="K2846" s="6" t="n">
        <f aca="false">IF(internal_ai_reading=2,1,0)*Sens!K2845</f>
        <v>39.5354332322255</v>
      </c>
    </row>
    <row r="2847" customFormat="false" ht="17.15" hidden="false" customHeight="false" outlineLevel="0" collapsed="false">
      <c r="A2847" s="0" t="s">
        <v>850</v>
      </c>
      <c r="B2847" s="0" t="s">
        <v>98</v>
      </c>
      <c r="F2847" s="6" t="n">
        <f aca="false">Sens!F2765+Sens!F2844*Sens!F2824+Sens!F2846-Sens!F2766-Sens!F2776</f>
        <v>14.5692610480489</v>
      </c>
      <c r="G2847" s="6" t="n">
        <f aca="false">Sens!G2765+Sens!G2844*Sens!G2824+Sens!G2846-Sens!G2766-Sens!G2776</f>
        <v>15.5136974301125</v>
      </c>
      <c r="H2847" s="6" t="n">
        <f aca="false">Sens!H2765+Sens!H2844*Sens!H2824+Sens!H2846-Sens!H2766-Sens!H2776</f>
        <v>14.5041698477277</v>
      </c>
      <c r="I2847" s="6" t="n">
        <f aca="false">Sens!I2765+Sens!I2844*Sens!I2824+Sens!I2846-Sens!I2766-Sens!I2776</f>
        <v>20.0091166809584</v>
      </c>
      <c r="J2847" s="6" t="n">
        <f aca="false">Sens!J2765+Sens!J2844*Sens!J2824+Sens!J2846-Sens!J2766-Sens!J2776</f>
        <v>23.7850078279702</v>
      </c>
      <c r="K2847" s="6" t="n">
        <f aca="false">Sens!K2765+Sens!K2844*Sens!K2824+Sens!K2846-Sens!K2766-Sens!K2776</f>
        <v>26.7503291693191</v>
      </c>
    </row>
    <row r="2848" customFormat="false" ht="17.15" hidden="false" customHeight="false" outlineLevel="0" collapsed="false">
      <c r="A2848" s="0" t="s">
        <v>851</v>
      </c>
      <c r="B2848" s="0" t="s">
        <v>98</v>
      </c>
      <c r="E2848" s="6" t="n">
        <f aca="false">Sens!E2747*(cxit_open+self_build*tk_cxfac)/1000*ai_net_open</f>
        <v>101.35843056</v>
      </c>
      <c r="F2848" s="6" t="n">
        <f aca="false">Sens!E2848+Sens!F2773-Sens!F2776</f>
        <v>239.513810752901</v>
      </c>
      <c r="G2848" s="6" t="n">
        <f aca="false">Sens!F2848+Sens!G2773-Sens!G2776</f>
        <v>332.322080105508</v>
      </c>
      <c r="H2848" s="6" t="n">
        <f aca="false">Sens!G2848+Sens!H2773-Sens!H2776</f>
        <v>406.946767613635</v>
      </c>
      <c r="I2848" s="6" t="n">
        <f aca="false">Sens!H2848+Sens!I2773-Sens!I2776</f>
        <v>442.676782525573</v>
      </c>
      <c r="J2848" s="6" t="n">
        <f aca="false">Sens!I2848+Sens!J2773-Sens!J2776</f>
        <v>433.294106736232</v>
      </c>
      <c r="K2848" s="6" t="n">
        <f aca="false">Sens!J2848+Sens!K2773-Sens!K2776</f>
        <v>407.897849380521</v>
      </c>
      <c r="L2848" s="1" t="s">
        <v>852</v>
      </c>
    </row>
    <row r="2849" customFormat="false" ht="17.15" hidden="false" customHeight="false" outlineLevel="0" collapsed="false">
      <c r="A2849" s="0" t="s">
        <v>853</v>
      </c>
      <c r="B2849" s="0" t="s">
        <v>129</v>
      </c>
      <c r="F2849" s="7" t="n">
        <f aca="false">Sens!F2847*(1-tax_f)/((Sens!E2848+Sens!F2848)/2)</f>
        <v>0.0683857904858856</v>
      </c>
      <c r="G2849" s="7" t="n">
        <f aca="false">Sens!G2847*(1-tax_f)/((Sens!F2848+Sens!G2848)/2)</f>
        <v>0.0434074116105561</v>
      </c>
      <c r="H2849" s="7" t="n">
        <f aca="false">Sens!H2847*(1-tax_f)/((Sens!G2848+Sens!H2848)/2)</f>
        <v>0.0313913832944044</v>
      </c>
      <c r="I2849" s="7" t="n">
        <f aca="false">Sens!I2847*(1-tax_f)/((Sens!H2848+Sens!I2848)/2)</f>
        <v>0.0376809078376982</v>
      </c>
      <c r="J2849" s="7" t="n">
        <f aca="false">Sens!J2847*(1-tax_f)/((Sens!I2848+Sens!J2848)/2)</f>
        <v>0.0434443803912511</v>
      </c>
      <c r="K2849" s="7" t="n">
        <f aca="false">Sens!K2847*(1-tax_f)/((Sens!J2848+Sens!K2848)/2)</f>
        <v>0.0508808083097861</v>
      </c>
    </row>
    <row r="2850" customFormat="false" ht="17.15" hidden="false" customHeight="false" outlineLevel="0" collapsed="false">
      <c r="A2850" s="1" t="s">
        <v>854</v>
      </c>
      <c r="B2850" s="0" t="s">
        <v>129</v>
      </c>
      <c r="F2850" s="7" t="n">
        <f aca="false">(Sens!F2847-Sens!F2846)*(1-tax_f)/((Sens!E2848+Sens!F2848)/2)</f>
        <v>0.0326557790477968</v>
      </c>
      <c r="G2850" s="7" t="n">
        <f aca="false">(Sens!G2847-Sens!G2846)*(1-tax_f)/((Sens!F2848+Sens!G2848)/2)</f>
        <v>0.000672990212763495</v>
      </c>
      <c r="H2850" s="7" t="n">
        <f aca="false">(Sens!H2847-Sens!H2846)*(1-tax_f)/((Sens!G2848+Sens!H2848)/2)</f>
        <v>-0.0197087648729723</v>
      </c>
      <c r="I2850" s="7" t="n">
        <f aca="false">(Sens!I2847-Sens!I2846)*(1-tax_f)/((Sens!H2848+Sens!I2848)/2)</f>
        <v>-0.0211152432096918</v>
      </c>
      <c r="J2850" s="7" t="n">
        <f aca="false">(Sens!J2847-Sens!J2846)*(1-tax_f)/((Sens!I2848+Sens!J2848)/2)</f>
        <v>-0.0233320718417852</v>
      </c>
      <c r="K2850" s="7" t="n">
        <f aca="false">(Sens!K2847-Sens!K2846)*(1-tax_f)/((Sens!J2848+Sens!K2848)/2)</f>
        <v>-0.0243180719357842</v>
      </c>
    </row>
    <row r="2851" customFormat="false" ht="17.15" hidden="false" customHeight="false" outlineLevel="0" collapsed="false">
      <c r="A2851" s="1" t="s">
        <v>855</v>
      </c>
      <c r="B2851" s="0" t="s">
        <v>129</v>
      </c>
      <c r="F2851" s="7" t="n">
        <f aca="false">(Sens!F2847-Sens!F2846+Sens!F2845)*(1-tax_f)/((Sens!E2848+Sens!F2848)/2)</f>
        <v>0.0683857904858856</v>
      </c>
      <c r="G2851" s="7" t="n">
        <f aca="false">(Sens!G2847-Sens!G2846+Sens!G2845)*(1-tax_f)/((Sens!F2848+Sens!G2848)/2)</f>
        <v>0.0434074116105561</v>
      </c>
      <c r="H2851" s="7" t="n">
        <f aca="false">(Sens!H2847-Sens!H2846+Sens!H2845)*(1-tax_f)/((Sens!G2848+Sens!H2848)/2)</f>
        <v>0.0313913832944044</v>
      </c>
      <c r="I2851" s="7" t="n">
        <f aca="false">(Sens!I2847-Sens!I2846+Sens!I2845)*(1-tax_f)/((Sens!H2848+Sens!I2848)/2)</f>
        <v>0.0376809078376982</v>
      </c>
      <c r="J2851" s="7" t="n">
        <f aca="false">(Sens!J2847-Sens!J2846+Sens!J2845)*(1-tax_f)/((Sens!I2848+Sens!J2848)/2)</f>
        <v>0.0434443803912511</v>
      </c>
      <c r="K2851" s="7" t="n">
        <f aca="false">(Sens!K2847-Sens!K2846+Sens!K2845)*(1-tax_f)/((Sens!J2848+Sens!K2848)/2)</f>
        <v>0.0508808083097861</v>
      </c>
    </row>
    <row r="2852" customFormat="false" ht="17.15" hidden="false" customHeight="false" outlineLevel="0" collapsed="false">
      <c r="A2852" s="1" t="s">
        <v>856</v>
      </c>
      <c r="B2852" s="0" t="s">
        <v>129</v>
      </c>
      <c r="F2852" s="7" t="n">
        <f aca="false">Sens!F2777*(1-tax_f)/(Sens!F2764*(Sens!E2848+Sens!F2848)/2)</f>
        <v>0.0757015814585227</v>
      </c>
      <c r="G2852" s="7" t="n">
        <f aca="false">Sens!G2777*(1-tax_f)/(Sens!G2764*(Sens!F2848+Sens!G2848)/2)</f>
        <v>0.0436943669396363</v>
      </c>
      <c r="H2852" s="7" t="n">
        <f aca="false">Sens!H2777*(1-tax_f)/(Sens!H2764*(Sens!G2848+Sens!H2848)/2)</f>
        <v>0.0242402067734503</v>
      </c>
      <c r="I2852" s="7" t="n">
        <f aca="false">Sens!I2777*(1-tax_f)/(Sens!I2764*(Sens!H2848+Sens!I2848)/2)</f>
        <v>0.029738809886603</v>
      </c>
      <c r="J2852" s="7" t="n">
        <f aca="false">Sens!J2777*(1-tax_f)/(Sens!J2764*(Sens!I2848+Sens!J2848)/2)</f>
        <v>0.0345900848002546</v>
      </c>
      <c r="K2852" s="7" t="n">
        <f aca="false">Sens!K2777*(1-tax_f)/(Sens!K2764*(Sens!J2848+Sens!K2848)/2)</f>
        <v>0.0409837721082849</v>
      </c>
    </row>
    <row r="2853" customFormat="false" ht="17.15" hidden="false" customHeight="false" outlineLevel="0" collapsed="false">
      <c r="A2853" s="0" t="s">
        <v>857</v>
      </c>
      <c r="B2853" s="0" t="s">
        <v>209</v>
      </c>
      <c r="F2853" s="7" t="n">
        <f aca="false">Sens!F2849-wacc</f>
        <v>-0.0345486296069901</v>
      </c>
      <c r="G2853" s="7" t="n">
        <f aca="false">Sens!G2849-wacc</f>
        <v>-0.0595270084823197</v>
      </c>
      <c r="H2853" s="7" t="n">
        <f aca="false">Sens!H2849-wacc</f>
        <v>-0.0715430367984713</v>
      </c>
      <c r="I2853" s="7" t="n">
        <f aca="false">Sens!I2849-wacc</f>
        <v>-0.0652535122551776</v>
      </c>
      <c r="J2853" s="7" t="n">
        <f aca="false">Sens!J2849-wacc</f>
        <v>-0.0594900397016247</v>
      </c>
      <c r="K2853" s="7" t="n">
        <f aca="false">Sens!K2849-wacc</f>
        <v>-0.0520536117830896</v>
      </c>
    </row>
    <row r="2854" customFormat="false" ht="17.15" hidden="false" customHeight="false" outlineLevel="0" collapsed="false">
      <c r="A2854" s="0" t="s">
        <v>858</v>
      </c>
      <c r="B2854" s="0" t="s">
        <v>98</v>
      </c>
      <c r="F2854" s="6" t="n">
        <f aca="false">Sens!F2847*(1-tax_f)-wacc*(Sens!E2848+Sens!F2848)/2</f>
        <v>-5.88833440421199</v>
      </c>
      <c r="G2854" s="6" t="n">
        <f aca="false">Sens!G2847*(1-tax_f)-wacc*(Sens!F2848+Sens!G2848)/2</f>
        <v>-17.0198399628117</v>
      </c>
      <c r="H2854" s="6" t="n">
        <f aca="false">Sens!H2847*(1-tax_f)-wacc*(Sens!G2848+Sens!H2848)/2</f>
        <v>-26.4447691881671</v>
      </c>
      <c r="I2854" s="6" t="n">
        <f aca="false">Sens!I2847*(1-tax_f)-wacc*(Sens!H2848+Sens!I2848)/2</f>
        <v>-27.7204603706482</v>
      </c>
      <c r="J2854" s="6" t="n">
        <f aca="false">Sens!J2847*(1-tax_f)-wacc*(Sens!I2848+Sens!J2848)/2</f>
        <v>-26.0557714898261</v>
      </c>
      <c r="K2854" s="6" t="n">
        <f aca="false">Sens!K2847*(1-tax_f)-wacc*(Sens!J2848+Sens!K2848)/2</f>
        <v>-21.8935397593796</v>
      </c>
    </row>
    <row r="2855" customFormat="false" ht="17.15" hidden="false" customHeight="false" outlineLevel="0" collapsed="false">
      <c r="A2855" s="3" t="s">
        <v>1307</v>
      </c>
    </row>
    <row r="2856" customFormat="false" ht="15" hidden="false" customHeight="false" outlineLevel="0" collapsed="false">
      <c r="A2856" s="4" t="s">
        <v>43</v>
      </c>
      <c r="B2856" s="4" t="s">
        <v>65</v>
      </c>
      <c r="C2856" s="20" t="s">
        <v>788</v>
      </c>
      <c r="D2856" s="20" t="s">
        <v>789</v>
      </c>
      <c r="E2856" s="20" t="s">
        <v>790</v>
      </c>
      <c r="F2856" s="20" t="s">
        <v>791</v>
      </c>
      <c r="G2856" s="20" t="s">
        <v>792</v>
      </c>
      <c r="H2856" s="20" t="s">
        <v>793</v>
      </c>
      <c r="I2856" s="20" t="s">
        <v>794</v>
      </c>
      <c r="J2856" s="20" t="s">
        <v>795</v>
      </c>
      <c r="K2856" s="20" t="s">
        <v>796</v>
      </c>
      <c r="L2856" s="4" t="s">
        <v>47</v>
      </c>
    </row>
    <row r="2857" customFormat="false" ht="15" hidden="false" customHeight="false" outlineLevel="0" collapsed="false">
      <c r="A2857" s="1" t="s">
        <v>915</v>
      </c>
      <c r="B2857" s="0" t="s">
        <v>98</v>
      </c>
      <c r="F2857" s="6" t="n">
        <f aca="false">Sens!F2838</f>
        <v>138.384054047394</v>
      </c>
      <c r="G2857" s="6" t="n">
        <f aca="false">Sens!G2838</f>
        <v>148.202338604641</v>
      </c>
      <c r="H2857" s="6" t="n">
        <f aca="false">Sens!H2838</f>
        <v>156.167818547875</v>
      </c>
      <c r="I2857" s="6" t="n">
        <f aca="false">Sens!I2838</f>
        <v>169.642918070489</v>
      </c>
      <c r="J2857" s="6" t="n">
        <f aca="false">Sens!J2838</f>
        <v>182.677419381757</v>
      </c>
      <c r="K2857" s="6" t="n">
        <f aca="false">Sens!K2838</f>
        <v>195.464834961336</v>
      </c>
    </row>
    <row r="2858" customFormat="false" ht="17.15" hidden="false" customHeight="false" outlineLevel="0" collapsed="false">
      <c r="A2858" s="1" t="s">
        <v>937</v>
      </c>
      <c r="B2858" s="0" t="s">
        <v>98</v>
      </c>
      <c r="E2858" s="6" t="n">
        <f aca="false">Q!M38-Sens!E2776</f>
        <v>25.4896752183333</v>
      </c>
      <c r="F2858" s="6" t="n">
        <f aca="false">Sens!E2858*(1-1/life_nonai)+Sens!F2864/life_nonai</f>
        <v>26.4836424194562</v>
      </c>
      <c r="G2858" s="6" t="n">
        <f aca="false">Sens!F2858*(1-1/life_nonai)+Sens!G2864/life_nonai</f>
        <v>27.9055675345495</v>
      </c>
      <c r="H2858" s="6" t="n">
        <f aca="false">Sens!G2858*(1-1/life_nonai)+Sens!H2864/life_nonai</f>
        <v>29.7211621455036</v>
      </c>
      <c r="I2858" s="6" t="n">
        <f aca="false">Sens!H2858*(1-1/life_nonai)+Sens!I2864/life_nonai</f>
        <v>31.8713859621176</v>
      </c>
      <c r="J2858" s="6" t="n">
        <f aca="false">Sens!I2858*(1-1/life_nonai)+Sens!J2864/life_nonai</f>
        <v>34.2798386909432</v>
      </c>
      <c r="K2858" s="6" t="n">
        <f aca="false">Sens!J2858*(1-1/life_nonai)+Sens!K2864/life_nonai</f>
        <v>36.8612250960483</v>
      </c>
      <c r="L2858" s="11" t="s">
        <v>938</v>
      </c>
    </row>
    <row r="2859" customFormat="false" ht="17.15" hidden="false" customHeight="false" outlineLevel="0" collapsed="false">
      <c r="A2859" s="1" t="s">
        <v>939</v>
      </c>
      <c r="B2859" s="0" t="s">
        <v>98</v>
      </c>
      <c r="E2859" s="6" t="n">
        <f aca="false">Sens!E2776+Sens!E2858</f>
        <v>38.534</v>
      </c>
      <c r="F2859" s="6" t="n">
        <f aca="false">Sens!F2776+Sens!F2858</f>
        <v>57.0989149969927</v>
      </c>
      <c r="G2859" s="6" t="n">
        <f aca="false">Sens!G2776+Sens!G2858</f>
        <v>81.9566425685025</v>
      </c>
      <c r="H2859" s="6" t="n">
        <f aca="false">Sens!H2776+Sens!H2858</f>
        <v>105.560703365696</v>
      </c>
      <c r="I2859" s="6" t="n">
        <f aca="false">Sens!I2776+Sens!I2858</f>
        <v>127.106706373576</v>
      </c>
      <c r="J2859" s="6" t="n">
        <f aca="false">Sens!J2776+Sens!J2858</f>
        <v>143.272495854757</v>
      </c>
      <c r="K2859" s="6" t="n">
        <f aca="false">Sens!K2776+Sens!K2858</f>
        <v>154.225030965308</v>
      </c>
    </row>
    <row r="2860" customFormat="false" ht="17.15" hidden="false" customHeight="false" outlineLevel="0" collapsed="false">
      <c r="A2860" s="1" t="s">
        <v>940</v>
      </c>
      <c r="B2860" s="0" t="s">
        <v>98</v>
      </c>
      <c r="F2860" s="6" t="n">
        <f aca="false">Sens!F2803*sbc_r</f>
        <v>14.7102349124428</v>
      </c>
      <c r="G2860" s="6" t="n">
        <f aca="false">Sens!G2803*sbc_r</f>
        <v>17.061233875013</v>
      </c>
      <c r="H2860" s="6" t="n">
        <f aca="false">Sens!H2803*sbc_r</f>
        <v>19.2644849659525</v>
      </c>
      <c r="I2860" s="6" t="n">
        <f aca="false">Sens!I2803*sbc_r</f>
        <v>21.5744080153289</v>
      </c>
      <c r="J2860" s="6" t="n">
        <f aca="false">Sens!J2803*sbc_r</f>
        <v>23.5181093264201</v>
      </c>
      <c r="K2860" s="6" t="n">
        <f aca="false">Sens!K2803*sbc_r</f>
        <v>25.1065659025522</v>
      </c>
    </row>
    <row r="2861" customFormat="false" ht="17.15" hidden="false" customHeight="false" outlineLevel="0" collapsed="false">
      <c r="A2861" s="1" t="s">
        <v>941</v>
      </c>
      <c r="B2861" s="0" t="s">
        <v>98</v>
      </c>
      <c r="F2861" s="6" t="n">
        <f aca="false">wc27</f>
        <v>-4.895</v>
      </c>
      <c r="G2861" s="6" t="n">
        <f aca="false">wc_f</f>
        <v>0</v>
      </c>
      <c r="H2861" s="6" t="n">
        <f aca="false">wc_f</f>
        <v>0</v>
      </c>
      <c r="I2861" s="6" t="n">
        <f aca="false">wc_f</f>
        <v>0</v>
      </c>
      <c r="J2861" s="6" t="n">
        <f aca="false">wc_f</f>
        <v>0</v>
      </c>
      <c r="K2861" s="6" t="n">
        <f aca="false">wc_f</f>
        <v>0</v>
      </c>
      <c r="L2861" s="11" t="s">
        <v>942</v>
      </c>
    </row>
    <row r="2862" customFormat="false" ht="15" hidden="false" customHeight="false" outlineLevel="0" collapsed="false">
      <c r="A2862" s="1" t="s">
        <v>756</v>
      </c>
      <c r="B2862" s="0" t="s">
        <v>98</v>
      </c>
      <c r="E2862" s="6" t="n">
        <f aca="false">Q!M35</f>
        <v>182.935</v>
      </c>
      <c r="F2862" s="6" t="n">
        <f aca="false">Sens!F2857+Sens!F2859+Sens!F2860+Sens!F2861</f>
        <v>205.298203956829</v>
      </c>
      <c r="G2862" s="6" t="n">
        <f aca="false">Sens!G2857+Sens!G2859+Sens!G2860+Sens!G2861</f>
        <v>247.220215048156</v>
      </c>
      <c r="H2862" s="6" t="n">
        <f aca="false">Sens!H2857+Sens!H2859+Sens!H2860+Sens!H2861</f>
        <v>280.993006879524</v>
      </c>
      <c r="I2862" s="6" t="n">
        <f aca="false">Sens!I2857+Sens!I2859+Sens!I2860+Sens!I2861</f>
        <v>318.324032459394</v>
      </c>
      <c r="J2862" s="6" t="n">
        <f aca="false">Sens!J2857+Sens!J2859+Sens!J2860+Sens!J2861</f>
        <v>349.468024562934</v>
      </c>
      <c r="K2862" s="6" t="n">
        <f aca="false">Sens!K2857+Sens!K2859+Sens!K2860+Sens!K2861</f>
        <v>374.796431829197</v>
      </c>
    </row>
    <row r="2863" customFormat="false" ht="17.15" hidden="false" customHeight="false" outlineLevel="0" collapsed="false">
      <c r="A2863" s="0" t="s">
        <v>943</v>
      </c>
      <c r="B2863" s="0" t="s">
        <v>98</v>
      </c>
      <c r="F2863" s="6" t="n">
        <f aca="false">Sens!F2773</f>
        <v>168.770652770438</v>
      </c>
      <c r="G2863" s="6" t="n">
        <f aca="false">Sens!G2773</f>
        <v>146.85934438656</v>
      </c>
      <c r="H2863" s="6" t="n">
        <f aca="false">Sens!H2773</f>
        <v>150.46422872832</v>
      </c>
      <c r="I2863" s="6" t="n">
        <f aca="false">Sens!I2773</f>
        <v>130.965335323396</v>
      </c>
      <c r="J2863" s="6" t="n">
        <f aca="false">Sens!J2773</f>
        <v>99.6099813744724</v>
      </c>
      <c r="K2863" s="6" t="n">
        <f aca="false">Sens!K2773</f>
        <v>91.9675485135489</v>
      </c>
    </row>
    <row r="2864" customFormat="false" ht="17.15" hidden="false" customHeight="false" outlineLevel="0" collapsed="false">
      <c r="A2864" s="1" t="s">
        <v>944</v>
      </c>
      <c r="B2864" s="0" t="s">
        <v>98</v>
      </c>
      <c r="E2864" s="6" t="n">
        <f aca="false">Sens!E2781*cx_azo+Sens!E2788*cx_m365+Sens!E2789*cx_lic+(Sens!E2791+Sens!E2793)*cx_ind+Sens!E2796*cx_srch+(Sens!E2798+Sens!E2800)*cx_dev</f>
        <v>30.1846587067718</v>
      </c>
      <c r="F2864" s="6" t="n">
        <f aca="false">Sens!F2781*cx_azo+Sens!F2788*cx_m365+Sens!F2789*cx_lic+(Sens!F2791+Sens!F2793)*cx_ind+Sens!F2796*cx_srch+(Sens!F2798+Sens!F2800)*cx_dev</f>
        <v>35.4293472295625</v>
      </c>
      <c r="G2864" s="6" t="n">
        <f aca="false">Sens!G2781*cx_azo+Sens!G2788*cx_m365+Sens!G2789*cx_lic+(Sens!G2791+Sens!G2793)*cx_ind+Sens!G2796*cx_srch+(Sens!G2798+Sens!G2800)*cx_dev</f>
        <v>40.7028935703892</v>
      </c>
      <c r="H2864" s="6" t="n">
        <f aca="false">Sens!H2781*cx_azo+Sens!H2788*cx_m365+Sens!H2789*cx_lic+(Sens!H2791+Sens!H2793)*cx_ind+Sens!H2796*cx_srch+(Sens!H2798+Sens!H2800)*cx_dev</f>
        <v>46.0615136440897</v>
      </c>
      <c r="I2864" s="6" t="n">
        <f aca="false">Sens!I2781*cx_azo+Sens!I2788*cx_m365+Sens!I2789*cx_lic+(Sens!I2791+Sens!I2793)*cx_ind+Sens!I2796*cx_srch+(Sens!I2798+Sens!I2800)*cx_dev</f>
        <v>51.2234003116439</v>
      </c>
      <c r="J2864" s="6" t="n">
        <f aca="false">Sens!J2781*cx_azo+Sens!J2788*cx_m365+Sens!J2789*cx_lic+(Sens!J2791+Sens!J2793)*cx_ind+Sens!J2796*cx_srch+(Sens!J2798+Sens!J2800)*cx_dev</f>
        <v>55.9559132503738</v>
      </c>
      <c r="K2864" s="6" t="n">
        <f aca="false">Sens!K2781*cx_azo+Sens!K2788*cx_m365+Sens!K2789*cx_lic+(Sens!K2791+Sens!K2793)*cx_ind+Sens!K2796*cx_srch+(Sens!K2798+Sens!K2800)*cx_dev</f>
        <v>60.093702741994</v>
      </c>
    </row>
    <row r="2865" customFormat="false" ht="17.15" hidden="false" customHeight="false" outlineLevel="0" collapsed="false">
      <c r="A2865" s="1" t="s">
        <v>945</v>
      </c>
      <c r="B2865" s="0" t="s">
        <v>98</v>
      </c>
      <c r="E2865" s="6" t="n">
        <f aca="false">Q!M42</f>
        <v>145.3</v>
      </c>
      <c r="F2865" s="6" t="n">
        <f aca="false">Sens!F2863+Sens!F2864</f>
        <v>204.2</v>
      </c>
      <c r="G2865" s="6" t="n">
        <f aca="false">Sens!G2863+Sens!G2864</f>
        <v>187.562237956949</v>
      </c>
      <c r="H2865" s="6" t="n">
        <f aca="false">Sens!H2863+Sens!H2864</f>
        <v>196.52574237241</v>
      </c>
      <c r="I2865" s="6" t="n">
        <f aca="false">Sens!I2863+Sens!I2864</f>
        <v>182.18873563504</v>
      </c>
      <c r="J2865" s="6" t="n">
        <f aca="false">Sens!J2863+Sens!J2864</f>
        <v>155.565894624846</v>
      </c>
      <c r="K2865" s="6" t="n">
        <f aca="false">Sens!K2863+Sens!K2864</f>
        <v>152.061251255543</v>
      </c>
      <c r="L2865" s="1" t="s">
        <v>946</v>
      </c>
    </row>
    <row r="2866" customFormat="false" ht="15" hidden="false" customHeight="false" outlineLevel="0" collapsed="false">
      <c r="A2866" s="1" t="s">
        <v>947</v>
      </c>
      <c r="B2866" s="0" t="s">
        <v>98</v>
      </c>
      <c r="E2866" s="6" t="n">
        <f aca="false">fl_liab</f>
        <v>66.594</v>
      </c>
      <c r="F2866" s="6" t="n">
        <f aca="false">Sens!E2866-Sens!F2867</f>
        <v>62.46973</v>
      </c>
      <c r="G2866" s="6" t="n">
        <f aca="false">Sens!F2866-Sens!G2867</f>
        <v>57.98686785</v>
      </c>
      <c r="H2866" s="6" t="n">
        <f aca="false">Sens!G2866-Sens!H2867</f>
        <v>53.92827690325</v>
      </c>
      <c r="I2866" s="6" t="n">
        <f aca="false">Sens!H2866-Sens!I2867</f>
        <v>49.7850493638962</v>
      </c>
      <c r="J2866" s="6" t="n">
        <f aca="false">Sens!I2866-Sens!J2867</f>
        <v>45.4823765852716</v>
      </c>
      <c r="K2866" s="6" t="n">
        <f aca="false">Sens!J2866-Sens!K2867</f>
        <v>40.9860835316088</v>
      </c>
    </row>
    <row r="2867" customFormat="false" ht="15" hidden="false" customHeight="false" outlineLevel="0" collapsed="false">
      <c r="A2867" s="1" t="s">
        <v>948</v>
      </c>
      <c r="B2867" s="0" t="s">
        <v>98</v>
      </c>
      <c r="F2867" s="6" t="n">
        <f aca="false">fl_pay_27-Sens!E2866*fl_rate</f>
        <v>4.12427</v>
      </c>
      <c r="G2867" s="6" t="n">
        <f aca="false">fl_pay_28-Sens!F2866*fl_rate</f>
        <v>4.48286215</v>
      </c>
      <c r="H2867" s="6" t="n">
        <f aca="false">fl_pay_29-Sens!G2866*fl_rate</f>
        <v>4.05859094675</v>
      </c>
      <c r="I2867" s="6" t="n">
        <f aca="false">fl_pay_30-Sens!H2866*fl_rate</f>
        <v>4.14322753935375</v>
      </c>
      <c r="J2867" s="6" t="n">
        <f aca="false">fl_pay_31-Sens!I2866*fl_rate</f>
        <v>4.30267277862467</v>
      </c>
      <c r="K2867" s="6" t="n">
        <f aca="false">fl_pay_32-Sens!J2866*fl_rate</f>
        <v>4.49629305366278</v>
      </c>
    </row>
    <row r="2868" customFormat="false" ht="17.15" hidden="false" customHeight="false" outlineLevel="0" collapsed="false">
      <c r="A2868" s="1" t="s">
        <v>949</v>
      </c>
      <c r="B2868" s="0" t="s">
        <v>98</v>
      </c>
      <c r="E2868" s="6" t="n">
        <f aca="false">Q!M35-Q!M36-Q!M43</f>
        <v>63.886</v>
      </c>
      <c r="F2868" s="6" t="n">
        <f aca="false">Sens!F2862-Sens!F2865-Sens!F2867</f>
        <v>-3.02606604317064</v>
      </c>
      <c r="G2868" s="6" t="n">
        <f aca="false">Sens!G2862-Sens!G2865-Sens!G2867</f>
        <v>55.1751149412072</v>
      </c>
      <c r="H2868" s="6" t="n">
        <f aca="false">Sens!H2862-Sens!H2865-Sens!H2867</f>
        <v>80.4086735603641</v>
      </c>
      <c r="I2868" s="6" t="n">
        <f aca="false">Sens!I2862-Sens!I2865-Sens!I2867</f>
        <v>131.992069285</v>
      </c>
      <c r="J2868" s="6" t="n">
        <f aca="false">Sens!J2862-Sens!J2865-Sens!J2867</f>
        <v>189.599457159463</v>
      </c>
      <c r="K2868" s="6" t="n">
        <f aca="false">Sens!K2862-Sens!K2865-Sens!K2867</f>
        <v>218.238887519991</v>
      </c>
      <c r="L2868" s="11" t="s">
        <v>950</v>
      </c>
    </row>
    <row r="2869" customFormat="false" ht="15" hidden="false" customHeight="false" outlineLevel="0" collapsed="false">
      <c r="A2869" s="1" t="s">
        <v>951</v>
      </c>
      <c r="B2869" s="0" t="s">
        <v>75</v>
      </c>
      <c r="F2869" s="8" t="n">
        <f aca="false">dps_27</f>
        <v>3.85</v>
      </c>
      <c r="G2869" s="8" t="n">
        <f aca="false">Sens!F2869*(1+dps_g)</f>
        <v>4.158</v>
      </c>
      <c r="H2869" s="8" t="n">
        <f aca="false">Sens!G2869*(1+dps_g)</f>
        <v>4.49064</v>
      </c>
      <c r="I2869" s="8" t="n">
        <f aca="false">Sens!H2869*(1+dps_g)</f>
        <v>4.8498912</v>
      </c>
      <c r="J2869" s="8" t="n">
        <f aca="false">Sens!I2869*(1+dps_g)</f>
        <v>5.237882496</v>
      </c>
      <c r="K2869" s="8" t="n">
        <f aca="false">Sens!J2869*(1+dps_g)</f>
        <v>5.65691309568</v>
      </c>
    </row>
    <row r="2870" customFormat="false" ht="17.15" hidden="false" customHeight="false" outlineLevel="0" collapsed="false">
      <c r="A2870" s="1" t="s">
        <v>952</v>
      </c>
      <c r="B2870" s="0" t="s">
        <v>98</v>
      </c>
      <c r="E2870" s="6" t="n">
        <f aca="false">Q!M41</f>
        <v>26.445</v>
      </c>
      <c r="F2870" s="6" t="n">
        <f aca="false">Sens!F2869*Sens!E2879</f>
        <v>28.59395</v>
      </c>
      <c r="G2870" s="6" t="n">
        <f aca="false">Sens!G2869*Sens!F2879</f>
        <v>31.068576</v>
      </c>
      <c r="H2870" s="6" t="n">
        <f aca="false">Sens!H2869*Sens!G2879</f>
        <v>33.5888350159995</v>
      </c>
      <c r="I2870" s="6" t="n">
        <f aca="false">Sens!I2869*Sens!H2879</f>
        <v>36.3268810572789</v>
      </c>
      <c r="J2870" s="6" t="n">
        <f aca="false">Sens!J2869*Sens!I2879</f>
        <v>39.3014303901806</v>
      </c>
      <c r="K2870" s="6" t="n">
        <f aca="false">Sens!K2869*Sens!J2879</f>
        <v>42.5328000467001</v>
      </c>
      <c r="L2870" s="1" t="s">
        <v>953</v>
      </c>
    </row>
    <row r="2871" customFormat="false" ht="15" hidden="false" customHeight="false" outlineLevel="0" collapsed="false">
      <c r="A2871" s="1" t="s">
        <v>954</v>
      </c>
      <c r="B2871" s="0" t="s">
        <v>98</v>
      </c>
      <c r="E2871" s="6" t="n">
        <f aca="false">Sens!E2868-Sens!E2870</f>
        <v>37.441</v>
      </c>
      <c r="F2871" s="6" t="n">
        <f aca="false">Sens!F2868-Sens!F2870</f>
        <v>-31.6200160431706</v>
      </c>
      <c r="G2871" s="6" t="n">
        <f aca="false">Sens!G2868-Sens!G2870</f>
        <v>24.1065389412072</v>
      </c>
      <c r="H2871" s="6" t="n">
        <f aca="false">Sens!H2868-Sens!H2870</f>
        <v>46.8198385443647</v>
      </c>
      <c r="I2871" s="6" t="n">
        <f aca="false">Sens!I2868-Sens!I2870</f>
        <v>95.6651882277211</v>
      </c>
      <c r="J2871" s="6" t="n">
        <f aca="false">Sens!J2868-Sens!J2870</f>
        <v>150.298026769283</v>
      </c>
      <c r="K2871" s="6" t="n">
        <f aca="false">Sens!K2868-Sens!K2870</f>
        <v>175.706087473291</v>
      </c>
    </row>
    <row r="2872" customFormat="false" ht="15" hidden="false" customHeight="false" outlineLevel="0" collapsed="false">
      <c r="A2872" s="1" t="s">
        <v>955</v>
      </c>
      <c r="B2872" s="0" t="s">
        <v>98</v>
      </c>
      <c r="F2872" s="6" t="n">
        <f aca="false">debt_mat_27</f>
        <v>9.25</v>
      </c>
      <c r="G2872" s="6" t="n">
        <f aca="false">debt_mat_28</f>
        <v>0</v>
      </c>
      <c r="H2872" s="6" t="n">
        <f aca="false">debt_mat_29</f>
        <v>2.001</v>
      </c>
      <c r="I2872" s="6" t="n">
        <f aca="false">debt_mat_30</f>
        <v>0</v>
      </c>
      <c r="J2872" s="6" t="n">
        <f aca="false">debt_mat_31</f>
        <v>0.5</v>
      </c>
      <c r="K2872" s="6" t="n">
        <f aca="false">debt_mat_32</f>
        <v>0</v>
      </c>
    </row>
    <row r="2873" customFormat="false" ht="15" hidden="false" customHeight="false" outlineLevel="0" collapsed="false">
      <c r="A2873" s="1" t="s">
        <v>956</v>
      </c>
      <c r="B2873" s="0" t="s">
        <v>98</v>
      </c>
      <c r="E2873" s="6" t="n">
        <f aca="false">Q!M40</f>
        <v>22.271</v>
      </c>
      <c r="F2873" s="6" t="n">
        <f aca="false">MAX(0,MIN(bb_target,Sens!E2875+Sens!F2871-Sens!F2872-min_cash))</f>
        <v>0</v>
      </c>
      <c r="G2873" s="6" t="n">
        <f aca="false">MAX(0,MIN(bb_target,Sens!F2875+Sens!G2871-Sens!G2872-min_cash))</f>
        <v>22.271</v>
      </c>
      <c r="H2873" s="6" t="n">
        <f aca="false">MAX(0,MIN(bb_target,Sens!G2875+Sens!H2871-Sens!H2872-min_cash))</f>
        <v>22.271</v>
      </c>
      <c r="I2873" s="6" t="n">
        <f aca="false">MAX(0,MIN(bb_target,Sens!H2875+Sens!I2871-Sens!I2872-min_cash))</f>
        <v>22.271</v>
      </c>
      <c r="J2873" s="6" t="n">
        <f aca="false">MAX(0,MIN(bb_target,Sens!I2875+Sens!J2871-Sens!J2872-min_cash))</f>
        <v>22.271</v>
      </c>
      <c r="K2873" s="6" t="n">
        <f aca="false">MAX(0,MIN(bb_target,Sens!J2875+Sens!K2871-Sens!K2872-min_cash))</f>
        <v>22.271</v>
      </c>
    </row>
    <row r="2874" customFormat="false" ht="15" hidden="false" customHeight="false" outlineLevel="0" collapsed="false">
      <c r="A2874" s="1" t="s">
        <v>957</v>
      </c>
      <c r="B2874" s="0" t="s">
        <v>98</v>
      </c>
      <c r="F2874" s="6" t="n">
        <f aca="false">MAX(0,min_cash-(Sens!E2875+Sens!F2871-Sens!F2872-Sens!F2873))</f>
        <v>14.0270160431706</v>
      </c>
      <c r="G2874" s="6" t="n">
        <f aca="false">MAX(0,min_cash-(Sens!F2875+Sens!G2871-Sens!G2872-Sens!G2873))</f>
        <v>0</v>
      </c>
      <c r="H2874" s="6" t="n">
        <f aca="false">MAX(0,min_cash-(Sens!G2875+Sens!H2871-Sens!H2872-Sens!H2873))</f>
        <v>0</v>
      </c>
      <c r="I2874" s="6" t="n">
        <f aca="false">MAX(0,min_cash-(Sens!H2875+Sens!I2871-Sens!I2872-Sens!I2873))</f>
        <v>0</v>
      </c>
      <c r="J2874" s="6" t="n">
        <f aca="false">MAX(0,min_cash-(Sens!I2875+Sens!J2871-Sens!J2872-Sens!J2873))</f>
        <v>0</v>
      </c>
      <c r="K2874" s="6" t="n">
        <f aca="false">MAX(0,min_cash-(Sens!J2875+Sens!K2871-Sens!K2872-Sens!K2873))</f>
        <v>0</v>
      </c>
    </row>
    <row r="2875" customFormat="false" ht="15" hidden="false" customHeight="false" outlineLevel="0" collapsed="false">
      <c r="A2875" s="1" t="s">
        <v>958</v>
      </c>
      <c r="B2875" s="0" t="s">
        <v>98</v>
      </c>
      <c r="E2875" s="6" t="n">
        <f aca="false">cash_open</f>
        <v>76.843</v>
      </c>
      <c r="F2875" s="6" t="n">
        <f aca="false">Sens!E2875+Sens!F2871-Sens!F2872-Sens!F2873+Sens!F2874</f>
        <v>50</v>
      </c>
      <c r="G2875" s="6" t="n">
        <f aca="false">Sens!F2875+Sens!G2871-Sens!G2872-Sens!G2873+Sens!G2874</f>
        <v>51.8355389412073</v>
      </c>
      <c r="H2875" s="6" t="n">
        <f aca="false">Sens!G2875+Sens!H2871-Sens!H2872-Sens!H2873+Sens!H2874</f>
        <v>74.3833774855719</v>
      </c>
      <c r="I2875" s="6" t="n">
        <f aca="false">Sens!H2875+Sens!I2871-Sens!I2872-Sens!I2873+Sens!I2874</f>
        <v>147.777565713293</v>
      </c>
      <c r="J2875" s="6" t="n">
        <f aca="false">Sens!I2875+Sens!J2871-Sens!J2872-Sens!J2873+Sens!J2874</f>
        <v>275.304592482576</v>
      </c>
      <c r="K2875" s="6" t="n">
        <f aca="false">Sens!J2875+Sens!K2871-Sens!K2872-Sens!K2873+Sens!K2874</f>
        <v>428.739679955866</v>
      </c>
    </row>
    <row r="2876" customFormat="false" ht="15" hidden="false" customHeight="false" outlineLevel="0" collapsed="false">
      <c r="A2876" s="1" t="s">
        <v>959</v>
      </c>
      <c r="B2876" s="0" t="s">
        <v>98</v>
      </c>
      <c r="E2876" s="6" t="n">
        <f aca="false">debt_face</f>
        <v>46.136</v>
      </c>
      <c r="F2876" s="6" t="n">
        <f aca="false">Sens!E2876-Sens!F2872+Sens!F2874</f>
        <v>50.9130160431706</v>
      </c>
      <c r="G2876" s="6" t="n">
        <f aca="false">Sens!F2876-Sens!G2872+Sens!G2874</f>
        <v>50.9130160431706</v>
      </c>
      <c r="H2876" s="6" t="n">
        <f aca="false">Sens!G2876-Sens!H2872+Sens!H2874</f>
        <v>48.9120160431706</v>
      </c>
      <c r="I2876" s="6" t="n">
        <f aca="false">Sens!H2876-Sens!I2872+Sens!I2874</f>
        <v>48.9120160431706</v>
      </c>
      <c r="J2876" s="6" t="n">
        <f aca="false">Sens!I2876-Sens!J2872+Sens!J2874</f>
        <v>48.4120160431706</v>
      </c>
      <c r="K2876" s="6" t="n">
        <f aca="false">Sens!J2876-Sens!K2872+Sens!K2874</f>
        <v>48.4120160431706</v>
      </c>
    </row>
    <row r="2877" customFormat="false" ht="15" hidden="false" customHeight="false" outlineLevel="0" collapsed="false">
      <c r="A2877" s="1" t="s">
        <v>960</v>
      </c>
      <c r="B2877" s="0" t="s">
        <v>98</v>
      </c>
      <c r="E2877" s="6" t="n">
        <f aca="false">Sens!E2875-Sens!E2876</f>
        <v>30.707</v>
      </c>
      <c r="F2877" s="6" t="n">
        <f aca="false">Sens!F2875-Sens!F2876</f>
        <v>-0.913016043170636</v>
      </c>
      <c r="G2877" s="6" t="n">
        <f aca="false">Sens!G2875-Sens!G2876</f>
        <v>0.922522898036611</v>
      </c>
      <c r="H2877" s="6" t="n">
        <f aca="false">Sens!H2875-Sens!H2876</f>
        <v>25.4713614424013</v>
      </c>
      <c r="I2877" s="6" t="n">
        <f aca="false">Sens!I2875-Sens!I2876</f>
        <v>98.8655496701224</v>
      </c>
      <c r="J2877" s="6" t="n">
        <f aca="false">Sens!J2875-Sens!J2876</f>
        <v>226.892576439405</v>
      </c>
      <c r="K2877" s="6" t="n">
        <f aca="false">Sens!K2875-Sens!K2876</f>
        <v>380.327663912696</v>
      </c>
    </row>
    <row r="2878" customFormat="false" ht="15" hidden="false" customHeight="false" outlineLevel="0" collapsed="false">
      <c r="A2878" s="1" t="s">
        <v>961</v>
      </c>
      <c r="B2878" s="0" t="s">
        <v>75</v>
      </c>
      <c r="F2878" s="29" t="n">
        <f aca="false">px*(1+bb_g)^(Sens!F2742-base_fy-mid_yr)</f>
        <v>553.494156066711</v>
      </c>
      <c r="G2878" s="29" t="n">
        <f aca="false">px*(1+bb_g)^(Sens!G2742-base_fy-mid_yr)</f>
        <v>597.773688552047</v>
      </c>
      <c r="H2878" s="29" t="n">
        <f aca="false">px*(1+bb_g)^(Sens!H2742-base_fy-mid_yr)</f>
        <v>645.595583636211</v>
      </c>
      <c r="I2878" s="29" t="n">
        <f aca="false">px*(1+bb_g)^(Sens!I2742-base_fy-mid_yr)</f>
        <v>697.243230327108</v>
      </c>
      <c r="J2878" s="29" t="n">
        <f aca="false">px*(1+bb_g)^(Sens!J2742-base_fy-mid_yr)</f>
        <v>753.022688753277</v>
      </c>
      <c r="K2878" s="29" t="n">
        <f aca="false">px*(1+bb_g)^(Sens!K2742-base_fy-mid_yr)</f>
        <v>813.264503853539</v>
      </c>
    </row>
    <row r="2879" customFormat="false" ht="15" hidden="false" customHeight="false" outlineLevel="0" collapsed="false">
      <c r="A2879" s="1" t="s">
        <v>962</v>
      </c>
      <c r="B2879" s="1" t="s">
        <v>81</v>
      </c>
      <c r="E2879" s="14" t="n">
        <f aca="false">sh_out26</f>
        <v>7.427</v>
      </c>
      <c r="F2879" s="14" t="n">
        <f aca="false">Sens!E2879+sh_iss-Sens!F2873/Sens!F2878</f>
        <v>7.472</v>
      </c>
      <c r="G2879" s="14" t="n">
        <f aca="false">Sens!F2879+sh_iss-Sens!G2873/Sens!G2878</f>
        <v>7.47974342543589</v>
      </c>
      <c r="H2879" s="14" t="n">
        <f aca="false">Sens!G2879+sh_iss-Sens!H2873/Sens!H2878</f>
        <v>7.4902465971358</v>
      </c>
      <c r="I2879" s="14" t="n">
        <f aca="false">Sens!H2879+sh_iss-Sens!I2873/Sens!I2878</f>
        <v>7.50330508945052</v>
      </c>
      <c r="J2879" s="14" t="n">
        <f aca="false">Sens!I2879+sh_iss-Sens!J2873/Sens!J2878</f>
        <v>7.51872961937156</v>
      </c>
      <c r="K2879" s="14" t="n">
        <f aca="false">Sens!J2879+sh_iss-Sens!K2873/Sens!K2878</f>
        <v>7.53634492485401</v>
      </c>
    </row>
    <row r="2880" customFormat="false" ht="15" hidden="false" customHeight="false" outlineLevel="0" collapsed="false">
      <c r="A2880" s="1" t="s">
        <v>963</v>
      </c>
      <c r="B2880" s="1" t="s">
        <v>81</v>
      </c>
      <c r="E2880" s="14" t="n">
        <f aca="false">sh_dil26</f>
        <v>7.453</v>
      </c>
      <c r="F2880" s="14" t="n">
        <f aca="false">(Sens!E2879+Sens!F2879)/2+dil_gap</f>
        <v>7.4735</v>
      </c>
      <c r="G2880" s="14" t="n">
        <f aca="false">(Sens!F2879+Sens!G2879)/2+dil_gap</f>
        <v>7.49987171271795</v>
      </c>
      <c r="H2880" s="14" t="n">
        <f aca="false">(Sens!G2879+Sens!H2879)/2+dil_gap</f>
        <v>7.50899501128585</v>
      </c>
      <c r="I2880" s="14" t="n">
        <f aca="false">(Sens!H2879+Sens!I2879)/2+dil_gap</f>
        <v>7.52077584329316</v>
      </c>
      <c r="J2880" s="14" t="n">
        <f aca="false">(Sens!I2879+Sens!J2879)/2+dil_gap</f>
        <v>7.53501735441104</v>
      </c>
      <c r="K2880" s="14" t="n">
        <f aca="false">(Sens!J2879+Sens!K2879)/2+dil_gap</f>
        <v>7.55153727211278</v>
      </c>
    </row>
    <row r="2881" customFormat="false" ht="17.15" hidden="false" customHeight="false" outlineLevel="0" collapsed="false">
      <c r="A2881" s="1" t="s">
        <v>964</v>
      </c>
      <c r="B2881" s="0" t="s">
        <v>98</v>
      </c>
      <c r="C2881" s="6" t="n">
        <f aca="false">SUM(Sens!F2871:J2871)</f>
        <v>285.269576439405</v>
      </c>
    </row>
    <row r="2882" customFormat="false" ht="15" hidden="false" customHeight="false" outlineLevel="0" collapsed="false">
      <c r="A2882" s="23" t="s">
        <v>935</v>
      </c>
      <c r="B2882" s="30" t="s">
        <v>98</v>
      </c>
      <c r="C2882" s="24" t="n">
        <f aca="false">Sens!$C$2881-(Sens!F2871+Sens!G2871+Sens!H2871+Sens!I2871+Sens!J2871)</f>
        <v>0</v>
      </c>
      <c r="D2882" s="30"/>
      <c r="E2882" s="30"/>
      <c r="F2882" s="30"/>
      <c r="G2882" s="30"/>
      <c r="H2882" s="30"/>
      <c r="I2882" s="30"/>
      <c r="J2882" s="30"/>
      <c r="K2882" s="30"/>
    </row>
    <row r="2883" customFormat="false" ht="17.15" hidden="false" customHeight="false" outlineLevel="0" collapsed="false">
      <c r="A2883" s="1" t="s">
        <v>929</v>
      </c>
      <c r="B2883" s="1" t="s">
        <v>965</v>
      </c>
      <c r="C2883" s="32" t="str">
        <f aca="false">IF(SUM(Sens!F2874:J2874)&gt;0.05,"需要舉債 "&amp;TEXT(SUM(Sens!F2874:J2874),"0.0")&amp;" 十億美元","不需舉債")&amp;"；"&amp;IF(SUM(Sens!F2873:J2873)&lt;COUNT(Sens!F2873:J2873)*bb_target-0.05,"回購較每年 "&amp;TEXT(bb_target,"0.0")&amp;" 的目標少 "&amp;TEXT(COUNT(Sens!F2873:J2873)*bb_target-SUM(Sens!F2873:J2873),"0.0")&amp;" 十億美元（"&amp;TEXT(COUNTIF(Sens!F2873:J2873,"&lt;"&amp;(bb_target-0.05)),"0")&amp;" 年減少）","回購不減")</f>
        <v>需要舉債 14.0 十億美元；回購較每年 22.3 的目標少 22.3 十億美元（1 年減少）</v>
      </c>
    </row>
    <row r="2884" customFormat="false" ht="17.15" hidden="false" customHeight="false" outlineLevel="0" collapsed="false">
      <c r="A2884" s="3" t="s">
        <v>1308</v>
      </c>
    </row>
    <row r="2885" customFormat="false" ht="15" hidden="false" customHeight="false" outlineLevel="0" collapsed="false">
      <c r="A2885" s="4" t="s">
        <v>43</v>
      </c>
      <c r="B2885" s="4" t="s">
        <v>65</v>
      </c>
      <c r="C2885" s="20" t="s">
        <v>788</v>
      </c>
      <c r="D2885" s="20" t="s">
        <v>789</v>
      </c>
      <c r="E2885" s="20" t="s">
        <v>790</v>
      </c>
      <c r="F2885" s="20" t="s">
        <v>791</v>
      </c>
      <c r="G2885" s="20" t="s">
        <v>792</v>
      </c>
      <c r="H2885" s="20" t="s">
        <v>793</v>
      </c>
      <c r="I2885" s="20" t="s">
        <v>794</v>
      </c>
      <c r="J2885" s="20" t="s">
        <v>795</v>
      </c>
      <c r="K2885" s="20" t="s">
        <v>796</v>
      </c>
      <c r="L2885" s="4" t="s">
        <v>47</v>
      </c>
    </row>
    <row r="2886" customFormat="false" ht="15" hidden="false" customHeight="false" outlineLevel="0" collapsed="false">
      <c r="A2886" s="1" t="s">
        <v>1042</v>
      </c>
      <c r="B2886" s="1" t="s">
        <v>235</v>
      </c>
      <c r="F2886" s="36" t="n">
        <f aca="false">Sens!F2742-base_fy-mid_yr</f>
        <v>0.5</v>
      </c>
      <c r="G2886" s="36" t="n">
        <f aca="false">Sens!G2742-base_fy-mid_yr</f>
        <v>1.5</v>
      </c>
      <c r="H2886" s="36" t="n">
        <f aca="false">Sens!H2742-base_fy-mid_yr</f>
        <v>2.5</v>
      </c>
      <c r="I2886" s="36" t="n">
        <f aca="false">Sens!I2742-base_fy-mid_yr</f>
        <v>3.5</v>
      </c>
      <c r="J2886" s="36" t="n">
        <f aca="false">Sens!J2742-base_fy-mid_yr</f>
        <v>4.5</v>
      </c>
      <c r="K2886" s="36" t="n">
        <f aca="false">Sens!K2742-base_fy-mid_yr</f>
        <v>5.5</v>
      </c>
    </row>
    <row r="2887" customFormat="false" ht="15" hidden="false" customHeight="false" outlineLevel="0" collapsed="false">
      <c r="A2887" s="1" t="s">
        <v>1043</v>
      </c>
      <c r="B2887" s="0" t="s">
        <v>185</v>
      </c>
      <c r="F2887" s="14" t="n">
        <f aca="false">1/(1+wacc)^Sens!F2886</f>
        <v>0.952193373608246</v>
      </c>
      <c r="G2887" s="14" t="n">
        <f aca="false">1/(1+wacc)^Sens!G2886</f>
        <v>0.863327280626589</v>
      </c>
      <c r="H2887" s="14" t="n">
        <f aca="false">1/(1+wacc)^Sens!H2886</f>
        <v>0.782754862754115</v>
      </c>
      <c r="I2887" s="14" t="n">
        <f aca="false">1/(1+wacc)^Sens!I2886</f>
        <v>0.709702089711011</v>
      </c>
      <c r="J2887" s="14" t="n">
        <f aca="false">1/(1+wacc)^Sens!J2886</f>
        <v>0.643467169744551</v>
      </c>
      <c r="K2887" s="14" t="n">
        <f aca="false">1/(1+wacc)^Sens!K2886</f>
        <v>0.583413807767797</v>
      </c>
    </row>
    <row r="2888" customFormat="false" ht="17.15" hidden="false" customHeight="false" outlineLevel="0" collapsed="false">
      <c r="A2888" s="1" t="s">
        <v>1044</v>
      </c>
      <c r="B2888" s="0" t="s">
        <v>98</v>
      </c>
      <c r="F2888" s="6" t="n">
        <f aca="false">Sens!F2862-Sens!F2860-Sens!F2865+Sens!F2846*(1-tax_f)</f>
        <v>-7.52234641509494</v>
      </c>
      <c r="G2888" s="6" t="n">
        <f aca="false">Sens!G2862-Sens!G2860-Sens!G2865+Sens!G2846*(1-tax_f)</f>
        <v>54.815281181357</v>
      </c>
      <c r="H2888" s="6" t="n">
        <f aca="false">Sens!H2862-Sens!H2860-Sens!H2865+Sens!H2846*(1-tax_f)</f>
        <v>84.0911533681487</v>
      </c>
      <c r="I2888" s="6" t="n">
        <f aca="false">Sens!I2862-Sens!I2860-Sens!I2865+Sens!I2846*(1-tax_f)</f>
        <v>139.538186102727</v>
      </c>
      <c r="J2888" s="6" t="n">
        <f aca="false">Sens!J2862-Sens!J2860-Sens!J2865+Sens!J2846*(1-tax_f)</f>
        <v>199.631134733828</v>
      </c>
      <c r="K2888" s="6" t="n">
        <f aca="false">Sens!K2862-Sens!K2860-Sens!K2865+Sens!K2846*(1-tax_f)</f>
        <v>229.256961256882</v>
      </c>
      <c r="L2888" s="1" t="s">
        <v>1045</v>
      </c>
    </row>
    <row r="2889" customFormat="false" ht="15" hidden="false" customHeight="false" outlineLevel="0" collapsed="false">
      <c r="A2889" s="1" t="s">
        <v>1046</v>
      </c>
      <c r="B2889" s="0" t="s">
        <v>98</v>
      </c>
      <c r="F2889" s="6" t="n">
        <f aca="false">Sens!F2888*Sens!F2887</f>
        <v>-7.16272841043914</v>
      </c>
      <c r="G2889" s="6" t="n">
        <f aca="false">Sens!G2888*Sens!G2887</f>
        <v>47.3235276390827</v>
      </c>
      <c r="H2889" s="6" t="n">
        <f aca="false">Sens!H2888*Sens!H2887</f>
        <v>65.8227592135205</v>
      </c>
      <c r="I2889" s="6" t="n">
        <f aca="false">Sens!I2888*Sens!I2887</f>
        <v>99.0305422715893</v>
      </c>
      <c r="J2889" s="6" t="n">
        <f aca="false">Sens!J2888*Sens!J2887</f>
        <v>128.45608126007</v>
      </c>
      <c r="K2889" s="6" t="n">
        <f aca="false">Sens!K2888*Sens!K2887</f>
        <v>133.751676724152</v>
      </c>
    </row>
    <row r="2890" customFormat="false" ht="17.15" hidden="false" customHeight="false" outlineLevel="0" collapsed="false">
      <c r="A2890" s="1" t="s">
        <v>1047</v>
      </c>
      <c r="B2890" s="0" t="s">
        <v>98</v>
      </c>
      <c r="C2890" s="6" t="n">
        <f aca="false">SUM(Sens!F2889:K2889)</f>
        <v>467.221858697975</v>
      </c>
    </row>
    <row r="2891" customFormat="false" ht="17.15" hidden="false" customHeight="false" outlineLevel="0" collapsed="false">
      <c r="A2891" s="1" t="s">
        <v>1048</v>
      </c>
      <c r="B2891" s="0" t="s">
        <v>98</v>
      </c>
      <c r="C2891" s="6" t="n">
        <f aca="false">Sens!K2832*(1+g_tv)*(1-tax_f)</f>
        <v>234.23557699353</v>
      </c>
    </row>
    <row r="2892" customFormat="false" ht="17.15" hidden="false" customHeight="false" outlineLevel="0" collapsed="false">
      <c r="A2892" s="1" t="s">
        <v>1049</v>
      </c>
      <c r="B2892" s="0" t="s">
        <v>98</v>
      </c>
      <c r="C2892" s="6" t="n">
        <f aca="false">Sens!$C$2891*(1-g_tv/(wacc+ronic_prem))</f>
        <v>165.968156790788</v>
      </c>
    </row>
    <row r="2893" customFormat="false" ht="17.15" hidden="false" customHeight="false" outlineLevel="0" collapsed="false">
      <c r="A2893" s="1" t="s">
        <v>1050</v>
      </c>
      <c r="B2893" s="0" t="s">
        <v>98</v>
      </c>
      <c r="C2893" s="6" t="n">
        <f aca="false">Sens!$C$2892/(wacc-g_tv)</f>
        <v>2275.58067342473</v>
      </c>
    </row>
    <row r="2894" customFormat="false" ht="15" hidden="false" customHeight="false" outlineLevel="0" collapsed="false">
      <c r="A2894" s="1" t="s">
        <v>1051</v>
      </c>
      <c r="B2894" s="0" t="s">
        <v>98</v>
      </c>
      <c r="C2894" s="6" t="n">
        <f aca="false">Sens!$C$2893/(1+wacc)^(Sens!K2886+mid_yr)</f>
        <v>1264.13686046344</v>
      </c>
    </row>
    <row r="2895" customFormat="false" ht="17.15" hidden="false" customHeight="false" outlineLevel="0" collapsed="false">
      <c r="A2895" s="0" t="s">
        <v>972</v>
      </c>
      <c r="B2895" s="0" t="s">
        <v>98</v>
      </c>
      <c r="C2895" s="6" t="n">
        <f aca="false">Sens!$C$2890+Sens!$C$2894</f>
        <v>1731.35871916142</v>
      </c>
    </row>
    <row r="2896" customFormat="false" ht="15" hidden="false" customHeight="false" outlineLevel="0" collapsed="false">
      <c r="A2896" s="1" t="s">
        <v>973</v>
      </c>
      <c r="B2896" s="0" t="s">
        <v>129</v>
      </c>
      <c r="C2896" s="7" t="n">
        <f aca="false">Sens!$C$2894/Sens!$C$2895</f>
        <v>0.730141504745895</v>
      </c>
    </row>
    <row r="2897" customFormat="false" ht="17.15" hidden="false" customHeight="false" outlineLevel="0" collapsed="false">
      <c r="A2897" s="1" t="s">
        <v>1052</v>
      </c>
      <c r="B2897" s="0" t="s">
        <v>98</v>
      </c>
      <c r="C2897" s="6" t="n">
        <f aca="false">Sens!$C$2895+Sens!E2877-Sens!E2866+oai_v</f>
        <v>1865.87171916142</v>
      </c>
    </row>
    <row r="2898" customFormat="false" ht="17.15" hidden="false" customHeight="false" outlineLevel="0" collapsed="false">
      <c r="A2898" s="0" t="s">
        <v>980</v>
      </c>
      <c r="B2898" s="0" t="s">
        <v>75</v>
      </c>
      <c r="C2898" s="5" t="n">
        <f aca="false">Sens!$C$2897/sh_dil26</f>
        <v>250.351766961145</v>
      </c>
    </row>
    <row r="2899" customFormat="false" ht="15" hidden="false" customHeight="false" outlineLevel="0" collapsed="false">
      <c r="A2899" s="1" t="s">
        <v>1053</v>
      </c>
      <c r="B2899" s="0" t="s">
        <v>75</v>
      </c>
      <c r="C2899" s="8" t="n">
        <f aca="false">dps_27+Sens!G2869*roll_div_q/q_per_yr</f>
        <v>4.8895</v>
      </c>
    </row>
    <row r="2900" customFormat="false" ht="17.15" hidden="false" customHeight="false" outlineLevel="0" collapsed="false">
      <c r="A2900" s="0" t="s">
        <v>1054</v>
      </c>
      <c r="B2900" s="0" t="s">
        <v>75</v>
      </c>
      <c r="C2900" s="5" t="n">
        <f aca="false">Sens!$C$2898*(1+wacc)^t_roll-Sens!$C$2899</f>
        <v>280.194416165424</v>
      </c>
    </row>
    <row r="2901" customFormat="false" ht="17.15" hidden="false" customHeight="false" outlineLevel="0" collapsed="false">
      <c r="A2901" s="1" t="s">
        <v>1055</v>
      </c>
      <c r="B2901" s="0" t="s">
        <v>129</v>
      </c>
      <c r="F2901" s="7" t="n">
        <f aca="false">Sens!F2858/(Sens!F2803-Sens!F2759)</f>
        <v>0.0772471213907682</v>
      </c>
      <c r="G2901" s="7" t="n">
        <f aca="false">Sens!G2858/(Sens!G2803-Sens!G2759)</f>
        <v>0.0731955181810124</v>
      </c>
      <c r="H2901" s="7" t="n">
        <f aca="false">Sens!H2858/(Sens!H2803-Sens!H2759)</f>
        <v>0.0706910402766116</v>
      </c>
      <c r="I2901" s="7" t="n">
        <f aca="false">Sens!I2858/(Sens!I2803-Sens!I2759)</f>
        <v>0.0695246692080409</v>
      </c>
      <c r="J2901" s="7" t="n">
        <f aca="false">Sens!J2858/(Sens!J2803-Sens!J2759)</f>
        <v>0.0694184988804077</v>
      </c>
      <c r="K2901" s="7" t="n">
        <f aca="false">Sens!K2858/(Sens!K2803-Sens!K2759)</f>
        <v>0.0700829200056252</v>
      </c>
    </row>
    <row r="2902" customFormat="false" ht="17.15" hidden="false" customHeight="false" outlineLevel="0" collapsed="false">
      <c r="A2902" s="0" t="s">
        <v>1056</v>
      </c>
      <c r="B2902" s="0" t="s">
        <v>98</v>
      </c>
      <c r="F2902" s="6" t="n">
        <f aca="false">Sens!F2788*(al_m365+Sens!F2901+sbc_r)</f>
        <v>83.8920877354226</v>
      </c>
      <c r="G2902" s="6" t="n">
        <f aca="false">Sens!G2788*(al_m365+Sens!G2901+sbc_r)</f>
        <v>94.1829839542274</v>
      </c>
      <c r="H2902" s="6" t="n">
        <f aca="false">Sens!H2788*(al_m365+Sens!H2901+sbc_r)</f>
        <v>104.637250763745</v>
      </c>
      <c r="I2902" s="6" t="n">
        <f aca="false">Sens!I2788*(al_m365+Sens!I2901+sbc_r)</f>
        <v>114.57837541907</v>
      </c>
      <c r="J2902" s="6" t="n">
        <f aca="false">Sens!J2788*(al_m365+Sens!J2901+sbc_r)</f>
        <v>123.81932440446</v>
      </c>
      <c r="K2902" s="6" t="n">
        <f aca="false">Sens!K2788*(al_m365+Sens!K2901+sbc_r)</f>
        <v>132.669585761727</v>
      </c>
      <c r="L2902" s="11" t="s">
        <v>1057</v>
      </c>
    </row>
    <row r="2903" customFormat="false" ht="17.15" hidden="false" customHeight="false" outlineLevel="0" collapsed="false">
      <c r="A2903" s="0" t="s">
        <v>1058</v>
      </c>
      <c r="B2903" s="0" t="s">
        <v>98</v>
      </c>
      <c r="F2903" s="6" t="n">
        <f aca="false">Sens!F2789*(al_lic+Sens!F2901+sbc_r)</f>
        <v>33.7828840711913</v>
      </c>
      <c r="G2903" s="6" t="n">
        <f aca="false">Sens!G2789*(al_lic+Sens!G2901+sbc_r)</f>
        <v>35.0483883420058</v>
      </c>
      <c r="H2903" s="6" t="n">
        <f aca="false">Sens!H2789*(al_lic+Sens!H2901+sbc_r)</f>
        <v>36.2309564788411</v>
      </c>
      <c r="I2903" s="6" t="n">
        <f aca="false">Sens!I2789*(al_lic+Sens!I2901+sbc_r)</f>
        <v>37.3095694944706</v>
      </c>
      <c r="J2903" s="6" t="n">
        <f aca="false">Sens!J2789*(al_lic+Sens!J2901+sbc_r)</f>
        <v>38.2594339081861</v>
      </c>
      <c r="K2903" s="6" t="n">
        <f aca="false">Sens!K2789*(al_lic+Sens!K2901+sbc_r)</f>
        <v>39.0548849005596</v>
      </c>
    </row>
    <row r="2904" customFormat="false" ht="17.15" hidden="false" customHeight="false" outlineLevel="0" collapsed="false">
      <c r="A2904" s="0" t="s">
        <v>1059</v>
      </c>
      <c r="B2904" s="0" t="s">
        <v>98</v>
      </c>
      <c r="F2904" s="6" t="n">
        <f aca="false">Sens!F2791*(al_ind+Sens!F2901+sbc_r)</f>
        <v>9.26996772515207</v>
      </c>
      <c r="G2904" s="6" t="n">
        <f aca="false">Sens!G2791*(al_ind+Sens!G2901+sbc_r)</f>
        <v>10.0342055160869</v>
      </c>
      <c r="H2904" s="6" t="n">
        <f aca="false">Sens!H2791*(al_ind+Sens!H2901+sbc_r)</f>
        <v>10.8440690587753</v>
      </c>
      <c r="I2904" s="6" t="n">
        <f aca="false">Sens!I2791*(al_ind+Sens!I2901+sbc_r)</f>
        <v>11.6950096907529</v>
      </c>
      <c r="J2904" s="6" t="n">
        <f aca="false">Sens!J2791*(al_ind+Sens!J2901+sbc_r)</f>
        <v>12.5779862945108</v>
      </c>
      <c r="K2904" s="6" t="n">
        <f aca="false">Sens!K2791*(al_ind+Sens!K2901+sbc_r)</f>
        <v>13.4804267794311</v>
      </c>
    </row>
    <row r="2905" customFormat="false" ht="17.15" hidden="false" customHeight="false" outlineLevel="0" collapsed="false">
      <c r="A2905" s="0" t="s">
        <v>1060</v>
      </c>
      <c r="B2905" s="0" t="s">
        <v>98</v>
      </c>
      <c r="F2905" s="6" t="n">
        <f aca="false">Sens!F2793*(al_fro+Sens!F2901+sbc_r)</f>
        <v>3.64869184163119</v>
      </c>
      <c r="G2905" s="6" t="n">
        <f aca="false">Sens!G2793*(al_fro+Sens!G2901+sbc_r)</f>
        <v>3.85254167915584</v>
      </c>
      <c r="H2905" s="6" t="n">
        <f aca="false">Sens!H2793*(al_fro+Sens!H2901+sbc_r)</f>
        <v>4.08641638730392</v>
      </c>
      <c r="I2905" s="6" t="n">
        <f aca="false">Sens!I2793*(al_fro+Sens!I2901+sbc_r)</f>
        <v>4.3524066257921</v>
      </c>
      <c r="J2905" s="6" t="n">
        <f aca="false">Sens!J2793*(al_fro+Sens!J2901+sbc_r)</f>
        <v>4.65182270282651</v>
      </c>
      <c r="K2905" s="6" t="n">
        <f aca="false">Sens!K2793*(al_fro+Sens!K2901+sbc_r)</f>
        <v>4.9855798748735</v>
      </c>
    </row>
    <row r="2906" customFormat="false" ht="17.15" hidden="false" customHeight="false" outlineLevel="0" collapsed="false">
      <c r="A2906" s="0" t="s">
        <v>1061</v>
      </c>
      <c r="B2906" s="0" t="s">
        <v>98</v>
      </c>
      <c r="F2906" s="6" t="n">
        <f aca="false">Sens!F2796*(al_srch+Sens!F2901+sbc_r)</f>
        <v>11.4485440735381</v>
      </c>
      <c r="G2906" s="6" t="n">
        <f aca="false">Sens!G2796*(al_srch+Sens!G2901+sbc_r)</f>
        <v>12.5093157926648</v>
      </c>
      <c r="H2906" s="6" t="n">
        <f aca="false">Sens!H2796*(al_srch+Sens!H2901+sbc_r)</f>
        <v>13.6151221910825</v>
      </c>
      <c r="I2906" s="6" t="n">
        <f aca="false">Sens!I2796*(al_srch+Sens!I2901+sbc_r)</f>
        <v>14.7535218647698</v>
      </c>
      <c r="J2906" s="6" t="n">
        <f aca="false">Sens!J2796*(al_srch+Sens!J2901+sbc_r)</f>
        <v>15.9054492310814</v>
      </c>
      <c r="K2906" s="6" t="n">
        <f aca="false">Sens!K2796*(al_srch+Sens!K2901+sbc_r)</f>
        <v>17.0466272369149</v>
      </c>
    </row>
    <row r="2907" customFormat="false" ht="17.15" hidden="false" customHeight="false" outlineLevel="0" collapsed="false">
      <c r="A2907" s="0" t="s">
        <v>1062</v>
      </c>
      <c r="B2907" s="0" t="s">
        <v>98</v>
      </c>
      <c r="F2907" s="6" t="n">
        <f aca="false">Sens!F2765-Sens!F2766+Sens!F2846</f>
        <v>39.4029859629351</v>
      </c>
      <c r="G2907" s="6" t="n">
        <f aca="false">Sens!G2765-Sens!G2766+Sens!G2846</f>
        <v>62.1313540406579</v>
      </c>
      <c r="H2907" s="6" t="n">
        <f aca="false">Sens!H2765-Sens!H2766+Sens!H2846</f>
        <v>81.2584218837559</v>
      </c>
      <c r="I2907" s="6" t="n">
        <f aca="false">Sens!I2765-Sens!I2766+Sens!I2846</f>
        <v>104.920244837684</v>
      </c>
      <c r="J2907" s="6" t="n">
        <f aca="false">Sens!J2765-Sens!J2766+Sens!J2846</f>
        <v>121.627537356673</v>
      </c>
      <c r="K2907" s="6" t="n">
        <f aca="false">Sens!K2765-Sens!K2766+Sens!K2846</f>
        <v>132.138072023089</v>
      </c>
    </row>
    <row r="2908" customFormat="false" ht="17.15" hidden="false" customHeight="false" outlineLevel="0" collapsed="false">
      <c r="A2908" s="0" t="s">
        <v>1063</v>
      </c>
      <c r="B2908" s="0" t="s">
        <v>98</v>
      </c>
      <c r="F2908" s="6" t="n">
        <f aca="false">Sens!F2825+Sens!F2846+Sens!F2776+Sens!F2901*(Sens!F2795-Sens!F2759)+sbc_r*Sens!F2795</f>
        <v>226.038711396395</v>
      </c>
      <c r="G2908" s="6" t="n">
        <f aca="false">Sens!G2825+Sens!G2846+Sens!G2776+Sens!G2901*(Sens!G2795-Sens!G2759)+sbc_r*Sens!G2795</f>
        <v>272.63831233755</v>
      </c>
      <c r="H2908" s="6" t="n">
        <f aca="false">Sens!H2825+Sens!H2846+Sens!H2776+Sens!H2901*(Sens!H2795-Sens!H2759)+sbc_r*Sens!H2795</f>
        <v>315.916809381427</v>
      </c>
      <c r="I2908" s="6" t="n">
        <f aca="false">Sens!I2825+Sens!I2846+Sens!I2776+Sens!I2901*(Sens!I2795-Sens!I2759)+sbc_r*Sens!I2795</f>
        <v>363.16144359588</v>
      </c>
      <c r="J2908" s="6" t="n">
        <f aca="false">Sens!J2825+Sens!J2846+Sens!J2776+Sens!J2901*(Sens!J2795-Sens!J2759)+sbc_r*Sens!J2795</f>
        <v>401.627012958359</v>
      </c>
      <c r="K2908" s="6" t="n">
        <f aca="false">Sens!K2825+Sens!K2846+Sens!K2776+Sens!K2901*(Sens!K2795-Sens!K2759)+sbc_r*Sens!K2795</f>
        <v>431.679033585632</v>
      </c>
    </row>
    <row r="2909" customFormat="false" ht="17.15" hidden="false" customHeight="false" outlineLevel="0" collapsed="false">
      <c r="A2909" s="0" t="s">
        <v>1064</v>
      </c>
      <c r="B2909" s="0" t="s">
        <v>98</v>
      </c>
      <c r="F2909" s="6" t="n">
        <f aca="false">Sens!F2908-Sens!F2902-Sens!F2903-Sens!F2904-Sens!F2905-Sens!F2907</f>
        <v>56.0420940600629</v>
      </c>
      <c r="G2909" s="6" t="n">
        <f aca="false">Sens!G2908-Sens!G2902-Sens!G2903-Sens!G2904-Sens!G2905-Sens!G2907</f>
        <v>67.3888388054165</v>
      </c>
      <c r="H2909" s="6" t="n">
        <f aca="false">Sens!H2908-Sens!H2902-Sens!H2903-Sens!H2904-Sens!H2905-Sens!H2907</f>
        <v>78.8596948090061</v>
      </c>
      <c r="I2909" s="6" t="n">
        <f aca="false">Sens!I2908-Sens!I2902-Sens!I2903-Sens!I2904-Sens!I2905-Sens!I2907</f>
        <v>90.3058375281101</v>
      </c>
      <c r="J2909" s="6" t="n">
        <f aca="false">Sens!J2908-Sens!J2902-Sens!J2903-Sens!J2904-Sens!J2905-Sens!J2907</f>
        <v>100.690908291703</v>
      </c>
      <c r="K2909" s="6" t="n">
        <f aca="false">Sens!K2908-Sens!K2902-Sens!K2903-Sens!K2904-Sens!K2905-Sens!K2907</f>
        <v>109.350484245952</v>
      </c>
    </row>
    <row r="2910" customFormat="false" ht="17.15" hidden="false" customHeight="false" outlineLevel="0" collapsed="false">
      <c r="A2910" s="0" t="s">
        <v>1065</v>
      </c>
      <c r="B2910" s="0" t="s">
        <v>98</v>
      </c>
      <c r="F2910" s="6" t="n">
        <f aca="false">Sens!F2827+Sens!F2901*Sens!F2802+sbc_r*Sens!F2802</f>
        <v>26.7626117479309</v>
      </c>
      <c r="G2910" s="6" t="n">
        <f aca="false">Sens!G2827+Sens!G2901*Sens!G2802+sbc_r*Sens!G2802</f>
        <v>27.3056598182198</v>
      </c>
      <c r="H2910" s="6" t="n">
        <f aca="false">Sens!H2827+Sens!H2901*Sens!H2802+sbc_r*Sens!H2802</f>
        <v>28.1286194187992</v>
      </c>
      <c r="I2910" s="6" t="n">
        <f aca="false">Sens!I2827+Sens!I2901*Sens!I2802+sbc_r*Sens!I2802</f>
        <v>29.1949399982642</v>
      </c>
      <c r="J2910" s="6" t="n">
        <f aca="false">Sens!J2827+Sens!J2901*Sens!J2802+sbc_r*Sens!J2802</f>
        <v>30.4692591027152</v>
      </c>
      <c r="K2910" s="6" t="n">
        <f aca="false">Sens!K2827+Sens!K2901*Sens!K2802+sbc_r*Sens!K2802</f>
        <v>31.919040216124</v>
      </c>
    </row>
    <row r="2911" customFormat="false" ht="17.15" hidden="false" customHeight="false" outlineLevel="0" collapsed="false">
      <c r="A2911" s="0" t="s">
        <v>1066</v>
      </c>
      <c r="B2911" s="0" t="s">
        <v>98</v>
      </c>
      <c r="F2911" s="6" t="n">
        <f aca="false">(Sens!F2910-Sens!F2906)*Sens!F2798/(Sens!F2798+Sens!F2800)</f>
        <v>8.39502274224426</v>
      </c>
      <c r="G2911" s="6" t="n">
        <f aca="false">(Sens!G2910-Sens!G2906)*Sens!G2798/(Sens!G2798+Sens!G2800)</f>
        <v>7.96658928601929</v>
      </c>
      <c r="H2911" s="6" t="n">
        <f aca="false">(Sens!H2910-Sens!H2906)*Sens!H2798/(Sens!H2798+Sens!H2800)</f>
        <v>7.70874189271671</v>
      </c>
      <c r="I2911" s="6" t="n">
        <f aca="false">(Sens!I2910-Sens!I2906)*Sens!I2798/(Sens!I2798+Sens!I2800)</f>
        <v>7.60105519124726</v>
      </c>
      <c r="J2911" s="6" t="n">
        <f aca="false">(Sens!J2910-Sens!J2906)*Sens!J2798/(Sens!J2798+Sens!J2800)</f>
        <v>7.63081151975592</v>
      </c>
      <c r="K2911" s="6" t="n">
        <f aca="false">(Sens!K2910-Sens!K2906)*Sens!K2798/(Sens!K2798+Sens!K2800)</f>
        <v>7.79250630766335</v>
      </c>
    </row>
    <row r="2912" customFormat="false" ht="17.15" hidden="false" customHeight="false" outlineLevel="0" collapsed="false">
      <c r="A2912" s="0" t="s">
        <v>1067</v>
      </c>
      <c r="B2912" s="0" t="s">
        <v>98</v>
      </c>
      <c r="F2912" s="6" t="n">
        <f aca="false">Sens!F2910-Sens!F2906-Sens!F2911</f>
        <v>6.91904493214853</v>
      </c>
      <c r="G2912" s="6" t="n">
        <f aca="false">Sens!G2910-Sens!G2906-Sens!G2911</f>
        <v>6.82975473953566</v>
      </c>
      <c r="H2912" s="6" t="n">
        <f aca="false">Sens!H2910-Sens!H2906-Sens!H2911</f>
        <v>6.80475533500007</v>
      </c>
      <c r="I2912" s="6" t="n">
        <f aca="false">Sens!I2910-Sens!I2906-Sens!I2911</f>
        <v>6.84036294224708</v>
      </c>
      <c r="J2912" s="6" t="n">
        <f aca="false">Sens!J2910-Sens!J2906-Sens!J2911</f>
        <v>6.93299835187793</v>
      </c>
      <c r="K2912" s="6" t="n">
        <f aca="false">Sens!K2910-Sens!K2906-Sens!K2911</f>
        <v>7.07990667154579</v>
      </c>
    </row>
    <row r="2913" customFormat="false" ht="17.15" hidden="false" customHeight="false" outlineLevel="0" collapsed="false">
      <c r="A2913" s="0" t="s">
        <v>1068</v>
      </c>
      <c r="B2913" s="0" t="s">
        <v>98</v>
      </c>
      <c r="F2913" s="6" t="n">
        <f aca="false">Sens!F2907-tax_f*(Sens!F2907-Sens!F2776)-Sens!F2773</f>
        <v>-131.125209484582</v>
      </c>
      <c r="G2913" s="6" t="n">
        <f aca="false">Sens!G2907-tax_f*(Sens!G2907-Sens!G2776)-Sens!G2773</f>
        <v>-86.3440461472431</v>
      </c>
      <c r="H2913" s="6" t="n">
        <f aca="false">Sens!H2907-tax_f*(Sens!H2907-Sens!H2776)-Sens!H2773</f>
        <v>-70.2895829772767</v>
      </c>
      <c r="I2913" s="6" t="n">
        <f aca="false">Sens!I2907-tax_f*(Sens!I2907-Sens!I2776)-Sens!I2773</f>
        <v>-27.9820753709575</v>
      </c>
      <c r="J2913" s="6" t="n">
        <f aca="false">Sens!J2907-tax_f*(Sens!J2907-Sens!J2776)-Sens!J2773</f>
        <v>19.4905799436286</v>
      </c>
      <c r="K2913" s="6" t="n">
        <f aca="false">Sens!K2907-tax_f*(Sens!K2907-Sens!K2776)-Sens!K2773</f>
        <v>37.2156702787745</v>
      </c>
    </row>
    <row r="2914" customFormat="false" ht="17.15" hidden="false" customHeight="false" outlineLevel="0" collapsed="false">
      <c r="A2914" s="0" t="s">
        <v>1069</v>
      </c>
      <c r="B2914" s="0" t="s">
        <v>98</v>
      </c>
      <c r="F2914" s="6" t="n">
        <f aca="false">Sens!F2913*Sens!F2887</f>
        <v>-124.856555584212</v>
      </c>
      <c r="G2914" s="6" t="n">
        <f aca="false">Sens!G2913*Sens!G2887</f>
        <v>-74.5431705585961</v>
      </c>
      <c r="H2914" s="6" t="n">
        <f aca="false">Sens!H2913*Sens!H2887</f>
        <v>-55.0195128764222</v>
      </c>
      <c r="I2914" s="6" t="n">
        <f aca="false">Sens!I2913*Sens!I2887</f>
        <v>-19.8589373652196</v>
      </c>
      <c r="J2914" s="6" t="n">
        <f aca="false">Sens!J2913*Sens!J2887</f>
        <v>12.5415483130066</v>
      </c>
      <c r="K2914" s="6" t="n">
        <f aca="false">Sens!K2913*Sens!K2887</f>
        <v>21.7121359059707</v>
      </c>
    </row>
    <row r="2915" customFormat="false" ht="17.15" hidden="false" customHeight="false" outlineLevel="0" collapsed="false">
      <c r="A2915" s="0" t="s">
        <v>1070</v>
      </c>
      <c r="B2915" s="0" t="s">
        <v>98</v>
      </c>
      <c r="C2915" s="6" t="n">
        <f aca="false">(Sens!K2907-Sens!K2776)*(1-tax_f)*(1+g_tv)*(1-g_tv/(wacc+ronic_prem))/(wacc-g_tv)/(1+wacc)^(Sens!K2886+mid_yr)</f>
        <v>65.7013610356033</v>
      </c>
    </row>
    <row r="2916" customFormat="false" ht="17.15" hidden="false" customHeight="false" outlineLevel="0" collapsed="false">
      <c r="A2916" s="1" t="s">
        <v>1071</v>
      </c>
      <c r="B2916" s="0" t="s">
        <v>98</v>
      </c>
      <c r="C2916" s="6" t="n">
        <f aca="false">(SUM(Sens!F2914:K2914)+Sens!$C$2915)*(1+wacc)^t_roll</f>
        <v>-198.507569984257</v>
      </c>
      <c r="L2916" s="11" t="s">
        <v>1072</v>
      </c>
    </row>
    <row r="2917" customFormat="false" ht="17.15" hidden="false" customHeight="false" outlineLevel="0" collapsed="false">
      <c r="A2917" s="1" t="s">
        <v>1073</v>
      </c>
      <c r="B2917" s="0" t="s">
        <v>98</v>
      </c>
      <c r="C2917" s="6" t="n">
        <f aca="false">(w_ntm28*Sens!G2765+(1-w_ntm28)*Sens!H2765)*m_ai</f>
        <v>338.776008390068</v>
      </c>
    </row>
    <row r="2918" customFormat="false" ht="17.15" hidden="false" customHeight="false" outlineLevel="0" collapsed="false">
      <c r="A2918" s="1" t="s">
        <v>1074</v>
      </c>
      <c r="B2918" s="0" t="s">
        <v>98</v>
      </c>
      <c r="C2918" s="6" t="n">
        <f aca="false">(w_ntm28*Sens!G2909+(1-w_ntm28)*Sens!H2909)*m_cloud</f>
        <v>982.56365129473</v>
      </c>
    </row>
    <row r="2919" customFormat="false" ht="17.15" hidden="false" customHeight="false" outlineLevel="0" collapsed="false">
      <c r="A2919" s="1" t="s">
        <v>1075</v>
      </c>
      <c r="B2919" s="0" t="s">
        <v>98</v>
      </c>
      <c r="C2919" s="6" t="n">
        <f aca="false">(w_ntm28*Sens!G2902+(1-w_ntm28)*Sens!H2902)*m_sw</f>
        <v>1053.67737087565</v>
      </c>
    </row>
    <row r="2920" customFormat="false" ht="17.15" hidden="false" customHeight="false" outlineLevel="0" collapsed="false">
      <c r="A2920" s="1" t="s">
        <v>1076</v>
      </c>
      <c r="B2920" s="0" t="s">
        <v>98</v>
      </c>
      <c r="C2920" s="6" t="n">
        <f aca="false">(w_ntm28*Sens!G2903+(1-w_ntm28)*Sens!H2903)*m_sw</f>
        <v>382.651538843205</v>
      </c>
    </row>
    <row r="2921" customFormat="false" ht="17.15" hidden="false" customHeight="false" outlineLevel="0" collapsed="false">
      <c r="A2921" s="1" t="s">
        <v>1077</v>
      </c>
      <c r="B2921" s="0" t="s">
        <v>98</v>
      </c>
      <c r="C2921" s="6" t="n">
        <f aca="false">(w_ntm28*Sens!G2904+(1-w_ntm28)*Sens!H2904)*m_sw</f>
        <v>111.197063680045</v>
      </c>
    </row>
    <row r="2922" customFormat="false" ht="17.15" hidden="false" customHeight="false" outlineLevel="0" collapsed="false">
      <c r="A2922" s="1" t="s">
        <v>1078</v>
      </c>
      <c r="B2922" s="0" t="s">
        <v>98</v>
      </c>
      <c r="C2922" s="6" t="n">
        <f aca="false">(w_ntm28*Sens!G2905+(1-w_ntm28)*Sens!H2905)*m_sw</f>
        <v>42.4240252802637</v>
      </c>
    </row>
    <row r="2923" customFormat="false" ht="17.15" hidden="false" customHeight="false" outlineLevel="0" collapsed="false">
      <c r="A2923" s="1" t="s">
        <v>1079</v>
      </c>
      <c r="B2923" s="0" t="s">
        <v>98</v>
      </c>
      <c r="C2923" s="6" t="n">
        <f aca="false">(w_ntm28*Sens!G2906+(1-w_ntm28)*Sens!H2906)*m_ads</f>
        <v>117.216633342878</v>
      </c>
    </row>
    <row r="2924" customFormat="false" ht="17.15" hidden="false" customHeight="false" outlineLevel="0" collapsed="false">
      <c r="A2924" s="1" t="s">
        <v>1080</v>
      </c>
      <c r="B2924" s="0" t="s">
        <v>98</v>
      </c>
      <c r="C2924" s="6" t="n">
        <f aca="false">(w_ntm28*Sens!G2911+(1-w_ntm28)*Sens!H2911)*m_game</f>
        <v>99.5651999861646</v>
      </c>
    </row>
    <row r="2925" customFormat="false" ht="17.15" hidden="false" customHeight="false" outlineLevel="0" collapsed="false">
      <c r="A2925" s="1" t="s">
        <v>1081</v>
      </c>
      <c r="B2925" s="0" t="s">
        <v>98</v>
      </c>
      <c r="C2925" s="6" t="n">
        <f aca="false">(w_ntm28*Sens!G2912+(1-w_ntm28)*Sens!H2912)*m_pc</f>
        <v>98.7096045515786</v>
      </c>
    </row>
    <row r="2926" customFormat="false" ht="17.15" hidden="false" customHeight="false" outlineLevel="0" collapsed="false">
      <c r="A2926" s="1" t="s">
        <v>1082</v>
      </c>
      <c r="B2926" s="0" t="s">
        <v>98</v>
      </c>
      <c r="C2926" s="6" t="n">
        <f aca="false">Sens!$C$2916+Sens!$C$2918+Sens!$C$2919+Sens!$C$2920+Sens!$C$2921+Sens!$C$2922+Sens!$C$2923+Sens!$C$2924+Sens!$C$2925</f>
        <v>2689.49751787026</v>
      </c>
    </row>
    <row r="2927" customFormat="false" ht="17.15" hidden="false" customHeight="false" outlineLevel="0" collapsed="false">
      <c r="A2927" s="1" t="s">
        <v>1000</v>
      </c>
      <c r="B2927" s="0" t="s">
        <v>98</v>
      </c>
      <c r="C2927" s="6" t="n">
        <f aca="false">Sens!F2877+oai_v-Sens!F2866</f>
        <v>107.017253956829</v>
      </c>
      <c r="L2927" s="1" t="s">
        <v>1083</v>
      </c>
    </row>
    <row r="2928" customFormat="false" ht="15" hidden="false" customHeight="false" outlineLevel="0" collapsed="false">
      <c r="A2928" s="1" t="s">
        <v>1001</v>
      </c>
      <c r="B2928" s="0" t="s">
        <v>75</v>
      </c>
      <c r="C2928" s="5" t="n">
        <f aca="false">(Sens!$C$2926+Sens!$C$2927)/Sens!F2879</f>
        <v>374.265895587137</v>
      </c>
    </row>
    <row r="2929" customFormat="false" ht="17.15" hidden="false" customHeight="false" outlineLevel="0" collapsed="false">
      <c r="A2929" s="1" t="s">
        <v>1084</v>
      </c>
      <c r="B2929" s="0" t="s">
        <v>75</v>
      </c>
      <c r="C2929" s="5" t="n">
        <f aca="false">w_dcf*Sens!$C$2900+(1-w_dcf)*Sens!$C$2928</f>
        <v>327.230155876281</v>
      </c>
    </row>
    <row r="2930" customFormat="false" ht="17.15" hidden="false" customHeight="false" outlineLevel="0" collapsed="false">
      <c r="A2930" s="3" t="s">
        <v>1309</v>
      </c>
    </row>
    <row r="2931" customFormat="false" ht="15" hidden="false" customHeight="false" outlineLevel="0" collapsed="false">
      <c r="A2931" s="4" t="s">
        <v>43</v>
      </c>
      <c r="B2931" s="4" t="s">
        <v>65</v>
      </c>
      <c r="C2931" s="20" t="s">
        <v>788</v>
      </c>
      <c r="D2931" s="20" t="s">
        <v>789</v>
      </c>
      <c r="E2931" s="20" t="s">
        <v>790</v>
      </c>
      <c r="F2931" s="20" t="s">
        <v>791</v>
      </c>
      <c r="G2931" s="20" t="s">
        <v>792</v>
      </c>
      <c r="H2931" s="20" t="s">
        <v>793</v>
      </c>
      <c r="I2931" s="20" t="s">
        <v>794</v>
      </c>
      <c r="J2931" s="20" t="s">
        <v>795</v>
      </c>
      <c r="K2931" s="20" t="s">
        <v>796</v>
      </c>
      <c r="L2931" s="4" t="s">
        <v>47</v>
      </c>
    </row>
    <row r="2932" customFormat="false" ht="17.15" hidden="false" customHeight="false" outlineLevel="0" collapsed="false">
      <c r="A2932" s="1" t="s">
        <v>797</v>
      </c>
      <c r="B2932" s="1" t="s">
        <v>235</v>
      </c>
      <c r="C2932" s="28" t="n">
        <v>2024</v>
      </c>
      <c r="D2932" s="28" t="n">
        <v>2025</v>
      </c>
      <c r="E2932" s="28" t="n">
        <v>2026</v>
      </c>
      <c r="F2932" s="28" t="n">
        <v>2027</v>
      </c>
      <c r="G2932" s="28" t="n">
        <v>2028</v>
      </c>
      <c r="H2932" s="28" t="n">
        <v>2029</v>
      </c>
      <c r="I2932" s="28" t="n">
        <v>2030</v>
      </c>
      <c r="J2932" s="28" t="n">
        <v>2031</v>
      </c>
      <c r="K2932" s="28" t="n">
        <v>2032</v>
      </c>
    </row>
    <row r="2933" customFormat="false" ht="17.15" hidden="false" customHeight="false" outlineLevel="0" collapsed="false">
      <c r="A2933" s="1" t="s">
        <v>798</v>
      </c>
      <c r="B2933" s="0" t="s">
        <v>392</v>
      </c>
      <c r="F2933" s="29" t="n">
        <f aca="false">pace_epoch</f>
        <v>650</v>
      </c>
      <c r="G2933" s="29" t="n">
        <f aca="false">pace_epoch</f>
        <v>650</v>
      </c>
      <c r="H2933" s="29" t="n">
        <f aca="false">pace_epoch</f>
        <v>650</v>
      </c>
      <c r="I2933" s="29" t="n">
        <f aca="false">pace_epoch+(g_tv*Sens!H2934-pace_epoch)*MIN(1,(Sens!I2932-pace_y0)/(pace_y1-pace_y0))</f>
        <v>477.193333333333</v>
      </c>
      <c r="J2933" s="29" t="n">
        <f aca="false">pace_epoch+(g_tv*Sens!H2934-pace_epoch)*MIN(1,(Sens!J2932-pace_y0)/(pace_y1-pace_y0))</f>
        <v>304.386666666667</v>
      </c>
      <c r="K2933" s="29" t="n">
        <f aca="false">pace_epoch+(g_tv*Sens!H2934-pace_epoch)*MIN(1,(Sens!K2932-pace_y0)/(pace_y1-pace_y0))</f>
        <v>131.58</v>
      </c>
      <c r="L2933" s="11" t="s">
        <v>799</v>
      </c>
    </row>
    <row r="2934" customFormat="false" ht="17.15" hidden="false" customHeight="false" outlineLevel="0" collapsed="false">
      <c r="A2934" s="1" t="s">
        <v>800</v>
      </c>
      <c r="B2934" s="0" t="s">
        <v>392</v>
      </c>
      <c r="C2934" s="29" t="n">
        <f aca="false">mw_ext_24</f>
        <v>640</v>
      </c>
      <c r="D2934" s="29" t="n">
        <f aca="false">mw_ext_25</f>
        <v>1630</v>
      </c>
      <c r="E2934" s="29" t="n">
        <f aca="false">mw_ext_26</f>
        <v>3250</v>
      </c>
      <c r="F2934" s="29" t="n">
        <f aca="false">MIN(cap_epoch,Sens!E2934+Sens!F2933)</f>
        <v>3900</v>
      </c>
      <c r="G2934" s="29" t="n">
        <f aca="false">MIN(cap_epoch,Sens!F2934+Sens!G2933)</f>
        <v>4386</v>
      </c>
      <c r="H2934" s="29" t="n">
        <f aca="false">MIN(cap_epoch,Sens!G2934+Sens!H2933)</f>
        <v>4386</v>
      </c>
      <c r="I2934" s="29" t="n">
        <f aca="false">MIN(cap_epoch,Sens!H2934+Sens!I2933)</f>
        <v>4386</v>
      </c>
      <c r="J2934" s="29" t="n">
        <f aca="false">MIN(cap_epoch,Sens!I2934+Sens!J2933)</f>
        <v>4386</v>
      </c>
      <c r="K2934" s="29" t="n">
        <f aca="false">MIN(cap_epoch,Sens!J2934+Sens!K2933)</f>
        <v>4386</v>
      </c>
      <c r="L2934" s="1" t="s">
        <v>801</v>
      </c>
    </row>
    <row r="2935" customFormat="false" ht="17.15" hidden="false" customHeight="false" outlineLevel="0" collapsed="false">
      <c r="A2935" s="1" t="s">
        <v>802</v>
      </c>
      <c r="B2935" s="0" t="s">
        <v>392</v>
      </c>
      <c r="C2935" s="29" t="n">
        <f aca="false">rent_ext_24</f>
        <v>150</v>
      </c>
      <c r="D2935" s="29" t="n">
        <f aca="false">rent_ext_25</f>
        <v>400</v>
      </c>
      <c r="E2935" s="29" t="n">
        <f aca="false">rent_ext_26</f>
        <v>550</v>
      </c>
      <c r="F2935" s="29" t="n">
        <f aca="false">rent_ext_f</f>
        <v>756</v>
      </c>
      <c r="G2935" s="29" t="n">
        <f aca="false">rent_ext_f</f>
        <v>756</v>
      </c>
      <c r="H2935" s="29" t="n">
        <f aca="false">rent_ext_f</f>
        <v>756</v>
      </c>
      <c r="I2935" s="29" t="n">
        <f aca="false">rent_ext_f</f>
        <v>756</v>
      </c>
      <c r="J2935" s="29" t="n">
        <f aca="false">rent_ext_f</f>
        <v>756</v>
      </c>
      <c r="K2935" s="29" t="n">
        <f aca="false">rent_ext_f</f>
        <v>756</v>
      </c>
      <c r="L2935" s="1" t="s">
        <v>803</v>
      </c>
    </row>
    <row r="2936" customFormat="false" ht="17.15" hidden="false" customHeight="false" outlineLevel="0" collapsed="false">
      <c r="A2936" s="1" t="s">
        <v>804</v>
      </c>
      <c r="B2936" s="0" t="s">
        <v>392</v>
      </c>
      <c r="C2936" s="29" t="n">
        <f aca="false">Sens!C2934-Sens!C2935</f>
        <v>490</v>
      </c>
      <c r="D2936" s="29" t="n">
        <f aca="false">Sens!D2934-Sens!D2935</f>
        <v>1230</v>
      </c>
      <c r="E2936" s="29" t="n">
        <f aca="false">Sens!E2934-Sens!E2935</f>
        <v>2700</v>
      </c>
      <c r="F2936" s="29" t="n">
        <f aca="false">Sens!F2934-Sens!F2935</f>
        <v>3144</v>
      </c>
      <c r="G2936" s="29" t="n">
        <f aca="false">Sens!G2934-Sens!G2935</f>
        <v>3630</v>
      </c>
      <c r="H2936" s="29" t="n">
        <f aca="false">Sens!H2934-Sens!H2935</f>
        <v>3630</v>
      </c>
      <c r="I2936" s="29" t="n">
        <f aca="false">Sens!I2934-Sens!I2935</f>
        <v>3630</v>
      </c>
      <c r="J2936" s="29" t="n">
        <f aca="false">Sens!J2934-Sens!J2935</f>
        <v>3630</v>
      </c>
      <c r="K2936" s="29" t="n">
        <f aca="false">Sens!K2934-Sens!K2935</f>
        <v>3630</v>
      </c>
    </row>
    <row r="2937" customFormat="false" ht="17.15" hidden="false" customHeight="false" outlineLevel="0" collapsed="false">
      <c r="A2937" s="1" t="s">
        <v>805</v>
      </c>
      <c r="B2937" s="0" t="s">
        <v>392</v>
      </c>
      <c r="C2937" s="29" t="n">
        <f aca="false">Sens!C2936/ext_sh</f>
        <v>816.666666666667</v>
      </c>
      <c r="D2937" s="29" t="n">
        <f aca="false">Sens!D2936/ext_sh</f>
        <v>2050</v>
      </c>
      <c r="E2937" s="29" t="n">
        <f aca="false">Sens!E2936/ext_sh</f>
        <v>4500</v>
      </c>
      <c r="F2937" s="29" t="n">
        <f aca="false">Sens!F2936/ext_sh</f>
        <v>5240</v>
      </c>
      <c r="G2937" s="29" t="n">
        <f aca="false">Sens!G2936/ext_sh</f>
        <v>6050</v>
      </c>
      <c r="H2937" s="29" t="n">
        <f aca="false">Sens!H2936/ext_sh</f>
        <v>6050</v>
      </c>
      <c r="I2937" s="29" t="n">
        <f aca="false">Sens!I2936/ext_sh</f>
        <v>6050</v>
      </c>
      <c r="J2937" s="29" t="n">
        <f aca="false">Sens!J2936/ext_sh</f>
        <v>6050</v>
      </c>
      <c r="K2937" s="29" t="n">
        <f aca="false">Sens!K2936/ext_sh</f>
        <v>6050</v>
      </c>
      <c r="L2937" s="1" t="s">
        <v>806</v>
      </c>
    </row>
    <row r="2938" customFormat="false" ht="17.15" hidden="false" customHeight="false" outlineLevel="0" collapsed="false">
      <c r="A2938" s="1" t="s">
        <v>807</v>
      </c>
      <c r="B2938" s="0" t="s">
        <v>392</v>
      </c>
      <c r="C2938" s="29" t="n">
        <f aca="false">Sens!C2937-Sens!C2936</f>
        <v>326.666666666667</v>
      </c>
      <c r="D2938" s="29" t="n">
        <f aca="false">Sens!D2937-Sens!D2936</f>
        <v>820</v>
      </c>
      <c r="E2938" s="29" t="n">
        <f aca="false">Sens!E2937-Sens!E2936</f>
        <v>1800</v>
      </c>
      <c r="F2938" s="29" t="n">
        <f aca="false">Sens!F2937-Sens!F2936</f>
        <v>2096</v>
      </c>
      <c r="G2938" s="29" t="n">
        <f aca="false">Sens!G2937-Sens!G2936</f>
        <v>2420</v>
      </c>
      <c r="H2938" s="29" t="n">
        <f aca="false">Sens!H2937-Sens!H2936</f>
        <v>2420</v>
      </c>
      <c r="I2938" s="29" t="n">
        <f aca="false">Sens!I2937-Sens!I2936</f>
        <v>2420</v>
      </c>
      <c r="J2938" s="29" t="n">
        <f aca="false">Sens!J2937-Sens!J2936</f>
        <v>2420</v>
      </c>
      <c r="K2938" s="29" t="n">
        <f aca="false">Sens!K2937-Sens!K2936</f>
        <v>2420</v>
      </c>
    </row>
    <row r="2939" customFormat="false" ht="17.15" hidden="false" customHeight="false" outlineLevel="0" collapsed="false">
      <c r="A2939" s="1" t="s">
        <v>808</v>
      </c>
      <c r="B2939" s="0" t="s">
        <v>392</v>
      </c>
      <c r="C2939" s="29" t="n">
        <f aca="false">Sens!C2937</f>
        <v>816.666666666667</v>
      </c>
      <c r="D2939" s="29" t="n">
        <f aca="false">Sens!D2937-Sens!C2937</f>
        <v>1233.33333333333</v>
      </c>
      <c r="E2939" s="29" t="n">
        <f aca="false">Sens!E2937-Sens!D2937</f>
        <v>2450</v>
      </c>
      <c r="F2939" s="29" t="n">
        <f aca="false">Sens!F2937-Sens!E2937</f>
        <v>740</v>
      </c>
      <c r="G2939" s="29" t="n">
        <f aca="false">Sens!G2937-Sens!F2937</f>
        <v>810</v>
      </c>
      <c r="H2939" s="29" t="n">
        <f aca="false">Sens!H2937-Sens!G2937</f>
        <v>0</v>
      </c>
      <c r="I2939" s="29" t="n">
        <f aca="false">Sens!I2937-Sens!H2937</f>
        <v>0</v>
      </c>
      <c r="J2939" s="29" t="n">
        <f aca="false">Sens!J2937-Sens!I2937</f>
        <v>0</v>
      </c>
      <c r="K2939" s="29" t="n">
        <f aca="false">Sens!K2937-Sens!J2937</f>
        <v>0</v>
      </c>
    </row>
    <row r="2940" customFormat="false" ht="17.15" hidden="false" customHeight="false" outlineLevel="0" collapsed="false">
      <c r="A2940" s="1" t="s">
        <v>809</v>
      </c>
      <c r="B2940" s="0" t="s">
        <v>392</v>
      </c>
      <c r="D2940" s="29" t="n">
        <f aca="false">Sens!D2934-Sens!C2934</f>
        <v>990</v>
      </c>
      <c r="E2940" s="29" t="n">
        <f aca="false">Sens!E2934-Sens!D2934</f>
        <v>1620</v>
      </c>
      <c r="F2940" s="29" t="n">
        <f aca="false">Sens!F2934-Sens!E2934</f>
        <v>650</v>
      </c>
      <c r="G2940" s="29" t="n">
        <f aca="false">Sens!G2934-Sens!F2934</f>
        <v>486</v>
      </c>
      <c r="H2940" s="29" t="n">
        <f aca="false">Sens!H2934-Sens!G2934</f>
        <v>0</v>
      </c>
      <c r="I2940" s="29" t="n">
        <f aca="false">Sens!I2934-Sens!H2934</f>
        <v>0</v>
      </c>
      <c r="J2940" s="29" t="n">
        <f aca="false">Sens!J2934-Sens!I2934</f>
        <v>0</v>
      </c>
      <c r="K2940" s="29" t="n">
        <f aca="false">Sens!K2934-Sens!J2934</f>
        <v>0</v>
      </c>
    </row>
    <row r="2941" customFormat="false" ht="17.15" hidden="false" customHeight="false" outlineLevel="0" collapsed="false">
      <c r="A2941" s="1" t="s">
        <v>810</v>
      </c>
      <c r="B2941" s="0" t="s">
        <v>392</v>
      </c>
      <c r="F2941" s="29" t="n">
        <f aca="false">Sens!F2958*ext_sh</f>
        <v>0</v>
      </c>
      <c r="G2941" s="29" t="n">
        <f aca="false">Sens!G2958*ext_sh</f>
        <v>0</v>
      </c>
      <c r="H2941" s="29" t="n">
        <f aca="false">Sens!H2958*ext_sh</f>
        <v>0</v>
      </c>
      <c r="I2941" s="29" t="n">
        <f aca="false">Sens!I2958*ext_sh</f>
        <v>490</v>
      </c>
      <c r="J2941" s="29" t="n">
        <f aca="false">Sens!J2958*ext_sh</f>
        <v>740</v>
      </c>
      <c r="K2941" s="29" t="n">
        <f aca="false">Sens!K2958*ext_sh</f>
        <v>1470</v>
      </c>
      <c r="L2941" s="1" t="s">
        <v>811</v>
      </c>
    </row>
    <row r="2942" customFormat="false" ht="17.15" hidden="false" customHeight="false" outlineLevel="0" collapsed="false">
      <c r="A2942" s="1" t="s">
        <v>812</v>
      </c>
      <c r="B2942" s="0" t="s">
        <v>392</v>
      </c>
      <c r="C2942" s="29" t="n">
        <f aca="false">mix_h*Sens!C2934</f>
        <v>128</v>
      </c>
      <c r="D2942" s="29" t="n">
        <f aca="false">mix_h*Sens!D2934</f>
        <v>326</v>
      </c>
      <c r="E2942" s="29" t="n">
        <f aca="false">mix_h*Sens!E2934</f>
        <v>650</v>
      </c>
      <c r="F2942" s="29" t="n">
        <f aca="false">Sens!E2942-Sens!F2941*mix_h</f>
        <v>650</v>
      </c>
      <c r="G2942" s="29" t="n">
        <f aca="false">Sens!F2942-Sens!G2941*mix_h</f>
        <v>650</v>
      </c>
      <c r="H2942" s="29" t="n">
        <f aca="false">Sens!G2942-Sens!H2941*mix_h</f>
        <v>650</v>
      </c>
      <c r="I2942" s="29" t="n">
        <f aca="false">Sens!H2942-Sens!I2941*mix_h</f>
        <v>552</v>
      </c>
      <c r="J2942" s="29" t="n">
        <f aca="false">Sens!I2942-Sens!J2941*mix_h</f>
        <v>404</v>
      </c>
      <c r="K2942" s="29" t="n">
        <f aca="false">Sens!J2942-Sens!K2941*mix_h</f>
        <v>110</v>
      </c>
    </row>
    <row r="2943" customFormat="false" ht="17.15" hidden="false" customHeight="false" outlineLevel="0" collapsed="false">
      <c r="A2943" s="1" t="s">
        <v>813</v>
      </c>
      <c r="B2943" s="0" t="s">
        <v>392</v>
      </c>
      <c r="C2943" s="29" t="n">
        <f aca="false">mix_g2*Sens!C2934</f>
        <v>288</v>
      </c>
      <c r="D2943" s="29" t="n">
        <f aca="false">mix_g2*Sens!D2934</f>
        <v>733.5</v>
      </c>
      <c r="E2943" s="29" t="n">
        <f aca="false">mix_g2*Sens!E2934</f>
        <v>1462.5</v>
      </c>
      <c r="F2943" s="29" t="n">
        <f aca="false">Sens!E2943-Sens!F2941*mix_g2</f>
        <v>1462.5</v>
      </c>
      <c r="G2943" s="29" t="n">
        <f aca="false">Sens!F2943-Sens!G2941*mix_g2</f>
        <v>1462.5</v>
      </c>
      <c r="H2943" s="29" t="n">
        <f aca="false">Sens!G2943-Sens!H2941*mix_g2</f>
        <v>1462.5</v>
      </c>
      <c r="I2943" s="29" t="n">
        <f aca="false">Sens!H2943-Sens!I2941*mix_g2</f>
        <v>1242</v>
      </c>
      <c r="J2943" s="29" t="n">
        <f aca="false">Sens!I2943-Sens!J2941*mix_g2</f>
        <v>909</v>
      </c>
      <c r="K2943" s="29" t="n">
        <f aca="false">Sens!J2943-Sens!K2941*mix_g2</f>
        <v>247.5</v>
      </c>
    </row>
    <row r="2944" customFormat="false" ht="17.15" hidden="false" customHeight="false" outlineLevel="0" collapsed="false">
      <c r="A2944" s="1" t="s">
        <v>814</v>
      </c>
      <c r="B2944" s="0" t="s">
        <v>392</v>
      </c>
      <c r="C2944" s="29" t="n">
        <f aca="false">mix_g3*Sens!C2934</f>
        <v>224</v>
      </c>
      <c r="D2944" s="29" t="n">
        <f aca="false">mix_g3*Sens!D2934</f>
        <v>570.5</v>
      </c>
      <c r="E2944" s="29" t="n">
        <f aca="false">mix_g3*Sens!E2934</f>
        <v>1137.5</v>
      </c>
      <c r="F2944" s="29" t="n">
        <f aca="false">Sens!E2944+(Sens!F2940+Sens!F2941)*a_g3_27-Sens!F2941*mix_g3</f>
        <v>1592.5</v>
      </c>
      <c r="G2944" s="29" t="n">
        <f aca="false">Sens!F2944+(Sens!G2940+Sens!G2941)*a_g3_28-Sens!G2941*mix_g3</f>
        <v>1738.3</v>
      </c>
      <c r="H2944" s="29" t="n">
        <f aca="false">Sens!G2944+(Sens!H2940+Sens!H2941)*a_g3_29-Sens!H2941*mix_g3</f>
        <v>1738.3</v>
      </c>
      <c r="I2944" s="29" t="n">
        <f aca="false">Sens!H2944+(Sens!I2940+Sens!I2941)*a_g3_29-Sens!I2941*mix_g3</f>
        <v>1615.8</v>
      </c>
      <c r="J2944" s="29" t="n">
        <f aca="false">Sens!I2944+(Sens!J2940+Sens!J2941)*a_g3_29-Sens!J2941*mix_g3</f>
        <v>1430.8</v>
      </c>
      <c r="K2944" s="29" t="n">
        <f aca="false">Sens!J2944+(Sens!K2940+Sens!K2941)*a_g3_29-Sens!K2941*mix_g3</f>
        <v>1063.3</v>
      </c>
    </row>
    <row r="2945" customFormat="false" ht="17.15" hidden="false" customHeight="false" outlineLevel="0" collapsed="false">
      <c r="A2945" s="1" t="s">
        <v>815</v>
      </c>
      <c r="B2945" s="0" t="s">
        <v>392</v>
      </c>
      <c r="C2945" s="29" t="n">
        <v>0</v>
      </c>
      <c r="D2945" s="29" t="n">
        <v>0</v>
      </c>
      <c r="E2945" s="29" t="n">
        <v>0</v>
      </c>
      <c r="F2945" s="29" t="n">
        <f aca="false">Sens!E2945+(Sens!F2940+Sens!F2941)*(1-a_g3_27)</f>
        <v>195</v>
      </c>
      <c r="G2945" s="29" t="n">
        <f aca="false">Sens!F2945+(Sens!G2940+Sens!G2941)*(1-a_g3_28)</f>
        <v>535.2</v>
      </c>
      <c r="H2945" s="29" t="n">
        <f aca="false">Sens!G2945+(Sens!H2940+Sens!H2941)*(1-a_g3_29)</f>
        <v>535.2</v>
      </c>
      <c r="I2945" s="29" t="n">
        <f aca="false">Sens!H2945+(Sens!I2940+Sens!I2941)*(1-a_g3_29)</f>
        <v>976.2</v>
      </c>
      <c r="J2945" s="29" t="n">
        <f aca="false">Sens!I2945+(Sens!J2940+Sens!J2941)*(1-a_g3_29)</f>
        <v>1642.2</v>
      </c>
      <c r="K2945" s="29" t="n">
        <f aca="false">Sens!J2945+(Sens!K2940+Sens!K2941)*(1-a_g3_29)</f>
        <v>2965.2</v>
      </c>
    </row>
    <row r="2946" customFormat="false" ht="17.15" hidden="false" customHeight="false" outlineLevel="0" collapsed="false">
      <c r="A2946" s="1" t="s">
        <v>816</v>
      </c>
      <c r="B2946" s="0" t="s">
        <v>339</v>
      </c>
      <c r="C2946" s="14" t="n">
        <f aca="false">(Sens!C2942*tk_hold_h100+Sens!C2943*tk_hold_gb200+Sens!C2944*tk_hold_gb300+Sens!C2945*tk_hold_vr200)/Sens!C2934</f>
        <v>9.7235358126469</v>
      </c>
      <c r="D2946" s="14" t="n">
        <f aca="false">(Sens!D2942*tk_hold_h100+Sens!D2943*tk_hold_gb200+Sens!D2944*tk_hold_gb300+Sens!D2945*tk_hold_vr200)/Sens!D2934</f>
        <v>9.7235358126469</v>
      </c>
      <c r="E2946" s="14" t="n">
        <f aca="false">(Sens!E2942*tk_hold_h100+Sens!E2943*tk_hold_gb200+Sens!E2944*tk_hold_gb300+Sens!E2945*tk_hold_vr200)/Sens!E2934</f>
        <v>9.7235358126469</v>
      </c>
      <c r="F2946" s="14" t="n">
        <f aca="false">(Sens!F2942*tk_hold_h100+Sens!F2943*tk_hold_gb200+Sens!F2944*tk_hold_gb300+Sens!F2945*tk_hold_vr200)/Sens!F2934</f>
        <v>9.9843013443478</v>
      </c>
      <c r="G2946" s="14" t="n">
        <f aca="false">(Sens!G2942*tk_hold_h100+Sens!G2943*tk_hold_gb200+Sens!G2944*tk_hold_gb300+Sens!G2945*tk_hold_vr200)/Sens!G2934</f>
        <v>10.1881256732384</v>
      </c>
      <c r="H2946" s="14" t="n">
        <f aca="false">(Sens!H2942*tk_hold_h100+Sens!H2943*tk_hold_gb200+Sens!H2944*tk_hold_gb300+Sens!H2945*tk_hold_vr200)/Sens!H2934</f>
        <v>10.1881256732384</v>
      </c>
      <c r="I2946" s="14" t="n">
        <f aca="false">(Sens!I2942*tk_hold_h100+Sens!I2943*tk_hold_gb200+Sens!I2944*tk_hold_gb300+Sens!I2945*tk_hold_vr200)/Sens!I2934</f>
        <v>10.4526797781011</v>
      </c>
      <c r="J2946" s="14" t="n">
        <f aca="false">(Sens!J2942*tk_hold_h100+Sens!J2943*tk_hold_gb200+Sens!J2944*tk_hold_gb300+Sens!J2945*tk_hold_vr200)/Sens!J2934</f>
        <v>10.8522104670775</v>
      </c>
      <c r="K2946" s="14" t="n">
        <f aca="false">(Sens!K2942*tk_hold_h100+Sens!K2943*tk_hold_gb200+Sens!K2944*tk_hold_gb300+Sens!K2945*tk_hold_vr200)/Sens!K2934</f>
        <v>11.6458727816658</v>
      </c>
    </row>
    <row r="2947" customFormat="false" ht="17.15" hidden="false" customHeight="false" outlineLevel="0" collapsed="false">
      <c r="A2947" s="0" t="s">
        <v>817</v>
      </c>
      <c r="B2947" s="0" t="s">
        <v>185</v>
      </c>
      <c r="C2947" s="14" t="n">
        <f aca="false">k_B</f>
        <v>1.17213932619116</v>
      </c>
      <c r="D2947" s="14" t="n">
        <f aca="false">k_B</f>
        <v>1.17213932619116</v>
      </c>
      <c r="E2947" s="14" t="n">
        <f aca="false">k_B</f>
        <v>1.17213932619116</v>
      </c>
      <c r="F2947" s="14" t="n">
        <f aca="false">(k_B+((ls_A*k_long+(1-ls_A)*k_spot)-k_B)*MIN(1,(Sens!F2932-base_fy)/k_ramp))</f>
        <v>1.25022828131298</v>
      </c>
      <c r="G2947" s="14" t="n">
        <f aca="false">(k_B+((ls_A*k_long+(1-ls_A)*k_spot)-k_B)*MIN(1,(Sens!G2932-base_fy)/k_ramp))</f>
        <v>1.3283172364348</v>
      </c>
      <c r="H2947" s="14" t="n">
        <f aca="false">(k_B+((ls_A*k_long+(1-ls_A)*k_spot)-k_B)*MIN(1,(Sens!H2932-base_fy)/k_ramp))</f>
        <v>1.40640619155662</v>
      </c>
      <c r="I2947" s="14" t="n">
        <f aca="false">(k_B+((ls_A*k_long+(1-ls_A)*k_spot)-k_B)*MIN(1,(Sens!I2932-base_fy)/k_ramp))</f>
        <v>1.40640619155662</v>
      </c>
      <c r="J2947" s="14" t="n">
        <f aca="false">(k_B+((ls_A*k_long+(1-ls_A)*k_spot)-k_B)*MIN(1,(Sens!J2932-base_fy)/k_ramp))</f>
        <v>1.40640619155662</v>
      </c>
      <c r="K2947" s="14" t="n">
        <f aca="false">(k_B+((ls_A*k_long+(1-ls_A)*k_spot)-k_B)*MIN(1,(Sens!K2932-base_fy)/k_ramp))</f>
        <v>1.40640619155662</v>
      </c>
      <c r="L2947" s="1" t="s">
        <v>818</v>
      </c>
    </row>
    <row r="2948" customFormat="false" ht="17.15" hidden="false" customHeight="false" outlineLevel="0" collapsed="false">
      <c r="A2948" s="1" t="s">
        <v>819</v>
      </c>
      <c r="B2948" s="0" t="s">
        <v>339</v>
      </c>
      <c r="C2948" s="14" t="n">
        <f aca="false">Sens!C2946*Sens!C2947*chip_f</f>
        <v>11.3973387156315</v>
      </c>
      <c r="D2948" s="14" t="n">
        <f aca="false">Sens!D2946*Sens!D2947*chip_f</f>
        <v>11.3973387156315</v>
      </c>
      <c r="E2948" s="14" t="n">
        <f aca="false">Sens!E2946*Sens!E2947*chip_f</f>
        <v>11.3973387156315</v>
      </c>
      <c r="F2948" s="14" t="n">
        <f aca="false">Sens!F2946*Sens!F2947*chip_f</f>
        <v>12.4826559098548</v>
      </c>
      <c r="G2948" s="14" t="n">
        <f aca="false">Sens!G2946*Sens!G2947*chip_f</f>
        <v>13.5330629387264</v>
      </c>
      <c r="H2948" s="14" t="n">
        <f aca="false">Sens!H2946*Sens!H2947*chip_f</f>
        <v>14.3286430271994</v>
      </c>
      <c r="I2948" s="14" t="n">
        <f aca="false">Sens!I2946*Sens!I2947*chip_f</f>
        <v>14.7007135582801</v>
      </c>
      <c r="J2948" s="14" t="n">
        <f aca="false">Sens!J2946*Sens!J2947*chip_f</f>
        <v>15.2626159929734</v>
      </c>
      <c r="K2948" s="14" t="n">
        <f aca="false">Sens!K2946*Sens!K2947*chip_f</f>
        <v>16.3788275862154</v>
      </c>
      <c r="L2948" s="1" t="s">
        <v>820</v>
      </c>
    </row>
    <row r="2949" customFormat="false" ht="17.15" hidden="false" customHeight="false" outlineLevel="0" collapsed="false">
      <c r="A2949" s="0" t="s">
        <v>821</v>
      </c>
      <c r="B2949" s="0" t="s">
        <v>98</v>
      </c>
      <c r="D2949" s="6" t="n">
        <f aca="false">(Sens!C2934+Sens!D2934)/2*Sens!D2948/1000</f>
        <v>12.9359794422418</v>
      </c>
      <c r="E2949" s="6" t="n">
        <f aca="false">(Sens!D2934+Sens!E2934)/2*Sens!E2948/1000</f>
        <v>27.8095064661409</v>
      </c>
      <c r="F2949" s="6" t="n">
        <f aca="false">(Sens!E2934+Sens!F2934)/2*Sens!F2948/1000</f>
        <v>44.6254948777308</v>
      </c>
      <c r="G2949" s="6" t="n">
        <f aca="false">(Sens!F2934+Sens!G2934)/2*Sens!G2948/1000</f>
        <v>56.0674797551436</v>
      </c>
      <c r="H2949" s="6" t="n">
        <f aca="false">(Sens!G2934+Sens!H2934)/2*Sens!H2948/1000</f>
        <v>62.8454283172966</v>
      </c>
      <c r="I2949" s="6" t="n">
        <f aca="false">(Sens!H2934+Sens!I2934)/2*Sens!I2948/1000</f>
        <v>64.4773296666165</v>
      </c>
      <c r="J2949" s="6" t="n">
        <f aca="false">(Sens!I2934+Sens!J2934)/2*Sens!J2948/1000</f>
        <v>66.9418337451812</v>
      </c>
      <c r="K2949" s="6" t="n">
        <f aca="false">(Sens!J2934+Sens!K2934)/2*Sens!K2948/1000</f>
        <v>71.8375377931408</v>
      </c>
      <c r="L2949" s="11" t="s">
        <v>822</v>
      </c>
    </row>
    <row r="2950" customFormat="false" ht="17.15" hidden="false" customHeight="false" outlineLevel="0" collapsed="false">
      <c r="A2950" s="1" t="s">
        <v>823</v>
      </c>
      <c r="B2950" s="0" t="s">
        <v>339</v>
      </c>
      <c r="C2950" s="14" t="n">
        <f aca="false">(Sens!C2942*tk_opex_h100+Sens!C2943*tk_opex_gb200+Sens!C2944*tk_opex_gb300+Sens!C2945*tk_opex_vr200)/Sens!C2934</f>
        <v>1.88636041306092</v>
      </c>
      <c r="D2950" s="14" t="n">
        <f aca="false">(Sens!D2942*tk_opex_h100+Sens!D2943*tk_opex_gb200+Sens!D2944*tk_opex_gb300+Sens!D2945*tk_opex_vr200)/Sens!D2934</f>
        <v>1.88636041306092</v>
      </c>
      <c r="E2950" s="14" t="n">
        <f aca="false">(Sens!E2942*tk_opex_h100+Sens!E2943*tk_opex_gb200+Sens!E2944*tk_opex_gb300+Sens!E2945*tk_opex_vr200)/Sens!E2934</f>
        <v>1.88636041306092</v>
      </c>
      <c r="F2950" s="14" t="n">
        <f aca="false">(Sens!F2942*tk_opex_h100+Sens!F2943*tk_opex_gb200+Sens!F2944*tk_opex_gb300+Sens!F2945*tk_opex_vr200)/Sens!F2934</f>
        <v>1.90794918316667</v>
      </c>
      <c r="G2950" s="14" t="n">
        <f aca="false">(Sens!G2942*tk_opex_h100+Sens!G2943*tk_opex_gb200+Sens!G2944*tk_opex_gb300+Sens!G2945*tk_opex_vr200)/Sens!G2934</f>
        <v>1.92482379289624</v>
      </c>
      <c r="H2950" s="14" t="n">
        <f aca="false">(Sens!H2942*tk_opex_h100+Sens!H2943*tk_opex_gb200+Sens!H2944*tk_opex_gb300+Sens!H2945*tk_opex_vr200)/Sens!H2934</f>
        <v>1.92482379289624</v>
      </c>
      <c r="I2950" s="14" t="n">
        <f aca="false">(Sens!I2942*tk_opex_h100+Sens!I2943*tk_opex_gb200+Sens!I2944*tk_opex_gb300+Sens!I2945*tk_opex_vr200)/Sens!I2934</f>
        <v>1.946726218854</v>
      </c>
      <c r="J2950" s="14" t="n">
        <f aca="false">(Sens!J2942*tk_opex_h100+Sens!J2943*tk_opex_gb200+Sens!J2944*tk_opex_gb300+Sens!J2945*tk_opex_vr200)/Sens!J2934</f>
        <v>1.97980335193306</v>
      </c>
      <c r="K2950" s="14" t="n">
        <f aca="false">(Sens!K2942*tk_opex_h100+Sens!K2943*tk_opex_gb200+Sens!K2944*tk_opex_gb300+Sens!K2945*tk_opex_vr200)/Sens!K2934</f>
        <v>2.04551062980633</v>
      </c>
    </row>
    <row r="2951" customFormat="false" ht="17.15" hidden="false" customHeight="false" outlineLevel="0" collapsed="false">
      <c r="A2951" s="0" t="s">
        <v>824</v>
      </c>
      <c r="B2951" s="0" t="s">
        <v>98</v>
      </c>
      <c r="D2951" s="6" t="n">
        <f aca="false">(Sens!C2937+Sens!D2937)/2*Sens!D2950/1000</f>
        <v>2.70378325872065</v>
      </c>
      <c r="E2951" s="6" t="n">
        <f aca="false">(Sens!D2937+Sens!E2937)/2*Sens!E2950/1000</f>
        <v>6.17783035277451</v>
      </c>
      <c r="F2951" s="6" t="n">
        <f aca="false">(Sens!E2937+Sens!F2937)/2*Sens!F2950/1000</f>
        <v>9.29171252202166</v>
      </c>
      <c r="G2951" s="6" t="n">
        <f aca="false">(Sens!F2937+Sens!G2937)/2*Sens!G2950/1000</f>
        <v>10.8656303108993</v>
      </c>
      <c r="H2951" s="6" t="n">
        <f aca="false">(Sens!G2937+Sens!H2937)/2*Sens!H2950/1000</f>
        <v>11.6451839470223</v>
      </c>
      <c r="I2951" s="6" t="n">
        <f aca="false">(Sens!H2937+Sens!I2937)/2*Sens!I2950/1000</f>
        <v>11.7776936240667</v>
      </c>
      <c r="J2951" s="6" t="n">
        <f aca="false">(Sens!I2937+Sens!J2937)/2*Sens!J2950/1000</f>
        <v>11.977810279195</v>
      </c>
      <c r="K2951" s="6" t="n">
        <f aca="false">(Sens!J2937+Sens!K2937)/2*Sens!K2950/1000</f>
        <v>12.3753393103283</v>
      </c>
    </row>
    <row r="2952" customFormat="false" ht="17.15" hidden="false" customHeight="false" outlineLevel="0" collapsed="false">
      <c r="A2952" s="0" t="s">
        <v>825</v>
      </c>
      <c r="B2952" s="0" t="s">
        <v>98</v>
      </c>
      <c r="D2952" s="6" t="n">
        <f aca="false">(Sens!C2935+Sens!D2935)/2*rent_mw/1000</f>
        <v>2.44475</v>
      </c>
      <c r="E2952" s="6" t="n">
        <f aca="false">(Sens!D2935+Sens!E2935)/2*rent_mw/1000</f>
        <v>4.22275</v>
      </c>
      <c r="F2952" s="6" t="n">
        <f aca="false">(Sens!E2935+Sens!F2935)/2*rent_mw/1000</f>
        <v>5.80517</v>
      </c>
      <c r="G2952" s="6" t="n">
        <f aca="false">(Sens!F2935+Sens!G2935)/2*rent_mw/1000</f>
        <v>6.72084</v>
      </c>
      <c r="H2952" s="6" t="n">
        <f aca="false">(Sens!G2935+Sens!H2935)/2*rent_mw/1000</f>
        <v>6.72084</v>
      </c>
      <c r="I2952" s="6" t="n">
        <f aca="false">(Sens!H2935+Sens!I2935)/2*rent_mw/1000</f>
        <v>6.72084</v>
      </c>
      <c r="J2952" s="6" t="n">
        <f aca="false">(Sens!I2935+Sens!J2935)/2*rent_mw/1000</f>
        <v>6.72084</v>
      </c>
      <c r="K2952" s="6" t="n">
        <f aca="false">(Sens!J2935+Sens!K2935)/2*rent_mw/1000</f>
        <v>6.72084</v>
      </c>
    </row>
    <row r="2953" customFormat="false" ht="17.15" hidden="false" customHeight="false" outlineLevel="0" collapsed="false">
      <c r="A2953" s="0" t="s">
        <v>826</v>
      </c>
      <c r="B2953" s="0" t="s">
        <v>98</v>
      </c>
      <c r="D2953" s="6" t="n">
        <f aca="false">(Sens!C2937+Sens!D2937)/2*(1-self_build)*fac_rent/1000</f>
        <v>0.853242375631075</v>
      </c>
      <c r="E2953" s="6" t="n">
        <f aca="false">(Sens!D2937+Sens!E2937)/2*(1-self_build)*fac_rent/1000</f>
        <v>1.94955961408728</v>
      </c>
      <c r="F2953" s="6" t="n">
        <f aca="false">(Sens!E2937+Sens!F2937)/2*(1-self_build)*fac_rent/1000</f>
        <v>2.89903979255117</v>
      </c>
      <c r="G2953" s="6" t="n">
        <f aca="false">(Sens!F2937+Sens!G2937)/2*(1-self_build)*fac_rent/1000</f>
        <v>3.36038596077029</v>
      </c>
      <c r="H2953" s="6" t="n">
        <f aca="false">(Sens!G2937+Sens!H2937)/2*(1-self_build)*fac_rent/1000</f>
        <v>3.60147653900094</v>
      </c>
      <c r="I2953" s="6" t="n">
        <f aca="false">(Sens!H2937+Sens!I2937)/2*(1-self_build)*fac_rent/1000</f>
        <v>3.60147653900094</v>
      </c>
      <c r="J2953" s="6" t="n">
        <f aca="false">(Sens!I2937+Sens!J2937)/2*(1-self_build)*fac_rent/1000</f>
        <v>3.60147653900094</v>
      </c>
      <c r="K2953" s="6" t="n">
        <f aca="false">(Sens!J2937+Sens!K2937)/2*(1-self_build)*fac_rent/1000</f>
        <v>3.60147653900094</v>
      </c>
      <c r="L2953" s="11" t="s">
        <v>827</v>
      </c>
    </row>
    <row r="2954" customFormat="false" ht="17.15" hidden="false" customHeight="false" outlineLevel="0" collapsed="false">
      <c r="A2954" s="1" t="s">
        <v>828</v>
      </c>
      <c r="B2954" s="0" t="s">
        <v>129</v>
      </c>
      <c r="D2954" s="7" t="n">
        <f aca="false">(Sens!C2936+Sens!D2936)/(Sens!C2937+Sens!D2937)</f>
        <v>0.6</v>
      </c>
      <c r="E2954" s="7" t="n">
        <f aca="false">(Sens!D2936+Sens!E2936)/(Sens!D2937+Sens!E2937)</f>
        <v>0.6</v>
      </c>
      <c r="F2954" s="7" t="n">
        <f aca="false">(Sens!E2936+Sens!F2936)/(Sens!E2937+Sens!F2937)</f>
        <v>0.6</v>
      </c>
      <c r="G2954" s="7" t="n">
        <f aca="false">(Sens!F2936+Sens!G2936)/(Sens!F2937+Sens!G2937)</f>
        <v>0.6</v>
      </c>
      <c r="H2954" s="7" t="n">
        <f aca="false">(Sens!G2936+Sens!H2936)/(Sens!G2937+Sens!H2937)</f>
        <v>0.6</v>
      </c>
      <c r="I2954" s="7" t="n">
        <f aca="false">(Sens!H2936+Sens!I2936)/(Sens!H2937+Sens!I2937)</f>
        <v>0.6</v>
      </c>
      <c r="J2954" s="7" t="n">
        <f aca="false">(Sens!I2936+Sens!J2936)/(Sens!I2937+Sens!J2937)</f>
        <v>0.6</v>
      </c>
      <c r="K2954" s="7" t="n">
        <f aca="false">(Sens!J2936+Sens!K2936)/(Sens!J2937+Sens!K2937)</f>
        <v>0.6</v>
      </c>
    </row>
    <row r="2955" customFormat="false" ht="17.15" hidden="false" customHeight="false" outlineLevel="0" collapsed="false">
      <c r="A2955" s="0" t="s">
        <v>829</v>
      </c>
      <c r="B2955" s="0" t="s">
        <v>98</v>
      </c>
      <c r="D2955" s="6" t="n">
        <f aca="false">Sens!D2949-Sens!D2954*(Sens!D2951+Sens!D2953)-Sens!D2952</f>
        <v>8.35701406163072</v>
      </c>
      <c r="E2955" s="6" t="n">
        <f aca="false">Sens!E2949-Sens!E2954*(Sens!E2951+Sens!E2953)-Sens!E2952</f>
        <v>18.7103224860238</v>
      </c>
      <c r="F2955" s="6" t="n">
        <f aca="false">Sens!F2949-Sens!F2954*(Sens!F2951+Sens!F2953)-Sens!F2952</f>
        <v>31.5058734889871</v>
      </c>
      <c r="G2955" s="6" t="n">
        <f aca="false">Sens!G2949-Sens!G2954*(Sens!G2951+Sens!G2953)-Sens!G2952</f>
        <v>40.8110299921418</v>
      </c>
      <c r="H2955" s="6" t="n">
        <f aca="false">Sens!H2949-Sens!H2954*(Sens!H2951+Sens!H2953)-Sens!H2952</f>
        <v>46.9765920256827</v>
      </c>
      <c r="I2955" s="6" t="n">
        <f aca="false">Sens!I2949-Sens!I2954*(Sens!I2951+Sens!I2953)-Sens!I2952</f>
        <v>48.5289875687759</v>
      </c>
      <c r="J2955" s="6" t="n">
        <f aca="false">Sens!J2949-Sens!J2954*(Sens!J2951+Sens!J2953)-Sens!J2952</f>
        <v>50.8734216542636</v>
      </c>
      <c r="K2955" s="6" t="n">
        <f aca="false">Sens!K2949-Sens!K2954*(Sens!K2951+Sens!K2953)-Sens!K2952</f>
        <v>55.5306082835433</v>
      </c>
    </row>
    <row r="2956" customFormat="false" ht="17.15" hidden="false" customHeight="false" outlineLevel="0" collapsed="false">
      <c r="A2956" s="1" t="s">
        <v>830</v>
      </c>
      <c r="B2956" s="0" t="s">
        <v>98</v>
      </c>
      <c r="D2956" s="6" t="n">
        <f aca="false">(1-Sens!D2954)*(Sens!D2951+Sens!D2953)</f>
        <v>1.42281025374069</v>
      </c>
      <c r="E2956" s="6" t="n">
        <f aca="false">(1-Sens!E2954)*(Sens!E2951+Sens!E2953)</f>
        <v>3.25095598674472</v>
      </c>
      <c r="F2956" s="6" t="n">
        <f aca="false">(1-Sens!F2954)*(Sens!F2951+Sens!F2953)</f>
        <v>4.87630092582913</v>
      </c>
      <c r="G2956" s="6" t="n">
        <f aca="false">(1-Sens!G2954)*(Sens!G2951+Sens!G2953)</f>
        <v>5.69040650866783</v>
      </c>
      <c r="H2956" s="6" t="n">
        <f aca="false">(1-Sens!H2954)*(Sens!H2951+Sens!H2953)</f>
        <v>6.09866419440928</v>
      </c>
      <c r="I2956" s="6" t="n">
        <f aca="false">(1-Sens!I2954)*(Sens!I2951+Sens!I2953)</f>
        <v>6.15166806522705</v>
      </c>
      <c r="J2956" s="6" t="n">
        <f aca="false">(1-Sens!J2954)*(Sens!J2951+Sens!J2953)</f>
        <v>6.23171472727838</v>
      </c>
      <c r="K2956" s="6" t="n">
        <f aca="false">(1-Sens!K2954)*(Sens!K2951+Sens!K2953)</f>
        <v>6.39072633973169</v>
      </c>
    </row>
    <row r="2957" customFormat="false" ht="17.15" hidden="false" customHeight="false" outlineLevel="0" collapsed="false">
      <c r="A2957" s="1" t="s">
        <v>831</v>
      </c>
      <c r="B2957" s="0" t="s">
        <v>350</v>
      </c>
      <c r="C2957" s="8" t="n">
        <f aca="false">cxit_open</f>
        <v>27.5918995</v>
      </c>
      <c r="D2957" s="8" t="n">
        <f aca="false">cxit_open</f>
        <v>27.5918995</v>
      </c>
      <c r="E2957" s="8" t="n">
        <f aca="false">cxit_open</f>
        <v>27.5918995</v>
      </c>
      <c r="F2957" s="8" t="n">
        <f aca="false">(a_g3_27*tk_cxit_gb300+(1-a_g3_27)*tk_cxit_vr200)</f>
        <v>33.8419624</v>
      </c>
      <c r="G2957" s="8" t="n">
        <f aca="false">(a_g3_28*tk_cxit_gb300+(1-a_g3_28)*tk_cxit_vr200)</f>
        <v>35.9816136</v>
      </c>
      <c r="H2957" s="8" t="n">
        <f aca="false">(a_g3_29*tk_cxit_gb300+(1-a_g3_29)*tk_cxit_vr200)</f>
        <v>37.0514392</v>
      </c>
      <c r="I2957" s="8" t="n">
        <f aca="false">(a_g3_29*tk_cxit_gb300+(1-a_g3_29)*tk_cxit_vr200)</f>
        <v>37.0514392</v>
      </c>
      <c r="J2957" s="8" t="n">
        <f aca="false">(a_g3_29*tk_cxit_gb300+(1-a_g3_29)*tk_cxit_vr200)</f>
        <v>37.0514392</v>
      </c>
      <c r="K2957" s="8" t="n">
        <f aca="false">(a_g3_29*tk_cxit_gb300+(1-a_g3_29)*tk_cxit_vr200)</f>
        <v>37.0514392</v>
      </c>
      <c r="L2957" s="11" t="s">
        <v>832</v>
      </c>
    </row>
    <row r="2958" customFormat="false" ht="17.15" hidden="false" customHeight="false" outlineLevel="0" collapsed="false">
      <c r="A2958" s="0" t="s">
        <v>833</v>
      </c>
      <c r="B2958" s="0" t="s">
        <v>392</v>
      </c>
      <c r="F2958" s="29" t="n">
        <f aca="false">Sens!C2939*IF(Sens!F2932-Sens!C2932=life_it,1,0)+Sens!D2939*IF(Sens!F2932-Sens!D2932=life_it,1,0)+Sens!E2939*IF(Sens!F2932-Sens!E2932=life_it,1,0)</f>
        <v>0</v>
      </c>
      <c r="G2958" s="29" t="n">
        <f aca="false">Sens!C2939*IF(Sens!G2932-Sens!C2932=life_it,1,0)+Sens!D2939*IF(Sens!G2932-Sens!D2932=life_it,1,0)+Sens!E2939*IF(Sens!G2932-Sens!E2932=life_it,1,0)+Sens!F2939*IF(Sens!G2932-Sens!F2932=life_it,1,0)</f>
        <v>0</v>
      </c>
      <c r="H2958" s="29" t="n">
        <f aca="false">Sens!C2939*IF(Sens!H2932-Sens!C2932=life_it,1,0)+Sens!D2939*IF(Sens!H2932-Sens!D2932=life_it,1,0)+Sens!E2939*IF(Sens!H2932-Sens!E2932=life_it,1,0)+Sens!F2939*IF(Sens!H2932-Sens!F2932=life_it,1,0)+Sens!G2939*IF(Sens!H2932-Sens!G2932=life_it,1,0)</f>
        <v>0</v>
      </c>
      <c r="I2958" s="29" t="n">
        <f aca="false">Sens!C2939*IF(Sens!I2932-Sens!C2932=life_it,1,0)+Sens!D2939*IF(Sens!I2932-Sens!D2932=life_it,1,0)+Sens!E2939*IF(Sens!I2932-Sens!E2932=life_it,1,0)+Sens!F2939*IF(Sens!I2932-Sens!F2932=life_it,1,0)+Sens!G2939*IF(Sens!I2932-Sens!G2932=life_it,1,0)+Sens!H2939*IF(Sens!I2932-Sens!H2932=life_it,1,0)</f>
        <v>816.666666666667</v>
      </c>
      <c r="J2958" s="29" t="n">
        <f aca="false">Sens!C2939*IF(Sens!J2932-Sens!C2932=life_it,1,0)+Sens!D2939*IF(Sens!J2932-Sens!D2932=life_it,1,0)+Sens!E2939*IF(Sens!J2932-Sens!E2932=life_it,1,0)+Sens!F2939*IF(Sens!J2932-Sens!F2932=life_it,1,0)+Sens!G2939*IF(Sens!J2932-Sens!G2932=life_it,1,0)+Sens!H2939*IF(Sens!J2932-Sens!H2932=life_it,1,0)+Sens!I2939*IF(Sens!J2932-Sens!I2932=life_it,1,0)</f>
        <v>1233.33333333333</v>
      </c>
      <c r="K2958" s="29" t="n">
        <f aca="false">Sens!C2939*IF(Sens!K2932-Sens!C2932=life_it,1,0)+Sens!D2939*IF(Sens!K2932-Sens!D2932=life_it,1,0)+Sens!E2939*IF(Sens!K2932-Sens!E2932=life_it,1,0)+Sens!F2939*IF(Sens!K2932-Sens!F2932=life_it,1,0)+Sens!G2939*IF(Sens!K2932-Sens!G2932=life_it,1,0)+Sens!H2939*IF(Sens!K2932-Sens!H2932=life_it,1,0)+Sens!I2939*IF(Sens!K2932-Sens!I2932=life_it,1,0)+Sens!J2939*IF(Sens!K2932-Sens!J2932=life_it,1,0)</f>
        <v>2450</v>
      </c>
      <c r="L2958" s="1" t="s">
        <v>834</v>
      </c>
    </row>
    <row r="2959" customFormat="false" ht="17.15" hidden="false" customHeight="false" outlineLevel="0" collapsed="false">
      <c r="A2959" s="0" t="s">
        <v>835</v>
      </c>
      <c r="B2959" s="0" t="s">
        <v>98</v>
      </c>
      <c r="C2959" s="6" t="n">
        <f aca="false">Sens!C2939*Sens!C2957/1000</f>
        <v>22.5333845916667</v>
      </c>
      <c r="D2959" s="6" t="n">
        <f aca="false">Sens!D2939*Sens!D2957/1000</f>
        <v>34.0300093833333</v>
      </c>
      <c r="E2959" s="6" t="n">
        <f aca="false">Sens!E2939*Sens!E2957/1000</f>
        <v>67.600153775</v>
      </c>
      <c r="F2959" s="6" t="n">
        <f aca="false">(Sens!F2939+Sens!F2958)*Sens!F2957/1000</f>
        <v>25.043052176</v>
      </c>
      <c r="G2959" s="6" t="n">
        <f aca="false">(Sens!G2939+Sens!G2958)*Sens!G2957/1000</f>
        <v>29.145107016</v>
      </c>
      <c r="H2959" s="6" t="n">
        <f aca="false">(Sens!H2939+Sens!H2958)*Sens!H2957/1000</f>
        <v>0</v>
      </c>
      <c r="I2959" s="6" t="n">
        <f aca="false">(Sens!I2939+Sens!I2958)*Sens!I2957/1000</f>
        <v>30.2586753466667</v>
      </c>
      <c r="J2959" s="6" t="n">
        <f aca="false">(Sens!J2939+Sens!J2958)*Sens!J2957/1000</f>
        <v>45.6967750133333</v>
      </c>
      <c r="K2959" s="6" t="n">
        <f aca="false">(Sens!K2939+Sens!K2958)*Sens!K2957/1000</f>
        <v>90.77602604</v>
      </c>
    </row>
    <row r="2960" customFormat="false" ht="17.15" hidden="false" customHeight="false" outlineLevel="0" collapsed="false">
      <c r="A2960" s="0" t="s">
        <v>836</v>
      </c>
      <c r="B2960" s="0" t="s">
        <v>98</v>
      </c>
      <c r="C2960" s="6" t="n">
        <f aca="false">Sens!C2939*self_build*tk_cxfac/1000</f>
        <v>6.2083</v>
      </c>
      <c r="D2960" s="6" t="n">
        <f aca="false">Sens!D2939*self_build*tk_cxfac/1000</f>
        <v>9.3758</v>
      </c>
      <c r="E2960" s="6" t="n">
        <f aca="false">Sens!E2939*self_build*tk_cxfac/1000</f>
        <v>18.6249</v>
      </c>
      <c r="F2960" s="6" t="n">
        <f aca="false">Sens!F2939*self_build*tk_cxfac/1000</f>
        <v>5.62548</v>
      </c>
      <c r="G2960" s="6" t="n">
        <f aca="false">Sens!G2939*self_build*tk_cxfac/1000</f>
        <v>6.15762</v>
      </c>
      <c r="H2960" s="6" t="n">
        <f aca="false">Sens!H2939*self_build*tk_cxfac/1000</f>
        <v>0</v>
      </c>
      <c r="I2960" s="6" t="n">
        <f aca="false">Sens!I2939*self_build*tk_cxfac/1000</f>
        <v>0</v>
      </c>
      <c r="J2960" s="6" t="n">
        <f aca="false">Sens!J2939*self_build*tk_cxfac/1000</f>
        <v>0</v>
      </c>
      <c r="K2960" s="6" t="n">
        <f aca="false">Sens!K2939*self_build*tk_cxfac/1000</f>
        <v>0</v>
      </c>
    </row>
    <row r="2961" customFormat="false" ht="17.15" hidden="false" customHeight="false" outlineLevel="0" collapsed="false">
      <c r="A2961" s="0" t="s">
        <v>837</v>
      </c>
      <c r="B2961" s="0" t="s">
        <v>98</v>
      </c>
      <c r="F2961" s="6" t="n">
        <f aca="false">MAX(0,capex_floor27-Sens!F2959-Sens!F2960-Sens!F3054)</f>
        <v>137.802120594438</v>
      </c>
      <c r="L2961" s="1" t="s">
        <v>838</v>
      </c>
    </row>
    <row r="2962" customFormat="false" ht="17.15" hidden="false" customHeight="false" outlineLevel="0" collapsed="false">
      <c r="A2962" s="0" t="s">
        <v>839</v>
      </c>
      <c r="B2962" s="0" t="s">
        <v>98</v>
      </c>
      <c r="C2962" s="6" t="n">
        <f aca="false">Sens!C2959</f>
        <v>22.5333845916667</v>
      </c>
      <c r="D2962" s="6" t="n">
        <f aca="false">Sens!D2959</f>
        <v>34.0300093833333</v>
      </c>
      <c r="E2962" s="6" t="n">
        <f aca="false">Sens!E2959</f>
        <v>67.600153775</v>
      </c>
      <c r="F2962" s="6" t="n">
        <f aca="false">Sens!F2959+Sens!F2961</f>
        <v>162.845172770438</v>
      </c>
      <c r="G2962" s="6" t="n">
        <f aca="false">Sens!G2959</f>
        <v>29.145107016</v>
      </c>
      <c r="H2962" s="6" t="n">
        <f aca="false">Sens!H2959</f>
        <v>0</v>
      </c>
      <c r="I2962" s="6" t="n">
        <f aca="false">Sens!I2959</f>
        <v>30.2586753466667</v>
      </c>
      <c r="J2962" s="6" t="n">
        <f aca="false">Sens!J2959</f>
        <v>45.6967750133333</v>
      </c>
      <c r="K2962" s="6" t="n">
        <f aca="false">Sens!K2959</f>
        <v>90.77602604</v>
      </c>
    </row>
    <row r="2963" customFormat="false" ht="17.15" hidden="false" customHeight="false" outlineLevel="0" collapsed="false">
      <c r="A2963" s="0" t="s">
        <v>840</v>
      </c>
      <c r="B2963" s="0" t="s">
        <v>98</v>
      </c>
      <c r="C2963" s="6" t="n">
        <f aca="false">Sens!C2962+Sens!C2960</f>
        <v>28.7416845916667</v>
      </c>
      <c r="D2963" s="6" t="n">
        <f aca="false">Sens!D2962+Sens!D2960</f>
        <v>43.4058093833333</v>
      </c>
      <c r="E2963" s="6" t="n">
        <f aca="false">Sens!E2962+Sens!E2960</f>
        <v>86.225053775</v>
      </c>
      <c r="F2963" s="6" t="n">
        <f aca="false">Sens!F2962+Sens!F2960</f>
        <v>168.470652770438</v>
      </c>
      <c r="G2963" s="6" t="n">
        <f aca="false">Sens!G2962+Sens!G2960</f>
        <v>35.302727016</v>
      </c>
      <c r="H2963" s="6" t="n">
        <f aca="false">Sens!H2962+Sens!H2960</f>
        <v>0</v>
      </c>
      <c r="I2963" s="6" t="n">
        <f aca="false">Sens!I2962+Sens!I2960</f>
        <v>30.2586753466667</v>
      </c>
      <c r="J2963" s="6" t="n">
        <f aca="false">Sens!J2962+Sens!J2960</f>
        <v>45.6967750133333</v>
      </c>
      <c r="K2963" s="6" t="n">
        <f aca="false">Sens!K2962+Sens!K2960</f>
        <v>90.77602604</v>
      </c>
      <c r="L2963" s="11" t="s">
        <v>841</v>
      </c>
    </row>
    <row r="2964" customFormat="false" ht="17.15" hidden="false" customHeight="false" outlineLevel="0" collapsed="false">
      <c r="A2964" s="0" t="s">
        <v>842</v>
      </c>
      <c r="B2964" s="0" t="s">
        <v>98</v>
      </c>
      <c r="E2964" s="6" t="n">
        <f aca="false">(Sens!C2962*IF(2&lt;life_it,1,IF(2=life_it,0.5,0))+Sens!D2962*IF(1&lt;life_it,1,IF(1=life_it,0.5,0))+Sens!E2962*0.5)/life_it</f>
        <v>15.0605784770833</v>
      </c>
      <c r="F2964" s="6" t="n">
        <f aca="false">(Sens!C2962*IF(3&lt;life_it,1,IF(3=life_it,0.5,0))+Sens!D2962*IF(2&lt;life_it,1,IF(2=life_it,0.5,0))+Sens!E2962*IF(1&lt;life_it,1,IF(1=life_it,0.5,0))+Sens!F2962*0.5)/life_it</f>
        <v>34.2643556892031</v>
      </c>
      <c r="G2964" s="6" t="n">
        <f aca="false">(Sens!C2962*IF(4&lt;life_it,1,IF(4=life_it,0.5,0))+Sens!D2962*IF(3&lt;life_it,1,IF(3=life_it,0.5,0))+Sens!E2962*IF(2&lt;life_it,1,IF(2=life_it,0.5,0))+Sens!F2962*IF(1&lt;life_it,1,IF(1=life_it,0.5,0))+Sens!G2962*0.5)/life_it</f>
        <v>50.2635456714062</v>
      </c>
      <c r="H2964" s="6" t="n">
        <f aca="false">(Sens!C2962*IF(5&lt;life_it,1,IF(5=life_it,0.5,0))+Sens!D2962*IF(4&lt;life_it,1,IF(4=life_it,0.5,0))+Sens!E2962*IF(3&lt;life_it,1,IF(3=life_it,0.5,0))+Sens!F2962*IF(2&lt;life_it,1,IF(2=life_it,0.5,0))+Sens!G2962*IF(1&lt;life_it,1,IF(1=life_it,0.5,0))+Sens!H2962*0.5)/life_it</f>
        <v>52.6923045894062</v>
      </c>
      <c r="I2964" s="6" t="n">
        <f aca="false">(Sens!C2962*IF(6&lt;life_it,1,IF(6=life_it,0.5,0))+Sens!D2962*IF(5&lt;life_it,1,IF(5=life_it,0.5,0))+Sens!E2962*IF(4&lt;life_it,1,IF(4=life_it,0.5,0))+Sens!F2962*IF(3&lt;life_it,1,IF(3=life_it,0.5,0))+Sens!G2962*IF(2&lt;life_it,1,IF(2=life_it,0.5,0))+Sens!H2962*IF(1&lt;life_it,1,IF(1=life_it,0.5,0))+Sens!I2962*0.5)/life_it</f>
        <v>53.3360788189896</v>
      </c>
      <c r="J2964" s="6" t="n">
        <f aca="false">(Sens!C2962*IF(7&lt;life_it,1,IF(7=life_it,0.5,0))+Sens!D2962*IF(6&lt;life_it,1,IF(6=life_it,0.5,0))+Sens!E2962*IF(5&lt;life_it,1,IF(5=life_it,0.5,0))+Sens!F2962*IF(4&lt;life_it,1,IF(4=life_it,0.5,0))+Sens!G2962*IF(3&lt;life_it,1,IF(3=life_it,0.5,0))+Sens!H2962*IF(2&lt;life_it,1,IF(2=life_it,0.5,0))+Sens!I2962*IF(1&lt;life_it,1,IF(1=life_it,0.5,0))+Sens!J2962*0.5)/life_it</f>
        <v>54.9520835177396</v>
      </c>
      <c r="K2964" s="6" t="n">
        <f aca="false">(Sens!C2962*IF(8&lt;life_it,1,IF(8=life_it,0.5,0))+Sens!D2962*IF(7&lt;life_it,1,IF(7=life_it,0.5,0))+Sens!E2962*IF(6&lt;life_it,1,IF(6=life_it,0.5,0))+Sens!F2962*IF(5&lt;life_it,1,IF(5=life_it,0.5,0))+Sens!G2962*IF(4&lt;life_it,1,IF(4=life_it,0.5,0))+Sens!H2962*IF(3&lt;life_it,1,IF(3=life_it,0.5,0))+Sens!I2962*IF(2&lt;life_it,1,IF(2=life_it,0.5,0))+Sens!J2962*IF(1&lt;life_it,1,IF(1=life_it,0.5,0))+Sens!K2962*0.5)/life_it</f>
        <v>57.8556366756563</v>
      </c>
    </row>
    <row r="2965" customFormat="false" ht="17.15" hidden="false" customHeight="false" outlineLevel="0" collapsed="false">
      <c r="A2965" s="0" t="s">
        <v>843</v>
      </c>
      <c r="B2965" s="0" t="s">
        <v>98</v>
      </c>
      <c r="E2965" s="6" t="n">
        <f aca="false">(Sens!C2960*IF(2&lt;life_fac,1,IF(2=life_fac,0.5,0))+Sens!D2960*IF(1&lt;life_fac,1,IF(1=life_fac,0.5,0))+Sens!E2960*0.5)/life_fac</f>
        <v>1.2448275</v>
      </c>
      <c r="F2965" s="6" t="n">
        <f aca="false">(Sens!C2960*IF(3&lt;life_fac,1,IF(3=life_fac,0.5,0))+Sens!D2960*IF(2&lt;life_fac,1,IF(2=life_fac,0.5,0))+Sens!E2960*IF(1&lt;life_fac,1,IF(1=life_fac,0.5,0))+Sens!F2960*0.5)/life_fac</f>
        <v>1.851087</v>
      </c>
      <c r="G2965" s="6" t="n">
        <f aca="false">(Sens!C2960*IF(4&lt;life_fac,1,IF(4=life_fac,0.5,0))+Sens!D2960*IF(3&lt;life_fac,1,IF(3=life_fac,0.5,0))+Sens!E2960*IF(2&lt;life_fac,1,IF(2=life_fac,0.5,0))+Sens!F2960*IF(1&lt;life_fac,1,IF(1=life_fac,0.5,0))+Sens!G2960*0.5)/life_fac</f>
        <v>2.1456645</v>
      </c>
      <c r="H2965" s="6" t="n">
        <f aca="false">(Sens!C2960*IF(5&lt;life_fac,1,IF(5=life_fac,0.5,0))+Sens!D2960*IF(4&lt;life_fac,1,IF(4=life_fac,0.5,0))+Sens!E2960*IF(3&lt;life_fac,1,IF(3=life_fac,0.5,0))+Sens!F2960*IF(2&lt;life_fac,1,IF(2=life_fac,0.5,0))+Sens!G2960*IF(1&lt;life_fac,1,IF(1=life_fac,0.5,0))+Sens!H2960*0.5)/life_fac</f>
        <v>2.299605</v>
      </c>
      <c r="I2965" s="6" t="n">
        <f aca="false">(Sens!C2960*IF(6&lt;life_fac,1,IF(6=life_fac,0.5,0))+Sens!D2960*IF(5&lt;life_fac,1,IF(5=life_fac,0.5,0))+Sens!E2960*IF(4&lt;life_fac,1,IF(4=life_fac,0.5,0))+Sens!F2960*IF(3&lt;life_fac,1,IF(3=life_fac,0.5,0))+Sens!G2960*IF(2&lt;life_fac,1,IF(2=life_fac,0.5,0))+Sens!H2960*IF(1&lt;life_fac,1,IF(1=life_fac,0.5,0))+Sens!I2960*0.5)/life_fac</f>
        <v>2.299605</v>
      </c>
      <c r="J2965" s="6" t="n">
        <f aca="false">(Sens!C2960*IF(7&lt;life_fac,1,IF(7=life_fac,0.5,0))+Sens!D2960*IF(6&lt;life_fac,1,IF(6=life_fac,0.5,0))+Sens!E2960*IF(5&lt;life_fac,1,IF(5=life_fac,0.5,0))+Sens!F2960*IF(4&lt;life_fac,1,IF(4=life_fac,0.5,0))+Sens!G2960*IF(3&lt;life_fac,1,IF(3=life_fac,0.5,0))+Sens!H2960*IF(2&lt;life_fac,1,IF(2=life_fac,0.5,0))+Sens!I2960*IF(1&lt;life_fac,1,IF(1=life_fac,0.5,0))+Sens!J2960*0.5)/life_fac</f>
        <v>2.299605</v>
      </c>
      <c r="K2965" s="6" t="n">
        <f aca="false">(Sens!C2960*IF(8&lt;life_fac,1,IF(8=life_fac,0.5,0))+Sens!D2960*IF(7&lt;life_fac,1,IF(7=life_fac,0.5,0))+Sens!E2960*IF(6&lt;life_fac,1,IF(6=life_fac,0.5,0))+Sens!F2960*IF(5&lt;life_fac,1,IF(5=life_fac,0.5,0))+Sens!G2960*IF(4&lt;life_fac,1,IF(4=life_fac,0.5,0))+Sens!H2960*IF(3&lt;life_fac,1,IF(3=life_fac,0.5,0))+Sens!I2960*IF(2&lt;life_fac,1,IF(2=life_fac,0.5,0))+Sens!J2960*IF(1&lt;life_fac,1,IF(1=life_fac,0.5,0))+Sens!K2960*0.5)/life_fac</f>
        <v>2.299605</v>
      </c>
    </row>
    <row r="2966" customFormat="false" ht="17.15" hidden="false" customHeight="false" outlineLevel="0" collapsed="false">
      <c r="A2966" s="0" t="s">
        <v>844</v>
      </c>
      <c r="B2966" s="0" t="s">
        <v>98</v>
      </c>
      <c r="E2966" s="6" t="n">
        <f aca="false">Sens!E2964+Sens!E2965</f>
        <v>16.3054059770833</v>
      </c>
      <c r="F2966" s="6" t="n">
        <f aca="false">Sens!F2964+Sens!F2965</f>
        <v>36.1154426892031</v>
      </c>
      <c r="G2966" s="6" t="n">
        <f aca="false">Sens!G2964+Sens!G2965</f>
        <v>52.4092101714062</v>
      </c>
      <c r="H2966" s="6" t="n">
        <f aca="false">Sens!H2964+Sens!H2965</f>
        <v>54.9919095894062</v>
      </c>
      <c r="I2966" s="6" t="n">
        <f aca="false">Sens!I2964+Sens!I2965</f>
        <v>55.6356838189896</v>
      </c>
      <c r="J2966" s="6" t="n">
        <f aca="false">Sens!J2964+Sens!J2965</f>
        <v>57.2516885177396</v>
      </c>
      <c r="K2966" s="6" t="n">
        <f aca="false">Sens!K2964+Sens!K2965</f>
        <v>60.1552416756563</v>
      </c>
    </row>
    <row r="2967" customFormat="false" ht="17.15" hidden="false" customHeight="false" outlineLevel="0" collapsed="false">
      <c r="A2967" s="0" t="s">
        <v>845</v>
      </c>
      <c r="B2967" s="0" t="s">
        <v>98</v>
      </c>
      <c r="E2967" s="6" t="n">
        <f aca="false">Sens!E2955-Sens!E2954*Sens!E2966</f>
        <v>8.92707889977379</v>
      </c>
      <c r="F2967" s="6" t="n">
        <f aca="false">Sens!F2955-Sens!F2954*Sens!F2966</f>
        <v>9.83660787546527</v>
      </c>
      <c r="G2967" s="6" t="n">
        <f aca="false">Sens!G2955-Sens!G2954*Sens!G2966</f>
        <v>9.36550388929808</v>
      </c>
      <c r="H2967" s="6" t="n">
        <f aca="false">Sens!H2955-Sens!H2954*Sens!H2966</f>
        <v>13.9814462720389</v>
      </c>
      <c r="I2967" s="6" t="n">
        <f aca="false">Sens!I2955-Sens!I2954*Sens!I2966</f>
        <v>15.1475772773821</v>
      </c>
      <c r="J2967" s="6" t="n">
        <f aca="false">Sens!J2955-Sens!J2954*Sens!J2966</f>
        <v>16.5224085436199</v>
      </c>
      <c r="K2967" s="6" t="n">
        <f aca="false">Sens!K2955-Sens!K2954*Sens!K2966</f>
        <v>19.4374632781496</v>
      </c>
    </row>
    <row r="2968" customFormat="false" ht="17.15" hidden="false" customHeight="false" outlineLevel="0" collapsed="false">
      <c r="A2968" s="3" t="s">
        <v>1310</v>
      </c>
    </row>
    <row r="2969" customFormat="false" ht="15" hidden="false" customHeight="false" outlineLevel="0" collapsed="false">
      <c r="A2969" s="4" t="s">
        <v>43</v>
      </c>
      <c r="B2969" s="4" t="s">
        <v>65</v>
      </c>
      <c r="C2969" s="20" t="s">
        <v>788</v>
      </c>
      <c r="D2969" s="20" t="s">
        <v>789</v>
      </c>
      <c r="E2969" s="20" t="s">
        <v>790</v>
      </c>
      <c r="F2969" s="20" t="s">
        <v>791</v>
      </c>
      <c r="G2969" s="20" t="s">
        <v>792</v>
      </c>
      <c r="H2969" s="20" t="s">
        <v>793</v>
      </c>
      <c r="I2969" s="20" t="s">
        <v>794</v>
      </c>
      <c r="J2969" s="20" t="s">
        <v>795</v>
      </c>
      <c r="K2969" s="20" t="s">
        <v>796</v>
      </c>
      <c r="L2969" s="4" t="s">
        <v>47</v>
      </c>
    </row>
    <row r="2970" customFormat="false" ht="17.15" hidden="false" customHeight="false" outlineLevel="0" collapsed="false">
      <c r="A2970" s="0" t="s">
        <v>864</v>
      </c>
      <c r="B2970" s="0" t="s">
        <v>98</v>
      </c>
      <c r="D2970" s="6" t="n">
        <f aca="false">Sens!D2949</f>
        <v>12.9359794422418</v>
      </c>
      <c r="E2970" s="6" t="n">
        <f aca="false">Sens!E2949</f>
        <v>27.8095064661409</v>
      </c>
      <c r="F2970" s="6" t="n">
        <f aca="false">Sens!F2949</f>
        <v>44.6254948777308</v>
      </c>
      <c r="G2970" s="6" t="n">
        <f aca="false">Sens!G2949</f>
        <v>56.0674797551436</v>
      </c>
      <c r="H2970" s="6" t="n">
        <f aca="false">Sens!H2949</f>
        <v>62.8454283172966</v>
      </c>
      <c r="I2970" s="6" t="n">
        <f aca="false">Sens!I2949</f>
        <v>64.4773296666165</v>
      </c>
      <c r="J2970" s="6" t="n">
        <f aca="false">Sens!J2949</f>
        <v>66.9418337451812</v>
      </c>
      <c r="K2970" s="6" t="n">
        <f aca="false">Sens!K2949</f>
        <v>71.8375377931408</v>
      </c>
    </row>
    <row r="2971" customFormat="false" ht="17.15" hidden="false" customHeight="false" outlineLevel="0" collapsed="false">
      <c r="A2971" s="0" t="s">
        <v>865</v>
      </c>
      <c r="B2971" s="0" t="s">
        <v>98</v>
      </c>
      <c r="D2971" s="6" t="n">
        <f aca="false">Q!L6-Sens!D2970</f>
        <v>59.6740205577583</v>
      </c>
      <c r="E2971" s="6" t="n">
        <f aca="false">Q!M6-Sens!E2970</f>
        <v>74.1284935338591</v>
      </c>
      <c r="F2971" s="6" t="n">
        <f aca="false">Sens!E2971*(1+Sens!F2972)</f>
        <v>90.0799497373663</v>
      </c>
      <c r="G2971" s="6" t="n">
        <f aca="false">Sens!F2971*(1+Sens!G2972)</f>
        <v>107.02842520331</v>
      </c>
      <c r="H2971" s="6" t="n">
        <f aca="false">Sens!G2971*(1+Sens!H2972)</f>
        <v>124.271982585636</v>
      </c>
      <c r="I2971" s="6" t="n">
        <f aca="false">Sens!H2971*(1+Sens!I2972)</f>
        <v>140.933702381855</v>
      </c>
      <c r="J2971" s="6" t="n">
        <f aca="false">Sens!I2971*(1+Sens!J2972)</f>
        <v>156.018867314332</v>
      </c>
      <c r="K2971" s="6" t="n">
        <f aca="false">Sens!J2971*(1+Sens!K2972)</f>
        <v>168.500376699478</v>
      </c>
    </row>
    <row r="2972" customFormat="false" ht="15" hidden="false" customHeight="false" outlineLevel="0" collapsed="false">
      <c r="A2972" s="1" t="s">
        <v>866</v>
      </c>
      <c r="B2972" s="0" t="s">
        <v>129</v>
      </c>
      <c r="E2972" s="7" t="n">
        <f aca="false">Sens!E2971/Sens!D2971-1</f>
        <v>0.242223883039864</v>
      </c>
      <c r="F2972" s="7" t="n">
        <f aca="false">Sens!$E$2972+(glt_azo-Sens!$E$2972)*MIN(1,(Sens!F2932-base_fy)/n_conv)</f>
        <v>0.215186569199887</v>
      </c>
      <c r="G2972" s="7" t="n">
        <f aca="false">Sens!$E$2972+(glt_azo-Sens!$E$2972)*MIN(1,(Sens!G2932-base_fy)/n_conv)</f>
        <v>0.18814925535991</v>
      </c>
      <c r="H2972" s="7" t="n">
        <f aca="false">Sens!$E$2972+(glt_azo-Sens!$E$2972)*MIN(1,(Sens!H2932-base_fy)/n_conv)</f>
        <v>0.161111941519932</v>
      </c>
      <c r="I2972" s="7" t="n">
        <f aca="false">Sens!$E$2972+(glt_azo-Sens!$E$2972)*MIN(1,(Sens!I2932-base_fy)/n_conv)</f>
        <v>0.134074627679955</v>
      </c>
      <c r="J2972" s="7" t="n">
        <f aca="false">Sens!$E$2972+(glt_azo-Sens!$E$2972)*MIN(1,(Sens!J2932-base_fy)/n_conv)</f>
        <v>0.107037313839977</v>
      </c>
      <c r="K2972" s="7" t="n">
        <f aca="false">Sens!$E$2972+(glt_azo-Sens!$E$2972)*MIN(1,(Sens!K2932-base_fy)/n_conv)</f>
        <v>0.08</v>
      </c>
    </row>
    <row r="2973" customFormat="false" ht="15" hidden="false" customHeight="false" outlineLevel="0" collapsed="false">
      <c r="A2973" s="0" t="s">
        <v>867</v>
      </c>
      <c r="B2973" s="0" t="s">
        <v>98</v>
      </c>
      <c r="D2973" s="6" t="n">
        <f aca="false">Sens!D2970+Sens!D2971</f>
        <v>72.61</v>
      </c>
      <c r="E2973" s="6" t="n">
        <f aca="false">Sens!E2970+Sens!E2971</f>
        <v>101.938</v>
      </c>
      <c r="F2973" s="6" t="n">
        <f aca="false">Sens!F2970+Sens!F2971</f>
        <v>134.705444615097</v>
      </c>
      <c r="G2973" s="6" t="n">
        <f aca="false">Sens!G2970+Sens!G2971</f>
        <v>163.095904958453</v>
      </c>
      <c r="H2973" s="6" t="n">
        <f aca="false">Sens!H2970+Sens!H2971</f>
        <v>187.117410902933</v>
      </c>
      <c r="I2973" s="6" t="n">
        <f aca="false">Sens!I2970+Sens!I2971</f>
        <v>205.411032048471</v>
      </c>
      <c r="J2973" s="6" t="n">
        <f aca="false">Sens!J2970+Sens!J2971</f>
        <v>222.960701059513</v>
      </c>
      <c r="K2973" s="6" t="n">
        <f aca="false">Sens!K2970+Sens!K2971</f>
        <v>240.337914492619</v>
      </c>
    </row>
    <row r="2974" customFormat="false" ht="17.15" hidden="false" customHeight="false" outlineLevel="0" collapsed="false">
      <c r="A2974" s="0" t="s">
        <v>868</v>
      </c>
      <c r="B2974" s="1" t="s">
        <v>521</v>
      </c>
      <c r="C2974" s="29" t="n">
        <f aca="false">cop_s24</f>
        <v>1</v>
      </c>
      <c r="D2974" s="29" t="n">
        <f aca="false">cop_s25</f>
        <v>5</v>
      </c>
      <c r="E2974" s="29" t="n">
        <f aca="false">cop_s26</f>
        <v>30</v>
      </c>
      <c r="F2974" s="29" t="n">
        <f aca="false">Sens!E2974+cop_add_A</f>
        <v>60</v>
      </c>
      <c r="G2974" s="29" t="n">
        <f aca="false">Sens!F2974+cop_add_A</f>
        <v>90</v>
      </c>
      <c r="H2974" s="29" t="n">
        <f aca="false">Sens!G2974+cop_add_A</f>
        <v>120</v>
      </c>
      <c r="I2974" s="29" t="n">
        <f aca="false">Sens!H2974+cop_add_A*cop_tail</f>
        <v>135</v>
      </c>
      <c r="J2974" s="29" t="n">
        <f aca="false">Sens!I2974+cop_add_A*cop_tail</f>
        <v>150</v>
      </c>
      <c r="K2974" s="29" t="n">
        <f aca="false">Sens!J2974+cop_add_A*cop_tail</f>
        <v>165</v>
      </c>
      <c r="L2974" s="11" t="s">
        <v>869</v>
      </c>
    </row>
    <row r="2975" customFormat="false" ht="17.15" hidden="false" customHeight="false" outlineLevel="0" collapsed="false">
      <c r="A2975" s="0" t="s">
        <v>870</v>
      </c>
      <c r="B2975" s="0" t="s">
        <v>98</v>
      </c>
      <c r="D2975" s="6" t="n">
        <f aca="false">(Sens!C2974+Sens!D2974)/2*cop_px*12/1000</f>
        <v>0.9</v>
      </c>
      <c r="E2975" s="6" t="n">
        <f aca="false">(Sens!D2974+Sens!E2974)/2*cop_px*12/1000</f>
        <v>5.25</v>
      </c>
      <c r="F2975" s="6" t="n">
        <f aca="false">(Sens!E2974+Sens!F2974)/2*cop_px*12/1000</f>
        <v>13.5</v>
      </c>
      <c r="G2975" s="6" t="n">
        <f aca="false">(Sens!F2974+Sens!G2974)/2*cop_px*12/1000</f>
        <v>22.5</v>
      </c>
      <c r="H2975" s="6" t="n">
        <f aca="false">(Sens!G2974+Sens!H2974)/2*cop_px*12/1000</f>
        <v>31.5</v>
      </c>
      <c r="I2975" s="6" t="n">
        <f aca="false">(Sens!H2974+Sens!I2974)/2*cop_px*12/1000</f>
        <v>38.25</v>
      </c>
      <c r="J2975" s="6" t="n">
        <f aca="false">(Sens!I2974+Sens!J2974)/2*cop_px*12/1000</f>
        <v>42.75</v>
      </c>
      <c r="K2975" s="6" t="n">
        <f aca="false">(Sens!J2974+Sens!K2974)/2*cop_px*12/1000</f>
        <v>47.25</v>
      </c>
      <c r="L2975" s="1" t="s">
        <v>871</v>
      </c>
    </row>
    <row r="2976" customFormat="false" ht="17.15" hidden="false" customHeight="false" outlineLevel="0" collapsed="false">
      <c r="A2976" s="0" t="s">
        <v>872</v>
      </c>
      <c r="B2976" s="0" t="s">
        <v>98</v>
      </c>
      <c r="D2976" s="6" t="n">
        <f aca="false">Q!L7-Sens!D2975</f>
        <v>83.705</v>
      </c>
      <c r="E2976" s="6" t="n">
        <f aca="false">Q!M7-Sens!E2975</f>
        <v>95.049</v>
      </c>
      <c r="F2976" s="6" t="n">
        <f aca="false">Sens!E2976*(1+Sens!F2977)</f>
        <v>106.89238776686</v>
      </c>
      <c r="G2976" s="6" t="n">
        <f aca="false">Sens!F2976*(1+Sens!G2977)</f>
        <v>119.044168448684</v>
      </c>
      <c r="H2976" s="6" t="n">
        <f aca="false">Sens!G2976*(1+Sens!H2977)</f>
        <v>131.277359388781</v>
      </c>
      <c r="I2976" s="6" t="n">
        <f aca="false">Sens!H2976*(1+Sens!I2977)</f>
        <v>143.334028071957</v>
      </c>
      <c r="J2976" s="6" t="n">
        <f aca="false">Sens!I2976*(1+Sens!J2977)</f>
        <v>154.932702785465</v>
      </c>
      <c r="K2976" s="6" t="n">
        <f aca="false">Sens!J2976*(1+Sens!K2977)</f>
        <v>165.777991980448</v>
      </c>
    </row>
    <row r="2977" customFormat="false" ht="15" hidden="false" customHeight="false" outlineLevel="0" collapsed="false">
      <c r="A2977" s="1" t="s">
        <v>866</v>
      </c>
      <c r="B2977" s="0" t="s">
        <v>129</v>
      </c>
      <c r="E2977" s="7" t="n">
        <f aca="false">Sens!E2976/Sens!D2976-1</f>
        <v>0.135523564900544</v>
      </c>
      <c r="F2977" s="7" t="n">
        <f aca="false">Sens!$E$2977+(glt_m365b-Sens!$E$2977)*MIN(1,(Sens!F2932-base_fy)/n_conv)</f>
        <v>0.124602970750453</v>
      </c>
      <c r="G2977" s="7" t="n">
        <f aca="false">Sens!$E$2977+(glt_m365b-Sens!$E$2977)*MIN(1,(Sens!G2932-base_fy)/n_conv)</f>
        <v>0.113682376600363</v>
      </c>
      <c r="H2977" s="7" t="n">
        <f aca="false">Sens!$E$2977+(glt_m365b-Sens!$E$2977)*MIN(1,(Sens!H2932-base_fy)/n_conv)</f>
        <v>0.102761782450272</v>
      </c>
      <c r="I2977" s="7" t="n">
        <f aca="false">Sens!$E$2977+(glt_m365b-Sens!$E$2977)*MIN(1,(Sens!I2932-base_fy)/n_conv)</f>
        <v>0.0918411883001813</v>
      </c>
      <c r="J2977" s="7" t="n">
        <f aca="false">Sens!$E$2977+(glt_m365b-Sens!$E$2977)*MIN(1,(Sens!J2932-base_fy)/n_conv)</f>
        <v>0.0809205941500906</v>
      </c>
      <c r="K2977" s="7" t="n">
        <f aca="false">Sens!$E$2977+(glt_m365b-Sens!$E$2977)*MIN(1,(Sens!K2932-base_fy)/n_conv)</f>
        <v>0.07</v>
      </c>
    </row>
    <row r="2978" customFormat="false" ht="15" hidden="false" customHeight="false" outlineLevel="0" collapsed="false">
      <c r="A2978" s="0" t="s">
        <v>873</v>
      </c>
      <c r="B2978" s="0" t="s">
        <v>98</v>
      </c>
      <c r="D2978" s="6" t="n">
        <f aca="false">Sens!D2976+Sens!D2975</f>
        <v>84.605</v>
      </c>
      <c r="E2978" s="6" t="n">
        <f aca="false">Sens!E2976+Sens!E2975</f>
        <v>100.299</v>
      </c>
      <c r="F2978" s="6" t="n">
        <f aca="false">Sens!F2976+Sens!F2975</f>
        <v>120.39238776686</v>
      </c>
      <c r="G2978" s="6" t="n">
        <f aca="false">Sens!G2976+Sens!G2975</f>
        <v>141.544168448684</v>
      </c>
      <c r="H2978" s="6" t="n">
        <f aca="false">Sens!H2976+Sens!H2975</f>
        <v>162.777359388781</v>
      </c>
      <c r="I2978" s="6" t="n">
        <f aca="false">Sens!I2976+Sens!I2975</f>
        <v>181.584028071957</v>
      </c>
      <c r="J2978" s="6" t="n">
        <f aca="false">Sens!J2976+Sens!J2975</f>
        <v>197.682702785465</v>
      </c>
      <c r="K2978" s="6" t="n">
        <f aca="false">Sens!K2976+Sens!K2975</f>
        <v>213.027991980448</v>
      </c>
    </row>
    <row r="2979" customFormat="false" ht="15" hidden="false" customHeight="false" outlineLevel="0" collapsed="false">
      <c r="A2979" s="0" t="s">
        <v>874</v>
      </c>
      <c r="B2979" s="0" t="s">
        <v>98</v>
      </c>
      <c r="D2979" s="6" t="n">
        <f aca="false">Q!L8</f>
        <v>35.391</v>
      </c>
      <c r="E2979" s="6" t="n">
        <f aca="false">Q!M8</f>
        <v>37.285</v>
      </c>
      <c r="F2979" s="6" t="n">
        <f aca="false">Sens!E2979*(1+Sens!F2980)</f>
        <v>39.0720834331704</v>
      </c>
      <c r="G2979" s="6" t="n">
        <f aca="false">Sens!F2979*(1+Sens!G2980)</f>
        <v>40.726562953769</v>
      </c>
      <c r="H2979" s="6" t="n">
        <f aca="false">Sens!G2979*(1+Sens!H2980)</f>
        <v>42.2235987259198</v>
      </c>
      <c r="I2979" s="6" t="n">
        <f aca="false">Sens!H2979*(1+Sens!I2980)</f>
        <v>43.5397988077414</v>
      </c>
      <c r="J2979" s="6" t="n">
        <f aca="false">Sens!I2979*(1+Sens!J2980)</f>
        <v>44.653811225693</v>
      </c>
      <c r="K2979" s="6" t="n">
        <f aca="false">Sens!J2979*(1+Sens!K2980)</f>
        <v>45.5468874502068</v>
      </c>
    </row>
    <row r="2980" customFormat="false" ht="15" hidden="false" customHeight="false" outlineLevel="0" collapsed="false">
      <c r="A2980" s="1" t="s">
        <v>866</v>
      </c>
      <c r="B2980" s="0" t="s">
        <v>129</v>
      </c>
      <c r="E2980" s="7" t="n">
        <f aca="false">Sens!E2979/Sens!D2979-1</f>
        <v>0.0535164307309768</v>
      </c>
      <c r="F2980" s="7" t="n">
        <f aca="false">Sens!$E$2980+(glt_lic-Sens!$E$2980)*MIN(1,(Sens!F2932-base_fy)/n_conv)</f>
        <v>0.0479303589424807</v>
      </c>
      <c r="G2980" s="7" t="n">
        <f aca="false">Sens!$E$2980+(glt_lic-Sens!$E$2980)*MIN(1,(Sens!G2932-base_fy)/n_conv)</f>
        <v>0.0423442871539845</v>
      </c>
      <c r="H2980" s="7" t="n">
        <f aca="false">Sens!$E$2980+(glt_lic-Sens!$E$2980)*MIN(1,(Sens!H2932-base_fy)/n_conv)</f>
        <v>0.0367582153654884</v>
      </c>
      <c r="I2980" s="7" t="n">
        <f aca="false">Sens!$E$2980+(glt_lic-Sens!$E$2980)*MIN(1,(Sens!I2932-base_fy)/n_conv)</f>
        <v>0.0311721435769923</v>
      </c>
      <c r="J2980" s="7" t="n">
        <f aca="false">Sens!$E$2980+(glt_lic-Sens!$E$2980)*MIN(1,(Sens!J2932-base_fy)/n_conv)</f>
        <v>0.0255860717884961</v>
      </c>
      <c r="K2980" s="7" t="n">
        <f aca="false">Sens!$E$2980+(glt_lic-Sens!$E$2980)*MIN(1,(Sens!K2932-base_fy)/n_conv)</f>
        <v>0.02</v>
      </c>
    </row>
    <row r="2981" customFormat="false" ht="15" hidden="false" customHeight="false" outlineLevel="0" collapsed="false">
      <c r="A2981" s="0" t="s">
        <v>875</v>
      </c>
      <c r="B2981" s="0" t="s">
        <v>98</v>
      </c>
      <c r="D2981" s="6" t="n">
        <f aca="false">Q!L9</f>
        <v>18.417</v>
      </c>
      <c r="E2981" s="6" t="n">
        <f aca="false">Q!M9</f>
        <v>20.345</v>
      </c>
      <c r="F2981" s="6" t="n">
        <f aca="false">Sens!E2981*(1+Sens!F2982)</f>
        <v>22.3572203267814</v>
      </c>
      <c r="G2981" s="6" t="n">
        <f aca="false">Sens!F2981*(1+Sens!G2982)</f>
        <v>24.4392124437232</v>
      </c>
      <c r="H2981" s="6" t="n">
        <f aca="false">Sens!G2981*(1+Sens!H2982)</f>
        <v>26.5738052080665</v>
      </c>
      <c r="I2981" s="6" t="n">
        <f aca="false">Sens!H2981*(1+Sens!I2982)</f>
        <v>28.7412169166967</v>
      </c>
      <c r="J2981" s="6" t="n">
        <f aca="false">Sens!I2981*(1+Sens!J2982)</f>
        <v>30.9192545395413</v>
      </c>
      <c r="K2981" s="6" t="n">
        <f aca="false">Sens!J2981*(1+Sens!K2982)</f>
        <v>33.0836023573092</v>
      </c>
    </row>
    <row r="2982" customFormat="false" ht="15" hidden="false" customHeight="false" outlineLevel="0" collapsed="false">
      <c r="A2982" s="1" t="s">
        <v>866</v>
      </c>
      <c r="B2982" s="0" t="s">
        <v>129</v>
      </c>
      <c r="E2982" s="7" t="n">
        <f aca="false">Sens!E2981/Sens!D2981-1</f>
        <v>0.104685888038225</v>
      </c>
      <c r="F2982" s="7" t="n">
        <f aca="false">Sens!$E$2982+(glt_ind-Sens!$E$2982)*MIN(1,(Sens!F2932-base_fy)/n_conv)</f>
        <v>0.0989049066985211</v>
      </c>
      <c r="G2982" s="7" t="n">
        <f aca="false">Sens!$E$2982+(glt_ind-Sens!$E$2982)*MIN(1,(Sens!G2932-base_fy)/n_conv)</f>
        <v>0.0931239253588169</v>
      </c>
      <c r="H2982" s="7" t="n">
        <f aca="false">Sens!$E$2982+(glt_ind-Sens!$E$2982)*MIN(1,(Sens!H2932-base_fy)/n_conv)</f>
        <v>0.0873429440191127</v>
      </c>
      <c r="I2982" s="7" t="n">
        <f aca="false">Sens!$E$2982+(glt_ind-Sens!$E$2982)*MIN(1,(Sens!I2932-base_fy)/n_conv)</f>
        <v>0.0815619626794085</v>
      </c>
      <c r="J2982" s="7" t="n">
        <f aca="false">Sens!$E$2982+(glt_ind-Sens!$E$2982)*MIN(1,(Sens!J2932-base_fy)/n_conv)</f>
        <v>0.0757809813397042</v>
      </c>
      <c r="K2982" s="7" t="n">
        <f aca="false">Sens!$E$2982+(glt_ind-Sens!$E$2982)*MIN(1,(Sens!K2932-base_fy)/n_conv)</f>
        <v>0.07</v>
      </c>
    </row>
    <row r="2983" customFormat="false" ht="15" hidden="false" customHeight="false" outlineLevel="0" collapsed="false">
      <c r="A2983" s="0" t="s">
        <v>876</v>
      </c>
      <c r="B2983" s="0" t="s">
        <v>98</v>
      </c>
      <c r="D2983" s="6" t="n">
        <f aca="false">Q!L10</f>
        <v>7.76</v>
      </c>
      <c r="E2983" s="6" t="n">
        <f aca="false">Q!M10</f>
        <v>8.26</v>
      </c>
      <c r="F2983" s="6" t="n">
        <f aca="false">Sens!E2983*(1+Sens!F2984)</f>
        <v>8.79988041237113</v>
      </c>
      <c r="G2983" s="6" t="n">
        <f aca="false">Sens!F2983*(1+Sens!G2984)</f>
        <v>9.38321269125306</v>
      </c>
      <c r="H2983" s="6" t="n">
        <f aca="false">Sens!G2983*(1+Sens!H2984)</f>
        <v>10.0139193587476</v>
      </c>
      <c r="I2983" s="6" t="n">
        <f aca="false">Sens!H2983*(1+Sens!I2984)</f>
        <v>10.6963111830911</v>
      </c>
      <c r="J2983" s="6" t="n">
        <f aca="false">Sens!I2983*(1+Sens!J2984)</f>
        <v>11.4351285534696</v>
      </c>
      <c r="K2983" s="6" t="n">
        <f aca="false">Sens!J2983*(1+Sens!K2984)</f>
        <v>12.2355875522124</v>
      </c>
    </row>
    <row r="2984" customFormat="false" ht="15" hidden="false" customHeight="false" outlineLevel="0" collapsed="false">
      <c r="A2984" s="1" t="s">
        <v>866</v>
      </c>
      <c r="B2984" s="0" t="s">
        <v>129</v>
      </c>
      <c r="E2984" s="7" t="n">
        <f aca="false">Sens!E2983/Sens!D2983-1</f>
        <v>0.0644329896907216</v>
      </c>
      <c r="F2984" s="7" t="n">
        <f aca="false">Sens!$E$2984+(glt_fro-Sens!$E$2984)*MIN(1,(Sens!F2932-base_fy)/n_conv)</f>
        <v>0.065360824742268</v>
      </c>
      <c r="G2984" s="7" t="n">
        <f aca="false">Sens!$E$2984+(glt_fro-Sens!$E$2984)*MIN(1,(Sens!G2932-base_fy)/n_conv)</f>
        <v>0.0662886597938144</v>
      </c>
      <c r="H2984" s="7" t="n">
        <f aca="false">Sens!$E$2984+(glt_fro-Sens!$E$2984)*MIN(1,(Sens!H2932-base_fy)/n_conv)</f>
        <v>0.0672164948453608</v>
      </c>
      <c r="I2984" s="7" t="n">
        <f aca="false">Sens!$E$2984+(glt_fro-Sens!$E$2984)*MIN(1,(Sens!I2932-base_fy)/n_conv)</f>
        <v>0.0681443298969072</v>
      </c>
      <c r="J2984" s="7" t="n">
        <f aca="false">Sens!$E$2984+(glt_fro-Sens!$E$2984)*MIN(1,(Sens!J2932-base_fy)/n_conv)</f>
        <v>0.0690721649484536</v>
      </c>
      <c r="K2984" s="7" t="n">
        <f aca="false">Sens!$E$2984+(glt_fro-Sens!$E$2984)*MIN(1,(Sens!K2932-base_fy)/n_conv)</f>
        <v>0.07</v>
      </c>
    </row>
    <row r="2985" customFormat="false" ht="15" hidden="false" customHeight="false" outlineLevel="0" collapsed="false">
      <c r="A2985" s="0" t="s">
        <v>704</v>
      </c>
      <c r="B2985" s="0" t="s">
        <v>98</v>
      </c>
      <c r="D2985" s="6" t="n">
        <f aca="false">Sens!D2973+Sens!D2978+Sens!D2979+Sens!D2981+Sens!D2983</f>
        <v>218.783</v>
      </c>
      <c r="E2985" s="6" t="n">
        <f aca="false">Sens!E2973+Sens!E2978+Sens!E2979+Sens!E2981+Sens!E2983</f>
        <v>268.127</v>
      </c>
      <c r="F2985" s="6" t="n">
        <f aca="false">Sens!F2973+Sens!F2978+Sens!F2979+Sens!F2981+Sens!F2983</f>
        <v>325.32701655428</v>
      </c>
      <c r="G2985" s="6" t="n">
        <f aca="false">Sens!G2973+Sens!G2978+Sens!G2979+Sens!G2981+Sens!G2983</f>
        <v>379.189061495883</v>
      </c>
      <c r="H2985" s="6" t="n">
        <f aca="false">Sens!H2973+Sens!H2978+Sens!H2979+Sens!H2981+Sens!H2983</f>
        <v>428.706093584448</v>
      </c>
      <c r="I2985" s="6" t="n">
        <f aca="false">Sens!I2973+Sens!I2978+Sens!I2979+Sens!I2981+Sens!I2983</f>
        <v>469.972387027957</v>
      </c>
      <c r="J2985" s="6" t="n">
        <f aca="false">Sens!J2973+Sens!J2978+Sens!J2979+Sens!J2981+Sens!J2983</f>
        <v>507.651598163682</v>
      </c>
      <c r="K2985" s="6" t="n">
        <f aca="false">Sens!K2973+Sens!K2978+Sens!K2979+Sens!K2981+Sens!K2983</f>
        <v>544.231983832795</v>
      </c>
    </row>
    <row r="2986" customFormat="false" ht="15" hidden="false" customHeight="false" outlineLevel="0" collapsed="false">
      <c r="A2986" s="0" t="s">
        <v>877</v>
      </c>
      <c r="B2986" s="0" t="s">
        <v>98</v>
      </c>
      <c r="D2986" s="6" t="n">
        <f aca="false">Q!L13</f>
        <v>22.171</v>
      </c>
      <c r="E2986" s="6" t="n">
        <f aca="false">Q!M13</f>
        <v>24.835</v>
      </c>
      <c r="F2986" s="6" t="n">
        <f aca="false">Sens!E2986*(1+Sens!F2987)</f>
        <v>27.6114901218559</v>
      </c>
      <c r="G2986" s="6" t="n">
        <f aca="false">Sens!F2986*(1+Sens!G2987)</f>
        <v>30.4675667338515</v>
      </c>
      <c r="H2986" s="6" t="n">
        <f aca="false">Sens!G2986*(1+Sens!H2987)</f>
        <v>33.3643766955789</v>
      </c>
      <c r="I2986" s="6" t="n">
        <f aca="false">Sens!H2986*(1+Sens!I2987)</f>
        <v>36.2577016533691</v>
      </c>
      <c r="J2986" s="6" t="n">
        <f aca="false">Sens!I2986*(1+Sens!J2987)</f>
        <v>39.0988367952171</v>
      </c>
      <c r="K2986" s="6" t="n">
        <f aca="false">Sens!J2986*(1+Sens!K2987)</f>
        <v>41.8357553708823</v>
      </c>
    </row>
    <row r="2987" customFormat="false" ht="15" hidden="false" customHeight="false" outlineLevel="0" collapsed="false">
      <c r="A2987" s="1" t="s">
        <v>866</v>
      </c>
      <c r="B2987" s="0" t="s">
        <v>129</v>
      </c>
      <c r="E2987" s="7" t="n">
        <f aca="false">Sens!E2986/Sens!D2986-1</f>
        <v>0.120156961796942</v>
      </c>
      <c r="F2987" s="7" t="n">
        <f aca="false">Sens!$E$2987+(glt_srch-Sens!$E$2987)*MIN(1,(Sens!F2932-base_fy)/n_conv)</f>
        <v>0.111797468164118</v>
      </c>
      <c r="G2987" s="7" t="n">
        <f aca="false">Sens!$E$2987+(glt_srch-Sens!$E$2987)*MIN(1,(Sens!G2932-base_fy)/n_conv)</f>
        <v>0.103437974531295</v>
      </c>
      <c r="H2987" s="7" t="n">
        <f aca="false">Sens!$E$2987+(glt_srch-Sens!$E$2987)*MIN(1,(Sens!H2932-base_fy)/n_conv)</f>
        <v>0.095078480898471</v>
      </c>
      <c r="I2987" s="7" t="n">
        <f aca="false">Sens!$E$2987+(glt_srch-Sens!$E$2987)*MIN(1,(Sens!I2932-base_fy)/n_conv)</f>
        <v>0.0867189872656474</v>
      </c>
      <c r="J2987" s="7" t="n">
        <f aca="false">Sens!$E$2987+(glt_srch-Sens!$E$2987)*MIN(1,(Sens!J2932-base_fy)/n_conv)</f>
        <v>0.0783594936328237</v>
      </c>
      <c r="K2987" s="7" t="n">
        <f aca="false">Sens!$E$2987+(glt_srch-Sens!$E$2987)*MIN(1,(Sens!K2932-base_fy)/n_conv)</f>
        <v>0.07</v>
      </c>
    </row>
    <row r="2988" customFormat="false" ht="15" hidden="false" customHeight="false" outlineLevel="0" collapsed="false">
      <c r="A2988" s="0" t="s">
        <v>878</v>
      </c>
      <c r="B2988" s="0" t="s">
        <v>98</v>
      </c>
      <c r="D2988" s="6" t="n">
        <f aca="false">Q!L14</f>
        <v>23.455</v>
      </c>
      <c r="E2988" s="6" t="n">
        <f aca="false">Q!M14</f>
        <v>21.79</v>
      </c>
      <c r="F2988" s="6" t="n">
        <f aca="false">Sens!E2988*(1+Sens!F2989)</f>
        <v>20.5736277908051</v>
      </c>
      <c r="G2988" s="6" t="n">
        <f aca="false">Sens!F2988*(1+Sens!G2989)</f>
        <v>19.7371452817919</v>
      </c>
      <c r="H2988" s="6" t="n">
        <f aca="false">Sens!G2988*(1+Sens!H2989)</f>
        <v>19.2339764043138</v>
      </c>
      <c r="I2988" s="6" t="n">
        <f aca="false">Sens!H2988*(1+Sens!I2989)</f>
        <v>19.0353086852681</v>
      </c>
      <c r="J2988" s="6" t="n">
        <f aca="false">Sens!I2988*(1+Sens!J2989)</f>
        <v>19.1273539319129</v>
      </c>
      <c r="K2988" s="6" t="n">
        <f aca="false">Sens!J2988*(1+Sens!K2989)</f>
        <v>19.5099010105511</v>
      </c>
    </row>
    <row r="2989" customFormat="false" ht="15" hidden="false" customHeight="false" outlineLevel="0" collapsed="false">
      <c r="A2989" s="1" t="s">
        <v>866</v>
      </c>
      <c r="B2989" s="0" t="s">
        <v>129</v>
      </c>
      <c r="E2989" s="7" t="n">
        <f aca="false">Sens!E2988/Sens!D2988-1</f>
        <v>-0.0709869963760392</v>
      </c>
      <c r="F2989" s="7" t="n">
        <f aca="false">Sens!$E$2989+(glt_xbox-Sens!$E$2989)*MIN(1,(Sens!F2932-base_fy)/n_conv)</f>
        <v>-0.0558224969800327</v>
      </c>
      <c r="G2989" s="7" t="n">
        <f aca="false">Sens!$E$2989+(glt_xbox-Sens!$E$2989)*MIN(1,(Sens!G2932-base_fy)/n_conv)</f>
        <v>-0.0406579975840262</v>
      </c>
      <c r="H2989" s="7" t="n">
        <f aca="false">Sens!$E$2989+(glt_xbox-Sens!$E$2989)*MIN(1,(Sens!H2932-base_fy)/n_conv)</f>
        <v>-0.0254934981880196</v>
      </c>
      <c r="I2989" s="7" t="n">
        <f aca="false">Sens!$E$2989+(glt_xbox-Sens!$E$2989)*MIN(1,(Sens!I2932-base_fy)/n_conv)</f>
        <v>-0.0103289987920131</v>
      </c>
      <c r="J2989" s="7" t="n">
        <f aca="false">Sens!$E$2989+(glt_xbox-Sens!$E$2989)*MIN(1,(Sens!J2932-base_fy)/n_conv)</f>
        <v>0.00483550060399347</v>
      </c>
      <c r="K2989" s="7" t="n">
        <f aca="false">Sens!$E$2989+(glt_xbox-Sens!$E$2989)*MIN(1,(Sens!K2932-base_fy)/n_conv)</f>
        <v>0.02</v>
      </c>
    </row>
    <row r="2990" customFormat="false" ht="15" hidden="false" customHeight="false" outlineLevel="0" collapsed="false">
      <c r="A2990" s="0" t="s">
        <v>879</v>
      </c>
      <c r="B2990" s="0" t="s">
        <v>98</v>
      </c>
      <c r="D2990" s="6" t="n">
        <f aca="false">Q!L15</f>
        <v>17.315</v>
      </c>
      <c r="E2990" s="6" t="n">
        <f aca="false">Q!M15</f>
        <v>17.087</v>
      </c>
      <c r="F2990" s="6" t="n">
        <f aca="false">Sens!E2990*(1+Sens!F2991)</f>
        <v>16.9564585436519</v>
      </c>
      <c r="G2990" s="6" t="n">
        <f aca="false">Sens!F2990*(1+Sens!G2991)</f>
        <v>16.9206490624268</v>
      </c>
      <c r="H2990" s="6" t="n">
        <f aca="false">Sens!G2990*(1+Sens!H2991)</f>
        <v>16.9784519149849</v>
      </c>
      <c r="I2990" s="6" t="n">
        <f aca="false">Sens!H2990*(1+Sens!I2991)</f>
        <v>17.1303084701817</v>
      </c>
      <c r="J2990" s="6" t="n">
        <f aca="false">Sens!I2990*(1+Sens!J2991)</f>
        <v>17.3782189407267</v>
      </c>
      <c r="K2990" s="6" t="n">
        <f aca="false">Sens!J2990*(1+Sens!K2991)</f>
        <v>17.7257833195413</v>
      </c>
    </row>
    <row r="2991" customFormat="false" ht="15" hidden="false" customHeight="false" outlineLevel="0" collapsed="false">
      <c r="A2991" s="1" t="s">
        <v>866</v>
      </c>
      <c r="B2991" s="0" t="s">
        <v>129</v>
      </c>
      <c r="E2991" s="7" t="n">
        <f aca="false">Sens!E2990/Sens!D2990-1</f>
        <v>-0.0131677736066995</v>
      </c>
      <c r="F2991" s="7" t="n">
        <f aca="false">Sens!$E$2991+(glt_win-Sens!$E$2991)*MIN(1,(Sens!F2932-base_fy)/n_conv)</f>
        <v>-0.00763981133891627</v>
      </c>
      <c r="G2991" s="7" t="n">
        <f aca="false">Sens!$E$2991+(glt_win-Sens!$E$2991)*MIN(1,(Sens!G2932-base_fy)/n_conv)</f>
        <v>-0.00211184907113301</v>
      </c>
      <c r="H2991" s="7" t="n">
        <f aca="false">Sens!$E$2991+(glt_win-Sens!$E$2991)*MIN(1,(Sens!H2932-base_fy)/n_conv)</f>
        <v>0.00341611319665024</v>
      </c>
      <c r="I2991" s="7" t="n">
        <f aca="false">Sens!$E$2991+(glt_win-Sens!$E$2991)*MIN(1,(Sens!I2932-base_fy)/n_conv)</f>
        <v>0.00894407546443349</v>
      </c>
      <c r="J2991" s="7" t="n">
        <f aca="false">Sens!$E$2991+(glt_win-Sens!$E$2991)*MIN(1,(Sens!J2932-base_fy)/n_conv)</f>
        <v>0.0144720377322168</v>
      </c>
      <c r="K2991" s="7" t="n">
        <f aca="false">Sens!$E$2991+(glt_win-Sens!$E$2991)*MIN(1,(Sens!K2932-base_fy)/n_conv)</f>
        <v>0.02</v>
      </c>
    </row>
    <row r="2992" customFormat="false" ht="15" hidden="false" customHeight="false" outlineLevel="0" collapsed="false">
      <c r="A2992" s="0" t="s">
        <v>718</v>
      </c>
      <c r="B2992" s="0" t="s">
        <v>98</v>
      </c>
      <c r="D2992" s="6" t="n">
        <f aca="false">Sens!D2986+Sens!D2988+Sens!D2990</f>
        <v>62.941</v>
      </c>
      <c r="E2992" s="6" t="n">
        <f aca="false">Sens!E2986+Sens!E2988+Sens!E2990</f>
        <v>63.712</v>
      </c>
      <c r="F2992" s="6" t="n">
        <f aca="false">Sens!F2986+Sens!F2988+Sens!F2990</f>
        <v>65.1415764563129</v>
      </c>
      <c r="G2992" s="6" t="n">
        <f aca="false">Sens!G2986+Sens!G2988+Sens!G2990</f>
        <v>67.1253610780702</v>
      </c>
      <c r="H2992" s="6" t="n">
        <f aca="false">Sens!H2986+Sens!H2988+Sens!H2990</f>
        <v>69.5768050148776</v>
      </c>
      <c r="I2992" s="6" t="n">
        <f aca="false">Sens!I2986+Sens!I2988+Sens!I2990</f>
        <v>72.4233188088189</v>
      </c>
      <c r="J2992" s="6" t="n">
        <f aca="false">Sens!J2986+Sens!J2988+Sens!J2990</f>
        <v>75.6044096678567</v>
      </c>
      <c r="K2992" s="6" t="n">
        <f aca="false">Sens!K2986+Sens!K2988+Sens!K2990</f>
        <v>79.0714397009747</v>
      </c>
    </row>
    <row r="2993" customFormat="false" ht="15" hidden="false" customHeight="false" outlineLevel="0" collapsed="false">
      <c r="A2993" s="1" t="s">
        <v>880</v>
      </c>
      <c r="B2993" s="0" t="s">
        <v>98</v>
      </c>
      <c r="D2993" s="6" t="n">
        <f aca="false">Sens!D2985+Sens!D2992</f>
        <v>281.724</v>
      </c>
      <c r="E2993" s="6" t="n">
        <f aca="false">Sens!E2985+Sens!E2992</f>
        <v>331.839</v>
      </c>
      <c r="F2993" s="6" t="n">
        <f aca="false">Sens!F2985+Sens!F2992</f>
        <v>390.468593010593</v>
      </c>
      <c r="G2993" s="6" t="n">
        <f aca="false">Sens!G2985+Sens!G2992</f>
        <v>446.314422573953</v>
      </c>
      <c r="H2993" s="6" t="n">
        <f aca="false">Sens!H2985+Sens!H2992</f>
        <v>498.282898599325</v>
      </c>
      <c r="I2993" s="6" t="n">
        <f aca="false">Sens!I2985+Sens!I2992</f>
        <v>542.395705836776</v>
      </c>
      <c r="J2993" s="6" t="n">
        <f aca="false">Sens!J2985+Sens!J2992</f>
        <v>583.256007831539</v>
      </c>
      <c r="K2993" s="6" t="n">
        <f aca="false">Sens!K2985+Sens!K2992</f>
        <v>623.30342353377</v>
      </c>
    </row>
    <row r="2994" customFormat="false" ht="15" hidden="false" customHeight="false" outlineLevel="0" collapsed="false">
      <c r="A2994" s="23" t="s">
        <v>881</v>
      </c>
      <c r="B2994" s="30" t="s">
        <v>98</v>
      </c>
      <c r="C2994" s="30"/>
      <c r="D2994" s="24" t="n">
        <f aca="false">(Sens!D2973+Sens!D2978+Sens!D2979+Sens!D2981+Sens!D2983-Sens!D2985)+(Sens!D2986+Sens!D2988+Sens!D2990-Sens!D2992)+(Sens!D2985-Q!L5)+(Sens!D2992-Q!L12)+(Sens!D2973-Q!L6)+(Sens!D2978-Q!L7)</f>
        <v>0</v>
      </c>
      <c r="E2994" s="24" t="n">
        <f aca="false">(Sens!E2973+Sens!E2978+Sens!E2979+Sens!E2981+Sens!E2983-Sens!E2985)+(Sens!E2986+Sens!E2988+Sens!E2990-Sens!E2992)+(Sens!E2985-Q!M5)+(Sens!E2992-Q!M12)+(Sens!E2973-Q!M6)+(Sens!E2978-Q!M7)</f>
        <v>0</v>
      </c>
      <c r="F2994" s="24" t="n">
        <f aca="false">(Sens!F2973+Sens!F2978+Sens!F2979+Sens!F2981+Sens!F2983-Sens!F2985)+(Sens!F2986+Sens!F2988+Sens!F2990-Sens!F2992)</f>
        <v>0</v>
      </c>
      <c r="G2994" s="24" t="n">
        <f aca="false">(Sens!G2973+Sens!G2978+Sens!G2979+Sens!G2981+Sens!G2983-Sens!G2985)+(Sens!G2986+Sens!G2988+Sens!G2990-Sens!G2992)</f>
        <v>0</v>
      </c>
      <c r="H2994" s="24" t="n">
        <f aca="false">(Sens!H2973+Sens!H2978+Sens!H2979+Sens!H2981+Sens!H2983-Sens!H2985)+(Sens!H2986+Sens!H2988+Sens!H2990-Sens!H2992)</f>
        <v>0</v>
      </c>
      <c r="I2994" s="24" t="n">
        <f aca="false">(Sens!I2973+Sens!I2978+Sens!I2979+Sens!I2981+Sens!I2983-Sens!I2985)+(Sens!I2986+Sens!I2988+Sens!I2990-Sens!I2992)</f>
        <v>0</v>
      </c>
      <c r="J2994" s="24" t="n">
        <f aca="false">(Sens!J2973+Sens!J2978+Sens!J2979+Sens!J2981+Sens!J2983-Sens!J2985)+(Sens!J2986+Sens!J2988+Sens!J2990-Sens!J2992)</f>
        <v>0</v>
      </c>
      <c r="K2994" s="24" t="n">
        <f aca="false">(Sens!K2973+Sens!K2978+Sens!K2979+Sens!K2981+Sens!K2983-Sens!K2985)+(Sens!K2986+Sens!K2988+Sens!K2990-Sens!K2992)</f>
        <v>0</v>
      </c>
    </row>
    <row r="2995" customFormat="false" ht="17.15" hidden="false" customHeight="false" outlineLevel="0" collapsed="false">
      <c r="A2995" s="3" t="s">
        <v>1311</v>
      </c>
    </row>
    <row r="2996" customFormat="false" ht="15" hidden="false" customHeight="false" outlineLevel="0" collapsed="false">
      <c r="A2996" s="4" t="s">
        <v>43</v>
      </c>
      <c r="B2996" s="4" t="s">
        <v>65</v>
      </c>
      <c r="C2996" s="20" t="s">
        <v>788</v>
      </c>
      <c r="D2996" s="20" t="s">
        <v>789</v>
      </c>
      <c r="E2996" s="20" t="s">
        <v>790</v>
      </c>
      <c r="F2996" s="20" t="s">
        <v>791</v>
      </c>
      <c r="G2996" s="20" t="s">
        <v>792</v>
      </c>
      <c r="H2996" s="20" t="s">
        <v>793</v>
      </c>
      <c r="I2996" s="20" t="s">
        <v>794</v>
      </c>
      <c r="J2996" s="20" t="s">
        <v>795</v>
      </c>
      <c r="K2996" s="20" t="s">
        <v>796</v>
      </c>
      <c r="L2996" s="4" t="s">
        <v>47</v>
      </c>
    </row>
    <row r="2997" customFormat="false" ht="15" hidden="false" customHeight="false" outlineLevel="0" collapsed="false">
      <c r="A2997" s="0" t="s">
        <v>867</v>
      </c>
      <c r="B2997" s="0" t="s">
        <v>98</v>
      </c>
      <c r="D2997" s="6" t="n">
        <f aca="false">Sens!D2973</f>
        <v>72.61</v>
      </c>
      <c r="E2997" s="6" t="n">
        <f aca="false">Sens!E2973</f>
        <v>101.938</v>
      </c>
      <c r="F2997" s="6" t="n">
        <f aca="false">Sens!F2973</f>
        <v>134.705444615097</v>
      </c>
      <c r="G2997" s="6" t="n">
        <f aca="false">Sens!G2973</f>
        <v>163.095904958453</v>
      </c>
      <c r="H2997" s="6" t="n">
        <f aca="false">Sens!H2973</f>
        <v>187.117410902933</v>
      </c>
      <c r="I2997" s="6" t="n">
        <f aca="false">Sens!I2973</f>
        <v>205.411032048471</v>
      </c>
      <c r="J2997" s="6" t="n">
        <f aca="false">Sens!J2973</f>
        <v>222.960701059513</v>
      </c>
      <c r="K2997" s="6" t="n">
        <f aca="false">Sens!K2973</f>
        <v>240.337914492619</v>
      </c>
    </row>
    <row r="2998" customFormat="false" ht="17.15" hidden="false" customHeight="false" outlineLevel="0" collapsed="false">
      <c r="A2998" s="0" t="s">
        <v>864</v>
      </c>
      <c r="B2998" s="0" t="s">
        <v>98</v>
      </c>
      <c r="D2998" s="6" t="n">
        <f aca="false">Sens!D2970</f>
        <v>12.9359794422418</v>
      </c>
      <c r="E2998" s="6" t="n">
        <f aca="false">Sens!E2970</f>
        <v>27.8095064661409</v>
      </c>
      <c r="F2998" s="6" t="n">
        <f aca="false">Sens!F2970</f>
        <v>44.6254948777308</v>
      </c>
      <c r="G2998" s="6" t="n">
        <f aca="false">Sens!G2970</f>
        <v>56.0674797551436</v>
      </c>
      <c r="H2998" s="6" t="n">
        <f aca="false">Sens!H2970</f>
        <v>62.8454283172966</v>
      </c>
      <c r="I2998" s="6" t="n">
        <f aca="false">Sens!I2970</f>
        <v>64.4773296666165</v>
      </c>
      <c r="J2998" s="6" t="n">
        <f aca="false">Sens!J2970</f>
        <v>66.9418337451812</v>
      </c>
      <c r="K2998" s="6" t="n">
        <f aca="false">Sens!K2970</f>
        <v>71.8375377931408</v>
      </c>
    </row>
    <row r="2999" customFormat="false" ht="17.15" hidden="false" customHeight="false" outlineLevel="0" collapsed="false">
      <c r="A2999" s="0" t="s">
        <v>892</v>
      </c>
      <c r="B2999" s="0" t="s">
        <v>98</v>
      </c>
      <c r="D2999" s="6" t="n">
        <f aca="false">Sens!D2971</f>
        <v>59.6740205577583</v>
      </c>
      <c r="E2999" s="6" t="n">
        <f aca="false">Sens!E2971</f>
        <v>74.1284935338591</v>
      </c>
      <c r="F2999" s="6" t="n">
        <f aca="false">Sens!F2971</f>
        <v>90.0799497373663</v>
      </c>
      <c r="G2999" s="6" t="n">
        <f aca="false">Sens!G2971</f>
        <v>107.02842520331</v>
      </c>
      <c r="H2999" s="6" t="n">
        <f aca="false">Sens!H2971</f>
        <v>124.271982585636</v>
      </c>
      <c r="I2999" s="6" t="n">
        <f aca="false">Sens!I2971</f>
        <v>140.933702381855</v>
      </c>
      <c r="J2999" s="6" t="n">
        <f aca="false">Sens!J2971</f>
        <v>156.018867314332</v>
      </c>
      <c r="K2999" s="6" t="n">
        <f aca="false">Sens!K2971</f>
        <v>168.500376699478</v>
      </c>
    </row>
    <row r="3000" customFormat="false" ht="15" hidden="false" customHeight="false" outlineLevel="0" collapsed="false">
      <c r="A3000" s="0" t="s">
        <v>873</v>
      </c>
      <c r="B3000" s="0" t="s">
        <v>98</v>
      </c>
      <c r="D3000" s="6" t="n">
        <f aca="false">Sens!D2978</f>
        <v>84.605</v>
      </c>
      <c r="E3000" s="6" t="n">
        <f aca="false">Sens!E2978</f>
        <v>100.299</v>
      </c>
      <c r="F3000" s="6" t="n">
        <f aca="false">Sens!F2978</f>
        <v>120.39238776686</v>
      </c>
      <c r="G3000" s="6" t="n">
        <f aca="false">Sens!G2978</f>
        <v>141.544168448684</v>
      </c>
      <c r="H3000" s="6" t="n">
        <f aca="false">Sens!H2978</f>
        <v>162.777359388781</v>
      </c>
      <c r="I3000" s="6" t="n">
        <f aca="false">Sens!I2978</f>
        <v>181.584028071957</v>
      </c>
      <c r="J3000" s="6" t="n">
        <f aca="false">Sens!J2978</f>
        <v>197.682702785465</v>
      </c>
      <c r="K3000" s="6" t="n">
        <f aca="false">Sens!K2978</f>
        <v>213.027991980448</v>
      </c>
    </row>
    <row r="3001" customFormat="false" ht="17.15" hidden="false" customHeight="false" outlineLevel="0" collapsed="false">
      <c r="A3001" s="0" t="s">
        <v>893</v>
      </c>
      <c r="B3001" s="0" t="s">
        <v>98</v>
      </c>
      <c r="D3001" s="6" t="n">
        <f aca="false">Sens!D2976</f>
        <v>83.705</v>
      </c>
      <c r="E3001" s="6" t="n">
        <f aca="false">Sens!E2976</f>
        <v>95.049</v>
      </c>
      <c r="F3001" s="6" t="n">
        <f aca="false">Sens!F2976</f>
        <v>106.89238776686</v>
      </c>
      <c r="G3001" s="6" t="n">
        <f aca="false">Sens!G2976</f>
        <v>119.044168448684</v>
      </c>
      <c r="H3001" s="6" t="n">
        <f aca="false">Sens!H2976</f>
        <v>131.277359388781</v>
      </c>
      <c r="I3001" s="6" t="n">
        <f aca="false">Sens!I2976</f>
        <v>143.334028071957</v>
      </c>
      <c r="J3001" s="6" t="n">
        <f aca="false">Sens!J2976</f>
        <v>154.932702785465</v>
      </c>
      <c r="K3001" s="6" t="n">
        <f aca="false">Sens!K2976</f>
        <v>165.777991980448</v>
      </c>
    </row>
    <row r="3002" customFormat="false" ht="17.15" hidden="false" customHeight="false" outlineLevel="0" collapsed="false">
      <c r="A3002" s="0" t="s">
        <v>894</v>
      </c>
      <c r="B3002" s="0" t="s">
        <v>98</v>
      </c>
      <c r="D3002" s="6" t="n">
        <f aca="false">Sens!D2975</f>
        <v>0.9</v>
      </c>
      <c r="E3002" s="6" t="n">
        <f aca="false">Sens!E2975</f>
        <v>5.25</v>
      </c>
      <c r="F3002" s="6" t="n">
        <f aca="false">Sens!F2975</f>
        <v>13.5</v>
      </c>
      <c r="G3002" s="6" t="n">
        <f aca="false">Sens!G2975</f>
        <v>22.5</v>
      </c>
      <c r="H3002" s="6" t="n">
        <f aca="false">Sens!H2975</f>
        <v>31.5</v>
      </c>
      <c r="I3002" s="6" t="n">
        <f aca="false">Sens!I2975</f>
        <v>38.25</v>
      </c>
      <c r="J3002" s="6" t="n">
        <f aca="false">Sens!J2975</f>
        <v>42.75</v>
      </c>
      <c r="K3002" s="6" t="n">
        <f aca="false">Sens!K2975</f>
        <v>47.25</v>
      </c>
    </row>
    <row r="3003" customFormat="false" ht="15" hidden="false" customHeight="false" outlineLevel="0" collapsed="false">
      <c r="A3003" s="0" t="s">
        <v>874</v>
      </c>
      <c r="B3003" s="0" t="s">
        <v>98</v>
      </c>
      <c r="D3003" s="6" t="n">
        <f aca="false">Sens!D2979</f>
        <v>35.391</v>
      </c>
      <c r="E3003" s="6" t="n">
        <f aca="false">Sens!E2979</f>
        <v>37.285</v>
      </c>
      <c r="F3003" s="6" t="n">
        <f aca="false">Sens!F2979</f>
        <v>39.0720834331704</v>
      </c>
      <c r="G3003" s="6" t="n">
        <f aca="false">Sens!G2979</f>
        <v>40.726562953769</v>
      </c>
      <c r="H3003" s="6" t="n">
        <f aca="false">Sens!H2979</f>
        <v>42.2235987259198</v>
      </c>
      <c r="I3003" s="6" t="n">
        <f aca="false">Sens!I2979</f>
        <v>43.5397988077414</v>
      </c>
      <c r="J3003" s="6" t="n">
        <f aca="false">Sens!J2979</f>
        <v>44.653811225693</v>
      </c>
      <c r="K3003" s="6" t="n">
        <f aca="false">Sens!K2979</f>
        <v>45.5468874502068</v>
      </c>
    </row>
    <row r="3004" customFormat="false" ht="15" hidden="false" customHeight="false" outlineLevel="0" collapsed="false">
      <c r="A3004" s="0" t="s">
        <v>875</v>
      </c>
      <c r="B3004" s="0" t="s">
        <v>98</v>
      </c>
      <c r="D3004" s="6" t="n">
        <f aca="false">Sens!D2981</f>
        <v>18.417</v>
      </c>
      <c r="E3004" s="6" t="n">
        <f aca="false">Sens!E2981</f>
        <v>20.345</v>
      </c>
      <c r="F3004" s="6" t="n">
        <f aca="false">Sens!F2981</f>
        <v>22.3572203267814</v>
      </c>
      <c r="G3004" s="6" t="n">
        <f aca="false">Sens!G2981</f>
        <v>24.4392124437232</v>
      </c>
      <c r="H3004" s="6" t="n">
        <f aca="false">Sens!H2981</f>
        <v>26.5738052080665</v>
      </c>
      <c r="I3004" s="6" t="n">
        <f aca="false">Sens!I2981</f>
        <v>28.7412169166967</v>
      </c>
      <c r="J3004" s="6" t="n">
        <f aca="false">Sens!J2981</f>
        <v>30.9192545395413</v>
      </c>
      <c r="K3004" s="6" t="n">
        <f aca="false">Sens!K2981</f>
        <v>33.0836023573092</v>
      </c>
    </row>
    <row r="3005" customFormat="false" ht="15" hidden="false" customHeight="false" outlineLevel="0" collapsed="false">
      <c r="A3005" s="0" t="s">
        <v>876</v>
      </c>
      <c r="B3005" s="0" t="s">
        <v>98</v>
      </c>
      <c r="D3005" s="6" t="n">
        <f aca="false">Sens!D2983</f>
        <v>7.76</v>
      </c>
      <c r="E3005" s="6" t="n">
        <f aca="false">Sens!E2983</f>
        <v>8.26</v>
      </c>
      <c r="F3005" s="6" t="n">
        <f aca="false">Sens!F2983</f>
        <v>8.79988041237113</v>
      </c>
      <c r="G3005" s="6" t="n">
        <f aca="false">Sens!G2983</f>
        <v>9.38321269125306</v>
      </c>
      <c r="H3005" s="6" t="n">
        <f aca="false">Sens!H2983</f>
        <v>10.0139193587476</v>
      </c>
      <c r="I3005" s="6" t="n">
        <f aca="false">Sens!I2983</f>
        <v>10.6963111830911</v>
      </c>
      <c r="J3005" s="6" t="n">
        <f aca="false">Sens!J2983</f>
        <v>11.4351285534696</v>
      </c>
      <c r="K3005" s="6" t="n">
        <f aca="false">Sens!K2983</f>
        <v>12.2355875522124</v>
      </c>
    </row>
    <row r="3006" customFormat="false" ht="15" hidden="false" customHeight="false" outlineLevel="0" collapsed="false">
      <c r="A3006" s="0" t="s">
        <v>704</v>
      </c>
      <c r="B3006" s="0" t="s">
        <v>98</v>
      </c>
      <c r="D3006" s="6" t="n">
        <f aca="false">Sens!D2985</f>
        <v>218.783</v>
      </c>
      <c r="E3006" s="6" t="n">
        <f aca="false">Sens!E2985</f>
        <v>268.127</v>
      </c>
      <c r="F3006" s="6" t="n">
        <f aca="false">Sens!F2985</f>
        <v>325.32701655428</v>
      </c>
      <c r="G3006" s="6" t="n">
        <f aca="false">Sens!G2985</f>
        <v>379.189061495883</v>
      </c>
      <c r="H3006" s="6" t="n">
        <f aca="false">Sens!H2985</f>
        <v>428.706093584448</v>
      </c>
      <c r="I3006" s="6" t="n">
        <f aca="false">Sens!I2985</f>
        <v>469.972387027957</v>
      </c>
      <c r="J3006" s="6" t="n">
        <f aca="false">Sens!J2985</f>
        <v>507.651598163682</v>
      </c>
      <c r="K3006" s="6" t="n">
        <f aca="false">Sens!K2985</f>
        <v>544.231983832795</v>
      </c>
    </row>
    <row r="3007" customFormat="false" ht="15" hidden="false" customHeight="false" outlineLevel="0" collapsed="false">
      <c r="A3007" s="0" t="s">
        <v>877</v>
      </c>
      <c r="B3007" s="0" t="s">
        <v>98</v>
      </c>
      <c r="D3007" s="6" t="n">
        <f aca="false">Sens!D2986</f>
        <v>22.171</v>
      </c>
      <c r="E3007" s="6" t="n">
        <f aca="false">Sens!E2986</f>
        <v>24.835</v>
      </c>
      <c r="F3007" s="6" t="n">
        <f aca="false">Sens!F2986</f>
        <v>27.6114901218559</v>
      </c>
      <c r="G3007" s="6" t="n">
        <f aca="false">Sens!G2986</f>
        <v>30.4675667338515</v>
      </c>
      <c r="H3007" s="6" t="n">
        <f aca="false">Sens!H2986</f>
        <v>33.3643766955789</v>
      </c>
      <c r="I3007" s="6" t="n">
        <f aca="false">Sens!I2986</f>
        <v>36.2577016533691</v>
      </c>
      <c r="J3007" s="6" t="n">
        <f aca="false">Sens!J2986</f>
        <v>39.0988367952171</v>
      </c>
      <c r="K3007" s="6" t="n">
        <f aca="false">Sens!K2986</f>
        <v>41.8357553708823</v>
      </c>
    </row>
    <row r="3008" customFormat="false" ht="15" hidden="false" customHeight="false" outlineLevel="0" collapsed="false">
      <c r="A3008" s="0" t="s">
        <v>878</v>
      </c>
      <c r="B3008" s="0" t="s">
        <v>98</v>
      </c>
      <c r="D3008" s="6" t="n">
        <f aca="false">Sens!D2988</f>
        <v>23.455</v>
      </c>
      <c r="E3008" s="6" t="n">
        <f aca="false">Sens!E2988</f>
        <v>21.79</v>
      </c>
      <c r="F3008" s="6" t="n">
        <f aca="false">Sens!F2988</f>
        <v>20.5736277908051</v>
      </c>
      <c r="G3008" s="6" t="n">
        <f aca="false">Sens!G2988</f>
        <v>19.7371452817919</v>
      </c>
      <c r="H3008" s="6" t="n">
        <f aca="false">Sens!H2988</f>
        <v>19.2339764043138</v>
      </c>
      <c r="I3008" s="6" t="n">
        <f aca="false">Sens!I2988</f>
        <v>19.0353086852681</v>
      </c>
      <c r="J3008" s="6" t="n">
        <f aca="false">Sens!J2988</f>
        <v>19.1273539319129</v>
      </c>
      <c r="K3008" s="6" t="n">
        <f aca="false">Sens!K2988</f>
        <v>19.5099010105511</v>
      </c>
    </row>
    <row r="3009" customFormat="false" ht="15" hidden="false" customHeight="false" outlineLevel="0" collapsed="false">
      <c r="A3009" s="0" t="s">
        <v>879</v>
      </c>
      <c r="B3009" s="0" t="s">
        <v>98</v>
      </c>
      <c r="D3009" s="6" t="n">
        <f aca="false">Sens!D2990</f>
        <v>17.315</v>
      </c>
      <c r="E3009" s="6" t="n">
        <f aca="false">Sens!E2990</f>
        <v>17.087</v>
      </c>
      <c r="F3009" s="6" t="n">
        <f aca="false">Sens!F2990</f>
        <v>16.9564585436519</v>
      </c>
      <c r="G3009" s="6" t="n">
        <f aca="false">Sens!G2990</f>
        <v>16.9206490624268</v>
      </c>
      <c r="H3009" s="6" t="n">
        <f aca="false">Sens!H2990</f>
        <v>16.9784519149849</v>
      </c>
      <c r="I3009" s="6" t="n">
        <f aca="false">Sens!I2990</f>
        <v>17.1303084701817</v>
      </c>
      <c r="J3009" s="6" t="n">
        <f aca="false">Sens!J2990</f>
        <v>17.3782189407267</v>
      </c>
      <c r="K3009" s="6" t="n">
        <f aca="false">Sens!K2990</f>
        <v>17.7257833195413</v>
      </c>
    </row>
    <row r="3010" customFormat="false" ht="15" hidden="false" customHeight="false" outlineLevel="0" collapsed="false">
      <c r="A3010" s="0" t="s">
        <v>718</v>
      </c>
      <c r="B3010" s="0" t="s">
        <v>98</v>
      </c>
      <c r="D3010" s="6" t="n">
        <f aca="false">Sens!D2992</f>
        <v>62.941</v>
      </c>
      <c r="E3010" s="6" t="n">
        <f aca="false">Sens!E2992</f>
        <v>63.712</v>
      </c>
      <c r="F3010" s="6" t="n">
        <f aca="false">Sens!F2992</f>
        <v>65.1415764563129</v>
      </c>
      <c r="G3010" s="6" t="n">
        <f aca="false">Sens!G2992</f>
        <v>67.1253610780702</v>
      </c>
      <c r="H3010" s="6" t="n">
        <f aca="false">Sens!H2992</f>
        <v>69.5768050148776</v>
      </c>
      <c r="I3010" s="6" t="n">
        <f aca="false">Sens!I2992</f>
        <v>72.4233188088189</v>
      </c>
      <c r="J3010" s="6" t="n">
        <f aca="false">Sens!J2992</f>
        <v>75.6044096678567</v>
      </c>
      <c r="K3010" s="6" t="n">
        <f aca="false">Sens!K2992</f>
        <v>79.0714397009747</v>
      </c>
    </row>
    <row r="3011" customFormat="false" ht="15" hidden="false" customHeight="false" outlineLevel="0" collapsed="false">
      <c r="A3011" s="1" t="s">
        <v>895</v>
      </c>
      <c r="B3011" s="0" t="s">
        <v>98</v>
      </c>
      <c r="D3011" s="6" t="n">
        <f aca="false">Sens!D2993</f>
        <v>281.724</v>
      </c>
      <c r="E3011" s="6" t="n">
        <f aca="false">Sens!E2993</f>
        <v>331.839</v>
      </c>
      <c r="F3011" s="6" t="n">
        <f aca="false">Sens!F2993</f>
        <v>390.468593010593</v>
      </c>
      <c r="G3011" s="6" t="n">
        <f aca="false">Sens!G2993</f>
        <v>446.314422573953</v>
      </c>
      <c r="H3011" s="6" t="n">
        <f aca="false">Sens!H2993</f>
        <v>498.282898599325</v>
      </c>
      <c r="I3011" s="6" t="n">
        <f aca="false">Sens!I2993</f>
        <v>542.395705836776</v>
      </c>
      <c r="J3011" s="6" t="n">
        <f aca="false">Sens!J2993</f>
        <v>583.256007831539</v>
      </c>
      <c r="K3011" s="6" t="n">
        <f aca="false">Sens!K2993</f>
        <v>623.30342353377</v>
      </c>
    </row>
    <row r="3012" customFormat="false" ht="15" hidden="false" customHeight="false" outlineLevel="0" collapsed="false">
      <c r="A3012" s="1" t="s">
        <v>896</v>
      </c>
      <c r="B3012" s="0" t="s">
        <v>129</v>
      </c>
      <c r="E3012" s="7" t="n">
        <f aca="false">Sens!E3011/Sens!D3011-1</f>
        <v>0.177886867998467</v>
      </c>
      <c r="F3012" s="7" t="n">
        <f aca="false">Sens!F3011/Sens!E3011-1</f>
        <v>0.176680839234065</v>
      </c>
      <c r="G3012" s="7" t="n">
        <f aca="false">Sens!G3011/Sens!F3011-1</f>
        <v>0.143022590198042</v>
      </c>
      <c r="H3012" s="7" t="n">
        <f aca="false">Sens!H3011/Sens!G3011-1</f>
        <v>0.116439159025298</v>
      </c>
      <c r="I3012" s="7" t="n">
        <f aca="false">Sens!I3011/Sens!H3011-1</f>
        <v>0.0885296432236631</v>
      </c>
      <c r="J3012" s="7" t="n">
        <f aca="false">Sens!J3011/Sens!I3011-1</f>
        <v>0.0753330115910955</v>
      </c>
      <c r="K3012" s="7" t="n">
        <f aca="false">Sens!K3011/Sens!J3011-1</f>
        <v>0.0686618143053885</v>
      </c>
    </row>
    <row r="3013" customFormat="false" ht="17.15" hidden="false" customHeight="false" outlineLevel="0" collapsed="false">
      <c r="A3013" s="23" t="s">
        <v>897</v>
      </c>
      <c r="B3013" s="30" t="s">
        <v>98</v>
      </c>
      <c r="C3013" s="30"/>
      <c r="D3013" s="24" t="n">
        <f aca="false">(Sens!D3006+Sens!D3010-Sens!D3011)+(Sens!D2998+Sens!D2999-Sens!D2997)+(Sens!D3001+Sens!D3002-Sens!D3000)+(Sens!D3011-Q!L18)</f>
        <v>0</v>
      </c>
      <c r="E3013" s="24" t="n">
        <f aca="false">(Sens!E3006+Sens!E3010-Sens!E3011)+(Sens!E2998+Sens!E2999-Sens!E2997)+(Sens!E3001+Sens!E3002-Sens!E3000)+(Sens!E3011-Q!M18)</f>
        <v>0</v>
      </c>
      <c r="F3013" s="24" t="n">
        <f aca="false">(Sens!F3006+Sens!F3010-Sens!F3011)+(Sens!F2998+Sens!F2999-Sens!F2997)+(Sens!F3001+Sens!F3002-Sens!F3000)</f>
        <v>0</v>
      </c>
      <c r="G3013" s="24" t="n">
        <f aca="false">(Sens!G3006+Sens!G3010-Sens!G3011)+(Sens!G2998+Sens!G2999-Sens!G2997)+(Sens!G3001+Sens!G3002-Sens!G3000)</f>
        <v>0</v>
      </c>
      <c r="H3013" s="24" t="n">
        <f aca="false">(Sens!H3006+Sens!H3010-Sens!H3011)+(Sens!H2998+Sens!H2999-Sens!H2997)+(Sens!H3001+Sens!H3002-Sens!H3000)</f>
        <v>0</v>
      </c>
      <c r="I3013" s="24" t="n">
        <f aca="false">(Sens!I3006+Sens!I3010-Sens!I3011)+(Sens!I2998+Sens!I2999-Sens!I2997)+(Sens!I3001+Sens!I3002-Sens!I3000)</f>
        <v>0</v>
      </c>
      <c r="J3013" s="24" t="n">
        <f aca="false">(Sens!J3006+Sens!J3010-Sens!J3011)+(Sens!J2998+Sens!J2999-Sens!J2997)+(Sens!J3001+Sens!J3002-Sens!J3000)</f>
        <v>0</v>
      </c>
      <c r="K3013" s="24" t="n">
        <f aca="false">(Sens!K3006+Sens!K3010-Sens!K3011)+(Sens!K2998+Sens!K2999-Sens!K2997)+(Sens!K3001+Sens!K3002-Sens!K3000)</f>
        <v>0</v>
      </c>
    </row>
    <row r="3014" customFormat="false" ht="17.15" hidden="false" customHeight="false" outlineLevel="0" collapsed="false">
      <c r="A3014" s="0" t="s">
        <v>898</v>
      </c>
      <c r="B3014" s="0" t="s">
        <v>129</v>
      </c>
      <c r="E3014" s="7" t="n">
        <f aca="false">(Q!M21+Sens!E2951+Sens!E2952+Sens!E2953+Sens!E2966-Sens!E2949)/(Q!M5-Sens!E2949)</f>
        <v>0.570957350878296</v>
      </c>
      <c r="F3014" s="7" t="n">
        <f aca="false">Sens!$E$3014+dm_seg</f>
        <v>0.570957350878296</v>
      </c>
      <c r="G3014" s="7" t="n">
        <f aca="false">Sens!$E$3014+dm_seg</f>
        <v>0.570957350878296</v>
      </c>
      <c r="H3014" s="7" t="n">
        <f aca="false">Sens!$E$3014+dm_seg</f>
        <v>0.570957350878296</v>
      </c>
      <c r="I3014" s="7" t="n">
        <f aca="false">Sens!$E$3014+dm_seg</f>
        <v>0.570957350878296</v>
      </c>
      <c r="J3014" s="7" t="n">
        <f aca="false">Sens!$E$3014+dm_seg</f>
        <v>0.570957350878296</v>
      </c>
      <c r="K3014" s="7" t="n">
        <f aca="false">Sens!$E$3014+dm_seg</f>
        <v>0.570957350878296</v>
      </c>
      <c r="L3014" s="11" t="s">
        <v>899</v>
      </c>
    </row>
    <row r="3015" customFormat="false" ht="17.15" hidden="false" customHeight="false" outlineLevel="0" collapsed="false">
      <c r="A3015" s="0" t="s">
        <v>732</v>
      </c>
      <c r="B3015" s="0" t="s">
        <v>98</v>
      </c>
      <c r="D3015" s="6" t="n">
        <f aca="false">Q!L21</f>
        <v>110.814</v>
      </c>
      <c r="E3015" s="6" t="n">
        <f aca="false">Q!M21</f>
        <v>136.365</v>
      </c>
      <c r="F3015" s="6" t="n">
        <f aca="false">Sens!F3014*(Sens!F2985-Sens!F2949)+Sens!F2949-(Sens!F2951+Sens!F2952+Sens!F2953)-Sens!F2966</f>
        <v>150.782727077904</v>
      </c>
      <c r="G3015" s="6" t="n">
        <f aca="false">Sens!G3014*(Sens!G2985-Sens!G2949)+Sens!G2949-(Sens!G2951+Sens!G2952+Sens!G2953)-Sens!G2966</f>
        <v>167.200055634365</v>
      </c>
      <c r="H3015" s="6" t="n">
        <f aca="false">Sens!H3014*(Sens!H2985-Sens!H2949)+Sens!H2949-(Sens!H2951+Sens!H2952+Sens!H2953)-Sens!H2966</f>
        <v>194.776854473371</v>
      </c>
      <c r="I3015" s="6" t="n">
        <f aca="false">Sens!I3014*(Sens!I2985-Sens!I2949)+Sens!I2949-(Sens!I2951+Sens!I2952+Sens!I2953)-Sens!I2966</f>
        <v>218.262019429833</v>
      </c>
      <c r="J3015" s="6" t="n">
        <f aca="false">Sens!J3014*(Sens!J2985-Sens!J2949)+Sens!J2949-(Sens!J2951+Sens!J2952+Sens!J2953)-Sens!J2966</f>
        <v>239.016498007831</v>
      </c>
      <c r="K3015" s="6" t="n">
        <f aca="false">Sens!K3014*(Sens!K2985-Sens!K2949)+Sens!K2949-(Sens!K2951+Sens!K2952+Sens!K2953)-Sens!K2966</f>
        <v>258.701721748576</v>
      </c>
      <c r="L3015" s="1" t="s">
        <v>900</v>
      </c>
    </row>
    <row r="3016" customFormat="false" ht="17.15" hidden="false" customHeight="false" outlineLevel="0" collapsed="false">
      <c r="A3016" s="0" t="s">
        <v>901</v>
      </c>
      <c r="B3016" s="0" t="s">
        <v>129</v>
      </c>
      <c r="E3016" s="7" t="n">
        <f aca="false">Q!M22/Q!M12</f>
        <v>0.296207935710698</v>
      </c>
      <c r="F3016" s="7" t="n">
        <f aca="false">Sens!$E$3016+dm_seg</f>
        <v>0.296207935710698</v>
      </c>
      <c r="G3016" s="7" t="n">
        <f aca="false">Sens!$E$3016+dm_seg</f>
        <v>0.296207935710698</v>
      </c>
      <c r="H3016" s="7" t="n">
        <f aca="false">Sens!$E$3016+dm_seg</f>
        <v>0.296207935710698</v>
      </c>
      <c r="I3016" s="7" t="n">
        <f aca="false">Sens!$E$3016+dm_seg</f>
        <v>0.296207935710698</v>
      </c>
      <c r="J3016" s="7" t="n">
        <f aca="false">Sens!$E$3016+dm_seg</f>
        <v>0.296207935710698</v>
      </c>
      <c r="K3016" s="7" t="n">
        <f aca="false">Sens!$E$3016+dm_seg</f>
        <v>0.296207935710698</v>
      </c>
      <c r="L3016" s="11" t="s">
        <v>902</v>
      </c>
    </row>
    <row r="3017" customFormat="false" ht="17.15" hidden="false" customHeight="false" outlineLevel="0" collapsed="false">
      <c r="A3017" s="0" t="s">
        <v>734</v>
      </c>
      <c r="B3017" s="0" t="s">
        <v>98</v>
      </c>
      <c r="D3017" s="6" t="n">
        <f aca="false">Q!L22</f>
        <v>17.714</v>
      </c>
      <c r="E3017" s="6" t="n">
        <f aca="false">Q!M22</f>
        <v>18.872</v>
      </c>
      <c r="F3017" s="6" t="n">
        <f aca="false">Sens!F2992*Sens!F3016</f>
        <v>19.2954518910651</v>
      </c>
      <c r="G3017" s="6" t="n">
        <f aca="false">Sens!G2992*Sens!G3016</f>
        <v>19.8830646387704</v>
      </c>
      <c r="H3017" s="6" t="n">
        <f aca="false">Sens!H2992*Sens!H3016</f>
        <v>20.6092017868026</v>
      </c>
      <c r="I3017" s="6" t="n">
        <f aca="false">Sens!I2992*Sens!I3016</f>
        <v>21.452361761678</v>
      </c>
      <c r="J3017" s="6" t="n">
        <f aca="false">Sens!J2992*Sens!J3016</f>
        <v>22.3946261183418</v>
      </c>
      <c r="K3017" s="6" t="n">
        <f aca="false">Sens!K2992*Sens!K3016</f>
        <v>23.4215879274986</v>
      </c>
    </row>
    <row r="3018" customFormat="false" ht="15" hidden="false" customHeight="false" outlineLevel="0" collapsed="false">
      <c r="A3018" s="1" t="s">
        <v>903</v>
      </c>
      <c r="B3018" s="0" t="s">
        <v>98</v>
      </c>
      <c r="D3018" s="6" t="n">
        <f aca="false">Sens!D3015+Sens!D3017</f>
        <v>128.528</v>
      </c>
      <c r="E3018" s="6" t="n">
        <f aca="false">Sens!E3015+Sens!E3017</f>
        <v>155.237</v>
      </c>
      <c r="F3018" s="6" t="n">
        <f aca="false">Sens!F3015+Sens!F3017</f>
        <v>170.078178968969</v>
      </c>
      <c r="G3018" s="6" t="n">
        <f aca="false">Sens!G3015+Sens!G3017</f>
        <v>187.083120273135</v>
      </c>
      <c r="H3018" s="6" t="n">
        <f aca="false">Sens!H3015+Sens!H3017</f>
        <v>215.386056260173</v>
      </c>
      <c r="I3018" s="6" t="n">
        <f aca="false">Sens!I3015+Sens!I3017</f>
        <v>239.714381191511</v>
      </c>
      <c r="J3018" s="6" t="n">
        <f aca="false">Sens!J3015+Sens!J3017</f>
        <v>261.411124126172</v>
      </c>
      <c r="K3018" s="6" t="n">
        <f aca="false">Sens!K3015+Sens!K3017</f>
        <v>282.123309676075</v>
      </c>
    </row>
    <row r="3019" customFormat="false" ht="15" hidden="false" customHeight="false" outlineLevel="0" collapsed="false">
      <c r="A3019" s="23" t="s">
        <v>904</v>
      </c>
      <c r="B3019" s="30" t="s">
        <v>98</v>
      </c>
      <c r="C3019" s="30"/>
      <c r="D3019" s="24" t="n">
        <f aca="false">Sens!D3018-Q!L23</f>
        <v>0</v>
      </c>
      <c r="E3019" s="24" t="n">
        <f aca="false">Sens!E3018-Q!M23</f>
        <v>0</v>
      </c>
      <c r="F3019" s="30"/>
      <c r="G3019" s="30"/>
      <c r="H3019" s="30"/>
      <c r="I3019" s="30"/>
      <c r="J3019" s="30"/>
      <c r="K3019" s="30"/>
    </row>
    <row r="3020" customFormat="false" ht="15" hidden="false" customHeight="false" outlineLevel="0" collapsed="false">
      <c r="A3020" s="1" t="s">
        <v>905</v>
      </c>
      <c r="B3020" s="0" t="s">
        <v>129</v>
      </c>
      <c r="D3020" s="7" t="n">
        <f aca="false">Sens!D3018/Sens!D3011</f>
        <v>0.456219562408598</v>
      </c>
      <c r="E3020" s="7" t="n">
        <f aca="false">Sens!E3018/Sens!E3011</f>
        <v>0.467808184089272</v>
      </c>
      <c r="F3020" s="7" t="n">
        <f aca="false">Sens!F3018/Sens!F3011</f>
        <v>0.435574543032082</v>
      </c>
      <c r="G3020" s="7" t="n">
        <f aca="false">Sens!G3018/Sens!G3011</f>
        <v>0.419173369290203</v>
      </c>
      <c r="H3020" s="7" t="n">
        <f aca="false">Sens!H3018/Sens!H3011</f>
        <v>0.432256569241337</v>
      </c>
      <c r="I3020" s="7" t="n">
        <f aca="false">Sens!I3018/Sens!I3011</f>
        <v>0.441954791698975</v>
      </c>
      <c r="J3020" s="7" t="n">
        <f aca="false">Sens!J3018/Sens!J3011</f>
        <v>0.448192767183078</v>
      </c>
      <c r="K3020" s="7" t="n">
        <f aca="false">Sens!K3018/Sens!K3011</f>
        <v>0.452625958761143</v>
      </c>
    </row>
    <row r="3021" customFormat="false" ht="17.15" hidden="false" customHeight="false" outlineLevel="0" collapsed="false">
      <c r="A3021" s="1" t="s">
        <v>906</v>
      </c>
      <c r="B3021" s="0" t="s">
        <v>98</v>
      </c>
      <c r="F3021" s="6" t="n">
        <f aca="false">Sens!F3036</f>
        <v>11.7414947819325</v>
      </c>
      <c r="G3021" s="6" t="n">
        <f aca="false">Sens!G3036</f>
        <v>10.1582473754106</v>
      </c>
      <c r="H3021" s="6" t="n">
        <f aca="false">Sens!H3036</f>
        <v>6.67010757657058</v>
      </c>
      <c r="I3021" s="6" t="n">
        <f aca="false">Sens!I3036</f>
        <v>3.45636639190992</v>
      </c>
      <c r="J3021" s="6" t="n">
        <f aca="false">Sens!J3036</f>
        <v>1.85392258028046</v>
      </c>
      <c r="K3021" s="6" t="n">
        <f aca="false">Sens!K3036</f>
        <v>1.20527730263166</v>
      </c>
      <c r="L3021" s="1" t="s">
        <v>907</v>
      </c>
    </row>
    <row r="3022" customFormat="false" ht="17.15" hidden="false" customHeight="false" outlineLevel="0" collapsed="false">
      <c r="A3022" s="1" t="s">
        <v>908</v>
      </c>
      <c r="B3022" s="0" t="s">
        <v>98</v>
      </c>
      <c r="D3022" s="6" t="n">
        <f aca="false">Sens!D3018</f>
        <v>128.528</v>
      </c>
      <c r="E3022" s="6" t="n">
        <f aca="false">Sens!E3018</f>
        <v>155.237</v>
      </c>
      <c r="F3022" s="6" t="n">
        <f aca="false">Sens!F3018+Sens!F3021</f>
        <v>181.819673750902</v>
      </c>
      <c r="G3022" s="6" t="n">
        <f aca="false">Sens!G3018+Sens!G3021</f>
        <v>197.241367648546</v>
      </c>
      <c r="H3022" s="6" t="n">
        <f aca="false">Sens!H3018+Sens!H3021</f>
        <v>222.056163836744</v>
      </c>
      <c r="I3022" s="6" t="n">
        <f aca="false">Sens!I3018+Sens!I3021</f>
        <v>243.170747583421</v>
      </c>
      <c r="J3022" s="6" t="n">
        <f aca="false">Sens!J3018+Sens!J3021</f>
        <v>263.265046706453</v>
      </c>
      <c r="K3022" s="6" t="n">
        <f aca="false">Sens!K3018+Sens!K3021</f>
        <v>283.328586978707</v>
      </c>
    </row>
    <row r="3023" customFormat="false" ht="17.15" hidden="false" customHeight="false" outlineLevel="0" collapsed="false">
      <c r="A3023" s="1" t="s">
        <v>909</v>
      </c>
      <c r="B3023" s="0" t="s">
        <v>98</v>
      </c>
      <c r="E3023" s="6" t="n">
        <f aca="false">Sens!E2966</f>
        <v>16.3054059770833</v>
      </c>
      <c r="F3023" s="6" t="n">
        <f aca="false">Sens!F2966</f>
        <v>36.1154426892031</v>
      </c>
      <c r="G3023" s="6" t="n">
        <f aca="false">Sens!G2966</f>
        <v>52.4092101714062</v>
      </c>
      <c r="H3023" s="6" t="n">
        <f aca="false">Sens!H2966</f>
        <v>54.9919095894062</v>
      </c>
      <c r="I3023" s="6" t="n">
        <f aca="false">Sens!I2966</f>
        <v>55.6356838189896</v>
      </c>
      <c r="J3023" s="6" t="n">
        <f aca="false">Sens!J2966</f>
        <v>57.2516885177396</v>
      </c>
      <c r="K3023" s="6" t="n">
        <f aca="false">Sens!K2966</f>
        <v>60.1552416756563</v>
      </c>
    </row>
    <row r="3024" customFormat="false" ht="17.15" hidden="false" customHeight="false" outlineLevel="0" collapsed="false">
      <c r="A3024" s="1" t="s">
        <v>910</v>
      </c>
      <c r="B3024" s="0" t="s">
        <v>98</v>
      </c>
      <c r="E3024" s="6" t="n">
        <f aca="false">Sens!E3048</f>
        <v>22.2285940229167</v>
      </c>
      <c r="F3024" s="6" t="n">
        <f aca="false">Sens!F3048</f>
        <v>23.5786693435813</v>
      </c>
      <c r="G3024" s="6" t="n">
        <f aca="false">Sens!G3048</f>
        <v>25.3810917662621</v>
      </c>
      <c r="H3024" s="6" t="n">
        <f aca="false">Sens!H3048</f>
        <v>27.5991339540448</v>
      </c>
      <c r="I3024" s="6" t="n">
        <f aca="false">Sens!I3048</f>
        <v>30.1565605898047</v>
      </c>
      <c r="J3024" s="6" t="n">
        <f aca="false">Sens!J3048</f>
        <v>32.9614958558616</v>
      </c>
      <c r="K3024" s="6" t="n">
        <f aca="false">Sens!K3048</f>
        <v>35.9297165444749</v>
      </c>
    </row>
    <row r="3025" customFormat="false" ht="17.15" hidden="false" customHeight="false" outlineLevel="0" collapsed="false">
      <c r="A3025" s="1" t="s">
        <v>911</v>
      </c>
      <c r="B3025" s="0" t="s">
        <v>98</v>
      </c>
      <c r="D3025" s="6" t="n">
        <f aca="false">Q!L27</f>
        <v>-4.901</v>
      </c>
      <c r="E3025" s="6" t="n">
        <f aca="false">Q!M27</f>
        <v>10.697</v>
      </c>
      <c r="F3025" s="6" t="n">
        <f aca="false">oie_f</f>
        <v>-0.4</v>
      </c>
      <c r="G3025" s="6" t="n">
        <f aca="false">oie_f</f>
        <v>-0.4</v>
      </c>
      <c r="H3025" s="6" t="n">
        <f aca="false">oie_f</f>
        <v>-0.4</v>
      </c>
      <c r="I3025" s="6" t="n">
        <f aca="false">oie_f</f>
        <v>-0.4</v>
      </c>
      <c r="J3025" s="6" t="n">
        <f aca="false">oie_f</f>
        <v>-0.4</v>
      </c>
      <c r="K3025" s="6" t="n">
        <f aca="false">oie_f</f>
        <v>-0.4</v>
      </c>
      <c r="L3025" s="11" t="s">
        <v>912</v>
      </c>
    </row>
    <row r="3026" customFormat="false" ht="15" hidden="false" customHeight="false" outlineLevel="0" collapsed="false">
      <c r="A3026" s="1" t="s">
        <v>913</v>
      </c>
      <c r="B3026" s="0" t="s">
        <v>98</v>
      </c>
      <c r="D3026" s="6" t="n">
        <f aca="false">Sens!D3018+Sens!D3025</f>
        <v>123.627</v>
      </c>
      <c r="E3026" s="6" t="n">
        <f aca="false">Sens!E3018+Sens!E3025</f>
        <v>165.934</v>
      </c>
      <c r="F3026" s="6" t="n">
        <f aca="false">Sens!F3018+Sens!F3025</f>
        <v>169.678178968969</v>
      </c>
      <c r="G3026" s="6" t="n">
        <f aca="false">Sens!G3018+Sens!G3025</f>
        <v>186.683120273135</v>
      </c>
      <c r="H3026" s="6" t="n">
        <f aca="false">Sens!H3018+Sens!H3025</f>
        <v>214.986056260173</v>
      </c>
      <c r="I3026" s="6" t="n">
        <f aca="false">Sens!I3018+Sens!I3025</f>
        <v>239.314381191511</v>
      </c>
      <c r="J3026" s="6" t="n">
        <f aca="false">Sens!J3018+Sens!J3025</f>
        <v>261.011124126172</v>
      </c>
      <c r="K3026" s="6" t="n">
        <f aca="false">Sens!K3018+Sens!K3025</f>
        <v>281.723309676075</v>
      </c>
    </row>
    <row r="3027" customFormat="false" ht="15" hidden="false" customHeight="false" outlineLevel="0" collapsed="false">
      <c r="A3027" s="1" t="s">
        <v>914</v>
      </c>
      <c r="B3027" s="0" t="s">
        <v>98</v>
      </c>
      <c r="D3027" s="6" t="n">
        <f aca="false">Q!L29</f>
        <v>21.795</v>
      </c>
      <c r="E3027" s="6" t="n">
        <f aca="false">Q!M29</f>
        <v>32.185</v>
      </c>
      <c r="F3027" s="6" t="n">
        <f aca="false">Sens!F3026*tax_f</f>
        <v>33.9356357937938</v>
      </c>
      <c r="G3027" s="6" t="n">
        <f aca="false">Sens!G3026*tax_f</f>
        <v>37.3366240546271</v>
      </c>
      <c r="H3027" s="6" t="n">
        <f aca="false">Sens!H3026*tax_f</f>
        <v>42.9972112520347</v>
      </c>
      <c r="I3027" s="6" t="n">
        <f aca="false">Sens!I3026*tax_f</f>
        <v>47.8628762383022</v>
      </c>
      <c r="J3027" s="6" t="n">
        <f aca="false">Sens!J3026*tax_f</f>
        <v>52.2022248252345</v>
      </c>
      <c r="K3027" s="6" t="n">
        <f aca="false">Sens!K3026*tax_f</f>
        <v>56.344661935215</v>
      </c>
    </row>
    <row r="3028" customFormat="false" ht="15" hidden="false" customHeight="false" outlineLevel="0" collapsed="false">
      <c r="A3028" s="1" t="s">
        <v>915</v>
      </c>
      <c r="B3028" s="0" t="s">
        <v>98</v>
      </c>
      <c r="D3028" s="6" t="n">
        <f aca="false">Sens!D3026-Sens!D3027</f>
        <v>101.832</v>
      </c>
      <c r="E3028" s="6" t="n">
        <f aca="false">Sens!E3026-Sens!E3027</f>
        <v>133.749</v>
      </c>
      <c r="F3028" s="6" t="n">
        <f aca="false">Sens!F3026-Sens!F3027</f>
        <v>135.742543175175</v>
      </c>
      <c r="G3028" s="6" t="n">
        <f aca="false">Sens!G3026-Sens!G3027</f>
        <v>149.346496218508</v>
      </c>
      <c r="H3028" s="6" t="n">
        <f aca="false">Sens!H3026-Sens!H3027</f>
        <v>171.988845008139</v>
      </c>
      <c r="I3028" s="6" t="n">
        <f aca="false">Sens!I3026-Sens!I3027</f>
        <v>191.451504953209</v>
      </c>
      <c r="J3028" s="6" t="n">
        <f aca="false">Sens!J3026-Sens!J3027</f>
        <v>208.808899300938</v>
      </c>
      <c r="K3028" s="6" t="n">
        <f aca="false">Sens!K3026-Sens!K3027</f>
        <v>225.37864774086</v>
      </c>
    </row>
    <row r="3029" customFormat="false" ht="17.15" hidden="false" customHeight="false" outlineLevel="0" collapsed="false">
      <c r="A3029" s="1" t="s">
        <v>916</v>
      </c>
      <c r="B3029" s="1" t="s">
        <v>81</v>
      </c>
      <c r="D3029" s="14" t="n">
        <f aca="false">Q!L31</f>
        <v>7.465</v>
      </c>
      <c r="E3029" s="14" t="n">
        <f aca="false">Q!M31</f>
        <v>7.453</v>
      </c>
      <c r="F3029" s="14" t="n">
        <f aca="false">Sens!F3070</f>
        <v>7.4735</v>
      </c>
      <c r="G3029" s="14" t="n">
        <f aca="false">Sens!G3070</f>
        <v>7.49987171271795</v>
      </c>
      <c r="H3029" s="14" t="n">
        <f aca="false">Sens!H3070</f>
        <v>7.50899501128585</v>
      </c>
      <c r="I3029" s="14" t="n">
        <f aca="false">Sens!I3070</f>
        <v>7.52077584329316</v>
      </c>
      <c r="J3029" s="14" t="n">
        <f aca="false">Sens!J3070</f>
        <v>7.53501735441104</v>
      </c>
      <c r="K3029" s="14" t="n">
        <f aca="false">Sens!K3070</f>
        <v>7.55153727211278</v>
      </c>
    </row>
    <row r="3030" customFormat="false" ht="17.15" hidden="false" customHeight="false" outlineLevel="0" collapsed="false">
      <c r="A3030" s="0" t="s">
        <v>917</v>
      </c>
      <c r="B3030" s="0" t="s">
        <v>75</v>
      </c>
      <c r="D3030" s="8" t="n">
        <f aca="false">Sens!D3028/Sens!D3029</f>
        <v>13.641259209645</v>
      </c>
      <c r="E3030" s="8" t="n">
        <f aca="false">Sens!E3028/Sens!E3029</f>
        <v>17.9456594659869</v>
      </c>
      <c r="F3030" s="8" t="n">
        <f aca="false">Sens!F3028/Sens!F3029</f>
        <v>18.1631823342711</v>
      </c>
      <c r="G3030" s="8" t="n">
        <f aca="false">Sens!G3028/Sens!G3029</f>
        <v>19.913206777291</v>
      </c>
      <c r="H3030" s="8" t="n">
        <f aca="false">Sens!H3028/Sens!H3029</f>
        <v>22.9043759850211</v>
      </c>
      <c r="I3030" s="8" t="n">
        <f aca="false">Sens!I3028/Sens!I3029</f>
        <v>25.456350374269</v>
      </c>
      <c r="J3030" s="8" t="n">
        <f aca="false">Sens!J3028/Sens!J3029</f>
        <v>27.711800713863</v>
      </c>
      <c r="K3030" s="8" t="n">
        <f aca="false">Sens!K3028/Sens!K3029</f>
        <v>29.8453996344778</v>
      </c>
      <c r="L3030" s="1" t="s">
        <v>918</v>
      </c>
    </row>
    <row r="3031" customFormat="false" ht="17.15" hidden="false" customHeight="false" outlineLevel="0" collapsed="false">
      <c r="A3031" s="1" t="s">
        <v>919</v>
      </c>
      <c r="B3031" s="0" t="s">
        <v>98</v>
      </c>
      <c r="D3031" s="6" t="n">
        <f aca="false">Sens!D3028</f>
        <v>101.832</v>
      </c>
      <c r="E3031" s="6" t="n">
        <f aca="false">Sens!E3028</f>
        <v>133.749</v>
      </c>
      <c r="F3031" s="6" t="n">
        <f aca="false">Sens!F3028+Sens!F3021*(1-tax_f)</f>
        <v>145.135739000721</v>
      </c>
      <c r="G3031" s="6" t="n">
        <f aca="false">Sens!G3028+Sens!G3021*(1-tax_f)</f>
        <v>157.473094118837</v>
      </c>
      <c r="H3031" s="6" t="n">
        <f aca="false">Sens!H3028+Sens!H3021*(1-tax_f)</f>
        <v>177.324931069395</v>
      </c>
      <c r="I3031" s="6" t="n">
        <f aca="false">Sens!I3028+Sens!I3021*(1-tax_f)</f>
        <v>194.216598066737</v>
      </c>
      <c r="J3031" s="6" t="n">
        <f aca="false">Sens!J3028+Sens!J3021*(1-tax_f)</f>
        <v>210.292037365162</v>
      </c>
      <c r="K3031" s="6" t="n">
        <f aca="false">Sens!K3028+Sens!K3021*(1-tax_f)</f>
        <v>226.342869582965</v>
      </c>
    </row>
    <row r="3032" customFormat="false" ht="17.15" hidden="false" customHeight="false" outlineLevel="0" collapsed="false">
      <c r="A3032" s="0" t="s">
        <v>920</v>
      </c>
      <c r="B3032" s="0" t="s">
        <v>75</v>
      </c>
      <c r="D3032" s="8" t="n">
        <f aca="false">Sens!D3031/Sens!D3029</f>
        <v>13.641259209645</v>
      </c>
      <c r="E3032" s="8" t="n">
        <f aca="false">Sens!E3031/Sens!E3029</f>
        <v>17.9456594659869</v>
      </c>
      <c r="F3032" s="8" t="n">
        <f aca="false">Sens!F3031/Sens!F3029</f>
        <v>19.4200493745529</v>
      </c>
      <c r="G3032" s="8" t="n">
        <f aca="false">Sens!G3031/Sens!G3029</f>
        <v>20.996771698348</v>
      </c>
      <c r="H3032" s="8" t="n">
        <f aca="false">Sens!H3031/Sens!H3029</f>
        <v>23.6150018481674</v>
      </c>
      <c r="I3032" s="8" t="n">
        <f aca="false">Sens!I3031/Sens!I3029</f>
        <v>25.8240109948144</v>
      </c>
      <c r="J3032" s="8" t="n">
        <f aca="false">Sens!J3031/Sens!J3029</f>
        <v>27.9086334475469</v>
      </c>
      <c r="K3032" s="8" t="n">
        <f aca="false">Sens!K3031/Sens!K3029</f>
        <v>29.973085138417</v>
      </c>
      <c r="L3032" s="1" t="s">
        <v>921</v>
      </c>
    </row>
    <row r="3033" customFormat="false" ht="17.15" hidden="false" customHeight="false" outlineLevel="0" collapsed="false">
      <c r="A3033" s="0" t="s">
        <v>922</v>
      </c>
      <c r="B3033" s="0" t="s">
        <v>129</v>
      </c>
      <c r="E3033" s="7" t="n">
        <f aca="false">Sens!E3032/Sens!D3032-1</f>
        <v>0.315542736208578</v>
      </c>
      <c r="F3033" s="7" t="n">
        <f aca="false">Sens!F3032/Sens!E3032-1</f>
        <v>0.0821585805392402</v>
      </c>
      <c r="G3033" s="7" t="n">
        <f aca="false">Sens!G3032/Sens!F3032-1</f>
        <v>0.0811904384682529</v>
      </c>
      <c r="H3033" s="7" t="n">
        <f aca="false">Sens!H3032/Sens!G3032-1</f>
        <v>0.124696795651944</v>
      </c>
      <c r="I3033" s="7" t="n">
        <f aca="false">Sens!I3032/Sens!H3032-1</f>
        <v>0.0935426201043634</v>
      </c>
      <c r="J3033" s="7" t="n">
        <f aca="false">Sens!J3032/Sens!I3032-1</f>
        <v>0.0807241931995431</v>
      </c>
      <c r="K3033" s="7" t="n">
        <f aca="false">Sens!K3032/Sens!J3032-1</f>
        <v>0.0739717942388729</v>
      </c>
    </row>
    <row r="3034" customFormat="false" ht="17.15" hidden="false" customHeight="false" outlineLevel="0" collapsed="false">
      <c r="A3034" s="0" t="s">
        <v>846</v>
      </c>
      <c r="B3034" s="0" t="s">
        <v>98</v>
      </c>
      <c r="E3034" s="6" t="n">
        <f aca="false">Sens!E2975</f>
        <v>5.25</v>
      </c>
      <c r="F3034" s="6" t="n">
        <f aca="false">Sens!F2975</f>
        <v>13.5</v>
      </c>
      <c r="G3034" s="6" t="n">
        <f aca="false">Sens!G2975</f>
        <v>22.5</v>
      </c>
      <c r="H3034" s="6" t="n">
        <f aca="false">Sens!H2975</f>
        <v>31.5</v>
      </c>
      <c r="I3034" s="6" t="n">
        <f aca="false">Sens!I2975</f>
        <v>38.25</v>
      </c>
      <c r="J3034" s="6" t="n">
        <f aca="false">Sens!J2975</f>
        <v>42.75</v>
      </c>
      <c r="K3034" s="6" t="n">
        <f aca="false">Sens!K2975</f>
        <v>47.25</v>
      </c>
    </row>
    <row r="3035" customFormat="false" ht="17.15" hidden="false" customHeight="false" outlineLevel="0" collapsed="false">
      <c r="A3035" s="1" t="s">
        <v>847</v>
      </c>
      <c r="B3035" s="0" t="s">
        <v>98</v>
      </c>
      <c r="F3035" s="6" t="n">
        <f aca="false">MAX(0,(Sens!E2938+Sens!F2938)/2*Sens!F2946/1000-Sens!F3034*Sens!F3014)</f>
        <v>11.7414947819325</v>
      </c>
      <c r="G3035" s="6" t="n">
        <f aca="false">MAX(0,(Sens!F2938+Sens!G2938)/2*Sens!G2946/1000-Sens!G3034*Sens!G3014)</f>
        <v>10.1582473754106</v>
      </c>
      <c r="H3035" s="6" t="n">
        <f aca="false">MAX(0,(Sens!G2938+Sens!H2938)/2*Sens!H2946/1000-Sens!H3034*Sens!H3014)</f>
        <v>6.67010757657058</v>
      </c>
      <c r="I3035" s="6" t="n">
        <f aca="false">MAX(0,(Sens!H2938+Sens!I2938)/2*Sens!I2946/1000-Sens!I3034*Sens!I3014)</f>
        <v>3.45636639190992</v>
      </c>
      <c r="J3035" s="6" t="n">
        <f aca="false">MAX(0,(Sens!I2938+Sens!J2938)/2*Sens!J2946/1000-Sens!J3034*Sens!J3014)</f>
        <v>1.85392258028046</v>
      </c>
      <c r="K3035" s="6" t="n">
        <f aca="false">MAX(0,(Sens!J2938+Sens!K2938)/2*Sens!K2946/1000-Sens!K3034*Sens!K3014)</f>
        <v>1.20527730263166</v>
      </c>
      <c r="L3035" s="1" t="s">
        <v>848</v>
      </c>
    </row>
    <row r="3036" customFormat="false" ht="17.15" hidden="false" customHeight="false" outlineLevel="0" collapsed="false">
      <c r="A3036" s="1" t="s">
        <v>849</v>
      </c>
      <c r="B3036" s="0" t="s">
        <v>98</v>
      </c>
      <c r="F3036" s="6" t="n">
        <f aca="false">IF(internal_ai_reading=2,1,0)*Sens!F3035</f>
        <v>11.7414947819325</v>
      </c>
      <c r="G3036" s="6" t="n">
        <f aca="false">IF(internal_ai_reading=2,1,0)*Sens!G3035</f>
        <v>10.1582473754106</v>
      </c>
      <c r="H3036" s="6" t="n">
        <f aca="false">IF(internal_ai_reading=2,1,0)*Sens!H3035</f>
        <v>6.67010757657058</v>
      </c>
      <c r="I3036" s="6" t="n">
        <f aca="false">IF(internal_ai_reading=2,1,0)*Sens!I3035</f>
        <v>3.45636639190992</v>
      </c>
      <c r="J3036" s="6" t="n">
        <f aca="false">IF(internal_ai_reading=2,1,0)*Sens!J3035</f>
        <v>1.85392258028046</v>
      </c>
      <c r="K3036" s="6" t="n">
        <f aca="false">IF(internal_ai_reading=2,1,0)*Sens!K3035</f>
        <v>1.20527730263166</v>
      </c>
    </row>
    <row r="3037" customFormat="false" ht="17.15" hidden="false" customHeight="false" outlineLevel="0" collapsed="false">
      <c r="A3037" s="0" t="s">
        <v>850</v>
      </c>
      <c r="B3037" s="0" t="s">
        <v>98</v>
      </c>
      <c r="F3037" s="6" t="n">
        <f aca="false">Sens!F2955+Sens!F3034*Sens!F3014+Sens!F3036-Sens!F2956-Sens!F2966</f>
        <v>9.96354889274441</v>
      </c>
      <c r="G3037" s="6" t="n">
        <f aca="false">Sens!G2955+Sens!G3034*Sens!G3014+Sens!G3036-Sens!G2956-Sens!G2966</f>
        <v>5.71620108224003</v>
      </c>
      <c r="H3037" s="6" t="n">
        <f aca="false">Sens!H2955+Sens!H3034*Sens!H3014+Sens!H3036-Sens!H2956-Sens!H2966</f>
        <v>10.5412823711041</v>
      </c>
      <c r="I3037" s="6" t="n">
        <f aca="false">Sens!I2955+Sens!I3034*Sens!I3014+Sens!I3036-Sens!I2956-Sens!I2966</f>
        <v>12.037120747564</v>
      </c>
      <c r="J3037" s="6" t="n">
        <f aca="false">Sens!J2955+Sens!J3034*Sens!J3014+Sens!J3036-Sens!J2956-Sens!J2966</f>
        <v>13.6523677395733</v>
      </c>
      <c r="K3037" s="6" t="n">
        <f aca="false">Sens!K2955+Sens!K3034*Sens!K3014+Sens!K3036-Sens!K2956-Sens!K2966</f>
        <v>17.1676523997865</v>
      </c>
    </row>
    <row r="3038" customFormat="false" ht="17.15" hidden="false" customHeight="false" outlineLevel="0" collapsed="false">
      <c r="A3038" s="0" t="s">
        <v>851</v>
      </c>
      <c r="B3038" s="0" t="s">
        <v>98</v>
      </c>
      <c r="E3038" s="6" t="n">
        <f aca="false">Sens!E2937*(cxit_open+self_build*tk_cxfac)/1000*ai_net_open</f>
        <v>126.6980382</v>
      </c>
      <c r="F3038" s="6" t="n">
        <f aca="false">Sens!E3038+Sens!F2963-Sens!F2966</f>
        <v>259.053248281234</v>
      </c>
      <c r="G3038" s="6" t="n">
        <f aca="false">Sens!F3038+Sens!G2963-Sens!G2966</f>
        <v>241.946765125828</v>
      </c>
      <c r="H3038" s="6" t="n">
        <f aca="false">Sens!G3038+Sens!H2963-Sens!H2966</f>
        <v>186.954855536422</v>
      </c>
      <c r="I3038" s="6" t="n">
        <f aca="false">Sens!H3038+Sens!I2963-Sens!I2966</f>
        <v>161.577847064099</v>
      </c>
      <c r="J3038" s="6" t="n">
        <f aca="false">Sens!I3038+Sens!J2963-Sens!J2966</f>
        <v>150.022933559693</v>
      </c>
      <c r="K3038" s="6" t="n">
        <f aca="false">Sens!J3038+Sens!K2963-Sens!K2966</f>
        <v>180.643717924037</v>
      </c>
      <c r="L3038" s="1" t="s">
        <v>852</v>
      </c>
    </row>
    <row r="3039" customFormat="false" ht="17.15" hidden="false" customHeight="false" outlineLevel="0" collapsed="false">
      <c r="A3039" s="0" t="s">
        <v>853</v>
      </c>
      <c r="B3039" s="0" t="s">
        <v>129</v>
      </c>
      <c r="F3039" s="7" t="n">
        <f aca="false">Sens!F3037*(1-tax_f)/((Sens!E3038+Sens!F3038)/2)</f>
        <v>0.041326312541453</v>
      </c>
      <c r="G3039" s="7" t="n">
        <f aca="false">Sens!G3037*(1-tax_f)/((Sens!F3038+Sens!G3038)/2)</f>
        <v>0.0182553323090492</v>
      </c>
      <c r="H3039" s="7" t="n">
        <f aca="false">Sens!H3037*(1-tax_f)/((Sens!G3038+Sens!H3038)/2)</f>
        <v>0.039323823882326</v>
      </c>
      <c r="I3039" s="7" t="n">
        <f aca="false">Sens!I3037*(1-tax_f)/((Sens!H3038+Sens!I3038)/2)</f>
        <v>0.0552584966988795</v>
      </c>
      <c r="J3039" s="7" t="n">
        <f aca="false">Sens!J3037*(1-tax_f)/((Sens!I3038+Sens!J3038)/2)</f>
        <v>0.0701018410146095</v>
      </c>
      <c r="K3039" s="7" t="n">
        <f aca="false">Sens!K3037*(1-tax_f)/((Sens!J3038+Sens!K3038)/2)</f>
        <v>0.0830692896196398</v>
      </c>
    </row>
    <row r="3040" customFormat="false" ht="17.15" hidden="false" customHeight="false" outlineLevel="0" collapsed="false">
      <c r="A3040" s="1" t="s">
        <v>854</v>
      </c>
      <c r="B3040" s="0" t="s">
        <v>129</v>
      </c>
      <c r="F3040" s="7" t="n">
        <f aca="false">(Sens!F3037-Sens!F3036)*(1-tax_f)/((Sens!E3038+Sens!F3038)/2)</f>
        <v>-0.00737447552968656</v>
      </c>
      <c r="G3040" s="7" t="n">
        <f aca="false">(Sens!G3037-Sens!G3036)*(1-tax_f)/((Sens!F3038+Sens!G3038)/2)</f>
        <v>-0.0141861754069421</v>
      </c>
      <c r="H3040" s="7" t="n">
        <f aca="false">(Sens!H3037-Sens!H3036)*(1-tax_f)/((Sens!G3038+Sens!H3038)/2)</f>
        <v>0.0144412596569112</v>
      </c>
      <c r="I3040" s="7" t="n">
        <f aca="false">(Sens!I3037-Sens!I3036)*(1-tax_f)/((Sens!H3038+Sens!I3038)/2)</f>
        <v>0.0393914455275166</v>
      </c>
      <c r="J3040" s="7" t="n">
        <f aca="false">(Sens!J3037-Sens!J3036)*(1-tax_f)/((Sens!I3038+Sens!J3038)/2)</f>
        <v>0.060582365092532</v>
      </c>
      <c r="K3040" s="7" t="n">
        <f aca="false">(Sens!K3037-Sens!K3036)*(1-tax_f)/((Sens!J3038+Sens!K3038)/2)</f>
        <v>0.0772373024036398</v>
      </c>
    </row>
    <row r="3041" customFormat="false" ht="17.15" hidden="false" customHeight="false" outlineLevel="0" collapsed="false">
      <c r="A3041" s="1" t="s">
        <v>855</v>
      </c>
      <c r="B3041" s="0" t="s">
        <v>129</v>
      </c>
      <c r="F3041" s="7" t="n">
        <f aca="false">(Sens!F3037-Sens!F3036+Sens!F3035)*(1-tax_f)/((Sens!E3038+Sens!F3038)/2)</f>
        <v>0.041326312541453</v>
      </c>
      <c r="G3041" s="7" t="n">
        <f aca="false">(Sens!G3037-Sens!G3036+Sens!G3035)*(1-tax_f)/((Sens!F3038+Sens!G3038)/2)</f>
        <v>0.0182553323090492</v>
      </c>
      <c r="H3041" s="7" t="n">
        <f aca="false">(Sens!H3037-Sens!H3036+Sens!H3035)*(1-tax_f)/((Sens!G3038+Sens!H3038)/2)</f>
        <v>0.039323823882326</v>
      </c>
      <c r="I3041" s="7" t="n">
        <f aca="false">(Sens!I3037-Sens!I3036+Sens!I3035)*(1-tax_f)/((Sens!H3038+Sens!I3038)/2)</f>
        <v>0.0552584966988795</v>
      </c>
      <c r="J3041" s="7" t="n">
        <f aca="false">(Sens!J3037-Sens!J3036+Sens!J3035)*(1-tax_f)/((Sens!I3038+Sens!J3038)/2)</f>
        <v>0.0701018410146095</v>
      </c>
      <c r="K3041" s="7" t="n">
        <f aca="false">(Sens!K3037-Sens!K3036+Sens!K3035)*(1-tax_f)/((Sens!J3038+Sens!K3038)/2)</f>
        <v>0.0830692896196398</v>
      </c>
    </row>
    <row r="3042" customFormat="false" ht="17.15" hidden="false" customHeight="false" outlineLevel="0" collapsed="false">
      <c r="A3042" s="1" t="s">
        <v>856</v>
      </c>
      <c r="B3042" s="0" t="s">
        <v>129</v>
      </c>
      <c r="F3042" s="7" t="n">
        <f aca="false">Sens!F2967*(1-tax_f)/(Sens!F2954*(Sens!E3038+Sens!F3038)/2)</f>
        <v>0.0679996548393886</v>
      </c>
      <c r="G3042" s="7" t="n">
        <f aca="false">Sens!G2967*(1-tax_f)/(Sens!G2954*(Sens!F3038+Sens!G3038)/2)</f>
        <v>0.0498496534327161</v>
      </c>
      <c r="H3042" s="7" t="n">
        <f aca="false">Sens!H2967*(1-tax_f)/(Sens!H2954*(Sens!G3038+Sens!H3038)/2)</f>
        <v>0.0869286916376503</v>
      </c>
      <c r="I3042" s="7" t="n">
        <f aca="false">Sens!I2967*(1-tax_f)/(Sens!I2954*(Sens!H3038+Sens!I3038)/2)</f>
        <v>0.115895980793086</v>
      </c>
      <c r="J3042" s="7" t="n">
        <f aca="false">Sens!J2967*(1-tax_f)/(Sens!J2954*(Sens!I3038+Sens!J3038)/2)</f>
        <v>0.141398092867793</v>
      </c>
      <c r="K3042" s="7" t="n">
        <f aca="false">Sens!K2967*(1-tax_f)/(Sens!K2954*(Sens!J3038+Sens!K3038)/2)</f>
        <v>0.156753743311636</v>
      </c>
    </row>
    <row r="3043" customFormat="false" ht="17.15" hidden="false" customHeight="false" outlineLevel="0" collapsed="false">
      <c r="A3043" s="0" t="s">
        <v>857</v>
      </c>
      <c r="B3043" s="0" t="s">
        <v>209</v>
      </c>
      <c r="F3043" s="7" t="n">
        <f aca="false">Sens!F3039-wacc</f>
        <v>-0.0616081075514228</v>
      </c>
      <c r="G3043" s="7" t="n">
        <f aca="false">Sens!G3039-wacc</f>
        <v>-0.0846790877838265</v>
      </c>
      <c r="H3043" s="7" t="n">
        <f aca="false">Sens!H3039-wacc</f>
        <v>-0.0636105962105498</v>
      </c>
      <c r="I3043" s="7" t="n">
        <f aca="false">Sens!I3039-wacc</f>
        <v>-0.0476759233939963</v>
      </c>
      <c r="J3043" s="7" t="n">
        <f aca="false">Sens!J3039-wacc</f>
        <v>-0.0328325790782663</v>
      </c>
      <c r="K3043" s="7" t="n">
        <f aca="false">Sens!K3039-wacc</f>
        <v>-0.0198651304732359</v>
      </c>
    </row>
    <row r="3044" customFormat="false" ht="17.15" hidden="false" customHeight="false" outlineLevel="0" collapsed="false">
      <c r="A3044" s="0" t="s">
        <v>858</v>
      </c>
      <c r="B3044" s="0" t="s">
        <v>98</v>
      </c>
      <c r="F3044" s="6" t="n">
        <f aca="false">Sens!F3037*(1-tax_f)-wacc*(Sens!E3038+Sens!F3038)/2</f>
        <v>-11.8827033728178</v>
      </c>
      <c r="G3044" s="6" t="n">
        <f aca="false">Sens!G3037*(1-tax_f)-wacc*(Sens!F3038+Sens!G3038)/2</f>
        <v>-21.2121120574975</v>
      </c>
      <c r="H3044" s="6" t="n">
        <f aca="false">Sens!H3037*(1-tax_f)-wacc*(Sens!G3038+Sens!H3038)/2</f>
        <v>-13.6413439029984</v>
      </c>
      <c r="I3044" s="6" t="n">
        <f aca="false">Sens!I3037*(1-tax_f)-wacc*(Sens!H3038+Sens!I3038)/2</f>
        <v>-8.30830921474246</v>
      </c>
      <c r="J3044" s="6" t="n">
        <f aca="false">Sens!J3037*(1-tax_f)-wacc*(Sens!I3038+Sens!J3038)/2</f>
        <v>-5.11532863534007</v>
      </c>
      <c r="K3044" s="6" t="n">
        <f aca="false">Sens!K3037*(1-tax_f)-wacc*(Sens!J3038+Sens!K3038)/2</f>
        <v>-3.28436808743615</v>
      </c>
    </row>
    <row r="3045" customFormat="false" ht="17.15" hidden="false" customHeight="false" outlineLevel="0" collapsed="false">
      <c r="A3045" s="3" t="s">
        <v>1312</v>
      </c>
    </row>
    <row r="3046" customFormat="false" ht="15" hidden="false" customHeight="false" outlineLevel="0" collapsed="false">
      <c r="A3046" s="4" t="s">
        <v>43</v>
      </c>
      <c r="B3046" s="4" t="s">
        <v>65</v>
      </c>
      <c r="C3046" s="20" t="s">
        <v>788</v>
      </c>
      <c r="D3046" s="20" t="s">
        <v>789</v>
      </c>
      <c r="E3046" s="20" t="s">
        <v>790</v>
      </c>
      <c r="F3046" s="20" t="s">
        <v>791</v>
      </c>
      <c r="G3046" s="20" t="s">
        <v>792</v>
      </c>
      <c r="H3046" s="20" t="s">
        <v>793</v>
      </c>
      <c r="I3046" s="20" t="s">
        <v>794</v>
      </c>
      <c r="J3046" s="20" t="s">
        <v>795</v>
      </c>
      <c r="K3046" s="20" t="s">
        <v>796</v>
      </c>
      <c r="L3046" s="4" t="s">
        <v>47</v>
      </c>
    </row>
    <row r="3047" customFormat="false" ht="15" hidden="false" customHeight="false" outlineLevel="0" collapsed="false">
      <c r="A3047" s="1" t="s">
        <v>915</v>
      </c>
      <c r="B3047" s="0" t="s">
        <v>98</v>
      </c>
      <c r="F3047" s="6" t="n">
        <f aca="false">Sens!F3028</f>
        <v>135.742543175175</v>
      </c>
      <c r="G3047" s="6" t="n">
        <f aca="false">Sens!G3028</f>
        <v>149.346496218508</v>
      </c>
      <c r="H3047" s="6" t="n">
        <f aca="false">Sens!H3028</f>
        <v>171.988845008139</v>
      </c>
      <c r="I3047" s="6" t="n">
        <f aca="false">Sens!I3028</f>
        <v>191.451504953209</v>
      </c>
      <c r="J3047" s="6" t="n">
        <f aca="false">Sens!J3028</f>
        <v>208.808899300938</v>
      </c>
      <c r="K3047" s="6" t="n">
        <f aca="false">Sens!K3028</f>
        <v>225.37864774086</v>
      </c>
    </row>
    <row r="3048" customFormat="false" ht="17.15" hidden="false" customHeight="false" outlineLevel="0" collapsed="false">
      <c r="A3048" s="1" t="s">
        <v>937</v>
      </c>
      <c r="B3048" s="0" t="s">
        <v>98</v>
      </c>
      <c r="E3048" s="6" t="n">
        <f aca="false">Q!M38-Sens!E2966</f>
        <v>22.2285940229167</v>
      </c>
      <c r="F3048" s="6" t="n">
        <f aca="false">Sens!E3048*(1-1/life_nonai)+Sens!F3054/life_nonai</f>
        <v>23.5786693435813</v>
      </c>
      <c r="G3048" s="6" t="n">
        <f aca="false">Sens!F3048*(1-1/life_nonai)+Sens!G3054/life_nonai</f>
        <v>25.3810917662621</v>
      </c>
      <c r="H3048" s="6" t="n">
        <f aca="false">Sens!G3048*(1-1/life_nonai)+Sens!H3054/life_nonai</f>
        <v>27.5991339540448</v>
      </c>
      <c r="I3048" s="6" t="n">
        <f aca="false">Sens!H3048*(1-1/life_nonai)+Sens!I3054/life_nonai</f>
        <v>30.1565605898047</v>
      </c>
      <c r="J3048" s="6" t="n">
        <f aca="false">Sens!I3048*(1-1/life_nonai)+Sens!J3054/life_nonai</f>
        <v>32.9614958558616</v>
      </c>
      <c r="K3048" s="6" t="n">
        <f aca="false">Sens!J3048*(1-1/life_nonai)+Sens!K3054/life_nonai</f>
        <v>35.9297165444749</v>
      </c>
      <c r="L3048" s="11" t="s">
        <v>938</v>
      </c>
    </row>
    <row r="3049" customFormat="false" ht="17.15" hidden="false" customHeight="false" outlineLevel="0" collapsed="false">
      <c r="A3049" s="1" t="s">
        <v>939</v>
      </c>
      <c r="B3049" s="0" t="s">
        <v>98</v>
      </c>
      <c r="E3049" s="6" t="n">
        <f aca="false">Sens!E2966+Sens!E3048</f>
        <v>38.534</v>
      </c>
      <c r="F3049" s="6" t="n">
        <f aca="false">Sens!F2966+Sens!F3048</f>
        <v>59.6941120327844</v>
      </c>
      <c r="G3049" s="6" t="n">
        <f aca="false">Sens!G2966+Sens!G3048</f>
        <v>77.7903019376683</v>
      </c>
      <c r="H3049" s="6" t="n">
        <f aca="false">Sens!H2966+Sens!H3048</f>
        <v>82.5910435434511</v>
      </c>
      <c r="I3049" s="6" t="n">
        <f aca="false">Sens!I2966+Sens!I3048</f>
        <v>85.7922444087943</v>
      </c>
      <c r="J3049" s="6" t="n">
        <f aca="false">Sens!J2966+Sens!J3048</f>
        <v>90.2131843736012</v>
      </c>
      <c r="K3049" s="6" t="n">
        <f aca="false">Sens!K2966+Sens!K3048</f>
        <v>96.0849582201311</v>
      </c>
    </row>
    <row r="3050" customFormat="false" ht="17.15" hidden="false" customHeight="false" outlineLevel="0" collapsed="false">
      <c r="A3050" s="1" t="s">
        <v>940</v>
      </c>
      <c r="B3050" s="0" t="s">
        <v>98</v>
      </c>
      <c r="F3050" s="6" t="n">
        <f aca="false">Sens!F2993*sbc_r</f>
        <v>14.5967258106986</v>
      </c>
      <c r="G3050" s="6" t="n">
        <f aca="false">Sens!G2993*sbc_r</f>
        <v>16.6843873445553</v>
      </c>
      <c r="H3050" s="6" t="n">
        <f aca="false">Sens!H2993*sbc_r</f>
        <v>18.6271033758076</v>
      </c>
      <c r="I3050" s="6" t="n">
        <f aca="false">Sens!I2993*sbc_r</f>
        <v>20.2761541919582</v>
      </c>
      <c r="J3050" s="6" t="n">
        <f aca="false">Sens!J2993*sbc_r</f>
        <v>21.8036179507238</v>
      </c>
      <c r="K3050" s="6" t="n">
        <f aca="false">Sens!K2993*sbc_r</f>
        <v>23.300693917642</v>
      </c>
    </row>
    <row r="3051" customFormat="false" ht="17.15" hidden="false" customHeight="false" outlineLevel="0" collapsed="false">
      <c r="A3051" s="1" t="s">
        <v>941</v>
      </c>
      <c r="B3051" s="0" t="s">
        <v>98</v>
      </c>
      <c r="F3051" s="6" t="n">
        <f aca="false">wc27</f>
        <v>-4.895</v>
      </c>
      <c r="G3051" s="6" t="n">
        <f aca="false">wc_f</f>
        <v>0</v>
      </c>
      <c r="H3051" s="6" t="n">
        <f aca="false">wc_f</f>
        <v>0</v>
      </c>
      <c r="I3051" s="6" t="n">
        <f aca="false">wc_f</f>
        <v>0</v>
      </c>
      <c r="J3051" s="6" t="n">
        <f aca="false">wc_f</f>
        <v>0</v>
      </c>
      <c r="K3051" s="6" t="n">
        <f aca="false">wc_f</f>
        <v>0</v>
      </c>
      <c r="L3051" s="11" t="s">
        <v>942</v>
      </c>
    </row>
    <row r="3052" customFormat="false" ht="15" hidden="false" customHeight="false" outlineLevel="0" collapsed="false">
      <c r="A3052" s="1" t="s">
        <v>756</v>
      </c>
      <c r="B3052" s="0" t="s">
        <v>98</v>
      </c>
      <c r="E3052" s="6" t="n">
        <f aca="false">Q!M35</f>
        <v>182.935</v>
      </c>
      <c r="F3052" s="6" t="n">
        <f aca="false">Sens!F3047+Sens!F3049+Sens!F3050+Sens!F3051</f>
        <v>205.138381018658</v>
      </c>
      <c r="G3052" s="6" t="n">
        <f aca="false">Sens!G3047+Sens!G3049+Sens!G3050+Sens!G3051</f>
        <v>243.821185500732</v>
      </c>
      <c r="H3052" s="6" t="n">
        <f aca="false">Sens!H3047+Sens!H3049+Sens!H3050+Sens!H3051</f>
        <v>273.206991927397</v>
      </c>
      <c r="I3052" s="6" t="n">
        <f aca="false">Sens!I3047+Sens!I3049+Sens!I3050+Sens!I3051</f>
        <v>297.519903553961</v>
      </c>
      <c r="J3052" s="6" t="n">
        <f aca="false">Sens!J3047+Sens!J3049+Sens!J3050+Sens!J3051</f>
        <v>320.825701625263</v>
      </c>
      <c r="K3052" s="6" t="n">
        <f aca="false">Sens!K3047+Sens!K3049+Sens!K3050+Sens!K3051</f>
        <v>344.764299878633</v>
      </c>
    </row>
    <row r="3053" customFormat="false" ht="17.15" hidden="false" customHeight="false" outlineLevel="0" collapsed="false">
      <c r="A3053" s="0" t="s">
        <v>943</v>
      </c>
      <c r="B3053" s="0" t="s">
        <v>98</v>
      </c>
      <c r="F3053" s="6" t="n">
        <f aca="false">Sens!F2963</f>
        <v>168.470652770438</v>
      </c>
      <c r="G3053" s="6" t="n">
        <f aca="false">Sens!G2963</f>
        <v>35.302727016</v>
      </c>
      <c r="H3053" s="6" t="n">
        <f aca="false">Sens!H2963</f>
        <v>0</v>
      </c>
      <c r="I3053" s="6" t="n">
        <f aca="false">Sens!I2963</f>
        <v>30.2586753466667</v>
      </c>
      <c r="J3053" s="6" t="n">
        <f aca="false">Sens!J2963</f>
        <v>45.6967750133333</v>
      </c>
      <c r="K3053" s="6" t="n">
        <f aca="false">Sens!K2963</f>
        <v>90.77602604</v>
      </c>
    </row>
    <row r="3054" customFormat="false" ht="17.15" hidden="false" customHeight="false" outlineLevel="0" collapsed="false">
      <c r="A3054" s="1" t="s">
        <v>944</v>
      </c>
      <c r="B3054" s="0" t="s">
        <v>98</v>
      </c>
      <c r="E3054" s="6" t="n">
        <f aca="false">Sens!E2971*cx_azo+Sens!E2978*cx_m365+Sens!E2979*cx_lic+(Sens!E2981+Sens!E2983)*cx_ind+Sens!E2986*cx_srch+(Sens!E2988+Sens!E2990)*cx_dev</f>
        <v>30.1846587067718</v>
      </c>
      <c r="F3054" s="6" t="n">
        <f aca="false">Sens!F2971*cx_azo+Sens!F2978*cx_m365+Sens!F2979*cx_lic+(Sens!F2981+Sens!F2983)*cx_ind+Sens!F2986*cx_srch+(Sens!F2988+Sens!F2990)*cx_dev</f>
        <v>35.7293472295625</v>
      </c>
      <c r="G3054" s="6" t="n">
        <f aca="false">Sens!G2971*cx_azo+Sens!G2978*cx_m365+Sens!G2979*cx_lic+(Sens!G2981+Sens!G2983)*cx_ind+Sens!G2986*cx_srch+(Sens!G2988+Sens!G2990)*cx_dev</f>
        <v>41.6028935703892</v>
      </c>
      <c r="H3054" s="6" t="n">
        <f aca="false">Sens!H2971*cx_azo+Sens!H2978*cx_m365+Sens!H2979*cx_lic+(Sens!H2981+Sens!H2983)*cx_ind+Sens!H2986*cx_srch+(Sens!H2988+Sens!H2990)*cx_dev</f>
        <v>47.5615136440897</v>
      </c>
      <c r="I3054" s="6" t="n">
        <f aca="false">Sens!I2971*cx_azo+Sens!I2978*cx_m365+Sens!I2979*cx_lic+(Sens!I2981+Sens!I2983)*cx_ind+Sens!I2986*cx_srch+(Sens!I2988+Sens!I2990)*cx_dev</f>
        <v>53.1734003116439</v>
      </c>
      <c r="J3054" s="6" t="n">
        <f aca="false">Sens!J2971*cx_azo+Sens!J2978*cx_m365+Sens!J2979*cx_lic+(Sens!J2981+Sens!J2983)*cx_ind+Sens!J2986*cx_srch+(Sens!J2988+Sens!J2990)*cx_dev</f>
        <v>58.2059132503738</v>
      </c>
      <c r="K3054" s="6" t="n">
        <f aca="false">Sens!K2971*cx_azo+Sens!K2978*cx_m365+Sens!K2979*cx_lic+(Sens!K2981+Sens!K2983)*cx_ind+Sens!K2986*cx_srch+(Sens!K2988+Sens!K2990)*cx_dev</f>
        <v>62.643702741994</v>
      </c>
    </row>
    <row r="3055" customFormat="false" ht="17.15" hidden="false" customHeight="false" outlineLevel="0" collapsed="false">
      <c r="A3055" s="1" t="s">
        <v>945</v>
      </c>
      <c r="B3055" s="0" t="s">
        <v>98</v>
      </c>
      <c r="E3055" s="6" t="n">
        <f aca="false">Q!M42</f>
        <v>145.3</v>
      </c>
      <c r="F3055" s="6" t="n">
        <f aca="false">Sens!F3053+Sens!F3054</f>
        <v>204.2</v>
      </c>
      <c r="G3055" s="6" t="n">
        <f aca="false">Sens!G3053+Sens!G3054</f>
        <v>76.9056205863892</v>
      </c>
      <c r="H3055" s="6" t="n">
        <f aca="false">Sens!H3053+Sens!H3054</f>
        <v>47.5615136440897</v>
      </c>
      <c r="I3055" s="6" t="n">
        <f aca="false">Sens!I3053+Sens!I3054</f>
        <v>83.4320756583106</v>
      </c>
      <c r="J3055" s="6" t="n">
        <f aca="false">Sens!J3053+Sens!J3054</f>
        <v>103.902688263707</v>
      </c>
      <c r="K3055" s="6" t="n">
        <f aca="false">Sens!K3053+Sens!K3054</f>
        <v>153.419728781994</v>
      </c>
      <c r="L3055" s="1" t="s">
        <v>946</v>
      </c>
    </row>
    <row r="3056" customFormat="false" ht="15" hidden="false" customHeight="false" outlineLevel="0" collapsed="false">
      <c r="A3056" s="1" t="s">
        <v>947</v>
      </c>
      <c r="B3056" s="0" t="s">
        <v>98</v>
      </c>
      <c r="E3056" s="6" t="n">
        <f aca="false">fl_liab</f>
        <v>66.594</v>
      </c>
      <c r="F3056" s="6" t="n">
        <f aca="false">Sens!E3056-Sens!F3057</f>
        <v>62.46973</v>
      </c>
      <c r="G3056" s="6" t="n">
        <f aca="false">Sens!F3056-Sens!G3057</f>
        <v>57.98686785</v>
      </c>
      <c r="H3056" s="6" t="n">
        <f aca="false">Sens!G3056-Sens!H3057</f>
        <v>53.92827690325</v>
      </c>
      <c r="I3056" s="6" t="n">
        <f aca="false">Sens!H3056-Sens!I3057</f>
        <v>49.7850493638962</v>
      </c>
      <c r="J3056" s="6" t="n">
        <f aca="false">Sens!I3056-Sens!J3057</f>
        <v>45.4823765852716</v>
      </c>
      <c r="K3056" s="6" t="n">
        <f aca="false">Sens!J3056-Sens!K3057</f>
        <v>40.9860835316088</v>
      </c>
    </row>
    <row r="3057" customFormat="false" ht="15" hidden="false" customHeight="false" outlineLevel="0" collapsed="false">
      <c r="A3057" s="1" t="s">
        <v>948</v>
      </c>
      <c r="B3057" s="0" t="s">
        <v>98</v>
      </c>
      <c r="F3057" s="6" t="n">
        <f aca="false">fl_pay_27-Sens!E3056*fl_rate</f>
        <v>4.12427</v>
      </c>
      <c r="G3057" s="6" t="n">
        <f aca="false">fl_pay_28-Sens!F3056*fl_rate</f>
        <v>4.48286215</v>
      </c>
      <c r="H3057" s="6" t="n">
        <f aca="false">fl_pay_29-Sens!G3056*fl_rate</f>
        <v>4.05859094675</v>
      </c>
      <c r="I3057" s="6" t="n">
        <f aca="false">fl_pay_30-Sens!H3056*fl_rate</f>
        <v>4.14322753935375</v>
      </c>
      <c r="J3057" s="6" t="n">
        <f aca="false">fl_pay_31-Sens!I3056*fl_rate</f>
        <v>4.30267277862467</v>
      </c>
      <c r="K3057" s="6" t="n">
        <f aca="false">fl_pay_32-Sens!J3056*fl_rate</f>
        <v>4.49629305366278</v>
      </c>
    </row>
    <row r="3058" customFormat="false" ht="17.15" hidden="false" customHeight="false" outlineLevel="0" collapsed="false">
      <c r="A3058" s="1" t="s">
        <v>949</v>
      </c>
      <c r="B3058" s="0" t="s">
        <v>98</v>
      </c>
      <c r="E3058" s="6" t="n">
        <f aca="false">Q!M35-Q!M36-Q!M43</f>
        <v>63.886</v>
      </c>
      <c r="F3058" s="6" t="n">
        <f aca="false">Sens!F3052-Sens!F3055-Sens!F3057</f>
        <v>-3.18588898134187</v>
      </c>
      <c r="G3058" s="6" t="n">
        <f aca="false">Sens!G3052-Sens!G3055-Sens!G3057</f>
        <v>162.432702764343</v>
      </c>
      <c r="H3058" s="6" t="n">
        <f aca="false">Sens!H3052-Sens!H3055-Sens!H3057</f>
        <v>221.586887336558</v>
      </c>
      <c r="I3058" s="6" t="n">
        <f aca="false">Sens!I3052-Sens!I3055-Sens!I3057</f>
        <v>209.944600356297</v>
      </c>
      <c r="J3058" s="6" t="n">
        <f aca="false">Sens!J3052-Sens!J3055-Sens!J3057</f>
        <v>212.620340582931</v>
      </c>
      <c r="K3058" s="6" t="n">
        <f aca="false">Sens!K3052-Sens!K3055-Sens!K3057</f>
        <v>186.848278042977</v>
      </c>
      <c r="L3058" s="11" t="s">
        <v>950</v>
      </c>
    </row>
    <row r="3059" customFormat="false" ht="15" hidden="false" customHeight="false" outlineLevel="0" collapsed="false">
      <c r="A3059" s="1" t="s">
        <v>951</v>
      </c>
      <c r="B3059" s="0" t="s">
        <v>75</v>
      </c>
      <c r="F3059" s="8" t="n">
        <f aca="false">dps_27</f>
        <v>3.85</v>
      </c>
      <c r="G3059" s="8" t="n">
        <f aca="false">Sens!F3059*(1+dps_g)</f>
        <v>4.158</v>
      </c>
      <c r="H3059" s="8" t="n">
        <f aca="false">Sens!G3059*(1+dps_g)</f>
        <v>4.49064</v>
      </c>
      <c r="I3059" s="8" t="n">
        <f aca="false">Sens!H3059*(1+dps_g)</f>
        <v>4.8498912</v>
      </c>
      <c r="J3059" s="8" t="n">
        <f aca="false">Sens!I3059*(1+dps_g)</f>
        <v>5.237882496</v>
      </c>
      <c r="K3059" s="8" t="n">
        <f aca="false">Sens!J3059*(1+dps_g)</f>
        <v>5.65691309568</v>
      </c>
    </row>
    <row r="3060" customFormat="false" ht="17.15" hidden="false" customHeight="false" outlineLevel="0" collapsed="false">
      <c r="A3060" s="1" t="s">
        <v>952</v>
      </c>
      <c r="B3060" s="0" t="s">
        <v>98</v>
      </c>
      <c r="E3060" s="6" t="n">
        <f aca="false">Q!M41</f>
        <v>26.445</v>
      </c>
      <c r="F3060" s="6" t="n">
        <f aca="false">Sens!F3059*Sens!E3069</f>
        <v>28.59395</v>
      </c>
      <c r="G3060" s="6" t="n">
        <f aca="false">Sens!G3059*Sens!F3069</f>
        <v>31.068576</v>
      </c>
      <c r="H3060" s="6" t="n">
        <f aca="false">Sens!H3059*Sens!G3069</f>
        <v>33.5888350159995</v>
      </c>
      <c r="I3060" s="6" t="n">
        <f aca="false">Sens!I3059*Sens!H3069</f>
        <v>36.3268810572789</v>
      </c>
      <c r="J3060" s="6" t="n">
        <f aca="false">Sens!J3059*Sens!I3069</f>
        <v>39.3014303901806</v>
      </c>
      <c r="K3060" s="6" t="n">
        <f aca="false">Sens!K3059*Sens!J3069</f>
        <v>42.5328000467001</v>
      </c>
      <c r="L3060" s="1" t="s">
        <v>953</v>
      </c>
    </row>
    <row r="3061" customFormat="false" ht="15" hidden="false" customHeight="false" outlineLevel="0" collapsed="false">
      <c r="A3061" s="1" t="s">
        <v>954</v>
      </c>
      <c r="B3061" s="0" t="s">
        <v>98</v>
      </c>
      <c r="E3061" s="6" t="n">
        <f aca="false">Sens!E3058-Sens!E3060</f>
        <v>37.441</v>
      </c>
      <c r="F3061" s="6" t="n">
        <f aca="false">Sens!F3058-Sens!F3060</f>
        <v>-31.7798389813419</v>
      </c>
      <c r="G3061" s="6" t="n">
        <f aca="false">Sens!G3058-Sens!G3060</f>
        <v>131.364126764343</v>
      </c>
      <c r="H3061" s="6" t="n">
        <f aca="false">Sens!H3058-Sens!H3060</f>
        <v>187.998052320558</v>
      </c>
      <c r="I3061" s="6" t="n">
        <f aca="false">Sens!I3058-Sens!I3060</f>
        <v>173.617719299018</v>
      </c>
      <c r="J3061" s="6" t="n">
        <f aca="false">Sens!J3058-Sens!J3060</f>
        <v>173.318910192751</v>
      </c>
      <c r="K3061" s="6" t="n">
        <f aca="false">Sens!K3058-Sens!K3060</f>
        <v>144.315477996276</v>
      </c>
    </row>
    <row r="3062" customFormat="false" ht="15" hidden="false" customHeight="false" outlineLevel="0" collapsed="false">
      <c r="A3062" s="1" t="s">
        <v>955</v>
      </c>
      <c r="B3062" s="0" t="s">
        <v>98</v>
      </c>
      <c r="F3062" s="6" t="n">
        <f aca="false">debt_mat_27</f>
        <v>9.25</v>
      </c>
      <c r="G3062" s="6" t="n">
        <f aca="false">debt_mat_28</f>
        <v>0</v>
      </c>
      <c r="H3062" s="6" t="n">
        <f aca="false">debt_mat_29</f>
        <v>2.001</v>
      </c>
      <c r="I3062" s="6" t="n">
        <f aca="false">debt_mat_30</f>
        <v>0</v>
      </c>
      <c r="J3062" s="6" t="n">
        <f aca="false">debt_mat_31</f>
        <v>0.5</v>
      </c>
      <c r="K3062" s="6" t="n">
        <f aca="false">debt_mat_32</f>
        <v>0</v>
      </c>
    </row>
    <row r="3063" customFormat="false" ht="15" hidden="false" customHeight="false" outlineLevel="0" collapsed="false">
      <c r="A3063" s="1" t="s">
        <v>956</v>
      </c>
      <c r="B3063" s="0" t="s">
        <v>98</v>
      </c>
      <c r="E3063" s="6" t="n">
        <f aca="false">Q!M40</f>
        <v>22.271</v>
      </c>
      <c r="F3063" s="6" t="n">
        <f aca="false">MAX(0,MIN(bb_target,Sens!E3065+Sens!F3061-Sens!F3062-min_cash))</f>
        <v>0</v>
      </c>
      <c r="G3063" s="6" t="n">
        <f aca="false">MAX(0,MIN(bb_target,Sens!F3065+Sens!G3061-Sens!G3062-min_cash))</f>
        <v>22.271</v>
      </c>
      <c r="H3063" s="6" t="n">
        <f aca="false">MAX(0,MIN(bb_target,Sens!G3065+Sens!H3061-Sens!H3062-min_cash))</f>
        <v>22.271</v>
      </c>
      <c r="I3063" s="6" t="n">
        <f aca="false">MAX(0,MIN(bb_target,Sens!H3065+Sens!I3061-Sens!I3062-min_cash))</f>
        <v>22.271</v>
      </c>
      <c r="J3063" s="6" t="n">
        <f aca="false">MAX(0,MIN(bb_target,Sens!I3065+Sens!J3061-Sens!J3062-min_cash))</f>
        <v>22.271</v>
      </c>
      <c r="K3063" s="6" t="n">
        <f aca="false">MAX(0,MIN(bb_target,Sens!J3065+Sens!K3061-Sens!K3062-min_cash))</f>
        <v>22.271</v>
      </c>
    </row>
    <row r="3064" customFormat="false" ht="15" hidden="false" customHeight="false" outlineLevel="0" collapsed="false">
      <c r="A3064" s="1" t="s">
        <v>957</v>
      </c>
      <c r="B3064" s="0" t="s">
        <v>98</v>
      </c>
      <c r="F3064" s="6" t="n">
        <f aca="false">MAX(0,min_cash-(Sens!E3065+Sens!F3061-Sens!F3062-Sens!F3063))</f>
        <v>14.1868389813419</v>
      </c>
      <c r="G3064" s="6" t="n">
        <f aca="false">MAX(0,min_cash-(Sens!F3065+Sens!G3061-Sens!G3062-Sens!G3063))</f>
        <v>0</v>
      </c>
      <c r="H3064" s="6" t="n">
        <f aca="false">MAX(0,min_cash-(Sens!G3065+Sens!H3061-Sens!H3062-Sens!H3063))</f>
        <v>0</v>
      </c>
      <c r="I3064" s="6" t="n">
        <f aca="false">MAX(0,min_cash-(Sens!H3065+Sens!I3061-Sens!I3062-Sens!I3063))</f>
        <v>0</v>
      </c>
      <c r="J3064" s="6" t="n">
        <f aca="false">MAX(0,min_cash-(Sens!I3065+Sens!J3061-Sens!J3062-Sens!J3063))</f>
        <v>0</v>
      </c>
      <c r="K3064" s="6" t="n">
        <f aca="false">MAX(0,min_cash-(Sens!J3065+Sens!K3061-Sens!K3062-Sens!K3063))</f>
        <v>0</v>
      </c>
    </row>
    <row r="3065" customFormat="false" ht="15" hidden="false" customHeight="false" outlineLevel="0" collapsed="false">
      <c r="A3065" s="1" t="s">
        <v>958</v>
      </c>
      <c r="B3065" s="0" t="s">
        <v>98</v>
      </c>
      <c r="E3065" s="6" t="n">
        <f aca="false">cash_open</f>
        <v>76.843</v>
      </c>
      <c r="F3065" s="6" t="n">
        <f aca="false">Sens!E3065+Sens!F3061-Sens!F3062-Sens!F3063+Sens!F3064</f>
        <v>50</v>
      </c>
      <c r="G3065" s="6" t="n">
        <f aca="false">Sens!F3065+Sens!G3061-Sens!G3062-Sens!G3063+Sens!G3064</f>
        <v>159.093126764343</v>
      </c>
      <c r="H3065" s="6" t="n">
        <f aca="false">Sens!G3065+Sens!H3061-Sens!H3062-Sens!H3063+Sens!H3064</f>
        <v>322.819179084901</v>
      </c>
      <c r="I3065" s="6" t="n">
        <f aca="false">Sens!H3065+Sens!I3061-Sens!I3062-Sens!I3063+Sens!I3064</f>
        <v>474.165898383919</v>
      </c>
      <c r="J3065" s="6" t="n">
        <f aca="false">Sens!I3065+Sens!J3061-Sens!J3062-Sens!J3063+Sens!J3064</f>
        <v>624.71380857667</v>
      </c>
      <c r="K3065" s="6" t="n">
        <f aca="false">Sens!J3065+Sens!K3061-Sens!K3062-Sens!K3063+Sens!K3064</f>
        <v>746.758286572946</v>
      </c>
    </row>
    <row r="3066" customFormat="false" ht="15" hidden="false" customHeight="false" outlineLevel="0" collapsed="false">
      <c r="A3066" s="1" t="s">
        <v>959</v>
      </c>
      <c r="B3066" s="0" t="s">
        <v>98</v>
      </c>
      <c r="E3066" s="6" t="n">
        <f aca="false">debt_face</f>
        <v>46.136</v>
      </c>
      <c r="F3066" s="6" t="n">
        <f aca="false">Sens!E3066-Sens!F3062+Sens!F3064</f>
        <v>51.0728389813419</v>
      </c>
      <c r="G3066" s="6" t="n">
        <f aca="false">Sens!F3066-Sens!G3062+Sens!G3064</f>
        <v>51.0728389813419</v>
      </c>
      <c r="H3066" s="6" t="n">
        <f aca="false">Sens!G3066-Sens!H3062+Sens!H3064</f>
        <v>49.0718389813419</v>
      </c>
      <c r="I3066" s="6" t="n">
        <f aca="false">Sens!H3066-Sens!I3062+Sens!I3064</f>
        <v>49.0718389813419</v>
      </c>
      <c r="J3066" s="6" t="n">
        <f aca="false">Sens!I3066-Sens!J3062+Sens!J3064</f>
        <v>48.5718389813419</v>
      </c>
      <c r="K3066" s="6" t="n">
        <f aca="false">Sens!J3066-Sens!K3062+Sens!K3064</f>
        <v>48.5718389813419</v>
      </c>
    </row>
    <row r="3067" customFormat="false" ht="15" hidden="false" customHeight="false" outlineLevel="0" collapsed="false">
      <c r="A3067" s="1" t="s">
        <v>960</v>
      </c>
      <c r="B3067" s="0" t="s">
        <v>98</v>
      </c>
      <c r="E3067" s="6" t="n">
        <f aca="false">Sens!E3065-Sens!E3066</f>
        <v>30.707</v>
      </c>
      <c r="F3067" s="6" t="n">
        <f aca="false">Sens!F3065-Sens!F3066</f>
        <v>-1.07283898134187</v>
      </c>
      <c r="G3067" s="6" t="n">
        <f aca="false">Sens!G3065-Sens!G3066</f>
        <v>108.020287783001</v>
      </c>
      <c r="H3067" s="6" t="n">
        <f aca="false">Sens!H3065-Sens!H3066</f>
        <v>273.747340103559</v>
      </c>
      <c r="I3067" s="6" t="n">
        <f aca="false">Sens!I3065-Sens!I3066</f>
        <v>425.094059402577</v>
      </c>
      <c r="J3067" s="6" t="n">
        <f aca="false">Sens!J3065-Sens!J3066</f>
        <v>576.141969595328</v>
      </c>
      <c r="K3067" s="6" t="n">
        <f aca="false">Sens!K3065-Sens!K3066</f>
        <v>698.186447591604</v>
      </c>
    </row>
    <row r="3068" customFormat="false" ht="15" hidden="false" customHeight="false" outlineLevel="0" collapsed="false">
      <c r="A3068" s="1" t="s">
        <v>961</v>
      </c>
      <c r="B3068" s="0" t="s">
        <v>75</v>
      </c>
      <c r="F3068" s="29" t="n">
        <f aca="false">px*(1+bb_g)^(Sens!F2932-base_fy-mid_yr)</f>
        <v>553.494156066711</v>
      </c>
      <c r="G3068" s="29" t="n">
        <f aca="false">px*(1+bb_g)^(Sens!G2932-base_fy-mid_yr)</f>
        <v>597.773688552047</v>
      </c>
      <c r="H3068" s="29" t="n">
        <f aca="false">px*(1+bb_g)^(Sens!H2932-base_fy-mid_yr)</f>
        <v>645.595583636211</v>
      </c>
      <c r="I3068" s="29" t="n">
        <f aca="false">px*(1+bb_g)^(Sens!I2932-base_fy-mid_yr)</f>
        <v>697.243230327108</v>
      </c>
      <c r="J3068" s="29" t="n">
        <f aca="false">px*(1+bb_g)^(Sens!J2932-base_fy-mid_yr)</f>
        <v>753.022688753277</v>
      </c>
      <c r="K3068" s="29" t="n">
        <f aca="false">px*(1+bb_g)^(Sens!K2932-base_fy-mid_yr)</f>
        <v>813.264503853539</v>
      </c>
    </row>
    <row r="3069" customFormat="false" ht="15" hidden="false" customHeight="false" outlineLevel="0" collapsed="false">
      <c r="A3069" s="1" t="s">
        <v>962</v>
      </c>
      <c r="B3069" s="1" t="s">
        <v>81</v>
      </c>
      <c r="E3069" s="14" t="n">
        <f aca="false">sh_out26</f>
        <v>7.427</v>
      </c>
      <c r="F3069" s="14" t="n">
        <f aca="false">Sens!E3069+sh_iss-Sens!F3063/Sens!F3068</f>
        <v>7.472</v>
      </c>
      <c r="G3069" s="14" t="n">
        <f aca="false">Sens!F3069+sh_iss-Sens!G3063/Sens!G3068</f>
        <v>7.47974342543589</v>
      </c>
      <c r="H3069" s="14" t="n">
        <f aca="false">Sens!G3069+sh_iss-Sens!H3063/Sens!H3068</f>
        <v>7.4902465971358</v>
      </c>
      <c r="I3069" s="14" t="n">
        <f aca="false">Sens!H3069+sh_iss-Sens!I3063/Sens!I3068</f>
        <v>7.50330508945052</v>
      </c>
      <c r="J3069" s="14" t="n">
        <f aca="false">Sens!I3069+sh_iss-Sens!J3063/Sens!J3068</f>
        <v>7.51872961937156</v>
      </c>
      <c r="K3069" s="14" t="n">
        <f aca="false">Sens!J3069+sh_iss-Sens!K3063/Sens!K3068</f>
        <v>7.53634492485401</v>
      </c>
    </row>
    <row r="3070" customFormat="false" ht="15" hidden="false" customHeight="false" outlineLevel="0" collapsed="false">
      <c r="A3070" s="1" t="s">
        <v>963</v>
      </c>
      <c r="B3070" s="1" t="s">
        <v>81</v>
      </c>
      <c r="E3070" s="14" t="n">
        <f aca="false">sh_dil26</f>
        <v>7.453</v>
      </c>
      <c r="F3070" s="14" t="n">
        <f aca="false">(Sens!E3069+Sens!F3069)/2+dil_gap</f>
        <v>7.4735</v>
      </c>
      <c r="G3070" s="14" t="n">
        <f aca="false">(Sens!F3069+Sens!G3069)/2+dil_gap</f>
        <v>7.49987171271795</v>
      </c>
      <c r="H3070" s="14" t="n">
        <f aca="false">(Sens!G3069+Sens!H3069)/2+dil_gap</f>
        <v>7.50899501128585</v>
      </c>
      <c r="I3070" s="14" t="n">
        <f aca="false">(Sens!H3069+Sens!I3069)/2+dil_gap</f>
        <v>7.52077584329316</v>
      </c>
      <c r="J3070" s="14" t="n">
        <f aca="false">(Sens!I3069+Sens!J3069)/2+dil_gap</f>
        <v>7.53501735441104</v>
      </c>
      <c r="K3070" s="14" t="n">
        <f aca="false">(Sens!J3069+Sens!K3069)/2+dil_gap</f>
        <v>7.55153727211278</v>
      </c>
    </row>
    <row r="3071" customFormat="false" ht="17.15" hidden="false" customHeight="false" outlineLevel="0" collapsed="false">
      <c r="A3071" s="1" t="s">
        <v>964</v>
      </c>
      <c r="B3071" s="0" t="s">
        <v>98</v>
      </c>
      <c r="C3071" s="6" t="n">
        <f aca="false">SUM(Sens!F3061:J3061)</f>
        <v>634.518969595328</v>
      </c>
    </row>
    <row r="3072" customFormat="false" ht="15" hidden="false" customHeight="false" outlineLevel="0" collapsed="false">
      <c r="A3072" s="23" t="s">
        <v>935</v>
      </c>
      <c r="B3072" s="30" t="s">
        <v>98</v>
      </c>
      <c r="C3072" s="24" t="n">
        <f aca="false">Sens!$C$3071-(Sens!F3061+Sens!G3061+Sens!H3061+Sens!I3061+Sens!J3061)</f>
        <v>0</v>
      </c>
      <c r="D3072" s="30"/>
      <c r="E3072" s="30"/>
      <c r="F3072" s="30"/>
      <c r="G3072" s="30"/>
      <c r="H3072" s="30"/>
      <c r="I3072" s="30"/>
      <c r="J3072" s="30"/>
      <c r="K3072" s="30"/>
    </row>
    <row r="3073" customFormat="false" ht="17.15" hidden="false" customHeight="false" outlineLevel="0" collapsed="false">
      <c r="A3073" s="1" t="s">
        <v>929</v>
      </c>
      <c r="B3073" s="1" t="s">
        <v>965</v>
      </c>
      <c r="C3073" s="32" t="str">
        <f aca="false">IF(SUM(Sens!F3064:J3064)&gt;0.05,"需要舉債 "&amp;TEXT(SUM(Sens!F3064:J3064),"0.0")&amp;" 十億美元","不需舉債")&amp;"；"&amp;IF(SUM(Sens!F3063:J3063)&lt;COUNT(Sens!F3063:J3063)*bb_target-0.05,"回購較每年 "&amp;TEXT(bb_target,"0.0")&amp;" 的目標少 "&amp;TEXT(COUNT(Sens!F3063:J3063)*bb_target-SUM(Sens!F3063:J3063),"0.0")&amp;" 十億美元（"&amp;TEXT(COUNTIF(Sens!F3063:J3063,"&lt;"&amp;(bb_target-0.05)),"0")&amp;" 年減少）","回購不減")</f>
        <v>需要舉債 14.2 十億美元；回購較每年 22.3 的目標少 22.3 十億美元（1 年減少）</v>
      </c>
    </row>
    <row r="3074" customFormat="false" ht="17.15" hidden="false" customHeight="false" outlineLevel="0" collapsed="false">
      <c r="A3074" s="3" t="s">
        <v>1313</v>
      </c>
    </row>
    <row r="3075" customFormat="false" ht="15" hidden="false" customHeight="false" outlineLevel="0" collapsed="false">
      <c r="A3075" s="4" t="s">
        <v>43</v>
      </c>
      <c r="B3075" s="4" t="s">
        <v>65</v>
      </c>
      <c r="C3075" s="20" t="s">
        <v>788</v>
      </c>
      <c r="D3075" s="20" t="s">
        <v>789</v>
      </c>
      <c r="E3075" s="20" t="s">
        <v>790</v>
      </c>
      <c r="F3075" s="20" t="s">
        <v>791</v>
      </c>
      <c r="G3075" s="20" t="s">
        <v>792</v>
      </c>
      <c r="H3075" s="20" t="s">
        <v>793</v>
      </c>
      <c r="I3075" s="20" t="s">
        <v>794</v>
      </c>
      <c r="J3075" s="20" t="s">
        <v>795</v>
      </c>
      <c r="K3075" s="20" t="s">
        <v>796</v>
      </c>
      <c r="L3075" s="4" t="s">
        <v>47</v>
      </c>
    </row>
    <row r="3076" customFormat="false" ht="15" hidden="false" customHeight="false" outlineLevel="0" collapsed="false">
      <c r="A3076" s="1" t="s">
        <v>1042</v>
      </c>
      <c r="B3076" s="1" t="s">
        <v>235</v>
      </c>
      <c r="F3076" s="36" t="n">
        <f aca="false">Sens!F2932-base_fy-mid_yr</f>
        <v>0.5</v>
      </c>
      <c r="G3076" s="36" t="n">
        <f aca="false">Sens!G2932-base_fy-mid_yr</f>
        <v>1.5</v>
      </c>
      <c r="H3076" s="36" t="n">
        <f aca="false">Sens!H2932-base_fy-mid_yr</f>
        <v>2.5</v>
      </c>
      <c r="I3076" s="36" t="n">
        <f aca="false">Sens!I2932-base_fy-mid_yr</f>
        <v>3.5</v>
      </c>
      <c r="J3076" s="36" t="n">
        <f aca="false">Sens!J2932-base_fy-mid_yr</f>
        <v>4.5</v>
      </c>
      <c r="K3076" s="36" t="n">
        <f aca="false">Sens!K2932-base_fy-mid_yr</f>
        <v>5.5</v>
      </c>
    </row>
    <row r="3077" customFormat="false" ht="15" hidden="false" customHeight="false" outlineLevel="0" collapsed="false">
      <c r="A3077" s="1" t="s">
        <v>1043</v>
      </c>
      <c r="B3077" s="0" t="s">
        <v>185</v>
      </c>
      <c r="F3077" s="14" t="n">
        <f aca="false">1/(1+wacc)^Sens!F3076</f>
        <v>0.952193373608246</v>
      </c>
      <c r="G3077" s="14" t="n">
        <f aca="false">1/(1+wacc)^Sens!G3076</f>
        <v>0.863327280626589</v>
      </c>
      <c r="H3077" s="14" t="n">
        <f aca="false">1/(1+wacc)^Sens!H3076</f>
        <v>0.782754862754115</v>
      </c>
      <c r="I3077" s="14" t="n">
        <f aca="false">1/(1+wacc)^Sens!I3076</f>
        <v>0.709702089711011</v>
      </c>
      <c r="J3077" s="14" t="n">
        <f aca="false">1/(1+wacc)^Sens!J3076</f>
        <v>0.643467169744551</v>
      </c>
      <c r="K3077" s="14" t="n">
        <f aca="false">1/(1+wacc)^Sens!K3076</f>
        <v>0.583413807767797</v>
      </c>
    </row>
    <row r="3078" customFormat="false" ht="17.15" hidden="false" customHeight="false" outlineLevel="0" collapsed="false">
      <c r="A3078" s="1" t="s">
        <v>1044</v>
      </c>
      <c r="B3078" s="0" t="s">
        <v>98</v>
      </c>
      <c r="F3078" s="6" t="n">
        <f aca="false">Sens!F3052-Sens!F3050-Sens!F3055+Sens!F3036*(1-tax_f)</f>
        <v>-4.26514896649444</v>
      </c>
      <c r="G3078" s="6" t="n">
        <f aca="false">Sens!G3052-Sens!G3050-Sens!G3055+Sens!G3036*(1-tax_f)</f>
        <v>158.357775470116</v>
      </c>
      <c r="H3078" s="6" t="n">
        <f aca="false">Sens!H3052-Sens!H3050-Sens!H3055+Sens!H3036*(1-tax_f)</f>
        <v>212.354460968756</v>
      </c>
      <c r="I3078" s="6" t="n">
        <f aca="false">Sens!I3052-Sens!I3050-Sens!I3055+Sens!I3036*(1-tax_f)</f>
        <v>196.576766817221</v>
      </c>
      <c r="J3078" s="6" t="n">
        <f aca="false">Sens!J3052-Sens!J3050-Sens!J3055+Sens!J3036*(1-tax_f)</f>
        <v>196.602533475056</v>
      </c>
      <c r="K3078" s="6" t="n">
        <f aca="false">Sens!K3052-Sens!K3050-Sens!K3055+Sens!K3036*(1-tax_f)</f>
        <v>169.008099021103</v>
      </c>
      <c r="L3078" s="1" t="s">
        <v>1045</v>
      </c>
    </row>
    <row r="3079" customFormat="false" ht="15" hidden="false" customHeight="false" outlineLevel="0" collapsed="false">
      <c r="A3079" s="1" t="s">
        <v>1046</v>
      </c>
      <c r="B3079" s="0" t="s">
        <v>98</v>
      </c>
      <c r="F3079" s="6" t="n">
        <f aca="false">Sens!F3078*Sens!F3077</f>
        <v>-4.06124658334807</v>
      </c>
      <c r="G3079" s="6" t="n">
        <f aca="false">Sens!G3078*Sens!G3077</f>
        <v>136.714587662691</v>
      </c>
      <c r="H3079" s="6" t="n">
        <f aca="false">Sens!H3078*Sens!H3077</f>
        <v>166.221486950823</v>
      </c>
      <c r="I3079" s="6" t="n">
        <f aca="false">Sens!I3078*Sens!I3077</f>
        <v>139.510942198815</v>
      </c>
      <c r="J3079" s="6" t="n">
        <f aca="false">Sens!J3078*Sens!J3077</f>
        <v>126.507275779803</v>
      </c>
      <c r="K3079" s="6" t="n">
        <f aca="false">Sens!K3078*Sens!K3077</f>
        <v>98.6016585934983</v>
      </c>
    </row>
    <row r="3080" customFormat="false" ht="17.15" hidden="false" customHeight="false" outlineLevel="0" collapsed="false">
      <c r="A3080" s="1" t="s">
        <v>1047</v>
      </c>
      <c r="B3080" s="0" t="s">
        <v>98</v>
      </c>
      <c r="C3080" s="6" t="n">
        <f aca="false">SUM(Sens!F3079:K3079)</f>
        <v>663.494704602283</v>
      </c>
    </row>
    <row r="3081" customFormat="false" ht="17.15" hidden="false" customHeight="false" outlineLevel="0" collapsed="false">
      <c r="A3081" s="1" t="s">
        <v>1048</v>
      </c>
      <c r="B3081" s="0" t="s">
        <v>98</v>
      </c>
      <c r="C3081" s="6" t="n">
        <f aca="false">Sens!K3022*(1+g_tv)*(1-tax_f)</f>
        <v>233.462755670454</v>
      </c>
    </row>
    <row r="3082" customFormat="false" ht="17.15" hidden="false" customHeight="false" outlineLevel="0" collapsed="false">
      <c r="A3082" s="1" t="s">
        <v>1049</v>
      </c>
      <c r="B3082" s="0" t="s">
        <v>98</v>
      </c>
      <c r="C3082" s="6" t="n">
        <f aca="false">Sens!$C$3081*(1-g_tv/(wacc+ronic_prem))</f>
        <v>165.420572464932</v>
      </c>
    </row>
    <row r="3083" customFormat="false" ht="17.15" hidden="false" customHeight="false" outlineLevel="0" collapsed="false">
      <c r="A3083" s="1" t="s">
        <v>1050</v>
      </c>
      <c r="B3083" s="0" t="s">
        <v>98</v>
      </c>
      <c r="C3083" s="6" t="n">
        <f aca="false">Sens!$C$3082/(wacc-g_tv)</f>
        <v>2268.07277351741</v>
      </c>
    </row>
    <row r="3084" customFormat="false" ht="15" hidden="false" customHeight="false" outlineLevel="0" collapsed="false">
      <c r="A3084" s="1" t="s">
        <v>1051</v>
      </c>
      <c r="B3084" s="0" t="s">
        <v>98</v>
      </c>
      <c r="C3084" s="6" t="n">
        <f aca="false">Sens!$C$3083/(1+wacc)^(Sens!K3076+mid_yr)</f>
        <v>1259.9660511714</v>
      </c>
    </row>
    <row r="3085" customFormat="false" ht="17.15" hidden="false" customHeight="false" outlineLevel="0" collapsed="false">
      <c r="A3085" s="0" t="s">
        <v>972</v>
      </c>
      <c r="B3085" s="0" t="s">
        <v>98</v>
      </c>
      <c r="C3085" s="6" t="n">
        <f aca="false">Sens!$C$3080+Sens!$C$3084</f>
        <v>1923.46075577368</v>
      </c>
    </row>
    <row r="3086" customFormat="false" ht="15" hidden="false" customHeight="false" outlineLevel="0" collapsed="false">
      <c r="A3086" s="1" t="s">
        <v>973</v>
      </c>
      <c r="B3086" s="0" t="s">
        <v>129</v>
      </c>
      <c r="C3086" s="7" t="n">
        <f aca="false">Sens!$C$3084/Sens!$C$3085</f>
        <v>0.655051602893035</v>
      </c>
    </row>
    <row r="3087" customFormat="false" ht="17.15" hidden="false" customHeight="false" outlineLevel="0" collapsed="false">
      <c r="A3087" s="1" t="s">
        <v>1052</v>
      </c>
      <c r="B3087" s="0" t="s">
        <v>98</v>
      </c>
      <c r="C3087" s="6" t="n">
        <f aca="false">Sens!$C$3085+Sens!E3067-Sens!E3056+oai_v</f>
        <v>2057.97375577368</v>
      </c>
    </row>
    <row r="3088" customFormat="false" ht="17.15" hidden="false" customHeight="false" outlineLevel="0" collapsed="false">
      <c r="A3088" s="0" t="s">
        <v>980</v>
      </c>
      <c r="B3088" s="0" t="s">
        <v>75</v>
      </c>
      <c r="C3088" s="5" t="n">
        <f aca="false">Sens!$C$3087/sh_dil26</f>
        <v>276.126895984661</v>
      </c>
    </row>
    <row r="3089" customFormat="false" ht="15" hidden="false" customHeight="false" outlineLevel="0" collapsed="false">
      <c r="A3089" s="1" t="s">
        <v>1053</v>
      </c>
      <c r="B3089" s="0" t="s">
        <v>75</v>
      </c>
      <c r="C3089" s="8" t="n">
        <f aca="false">dps_27+Sens!G3059*roll_div_q/q_per_yr</f>
        <v>4.8895</v>
      </c>
    </row>
    <row r="3090" customFormat="false" ht="17.15" hidden="false" customHeight="false" outlineLevel="0" collapsed="false">
      <c r="A3090" s="0" t="s">
        <v>1054</v>
      </c>
      <c r="B3090" s="0" t="s">
        <v>75</v>
      </c>
      <c r="C3090" s="5" t="n">
        <f aca="false">Sens!$C$3088*(1+wacc)^t_roll-Sens!$C$3089</f>
        <v>309.545416203835</v>
      </c>
    </row>
    <row r="3091" customFormat="false" ht="17.15" hidden="false" customHeight="false" outlineLevel="0" collapsed="false">
      <c r="A3091" s="1" t="s">
        <v>1055</v>
      </c>
      <c r="B3091" s="0" t="s">
        <v>129</v>
      </c>
      <c r="F3091" s="7" t="n">
        <f aca="false">Sens!F3048/(Sens!F2993-Sens!F2949)</f>
        <v>0.0681773598226415</v>
      </c>
      <c r="G3091" s="7" t="n">
        <f aca="false">Sens!G3048/(Sens!G2993-Sens!G2949)</f>
        <v>0.0650385409375172</v>
      </c>
      <c r="H3091" s="7" t="n">
        <f aca="false">Sens!H3048/(Sens!H2993-Sens!H2949)</f>
        <v>0.063382542471986</v>
      </c>
      <c r="I3091" s="7" t="n">
        <f aca="false">Sens!I3048/(Sens!I2993-Sens!I2949)</f>
        <v>0.0630998138876076</v>
      </c>
      <c r="J3091" s="7" t="n">
        <f aca="false">Sens!J3048/(Sens!J2993-Sens!J2949)</f>
        <v>0.0638399980286975</v>
      </c>
      <c r="K3091" s="7" t="n">
        <f aca="false">Sens!K3048/(Sens!K2993-Sens!K2949)</f>
        <v>0.0651531082402687</v>
      </c>
    </row>
    <row r="3092" customFormat="false" ht="17.15" hidden="false" customHeight="false" outlineLevel="0" collapsed="false">
      <c r="A3092" s="0" t="s">
        <v>1056</v>
      </c>
      <c r="B3092" s="0" t="s">
        <v>98</v>
      </c>
      <c r="F3092" s="6" t="n">
        <f aca="false">Sens!F2978*(al_m365+Sens!F3091+sbc_r)</f>
        <v>84.944046606333</v>
      </c>
      <c r="G3092" s="6" t="n">
        <f aca="false">Sens!G2978*(al_m365+Sens!G3091+sbc_r)</f>
        <v>99.4236143320739</v>
      </c>
      <c r="H3092" s="6" t="n">
        <f aca="false">Sens!H2978*(al_m365+Sens!H3091+sbc_r)</f>
        <v>114.068697186163</v>
      </c>
      <c r="I3092" s="6" t="n">
        <f aca="false">Sens!I2978*(al_m365+Sens!I3091+sbc_r)</f>
        <v>127.196415789369</v>
      </c>
      <c r="J3092" s="6" t="n">
        <f aca="false">Sens!J2978*(al_m365+Sens!J3091+sbc_r)</f>
        <v>138.619575691419</v>
      </c>
      <c r="K3092" s="6" t="n">
        <f aca="false">Sens!K2978*(al_m365+Sens!K3091+sbc_r)</f>
        <v>149.659768267063</v>
      </c>
      <c r="L3092" s="11" t="s">
        <v>1057</v>
      </c>
    </row>
    <row r="3093" customFormat="false" ht="17.15" hidden="false" customHeight="false" outlineLevel="0" collapsed="false">
      <c r="A3093" s="0" t="s">
        <v>1058</v>
      </c>
      <c r="B3093" s="0" t="s">
        <v>98</v>
      </c>
      <c r="F3093" s="6" t="n">
        <f aca="false">Sens!F2979*(al_lic+Sens!F3091+sbc_r)</f>
        <v>33.4285095904825</v>
      </c>
      <c r="G3093" s="6" t="n">
        <f aca="false">Sens!G2979*(al_lic+Sens!G3091+sbc_r)</f>
        <v>34.7161826947861</v>
      </c>
      <c r="H3093" s="6" t="n">
        <f aca="false">Sens!H2979*(al_lic+Sens!H3091+sbc_r)</f>
        <v>35.9223654002493</v>
      </c>
      <c r="I3093" s="6" t="n">
        <f aca="false">Sens!I2979*(al_lic+Sens!I3091+sbc_r)</f>
        <v>37.0298325864501</v>
      </c>
      <c r="J3093" s="6" t="n">
        <f aca="false">Sens!J2979*(al_lic+Sens!J3091+sbc_r)</f>
        <v>38.0103325842314</v>
      </c>
      <c r="K3093" s="6" t="n">
        <f aca="false">Sens!K2979*(al_lic+Sens!K3091+sbc_r)</f>
        <v>38.8303473189322</v>
      </c>
    </row>
    <row r="3094" customFormat="false" ht="17.15" hidden="false" customHeight="false" outlineLevel="0" collapsed="false">
      <c r="A3094" s="0" t="s">
        <v>1059</v>
      </c>
      <c r="B3094" s="0" t="s">
        <v>98</v>
      </c>
      <c r="F3094" s="6" t="n">
        <f aca="false">Sens!F2981*(al_ind+Sens!F3091+sbc_r)</f>
        <v>9.06719306746208</v>
      </c>
      <c r="G3094" s="6" t="n">
        <f aca="false">Sens!G2981*(al_ind+Sens!G3091+sbc_r)</f>
        <v>9.83485541633448</v>
      </c>
      <c r="H3094" s="6" t="n">
        <f aca="false">Sens!H2981*(al_ind+Sens!H3091+sbc_r)</f>
        <v>10.6498544617516</v>
      </c>
      <c r="I3094" s="6" t="n">
        <f aca="false">Sens!I2981*(al_ind+Sens!I3091+sbc_r)</f>
        <v>11.5103515303299</v>
      </c>
      <c r="J3094" s="6" t="n">
        <f aca="false">Sens!J2981*(al_ind+Sens!J3091+sbc_r)</f>
        <v>12.4055032067278</v>
      </c>
      <c r="K3094" s="6" t="n">
        <f aca="false">Sens!K2981*(al_ind+Sens!K3091+sbc_r)</f>
        <v>13.3173308472897</v>
      </c>
    </row>
    <row r="3095" customFormat="false" ht="17.15" hidden="false" customHeight="false" outlineLevel="0" collapsed="false">
      <c r="A3095" s="0" t="s">
        <v>1060</v>
      </c>
      <c r="B3095" s="0" t="s">
        <v>98</v>
      </c>
      <c r="F3095" s="6" t="n">
        <f aca="false">Sens!F2983*(al_fro+Sens!F3091+sbc_r)</f>
        <v>3.56887902446295</v>
      </c>
      <c r="G3095" s="6" t="n">
        <f aca="false">Sens!G2983*(al_fro+Sens!G3091+sbc_r)</f>
        <v>3.77600302676241</v>
      </c>
      <c r="H3095" s="6" t="n">
        <f aca="false">Sens!H2983*(al_fro+Sens!H3091+sbc_r)</f>
        <v>4.01322967965482</v>
      </c>
      <c r="I3095" s="6" t="n">
        <f aca="false">Sens!I2983*(al_fro+Sens!I3091+sbc_r)</f>
        <v>4.28368437397841</v>
      </c>
      <c r="J3095" s="6" t="n">
        <f aca="false">Sens!J2983*(al_fro+Sens!J3091+sbc_r)</f>
        <v>4.58803182845156</v>
      </c>
      <c r="K3095" s="6" t="n">
        <f aca="false">Sens!K2983*(al_fro+Sens!K3091+sbc_r)</f>
        <v>4.92526073140255</v>
      </c>
    </row>
    <row r="3096" customFormat="false" ht="17.15" hidden="false" customHeight="false" outlineLevel="0" collapsed="false">
      <c r="A3096" s="0" t="s">
        <v>1061</v>
      </c>
      <c r="B3096" s="0" t="s">
        <v>98</v>
      </c>
      <c r="F3096" s="6" t="n">
        <f aca="false">Sens!F2986*(al_srch+Sens!F3091+sbc_r)</f>
        <v>11.1981144415922</v>
      </c>
      <c r="G3096" s="6" t="n">
        <f aca="false">Sens!G2986*(al_srch+Sens!G3091+sbc_r)</f>
        <v>12.2607925441521</v>
      </c>
      <c r="H3096" s="6" t="n">
        <f aca="false">Sens!H2986*(al_srch+Sens!H3091+sbc_r)</f>
        <v>13.3712787172501</v>
      </c>
      <c r="I3096" s="6" t="n">
        <f aca="false">Sens!I2986*(al_srch+Sens!I3091+sbc_r)</f>
        <v>14.5205713773955</v>
      </c>
      <c r="J3096" s="6" t="n">
        <f aca="false">Sens!J2986*(al_srch+Sens!J3091+sbc_r)</f>
        <v>15.6873363367184</v>
      </c>
      <c r="K3096" s="6" t="n">
        <f aca="false">Sens!K2986*(al_srch+Sens!K3091+sbc_r)</f>
        <v>16.8403848378749</v>
      </c>
    </row>
    <row r="3097" customFormat="false" ht="17.15" hidden="false" customHeight="false" outlineLevel="0" collapsed="false">
      <c r="A3097" s="0" t="s">
        <v>1062</v>
      </c>
      <c r="B3097" s="0" t="s">
        <v>98</v>
      </c>
      <c r="F3097" s="6" t="n">
        <f aca="false">Sens!F2955-Sens!F2956+Sens!F3036</f>
        <v>38.3710673450905</v>
      </c>
      <c r="G3097" s="6" t="n">
        <f aca="false">Sens!G2955-Sens!G2956+Sens!G3036</f>
        <v>45.2788708588846</v>
      </c>
      <c r="H3097" s="6" t="n">
        <f aca="false">Sens!H2955-Sens!H2956+Sens!H3036</f>
        <v>47.548035407844</v>
      </c>
      <c r="I3097" s="6" t="n">
        <f aca="false">Sens!I2955-Sens!I2956+Sens!I3036</f>
        <v>45.8336858954588</v>
      </c>
      <c r="J3097" s="6" t="n">
        <f aca="false">Sens!J2955-Sens!J2956+Sens!J3036</f>
        <v>46.4956295072657</v>
      </c>
      <c r="K3097" s="6" t="n">
        <f aca="false">Sens!K2955-Sens!K2956+Sens!K3036</f>
        <v>50.3451592464433</v>
      </c>
    </row>
    <row r="3098" customFormat="false" ht="17.15" hidden="false" customHeight="false" outlineLevel="0" collapsed="false">
      <c r="A3098" s="0" t="s">
        <v>1063</v>
      </c>
      <c r="B3098" s="0" t="s">
        <v>98</v>
      </c>
      <c r="F3098" s="6" t="n">
        <f aca="false">Sens!F3015+Sens!F3036+Sens!F2966+Sens!F3091*(Sens!F2985-Sens!F2949)+sbc_r*Sens!F2985</f>
        <v>229.938718413084</v>
      </c>
      <c r="G3098" s="6" t="n">
        <f aca="false">Sens!G3015+Sens!G3036+Sens!G2966+Sens!G3091*(Sens!G2985-Sens!G2949)+sbc_r*Sens!G2985</f>
        <v>264.957937155325</v>
      </c>
      <c r="H3098" s="6" t="n">
        <f aca="false">Sens!H3015+Sens!H3036+Sens!H2966+Sens!H3091*(Sens!H2985-Sens!H2949)+sbc_r*Sens!H2985</f>
        <v>295.654193263907</v>
      </c>
      <c r="I3098" s="6" t="n">
        <f aca="false">Sens!I3015+Sens!I3036+Sens!I2966+Sens!I3091*(Sens!I2985-Sens!I2949)+sbc_r*Sens!I2985</f>
        <v>320.509515531082</v>
      </c>
      <c r="J3098" s="6" t="n">
        <f aca="false">Sens!J3015+Sens!J3036+Sens!J2966+Sens!J3091*(Sens!J2985-Sens!J2949)+sbc_r*Sens!J2985</f>
        <v>345.234349191788</v>
      </c>
      <c r="K3098" s="6" t="n">
        <f aca="false">Sens!K3015+Sens!K3036+Sens!K2966+Sens!K3091*(Sens!K2985-Sens!K2949)+sbc_r*Sens!K2985</f>
        <v>371.185006214097</v>
      </c>
    </row>
    <row r="3099" customFormat="false" ht="17.15" hidden="false" customHeight="false" outlineLevel="0" collapsed="false">
      <c r="A3099" s="0" t="s">
        <v>1064</v>
      </c>
      <c r="B3099" s="0" t="s">
        <v>98</v>
      </c>
      <c r="F3099" s="6" t="n">
        <f aca="false">Sens!F3098-Sens!F3092-Sens!F3093-Sens!F3094-Sens!F3095-Sens!F3097</f>
        <v>60.5590227792533</v>
      </c>
      <c r="G3099" s="6" t="n">
        <f aca="false">Sens!G3098-Sens!G3092-Sens!G3093-Sens!G3094-Sens!G3095-Sens!G3097</f>
        <v>71.9284108264835</v>
      </c>
      <c r="H3099" s="6" t="n">
        <f aca="false">Sens!H3098-Sens!H3092-Sens!H3093-Sens!H3094-Sens!H3095-Sens!H3097</f>
        <v>83.4520111282448</v>
      </c>
      <c r="I3099" s="6" t="n">
        <f aca="false">Sens!I3098-Sens!I3092-Sens!I3093-Sens!I3094-Sens!I3095-Sens!I3097</f>
        <v>94.6555453554952</v>
      </c>
      <c r="J3099" s="6" t="n">
        <f aca="false">Sens!J3098-Sens!J3092-Sens!J3093-Sens!J3094-Sens!J3095-Sens!J3097</f>
        <v>105.115276373693</v>
      </c>
      <c r="K3099" s="6" t="n">
        <f aca="false">Sens!K3098-Sens!K3092-Sens!K3093-Sens!K3094-Sens!K3095-Sens!K3097</f>
        <v>114.107139802967</v>
      </c>
    </row>
    <row r="3100" customFormat="false" ht="17.15" hidden="false" customHeight="false" outlineLevel="0" collapsed="false">
      <c r="A3100" s="0" t="s">
        <v>1065</v>
      </c>
      <c r="B3100" s="0" t="s">
        <v>98</v>
      </c>
      <c r="F3100" s="6" t="n">
        <f aca="false">Sens!F3017+Sens!F3091*Sens!F2992+sbc_r*Sens!F2992</f>
        <v>26.1717931813002</v>
      </c>
      <c r="G3100" s="6" t="n">
        <f aca="false">Sens!G3017+Sens!G3091*Sens!G2992+sbc_r*Sens!G2992</f>
        <v>26.7581197754446</v>
      </c>
      <c r="H3100" s="6" t="n">
        <f aca="false">Sens!H3017+Sens!H3091*Sens!H2992+sbc_r*Sens!H2992</f>
        <v>27.6201174920951</v>
      </c>
      <c r="I3100" s="6" t="n">
        <f aca="false">Sens!I3017+Sens!I3091*Sens!I2992+sbc_r*Sens!I2992</f>
        <v>28.7296306530919</v>
      </c>
      <c r="J3100" s="6" t="n">
        <f aca="false">Sens!J3017+Sens!J3091*Sens!J2992+sbc_r*Sens!J2992</f>
        <v>30.04749983899</v>
      </c>
      <c r="K3100" s="6" t="n">
        <f aca="false">Sens!K3017+Sens!K3091*Sens!K2992+sbc_r*Sens!K2992</f>
        <v>31.5292329023825</v>
      </c>
    </row>
    <row r="3101" customFormat="false" ht="17.15" hidden="false" customHeight="false" outlineLevel="0" collapsed="false">
      <c r="A3101" s="0" t="s">
        <v>1066</v>
      </c>
      <c r="B3101" s="0" t="s">
        <v>98</v>
      </c>
      <c r="F3101" s="6" t="n">
        <f aca="false">(Sens!F3100-Sens!F3096)*Sens!F2988/(Sens!F2988+Sens!F2990)</f>
        <v>8.20842484359027</v>
      </c>
      <c r="G3101" s="6" t="n">
        <f aca="false">(Sens!G3100-Sens!G3096)*Sens!G2988/(Sens!G2988+Sens!G2990)</f>
        <v>7.80559384110416</v>
      </c>
      <c r="H3101" s="6" t="n">
        <f aca="false">(Sens!H3100-Sens!H3096)*Sens!H2988/(Sens!H2988+Sens!H2990)</f>
        <v>7.56817041839156</v>
      </c>
      <c r="I3101" s="6" t="n">
        <f aca="false">(Sens!I3100-Sens!I3096)*Sens!I2988/(Sens!I2988+Sens!I2990)</f>
        <v>7.47875608696462</v>
      </c>
      <c r="J3101" s="6" t="n">
        <f aca="false">(Sens!J3100-Sens!J3096)*Sens!J2988/(Sens!J2988+Sens!J2990)</f>
        <v>7.52410955955578</v>
      </c>
      <c r="K3101" s="6" t="n">
        <f aca="false">(Sens!K3100-Sens!K3096)*Sens!K2988/(Sens!K2988+Sens!K2990)</f>
        <v>7.6963261681206</v>
      </c>
    </row>
    <row r="3102" customFormat="false" ht="17.15" hidden="false" customHeight="false" outlineLevel="0" collapsed="false">
      <c r="A3102" s="0" t="s">
        <v>1067</v>
      </c>
      <c r="B3102" s="0" t="s">
        <v>98</v>
      </c>
      <c r="F3102" s="6" t="n">
        <f aca="false">Sens!F3100-Sens!F3096-Sens!F3101</f>
        <v>6.76525389611778</v>
      </c>
      <c r="G3102" s="6" t="n">
        <f aca="false">Sens!G3100-Sens!G3096-Sens!G3101</f>
        <v>6.69173339018827</v>
      </c>
      <c r="H3102" s="6" t="n">
        <f aca="false">Sens!H3100-Sens!H3096-Sens!H3101</f>
        <v>6.68066835645346</v>
      </c>
      <c r="I3102" s="6" t="n">
        <f aca="false">Sens!I3100-Sens!I3096-Sens!I3101</f>
        <v>6.73030318873177</v>
      </c>
      <c r="J3102" s="6" t="n">
        <f aca="false">Sens!J3100-Sens!J3096-Sens!J3101</f>
        <v>6.83605394271588</v>
      </c>
      <c r="K3102" s="6" t="n">
        <f aca="false">Sens!K3100-Sens!K3096-Sens!K3101</f>
        <v>6.99252189638696</v>
      </c>
    </row>
    <row r="3103" customFormat="false" ht="17.15" hidden="false" customHeight="false" outlineLevel="0" collapsed="false">
      <c r="A3103" s="0" t="s">
        <v>1068</v>
      </c>
      <c r="B3103" s="0" t="s">
        <v>98</v>
      </c>
      <c r="F3103" s="6" t="n">
        <f aca="false">Sens!F3097-tax_f*(Sens!F3097-Sens!F2966)-Sens!F2963</f>
        <v>-130.550710356524</v>
      </c>
      <c r="G3103" s="6" t="n">
        <f aca="false">Sens!G3097-tax_f*(Sens!G3097-Sens!G2966)-Sens!G2963</f>
        <v>11.4022117053889</v>
      </c>
      <c r="H3103" s="6" t="n">
        <f aca="false">Sens!H3097-tax_f*(Sens!H3097-Sens!H2966)-Sens!H2963</f>
        <v>49.0368102441564</v>
      </c>
      <c r="I3103" s="6" t="n">
        <f aca="false">Sens!I3097-tax_f*(Sens!I3097-Sens!I2966)-Sens!I2963</f>
        <v>17.5354101334983</v>
      </c>
      <c r="J3103" s="6" t="n">
        <f aca="false">Sens!J3097-tax_f*(Sens!J3097-Sens!J2966)-Sens!J2963</f>
        <v>2.95006629602717</v>
      </c>
      <c r="K3103" s="6" t="n">
        <f aca="false">Sens!K3097-tax_f*(Sens!K3097-Sens!K2966)-Sens!K2963</f>
        <v>-38.4688503077141</v>
      </c>
    </row>
    <row r="3104" customFormat="false" ht="17.15" hidden="false" customHeight="false" outlineLevel="0" collapsed="false">
      <c r="A3104" s="0" t="s">
        <v>1069</v>
      </c>
      <c r="B3104" s="0" t="s">
        <v>98</v>
      </c>
      <c r="F3104" s="6" t="n">
        <f aca="false">Sens!F3103*Sens!F3077</f>
        <v>-124.309521321332</v>
      </c>
      <c r="G3104" s="6" t="n">
        <f aca="false">Sens!G3103*Sens!G3077</f>
        <v>9.8438404247421</v>
      </c>
      <c r="H3104" s="6" t="n">
        <f aca="false">Sens!H3103*Sens!H3077</f>
        <v>38.3838016725643</v>
      </c>
      <c r="I3104" s="6" t="n">
        <f aca="false">Sens!I3103*Sens!I3077</f>
        <v>12.4449172156833</v>
      </c>
      <c r="J3104" s="6" t="n">
        <f aca="false">Sens!J3103*Sens!J3077</f>
        <v>1.89827081006339</v>
      </c>
      <c r="K3104" s="6" t="n">
        <f aca="false">Sens!K3103*Sens!K3077</f>
        <v>-22.4432584384729</v>
      </c>
    </row>
    <row r="3105" customFormat="false" ht="17.15" hidden="false" customHeight="false" outlineLevel="0" collapsed="false">
      <c r="A3105" s="0" t="s">
        <v>1070</v>
      </c>
      <c r="B3105" s="0" t="s">
        <v>98</v>
      </c>
      <c r="C3105" s="6" t="n">
        <f aca="false">(Sens!K3097-Sens!K2966)*(1-tax_f)*(1+g_tv)*(1-g_tv/(wacc+ronic_prem))/(wacc-g_tv)/(1+wacc)^(Sens!K3076+mid_yr)</f>
        <v>-43.6255689967857</v>
      </c>
    </row>
    <row r="3106" customFormat="false" ht="17.15" hidden="false" customHeight="false" outlineLevel="0" collapsed="false">
      <c r="A3106" s="1" t="s">
        <v>1071</v>
      </c>
      <c r="B3106" s="0" t="s">
        <v>98</v>
      </c>
      <c r="C3106" s="6" t="n">
        <f aca="false">(SUM(Sens!F3104:K3104)+Sens!$C$3105)*(1+wacc)^t_roll</f>
        <v>-145.538688900443</v>
      </c>
      <c r="L3106" s="11" t="s">
        <v>1072</v>
      </c>
    </row>
    <row r="3107" customFormat="false" ht="17.15" hidden="false" customHeight="false" outlineLevel="0" collapsed="false">
      <c r="A3107" s="1" t="s">
        <v>1073</v>
      </c>
      <c r="B3107" s="0" t="s">
        <v>98</v>
      </c>
      <c r="C3107" s="6" t="n">
        <f aca="false">(w_ntm28*Sens!G2955+(1-w_ntm28)*Sens!H2955)*m_ai</f>
        <v>256.825681102843</v>
      </c>
    </row>
    <row r="3108" customFormat="false" ht="17.15" hidden="false" customHeight="false" outlineLevel="0" collapsed="false">
      <c r="A3108" s="1" t="s">
        <v>1074</v>
      </c>
      <c r="B3108" s="0" t="s">
        <v>98</v>
      </c>
      <c r="C3108" s="6" t="n">
        <f aca="false">(w_ntm28*Sens!G3099+(1-w_ntm28)*Sens!H3099)*m_cloud</f>
        <v>1045.53618947981</v>
      </c>
    </row>
    <row r="3109" customFormat="false" ht="17.15" hidden="false" customHeight="false" outlineLevel="0" collapsed="false">
      <c r="A3109" s="1" t="s">
        <v>1075</v>
      </c>
      <c r="B3109" s="0" t="s">
        <v>98</v>
      </c>
      <c r="C3109" s="6" t="n">
        <f aca="false">(w_ntm28*Sens!G3092+(1-w_ntm28)*Sens!H3092)*m_sw</f>
        <v>1124.90844188024</v>
      </c>
    </row>
    <row r="3110" customFormat="false" ht="17.15" hidden="false" customHeight="false" outlineLevel="0" collapsed="false">
      <c r="A3110" s="1" t="s">
        <v>1076</v>
      </c>
      <c r="B3110" s="0" t="s">
        <v>98</v>
      </c>
      <c r="C3110" s="6" t="n">
        <f aca="false">(w_ntm28*Sens!G3093+(1-w_ntm28)*Sens!H3093)*m_sw</f>
        <v>379.14616828134</v>
      </c>
    </row>
    <row r="3111" customFormat="false" ht="17.15" hidden="false" customHeight="false" outlineLevel="0" collapsed="false">
      <c r="A3111" s="1" t="s">
        <v>1077</v>
      </c>
      <c r="B3111" s="0" t="s">
        <v>98</v>
      </c>
      <c r="C3111" s="6" t="n">
        <f aca="false">(w_ntm28*Sens!G3094+(1-w_ntm28)*Sens!H3094)*m_sw</f>
        <v>109.062013245671</v>
      </c>
    </row>
    <row r="3112" customFormat="false" ht="17.15" hidden="false" customHeight="false" outlineLevel="0" collapsed="false">
      <c r="A3112" s="1" t="s">
        <v>1078</v>
      </c>
      <c r="B3112" s="0" t="s">
        <v>98</v>
      </c>
      <c r="C3112" s="6" t="n">
        <f aca="false">(w_ntm28*Sens!G3095+(1-w_ntm28)*Sens!H3095)*m_sw</f>
        <v>41.609111172448</v>
      </c>
    </row>
    <row r="3113" customFormat="false" ht="17.15" hidden="false" customHeight="false" outlineLevel="0" collapsed="false">
      <c r="A3113" s="1" t="s">
        <v>1079</v>
      </c>
      <c r="B3113" s="0" t="s">
        <v>98</v>
      </c>
      <c r="C3113" s="6" t="n">
        <f aca="false">(w_ntm28*Sens!G3096+(1-w_ntm28)*Sens!H3096)*m_ads</f>
        <v>114.966369190532</v>
      </c>
    </row>
    <row r="3114" customFormat="false" ht="17.15" hidden="false" customHeight="false" outlineLevel="0" collapsed="false">
      <c r="A3114" s="1" t="s">
        <v>1080</v>
      </c>
      <c r="B3114" s="0" t="s">
        <v>98</v>
      </c>
      <c r="C3114" s="6" t="n">
        <f aca="false">(w_ntm28*Sens!G3101+(1-w_ntm28)*Sens!H3101)*m_game</f>
        <v>97.6152211068291</v>
      </c>
    </row>
    <row r="3115" customFormat="false" ht="17.15" hidden="false" customHeight="false" outlineLevel="0" collapsed="false">
      <c r="A3115" s="1" t="s">
        <v>1081</v>
      </c>
      <c r="B3115" s="0" t="s">
        <v>98</v>
      </c>
      <c r="C3115" s="6" t="n">
        <f aca="false">(w_ntm28*Sens!G3102+(1-w_ntm28)*Sens!H3102)*m_pc</f>
        <v>96.7776202313644</v>
      </c>
    </row>
    <row r="3116" customFormat="false" ht="17.15" hidden="false" customHeight="false" outlineLevel="0" collapsed="false">
      <c r="A3116" s="1" t="s">
        <v>1082</v>
      </c>
      <c r="B3116" s="0" t="s">
        <v>98</v>
      </c>
      <c r="C3116" s="6" t="n">
        <f aca="false">Sens!$C$3106+Sens!$C$3108+Sens!$C$3109+Sens!$C$3110+Sens!$C$3111+Sens!$C$3112+Sens!$C$3113+Sens!$C$3114+Sens!$C$3115</f>
        <v>2864.08244568779</v>
      </c>
    </row>
    <row r="3117" customFormat="false" ht="17.15" hidden="false" customHeight="false" outlineLevel="0" collapsed="false">
      <c r="A3117" s="1" t="s">
        <v>1000</v>
      </c>
      <c r="B3117" s="0" t="s">
        <v>98</v>
      </c>
      <c r="C3117" s="6" t="n">
        <f aca="false">Sens!F3067+oai_v-Sens!F3056</f>
        <v>106.857431018658</v>
      </c>
      <c r="L3117" s="1" t="s">
        <v>1083</v>
      </c>
    </row>
    <row r="3118" customFormat="false" ht="15" hidden="false" customHeight="false" outlineLevel="0" collapsed="false">
      <c r="A3118" s="1" t="s">
        <v>1001</v>
      </c>
      <c r="B3118" s="0" t="s">
        <v>75</v>
      </c>
      <c r="C3118" s="5" t="n">
        <f aca="false">(Sens!$C$3116+Sens!$C$3117)/Sens!F3069</f>
        <v>397.609726539942</v>
      </c>
    </row>
    <row r="3119" customFormat="false" ht="17.15" hidden="false" customHeight="false" outlineLevel="0" collapsed="false">
      <c r="A3119" s="1" t="s">
        <v>1084</v>
      </c>
      <c r="B3119" s="0" t="s">
        <v>75</v>
      </c>
      <c r="C3119" s="5" t="n">
        <f aca="false">w_dcf*Sens!$C$3090+(1-w_dcf)*Sens!$C$3118</f>
        <v>353.577571371889</v>
      </c>
    </row>
    <row r="3120" customFormat="false" ht="17.15" hidden="false" customHeight="false" outlineLevel="0" collapsed="false">
      <c r="A3120" s="3" t="s">
        <v>1314</v>
      </c>
    </row>
    <row r="3121" customFormat="false" ht="15" hidden="false" customHeight="false" outlineLevel="0" collapsed="false">
      <c r="A3121" s="4" t="s">
        <v>43</v>
      </c>
      <c r="B3121" s="4" t="s">
        <v>65</v>
      </c>
      <c r="C3121" s="20" t="s">
        <v>788</v>
      </c>
      <c r="D3121" s="20" t="s">
        <v>789</v>
      </c>
      <c r="E3121" s="20" t="s">
        <v>790</v>
      </c>
      <c r="F3121" s="20" t="s">
        <v>791</v>
      </c>
      <c r="G3121" s="20" t="s">
        <v>792</v>
      </c>
      <c r="H3121" s="20" t="s">
        <v>793</v>
      </c>
      <c r="I3121" s="20" t="s">
        <v>794</v>
      </c>
      <c r="J3121" s="20" t="s">
        <v>795</v>
      </c>
      <c r="K3121" s="20" t="s">
        <v>796</v>
      </c>
      <c r="L3121" s="4" t="s">
        <v>47</v>
      </c>
    </row>
    <row r="3122" customFormat="false" ht="17.15" hidden="false" customHeight="false" outlineLevel="0" collapsed="false">
      <c r="A3122" s="1" t="s">
        <v>797</v>
      </c>
      <c r="B3122" s="1" t="s">
        <v>235</v>
      </c>
      <c r="C3122" s="28" t="n">
        <v>2024</v>
      </c>
      <c r="D3122" s="28" t="n">
        <v>2025</v>
      </c>
      <c r="E3122" s="28" t="n">
        <v>2026</v>
      </c>
      <c r="F3122" s="28" t="n">
        <v>2027</v>
      </c>
      <c r="G3122" s="28" t="n">
        <v>2028</v>
      </c>
      <c r="H3122" s="28" t="n">
        <v>2029</v>
      </c>
      <c r="I3122" s="28" t="n">
        <v>2030</v>
      </c>
      <c r="J3122" s="28" t="n">
        <v>2031</v>
      </c>
      <c r="K3122" s="28" t="n">
        <v>2032</v>
      </c>
    </row>
    <row r="3123" customFormat="false" ht="17.15" hidden="false" customHeight="false" outlineLevel="0" collapsed="false">
      <c r="A3123" s="1" t="s">
        <v>798</v>
      </c>
      <c r="B3123" s="0" t="s">
        <v>392</v>
      </c>
      <c r="F3123" s="29" t="n">
        <f aca="false">pace_epoch</f>
        <v>650</v>
      </c>
      <c r="G3123" s="29" t="n">
        <f aca="false">pace_epoch</f>
        <v>650</v>
      </c>
      <c r="H3123" s="29" t="n">
        <f aca="false">pace_epoch</f>
        <v>650</v>
      </c>
      <c r="I3123" s="29" t="n">
        <f aca="false">pace_epoch+(g_tv*Sens!H3124-pace_epoch)*MIN(1,(Sens!I3122-pace_y0)/(pace_y1-pace_y0))</f>
        <v>477.193333333333</v>
      </c>
      <c r="J3123" s="29" t="n">
        <f aca="false">pace_epoch+(g_tv*Sens!H3124-pace_epoch)*MIN(1,(Sens!J3122-pace_y0)/(pace_y1-pace_y0))</f>
        <v>304.386666666667</v>
      </c>
      <c r="K3123" s="29" t="n">
        <f aca="false">pace_epoch+(g_tv*Sens!H3124-pace_epoch)*MIN(1,(Sens!K3122-pace_y0)/(pace_y1-pace_y0))</f>
        <v>131.58</v>
      </c>
      <c r="L3123" s="11" t="s">
        <v>799</v>
      </c>
    </row>
    <row r="3124" customFormat="false" ht="17.15" hidden="false" customHeight="false" outlineLevel="0" collapsed="false">
      <c r="A3124" s="1" t="s">
        <v>800</v>
      </c>
      <c r="B3124" s="0" t="s">
        <v>392</v>
      </c>
      <c r="C3124" s="29" t="n">
        <f aca="false">mw_ext_24</f>
        <v>640</v>
      </c>
      <c r="D3124" s="29" t="n">
        <f aca="false">mw_ext_25</f>
        <v>1630</v>
      </c>
      <c r="E3124" s="29" t="n">
        <f aca="false">mw_ext_26</f>
        <v>3250</v>
      </c>
      <c r="F3124" s="29" t="n">
        <f aca="false">MIN(cap_epoch,Sens!E3124+Sens!F3123)</f>
        <v>3900</v>
      </c>
      <c r="G3124" s="29" t="n">
        <f aca="false">MIN(cap_epoch,Sens!F3124+Sens!G3123)</f>
        <v>4386</v>
      </c>
      <c r="H3124" s="29" t="n">
        <f aca="false">MIN(cap_epoch,Sens!G3124+Sens!H3123)</f>
        <v>4386</v>
      </c>
      <c r="I3124" s="29" t="n">
        <f aca="false">MIN(cap_epoch,Sens!H3124+Sens!I3123)</f>
        <v>4386</v>
      </c>
      <c r="J3124" s="29" t="n">
        <f aca="false">MIN(cap_epoch,Sens!I3124+Sens!J3123)</f>
        <v>4386</v>
      </c>
      <c r="K3124" s="29" t="n">
        <f aca="false">MIN(cap_epoch,Sens!J3124+Sens!K3123)</f>
        <v>4386</v>
      </c>
      <c r="L3124" s="1" t="s">
        <v>801</v>
      </c>
    </row>
    <row r="3125" customFormat="false" ht="17.15" hidden="false" customHeight="false" outlineLevel="0" collapsed="false">
      <c r="A3125" s="1" t="s">
        <v>802</v>
      </c>
      <c r="B3125" s="0" t="s">
        <v>392</v>
      </c>
      <c r="C3125" s="29" t="n">
        <f aca="false">rent_ext_24</f>
        <v>150</v>
      </c>
      <c r="D3125" s="29" t="n">
        <f aca="false">rent_ext_25</f>
        <v>400</v>
      </c>
      <c r="E3125" s="29" t="n">
        <f aca="false">rent_ext_26</f>
        <v>550</v>
      </c>
      <c r="F3125" s="29" t="n">
        <f aca="false">rent_ext_f</f>
        <v>756</v>
      </c>
      <c r="G3125" s="29" t="n">
        <f aca="false">rent_ext_f</f>
        <v>756</v>
      </c>
      <c r="H3125" s="29" t="n">
        <f aca="false">rent_ext_f</f>
        <v>756</v>
      </c>
      <c r="I3125" s="29" t="n">
        <f aca="false">rent_ext_f</f>
        <v>756</v>
      </c>
      <c r="J3125" s="29" t="n">
        <f aca="false">rent_ext_f</f>
        <v>756</v>
      </c>
      <c r="K3125" s="29" t="n">
        <f aca="false">rent_ext_f</f>
        <v>756</v>
      </c>
      <c r="L3125" s="1" t="s">
        <v>803</v>
      </c>
    </row>
    <row r="3126" customFormat="false" ht="17.15" hidden="false" customHeight="false" outlineLevel="0" collapsed="false">
      <c r="A3126" s="1" t="s">
        <v>804</v>
      </c>
      <c r="B3126" s="0" t="s">
        <v>392</v>
      </c>
      <c r="C3126" s="29" t="n">
        <f aca="false">Sens!C3124-Sens!C3125</f>
        <v>490</v>
      </c>
      <c r="D3126" s="29" t="n">
        <f aca="false">Sens!D3124-Sens!D3125</f>
        <v>1230</v>
      </c>
      <c r="E3126" s="29" t="n">
        <f aca="false">Sens!E3124-Sens!E3125</f>
        <v>2700</v>
      </c>
      <c r="F3126" s="29" t="n">
        <f aca="false">Sens!F3124-Sens!F3125</f>
        <v>3144</v>
      </c>
      <c r="G3126" s="29" t="n">
        <f aca="false">Sens!G3124-Sens!G3125</f>
        <v>3630</v>
      </c>
      <c r="H3126" s="29" t="n">
        <f aca="false">Sens!H3124-Sens!H3125</f>
        <v>3630</v>
      </c>
      <c r="I3126" s="29" t="n">
        <f aca="false">Sens!I3124-Sens!I3125</f>
        <v>3630</v>
      </c>
      <c r="J3126" s="29" t="n">
        <f aca="false">Sens!J3124-Sens!J3125</f>
        <v>3630</v>
      </c>
      <c r="K3126" s="29" t="n">
        <f aca="false">Sens!K3124-Sens!K3125</f>
        <v>3630</v>
      </c>
    </row>
    <row r="3127" customFormat="false" ht="17.15" hidden="false" customHeight="false" outlineLevel="0" collapsed="false">
      <c r="A3127" s="1" t="s">
        <v>805</v>
      </c>
      <c r="B3127" s="0" t="s">
        <v>392</v>
      </c>
      <c r="C3127" s="29" t="n">
        <f aca="false">Sens!C3126/ext_sh</f>
        <v>816.666666666667</v>
      </c>
      <c r="D3127" s="29" t="n">
        <f aca="false">Sens!D3126/ext_sh</f>
        <v>2050</v>
      </c>
      <c r="E3127" s="29" t="n">
        <f aca="false">Sens!E3126/ext_sh</f>
        <v>4500</v>
      </c>
      <c r="F3127" s="29" t="n">
        <f aca="false">Sens!F3126/ext_sh</f>
        <v>5240</v>
      </c>
      <c r="G3127" s="29" t="n">
        <f aca="false">Sens!G3126/ext_sh</f>
        <v>6050</v>
      </c>
      <c r="H3127" s="29" t="n">
        <f aca="false">Sens!H3126/ext_sh</f>
        <v>6050</v>
      </c>
      <c r="I3127" s="29" t="n">
        <f aca="false">Sens!I3126/ext_sh</f>
        <v>6050</v>
      </c>
      <c r="J3127" s="29" t="n">
        <f aca="false">Sens!J3126/ext_sh</f>
        <v>6050</v>
      </c>
      <c r="K3127" s="29" t="n">
        <f aca="false">Sens!K3126/ext_sh</f>
        <v>6050</v>
      </c>
      <c r="L3127" s="1" t="s">
        <v>806</v>
      </c>
    </row>
    <row r="3128" customFormat="false" ht="17.15" hidden="false" customHeight="false" outlineLevel="0" collapsed="false">
      <c r="A3128" s="1" t="s">
        <v>807</v>
      </c>
      <c r="B3128" s="0" t="s">
        <v>392</v>
      </c>
      <c r="C3128" s="29" t="n">
        <f aca="false">Sens!C3127-Sens!C3126</f>
        <v>326.666666666667</v>
      </c>
      <c r="D3128" s="29" t="n">
        <f aca="false">Sens!D3127-Sens!D3126</f>
        <v>820</v>
      </c>
      <c r="E3128" s="29" t="n">
        <f aca="false">Sens!E3127-Sens!E3126</f>
        <v>1800</v>
      </c>
      <c r="F3128" s="29" t="n">
        <f aca="false">Sens!F3127-Sens!F3126</f>
        <v>2096</v>
      </c>
      <c r="G3128" s="29" t="n">
        <f aca="false">Sens!G3127-Sens!G3126</f>
        <v>2420</v>
      </c>
      <c r="H3128" s="29" t="n">
        <f aca="false">Sens!H3127-Sens!H3126</f>
        <v>2420</v>
      </c>
      <c r="I3128" s="29" t="n">
        <f aca="false">Sens!I3127-Sens!I3126</f>
        <v>2420</v>
      </c>
      <c r="J3128" s="29" t="n">
        <f aca="false">Sens!J3127-Sens!J3126</f>
        <v>2420</v>
      </c>
      <c r="K3128" s="29" t="n">
        <f aca="false">Sens!K3127-Sens!K3126</f>
        <v>2420</v>
      </c>
    </row>
    <row r="3129" customFormat="false" ht="17.15" hidden="false" customHeight="false" outlineLevel="0" collapsed="false">
      <c r="A3129" s="1" t="s">
        <v>808</v>
      </c>
      <c r="B3129" s="0" t="s">
        <v>392</v>
      </c>
      <c r="C3129" s="29" t="n">
        <f aca="false">Sens!C3127</f>
        <v>816.666666666667</v>
      </c>
      <c r="D3129" s="29" t="n">
        <f aca="false">Sens!D3127-Sens!C3127</f>
        <v>1233.33333333333</v>
      </c>
      <c r="E3129" s="29" t="n">
        <f aca="false">Sens!E3127-Sens!D3127</f>
        <v>2450</v>
      </c>
      <c r="F3129" s="29" t="n">
        <f aca="false">Sens!F3127-Sens!E3127</f>
        <v>740</v>
      </c>
      <c r="G3129" s="29" t="n">
        <f aca="false">Sens!G3127-Sens!F3127</f>
        <v>810</v>
      </c>
      <c r="H3129" s="29" t="n">
        <f aca="false">Sens!H3127-Sens!G3127</f>
        <v>0</v>
      </c>
      <c r="I3129" s="29" t="n">
        <f aca="false">Sens!I3127-Sens!H3127</f>
        <v>0</v>
      </c>
      <c r="J3129" s="29" t="n">
        <f aca="false">Sens!J3127-Sens!I3127</f>
        <v>0</v>
      </c>
      <c r="K3129" s="29" t="n">
        <f aca="false">Sens!K3127-Sens!J3127</f>
        <v>0</v>
      </c>
    </row>
    <row r="3130" customFormat="false" ht="17.15" hidden="false" customHeight="false" outlineLevel="0" collapsed="false">
      <c r="A3130" s="1" t="s">
        <v>809</v>
      </c>
      <c r="B3130" s="0" t="s">
        <v>392</v>
      </c>
      <c r="D3130" s="29" t="n">
        <f aca="false">Sens!D3124-Sens!C3124</f>
        <v>990</v>
      </c>
      <c r="E3130" s="29" t="n">
        <f aca="false">Sens!E3124-Sens!D3124</f>
        <v>1620</v>
      </c>
      <c r="F3130" s="29" t="n">
        <f aca="false">Sens!F3124-Sens!E3124</f>
        <v>650</v>
      </c>
      <c r="G3130" s="29" t="n">
        <f aca="false">Sens!G3124-Sens!F3124</f>
        <v>486</v>
      </c>
      <c r="H3130" s="29" t="n">
        <f aca="false">Sens!H3124-Sens!G3124</f>
        <v>0</v>
      </c>
      <c r="I3130" s="29" t="n">
        <f aca="false">Sens!I3124-Sens!H3124</f>
        <v>0</v>
      </c>
      <c r="J3130" s="29" t="n">
        <f aca="false">Sens!J3124-Sens!I3124</f>
        <v>0</v>
      </c>
      <c r="K3130" s="29" t="n">
        <f aca="false">Sens!K3124-Sens!J3124</f>
        <v>0</v>
      </c>
    </row>
    <row r="3131" customFormat="false" ht="17.15" hidden="false" customHeight="false" outlineLevel="0" collapsed="false">
      <c r="A3131" s="1" t="s">
        <v>810</v>
      </c>
      <c r="B3131" s="0" t="s">
        <v>392</v>
      </c>
      <c r="F3131" s="29" t="n">
        <f aca="false">Sens!F3148*ext_sh</f>
        <v>0</v>
      </c>
      <c r="G3131" s="29" t="n">
        <f aca="false">Sens!G3148*ext_sh</f>
        <v>0</v>
      </c>
      <c r="H3131" s="29" t="n">
        <f aca="false">Sens!H3148*ext_sh</f>
        <v>0</v>
      </c>
      <c r="I3131" s="29" t="n">
        <f aca="false">Sens!I3148*ext_sh</f>
        <v>490</v>
      </c>
      <c r="J3131" s="29" t="n">
        <f aca="false">Sens!J3148*ext_sh</f>
        <v>740</v>
      </c>
      <c r="K3131" s="29" t="n">
        <f aca="false">Sens!K3148*ext_sh</f>
        <v>1470</v>
      </c>
      <c r="L3131" s="1" t="s">
        <v>811</v>
      </c>
    </row>
    <row r="3132" customFormat="false" ht="17.15" hidden="false" customHeight="false" outlineLevel="0" collapsed="false">
      <c r="A3132" s="1" t="s">
        <v>812</v>
      </c>
      <c r="B3132" s="0" t="s">
        <v>392</v>
      </c>
      <c r="C3132" s="29" t="n">
        <f aca="false">mix_h*Sens!C3124</f>
        <v>128</v>
      </c>
      <c r="D3132" s="29" t="n">
        <f aca="false">mix_h*Sens!D3124</f>
        <v>326</v>
      </c>
      <c r="E3132" s="29" t="n">
        <f aca="false">mix_h*Sens!E3124</f>
        <v>650</v>
      </c>
      <c r="F3132" s="29" t="n">
        <f aca="false">Sens!E3132-Sens!F3131*mix_h</f>
        <v>650</v>
      </c>
      <c r="G3132" s="29" t="n">
        <f aca="false">Sens!F3132-Sens!G3131*mix_h</f>
        <v>650</v>
      </c>
      <c r="H3132" s="29" t="n">
        <f aca="false">Sens!G3132-Sens!H3131*mix_h</f>
        <v>650</v>
      </c>
      <c r="I3132" s="29" t="n">
        <f aca="false">Sens!H3132-Sens!I3131*mix_h</f>
        <v>552</v>
      </c>
      <c r="J3132" s="29" t="n">
        <f aca="false">Sens!I3132-Sens!J3131*mix_h</f>
        <v>404</v>
      </c>
      <c r="K3132" s="29" t="n">
        <f aca="false">Sens!J3132-Sens!K3131*mix_h</f>
        <v>110</v>
      </c>
    </row>
    <row r="3133" customFormat="false" ht="17.15" hidden="false" customHeight="false" outlineLevel="0" collapsed="false">
      <c r="A3133" s="1" t="s">
        <v>813</v>
      </c>
      <c r="B3133" s="0" t="s">
        <v>392</v>
      </c>
      <c r="C3133" s="29" t="n">
        <f aca="false">mix_g2*Sens!C3124</f>
        <v>288</v>
      </c>
      <c r="D3133" s="29" t="n">
        <f aca="false">mix_g2*Sens!D3124</f>
        <v>733.5</v>
      </c>
      <c r="E3133" s="29" t="n">
        <f aca="false">mix_g2*Sens!E3124</f>
        <v>1462.5</v>
      </c>
      <c r="F3133" s="29" t="n">
        <f aca="false">Sens!E3133-Sens!F3131*mix_g2</f>
        <v>1462.5</v>
      </c>
      <c r="G3133" s="29" t="n">
        <f aca="false">Sens!F3133-Sens!G3131*mix_g2</f>
        <v>1462.5</v>
      </c>
      <c r="H3133" s="29" t="n">
        <f aca="false">Sens!G3133-Sens!H3131*mix_g2</f>
        <v>1462.5</v>
      </c>
      <c r="I3133" s="29" t="n">
        <f aca="false">Sens!H3133-Sens!I3131*mix_g2</f>
        <v>1242</v>
      </c>
      <c r="J3133" s="29" t="n">
        <f aca="false">Sens!I3133-Sens!J3131*mix_g2</f>
        <v>909</v>
      </c>
      <c r="K3133" s="29" t="n">
        <f aca="false">Sens!J3133-Sens!K3131*mix_g2</f>
        <v>247.5</v>
      </c>
    </row>
    <row r="3134" customFormat="false" ht="17.15" hidden="false" customHeight="false" outlineLevel="0" collapsed="false">
      <c r="A3134" s="1" t="s">
        <v>814</v>
      </c>
      <c r="B3134" s="0" t="s">
        <v>392</v>
      </c>
      <c r="C3134" s="29" t="n">
        <f aca="false">mix_g3*Sens!C3124</f>
        <v>224</v>
      </c>
      <c r="D3134" s="29" t="n">
        <f aca="false">mix_g3*Sens!D3124</f>
        <v>570.5</v>
      </c>
      <c r="E3134" s="29" t="n">
        <f aca="false">mix_g3*Sens!E3124</f>
        <v>1137.5</v>
      </c>
      <c r="F3134" s="29" t="n">
        <f aca="false">Sens!E3134+(Sens!F3130+Sens!F3131)*a_g3_27-Sens!F3131*mix_g3</f>
        <v>1592.5</v>
      </c>
      <c r="G3134" s="29" t="n">
        <f aca="false">Sens!F3134+(Sens!G3130+Sens!G3131)*a_g3_28-Sens!G3131*mix_g3</f>
        <v>1738.3</v>
      </c>
      <c r="H3134" s="29" t="n">
        <f aca="false">Sens!G3134+(Sens!H3130+Sens!H3131)*a_g3_29-Sens!H3131*mix_g3</f>
        <v>1738.3</v>
      </c>
      <c r="I3134" s="29" t="n">
        <f aca="false">Sens!H3134+(Sens!I3130+Sens!I3131)*a_g3_29-Sens!I3131*mix_g3</f>
        <v>1615.8</v>
      </c>
      <c r="J3134" s="29" t="n">
        <f aca="false">Sens!I3134+(Sens!J3130+Sens!J3131)*a_g3_29-Sens!J3131*mix_g3</f>
        <v>1430.8</v>
      </c>
      <c r="K3134" s="29" t="n">
        <f aca="false">Sens!J3134+(Sens!K3130+Sens!K3131)*a_g3_29-Sens!K3131*mix_g3</f>
        <v>1063.3</v>
      </c>
    </row>
    <row r="3135" customFormat="false" ht="17.15" hidden="false" customHeight="false" outlineLevel="0" collapsed="false">
      <c r="A3135" s="1" t="s">
        <v>815</v>
      </c>
      <c r="B3135" s="0" t="s">
        <v>392</v>
      </c>
      <c r="C3135" s="29" t="n">
        <v>0</v>
      </c>
      <c r="D3135" s="29" t="n">
        <v>0</v>
      </c>
      <c r="E3135" s="29" t="n">
        <v>0</v>
      </c>
      <c r="F3135" s="29" t="n">
        <f aca="false">Sens!E3135+(Sens!F3130+Sens!F3131)*(1-a_g3_27)</f>
        <v>195</v>
      </c>
      <c r="G3135" s="29" t="n">
        <f aca="false">Sens!F3135+(Sens!G3130+Sens!G3131)*(1-a_g3_28)</f>
        <v>535.2</v>
      </c>
      <c r="H3135" s="29" t="n">
        <f aca="false">Sens!G3135+(Sens!H3130+Sens!H3131)*(1-a_g3_29)</f>
        <v>535.2</v>
      </c>
      <c r="I3135" s="29" t="n">
        <f aca="false">Sens!H3135+(Sens!I3130+Sens!I3131)*(1-a_g3_29)</f>
        <v>976.2</v>
      </c>
      <c r="J3135" s="29" t="n">
        <f aca="false">Sens!I3135+(Sens!J3130+Sens!J3131)*(1-a_g3_29)</f>
        <v>1642.2</v>
      </c>
      <c r="K3135" s="29" t="n">
        <f aca="false">Sens!J3135+(Sens!K3130+Sens!K3131)*(1-a_g3_29)</f>
        <v>2965.2</v>
      </c>
    </row>
    <row r="3136" customFormat="false" ht="17.15" hidden="false" customHeight="false" outlineLevel="0" collapsed="false">
      <c r="A3136" s="1" t="s">
        <v>816</v>
      </c>
      <c r="B3136" s="0" t="s">
        <v>339</v>
      </c>
      <c r="C3136" s="14" t="n">
        <f aca="false">(Sens!C3132*tk_hold_h100+Sens!C3133*tk_hold_gb200+Sens!C3134*tk_hold_gb300+Sens!C3135*tk_hold_vr200)/Sens!C3124</f>
        <v>9.7235358126469</v>
      </c>
      <c r="D3136" s="14" t="n">
        <f aca="false">(Sens!D3132*tk_hold_h100+Sens!D3133*tk_hold_gb200+Sens!D3134*tk_hold_gb300+Sens!D3135*tk_hold_vr200)/Sens!D3124</f>
        <v>9.7235358126469</v>
      </c>
      <c r="E3136" s="14" t="n">
        <f aca="false">(Sens!E3132*tk_hold_h100+Sens!E3133*tk_hold_gb200+Sens!E3134*tk_hold_gb300+Sens!E3135*tk_hold_vr200)/Sens!E3124</f>
        <v>9.7235358126469</v>
      </c>
      <c r="F3136" s="14" t="n">
        <f aca="false">(Sens!F3132*tk_hold_h100+Sens!F3133*tk_hold_gb200+Sens!F3134*tk_hold_gb300+Sens!F3135*tk_hold_vr200)/Sens!F3124</f>
        <v>9.9843013443478</v>
      </c>
      <c r="G3136" s="14" t="n">
        <f aca="false">(Sens!G3132*tk_hold_h100+Sens!G3133*tk_hold_gb200+Sens!G3134*tk_hold_gb300+Sens!G3135*tk_hold_vr200)/Sens!G3124</f>
        <v>10.1881256732384</v>
      </c>
      <c r="H3136" s="14" t="n">
        <f aca="false">(Sens!H3132*tk_hold_h100+Sens!H3133*tk_hold_gb200+Sens!H3134*tk_hold_gb300+Sens!H3135*tk_hold_vr200)/Sens!H3124</f>
        <v>10.1881256732384</v>
      </c>
      <c r="I3136" s="14" t="n">
        <f aca="false">(Sens!I3132*tk_hold_h100+Sens!I3133*tk_hold_gb200+Sens!I3134*tk_hold_gb300+Sens!I3135*tk_hold_vr200)/Sens!I3124</f>
        <v>10.4526797781011</v>
      </c>
      <c r="J3136" s="14" t="n">
        <f aca="false">(Sens!J3132*tk_hold_h100+Sens!J3133*tk_hold_gb200+Sens!J3134*tk_hold_gb300+Sens!J3135*tk_hold_vr200)/Sens!J3124</f>
        <v>10.8522104670775</v>
      </c>
      <c r="K3136" s="14" t="n">
        <f aca="false">(Sens!K3132*tk_hold_h100+Sens!K3133*tk_hold_gb200+Sens!K3134*tk_hold_gb300+Sens!K3135*tk_hold_vr200)/Sens!K3124</f>
        <v>11.6458727816658</v>
      </c>
    </row>
    <row r="3137" customFormat="false" ht="17.15" hidden="false" customHeight="false" outlineLevel="0" collapsed="false">
      <c r="A3137" s="0" t="s">
        <v>817</v>
      </c>
      <c r="B3137" s="0" t="s">
        <v>185</v>
      </c>
      <c r="C3137" s="14" t="n">
        <f aca="false">k_B</f>
        <v>1.17213932619116</v>
      </c>
      <c r="D3137" s="14" t="n">
        <f aca="false">k_B</f>
        <v>1.17213932619116</v>
      </c>
      <c r="E3137" s="14" t="n">
        <f aca="false">k_B</f>
        <v>1.17213932619116</v>
      </c>
      <c r="F3137" s="14" t="n">
        <f aca="false">(k_B+((ls_B*k_long+(1-ls_B)*k_spot)-k_B)*MIN(1,(Sens!F3122-base_fy)/k_ramp))</f>
        <v>1.17213932619116</v>
      </c>
      <c r="G3137" s="14" t="n">
        <f aca="false">(k_B+((ls_B*k_long+(1-ls_B)*k_spot)-k_B)*MIN(1,(Sens!G3122-base_fy)/k_ramp))</f>
        <v>1.17213932619116</v>
      </c>
      <c r="H3137" s="14" t="n">
        <f aca="false">(k_B+((ls_B*k_long+(1-ls_B)*k_spot)-k_B)*MIN(1,(Sens!H3122-base_fy)/k_ramp))</f>
        <v>1.17213932619116</v>
      </c>
      <c r="I3137" s="14" t="n">
        <f aca="false">(k_B+((ls_B*k_long+(1-ls_B)*k_spot)-k_B)*MIN(1,(Sens!I3122-base_fy)/k_ramp))</f>
        <v>1.17213932619116</v>
      </c>
      <c r="J3137" s="14" t="n">
        <f aca="false">(k_B+((ls_B*k_long+(1-ls_B)*k_spot)-k_B)*MIN(1,(Sens!J3122-base_fy)/k_ramp))</f>
        <v>1.17213932619116</v>
      </c>
      <c r="K3137" s="14" t="n">
        <f aca="false">(k_B+((ls_B*k_long+(1-ls_B)*k_spot)-k_B)*MIN(1,(Sens!K3122-base_fy)/k_ramp))</f>
        <v>1.17213932619116</v>
      </c>
      <c r="L3137" s="1" t="s">
        <v>818</v>
      </c>
    </row>
    <row r="3138" customFormat="false" ht="17.15" hidden="false" customHeight="false" outlineLevel="0" collapsed="false">
      <c r="A3138" s="1" t="s">
        <v>819</v>
      </c>
      <c r="B3138" s="0" t="s">
        <v>339</v>
      </c>
      <c r="C3138" s="14" t="n">
        <f aca="false">Sens!C3136*Sens!C3137*chip_f</f>
        <v>11.3973387156315</v>
      </c>
      <c r="D3138" s="14" t="n">
        <f aca="false">Sens!D3136*Sens!D3137*chip_f</f>
        <v>11.3973387156315</v>
      </c>
      <c r="E3138" s="14" t="n">
        <f aca="false">Sens!E3136*Sens!E3137*chip_f</f>
        <v>11.3973387156315</v>
      </c>
      <c r="F3138" s="14" t="n">
        <f aca="false">Sens!F3136*Sens!F3137*chip_f</f>
        <v>11.7029922502533</v>
      </c>
      <c r="G3138" s="14" t="n">
        <f aca="false">Sens!G3136*Sens!G3137*chip_f</f>
        <v>11.9419027617805</v>
      </c>
      <c r="H3138" s="14" t="n">
        <f aca="false">Sens!H3136*Sens!H3137*chip_f</f>
        <v>11.9419027617805</v>
      </c>
      <c r="I3138" s="14" t="n">
        <f aca="false">Sens!I3136*Sens!I3137*chip_f</f>
        <v>12.2519970319954</v>
      </c>
      <c r="J3138" s="14" t="n">
        <f aca="false">Sens!J3136*Sens!J3137*chip_f</f>
        <v>12.7203026645649</v>
      </c>
      <c r="K3138" s="14" t="n">
        <f aca="false">Sens!K3136*Sens!K3137*chip_f</f>
        <v>13.6505854752096</v>
      </c>
      <c r="L3138" s="1" t="s">
        <v>820</v>
      </c>
    </row>
    <row r="3139" customFormat="false" ht="17.15" hidden="false" customHeight="false" outlineLevel="0" collapsed="false">
      <c r="A3139" s="0" t="s">
        <v>821</v>
      </c>
      <c r="B3139" s="0" t="s">
        <v>98</v>
      </c>
      <c r="D3139" s="6" t="n">
        <f aca="false">(Sens!C3124+Sens!D3124)/2*Sens!D3138/1000</f>
        <v>12.9359794422418</v>
      </c>
      <c r="E3139" s="6" t="n">
        <f aca="false">(Sens!D3124+Sens!E3124)/2*Sens!E3138/1000</f>
        <v>27.8095064661409</v>
      </c>
      <c r="F3139" s="6" t="n">
        <f aca="false">(Sens!E3124+Sens!F3124)/2*Sens!F3138/1000</f>
        <v>41.8381972946555</v>
      </c>
      <c r="G3139" s="6" t="n">
        <f aca="false">(Sens!F3124+Sens!G3124)/2*Sens!G3138/1000</f>
        <v>49.4753031420564</v>
      </c>
      <c r="H3139" s="6" t="n">
        <f aca="false">(Sens!G3124+Sens!H3124)/2*Sens!H3138/1000</f>
        <v>52.3771855131691</v>
      </c>
      <c r="I3139" s="6" t="n">
        <f aca="false">(Sens!H3124+Sens!I3124)/2*Sens!I3138/1000</f>
        <v>53.7372589823317</v>
      </c>
      <c r="J3139" s="6" t="n">
        <f aca="false">(Sens!I3124+Sens!J3124)/2*Sens!J3138/1000</f>
        <v>55.7912474867814</v>
      </c>
      <c r="K3139" s="6" t="n">
        <f aca="false">(Sens!J3124+Sens!K3124)/2*Sens!K3138/1000</f>
        <v>59.8714678942694</v>
      </c>
      <c r="L3139" s="11" t="s">
        <v>822</v>
      </c>
    </row>
    <row r="3140" customFormat="false" ht="17.15" hidden="false" customHeight="false" outlineLevel="0" collapsed="false">
      <c r="A3140" s="1" t="s">
        <v>823</v>
      </c>
      <c r="B3140" s="0" t="s">
        <v>339</v>
      </c>
      <c r="C3140" s="14" t="n">
        <f aca="false">(Sens!C3132*tk_opex_h100+Sens!C3133*tk_opex_gb200+Sens!C3134*tk_opex_gb300+Sens!C3135*tk_opex_vr200)/Sens!C3124</f>
        <v>1.88636041306092</v>
      </c>
      <c r="D3140" s="14" t="n">
        <f aca="false">(Sens!D3132*tk_opex_h100+Sens!D3133*tk_opex_gb200+Sens!D3134*tk_opex_gb300+Sens!D3135*tk_opex_vr200)/Sens!D3124</f>
        <v>1.88636041306092</v>
      </c>
      <c r="E3140" s="14" t="n">
        <f aca="false">(Sens!E3132*tk_opex_h100+Sens!E3133*tk_opex_gb200+Sens!E3134*tk_opex_gb300+Sens!E3135*tk_opex_vr200)/Sens!E3124</f>
        <v>1.88636041306092</v>
      </c>
      <c r="F3140" s="14" t="n">
        <f aca="false">(Sens!F3132*tk_opex_h100+Sens!F3133*tk_opex_gb200+Sens!F3134*tk_opex_gb300+Sens!F3135*tk_opex_vr200)/Sens!F3124</f>
        <v>1.90794918316667</v>
      </c>
      <c r="G3140" s="14" t="n">
        <f aca="false">(Sens!G3132*tk_opex_h100+Sens!G3133*tk_opex_gb200+Sens!G3134*tk_opex_gb300+Sens!G3135*tk_opex_vr200)/Sens!G3124</f>
        <v>1.92482379289624</v>
      </c>
      <c r="H3140" s="14" t="n">
        <f aca="false">(Sens!H3132*tk_opex_h100+Sens!H3133*tk_opex_gb200+Sens!H3134*tk_opex_gb300+Sens!H3135*tk_opex_vr200)/Sens!H3124</f>
        <v>1.92482379289624</v>
      </c>
      <c r="I3140" s="14" t="n">
        <f aca="false">(Sens!I3132*tk_opex_h100+Sens!I3133*tk_opex_gb200+Sens!I3134*tk_opex_gb300+Sens!I3135*tk_opex_vr200)/Sens!I3124</f>
        <v>1.946726218854</v>
      </c>
      <c r="J3140" s="14" t="n">
        <f aca="false">(Sens!J3132*tk_opex_h100+Sens!J3133*tk_opex_gb200+Sens!J3134*tk_opex_gb300+Sens!J3135*tk_opex_vr200)/Sens!J3124</f>
        <v>1.97980335193306</v>
      </c>
      <c r="K3140" s="14" t="n">
        <f aca="false">(Sens!K3132*tk_opex_h100+Sens!K3133*tk_opex_gb200+Sens!K3134*tk_opex_gb300+Sens!K3135*tk_opex_vr200)/Sens!K3124</f>
        <v>2.04551062980633</v>
      </c>
    </row>
    <row r="3141" customFormat="false" ht="17.15" hidden="false" customHeight="false" outlineLevel="0" collapsed="false">
      <c r="A3141" s="0" t="s">
        <v>824</v>
      </c>
      <c r="B3141" s="0" t="s">
        <v>98</v>
      </c>
      <c r="D3141" s="6" t="n">
        <f aca="false">(Sens!C3127+Sens!D3127)/2*Sens!D3140/1000</f>
        <v>2.70378325872065</v>
      </c>
      <c r="E3141" s="6" t="n">
        <f aca="false">(Sens!D3127+Sens!E3127)/2*Sens!E3140/1000</f>
        <v>6.17783035277451</v>
      </c>
      <c r="F3141" s="6" t="n">
        <f aca="false">(Sens!E3127+Sens!F3127)/2*Sens!F3140/1000</f>
        <v>9.29171252202166</v>
      </c>
      <c r="G3141" s="6" t="n">
        <f aca="false">(Sens!F3127+Sens!G3127)/2*Sens!G3140/1000</f>
        <v>10.8656303108993</v>
      </c>
      <c r="H3141" s="6" t="n">
        <f aca="false">(Sens!G3127+Sens!H3127)/2*Sens!H3140/1000</f>
        <v>11.6451839470223</v>
      </c>
      <c r="I3141" s="6" t="n">
        <f aca="false">(Sens!H3127+Sens!I3127)/2*Sens!I3140/1000</f>
        <v>11.7776936240667</v>
      </c>
      <c r="J3141" s="6" t="n">
        <f aca="false">(Sens!I3127+Sens!J3127)/2*Sens!J3140/1000</f>
        <v>11.977810279195</v>
      </c>
      <c r="K3141" s="6" t="n">
        <f aca="false">(Sens!J3127+Sens!K3127)/2*Sens!K3140/1000</f>
        <v>12.3753393103283</v>
      </c>
    </row>
    <row r="3142" customFormat="false" ht="17.15" hidden="false" customHeight="false" outlineLevel="0" collapsed="false">
      <c r="A3142" s="0" t="s">
        <v>825</v>
      </c>
      <c r="B3142" s="0" t="s">
        <v>98</v>
      </c>
      <c r="D3142" s="6" t="n">
        <f aca="false">(Sens!C3125+Sens!D3125)/2*rent_mw/1000</f>
        <v>2.44475</v>
      </c>
      <c r="E3142" s="6" t="n">
        <f aca="false">(Sens!D3125+Sens!E3125)/2*rent_mw/1000</f>
        <v>4.22275</v>
      </c>
      <c r="F3142" s="6" t="n">
        <f aca="false">(Sens!E3125+Sens!F3125)/2*rent_mw/1000</f>
        <v>5.80517</v>
      </c>
      <c r="G3142" s="6" t="n">
        <f aca="false">(Sens!F3125+Sens!G3125)/2*rent_mw/1000</f>
        <v>6.72084</v>
      </c>
      <c r="H3142" s="6" t="n">
        <f aca="false">(Sens!G3125+Sens!H3125)/2*rent_mw/1000</f>
        <v>6.72084</v>
      </c>
      <c r="I3142" s="6" t="n">
        <f aca="false">(Sens!H3125+Sens!I3125)/2*rent_mw/1000</f>
        <v>6.72084</v>
      </c>
      <c r="J3142" s="6" t="n">
        <f aca="false">(Sens!I3125+Sens!J3125)/2*rent_mw/1000</f>
        <v>6.72084</v>
      </c>
      <c r="K3142" s="6" t="n">
        <f aca="false">(Sens!J3125+Sens!K3125)/2*rent_mw/1000</f>
        <v>6.72084</v>
      </c>
    </row>
    <row r="3143" customFormat="false" ht="17.15" hidden="false" customHeight="false" outlineLevel="0" collapsed="false">
      <c r="A3143" s="0" t="s">
        <v>826</v>
      </c>
      <c r="B3143" s="0" t="s">
        <v>98</v>
      </c>
      <c r="D3143" s="6" t="n">
        <f aca="false">(Sens!C3127+Sens!D3127)/2*(1-self_build)*fac_rent/1000</f>
        <v>0.853242375631075</v>
      </c>
      <c r="E3143" s="6" t="n">
        <f aca="false">(Sens!D3127+Sens!E3127)/2*(1-self_build)*fac_rent/1000</f>
        <v>1.94955961408728</v>
      </c>
      <c r="F3143" s="6" t="n">
        <f aca="false">(Sens!E3127+Sens!F3127)/2*(1-self_build)*fac_rent/1000</f>
        <v>2.89903979255117</v>
      </c>
      <c r="G3143" s="6" t="n">
        <f aca="false">(Sens!F3127+Sens!G3127)/2*(1-self_build)*fac_rent/1000</f>
        <v>3.36038596077029</v>
      </c>
      <c r="H3143" s="6" t="n">
        <f aca="false">(Sens!G3127+Sens!H3127)/2*(1-self_build)*fac_rent/1000</f>
        <v>3.60147653900094</v>
      </c>
      <c r="I3143" s="6" t="n">
        <f aca="false">(Sens!H3127+Sens!I3127)/2*(1-self_build)*fac_rent/1000</f>
        <v>3.60147653900094</v>
      </c>
      <c r="J3143" s="6" t="n">
        <f aca="false">(Sens!I3127+Sens!J3127)/2*(1-self_build)*fac_rent/1000</f>
        <v>3.60147653900094</v>
      </c>
      <c r="K3143" s="6" t="n">
        <f aca="false">(Sens!J3127+Sens!K3127)/2*(1-self_build)*fac_rent/1000</f>
        <v>3.60147653900094</v>
      </c>
      <c r="L3143" s="11" t="s">
        <v>827</v>
      </c>
    </row>
    <row r="3144" customFormat="false" ht="17.15" hidden="false" customHeight="false" outlineLevel="0" collapsed="false">
      <c r="A3144" s="1" t="s">
        <v>828</v>
      </c>
      <c r="B3144" s="0" t="s">
        <v>129</v>
      </c>
      <c r="D3144" s="7" t="n">
        <f aca="false">(Sens!C3126+Sens!D3126)/(Sens!C3127+Sens!D3127)</f>
        <v>0.6</v>
      </c>
      <c r="E3144" s="7" t="n">
        <f aca="false">(Sens!D3126+Sens!E3126)/(Sens!D3127+Sens!E3127)</f>
        <v>0.6</v>
      </c>
      <c r="F3144" s="7" t="n">
        <f aca="false">(Sens!E3126+Sens!F3126)/(Sens!E3127+Sens!F3127)</f>
        <v>0.6</v>
      </c>
      <c r="G3144" s="7" t="n">
        <f aca="false">(Sens!F3126+Sens!G3126)/(Sens!F3127+Sens!G3127)</f>
        <v>0.6</v>
      </c>
      <c r="H3144" s="7" t="n">
        <f aca="false">(Sens!G3126+Sens!H3126)/(Sens!G3127+Sens!H3127)</f>
        <v>0.6</v>
      </c>
      <c r="I3144" s="7" t="n">
        <f aca="false">(Sens!H3126+Sens!I3126)/(Sens!H3127+Sens!I3127)</f>
        <v>0.6</v>
      </c>
      <c r="J3144" s="7" t="n">
        <f aca="false">(Sens!I3126+Sens!J3126)/(Sens!I3127+Sens!J3127)</f>
        <v>0.6</v>
      </c>
      <c r="K3144" s="7" t="n">
        <f aca="false">(Sens!J3126+Sens!K3126)/(Sens!J3127+Sens!K3127)</f>
        <v>0.6</v>
      </c>
    </row>
    <row r="3145" customFormat="false" ht="17.15" hidden="false" customHeight="false" outlineLevel="0" collapsed="false">
      <c r="A3145" s="0" t="s">
        <v>829</v>
      </c>
      <c r="B3145" s="0" t="s">
        <v>98</v>
      </c>
      <c r="D3145" s="6" t="n">
        <f aca="false">Sens!D3139-Sens!D3144*(Sens!D3141+Sens!D3143)-Sens!D3142</f>
        <v>8.35701406163072</v>
      </c>
      <c r="E3145" s="6" t="n">
        <f aca="false">Sens!E3139-Sens!E3144*(Sens!E3141+Sens!E3143)-Sens!E3142</f>
        <v>18.7103224860238</v>
      </c>
      <c r="F3145" s="6" t="n">
        <f aca="false">Sens!F3139-Sens!F3144*(Sens!F3141+Sens!F3143)-Sens!F3142</f>
        <v>28.7185759059118</v>
      </c>
      <c r="G3145" s="6" t="n">
        <f aca="false">Sens!G3139-Sens!G3144*(Sens!G3141+Sens!G3143)-Sens!G3142</f>
        <v>34.2188533790547</v>
      </c>
      <c r="H3145" s="6" t="n">
        <f aca="false">Sens!H3139-Sens!H3144*(Sens!H3141+Sens!H3143)-Sens!H3142</f>
        <v>36.5083492215552</v>
      </c>
      <c r="I3145" s="6" t="n">
        <f aca="false">Sens!I3139-Sens!I3144*(Sens!I3141+Sens!I3143)-Sens!I3142</f>
        <v>37.7889168844911</v>
      </c>
      <c r="J3145" s="6" t="n">
        <f aca="false">Sens!J3139-Sens!J3144*(Sens!J3141+Sens!J3143)-Sens!J3142</f>
        <v>39.7228353958639</v>
      </c>
      <c r="K3145" s="6" t="n">
        <f aca="false">Sens!K3139-Sens!K3144*(Sens!K3141+Sens!K3143)-Sens!K3142</f>
        <v>43.5645383846719</v>
      </c>
    </row>
    <row r="3146" customFormat="false" ht="17.15" hidden="false" customHeight="false" outlineLevel="0" collapsed="false">
      <c r="A3146" s="1" t="s">
        <v>830</v>
      </c>
      <c r="B3146" s="0" t="s">
        <v>98</v>
      </c>
      <c r="D3146" s="6" t="n">
        <f aca="false">(1-Sens!D3144)*(Sens!D3141+Sens!D3143)</f>
        <v>1.42281025374069</v>
      </c>
      <c r="E3146" s="6" t="n">
        <f aca="false">(1-Sens!E3144)*(Sens!E3141+Sens!E3143)</f>
        <v>3.25095598674472</v>
      </c>
      <c r="F3146" s="6" t="n">
        <f aca="false">(1-Sens!F3144)*(Sens!F3141+Sens!F3143)</f>
        <v>4.87630092582913</v>
      </c>
      <c r="G3146" s="6" t="n">
        <f aca="false">(1-Sens!G3144)*(Sens!G3141+Sens!G3143)</f>
        <v>5.69040650866783</v>
      </c>
      <c r="H3146" s="6" t="n">
        <f aca="false">(1-Sens!H3144)*(Sens!H3141+Sens!H3143)</f>
        <v>6.09866419440928</v>
      </c>
      <c r="I3146" s="6" t="n">
        <f aca="false">(1-Sens!I3144)*(Sens!I3141+Sens!I3143)</f>
        <v>6.15166806522705</v>
      </c>
      <c r="J3146" s="6" t="n">
        <f aca="false">(1-Sens!J3144)*(Sens!J3141+Sens!J3143)</f>
        <v>6.23171472727838</v>
      </c>
      <c r="K3146" s="6" t="n">
        <f aca="false">(1-Sens!K3144)*(Sens!K3141+Sens!K3143)</f>
        <v>6.39072633973169</v>
      </c>
    </row>
    <row r="3147" customFormat="false" ht="17.15" hidden="false" customHeight="false" outlineLevel="0" collapsed="false">
      <c r="A3147" s="1" t="s">
        <v>831</v>
      </c>
      <c r="B3147" s="0" t="s">
        <v>350</v>
      </c>
      <c r="C3147" s="8" t="n">
        <f aca="false">cxit_open</f>
        <v>27.5918995</v>
      </c>
      <c r="D3147" s="8" t="n">
        <f aca="false">cxit_open</f>
        <v>27.5918995</v>
      </c>
      <c r="E3147" s="8" t="n">
        <f aca="false">cxit_open</f>
        <v>27.5918995</v>
      </c>
      <c r="F3147" s="8" t="n">
        <f aca="false">(a_g3_27*tk_cxit_gb300+(1-a_g3_27)*tk_cxit_vr200)</f>
        <v>33.8419624</v>
      </c>
      <c r="G3147" s="8" t="n">
        <f aca="false">(a_g3_28*tk_cxit_gb300+(1-a_g3_28)*tk_cxit_vr200)</f>
        <v>35.9816136</v>
      </c>
      <c r="H3147" s="8" t="n">
        <f aca="false">(a_g3_29*tk_cxit_gb300+(1-a_g3_29)*tk_cxit_vr200)</f>
        <v>37.0514392</v>
      </c>
      <c r="I3147" s="8" t="n">
        <f aca="false">(a_g3_29*tk_cxit_gb300+(1-a_g3_29)*tk_cxit_vr200)</f>
        <v>37.0514392</v>
      </c>
      <c r="J3147" s="8" t="n">
        <f aca="false">(a_g3_29*tk_cxit_gb300+(1-a_g3_29)*tk_cxit_vr200)</f>
        <v>37.0514392</v>
      </c>
      <c r="K3147" s="8" t="n">
        <f aca="false">(a_g3_29*tk_cxit_gb300+(1-a_g3_29)*tk_cxit_vr200)</f>
        <v>37.0514392</v>
      </c>
      <c r="L3147" s="11" t="s">
        <v>832</v>
      </c>
    </row>
    <row r="3148" customFormat="false" ht="17.15" hidden="false" customHeight="false" outlineLevel="0" collapsed="false">
      <c r="A3148" s="0" t="s">
        <v>833</v>
      </c>
      <c r="B3148" s="0" t="s">
        <v>392</v>
      </c>
      <c r="F3148" s="29" t="n">
        <f aca="false">Sens!C3129*IF(Sens!F3122-Sens!C3122=life_it,1,0)+Sens!D3129*IF(Sens!F3122-Sens!D3122=life_it,1,0)+Sens!E3129*IF(Sens!F3122-Sens!E3122=life_it,1,0)</f>
        <v>0</v>
      </c>
      <c r="G3148" s="29" t="n">
        <f aca="false">Sens!C3129*IF(Sens!G3122-Sens!C3122=life_it,1,0)+Sens!D3129*IF(Sens!G3122-Sens!D3122=life_it,1,0)+Sens!E3129*IF(Sens!G3122-Sens!E3122=life_it,1,0)+Sens!F3129*IF(Sens!G3122-Sens!F3122=life_it,1,0)</f>
        <v>0</v>
      </c>
      <c r="H3148" s="29" t="n">
        <f aca="false">Sens!C3129*IF(Sens!H3122-Sens!C3122=life_it,1,0)+Sens!D3129*IF(Sens!H3122-Sens!D3122=life_it,1,0)+Sens!E3129*IF(Sens!H3122-Sens!E3122=life_it,1,0)+Sens!F3129*IF(Sens!H3122-Sens!F3122=life_it,1,0)+Sens!G3129*IF(Sens!H3122-Sens!G3122=life_it,1,0)</f>
        <v>0</v>
      </c>
      <c r="I3148" s="29" t="n">
        <f aca="false">Sens!C3129*IF(Sens!I3122-Sens!C3122=life_it,1,0)+Sens!D3129*IF(Sens!I3122-Sens!D3122=life_it,1,0)+Sens!E3129*IF(Sens!I3122-Sens!E3122=life_it,1,0)+Sens!F3129*IF(Sens!I3122-Sens!F3122=life_it,1,0)+Sens!G3129*IF(Sens!I3122-Sens!G3122=life_it,1,0)+Sens!H3129*IF(Sens!I3122-Sens!H3122=life_it,1,0)</f>
        <v>816.666666666667</v>
      </c>
      <c r="J3148" s="29" t="n">
        <f aca="false">Sens!C3129*IF(Sens!J3122-Sens!C3122=life_it,1,0)+Sens!D3129*IF(Sens!J3122-Sens!D3122=life_it,1,0)+Sens!E3129*IF(Sens!J3122-Sens!E3122=life_it,1,0)+Sens!F3129*IF(Sens!J3122-Sens!F3122=life_it,1,0)+Sens!G3129*IF(Sens!J3122-Sens!G3122=life_it,1,0)+Sens!H3129*IF(Sens!J3122-Sens!H3122=life_it,1,0)+Sens!I3129*IF(Sens!J3122-Sens!I3122=life_it,1,0)</f>
        <v>1233.33333333333</v>
      </c>
      <c r="K3148" s="29" t="n">
        <f aca="false">Sens!C3129*IF(Sens!K3122-Sens!C3122=life_it,1,0)+Sens!D3129*IF(Sens!K3122-Sens!D3122=life_it,1,0)+Sens!E3129*IF(Sens!K3122-Sens!E3122=life_it,1,0)+Sens!F3129*IF(Sens!K3122-Sens!F3122=life_it,1,0)+Sens!G3129*IF(Sens!K3122-Sens!G3122=life_it,1,0)+Sens!H3129*IF(Sens!K3122-Sens!H3122=life_it,1,0)+Sens!I3129*IF(Sens!K3122-Sens!I3122=life_it,1,0)+Sens!J3129*IF(Sens!K3122-Sens!J3122=life_it,1,0)</f>
        <v>2450</v>
      </c>
      <c r="L3148" s="1" t="s">
        <v>834</v>
      </c>
    </row>
    <row r="3149" customFormat="false" ht="17.15" hidden="false" customHeight="false" outlineLevel="0" collapsed="false">
      <c r="A3149" s="0" t="s">
        <v>835</v>
      </c>
      <c r="B3149" s="0" t="s">
        <v>98</v>
      </c>
      <c r="C3149" s="6" t="n">
        <f aca="false">Sens!C3129*Sens!C3147/1000</f>
        <v>22.5333845916667</v>
      </c>
      <c r="D3149" s="6" t="n">
        <f aca="false">Sens!D3129*Sens!D3147/1000</f>
        <v>34.0300093833333</v>
      </c>
      <c r="E3149" s="6" t="n">
        <f aca="false">Sens!E3129*Sens!E3147/1000</f>
        <v>67.600153775</v>
      </c>
      <c r="F3149" s="6" t="n">
        <f aca="false">(Sens!F3129+Sens!F3148)*Sens!F3147/1000</f>
        <v>25.043052176</v>
      </c>
      <c r="G3149" s="6" t="n">
        <f aca="false">(Sens!G3129+Sens!G3148)*Sens!G3147/1000</f>
        <v>29.145107016</v>
      </c>
      <c r="H3149" s="6" t="n">
        <f aca="false">(Sens!H3129+Sens!H3148)*Sens!H3147/1000</f>
        <v>0</v>
      </c>
      <c r="I3149" s="6" t="n">
        <f aca="false">(Sens!I3129+Sens!I3148)*Sens!I3147/1000</f>
        <v>30.2586753466667</v>
      </c>
      <c r="J3149" s="6" t="n">
        <f aca="false">(Sens!J3129+Sens!J3148)*Sens!J3147/1000</f>
        <v>45.6967750133333</v>
      </c>
      <c r="K3149" s="6" t="n">
        <f aca="false">(Sens!K3129+Sens!K3148)*Sens!K3147/1000</f>
        <v>90.77602604</v>
      </c>
    </row>
    <row r="3150" customFormat="false" ht="17.15" hidden="false" customHeight="false" outlineLevel="0" collapsed="false">
      <c r="A3150" s="0" t="s">
        <v>836</v>
      </c>
      <c r="B3150" s="0" t="s">
        <v>98</v>
      </c>
      <c r="C3150" s="6" t="n">
        <f aca="false">Sens!C3129*self_build*tk_cxfac/1000</f>
        <v>6.2083</v>
      </c>
      <c r="D3150" s="6" t="n">
        <f aca="false">Sens!D3129*self_build*tk_cxfac/1000</f>
        <v>9.3758</v>
      </c>
      <c r="E3150" s="6" t="n">
        <f aca="false">Sens!E3129*self_build*tk_cxfac/1000</f>
        <v>18.6249</v>
      </c>
      <c r="F3150" s="6" t="n">
        <f aca="false">Sens!F3129*self_build*tk_cxfac/1000</f>
        <v>5.62548</v>
      </c>
      <c r="G3150" s="6" t="n">
        <f aca="false">Sens!G3129*self_build*tk_cxfac/1000</f>
        <v>6.15762</v>
      </c>
      <c r="H3150" s="6" t="n">
        <f aca="false">Sens!H3129*self_build*tk_cxfac/1000</f>
        <v>0</v>
      </c>
      <c r="I3150" s="6" t="n">
        <f aca="false">Sens!I3129*self_build*tk_cxfac/1000</f>
        <v>0</v>
      </c>
      <c r="J3150" s="6" t="n">
        <f aca="false">Sens!J3129*self_build*tk_cxfac/1000</f>
        <v>0</v>
      </c>
      <c r="K3150" s="6" t="n">
        <f aca="false">Sens!K3129*self_build*tk_cxfac/1000</f>
        <v>0</v>
      </c>
    </row>
    <row r="3151" customFormat="false" ht="17.15" hidden="false" customHeight="false" outlineLevel="0" collapsed="false">
      <c r="A3151" s="0" t="s">
        <v>837</v>
      </c>
      <c r="B3151" s="0" t="s">
        <v>98</v>
      </c>
      <c r="F3151" s="6" t="n">
        <f aca="false">MAX(0,capex_floor27-Sens!F3149-Sens!F3150-Sens!F3244)</f>
        <v>137.952120594438</v>
      </c>
      <c r="L3151" s="1" t="s">
        <v>838</v>
      </c>
    </row>
    <row r="3152" customFormat="false" ht="17.15" hidden="false" customHeight="false" outlineLevel="0" collapsed="false">
      <c r="A3152" s="0" t="s">
        <v>839</v>
      </c>
      <c r="B3152" s="0" t="s">
        <v>98</v>
      </c>
      <c r="C3152" s="6" t="n">
        <f aca="false">Sens!C3149</f>
        <v>22.5333845916667</v>
      </c>
      <c r="D3152" s="6" t="n">
        <f aca="false">Sens!D3149</f>
        <v>34.0300093833333</v>
      </c>
      <c r="E3152" s="6" t="n">
        <f aca="false">Sens!E3149</f>
        <v>67.600153775</v>
      </c>
      <c r="F3152" s="6" t="n">
        <f aca="false">Sens!F3149+Sens!F3151</f>
        <v>162.995172770438</v>
      </c>
      <c r="G3152" s="6" t="n">
        <f aca="false">Sens!G3149</f>
        <v>29.145107016</v>
      </c>
      <c r="H3152" s="6" t="n">
        <f aca="false">Sens!H3149</f>
        <v>0</v>
      </c>
      <c r="I3152" s="6" t="n">
        <f aca="false">Sens!I3149</f>
        <v>30.2586753466667</v>
      </c>
      <c r="J3152" s="6" t="n">
        <f aca="false">Sens!J3149</f>
        <v>45.6967750133333</v>
      </c>
      <c r="K3152" s="6" t="n">
        <f aca="false">Sens!K3149</f>
        <v>90.77602604</v>
      </c>
    </row>
    <row r="3153" customFormat="false" ht="17.15" hidden="false" customHeight="false" outlineLevel="0" collapsed="false">
      <c r="A3153" s="0" t="s">
        <v>840</v>
      </c>
      <c r="B3153" s="0" t="s">
        <v>98</v>
      </c>
      <c r="C3153" s="6" t="n">
        <f aca="false">Sens!C3152+Sens!C3150</f>
        <v>28.7416845916667</v>
      </c>
      <c r="D3153" s="6" t="n">
        <f aca="false">Sens!D3152+Sens!D3150</f>
        <v>43.4058093833333</v>
      </c>
      <c r="E3153" s="6" t="n">
        <f aca="false">Sens!E3152+Sens!E3150</f>
        <v>86.225053775</v>
      </c>
      <c r="F3153" s="6" t="n">
        <f aca="false">Sens!F3152+Sens!F3150</f>
        <v>168.620652770438</v>
      </c>
      <c r="G3153" s="6" t="n">
        <f aca="false">Sens!G3152+Sens!G3150</f>
        <v>35.302727016</v>
      </c>
      <c r="H3153" s="6" t="n">
        <f aca="false">Sens!H3152+Sens!H3150</f>
        <v>0</v>
      </c>
      <c r="I3153" s="6" t="n">
        <f aca="false">Sens!I3152+Sens!I3150</f>
        <v>30.2586753466667</v>
      </c>
      <c r="J3153" s="6" t="n">
        <f aca="false">Sens!J3152+Sens!J3150</f>
        <v>45.6967750133333</v>
      </c>
      <c r="K3153" s="6" t="n">
        <f aca="false">Sens!K3152+Sens!K3150</f>
        <v>90.77602604</v>
      </c>
      <c r="L3153" s="11" t="s">
        <v>841</v>
      </c>
    </row>
    <row r="3154" customFormat="false" ht="17.15" hidden="false" customHeight="false" outlineLevel="0" collapsed="false">
      <c r="A3154" s="0" t="s">
        <v>842</v>
      </c>
      <c r="B3154" s="0" t="s">
        <v>98</v>
      </c>
      <c r="E3154" s="6" t="n">
        <f aca="false">(Sens!C3152*IF(2&lt;life_it,1,IF(2=life_it,0.5,0))+Sens!D3152*IF(1&lt;life_it,1,IF(1=life_it,0.5,0))+Sens!E3152*0.5)/life_it</f>
        <v>15.0605784770833</v>
      </c>
      <c r="F3154" s="6" t="n">
        <f aca="false">(Sens!C3152*IF(3&lt;life_it,1,IF(3=life_it,0.5,0))+Sens!D3152*IF(2&lt;life_it,1,IF(2=life_it,0.5,0))+Sens!E3152*IF(1&lt;life_it,1,IF(1=life_it,0.5,0))+Sens!F3152*0.5)/life_it</f>
        <v>34.2768556892031</v>
      </c>
      <c r="G3154" s="6" t="n">
        <f aca="false">(Sens!C3152*IF(4&lt;life_it,1,IF(4=life_it,0.5,0))+Sens!D3152*IF(3&lt;life_it,1,IF(3=life_it,0.5,0))+Sens!E3152*IF(2&lt;life_it,1,IF(2=life_it,0.5,0))+Sens!F3152*IF(1&lt;life_it,1,IF(1=life_it,0.5,0))+Sens!G3152*0.5)/life_it</f>
        <v>50.2885456714063</v>
      </c>
      <c r="H3154" s="6" t="n">
        <f aca="false">(Sens!C3152*IF(5&lt;life_it,1,IF(5=life_it,0.5,0))+Sens!D3152*IF(4&lt;life_it,1,IF(4=life_it,0.5,0))+Sens!E3152*IF(3&lt;life_it,1,IF(3=life_it,0.5,0))+Sens!F3152*IF(2&lt;life_it,1,IF(2=life_it,0.5,0))+Sens!G3152*IF(1&lt;life_it,1,IF(1=life_it,0.5,0))+Sens!H3152*0.5)/life_it</f>
        <v>52.7173045894063</v>
      </c>
      <c r="I3154" s="6" t="n">
        <f aca="false">(Sens!C3152*IF(6&lt;life_it,1,IF(6=life_it,0.5,0))+Sens!D3152*IF(5&lt;life_it,1,IF(5=life_it,0.5,0))+Sens!E3152*IF(4&lt;life_it,1,IF(4=life_it,0.5,0))+Sens!F3152*IF(3&lt;life_it,1,IF(3=life_it,0.5,0))+Sens!G3152*IF(2&lt;life_it,1,IF(2=life_it,0.5,0))+Sens!H3152*IF(1&lt;life_it,1,IF(1=life_it,0.5,0))+Sens!I3152*0.5)/life_it</f>
        <v>53.3610788189896</v>
      </c>
      <c r="J3154" s="6" t="n">
        <f aca="false">(Sens!C3152*IF(7&lt;life_it,1,IF(7=life_it,0.5,0))+Sens!D3152*IF(6&lt;life_it,1,IF(6=life_it,0.5,0))+Sens!E3152*IF(5&lt;life_it,1,IF(5=life_it,0.5,0))+Sens!F3152*IF(4&lt;life_it,1,IF(4=life_it,0.5,0))+Sens!G3152*IF(3&lt;life_it,1,IF(3=life_it,0.5,0))+Sens!H3152*IF(2&lt;life_it,1,IF(2=life_it,0.5,0))+Sens!I3152*IF(1&lt;life_it,1,IF(1=life_it,0.5,0))+Sens!J3152*0.5)/life_it</f>
        <v>54.9770835177396</v>
      </c>
      <c r="K3154" s="6" t="n">
        <f aca="false">(Sens!C3152*IF(8&lt;life_it,1,IF(8=life_it,0.5,0))+Sens!D3152*IF(7&lt;life_it,1,IF(7=life_it,0.5,0))+Sens!E3152*IF(6&lt;life_it,1,IF(6=life_it,0.5,0))+Sens!F3152*IF(5&lt;life_it,1,IF(5=life_it,0.5,0))+Sens!G3152*IF(4&lt;life_it,1,IF(4=life_it,0.5,0))+Sens!H3152*IF(3&lt;life_it,1,IF(3=life_it,0.5,0))+Sens!I3152*IF(2&lt;life_it,1,IF(2=life_it,0.5,0))+Sens!J3152*IF(1&lt;life_it,1,IF(1=life_it,0.5,0))+Sens!K3152*0.5)/life_it</f>
        <v>57.8806366756563</v>
      </c>
    </row>
    <row r="3155" customFormat="false" ht="17.15" hidden="false" customHeight="false" outlineLevel="0" collapsed="false">
      <c r="A3155" s="0" t="s">
        <v>843</v>
      </c>
      <c r="B3155" s="0" t="s">
        <v>98</v>
      </c>
      <c r="E3155" s="6" t="n">
        <f aca="false">(Sens!C3150*IF(2&lt;life_fac,1,IF(2=life_fac,0.5,0))+Sens!D3150*IF(1&lt;life_fac,1,IF(1=life_fac,0.5,0))+Sens!E3150*0.5)/life_fac</f>
        <v>1.2448275</v>
      </c>
      <c r="F3155" s="6" t="n">
        <f aca="false">(Sens!C3150*IF(3&lt;life_fac,1,IF(3=life_fac,0.5,0))+Sens!D3150*IF(2&lt;life_fac,1,IF(2=life_fac,0.5,0))+Sens!E3150*IF(1&lt;life_fac,1,IF(1=life_fac,0.5,0))+Sens!F3150*0.5)/life_fac</f>
        <v>1.851087</v>
      </c>
      <c r="G3155" s="6" t="n">
        <f aca="false">(Sens!C3150*IF(4&lt;life_fac,1,IF(4=life_fac,0.5,0))+Sens!D3150*IF(3&lt;life_fac,1,IF(3=life_fac,0.5,0))+Sens!E3150*IF(2&lt;life_fac,1,IF(2=life_fac,0.5,0))+Sens!F3150*IF(1&lt;life_fac,1,IF(1=life_fac,0.5,0))+Sens!G3150*0.5)/life_fac</f>
        <v>2.1456645</v>
      </c>
      <c r="H3155" s="6" t="n">
        <f aca="false">(Sens!C3150*IF(5&lt;life_fac,1,IF(5=life_fac,0.5,0))+Sens!D3150*IF(4&lt;life_fac,1,IF(4=life_fac,0.5,0))+Sens!E3150*IF(3&lt;life_fac,1,IF(3=life_fac,0.5,0))+Sens!F3150*IF(2&lt;life_fac,1,IF(2=life_fac,0.5,0))+Sens!G3150*IF(1&lt;life_fac,1,IF(1=life_fac,0.5,0))+Sens!H3150*0.5)/life_fac</f>
        <v>2.299605</v>
      </c>
      <c r="I3155" s="6" t="n">
        <f aca="false">(Sens!C3150*IF(6&lt;life_fac,1,IF(6=life_fac,0.5,0))+Sens!D3150*IF(5&lt;life_fac,1,IF(5=life_fac,0.5,0))+Sens!E3150*IF(4&lt;life_fac,1,IF(4=life_fac,0.5,0))+Sens!F3150*IF(3&lt;life_fac,1,IF(3=life_fac,0.5,0))+Sens!G3150*IF(2&lt;life_fac,1,IF(2=life_fac,0.5,0))+Sens!H3150*IF(1&lt;life_fac,1,IF(1=life_fac,0.5,0))+Sens!I3150*0.5)/life_fac</f>
        <v>2.299605</v>
      </c>
      <c r="J3155" s="6" t="n">
        <f aca="false">(Sens!C3150*IF(7&lt;life_fac,1,IF(7=life_fac,0.5,0))+Sens!D3150*IF(6&lt;life_fac,1,IF(6=life_fac,0.5,0))+Sens!E3150*IF(5&lt;life_fac,1,IF(5=life_fac,0.5,0))+Sens!F3150*IF(4&lt;life_fac,1,IF(4=life_fac,0.5,0))+Sens!G3150*IF(3&lt;life_fac,1,IF(3=life_fac,0.5,0))+Sens!H3150*IF(2&lt;life_fac,1,IF(2=life_fac,0.5,0))+Sens!I3150*IF(1&lt;life_fac,1,IF(1=life_fac,0.5,0))+Sens!J3150*0.5)/life_fac</f>
        <v>2.299605</v>
      </c>
      <c r="K3155" s="6" t="n">
        <f aca="false">(Sens!C3150*IF(8&lt;life_fac,1,IF(8=life_fac,0.5,0))+Sens!D3150*IF(7&lt;life_fac,1,IF(7=life_fac,0.5,0))+Sens!E3150*IF(6&lt;life_fac,1,IF(6=life_fac,0.5,0))+Sens!F3150*IF(5&lt;life_fac,1,IF(5=life_fac,0.5,0))+Sens!G3150*IF(4&lt;life_fac,1,IF(4=life_fac,0.5,0))+Sens!H3150*IF(3&lt;life_fac,1,IF(3=life_fac,0.5,0))+Sens!I3150*IF(2&lt;life_fac,1,IF(2=life_fac,0.5,0))+Sens!J3150*IF(1&lt;life_fac,1,IF(1=life_fac,0.5,0))+Sens!K3150*0.5)/life_fac</f>
        <v>2.299605</v>
      </c>
    </row>
    <row r="3156" customFormat="false" ht="17.15" hidden="false" customHeight="false" outlineLevel="0" collapsed="false">
      <c r="A3156" s="0" t="s">
        <v>844</v>
      </c>
      <c r="B3156" s="0" t="s">
        <v>98</v>
      </c>
      <c r="E3156" s="6" t="n">
        <f aca="false">Sens!E3154+Sens!E3155</f>
        <v>16.3054059770833</v>
      </c>
      <c r="F3156" s="6" t="n">
        <f aca="false">Sens!F3154+Sens!F3155</f>
        <v>36.1279426892031</v>
      </c>
      <c r="G3156" s="6" t="n">
        <f aca="false">Sens!G3154+Sens!G3155</f>
        <v>52.4342101714063</v>
      </c>
      <c r="H3156" s="6" t="n">
        <f aca="false">Sens!H3154+Sens!H3155</f>
        <v>55.0169095894063</v>
      </c>
      <c r="I3156" s="6" t="n">
        <f aca="false">Sens!I3154+Sens!I3155</f>
        <v>55.6606838189896</v>
      </c>
      <c r="J3156" s="6" t="n">
        <f aca="false">Sens!J3154+Sens!J3155</f>
        <v>57.2766885177396</v>
      </c>
      <c r="K3156" s="6" t="n">
        <f aca="false">Sens!K3154+Sens!K3155</f>
        <v>60.1802416756563</v>
      </c>
    </row>
    <row r="3157" customFormat="false" ht="17.15" hidden="false" customHeight="false" outlineLevel="0" collapsed="false">
      <c r="A3157" s="0" t="s">
        <v>845</v>
      </c>
      <c r="B3157" s="0" t="s">
        <v>98</v>
      </c>
      <c r="E3157" s="6" t="n">
        <f aca="false">Sens!E3145-Sens!E3144*Sens!E3156</f>
        <v>8.92707889977379</v>
      </c>
      <c r="F3157" s="6" t="n">
        <f aca="false">Sens!F3145-Sens!F3144*Sens!F3156</f>
        <v>7.04181029238988</v>
      </c>
      <c r="G3157" s="6" t="n">
        <f aca="false">Sens!G3145-Sens!G3144*Sens!G3156</f>
        <v>2.75832727621092</v>
      </c>
      <c r="H3157" s="6" t="n">
        <f aca="false">Sens!H3145-Sens!H3144*Sens!H3156</f>
        <v>3.49820346791141</v>
      </c>
      <c r="I3157" s="6" t="n">
        <f aca="false">Sens!I3145-Sens!I3144*Sens!I3156</f>
        <v>4.39250659309739</v>
      </c>
      <c r="J3157" s="6" t="n">
        <f aca="false">Sens!J3145-Sens!J3144*Sens!J3156</f>
        <v>5.35682228522013</v>
      </c>
      <c r="K3157" s="6" t="n">
        <f aca="false">Sens!K3145-Sens!K3144*Sens!K3156</f>
        <v>7.4563933792781</v>
      </c>
    </row>
    <row r="3158" customFormat="false" ht="17.15" hidden="false" customHeight="false" outlineLevel="0" collapsed="false">
      <c r="A3158" s="3" t="s">
        <v>1315</v>
      </c>
    </row>
    <row r="3159" customFormat="false" ht="15" hidden="false" customHeight="false" outlineLevel="0" collapsed="false">
      <c r="A3159" s="4" t="s">
        <v>43</v>
      </c>
      <c r="B3159" s="4" t="s">
        <v>65</v>
      </c>
      <c r="C3159" s="20" t="s">
        <v>788</v>
      </c>
      <c r="D3159" s="20" t="s">
        <v>789</v>
      </c>
      <c r="E3159" s="20" t="s">
        <v>790</v>
      </c>
      <c r="F3159" s="20" t="s">
        <v>791</v>
      </c>
      <c r="G3159" s="20" t="s">
        <v>792</v>
      </c>
      <c r="H3159" s="20" t="s">
        <v>793</v>
      </c>
      <c r="I3159" s="20" t="s">
        <v>794</v>
      </c>
      <c r="J3159" s="20" t="s">
        <v>795</v>
      </c>
      <c r="K3159" s="20" t="s">
        <v>796</v>
      </c>
      <c r="L3159" s="4" t="s">
        <v>47</v>
      </c>
    </row>
    <row r="3160" customFormat="false" ht="17.15" hidden="false" customHeight="false" outlineLevel="0" collapsed="false">
      <c r="A3160" s="0" t="s">
        <v>864</v>
      </c>
      <c r="B3160" s="0" t="s">
        <v>98</v>
      </c>
      <c r="D3160" s="6" t="n">
        <f aca="false">Sens!D3139</f>
        <v>12.9359794422418</v>
      </c>
      <c r="E3160" s="6" t="n">
        <f aca="false">Sens!E3139</f>
        <v>27.8095064661409</v>
      </c>
      <c r="F3160" s="6" t="n">
        <f aca="false">Sens!F3139</f>
        <v>41.8381972946555</v>
      </c>
      <c r="G3160" s="6" t="n">
        <f aca="false">Sens!G3139</f>
        <v>49.4753031420564</v>
      </c>
      <c r="H3160" s="6" t="n">
        <f aca="false">Sens!H3139</f>
        <v>52.3771855131691</v>
      </c>
      <c r="I3160" s="6" t="n">
        <f aca="false">Sens!I3139</f>
        <v>53.7372589823317</v>
      </c>
      <c r="J3160" s="6" t="n">
        <f aca="false">Sens!J3139</f>
        <v>55.7912474867814</v>
      </c>
      <c r="K3160" s="6" t="n">
        <f aca="false">Sens!K3139</f>
        <v>59.8714678942694</v>
      </c>
    </row>
    <row r="3161" customFormat="false" ht="17.15" hidden="false" customHeight="false" outlineLevel="0" collapsed="false">
      <c r="A3161" s="0" t="s">
        <v>865</v>
      </c>
      <c r="B3161" s="0" t="s">
        <v>98</v>
      </c>
      <c r="D3161" s="6" t="n">
        <f aca="false">Q!L6-Sens!D3160</f>
        <v>59.6740205577583</v>
      </c>
      <c r="E3161" s="6" t="n">
        <f aca="false">Q!M6-Sens!E3160</f>
        <v>74.1284935338591</v>
      </c>
      <c r="F3161" s="6" t="n">
        <f aca="false">Sens!E3161*(1+Sens!F3162)</f>
        <v>90.0799497373663</v>
      </c>
      <c r="G3161" s="6" t="n">
        <f aca="false">Sens!F3161*(1+Sens!G3162)</f>
        <v>107.02842520331</v>
      </c>
      <c r="H3161" s="6" t="n">
        <f aca="false">Sens!G3161*(1+Sens!H3162)</f>
        <v>124.271982585636</v>
      </c>
      <c r="I3161" s="6" t="n">
        <f aca="false">Sens!H3161*(1+Sens!I3162)</f>
        <v>140.933702381855</v>
      </c>
      <c r="J3161" s="6" t="n">
        <f aca="false">Sens!I3161*(1+Sens!J3162)</f>
        <v>156.018867314332</v>
      </c>
      <c r="K3161" s="6" t="n">
        <f aca="false">Sens!J3161*(1+Sens!K3162)</f>
        <v>168.500376699478</v>
      </c>
    </row>
    <row r="3162" customFormat="false" ht="15" hidden="false" customHeight="false" outlineLevel="0" collapsed="false">
      <c r="A3162" s="1" t="s">
        <v>866</v>
      </c>
      <c r="B3162" s="0" t="s">
        <v>129</v>
      </c>
      <c r="E3162" s="7" t="n">
        <f aca="false">Sens!E3161/Sens!D3161-1</f>
        <v>0.242223883039864</v>
      </c>
      <c r="F3162" s="7" t="n">
        <f aca="false">Sens!$E$3162+(glt_azo-Sens!$E$3162)*MIN(1,(Sens!F3122-base_fy)/n_conv)</f>
        <v>0.215186569199887</v>
      </c>
      <c r="G3162" s="7" t="n">
        <f aca="false">Sens!$E$3162+(glt_azo-Sens!$E$3162)*MIN(1,(Sens!G3122-base_fy)/n_conv)</f>
        <v>0.18814925535991</v>
      </c>
      <c r="H3162" s="7" t="n">
        <f aca="false">Sens!$E$3162+(glt_azo-Sens!$E$3162)*MIN(1,(Sens!H3122-base_fy)/n_conv)</f>
        <v>0.161111941519932</v>
      </c>
      <c r="I3162" s="7" t="n">
        <f aca="false">Sens!$E$3162+(glt_azo-Sens!$E$3162)*MIN(1,(Sens!I3122-base_fy)/n_conv)</f>
        <v>0.134074627679955</v>
      </c>
      <c r="J3162" s="7" t="n">
        <f aca="false">Sens!$E$3162+(glt_azo-Sens!$E$3162)*MIN(1,(Sens!J3122-base_fy)/n_conv)</f>
        <v>0.107037313839977</v>
      </c>
      <c r="K3162" s="7" t="n">
        <f aca="false">Sens!$E$3162+(glt_azo-Sens!$E$3162)*MIN(1,(Sens!K3122-base_fy)/n_conv)</f>
        <v>0.08</v>
      </c>
    </row>
    <row r="3163" customFormat="false" ht="15" hidden="false" customHeight="false" outlineLevel="0" collapsed="false">
      <c r="A3163" s="0" t="s">
        <v>867</v>
      </c>
      <c r="B3163" s="0" t="s">
        <v>98</v>
      </c>
      <c r="D3163" s="6" t="n">
        <f aca="false">Sens!D3160+Sens!D3161</f>
        <v>72.61</v>
      </c>
      <c r="E3163" s="6" t="n">
        <f aca="false">Sens!E3160+Sens!E3161</f>
        <v>101.938</v>
      </c>
      <c r="F3163" s="6" t="n">
        <f aca="false">Sens!F3160+Sens!F3161</f>
        <v>131.918147032022</v>
      </c>
      <c r="G3163" s="6" t="n">
        <f aca="false">Sens!G3160+Sens!G3161</f>
        <v>156.503728345366</v>
      </c>
      <c r="H3163" s="6" t="n">
        <f aca="false">Sens!H3160+Sens!H3161</f>
        <v>176.649168098805</v>
      </c>
      <c r="I3163" s="6" t="n">
        <f aca="false">Sens!I3160+Sens!I3161</f>
        <v>194.670961364187</v>
      </c>
      <c r="J3163" s="6" t="n">
        <f aca="false">Sens!J3160+Sens!J3161</f>
        <v>211.810114801113</v>
      </c>
      <c r="K3163" s="6" t="n">
        <f aca="false">Sens!K3160+Sens!K3161</f>
        <v>228.371844593747</v>
      </c>
    </row>
    <row r="3164" customFormat="false" ht="17.15" hidden="false" customHeight="false" outlineLevel="0" collapsed="false">
      <c r="A3164" s="0" t="s">
        <v>868</v>
      </c>
      <c r="B3164" s="1" t="s">
        <v>521</v>
      </c>
      <c r="C3164" s="29" t="n">
        <f aca="false">cop_s24</f>
        <v>1</v>
      </c>
      <c r="D3164" s="29" t="n">
        <f aca="false">cop_s25</f>
        <v>5</v>
      </c>
      <c r="E3164" s="29" t="n">
        <f aca="false">cop_s26</f>
        <v>30</v>
      </c>
      <c r="F3164" s="29" t="n">
        <f aca="false">Sens!E3164+cop_add_B</f>
        <v>50</v>
      </c>
      <c r="G3164" s="29" t="n">
        <f aca="false">Sens!F3164+cop_add_B</f>
        <v>70</v>
      </c>
      <c r="H3164" s="29" t="n">
        <f aca="false">Sens!G3164+cop_add_B</f>
        <v>90</v>
      </c>
      <c r="I3164" s="29" t="n">
        <f aca="false">Sens!H3164+cop_add_B*cop_tail</f>
        <v>100</v>
      </c>
      <c r="J3164" s="29" t="n">
        <f aca="false">Sens!I3164+cop_add_B*cop_tail</f>
        <v>110</v>
      </c>
      <c r="K3164" s="29" t="n">
        <f aca="false">Sens!J3164+cop_add_B*cop_tail</f>
        <v>120</v>
      </c>
      <c r="L3164" s="11" t="s">
        <v>869</v>
      </c>
    </row>
    <row r="3165" customFormat="false" ht="17.15" hidden="false" customHeight="false" outlineLevel="0" collapsed="false">
      <c r="A3165" s="0" t="s">
        <v>870</v>
      </c>
      <c r="B3165" s="0" t="s">
        <v>98</v>
      </c>
      <c r="D3165" s="6" t="n">
        <f aca="false">(Sens!C3164+Sens!D3164)/2*cop_px*12/1000</f>
        <v>0.9</v>
      </c>
      <c r="E3165" s="6" t="n">
        <f aca="false">(Sens!D3164+Sens!E3164)/2*cop_px*12/1000</f>
        <v>5.25</v>
      </c>
      <c r="F3165" s="6" t="n">
        <f aca="false">(Sens!E3164+Sens!F3164)/2*cop_px*12/1000</f>
        <v>12</v>
      </c>
      <c r="G3165" s="6" t="n">
        <f aca="false">(Sens!F3164+Sens!G3164)/2*cop_px*12/1000</f>
        <v>18</v>
      </c>
      <c r="H3165" s="6" t="n">
        <f aca="false">(Sens!G3164+Sens!H3164)/2*cop_px*12/1000</f>
        <v>24</v>
      </c>
      <c r="I3165" s="6" t="n">
        <f aca="false">(Sens!H3164+Sens!I3164)/2*cop_px*12/1000</f>
        <v>28.5</v>
      </c>
      <c r="J3165" s="6" t="n">
        <f aca="false">(Sens!I3164+Sens!J3164)/2*cop_px*12/1000</f>
        <v>31.5</v>
      </c>
      <c r="K3165" s="6" t="n">
        <f aca="false">(Sens!J3164+Sens!K3164)/2*cop_px*12/1000</f>
        <v>34.5</v>
      </c>
      <c r="L3165" s="1" t="s">
        <v>871</v>
      </c>
    </row>
    <row r="3166" customFormat="false" ht="17.15" hidden="false" customHeight="false" outlineLevel="0" collapsed="false">
      <c r="A3166" s="0" t="s">
        <v>872</v>
      </c>
      <c r="B3166" s="0" t="s">
        <v>98</v>
      </c>
      <c r="D3166" s="6" t="n">
        <f aca="false">Q!L7-Sens!D3165</f>
        <v>83.705</v>
      </c>
      <c r="E3166" s="6" t="n">
        <f aca="false">Q!M7-Sens!E3165</f>
        <v>95.049</v>
      </c>
      <c r="F3166" s="6" t="n">
        <f aca="false">Sens!E3166*(1+Sens!F3167)</f>
        <v>106.89238776686</v>
      </c>
      <c r="G3166" s="6" t="n">
        <f aca="false">Sens!F3166*(1+Sens!G3167)</f>
        <v>119.044168448684</v>
      </c>
      <c r="H3166" s="6" t="n">
        <f aca="false">Sens!G3166*(1+Sens!H3167)</f>
        <v>131.277359388781</v>
      </c>
      <c r="I3166" s="6" t="n">
        <f aca="false">Sens!H3166*(1+Sens!I3167)</f>
        <v>143.334028071957</v>
      </c>
      <c r="J3166" s="6" t="n">
        <f aca="false">Sens!I3166*(1+Sens!J3167)</f>
        <v>154.932702785465</v>
      </c>
      <c r="K3166" s="6" t="n">
        <f aca="false">Sens!J3166*(1+Sens!K3167)</f>
        <v>165.777991980448</v>
      </c>
    </row>
    <row r="3167" customFormat="false" ht="15" hidden="false" customHeight="false" outlineLevel="0" collapsed="false">
      <c r="A3167" s="1" t="s">
        <v>866</v>
      </c>
      <c r="B3167" s="0" t="s">
        <v>129</v>
      </c>
      <c r="E3167" s="7" t="n">
        <f aca="false">Sens!E3166/Sens!D3166-1</f>
        <v>0.135523564900544</v>
      </c>
      <c r="F3167" s="7" t="n">
        <f aca="false">Sens!$E$3167+(glt_m365b-Sens!$E$3167)*MIN(1,(Sens!F3122-base_fy)/n_conv)</f>
        <v>0.124602970750453</v>
      </c>
      <c r="G3167" s="7" t="n">
        <f aca="false">Sens!$E$3167+(glt_m365b-Sens!$E$3167)*MIN(1,(Sens!G3122-base_fy)/n_conv)</f>
        <v>0.113682376600363</v>
      </c>
      <c r="H3167" s="7" t="n">
        <f aca="false">Sens!$E$3167+(glt_m365b-Sens!$E$3167)*MIN(1,(Sens!H3122-base_fy)/n_conv)</f>
        <v>0.102761782450272</v>
      </c>
      <c r="I3167" s="7" t="n">
        <f aca="false">Sens!$E$3167+(glt_m365b-Sens!$E$3167)*MIN(1,(Sens!I3122-base_fy)/n_conv)</f>
        <v>0.0918411883001813</v>
      </c>
      <c r="J3167" s="7" t="n">
        <f aca="false">Sens!$E$3167+(glt_m365b-Sens!$E$3167)*MIN(1,(Sens!J3122-base_fy)/n_conv)</f>
        <v>0.0809205941500906</v>
      </c>
      <c r="K3167" s="7" t="n">
        <f aca="false">Sens!$E$3167+(glt_m365b-Sens!$E$3167)*MIN(1,(Sens!K3122-base_fy)/n_conv)</f>
        <v>0.07</v>
      </c>
    </row>
    <row r="3168" customFormat="false" ht="15" hidden="false" customHeight="false" outlineLevel="0" collapsed="false">
      <c r="A3168" s="0" t="s">
        <v>873</v>
      </c>
      <c r="B3168" s="0" t="s">
        <v>98</v>
      </c>
      <c r="D3168" s="6" t="n">
        <f aca="false">Sens!D3166+Sens!D3165</f>
        <v>84.605</v>
      </c>
      <c r="E3168" s="6" t="n">
        <f aca="false">Sens!E3166+Sens!E3165</f>
        <v>100.299</v>
      </c>
      <c r="F3168" s="6" t="n">
        <f aca="false">Sens!F3166+Sens!F3165</f>
        <v>118.89238776686</v>
      </c>
      <c r="G3168" s="6" t="n">
        <f aca="false">Sens!G3166+Sens!G3165</f>
        <v>137.044168448684</v>
      </c>
      <c r="H3168" s="6" t="n">
        <f aca="false">Sens!H3166+Sens!H3165</f>
        <v>155.277359388781</v>
      </c>
      <c r="I3168" s="6" t="n">
        <f aca="false">Sens!I3166+Sens!I3165</f>
        <v>171.834028071957</v>
      </c>
      <c r="J3168" s="6" t="n">
        <f aca="false">Sens!J3166+Sens!J3165</f>
        <v>186.432702785465</v>
      </c>
      <c r="K3168" s="6" t="n">
        <f aca="false">Sens!K3166+Sens!K3165</f>
        <v>200.277991980448</v>
      </c>
    </row>
    <row r="3169" customFormat="false" ht="15" hidden="false" customHeight="false" outlineLevel="0" collapsed="false">
      <c r="A3169" s="0" t="s">
        <v>874</v>
      </c>
      <c r="B3169" s="0" t="s">
        <v>98</v>
      </c>
      <c r="D3169" s="6" t="n">
        <f aca="false">Q!L8</f>
        <v>35.391</v>
      </c>
      <c r="E3169" s="6" t="n">
        <f aca="false">Q!M8</f>
        <v>37.285</v>
      </c>
      <c r="F3169" s="6" t="n">
        <f aca="false">Sens!E3169*(1+Sens!F3170)</f>
        <v>39.0720834331704</v>
      </c>
      <c r="G3169" s="6" t="n">
        <f aca="false">Sens!F3169*(1+Sens!G3170)</f>
        <v>40.726562953769</v>
      </c>
      <c r="H3169" s="6" t="n">
        <f aca="false">Sens!G3169*(1+Sens!H3170)</f>
        <v>42.2235987259198</v>
      </c>
      <c r="I3169" s="6" t="n">
        <f aca="false">Sens!H3169*(1+Sens!I3170)</f>
        <v>43.5397988077414</v>
      </c>
      <c r="J3169" s="6" t="n">
        <f aca="false">Sens!I3169*(1+Sens!J3170)</f>
        <v>44.653811225693</v>
      </c>
      <c r="K3169" s="6" t="n">
        <f aca="false">Sens!J3169*(1+Sens!K3170)</f>
        <v>45.5468874502068</v>
      </c>
    </row>
    <row r="3170" customFormat="false" ht="15" hidden="false" customHeight="false" outlineLevel="0" collapsed="false">
      <c r="A3170" s="1" t="s">
        <v>866</v>
      </c>
      <c r="B3170" s="0" t="s">
        <v>129</v>
      </c>
      <c r="E3170" s="7" t="n">
        <f aca="false">Sens!E3169/Sens!D3169-1</f>
        <v>0.0535164307309768</v>
      </c>
      <c r="F3170" s="7" t="n">
        <f aca="false">Sens!$E$3170+(glt_lic-Sens!$E$3170)*MIN(1,(Sens!F3122-base_fy)/n_conv)</f>
        <v>0.0479303589424807</v>
      </c>
      <c r="G3170" s="7" t="n">
        <f aca="false">Sens!$E$3170+(glt_lic-Sens!$E$3170)*MIN(1,(Sens!G3122-base_fy)/n_conv)</f>
        <v>0.0423442871539845</v>
      </c>
      <c r="H3170" s="7" t="n">
        <f aca="false">Sens!$E$3170+(glt_lic-Sens!$E$3170)*MIN(1,(Sens!H3122-base_fy)/n_conv)</f>
        <v>0.0367582153654884</v>
      </c>
      <c r="I3170" s="7" t="n">
        <f aca="false">Sens!$E$3170+(glt_lic-Sens!$E$3170)*MIN(1,(Sens!I3122-base_fy)/n_conv)</f>
        <v>0.0311721435769923</v>
      </c>
      <c r="J3170" s="7" t="n">
        <f aca="false">Sens!$E$3170+(glt_lic-Sens!$E$3170)*MIN(1,(Sens!J3122-base_fy)/n_conv)</f>
        <v>0.0255860717884961</v>
      </c>
      <c r="K3170" s="7" t="n">
        <f aca="false">Sens!$E$3170+(glt_lic-Sens!$E$3170)*MIN(1,(Sens!K3122-base_fy)/n_conv)</f>
        <v>0.02</v>
      </c>
    </row>
    <row r="3171" customFormat="false" ht="15" hidden="false" customHeight="false" outlineLevel="0" collapsed="false">
      <c r="A3171" s="0" t="s">
        <v>875</v>
      </c>
      <c r="B3171" s="0" t="s">
        <v>98</v>
      </c>
      <c r="D3171" s="6" t="n">
        <f aca="false">Q!L9</f>
        <v>18.417</v>
      </c>
      <c r="E3171" s="6" t="n">
        <f aca="false">Q!M9</f>
        <v>20.345</v>
      </c>
      <c r="F3171" s="6" t="n">
        <f aca="false">Sens!E3171*(1+Sens!F3172)</f>
        <v>22.3572203267814</v>
      </c>
      <c r="G3171" s="6" t="n">
        <f aca="false">Sens!F3171*(1+Sens!G3172)</f>
        <v>24.4392124437232</v>
      </c>
      <c r="H3171" s="6" t="n">
        <f aca="false">Sens!G3171*(1+Sens!H3172)</f>
        <v>26.5738052080665</v>
      </c>
      <c r="I3171" s="6" t="n">
        <f aca="false">Sens!H3171*(1+Sens!I3172)</f>
        <v>28.7412169166967</v>
      </c>
      <c r="J3171" s="6" t="n">
        <f aca="false">Sens!I3171*(1+Sens!J3172)</f>
        <v>30.9192545395413</v>
      </c>
      <c r="K3171" s="6" t="n">
        <f aca="false">Sens!J3171*(1+Sens!K3172)</f>
        <v>33.0836023573092</v>
      </c>
    </row>
    <row r="3172" customFormat="false" ht="15" hidden="false" customHeight="false" outlineLevel="0" collapsed="false">
      <c r="A3172" s="1" t="s">
        <v>866</v>
      </c>
      <c r="B3172" s="0" t="s">
        <v>129</v>
      </c>
      <c r="E3172" s="7" t="n">
        <f aca="false">Sens!E3171/Sens!D3171-1</f>
        <v>0.104685888038225</v>
      </c>
      <c r="F3172" s="7" t="n">
        <f aca="false">Sens!$E$3172+(glt_ind-Sens!$E$3172)*MIN(1,(Sens!F3122-base_fy)/n_conv)</f>
        <v>0.0989049066985211</v>
      </c>
      <c r="G3172" s="7" t="n">
        <f aca="false">Sens!$E$3172+(glt_ind-Sens!$E$3172)*MIN(1,(Sens!G3122-base_fy)/n_conv)</f>
        <v>0.0931239253588169</v>
      </c>
      <c r="H3172" s="7" t="n">
        <f aca="false">Sens!$E$3172+(glt_ind-Sens!$E$3172)*MIN(1,(Sens!H3122-base_fy)/n_conv)</f>
        <v>0.0873429440191127</v>
      </c>
      <c r="I3172" s="7" t="n">
        <f aca="false">Sens!$E$3172+(glt_ind-Sens!$E$3172)*MIN(1,(Sens!I3122-base_fy)/n_conv)</f>
        <v>0.0815619626794085</v>
      </c>
      <c r="J3172" s="7" t="n">
        <f aca="false">Sens!$E$3172+(glt_ind-Sens!$E$3172)*MIN(1,(Sens!J3122-base_fy)/n_conv)</f>
        <v>0.0757809813397042</v>
      </c>
      <c r="K3172" s="7" t="n">
        <f aca="false">Sens!$E$3172+(glt_ind-Sens!$E$3172)*MIN(1,(Sens!K3122-base_fy)/n_conv)</f>
        <v>0.07</v>
      </c>
    </row>
    <row r="3173" customFormat="false" ht="15" hidden="false" customHeight="false" outlineLevel="0" collapsed="false">
      <c r="A3173" s="0" t="s">
        <v>876</v>
      </c>
      <c r="B3173" s="0" t="s">
        <v>98</v>
      </c>
      <c r="D3173" s="6" t="n">
        <f aca="false">Q!L10</f>
        <v>7.76</v>
      </c>
      <c r="E3173" s="6" t="n">
        <f aca="false">Q!M10</f>
        <v>8.26</v>
      </c>
      <c r="F3173" s="6" t="n">
        <f aca="false">Sens!E3173*(1+Sens!F3174)</f>
        <v>8.79988041237113</v>
      </c>
      <c r="G3173" s="6" t="n">
        <f aca="false">Sens!F3173*(1+Sens!G3174)</f>
        <v>9.38321269125306</v>
      </c>
      <c r="H3173" s="6" t="n">
        <f aca="false">Sens!G3173*(1+Sens!H3174)</f>
        <v>10.0139193587476</v>
      </c>
      <c r="I3173" s="6" t="n">
        <f aca="false">Sens!H3173*(1+Sens!I3174)</f>
        <v>10.6963111830911</v>
      </c>
      <c r="J3173" s="6" t="n">
        <f aca="false">Sens!I3173*(1+Sens!J3174)</f>
        <v>11.4351285534696</v>
      </c>
      <c r="K3173" s="6" t="n">
        <f aca="false">Sens!J3173*(1+Sens!K3174)</f>
        <v>12.2355875522124</v>
      </c>
    </row>
    <row r="3174" customFormat="false" ht="15" hidden="false" customHeight="false" outlineLevel="0" collapsed="false">
      <c r="A3174" s="1" t="s">
        <v>866</v>
      </c>
      <c r="B3174" s="0" t="s">
        <v>129</v>
      </c>
      <c r="E3174" s="7" t="n">
        <f aca="false">Sens!E3173/Sens!D3173-1</f>
        <v>0.0644329896907216</v>
      </c>
      <c r="F3174" s="7" t="n">
        <f aca="false">Sens!$E$3174+(glt_fro-Sens!$E$3174)*MIN(1,(Sens!F3122-base_fy)/n_conv)</f>
        <v>0.065360824742268</v>
      </c>
      <c r="G3174" s="7" t="n">
        <f aca="false">Sens!$E$3174+(glt_fro-Sens!$E$3174)*MIN(1,(Sens!G3122-base_fy)/n_conv)</f>
        <v>0.0662886597938144</v>
      </c>
      <c r="H3174" s="7" t="n">
        <f aca="false">Sens!$E$3174+(glt_fro-Sens!$E$3174)*MIN(1,(Sens!H3122-base_fy)/n_conv)</f>
        <v>0.0672164948453608</v>
      </c>
      <c r="I3174" s="7" t="n">
        <f aca="false">Sens!$E$3174+(glt_fro-Sens!$E$3174)*MIN(1,(Sens!I3122-base_fy)/n_conv)</f>
        <v>0.0681443298969072</v>
      </c>
      <c r="J3174" s="7" t="n">
        <f aca="false">Sens!$E$3174+(glt_fro-Sens!$E$3174)*MIN(1,(Sens!J3122-base_fy)/n_conv)</f>
        <v>0.0690721649484536</v>
      </c>
      <c r="K3174" s="7" t="n">
        <f aca="false">Sens!$E$3174+(glt_fro-Sens!$E$3174)*MIN(1,(Sens!K3122-base_fy)/n_conv)</f>
        <v>0.07</v>
      </c>
    </row>
    <row r="3175" customFormat="false" ht="15" hidden="false" customHeight="false" outlineLevel="0" collapsed="false">
      <c r="A3175" s="0" t="s">
        <v>704</v>
      </c>
      <c r="B3175" s="0" t="s">
        <v>98</v>
      </c>
      <c r="D3175" s="6" t="n">
        <f aca="false">Sens!D3163+Sens!D3168+Sens!D3169+Sens!D3171+Sens!D3173</f>
        <v>218.783</v>
      </c>
      <c r="E3175" s="6" t="n">
        <f aca="false">Sens!E3163+Sens!E3168+Sens!E3169+Sens!E3171+Sens!E3173</f>
        <v>268.127</v>
      </c>
      <c r="F3175" s="6" t="n">
        <f aca="false">Sens!F3163+Sens!F3168+Sens!F3169+Sens!F3171+Sens!F3173</f>
        <v>321.039718971205</v>
      </c>
      <c r="G3175" s="6" t="n">
        <f aca="false">Sens!G3163+Sens!G3168+Sens!G3169+Sens!G3171+Sens!G3173</f>
        <v>368.096884882795</v>
      </c>
      <c r="H3175" s="6" t="n">
        <f aca="false">Sens!H3163+Sens!H3168+Sens!H3169+Sens!H3171+Sens!H3173</f>
        <v>410.73785078032</v>
      </c>
      <c r="I3175" s="6" t="n">
        <f aca="false">Sens!I3163+Sens!I3168+Sens!I3169+Sens!I3171+Sens!I3173</f>
        <v>449.482316343673</v>
      </c>
      <c r="J3175" s="6" t="n">
        <f aca="false">Sens!J3163+Sens!J3168+Sens!J3169+Sens!J3171+Sens!J3173</f>
        <v>485.251011905282</v>
      </c>
      <c r="K3175" s="6" t="n">
        <f aca="false">Sens!K3163+Sens!K3168+Sens!K3169+Sens!K3171+Sens!K3173</f>
        <v>519.515913933924</v>
      </c>
    </row>
    <row r="3176" customFormat="false" ht="15" hidden="false" customHeight="false" outlineLevel="0" collapsed="false">
      <c r="A3176" s="0" t="s">
        <v>877</v>
      </c>
      <c r="B3176" s="0" t="s">
        <v>98</v>
      </c>
      <c r="D3176" s="6" t="n">
        <f aca="false">Q!L13</f>
        <v>22.171</v>
      </c>
      <c r="E3176" s="6" t="n">
        <f aca="false">Q!M13</f>
        <v>24.835</v>
      </c>
      <c r="F3176" s="6" t="n">
        <f aca="false">Sens!E3176*(1+Sens!F3177)</f>
        <v>27.6114901218559</v>
      </c>
      <c r="G3176" s="6" t="n">
        <f aca="false">Sens!F3176*(1+Sens!G3177)</f>
        <v>30.4675667338515</v>
      </c>
      <c r="H3176" s="6" t="n">
        <f aca="false">Sens!G3176*(1+Sens!H3177)</f>
        <v>33.3643766955789</v>
      </c>
      <c r="I3176" s="6" t="n">
        <f aca="false">Sens!H3176*(1+Sens!I3177)</f>
        <v>36.2577016533691</v>
      </c>
      <c r="J3176" s="6" t="n">
        <f aca="false">Sens!I3176*(1+Sens!J3177)</f>
        <v>39.0988367952171</v>
      </c>
      <c r="K3176" s="6" t="n">
        <f aca="false">Sens!J3176*(1+Sens!K3177)</f>
        <v>41.8357553708823</v>
      </c>
    </row>
    <row r="3177" customFormat="false" ht="15" hidden="false" customHeight="false" outlineLevel="0" collapsed="false">
      <c r="A3177" s="1" t="s">
        <v>866</v>
      </c>
      <c r="B3177" s="0" t="s">
        <v>129</v>
      </c>
      <c r="E3177" s="7" t="n">
        <f aca="false">Sens!E3176/Sens!D3176-1</f>
        <v>0.120156961796942</v>
      </c>
      <c r="F3177" s="7" t="n">
        <f aca="false">Sens!$E$3177+(glt_srch-Sens!$E$3177)*MIN(1,(Sens!F3122-base_fy)/n_conv)</f>
        <v>0.111797468164118</v>
      </c>
      <c r="G3177" s="7" t="n">
        <f aca="false">Sens!$E$3177+(glt_srch-Sens!$E$3177)*MIN(1,(Sens!G3122-base_fy)/n_conv)</f>
        <v>0.103437974531295</v>
      </c>
      <c r="H3177" s="7" t="n">
        <f aca="false">Sens!$E$3177+(glt_srch-Sens!$E$3177)*MIN(1,(Sens!H3122-base_fy)/n_conv)</f>
        <v>0.095078480898471</v>
      </c>
      <c r="I3177" s="7" t="n">
        <f aca="false">Sens!$E$3177+(glt_srch-Sens!$E$3177)*MIN(1,(Sens!I3122-base_fy)/n_conv)</f>
        <v>0.0867189872656474</v>
      </c>
      <c r="J3177" s="7" t="n">
        <f aca="false">Sens!$E$3177+(glt_srch-Sens!$E$3177)*MIN(1,(Sens!J3122-base_fy)/n_conv)</f>
        <v>0.0783594936328237</v>
      </c>
      <c r="K3177" s="7" t="n">
        <f aca="false">Sens!$E$3177+(glt_srch-Sens!$E$3177)*MIN(1,(Sens!K3122-base_fy)/n_conv)</f>
        <v>0.07</v>
      </c>
    </row>
    <row r="3178" customFormat="false" ht="15" hidden="false" customHeight="false" outlineLevel="0" collapsed="false">
      <c r="A3178" s="0" t="s">
        <v>878</v>
      </c>
      <c r="B3178" s="0" t="s">
        <v>98</v>
      </c>
      <c r="D3178" s="6" t="n">
        <f aca="false">Q!L14</f>
        <v>23.455</v>
      </c>
      <c r="E3178" s="6" t="n">
        <f aca="false">Q!M14</f>
        <v>21.79</v>
      </c>
      <c r="F3178" s="6" t="n">
        <f aca="false">Sens!E3178*(1+Sens!F3179)</f>
        <v>20.5736277908051</v>
      </c>
      <c r="G3178" s="6" t="n">
        <f aca="false">Sens!F3178*(1+Sens!G3179)</f>
        <v>19.7371452817919</v>
      </c>
      <c r="H3178" s="6" t="n">
        <f aca="false">Sens!G3178*(1+Sens!H3179)</f>
        <v>19.2339764043138</v>
      </c>
      <c r="I3178" s="6" t="n">
        <f aca="false">Sens!H3178*(1+Sens!I3179)</f>
        <v>19.0353086852681</v>
      </c>
      <c r="J3178" s="6" t="n">
        <f aca="false">Sens!I3178*(1+Sens!J3179)</f>
        <v>19.1273539319129</v>
      </c>
      <c r="K3178" s="6" t="n">
        <f aca="false">Sens!J3178*(1+Sens!K3179)</f>
        <v>19.5099010105511</v>
      </c>
    </row>
    <row r="3179" customFormat="false" ht="15" hidden="false" customHeight="false" outlineLevel="0" collapsed="false">
      <c r="A3179" s="1" t="s">
        <v>866</v>
      </c>
      <c r="B3179" s="0" t="s">
        <v>129</v>
      </c>
      <c r="E3179" s="7" t="n">
        <f aca="false">Sens!E3178/Sens!D3178-1</f>
        <v>-0.0709869963760392</v>
      </c>
      <c r="F3179" s="7" t="n">
        <f aca="false">Sens!$E$3179+(glt_xbox-Sens!$E$3179)*MIN(1,(Sens!F3122-base_fy)/n_conv)</f>
        <v>-0.0558224969800327</v>
      </c>
      <c r="G3179" s="7" t="n">
        <f aca="false">Sens!$E$3179+(glt_xbox-Sens!$E$3179)*MIN(1,(Sens!G3122-base_fy)/n_conv)</f>
        <v>-0.0406579975840262</v>
      </c>
      <c r="H3179" s="7" t="n">
        <f aca="false">Sens!$E$3179+(glt_xbox-Sens!$E$3179)*MIN(1,(Sens!H3122-base_fy)/n_conv)</f>
        <v>-0.0254934981880196</v>
      </c>
      <c r="I3179" s="7" t="n">
        <f aca="false">Sens!$E$3179+(glt_xbox-Sens!$E$3179)*MIN(1,(Sens!I3122-base_fy)/n_conv)</f>
        <v>-0.0103289987920131</v>
      </c>
      <c r="J3179" s="7" t="n">
        <f aca="false">Sens!$E$3179+(glt_xbox-Sens!$E$3179)*MIN(1,(Sens!J3122-base_fy)/n_conv)</f>
        <v>0.00483550060399347</v>
      </c>
      <c r="K3179" s="7" t="n">
        <f aca="false">Sens!$E$3179+(glt_xbox-Sens!$E$3179)*MIN(1,(Sens!K3122-base_fy)/n_conv)</f>
        <v>0.02</v>
      </c>
    </row>
    <row r="3180" customFormat="false" ht="15" hidden="false" customHeight="false" outlineLevel="0" collapsed="false">
      <c r="A3180" s="0" t="s">
        <v>879</v>
      </c>
      <c r="B3180" s="0" t="s">
        <v>98</v>
      </c>
      <c r="D3180" s="6" t="n">
        <f aca="false">Q!L15</f>
        <v>17.315</v>
      </c>
      <c r="E3180" s="6" t="n">
        <f aca="false">Q!M15</f>
        <v>17.087</v>
      </c>
      <c r="F3180" s="6" t="n">
        <f aca="false">Sens!E3180*(1+Sens!F3181)</f>
        <v>16.9564585436519</v>
      </c>
      <c r="G3180" s="6" t="n">
        <f aca="false">Sens!F3180*(1+Sens!G3181)</f>
        <v>16.9206490624268</v>
      </c>
      <c r="H3180" s="6" t="n">
        <f aca="false">Sens!G3180*(1+Sens!H3181)</f>
        <v>16.9784519149849</v>
      </c>
      <c r="I3180" s="6" t="n">
        <f aca="false">Sens!H3180*(1+Sens!I3181)</f>
        <v>17.1303084701817</v>
      </c>
      <c r="J3180" s="6" t="n">
        <f aca="false">Sens!I3180*(1+Sens!J3181)</f>
        <v>17.3782189407267</v>
      </c>
      <c r="K3180" s="6" t="n">
        <f aca="false">Sens!J3180*(1+Sens!K3181)</f>
        <v>17.7257833195413</v>
      </c>
    </row>
    <row r="3181" customFormat="false" ht="15" hidden="false" customHeight="false" outlineLevel="0" collapsed="false">
      <c r="A3181" s="1" t="s">
        <v>866</v>
      </c>
      <c r="B3181" s="0" t="s">
        <v>129</v>
      </c>
      <c r="E3181" s="7" t="n">
        <f aca="false">Sens!E3180/Sens!D3180-1</f>
        <v>-0.0131677736066995</v>
      </c>
      <c r="F3181" s="7" t="n">
        <f aca="false">Sens!$E$3181+(glt_win-Sens!$E$3181)*MIN(1,(Sens!F3122-base_fy)/n_conv)</f>
        <v>-0.00763981133891627</v>
      </c>
      <c r="G3181" s="7" t="n">
        <f aca="false">Sens!$E$3181+(glt_win-Sens!$E$3181)*MIN(1,(Sens!G3122-base_fy)/n_conv)</f>
        <v>-0.00211184907113301</v>
      </c>
      <c r="H3181" s="7" t="n">
        <f aca="false">Sens!$E$3181+(glt_win-Sens!$E$3181)*MIN(1,(Sens!H3122-base_fy)/n_conv)</f>
        <v>0.00341611319665024</v>
      </c>
      <c r="I3181" s="7" t="n">
        <f aca="false">Sens!$E$3181+(glt_win-Sens!$E$3181)*MIN(1,(Sens!I3122-base_fy)/n_conv)</f>
        <v>0.00894407546443349</v>
      </c>
      <c r="J3181" s="7" t="n">
        <f aca="false">Sens!$E$3181+(glt_win-Sens!$E$3181)*MIN(1,(Sens!J3122-base_fy)/n_conv)</f>
        <v>0.0144720377322168</v>
      </c>
      <c r="K3181" s="7" t="n">
        <f aca="false">Sens!$E$3181+(glt_win-Sens!$E$3181)*MIN(1,(Sens!K3122-base_fy)/n_conv)</f>
        <v>0.02</v>
      </c>
    </row>
    <row r="3182" customFormat="false" ht="15" hidden="false" customHeight="false" outlineLevel="0" collapsed="false">
      <c r="A3182" s="0" t="s">
        <v>718</v>
      </c>
      <c r="B3182" s="0" t="s">
        <v>98</v>
      </c>
      <c r="D3182" s="6" t="n">
        <f aca="false">Sens!D3176+Sens!D3178+Sens!D3180</f>
        <v>62.941</v>
      </c>
      <c r="E3182" s="6" t="n">
        <f aca="false">Sens!E3176+Sens!E3178+Sens!E3180</f>
        <v>63.712</v>
      </c>
      <c r="F3182" s="6" t="n">
        <f aca="false">Sens!F3176+Sens!F3178+Sens!F3180</f>
        <v>65.1415764563129</v>
      </c>
      <c r="G3182" s="6" t="n">
        <f aca="false">Sens!G3176+Sens!G3178+Sens!G3180</f>
        <v>67.1253610780702</v>
      </c>
      <c r="H3182" s="6" t="n">
        <f aca="false">Sens!H3176+Sens!H3178+Sens!H3180</f>
        <v>69.5768050148776</v>
      </c>
      <c r="I3182" s="6" t="n">
        <f aca="false">Sens!I3176+Sens!I3178+Sens!I3180</f>
        <v>72.4233188088189</v>
      </c>
      <c r="J3182" s="6" t="n">
        <f aca="false">Sens!J3176+Sens!J3178+Sens!J3180</f>
        <v>75.6044096678567</v>
      </c>
      <c r="K3182" s="6" t="n">
        <f aca="false">Sens!K3176+Sens!K3178+Sens!K3180</f>
        <v>79.0714397009747</v>
      </c>
    </row>
    <row r="3183" customFormat="false" ht="15" hidden="false" customHeight="false" outlineLevel="0" collapsed="false">
      <c r="A3183" s="1" t="s">
        <v>880</v>
      </c>
      <c r="B3183" s="0" t="s">
        <v>98</v>
      </c>
      <c r="D3183" s="6" t="n">
        <f aca="false">Sens!D3175+Sens!D3182</f>
        <v>281.724</v>
      </c>
      <c r="E3183" s="6" t="n">
        <f aca="false">Sens!E3175+Sens!E3182</f>
        <v>331.839</v>
      </c>
      <c r="F3183" s="6" t="n">
        <f aca="false">Sens!F3175+Sens!F3182</f>
        <v>386.181295427517</v>
      </c>
      <c r="G3183" s="6" t="n">
        <f aca="false">Sens!G3175+Sens!G3182</f>
        <v>435.222245960866</v>
      </c>
      <c r="H3183" s="6" t="n">
        <f aca="false">Sens!H3175+Sens!H3182</f>
        <v>480.314655795198</v>
      </c>
      <c r="I3183" s="6" t="n">
        <f aca="false">Sens!I3175+Sens!I3182</f>
        <v>521.905635152491</v>
      </c>
      <c r="J3183" s="6" t="n">
        <f aca="false">Sens!J3175+Sens!J3182</f>
        <v>560.855421573139</v>
      </c>
      <c r="K3183" s="6" t="n">
        <f aca="false">Sens!K3175+Sens!K3182</f>
        <v>598.587353634898</v>
      </c>
    </row>
    <row r="3184" customFormat="false" ht="15" hidden="false" customHeight="false" outlineLevel="0" collapsed="false">
      <c r="A3184" s="23" t="s">
        <v>881</v>
      </c>
      <c r="B3184" s="30" t="s">
        <v>98</v>
      </c>
      <c r="C3184" s="30"/>
      <c r="D3184" s="24" t="n">
        <f aca="false">(Sens!D3163+Sens!D3168+Sens!D3169+Sens!D3171+Sens!D3173-Sens!D3175)+(Sens!D3176+Sens!D3178+Sens!D3180-Sens!D3182)+(Sens!D3175-Q!L5)+(Sens!D3182-Q!L12)+(Sens!D3163-Q!L6)+(Sens!D3168-Q!L7)</f>
        <v>0</v>
      </c>
      <c r="E3184" s="24" t="n">
        <f aca="false">(Sens!E3163+Sens!E3168+Sens!E3169+Sens!E3171+Sens!E3173-Sens!E3175)+(Sens!E3176+Sens!E3178+Sens!E3180-Sens!E3182)+(Sens!E3175-Q!M5)+(Sens!E3182-Q!M12)+(Sens!E3163-Q!M6)+(Sens!E3168-Q!M7)</f>
        <v>0</v>
      </c>
      <c r="F3184" s="24" t="n">
        <f aca="false">(Sens!F3163+Sens!F3168+Sens!F3169+Sens!F3171+Sens!F3173-Sens!F3175)+(Sens!F3176+Sens!F3178+Sens!F3180-Sens!F3182)</f>
        <v>0</v>
      </c>
      <c r="G3184" s="24" t="n">
        <f aca="false">(Sens!G3163+Sens!G3168+Sens!G3169+Sens!G3171+Sens!G3173-Sens!G3175)+(Sens!G3176+Sens!G3178+Sens!G3180-Sens!G3182)</f>
        <v>0</v>
      </c>
      <c r="H3184" s="24" t="n">
        <f aca="false">(Sens!H3163+Sens!H3168+Sens!H3169+Sens!H3171+Sens!H3173-Sens!H3175)+(Sens!H3176+Sens!H3178+Sens!H3180-Sens!H3182)</f>
        <v>0</v>
      </c>
      <c r="I3184" s="24" t="n">
        <f aca="false">(Sens!I3163+Sens!I3168+Sens!I3169+Sens!I3171+Sens!I3173-Sens!I3175)+(Sens!I3176+Sens!I3178+Sens!I3180-Sens!I3182)</f>
        <v>0</v>
      </c>
      <c r="J3184" s="24" t="n">
        <f aca="false">(Sens!J3163+Sens!J3168+Sens!J3169+Sens!J3171+Sens!J3173-Sens!J3175)+(Sens!J3176+Sens!J3178+Sens!J3180-Sens!J3182)</f>
        <v>0</v>
      </c>
      <c r="K3184" s="24" t="n">
        <f aca="false">(Sens!K3163+Sens!K3168+Sens!K3169+Sens!K3171+Sens!K3173-Sens!K3175)+(Sens!K3176+Sens!K3178+Sens!K3180-Sens!K3182)</f>
        <v>0</v>
      </c>
    </row>
    <row r="3185" customFormat="false" ht="17.15" hidden="false" customHeight="false" outlineLevel="0" collapsed="false">
      <c r="A3185" s="3" t="s">
        <v>1316</v>
      </c>
    </row>
    <row r="3186" customFormat="false" ht="15" hidden="false" customHeight="false" outlineLevel="0" collapsed="false">
      <c r="A3186" s="4" t="s">
        <v>43</v>
      </c>
      <c r="B3186" s="4" t="s">
        <v>65</v>
      </c>
      <c r="C3186" s="20" t="s">
        <v>788</v>
      </c>
      <c r="D3186" s="20" t="s">
        <v>789</v>
      </c>
      <c r="E3186" s="20" t="s">
        <v>790</v>
      </c>
      <c r="F3186" s="20" t="s">
        <v>791</v>
      </c>
      <c r="G3186" s="20" t="s">
        <v>792</v>
      </c>
      <c r="H3186" s="20" t="s">
        <v>793</v>
      </c>
      <c r="I3186" s="20" t="s">
        <v>794</v>
      </c>
      <c r="J3186" s="20" t="s">
        <v>795</v>
      </c>
      <c r="K3186" s="20" t="s">
        <v>796</v>
      </c>
      <c r="L3186" s="4" t="s">
        <v>47</v>
      </c>
    </row>
    <row r="3187" customFormat="false" ht="15" hidden="false" customHeight="false" outlineLevel="0" collapsed="false">
      <c r="A3187" s="0" t="s">
        <v>867</v>
      </c>
      <c r="B3187" s="0" t="s">
        <v>98</v>
      </c>
      <c r="D3187" s="6" t="n">
        <f aca="false">Sens!D3163</f>
        <v>72.61</v>
      </c>
      <c r="E3187" s="6" t="n">
        <f aca="false">Sens!E3163</f>
        <v>101.938</v>
      </c>
      <c r="F3187" s="6" t="n">
        <f aca="false">Sens!F3163</f>
        <v>131.918147032022</v>
      </c>
      <c r="G3187" s="6" t="n">
        <f aca="false">Sens!G3163</f>
        <v>156.503728345366</v>
      </c>
      <c r="H3187" s="6" t="n">
        <f aca="false">Sens!H3163</f>
        <v>176.649168098805</v>
      </c>
      <c r="I3187" s="6" t="n">
        <f aca="false">Sens!I3163</f>
        <v>194.670961364187</v>
      </c>
      <c r="J3187" s="6" t="n">
        <f aca="false">Sens!J3163</f>
        <v>211.810114801113</v>
      </c>
      <c r="K3187" s="6" t="n">
        <f aca="false">Sens!K3163</f>
        <v>228.371844593747</v>
      </c>
    </row>
    <row r="3188" customFormat="false" ht="17.15" hidden="false" customHeight="false" outlineLevel="0" collapsed="false">
      <c r="A3188" s="0" t="s">
        <v>864</v>
      </c>
      <c r="B3188" s="0" t="s">
        <v>98</v>
      </c>
      <c r="D3188" s="6" t="n">
        <f aca="false">Sens!D3160</f>
        <v>12.9359794422418</v>
      </c>
      <c r="E3188" s="6" t="n">
        <f aca="false">Sens!E3160</f>
        <v>27.8095064661409</v>
      </c>
      <c r="F3188" s="6" t="n">
        <f aca="false">Sens!F3160</f>
        <v>41.8381972946555</v>
      </c>
      <c r="G3188" s="6" t="n">
        <f aca="false">Sens!G3160</f>
        <v>49.4753031420564</v>
      </c>
      <c r="H3188" s="6" t="n">
        <f aca="false">Sens!H3160</f>
        <v>52.3771855131691</v>
      </c>
      <c r="I3188" s="6" t="n">
        <f aca="false">Sens!I3160</f>
        <v>53.7372589823317</v>
      </c>
      <c r="J3188" s="6" t="n">
        <f aca="false">Sens!J3160</f>
        <v>55.7912474867814</v>
      </c>
      <c r="K3188" s="6" t="n">
        <f aca="false">Sens!K3160</f>
        <v>59.8714678942694</v>
      </c>
    </row>
    <row r="3189" customFormat="false" ht="17.15" hidden="false" customHeight="false" outlineLevel="0" collapsed="false">
      <c r="A3189" s="0" t="s">
        <v>892</v>
      </c>
      <c r="B3189" s="0" t="s">
        <v>98</v>
      </c>
      <c r="D3189" s="6" t="n">
        <f aca="false">Sens!D3161</f>
        <v>59.6740205577583</v>
      </c>
      <c r="E3189" s="6" t="n">
        <f aca="false">Sens!E3161</f>
        <v>74.1284935338591</v>
      </c>
      <c r="F3189" s="6" t="n">
        <f aca="false">Sens!F3161</f>
        <v>90.0799497373663</v>
      </c>
      <c r="G3189" s="6" t="n">
        <f aca="false">Sens!G3161</f>
        <v>107.02842520331</v>
      </c>
      <c r="H3189" s="6" t="n">
        <f aca="false">Sens!H3161</f>
        <v>124.271982585636</v>
      </c>
      <c r="I3189" s="6" t="n">
        <f aca="false">Sens!I3161</f>
        <v>140.933702381855</v>
      </c>
      <c r="J3189" s="6" t="n">
        <f aca="false">Sens!J3161</f>
        <v>156.018867314332</v>
      </c>
      <c r="K3189" s="6" t="n">
        <f aca="false">Sens!K3161</f>
        <v>168.500376699478</v>
      </c>
    </row>
    <row r="3190" customFormat="false" ht="15" hidden="false" customHeight="false" outlineLevel="0" collapsed="false">
      <c r="A3190" s="0" t="s">
        <v>873</v>
      </c>
      <c r="B3190" s="0" t="s">
        <v>98</v>
      </c>
      <c r="D3190" s="6" t="n">
        <f aca="false">Sens!D3168</f>
        <v>84.605</v>
      </c>
      <c r="E3190" s="6" t="n">
        <f aca="false">Sens!E3168</f>
        <v>100.299</v>
      </c>
      <c r="F3190" s="6" t="n">
        <f aca="false">Sens!F3168</f>
        <v>118.89238776686</v>
      </c>
      <c r="G3190" s="6" t="n">
        <f aca="false">Sens!G3168</f>
        <v>137.044168448684</v>
      </c>
      <c r="H3190" s="6" t="n">
        <f aca="false">Sens!H3168</f>
        <v>155.277359388781</v>
      </c>
      <c r="I3190" s="6" t="n">
        <f aca="false">Sens!I3168</f>
        <v>171.834028071957</v>
      </c>
      <c r="J3190" s="6" t="n">
        <f aca="false">Sens!J3168</f>
        <v>186.432702785465</v>
      </c>
      <c r="K3190" s="6" t="n">
        <f aca="false">Sens!K3168</f>
        <v>200.277991980448</v>
      </c>
    </row>
    <row r="3191" customFormat="false" ht="17.15" hidden="false" customHeight="false" outlineLevel="0" collapsed="false">
      <c r="A3191" s="0" t="s">
        <v>893</v>
      </c>
      <c r="B3191" s="0" t="s">
        <v>98</v>
      </c>
      <c r="D3191" s="6" t="n">
        <f aca="false">Sens!D3166</f>
        <v>83.705</v>
      </c>
      <c r="E3191" s="6" t="n">
        <f aca="false">Sens!E3166</f>
        <v>95.049</v>
      </c>
      <c r="F3191" s="6" t="n">
        <f aca="false">Sens!F3166</f>
        <v>106.89238776686</v>
      </c>
      <c r="G3191" s="6" t="n">
        <f aca="false">Sens!G3166</f>
        <v>119.044168448684</v>
      </c>
      <c r="H3191" s="6" t="n">
        <f aca="false">Sens!H3166</f>
        <v>131.277359388781</v>
      </c>
      <c r="I3191" s="6" t="n">
        <f aca="false">Sens!I3166</f>
        <v>143.334028071957</v>
      </c>
      <c r="J3191" s="6" t="n">
        <f aca="false">Sens!J3166</f>
        <v>154.932702785465</v>
      </c>
      <c r="K3191" s="6" t="n">
        <f aca="false">Sens!K3166</f>
        <v>165.777991980448</v>
      </c>
    </row>
    <row r="3192" customFormat="false" ht="17.15" hidden="false" customHeight="false" outlineLevel="0" collapsed="false">
      <c r="A3192" s="0" t="s">
        <v>894</v>
      </c>
      <c r="B3192" s="0" t="s">
        <v>98</v>
      </c>
      <c r="D3192" s="6" t="n">
        <f aca="false">Sens!D3165</f>
        <v>0.9</v>
      </c>
      <c r="E3192" s="6" t="n">
        <f aca="false">Sens!E3165</f>
        <v>5.25</v>
      </c>
      <c r="F3192" s="6" t="n">
        <f aca="false">Sens!F3165</f>
        <v>12</v>
      </c>
      <c r="G3192" s="6" t="n">
        <f aca="false">Sens!G3165</f>
        <v>18</v>
      </c>
      <c r="H3192" s="6" t="n">
        <f aca="false">Sens!H3165</f>
        <v>24</v>
      </c>
      <c r="I3192" s="6" t="n">
        <f aca="false">Sens!I3165</f>
        <v>28.5</v>
      </c>
      <c r="J3192" s="6" t="n">
        <f aca="false">Sens!J3165</f>
        <v>31.5</v>
      </c>
      <c r="K3192" s="6" t="n">
        <f aca="false">Sens!K3165</f>
        <v>34.5</v>
      </c>
    </row>
    <row r="3193" customFormat="false" ht="15" hidden="false" customHeight="false" outlineLevel="0" collapsed="false">
      <c r="A3193" s="0" t="s">
        <v>874</v>
      </c>
      <c r="B3193" s="0" t="s">
        <v>98</v>
      </c>
      <c r="D3193" s="6" t="n">
        <f aca="false">Sens!D3169</f>
        <v>35.391</v>
      </c>
      <c r="E3193" s="6" t="n">
        <f aca="false">Sens!E3169</f>
        <v>37.285</v>
      </c>
      <c r="F3193" s="6" t="n">
        <f aca="false">Sens!F3169</f>
        <v>39.0720834331704</v>
      </c>
      <c r="G3193" s="6" t="n">
        <f aca="false">Sens!G3169</f>
        <v>40.726562953769</v>
      </c>
      <c r="H3193" s="6" t="n">
        <f aca="false">Sens!H3169</f>
        <v>42.2235987259198</v>
      </c>
      <c r="I3193" s="6" t="n">
        <f aca="false">Sens!I3169</f>
        <v>43.5397988077414</v>
      </c>
      <c r="J3193" s="6" t="n">
        <f aca="false">Sens!J3169</f>
        <v>44.653811225693</v>
      </c>
      <c r="K3193" s="6" t="n">
        <f aca="false">Sens!K3169</f>
        <v>45.5468874502068</v>
      </c>
    </row>
    <row r="3194" customFormat="false" ht="15" hidden="false" customHeight="false" outlineLevel="0" collapsed="false">
      <c r="A3194" s="0" t="s">
        <v>875</v>
      </c>
      <c r="B3194" s="0" t="s">
        <v>98</v>
      </c>
      <c r="D3194" s="6" t="n">
        <f aca="false">Sens!D3171</f>
        <v>18.417</v>
      </c>
      <c r="E3194" s="6" t="n">
        <f aca="false">Sens!E3171</f>
        <v>20.345</v>
      </c>
      <c r="F3194" s="6" t="n">
        <f aca="false">Sens!F3171</f>
        <v>22.3572203267814</v>
      </c>
      <c r="G3194" s="6" t="n">
        <f aca="false">Sens!G3171</f>
        <v>24.4392124437232</v>
      </c>
      <c r="H3194" s="6" t="n">
        <f aca="false">Sens!H3171</f>
        <v>26.5738052080665</v>
      </c>
      <c r="I3194" s="6" t="n">
        <f aca="false">Sens!I3171</f>
        <v>28.7412169166967</v>
      </c>
      <c r="J3194" s="6" t="n">
        <f aca="false">Sens!J3171</f>
        <v>30.9192545395413</v>
      </c>
      <c r="K3194" s="6" t="n">
        <f aca="false">Sens!K3171</f>
        <v>33.0836023573092</v>
      </c>
    </row>
    <row r="3195" customFormat="false" ht="15" hidden="false" customHeight="false" outlineLevel="0" collapsed="false">
      <c r="A3195" s="0" t="s">
        <v>876</v>
      </c>
      <c r="B3195" s="0" t="s">
        <v>98</v>
      </c>
      <c r="D3195" s="6" t="n">
        <f aca="false">Sens!D3173</f>
        <v>7.76</v>
      </c>
      <c r="E3195" s="6" t="n">
        <f aca="false">Sens!E3173</f>
        <v>8.26</v>
      </c>
      <c r="F3195" s="6" t="n">
        <f aca="false">Sens!F3173</f>
        <v>8.79988041237113</v>
      </c>
      <c r="G3195" s="6" t="n">
        <f aca="false">Sens!G3173</f>
        <v>9.38321269125306</v>
      </c>
      <c r="H3195" s="6" t="n">
        <f aca="false">Sens!H3173</f>
        <v>10.0139193587476</v>
      </c>
      <c r="I3195" s="6" t="n">
        <f aca="false">Sens!I3173</f>
        <v>10.6963111830911</v>
      </c>
      <c r="J3195" s="6" t="n">
        <f aca="false">Sens!J3173</f>
        <v>11.4351285534696</v>
      </c>
      <c r="K3195" s="6" t="n">
        <f aca="false">Sens!K3173</f>
        <v>12.2355875522124</v>
      </c>
    </row>
    <row r="3196" customFormat="false" ht="15" hidden="false" customHeight="false" outlineLevel="0" collapsed="false">
      <c r="A3196" s="0" t="s">
        <v>704</v>
      </c>
      <c r="B3196" s="0" t="s">
        <v>98</v>
      </c>
      <c r="D3196" s="6" t="n">
        <f aca="false">Sens!D3175</f>
        <v>218.783</v>
      </c>
      <c r="E3196" s="6" t="n">
        <f aca="false">Sens!E3175</f>
        <v>268.127</v>
      </c>
      <c r="F3196" s="6" t="n">
        <f aca="false">Sens!F3175</f>
        <v>321.039718971205</v>
      </c>
      <c r="G3196" s="6" t="n">
        <f aca="false">Sens!G3175</f>
        <v>368.096884882795</v>
      </c>
      <c r="H3196" s="6" t="n">
        <f aca="false">Sens!H3175</f>
        <v>410.73785078032</v>
      </c>
      <c r="I3196" s="6" t="n">
        <f aca="false">Sens!I3175</f>
        <v>449.482316343673</v>
      </c>
      <c r="J3196" s="6" t="n">
        <f aca="false">Sens!J3175</f>
        <v>485.251011905282</v>
      </c>
      <c r="K3196" s="6" t="n">
        <f aca="false">Sens!K3175</f>
        <v>519.515913933924</v>
      </c>
    </row>
    <row r="3197" customFormat="false" ht="15" hidden="false" customHeight="false" outlineLevel="0" collapsed="false">
      <c r="A3197" s="0" t="s">
        <v>877</v>
      </c>
      <c r="B3197" s="0" t="s">
        <v>98</v>
      </c>
      <c r="D3197" s="6" t="n">
        <f aca="false">Sens!D3176</f>
        <v>22.171</v>
      </c>
      <c r="E3197" s="6" t="n">
        <f aca="false">Sens!E3176</f>
        <v>24.835</v>
      </c>
      <c r="F3197" s="6" t="n">
        <f aca="false">Sens!F3176</f>
        <v>27.6114901218559</v>
      </c>
      <c r="G3197" s="6" t="n">
        <f aca="false">Sens!G3176</f>
        <v>30.4675667338515</v>
      </c>
      <c r="H3197" s="6" t="n">
        <f aca="false">Sens!H3176</f>
        <v>33.3643766955789</v>
      </c>
      <c r="I3197" s="6" t="n">
        <f aca="false">Sens!I3176</f>
        <v>36.2577016533691</v>
      </c>
      <c r="J3197" s="6" t="n">
        <f aca="false">Sens!J3176</f>
        <v>39.0988367952171</v>
      </c>
      <c r="K3197" s="6" t="n">
        <f aca="false">Sens!K3176</f>
        <v>41.8357553708823</v>
      </c>
    </row>
    <row r="3198" customFormat="false" ht="15" hidden="false" customHeight="false" outlineLevel="0" collapsed="false">
      <c r="A3198" s="0" t="s">
        <v>878</v>
      </c>
      <c r="B3198" s="0" t="s">
        <v>98</v>
      </c>
      <c r="D3198" s="6" t="n">
        <f aca="false">Sens!D3178</f>
        <v>23.455</v>
      </c>
      <c r="E3198" s="6" t="n">
        <f aca="false">Sens!E3178</f>
        <v>21.79</v>
      </c>
      <c r="F3198" s="6" t="n">
        <f aca="false">Sens!F3178</f>
        <v>20.5736277908051</v>
      </c>
      <c r="G3198" s="6" t="n">
        <f aca="false">Sens!G3178</f>
        <v>19.7371452817919</v>
      </c>
      <c r="H3198" s="6" t="n">
        <f aca="false">Sens!H3178</f>
        <v>19.2339764043138</v>
      </c>
      <c r="I3198" s="6" t="n">
        <f aca="false">Sens!I3178</f>
        <v>19.0353086852681</v>
      </c>
      <c r="J3198" s="6" t="n">
        <f aca="false">Sens!J3178</f>
        <v>19.1273539319129</v>
      </c>
      <c r="K3198" s="6" t="n">
        <f aca="false">Sens!K3178</f>
        <v>19.5099010105511</v>
      </c>
    </row>
    <row r="3199" customFormat="false" ht="15" hidden="false" customHeight="false" outlineLevel="0" collapsed="false">
      <c r="A3199" s="0" t="s">
        <v>879</v>
      </c>
      <c r="B3199" s="0" t="s">
        <v>98</v>
      </c>
      <c r="D3199" s="6" t="n">
        <f aca="false">Sens!D3180</f>
        <v>17.315</v>
      </c>
      <c r="E3199" s="6" t="n">
        <f aca="false">Sens!E3180</f>
        <v>17.087</v>
      </c>
      <c r="F3199" s="6" t="n">
        <f aca="false">Sens!F3180</f>
        <v>16.9564585436519</v>
      </c>
      <c r="G3199" s="6" t="n">
        <f aca="false">Sens!G3180</f>
        <v>16.9206490624268</v>
      </c>
      <c r="H3199" s="6" t="n">
        <f aca="false">Sens!H3180</f>
        <v>16.9784519149849</v>
      </c>
      <c r="I3199" s="6" t="n">
        <f aca="false">Sens!I3180</f>
        <v>17.1303084701817</v>
      </c>
      <c r="J3199" s="6" t="n">
        <f aca="false">Sens!J3180</f>
        <v>17.3782189407267</v>
      </c>
      <c r="K3199" s="6" t="n">
        <f aca="false">Sens!K3180</f>
        <v>17.7257833195413</v>
      </c>
    </row>
    <row r="3200" customFormat="false" ht="15" hidden="false" customHeight="false" outlineLevel="0" collapsed="false">
      <c r="A3200" s="0" t="s">
        <v>718</v>
      </c>
      <c r="B3200" s="0" t="s">
        <v>98</v>
      </c>
      <c r="D3200" s="6" t="n">
        <f aca="false">Sens!D3182</f>
        <v>62.941</v>
      </c>
      <c r="E3200" s="6" t="n">
        <f aca="false">Sens!E3182</f>
        <v>63.712</v>
      </c>
      <c r="F3200" s="6" t="n">
        <f aca="false">Sens!F3182</f>
        <v>65.1415764563129</v>
      </c>
      <c r="G3200" s="6" t="n">
        <f aca="false">Sens!G3182</f>
        <v>67.1253610780702</v>
      </c>
      <c r="H3200" s="6" t="n">
        <f aca="false">Sens!H3182</f>
        <v>69.5768050148776</v>
      </c>
      <c r="I3200" s="6" t="n">
        <f aca="false">Sens!I3182</f>
        <v>72.4233188088189</v>
      </c>
      <c r="J3200" s="6" t="n">
        <f aca="false">Sens!J3182</f>
        <v>75.6044096678567</v>
      </c>
      <c r="K3200" s="6" t="n">
        <f aca="false">Sens!K3182</f>
        <v>79.0714397009747</v>
      </c>
    </row>
    <row r="3201" customFormat="false" ht="15" hidden="false" customHeight="false" outlineLevel="0" collapsed="false">
      <c r="A3201" s="1" t="s">
        <v>895</v>
      </c>
      <c r="B3201" s="0" t="s">
        <v>98</v>
      </c>
      <c r="D3201" s="6" t="n">
        <f aca="false">Sens!D3183</f>
        <v>281.724</v>
      </c>
      <c r="E3201" s="6" t="n">
        <f aca="false">Sens!E3183</f>
        <v>331.839</v>
      </c>
      <c r="F3201" s="6" t="n">
        <f aca="false">Sens!F3183</f>
        <v>386.181295427517</v>
      </c>
      <c r="G3201" s="6" t="n">
        <f aca="false">Sens!G3183</f>
        <v>435.222245960866</v>
      </c>
      <c r="H3201" s="6" t="n">
        <f aca="false">Sens!H3183</f>
        <v>480.314655795198</v>
      </c>
      <c r="I3201" s="6" t="n">
        <f aca="false">Sens!I3183</f>
        <v>521.905635152491</v>
      </c>
      <c r="J3201" s="6" t="n">
        <f aca="false">Sens!J3183</f>
        <v>560.855421573139</v>
      </c>
      <c r="K3201" s="6" t="n">
        <f aca="false">Sens!K3183</f>
        <v>598.587353634898</v>
      </c>
    </row>
    <row r="3202" customFormat="false" ht="15" hidden="false" customHeight="false" outlineLevel="0" collapsed="false">
      <c r="A3202" s="1" t="s">
        <v>896</v>
      </c>
      <c r="B3202" s="0" t="s">
        <v>129</v>
      </c>
      <c r="E3202" s="7" t="n">
        <f aca="false">Sens!E3201/Sens!D3201-1</f>
        <v>0.177886867998467</v>
      </c>
      <c r="F3202" s="7" t="n">
        <f aca="false">Sens!F3201/Sens!E3201-1</f>
        <v>0.163761026966443</v>
      </c>
      <c r="G3202" s="7" t="n">
        <f aca="false">Sens!G3201/Sens!F3201-1</f>
        <v>0.126989450587082</v>
      </c>
      <c r="H3202" s="7" t="n">
        <f aca="false">Sens!H3201/Sens!G3201-1</f>
        <v>0.103607777986575</v>
      </c>
      <c r="I3202" s="7" t="n">
        <f aca="false">Sens!I3201/Sens!H3201-1</f>
        <v>0.0865911103387771</v>
      </c>
      <c r="J3202" s="7" t="n">
        <f aca="false">Sens!J3201/Sens!I3201-1</f>
        <v>0.0746299403517015</v>
      </c>
      <c r="K3202" s="7" t="n">
        <f aca="false">Sens!K3201/Sens!J3201-1</f>
        <v>0.0672756839114181</v>
      </c>
    </row>
    <row r="3203" customFormat="false" ht="17.15" hidden="false" customHeight="false" outlineLevel="0" collapsed="false">
      <c r="A3203" s="23" t="s">
        <v>897</v>
      </c>
      <c r="B3203" s="30" t="s">
        <v>98</v>
      </c>
      <c r="C3203" s="30"/>
      <c r="D3203" s="24" t="n">
        <f aca="false">(Sens!D3196+Sens!D3200-Sens!D3201)+(Sens!D3188+Sens!D3189-Sens!D3187)+(Sens!D3191+Sens!D3192-Sens!D3190)+(Sens!D3201-Q!L18)</f>
        <v>0</v>
      </c>
      <c r="E3203" s="24" t="n">
        <f aca="false">(Sens!E3196+Sens!E3200-Sens!E3201)+(Sens!E3188+Sens!E3189-Sens!E3187)+(Sens!E3191+Sens!E3192-Sens!E3190)+(Sens!E3201-Q!M18)</f>
        <v>0</v>
      </c>
      <c r="F3203" s="24" t="n">
        <f aca="false">(Sens!F3196+Sens!F3200-Sens!F3201)+(Sens!F3188+Sens!F3189-Sens!F3187)+(Sens!F3191+Sens!F3192-Sens!F3190)</f>
        <v>0</v>
      </c>
      <c r="G3203" s="24" t="n">
        <f aca="false">(Sens!G3196+Sens!G3200-Sens!G3201)+(Sens!G3188+Sens!G3189-Sens!G3187)+(Sens!G3191+Sens!G3192-Sens!G3190)</f>
        <v>0</v>
      </c>
      <c r="H3203" s="24" t="n">
        <f aca="false">(Sens!H3196+Sens!H3200-Sens!H3201)+(Sens!H3188+Sens!H3189-Sens!H3187)+(Sens!H3191+Sens!H3192-Sens!H3190)</f>
        <v>0</v>
      </c>
      <c r="I3203" s="24" t="n">
        <f aca="false">(Sens!I3196+Sens!I3200-Sens!I3201)+(Sens!I3188+Sens!I3189-Sens!I3187)+(Sens!I3191+Sens!I3192-Sens!I3190)</f>
        <v>0</v>
      </c>
      <c r="J3203" s="24" t="n">
        <f aca="false">(Sens!J3196+Sens!J3200-Sens!J3201)+(Sens!J3188+Sens!J3189-Sens!J3187)+(Sens!J3191+Sens!J3192-Sens!J3190)</f>
        <v>0</v>
      </c>
      <c r="K3203" s="24" t="n">
        <f aca="false">(Sens!K3196+Sens!K3200-Sens!K3201)+(Sens!K3188+Sens!K3189-Sens!K3187)+(Sens!K3191+Sens!K3192-Sens!K3190)</f>
        <v>0</v>
      </c>
    </row>
    <row r="3204" customFormat="false" ht="17.15" hidden="false" customHeight="false" outlineLevel="0" collapsed="false">
      <c r="A3204" s="0" t="s">
        <v>898</v>
      </c>
      <c r="B3204" s="0" t="s">
        <v>129</v>
      </c>
      <c r="E3204" s="7" t="n">
        <f aca="false">(Q!M21+Sens!E3141+Sens!E3142+Sens!E3143+Sens!E3156-Sens!E3139)/(Q!M5-Sens!E3139)</f>
        <v>0.570957350878296</v>
      </c>
      <c r="F3204" s="7" t="n">
        <f aca="false">Sens!$E$3204+dm_seg</f>
        <v>0.570957350878296</v>
      </c>
      <c r="G3204" s="7" t="n">
        <f aca="false">Sens!$E$3204+dm_seg</f>
        <v>0.570957350878296</v>
      </c>
      <c r="H3204" s="7" t="n">
        <f aca="false">Sens!$E$3204+dm_seg</f>
        <v>0.570957350878296</v>
      </c>
      <c r="I3204" s="7" t="n">
        <f aca="false">Sens!$E$3204+dm_seg</f>
        <v>0.570957350878296</v>
      </c>
      <c r="J3204" s="7" t="n">
        <f aca="false">Sens!$E$3204+dm_seg</f>
        <v>0.570957350878296</v>
      </c>
      <c r="K3204" s="7" t="n">
        <f aca="false">Sens!$E$3204+dm_seg</f>
        <v>0.570957350878296</v>
      </c>
      <c r="L3204" s="11" t="s">
        <v>899</v>
      </c>
    </row>
    <row r="3205" customFormat="false" ht="17.15" hidden="false" customHeight="false" outlineLevel="0" collapsed="false">
      <c r="A3205" s="0" t="s">
        <v>732</v>
      </c>
      <c r="B3205" s="0" t="s">
        <v>98</v>
      </c>
      <c r="D3205" s="6" t="n">
        <f aca="false">Q!L21</f>
        <v>110.814</v>
      </c>
      <c r="E3205" s="6" t="n">
        <f aca="false">Q!M21</f>
        <v>136.365</v>
      </c>
      <c r="F3205" s="6" t="n">
        <f aca="false">Sens!F3204*(Sens!F3175-Sens!F3139)+Sens!F3139-(Sens!F3141+Sens!F3142+Sens!F3143)-Sens!F3156</f>
        <v>147.126493468511</v>
      </c>
      <c r="G3205" s="6" t="n">
        <f aca="false">Sens!G3204*(Sens!G3175-Sens!G3139)+Sens!G3139-(Sens!G3141+Sens!G3142+Sens!G3143)-Sens!G3156</f>
        <v>158.013570942325</v>
      </c>
      <c r="H3205" s="6" t="n">
        <f aca="false">Sens!H3204*(Sens!H3175-Sens!H3139)+Sens!H3139-(Sens!H3141+Sens!H3142+Sens!H3143)-Sens!H3156</f>
        <v>180.001431537656</v>
      </c>
      <c r="I3205" s="6" t="n">
        <f aca="false">Sens!I3204*(Sens!I3175-Sens!I3139)+Sens!I3139-(Sens!I3141+Sens!I3142+Sens!I3143)-Sens!I3156</f>
        <v>201.930114574485</v>
      </c>
      <c r="J3205" s="6" t="n">
        <f aca="false">Sens!J3204*(Sens!J3175-Sens!J3139)+Sens!J3139-(Sens!J3141+Sens!J3142+Sens!J3143)-Sens!J3156</f>
        <v>221.41764155205</v>
      </c>
      <c r="K3205" s="6" t="n">
        <f aca="false">Sens!K3204*(Sens!K3175-Sens!K3139)+Sens!K3139-(Sens!K3141+Sens!K3142+Sens!K3143)-Sens!K3156</f>
        <v>239.430945626007</v>
      </c>
      <c r="L3205" s="1" t="s">
        <v>900</v>
      </c>
    </row>
    <row r="3206" customFormat="false" ht="17.15" hidden="false" customHeight="false" outlineLevel="0" collapsed="false">
      <c r="A3206" s="0" t="s">
        <v>901</v>
      </c>
      <c r="B3206" s="0" t="s">
        <v>129</v>
      </c>
      <c r="E3206" s="7" t="n">
        <f aca="false">Q!M22/Q!M12</f>
        <v>0.296207935710698</v>
      </c>
      <c r="F3206" s="7" t="n">
        <f aca="false">Sens!$E$3206+dm_seg</f>
        <v>0.296207935710698</v>
      </c>
      <c r="G3206" s="7" t="n">
        <f aca="false">Sens!$E$3206+dm_seg</f>
        <v>0.296207935710698</v>
      </c>
      <c r="H3206" s="7" t="n">
        <f aca="false">Sens!$E$3206+dm_seg</f>
        <v>0.296207935710698</v>
      </c>
      <c r="I3206" s="7" t="n">
        <f aca="false">Sens!$E$3206+dm_seg</f>
        <v>0.296207935710698</v>
      </c>
      <c r="J3206" s="7" t="n">
        <f aca="false">Sens!$E$3206+dm_seg</f>
        <v>0.296207935710698</v>
      </c>
      <c r="K3206" s="7" t="n">
        <f aca="false">Sens!$E$3206+dm_seg</f>
        <v>0.296207935710698</v>
      </c>
      <c r="L3206" s="11" t="s">
        <v>902</v>
      </c>
    </row>
    <row r="3207" customFormat="false" ht="17.15" hidden="false" customHeight="false" outlineLevel="0" collapsed="false">
      <c r="A3207" s="0" t="s">
        <v>734</v>
      </c>
      <c r="B3207" s="0" t="s">
        <v>98</v>
      </c>
      <c r="D3207" s="6" t="n">
        <f aca="false">Q!L22</f>
        <v>17.714</v>
      </c>
      <c r="E3207" s="6" t="n">
        <f aca="false">Q!M22</f>
        <v>18.872</v>
      </c>
      <c r="F3207" s="6" t="n">
        <f aca="false">Sens!F3182*Sens!F3206</f>
        <v>19.2954518910651</v>
      </c>
      <c r="G3207" s="6" t="n">
        <f aca="false">Sens!G3182*Sens!G3206</f>
        <v>19.8830646387704</v>
      </c>
      <c r="H3207" s="6" t="n">
        <f aca="false">Sens!H3182*Sens!H3206</f>
        <v>20.6092017868026</v>
      </c>
      <c r="I3207" s="6" t="n">
        <f aca="false">Sens!I3182*Sens!I3206</f>
        <v>21.452361761678</v>
      </c>
      <c r="J3207" s="6" t="n">
        <f aca="false">Sens!J3182*Sens!J3206</f>
        <v>22.3946261183418</v>
      </c>
      <c r="K3207" s="6" t="n">
        <f aca="false">Sens!K3182*Sens!K3206</f>
        <v>23.4215879274986</v>
      </c>
    </row>
    <row r="3208" customFormat="false" ht="15" hidden="false" customHeight="false" outlineLevel="0" collapsed="false">
      <c r="A3208" s="1" t="s">
        <v>903</v>
      </c>
      <c r="B3208" s="0" t="s">
        <v>98</v>
      </c>
      <c r="D3208" s="6" t="n">
        <f aca="false">Sens!D3205+Sens!D3207</f>
        <v>128.528</v>
      </c>
      <c r="E3208" s="6" t="n">
        <f aca="false">Sens!E3205+Sens!E3207</f>
        <v>155.237</v>
      </c>
      <c r="F3208" s="6" t="n">
        <f aca="false">Sens!F3205+Sens!F3207</f>
        <v>166.421945359576</v>
      </c>
      <c r="G3208" s="6" t="n">
        <f aca="false">Sens!G3205+Sens!G3207</f>
        <v>177.896635581096</v>
      </c>
      <c r="H3208" s="6" t="n">
        <f aca="false">Sens!H3205+Sens!H3207</f>
        <v>200.610633324459</v>
      </c>
      <c r="I3208" s="6" t="n">
        <f aca="false">Sens!I3205+Sens!I3207</f>
        <v>223.382476336163</v>
      </c>
      <c r="J3208" s="6" t="n">
        <f aca="false">Sens!J3205+Sens!J3207</f>
        <v>243.812267670392</v>
      </c>
      <c r="K3208" s="6" t="n">
        <f aca="false">Sens!K3205+Sens!K3207</f>
        <v>262.852533553505</v>
      </c>
    </row>
    <row r="3209" customFormat="false" ht="15" hidden="false" customHeight="false" outlineLevel="0" collapsed="false">
      <c r="A3209" s="23" t="s">
        <v>904</v>
      </c>
      <c r="B3209" s="30" t="s">
        <v>98</v>
      </c>
      <c r="C3209" s="30"/>
      <c r="D3209" s="24" t="n">
        <f aca="false">Sens!D3208-Q!L23</f>
        <v>0</v>
      </c>
      <c r="E3209" s="24" t="n">
        <f aca="false">Sens!E3208-Q!M23</f>
        <v>0</v>
      </c>
      <c r="F3209" s="30"/>
      <c r="G3209" s="30"/>
      <c r="H3209" s="30"/>
      <c r="I3209" s="30"/>
      <c r="J3209" s="30"/>
      <c r="K3209" s="30"/>
    </row>
    <row r="3210" customFormat="false" ht="15" hidden="false" customHeight="false" outlineLevel="0" collapsed="false">
      <c r="A3210" s="1" t="s">
        <v>905</v>
      </c>
      <c r="B3210" s="0" t="s">
        <v>129</v>
      </c>
      <c r="D3210" s="7" t="n">
        <f aca="false">Sens!D3208/Sens!D3201</f>
        <v>0.456219562408598</v>
      </c>
      <c r="E3210" s="7" t="n">
        <f aca="false">Sens!E3208/Sens!E3201</f>
        <v>0.467808184089272</v>
      </c>
      <c r="F3210" s="7" t="n">
        <f aca="false">Sens!F3208/Sens!F3201</f>
        <v>0.430942532251182</v>
      </c>
      <c r="G3210" s="7" t="n">
        <f aca="false">Sens!G3208/Sens!G3201</f>
        <v>0.408748948915382</v>
      </c>
      <c r="H3210" s="7" t="n">
        <f aca="false">Sens!H3208/Sens!H3201</f>
        <v>0.417665026257282</v>
      </c>
      <c r="I3210" s="7" t="n">
        <f aca="false">Sens!I3208/Sens!I3201</f>
        <v>0.428013152743397</v>
      </c>
      <c r="J3210" s="7" t="n">
        <f aca="false">Sens!J3208/Sens!J3201</f>
        <v>0.434715005493795</v>
      </c>
      <c r="K3210" s="7" t="n">
        <f aca="false">Sens!K3208/Sens!K3201</f>
        <v>0.439121428071181</v>
      </c>
    </row>
    <row r="3211" customFormat="false" ht="17.15" hidden="false" customHeight="false" outlineLevel="0" collapsed="false">
      <c r="A3211" s="1" t="s">
        <v>906</v>
      </c>
      <c r="B3211" s="0" t="s">
        <v>98</v>
      </c>
      <c r="F3211" s="6" t="n">
        <f aca="false">Sens!F3226</f>
        <v>12.59793080825</v>
      </c>
      <c r="G3211" s="6" t="n">
        <f aca="false">Sens!G3226</f>
        <v>12.727555454363</v>
      </c>
      <c r="H3211" s="6" t="n">
        <f aca="false">Sens!H3226</f>
        <v>10.9522877081578</v>
      </c>
      <c r="I3211" s="6" t="n">
        <f aca="false">Sens!I3226</f>
        <v>9.02320056297331</v>
      </c>
      <c r="J3211" s="6" t="n">
        <f aca="false">Sens!J3226</f>
        <v>8.27719277766129</v>
      </c>
      <c r="K3211" s="6" t="n">
        <f aca="false">Sens!K3226</f>
        <v>8.48498352632993</v>
      </c>
      <c r="L3211" s="1" t="s">
        <v>907</v>
      </c>
    </row>
    <row r="3212" customFormat="false" ht="17.15" hidden="false" customHeight="false" outlineLevel="0" collapsed="false">
      <c r="A3212" s="1" t="s">
        <v>908</v>
      </c>
      <c r="B3212" s="0" t="s">
        <v>98</v>
      </c>
      <c r="D3212" s="6" t="n">
        <f aca="false">Sens!D3208</f>
        <v>128.528</v>
      </c>
      <c r="E3212" s="6" t="n">
        <f aca="false">Sens!E3208</f>
        <v>155.237</v>
      </c>
      <c r="F3212" s="6" t="n">
        <f aca="false">Sens!F3208+Sens!F3211</f>
        <v>179.019876167826</v>
      </c>
      <c r="G3212" s="6" t="n">
        <f aca="false">Sens!G3208+Sens!G3211</f>
        <v>190.624191035459</v>
      </c>
      <c r="H3212" s="6" t="n">
        <f aca="false">Sens!H3208+Sens!H3211</f>
        <v>211.562921032616</v>
      </c>
      <c r="I3212" s="6" t="n">
        <f aca="false">Sens!I3208+Sens!I3211</f>
        <v>232.405676899136</v>
      </c>
      <c r="J3212" s="6" t="n">
        <f aca="false">Sens!J3208+Sens!J3211</f>
        <v>252.089460448053</v>
      </c>
      <c r="K3212" s="6" t="n">
        <f aca="false">Sens!K3208+Sens!K3211</f>
        <v>271.337517079835</v>
      </c>
    </row>
    <row r="3213" customFormat="false" ht="17.15" hidden="false" customHeight="false" outlineLevel="0" collapsed="false">
      <c r="A3213" s="1" t="s">
        <v>909</v>
      </c>
      <c r="B3213" s="0" t="s">
        <v>98</v>
      </c>
      <c r="E3213" s="6" t="n">
        <f aca="false">Sens!E3156</f>
        <v>16.3054059770833</v>
      </c>
      <c r="F3213" s="6" t="n">
        <f aca="false">Sens!F3156</f>
        <v>36.1279426892031</v>
      </c>
      <c r="G3213" s="6" t="n">
        <f aca="false">Sens!G3156</f>
        <v>52.4342101714063</v>
      </c>
      <c r="H3213" s="6" t="n">
        <f aca="false">Sens!H3156</f>
        <v>55.0169095894063</v>
      </c>
      <c r="I3213" s="6" t="n">
        <f aca="false">Sens!I3156</f>
        <v>55.6606838189896</v>
      </c>
      <c r="J3213" s="6" t="n">
        <f aca="false">Sens!J3156</f>
        <v>57.2766885177396</v>
      </c>
      <c r="K3213" s="6" t="n">
        <f aca="false">Sens!K3156</f>
        <v>60.1802416756563</v>
      </c>
    </row>
    <row r="3214" customFormat="false" ht="17.15" hidden="false" customHeight="false" outlineLevel="0" collapsed="false">
      <c r="A3214" s="1" t="s">
        <v>910</v>
      </c>
      <c r="B3214" s="0" t="s">
        <v>98</v>
      </c>
      <c r="E3214" s="6" t="n">
        <f aca="false">Sens!E3238</f>
        <v>22.2285940229167</v>
      </c>
      <c r="F3214" s="6" t="n">
        <f aca="false">Sens!F3238</f>
        <v>23.5636693435813</v>
      </c>
      <c r="G3214" s="6" t="n">
        <f aca="false">Sens!G3238</f>
        <v>25.3225917662621</v>
      </c>
      <c r="H3214" s="6" t="n">
        <f aca="false">Sens!H3238</f>
        <v>27.4714839540448</v>
      </c>
      <c r="I3214" s="6" t="n">
        <f aca="false">Sens!I3238</f>
        <v>29.9441755898047</v>
      </c>
      <c r="J3214" s="6" t="n">
        <f aca="false">Sens!J3238</f>
        <v>32.6578493558616</v>
      </c>
      <c r="K3214" s="6" t="n">
        <f aca="false">Sens!K3238</f>
        <v>35.5289346944749</v>
      </c>
    </row>
    <row r="3215" customFormat="false" ht="17.15" hidden="false" customHeight="false" outlineLevel="0" collapsed="false">
      <c r="A3215" s="1" t="s">
        <v>911</v>
      </c>
      <c r="B3215" s="0" t="s">
        <v>98</v>
      </c>
      <c r="D3215" s="6" t="n">
        <f aca="false">Q!L27</f>
        <v>-4.901</v>
      </c>
      <c r="E3215" s="6" t="n">
        <f aca="false">Q!M27</f>
        <v>10.697</v>
      </c>
      <c r="F3215" s="6" t="n">
        <f aca="false">oie_f</f>
        <v>-0.4</v>
      </c>
      <c r="G3215" s="6" t="n">
        <f aca="false">oie_f</f>
        <v>-0.4</v>
      </c>
      <c r="H3215" s="6" t="n">
        <f aca="false">oie_f</f>
        <v>-0.4</v>
      </c>
      <c r="I3215" s="6" t="n">
        <f aca="false">oie_f</f>
        <v>-0.4</v>
      </c>
      <c r="J3215" s="6" t="n">
        <f aca="false">oie_f</f>
        <v>-0.4</v>
      </c>
      <c r="K3215" s="6" t="n">
        <f aca="false">oie_f</f>
        <v>-0.4</v>
      </c>
      <c r="L3215" s="11" t="s">
        <v>912</v>
      </c>
    </row>
    <row r="3216" customFormat="false" ht="15" hidden="false" customHeight="false" outlineLevel="0" collapsed="false">
      <c r="A3216" s="1" t="s">
        <v>913</v>
      </c>
      <c r="B3216" s="0" t="s">
        <v>98</v>
      </c>
      <c r="D3216" s="6" t="n">
        <f aca="false">Sens!D3208+Sens!D3215</f>
        <v>123.627</v>
      </c>
      <c r="E3216" s="6" t="n">
        <f aca="false">Sens!E3208+Sens!E3215</f>
        <v>165.934</v>
      </c>
      <c r="F3216" s="6" t="n">
        <f aca="false">Sens!F3208+Sens!F3215</f>
        <v>166.021945359576</v>
      </c>
      <c r="G3216" s="6" t="n">
        <f aca="false">Sens!G3208+Sens!G3215</f>
        <v>177.496635581096</v>
      </c>
      <c r="H3216" s="6" t="n">
        <f aca="false">Sens!H3208+Sens!H3215</f>
        <v>200.210633324459</v>
      </c>
      <c r="I3216" s="6" t="n">
        <f aca="false">Sens!I3208+Sens!I3215</f>
        <v>222.982476336163</v>
      </c>
      <c r="J3216" s="6" t="n">
        <f aca="false">Sens!J3208+Sens!J3215</f>
        <v>243.412267670392</v>
      </c>
      <c r="K3216" s="6" t="n">
        <f aca="false">Sens!K3208+Sens!K3215</f>
        <v>262.452533553506</v>
      </c>
    </row>
    <row r="3217" customFormat="false" ht="15" hidden="false" customHeight="false" outlineLevel="0" collapsed="false">
      <c r="A3217" s="1" t="s">
        <v>914</v>
      </c>
      <c r="B3217" s="0" t="s">
        <v>98</v>
      </c>
      <c r="D3217" s="6" t="n">
        <f aca="false">Q!L29</f>
        <v>21.795</v>
      </c>
      <c r="E3217" s="6" t="n">
        <f aca="false">Q!M29</f>
        <v>32.185</v>
      </c>
      <c r="F3217" s="6" t="n">
        <f aca="false">Sens!F3216*tax_f</f>
        <v>33.2043890719152</v>
      </c>
      <c r="G3217" s="6" t="n">
        <f aca="false">Sens!G3216*tax_f</f>
        <v>35.4993271162192</v>
      </c>
      <c r="H3217" s="6" t="n">
        <f aca="false">Sens!H3216*tax_f</f>
        <v>40.0421266648917</v>
      </c>
      <c r="I3217" s="6" t="n">
        <f aca="false">Sens!I3216*tax_f</f>
        <v>44.5964952672326</v>
      </c>
      <c r="J3217" s="6" t="n">
        <f aca="false">Sens!J3216*tax_f</f>
        <v>48.6824535340784</v>
      </c>
      <c r="K3217" s="6" t="n">
        <f aca="false">Sens!K3216*tax_f</f>
        <v>52.4905067107011</v>
      </c>
    </row>
    <row r="3218" customFormat="false" ht="15" hidden="false" customHeight="false" outlineLevel="0" collapsed="false">
      <c r="A3218" s="1" t="s">
        <v>915</v>
      </c>
      <c r="B3218" s="0" t="s">
        <v>98</v>
      </c>
      <c r="D3218" s="6" t="n">
        <f aca="false">Sens!D3216-Sens!D3217</f>
        <v>101.832</v>
      </c>
      <c r="E3218" s="6" t="n">
        <f aca="false">Sens!E3216-Sens!E3217</f>
        <v>133.749</v>
      </c>
      <c r="F3218" s="6" t="n">
        <f aca="false">Sens!F3216-Sens!F3217</f>
        <v>132.817556287661</v>
      </c>
      <c r="G3218" s="6" t="n">
        <f aca="false">Sens!G3216-Sens!G3217</f>
        <v>141.997308464877</v>
      </c>
      <c r="H3218" s="6" t="n">
        <f aca="false">Sens!H3216-Sens!H3217</f>
        <v>160.168506659567</v>
      </c>
      <c r="I3218" s="6" t="n">
        <f aca="false">Sens!I3216-Sens!I3217</f>
        <v>178.38598106893</v>
      </c>
      <c r="J3218" s="6" t="n">
        <f aca="false">Sens!J3216-Sens!J3217</f>
        <v>194.729814136313</v>
      </c>
      <c r="K3218" s="6" t="n">
        <f aca="false">Sens!K3216-Sens!K3217</f>
        <v>209.962026842804</v>
      </c>
    </row>
    <row r="3219" customFormat="false" ht="17.15" hidden="false" customHeight="false" outlineLevel="0" collapsed="false">
      <c r="A3219" s="1" t="s">
        <v>916</v>
      </c>
      <c r="B3219" s="1" t="s">
        <v>81</v>
      </c>
      <c r="D3219" s="14" t="n">
        <f aca="false">Q!L31</f>
        <v>7.465</v>
      </c>
      <c r="E3219" s="14" t="n">
        <f aca="false">Q!M31</f>
        <v>7.453</v>
      </c>
      <c r="F3219" s="14" t="n">
        <f aca="false">Sens!F3260</f>
        <v>7.4735</v>
      </c>
      <c r="G3219" s="14" t="n">
        <f aca="false">Sens!G3260</f>
        <v>7.49987171271795</v>
      </c>
      <c r="H3219" s="14" t="n">
        <f aca="false">Sens!H3260</f>
        <v>7.50899501128585</v>
      </c>
      <c r="I3219" s="14" t="n">
        <f aca="false">Sens!I3260</f>
        <v>7.52077584329316</v>
      </c>
      <c r="J3219" s="14" t="n">
        <f aca="false">Sens!J3260</f>
        <v>7.53501735441104</v>
      </c>
      <c r="K3219" s="14" t="n">
        <f aca="false">Sens!K3260</f>
        <v>7.55153727211278</v>
      </c>
    </row>
    <row r="3220" customFormat="false" ht="17.15" hidden="false" customHeight="false" outlineLevel="0" collapsed="false">
      <c r="A3220" s="0" t="s">
        <v>917</v>
      </c>
      <c r="B3220" s="0" t="s">
        <v>75</v>
      </c>
      <c r="D3220" s="8" t="n">
        <f aca="false">Sens!D3218/Sens!D3219</f>
        <v>13.641259209645</v>
      </c>
      <c r="E3220" s="8" t="n">
        <f aca="false">Sens!E3218/Sens!E3219</f>
        <v>17.9456594659869</v>
      </c>
      <c r="F3220" s="8" t="n">
        <f aca="false">Sens!F3218/Sens!F3219</f>
        <v>17.771801202604</v>
      </c>
      <c r="G3220" s="8" t="n">
        <f aca="false">Sens!G3218/Sens!G3219</f>
        <v>18.933298315501</v>
      </c>
      <c r="H3220" s="8" t="n">
        <f aca="false">Sens!H3218/Sens!H3219</f>
        <v>21.3302188134148</v>
      </c>
      <c r="I3220" s="8" t="n">
        <f aca="false">Sens!I3218/Sens!I3219</f>
        <v>23.7190929215116</v>
      </c>
      <c r="J3220" s="8" t="n">
        <f aca="false">Sens!J3218/Sens!J3219</f>
        <v>25.8433132900905</v>
      </c>
      <c r="K3220" s="8" t="n">
        <f aca="false">Sens!K3218/Sens!K3219</f>
        <v>27.8038787702442</v>
      </c>
      <c r="L3220" s="1" t="s">
        <v>918</v>
      </c>
    </row>
    <row r="3221" customFormat="false" ht="17.15" hidden="false" customHeight="false" outlineLevel="0" collapsed="false">
      <c r="A3221" s="1" t="s">
        <v>919</v>
      </c>
      <c r="B3221" s="0" t="s">
        <v>98</v>
      </c>
      <c r="D3221" s="6" t="n">
        <f aca="false">Sens!D3218</f>
        <v>101.832</v>
      </c>
      <c r="E3221" s="6" t="n">
        <f aca="false">Sens!E3218</f>
        <v>133.749</v>
      </c>
      <c r="F3221" s="6" t="n">
        <f aca="false">Sens!F3218+Sens!F3211*(1-tax_f)</f>
        <v>142.895900934261</v>
      </c>
      <c r="G3221" s="6" t="n">
        <f aca="false">Sens!G3218+Sens!G3211*(1-tax_f)</f>
        <v>152.179352828367</v>
      </c>
      <c r="H3221" s="6" t="n">
        <f aca="false">Sens!H3218+Sens!H3211*(1-tax_f)</f>
        <v>168.930336826093</v>
      </c>
      <c r="I3221" s="6" t="n">
        <f aca="false">Sens!I3218+Sens!I3211*(1-tax_f)</f>
        <v>185.604541519309</v>
      </c>
      <c r="J3221" s="6" t="n">
        <f aca="false">Sens!J3218+Sens!J3211*(1-tax_f)</f>
        <v>201.351568358442</v>
      </c>
      <c r="K3221" s="6" t="n">
        <f aca="false">Sens!K3218+Sens!K3211*(1-tax_f)</f>
        <v>216.750013663868</v>
      </c>
    </row>
    <row r="3222" customFormat="false" ht="17.15" hidden="false" customHeight="false" outlineLevel="0" collapsed="false">
      <c r="A3222" s="0" t="s">
        <v>920</v>
      </c>
      <c r="B3222" s="0" t="s">
        <v>75</v>
      </c>
      <c r="D3222" s="8" t="n">
        <f aca="false">Sens!D3221/Sens!D3219</f>
        <v>13.641259209645</v>
      </c>
      <c r="E3222" s="8" t="n">
        <f aca="false">Sens!E3221/Sens!E3219</f>
        <v>17.9456594659869</v>
      </c>
      <c r="F3222" s="8" t="n">
        <f aca="false">Sens!F3221/Sens!F3219</f>
        <v>19.1203453447864</v>
      </c>
      <c r="G3222" s="8" t="n">
        <f aca="false">Sens!G3221/Sens!G3219</f>
        <v>20.29092745284</v>
      </c>
      <c r="H3222" s="8" t="n">
        <f aca="false">Sens!H3221/Sens!H3219</f>
        <v>22.497063398257</v>
      </c>
      <c r="I3222" s="8" t="n">
        <f aca="false">Sens!I3221/Sens!I3219</f>
        <v>24.6789088501855</v>
      </c>
      <c r="J3222" s="8" t="n">
        <f aca="false">Sens!J3221/Sens!J3219</f>
        <v>26.7221107646912</v>
      </c>
      <c r="K3222" s="8" t="n">
        <f aca="false">Sens!K3221/Sens!K3219</f>
        <v>28.7027668477925</v>
      </c>
      <c r="L3222" s="1" t="s">
        <v>921</v>
      </c>
    </row>
    <row r="3223" customFormat="false" ht="17.15" hidden="false" customHeight="false" outlineLevel="0" collapsed="false">
      <c r="A3223" s="0" t="s">
        <v>922</v>
      </c>
      <c r="B3223" s="0" t="s">
        <v>129</v>
      </c>
      <c r="E3223" s="7" t="n">
        <f aca="false">Sens!E3222/Sens!D3222-1</f>
        <v>0.315542736208578</v>
      </c>
      <c r="F3223" s="7" t="n">
        <f aca="false">Sens!F3222/Sens!E3222-1</f>
        <v>0.0654579387860304</v>
      </c>
      <c r="G3223" s="7" t="n">
        <f aca="false">Sens!G3222/Sens!F3222-1</f>
        <v>0.0612218078149338</v>
      </c>
      <c r="H3223" s="7" t="n">
        <f aca="false">Sens!H3222/Sens!G3222-1</f>
        <v>0.108725239422615</v>
      </c>
      <c r="I3223" s="7" t="n">
        <f aca="false">Sens!I3222/Sens!H3222-1</f>
        <v>0.0969835668462216</v>
      </c>
      <c r="J3223" s="7" t="n">
        <f aca="false">Sens!J3222/Sens!I3222-1</f>
        <v>0.0827914202734428</v>
      </c>
      <c r="K3223" s="7" t="n">
        <f aca="false">Sens!K3222/Sens!J3222-1</f>
        <v>0.0741204952162085</v>
      </c>
    </row>
    <row r="3224" customFormat="false" ht="17.15" hidden="false" customHeight="false" outlineLevel="0" collapsed="false">
      <c r="A3224" s="0" t="s">
        <v>846</v>
      </c>
      <c r="B3224" s="0" t="s">
        <v>98</v>
      </c>
      <c r="E3224" s="6" t="n">
        <f aca="false">Sens!E3165</f>
        <v>5.25</v>
      </c>
      <c r="F3224" s="6" t="n">
        <f aca="false">Sens!F3165</f>
        <v>12</v>
      </c>
      <c r="G3224" s="6" t="n">
        <f aca="false">Sens!G3165</f>
        <v>18</v>
      </c>
      <c r="H3224" s="6" t="n">
        <f aca="false">Sens!H3165</f>
        <v>24</v>
      </c>
      <c r="I3224" s="6" t="n">
        <f aca="false">Sens!I3165</f>
        <v>28.5</v>
      </c>
      <c r="J3224" s="6" t="n">
        <f aca="false">Sens!J3165</f>
        <v>31.5</v>
      </c>
      <c r="K3224" s="6" t="n">
        <f aca="false">Sens!K3165</f>
        <v>34.5</v>
      </c>
    </row>
    <row r="3225" customFormat="false" ht="17.15" hidden="false" customHeight="false" outlineLevel="0" collapsed="false">
      <c r="A3225" s="1" t="s">
        <v>847</v>
      </c>
      <c r="B3225" s="0" t="s">
        <v>98</v>
      </c>
      <c r="F3225" s="6" t="n">
        <f aca="false">MAX(0,(Sens!E3128+Sens!F3128)/2*Sens!F3136/1000-Sens!F3224*Sens!F3204)</f>
        <v>12.59793080825</v>
      </c>
      <c r="G3225" s="6" t="n">
        <f aca="false">MAX(0,(Sens!F3128+Sens!G3128)/2*Sens!G3136/1000-Sens!G3224*Sens!G3204)</f>
        <v>12.727555454363</v>
      </c>
      <c r="H3225" s="6" t="n">
        <f aca="false">MAX(0,(Sens!G3128+Sens!H3128)/2*Sens!H3136/1000-Sens!H3224*Sens!H3204)</f>
        <v>10.9522877081578</v>
      </c>
      <c r="I3225" s="6" t="n">
        <f aca="false">MAX(0,(Sens!H3128+Sens!I3128)/2*Sens!I3136/1000-Sens!I3224*Sens!I3204)</f>
        <v>9.02320056297331</v>
      </c>
      <c r="J3225" s="6" t="n">
        <f aca="false">MAX(0,(Sens!I3128+Sens!J3128)/2*Sens!J3136/1000-Sens!J3224*Sens!J3204)</f>
        <v>8.27719277766129</v>
      </c>
      <c r="K3225" s="6" t="n">
        <f aca="false">MAX(0,(Sens!J3128+Sens!K3128)/2*Sens!K3136/1000-Sens!K3224*Sens!K3204)</f>
        <v>8.48498352632993</v>
      </c>
      <c r="L3225" s="1" t="s">
        <v>848</v>
      </c>
    </row>
    <row r="3226" customFormat="false" ht="17.15" hidden="false" customHeight="false" outlineLevel="0" collapsed="false">
      <c r="A3226" s="1" t="s">
        <v>849</v>
      </c>
      <c r="B3226" s="0" t="s">
        <v>98</v>
      </c>
      <c r="F3226" s="6" t="n">
        <f aca="false">IF(internal_ai_reading=2,1,0)*Sens!F3225</f>
        <v>12.59793080825</v>
      </c>
      <c r="G3226" s="6" t="n">
        <f aca="false">IF(internal_ai_reading=2,1,0)*Sens!G3225</f>
        <v>12.727555454363</v>
      </c>
      <c r="H3226" s="6" t="n">
        <f aca="false">IF(internal_ai_reading=2,1,0)*Sens!H3225</f>
        <v>10.9522877081578</v>
      </c>
      <c r="I3226" s="6" t="n">
        <f aca="false">IF(internal_ai_reading=2,1,0)*Sens!I3225</f>
        <v>9.02320056297331</v>
      </c>
      <c r="J3226" s="6" t="n">
        <f aca="false">IF(internal_ai_reading=2,1,0)*Sens!J3225</f>
        <v>8.27719277766129</v>
      </c>
      <c r="K3226" s="6" t="n">
        <f aca="false">IF(internal_ai_reading=2,1,0)*Sens!K3225</f>
        <v>8.48498352632993</v>
      </c>
    </row>
    <row r="3227" customFormat="false" ht="17.15" hidden="false" customHeight="false" outlineLevel="0" collapsed="false">
      <c r="A3227" s="0" t="s">
        <v>850</v>
      </c>
      <c r="B3227" s="0" t="s">
        <v>98</v>
      </c>
      <c r="F3227" s="6" t="n">
        <f aca="false">Sens!F3145+Sens!F3224*Sens!F3204+Sens!F3226-Sens!F3146-Sens!F3156</f>
        <v>7.163751309669</v>
      </c>
      <c r="G3227" s="6" t="n">
        <f aca="false">Sens!G3145+Sens!G3224*Sens!G3204+Sens!G3226-Sens!G3146-Sens!G3156</f>
        <v>-0.900975530847127</v>
      </c>
      <c r="H3227" s="6" t="n">
        <f aca="false">Sens!H3145+Sens!H3224*Sens!H3204+Sens!H3226-Sens!H3146-Sens!H3156</f>
        <v>0.0480395669765414</v>
      </c>
      <c r="I3227" s="6" t="n">
        <f aca="false">Sens!I3145+Sens!I3224*Sens!I3204+Sens!I3226-Sens!I3146-Sens!I3156</f>
        <v>1.27205006327926</v>
      </c>
      <c r="J3227" s="6" t="n">
        <f aca="false">Sens!J3145+Sens!J3224*Sens!J3204+Sens!J3226-Sens!J3146-Sens!J3156</f>
        <v>2.47678148117354</v>
      </c>
      <c r="K3227" s="6" t="n">
        <f aca="false">Sens!K3145+Sens!K3224*Sens!K3204+Sens!K3226-Sens!K3146-Sens!K3156</f>
        <v>5.17658250091505</v>
      </c>
    </row>
    <row r="3228" customFormat="false" ht="17.15" hidden="false" customHeight="false" outlineLevel="0" collapsed="false">
      <c r="A3228" s="0" t="s">
        <v>851</v>
      </c>
      <c r="B3228" s="0" t="s">
        <v>98</v>
      </c>
      <c r="E3228" s="6" t="n">
        <f aca="false">Sens!E3127*(cxit_open+self_build*tk_cxfac)/1000*ai_net_open</f>
        <v>126.6980382</v>
      </c>
      <c r="F3228" s="6" t="n">
        <f aca="false">Sens!E3228+Sens!F3153-Sens!F3156</f>
        <v>259.190748281234</v>
      </c>
      <c r="G3228" s="6" t="n">
        <f aca="false">Sens!F3228+Sens!G3153-Sens!G3156</f>
        <v>242.059265125828</v>
      </c>
      <c r="H3228" s="6" t="n">
        <f aca="false">Sens!G3228+Sens!H3153-Sens!H3156</f>
        <v>187.042355536422</v>
      </c>
      <c r="I3228" s="6" t="n">
        <f aca="false">Sens!H3228+Sens!I3153-Sens!I3156</f>
        <v>161.640347064099</v>
      </c>
      <c r="J3228" s="6" t="n">
        <f aca="false">Sens!I3228+Sens!J3153-Sens!J3156</f>
        <v>150.060433559693</v>
      </c>
      <c r="K3228" s="6" t="n">
        <f aca="false">Sens!J3228+Sens!K3153-Sens!K3156</f>
        <v>180.656217924036</v>
      </c>
      <c r="L3228" s="1" t="s">
        <v>852</v>
      </c>
    </row>
    <row r="3229" customFormat="false" ht="17.15" hidden="false" customHeight="false" outlineLevel="0" collapsed="false">
      <c r="A3229" s="0" t="s">
        <v>853</v>
      </c>
      <c r="B3229" s="0" t="s">
        <v>129</v>
      </c>
      <c r="F3229" s="7" t="n">
        <f aca="false">Sens!F3227*(1-tax_f)/((Sens!E3228+Sens!F3228)/2)</f>
        <v>0.0297028638742987</v>
      </c>
      <c r="G3229" s="7" t="n">
        <f aca="false">Sens!G3227*(1-tax_f)/((Sens!F3228+Sens!G3228)/2)</f>
        <v>-0.00287593179211493</v>
      </c>
      <c r="H3229" s="7" t="n">
        <f aca="false">Sens!H3227*(1-tax_f)/((Sens!G3228+Sens!H3228)/2)</f>
        <v>0.00017912611712778</v>
      </c>
      <c r="I3229" s="7" t="n">
        <f aca="false">Sens!I3227*(1-tax_f)/((Sens!H3228+Sens!I3228)/2)</f>
        <v>0.00583705496735981</v>
      </c>
      <c r="J3229" s="7" t="n">
        <f aca="false">Sens!J3227*(1-tax_f)/((Sens!I3228+Sens!J3228)/2)</f>
        <v>0.0127136363340092</v>
      </c>
      <c r="K3229" s="7" t="n">
        <f aca="false">Sens!K3227*(1-tax_f)/((Sens!J3228+Sens!K3228)/2)</f>
        <v>0.0250441940685638</v>
      </c>
    </row>
    <row r="3230" customFormat="false" ht="17.15" hidden="false" customHeight="false" outlineLevel="0" collapsed="false">
      <c r="A3230" s="1" t="s">
        <v>854</v>
      </c>
      <c r="B3230" s="0" t="s">
        <v>129</v>
      </c>
      <c r="F3230" s="7" t="n">
        <f aca="false">(Sens!F3227-Sens!F3226)*(1-tax_f)/((Sens!E3228+Sens!F3228)/2)</f>
        <v>-0.0225315881215749</v>
      </c>
      <c r="G3230" s="7" t="n">
        <f aca="false">(Sens!G3227-Sens!G3226)*(1-tax_f)/((Sens!F3228+Sens!G3228)/2)</f>
        <v>-0.0435025416321094</v>
      </c>
      <c r="H3230" s="7" t="n">
        <f aca="false">(Sens!H3227-Sens!H3226)*(1-tax_f)/((Sens!G3228+Sens!H3228)/2)</f>
        <v>-0.0406588933385142</v>
      </c>
      <c r="I3230" s="7" t="n">
        <f aca="false">(Sens!I3227-Sens!I3226)*(1-tax_f)/((Sens!H3228+Sens!I3228)/2)</f>
        <v>-0.0355676972416926</v>
      </c>
      <c r="J3230" s="7" t="n">
        <f aca="false">(Sens!J3227-Sens!J3226)*(1-tax_f)/((Sens!I3228+Sens!J3228)/2)</f>
        <v>-0.029774253551138</v>
      </c>
      <c r="K3230" s="7" t="n">
        <f aca="false">(Sens!K3227-Sens!K3226)*(1-tax_f)/((Sens!J3228+Sens!K3228)/2)</f>
        <v>-0.0160059725354477</v>
      </c>
    </row>
    <row r="3231" customFormat="false" ht="17.15" hidden="false" customHeight="false" outlineLevel="0" collapsed="false">
      <c r="A3231" s="1" t="s">
        <v>855</v>
      </c>
      <c r="B3231" s="0" t="s">
        <v>129</v>
      </c>
      <c r="F3231" s="7" t="n">
        <f aca="false">(Sens!F3227-Sens!F3226+Sens!F3225)*(1-tax_f)/((Sens!E3228+Sens!F3228)/2)</f>
        <v>0.0297028638742987</v>
      </c>
      <c r="G3231" s="7" t="n">
        <f aca="false">(Sens!G3227-Sens!G3226+Sens!G3225)*(1-tax_f)/((Sens!F3228+Sens!G3228)/2)</f>
        <v>-0.00287593179211493</v>
      </c>
      <c r="H3231" s="7" t="n">
        <f aca="false">(Sens!H3227-Sens!H3226+Sens!H3225)*(1-tax_f)/((Sens!G3228+Sens!H3228)/2)</f>
        <v>0.00017912611712778</v>
      </c>
      <c r="I3231" s="7" t="n">
        <f aca="false">(Sens!I3227-Sens!I3226+Sens!I3225)*(1-tax_f)/((Sens!H3228+Sens!I3228)/2)</f>
        <v>0.00583705496735981</v>
      </c>
      <c r="J3231" s="7" t="n">
        <f aca="false">(Sens!J3227-Sens!J3226+Sens!J3225)*(1-tax_f)/((Sens!I3228+Sens!J3228)/2)</f>
        <v>0.0127136363340092</v>
      </c>
      <c r="K3231" s="7" t="n">
        <f aca="false">(Sens!K3227-Sens!K3226+Sens!K3225)*(1-tax_f)/((Sens!J3228+Sens!K3228)/2)</f>
        <v>0.0250441940685638</v>
      </c>
    </row>
    <row r="3232" customFormat="false" ht="17.15" hidden="false" customHeight="false" outlineLevel="0" collapsed="false">
      <c r="A3232" s="1" t="s">
        <v>856</v>
      </c>
      <c r="B3232" s="0" t="s">
        <v>129</v>
      </c>
      <c r="F3232" s="7" t="n">
        <f aca="false">Sens!F3157*(1-tax_f)/(Sens!F3144*(Sens!E3228+Sens!F3228)/2)</f>
        <v>0.0486621053463017</v>
      </c>
      <c r="G3232" s="7" t="n">
        <f aca="false">Sens!G3157*(1-tax_f)/(Sens!G3144*(Sens!F3228+Sens!G3228)/2)</f>
        <v>0.0146743924318975</v>
      </c>
      <c r="H3232" s="7" t="n">
        <f aca="false">Sens!H3157*(1-tax_f)/(Sens!H3144*(Sens!G3228+Sens!H3228)/2)</f>
        <v>0.0217397048435752</v>
      </c>
      <c r="I3232" s="7" t="n">
        <f aca="false">Sens!I3157*(1-tax_f)/(Sens!I3144*(Sens!H3228+Sens!I3228)/2)</f>
        <v>0.0335931516750521</v>
      </c>
      <c r="J3232" s="7" t="n">
        <f aca="false">Sens!J3157*(1-tax_f)/(Sens!J3144*(Sens!I3228+Sens!J3228)/2)</f>
        <v>0.0458287573058562</v>
      </c>
      <c r="K3232" s="7" t="n">
        <f aca="false">Sens!K3157*(1-tax_f)/(Sens!K3144*(Sens!J3228+Sens!K3228)/2)</f>
        <v>0.0601231162352078</v>
      </c>
    </row>
    <row r="3233" customFormat="false" ht="17.15" hidden="false" customHeight="false" outlineLevel="0" collapsed="false">
      <c r="A3233" s="0" t="s">
        <v>857</v>
      </c>
      <c r="B3233" s="0" t="s">
        <v>209</v>
      </c>
      <c r="F3233" s="7" t="n">
        <f aca="false">Sens!F3229-wacc</f>
        <v>-0.0732315562185771</v>
      </c>
      <c r="G3233" s="7" t="n">
        <f aca="false">Sens!G3229-wacc</f>
        <v>-0.105810351884991</v>
      </c>
      <c r="H3233" s="7" t="n">
        <f aca="false">Sens!H3229-wacc</f>
        <v>-0.102755293975748</v>
      </c>
      <c r="I3233" s="7" t="n">
        <f aca="false">Sens!I3229-wacc</f>
        <v>-0.0970973651255159</v>
      </c>
      <c r="J3233" s="7" t="n">
        <f aca="false">Sens!J3229-wacc</f>
        <v>-0.0902207837588666</v>
      </c>
      <c r="K3233" s="7" t="n">
        <f aca="false">Sens!K3229-wacc</f>
        <v>-0.077890226024312</v>
      </c>
    </row>
    <row r="3234" customFormat="false" ht="17.15" hidden="false" customHeight="false" outlineLevel="0" collapsed="false">
      <c r="A3234" s="0" t="s">
        <v>858</v>
      </c>
      <c r="B3234" s="0" t="s">
        <v>98</v>
      </c>
      <c r="F3234" s="6" t="n">
        <f aca="false">Sens!F3227*(1-tax_f)-wacc*(Sens!E3228+Sens!F3228)/2</f>
        <v>-14.1296181806595</v>
      </c>
      <c r="G3234" s="6" t="n">
        <f aca="false">Sens!G3227*(1-tax_f)-wacc*(Sens!F3228+Sens!G3228)/2</f>
        <v>-26.5187201504788</v>
      </c>
      <c r="H3234" s="6" t="n">
        <f aca="false">Sens!H3227*(1-tax_f)-wacc*(Sens!G3228+Sens!H3228)/2</f>
        <v>-22.0462315883097</v>
      </c>
      <c r="I3234" s="6" t="n">
        <f aca="false">Sens!I3227*(1-tax_f)-wacc*(Sens!H3228+Sens!I3228)/2</f>
        <v>-16.9280858436772</v>
      </c>
      <c r="J3234" s="6" t="n">
        <f aca="false">Sens!J3227*(1-tax_f)-wacc*(Sens!I3228+Sens!J3228)/2</f>
        <v>-14.0609443630645</v>
      </c>
      <c r="K3234" s="6" t="n">
        <f aca="false">Sens!K3227*(1-tax_f)-wacc*(Sens!J3228+Sens!K3228)/2</f>
        <v>-12.8797973670356</v>
      </c>
    </row>
    <row r="3235" customFormat="false" ht="17.15" hidden="false" customHeight="false" outlineLevel="0" collapsed="false">
      <c r="A3235" s="3" t="s">
        <v>1317</v>
      </c>
    </row>
    <row r="3236" customFormat="false" ht="15" hidden="false" customHeight="false" outlineLevel="0" collapsed="false">
      <c r="A3236" s="4" t="s">
        <v>43</v>
      </c>
      <c r="B3236" s="4" t="s">
        <v>65</v>
      </c>
      <c r="C3236" s="20" t="s">
        <v>788</v>
      </c>
      <c r="D3236" s="20" t="s">
        <v>789</v>
      </c>
      <c r="E3236" s="20" t="s">
        <v>790</v>
      </c>
      <c r="F3236" s="20" t="s">
        <v>791</v>
      </c>
      <c r="G3236" s="20" t="s">
        <v>792</v>
      </c>
      <c r="H3236" s="20" t="s">
        <v>793</v>
      </c>
      <c r="I3236" s="20" t="s">
        <v>794</v>
      </c>
      <c r="J3236" s="20" t="s">
        <v>795</v>
      </c>
      <c r="K3236" s="20" t="s">
        <v>796</v>
      </c>
      <c r="L3236" s="4" t="s">
        <v>47</v>
      </c>
    </row>
    <row r="3237" customFormat="false" ht="15" hidden="false" customHeight="false" outlineLevel="0" collapsed="false">
      <c r="A3237" s="1" t="s">
        <v>915</v>
      </c>
      <c r="B3237" s="0" t="s">
        <v>98</v>
      </c>
      <c r="F3237" s="6" t="n">
        <f aca="false">Sens!F3218</f>
        <v>132.817556287661</v>
      </c>
      <c r="G3237" s="6" t="n">
        <f aca="false">Sens!G3218</f>
        <v>141.997308464877</v>
      </c>
      <c r="H3237" s="6" t="n">
        <f aca="false">Sens!H3218</f>
        <v>160.168506659567</v>
      </c>
      <c r="I3237" s="6" t="n">
        <f aca="false">Sens!I3218</f>
        <v>178.38598106893</v>
      </c>
      <c r="J3237" s="6" t="n">
        <f aca="false">Sens!J3218</f>
        <v>194.729814136313</v>
      </c>
      <c r="K3237" s="6" t="n">
        <f aca="false">Sens!K3218</f>
        <v>209.962026842804</v>
      </c>
    </row>
    <row r="3238" customFormat="false" ht="17.15" hidden="false" customHeight="false" outlineLevel="0" collapsed="false">
      <c r="A3238" s="1" t="s">
        <v>937</v>
      </c>
      <c r="B3238" s="0" t="s">
        <v>98</v>
      </c>
      <c r="E3238" s="6" t="n">
        <f aca="false">Q!M38-Sens!E3156</f>
        <v>22.2285940229167</v>
      </c>
      <c r="F3238" s="6" t="n">
        <f aca="false">Sens!E3238*(1-1/life_nonai)+Sens!F3244/life_nonai</f>
        <v>23.5636693435813</v>
      </c>
      <c r="G3238" s="6" t="n">
        <f aca="false">Sens!F3238*(1-1/life_nonai)+Sens!G3244/life_nonai</f>
        <v>25.3225917662621</v>
      </c>
      <c r="H3238" s="6" t="n">
        <f aca="false">Sens!G3238*(1-1/life_nonai)+Sens!H3244/life_nonai</f>
        <v>27.4714839540448</v>
      </c>
      <c r="I3238" s="6" t="n">
        <f aca="false">Sens!H3238*(1-1/life_nonai)+Sens!I3244/life_nonai</f>
        <v>29.9441755898047</v>
      </c>
      <c r="J3238" s="6" t="n">
        <f aca="false">Sens!I3238*(1-1/life_nonai)+Sens!J3244/life_nonai</f>
        <v>32.6578493558616</v>
      </c>
      <c r="K3238" s="6" t="n">
        <f aca="false">Sens!J3238*(1-1/life_nonai)+Sens!K3244/life_nonai</f>
        <v>35.5289346944749</v>
      </c>
      <c r="L3238" s="11" t="s">
        <v>938</v>
      </c>
    </row>
    <row r="3239" customFormat="false" ht="17.15" hidden="false" customHeight="false" outlineLevel="0" collapsed="false">
      <c r="A3239" s="1" t="s">
        <v>939</v>
      </c>
      <c r="B3239" s="0" t="s">
        <v>98</v>
      </c>
      <c r="E3239" s="6" t="n">
        <f aca="false">Sens!E3156+Sens!E3238</f>
        <v>38.534</v>
      </c>
      <c r="F3239" s="6" t="n">
        <f aca="false">Sens!F3156+Sens!F3238</f>
        <v>59.6916120327844</v>
      </c>
      <c r="G3239" s="6" t="n">
        <f aca="false">Sens!G3156+Sens!G3238</f>
        <v>77.7568019376683</v>
      </c>
      <c r="H3239" s="6" t="n">
        <f aca="false">Sens!H3156+Sens!H3238</f>
        <v>82.4883935434511</v>
      </c>
      <c r="I3239" s="6" t="n">
        <f aca="false">Sens!I3156+Sens!I3238</f>
        <v>85.6048594087943</v>
      </c>
      <c r="J3239" s="6" t="n">
        <f aca="false">Sens!J3156+Sens!J3238</f>
        <v>89.9345378736012</v>
      </c>
      <c r="K3239" s="6" t="n">
        <f aca="false">Sens!K3156+Sens!K3238</f>
        <v>95.7091763701311</v>
      </c>
    </row>
    <row r="3240" customFormat="false" ht="17.15" hidden="false" customHeight="false" outlineLevel="0" collapsed="false">
      <c r="A3240" s="1" t="s">
        <v>940</v>
      </c>
      <c r="B3240" s="0" t="s">
        <v>98</v>
      </c>
      <c r="F3240" s="6" t="n">
        <f aca="false">Sens!F3183*sbc_r</f>
        <v>14.4364555395187</v>
      </c>
      <c r="G3240" s="6" t="n">
        <f aca="false">Sens!G3183*sbc_r</f>
        <v>16.269733096907</v>
      </c>
      <c r="H3240" s="6" t="n">
        <f aca="false">Sens!H3183*sbc_r</f>
        <v>17.9554039915122</v>
      </c>
      <c r="I3240" s="6" t="n">
        <f aca="false">Sens!I3183*sbc_r</f>
        <v>19.5101823597186</v>
      </c>
      <c r="J3240" s="6" t="n">
        <f aca="false">Sens!J3183*sbc_r</f>
        <v>20.9662261054752</v>
      </c>
      <c r="K3240" s="6" t="n">
        <f aca="false">Sens!K3183*sbc_r</f>
        <v>22.3767433057625</v>
      </c>
    </row>
    <row r="3241" customFormat="false" ht="17.15" hidden="false" customHeight="false" outlineLevel="0" collapsed="false">
      <c r="A3241" s="1" t="s">
        <v>941</v>
      </c>
      <c r="B3241" s="0" t="s">
        <v>98</v>
      </c>
      <c r="F3241" s="6" t="n">
        <f aca="false">wc27</f>
        <v>-4.895</v>
      </c>
      <c r="G3241" s="6" t="n">
        <f aca="false">wc_f</f>
        <v>0</v>
      </c>
      <c r="H3241" s="6" t="n">
        <f aca="false">wc_f</f>
        <v>0</v>
      </c>
      <c r="I3241" s="6" t="n">
        <f aca="false">wc_f</f>
        <v>0</v>
      </c>
      <c r="J3241" s="6" t="n">
        <f aca="false">wc_f</f>
        <v>0</v>
      </c>
      <c r="K3241" s="6" t="n">
        <f aca="false">wc_f</f>
        <v>0</v>
      </c>
      <c r="L3241" s="11" t="s">
        <v>942</v>
      </c>
    </row>
    <row r="3242" customFormat="false" ht="15" hidden="false" customHeight="false" outlineLevel="0" collapsed="false">
      <c r="A3242" s="1" t="s">
        <v>756</v>
      </c>
      <c r="B3242" s="0" t="s">
        <v>98</v>
      </c>
      <c r="E3242" s="6" t="n">
        <f aca="false">Q!M35</f>
        <v>182.935</v>
      </c>
      <c r="F3242" s="6" t="n">
        <f aca="false">Sens!F3237+Sens!F3239+Sens!F3240+Sens!F3241</f>
        <v>202.050623859964</v>
      </c>
      <c r="G3242" s="6" t="n">
        <f aca="false">Sens!G3237+Sens!G3239+Sens!G3240+Sens!G3241</f>
        <v>236.023843499452</v>
      </c>
      <c r="H3242" s="6" t="n">
        <f aca="false">Sens!H3237+Sens!H3239+Sens!H3240+Sens!H3241</f>
        <v>260.61230419453</v>
      </c>
      <c r="I3242" s="6" t="n">
        <f aca="false">Sens!I3237+Sens!I3239+Sens!I3240+Sens!I3241</f>
        <v>283.501022837443</v>
      </c>
      <c r="J3242" s="6" t="n">
        <f aca="false">Sens!J3237+Sens!J3239+Sens!J3240+Sens!J3241</f>
        <v>305.63057811539</v>
      </c>
      <c r="K3242" s="6" t="n">
        <f aca="false">Sens!K3237+Sens!K3239+Sens!K3240+Sens!K3241</f>
        <v>328.047946518698</v>
      </c>
    </row>
    <row r="3243" customFormat="false" ht="17.15" hidden="false" customHeight="false" outlineLevel="0" collapsed="false">
      <c r="A3243" s="0" t="s">
        <v>943</v>
      </c>
      <c r="B3243" s="0" t="s">
        <v>98</v>
      </c>
      <c r="F3243" s="6" t="n">
        <f aca="false">Sens!F3153</f>
        <v>168.620652770438</v>
      </c>
      <c r="G3243" s="6" t="n">
        <f aca="false">Sens!G3153</f>
        <v>35.302727016</v>
      </c>
      <c r="H3243" s="6" t="n">
        <f aca="false">Sens!H3153</f>
        <v>0</v>
      </c>
      <c r="I3243" s="6" t="n">
        <f aca="false">Sens!I3153</f>
        <v>30.2586753466667</v>
      </c>
      <c r="J3243" s="6" t="n">
        <f aca="false">Sens!J3153</f>
        <v>45.6967750133333</v>
      </c>
      <c r="K3243" s="6" t="n">
        <f aca="false">Sens!K3153</f>
        <v>90.77602604</v>
      </c>
    </row>
    <row r="3244" customFormat="false" ht="17.15" hidden="false" customHeight="false" outlineLevel="0" collapsed="false">
      <c r="A3244" s="1" t="s">
        <v>944</v>
      </c>
      <c r="B3244" s="0" t="s">
        <v>98</v>
      </c>
      <c r="E3244" s="6" t="n">
        <f aca="false">Sens!E3161*cx_azo+Sens!E3168*cx_m365+Sens!E3169*cx_lic+(Sens!E3171+Sens!E3173)*cx_ind+Sens!E3176*cx_srch+(Sens!E3178+Sens!E3180)*cx_dev</f>
        <v>30.1846587067718</v>
      </c>
      <c r="F3244" s="6" t="n">
        <f aca="false">Sens!F3161*cx_azo+Sens!F3168*cx_m365+Sens!F3169*cx_lic+(Sens!F3171+Sens!F3173)*cx_ind+Sens!F3176*cx_srch+(Sens!F3178+Sens!F3180)*cx_dev</f>
        <v>35.5793472295625</v>
      </c>
      <c r="G3244" s="6" t="n">
        <f aca="false">Sens!G3161*cx_azo+Sens!G3168*cx_m365+Sens!G3169*cx_lic+(Sens!G3171+Sens!G3173)*cx_ind+Sens!G3176*cx_srch+(Sens!G3178+Sens!G3180)*cx_dev</f>
        <v>41.1528935703892</v>
      </c>
      <c r="H3244" s="6" t="n">
        <f aca="false">Sens!H3161*cx_azo+Sens!H3168*cx_m365+Sens!H3169*cx_lic+(Sens!H3171+Sens!H3173)*cx_ind+Sens!H3176*cx_srch+(Sens!H3178+Sens!H3180)*cx_dev</f>
        <v>46.8115136440897</v>
      </c>
      <c r="I3244" s="6" t="n">
        <f aca="false">Sens!I3161*cx_azo+Sens!I3168*cx_m365+Sens!I3169*cx_lic+(Sens!I3171+Sens!I3173)*cx_ind+Sens!I3176*cx_srch+(Sens!I3178+Sens!I3180)*cx_dev</f>
        <v>52.1984003116439</v>
      </c>
      <c r="J3244" s="6" t="n">
        <f aca="false">Sens!J3161*cx_azo+Sens!J3168*cx_m365+Sens!J3169*cx_lic+(Sens!J3171+Sens!J3173)*cx_ind+Sens!J3176*cx_srch+(Sens!J3178+Sens!J3180)*cx_dev</f>
        <v>57.0809132503738</v>
      </c>
      <c r="K3244" s="6" t="n">
        <f aca="false">Sens!K3161*cx_azo+Sens!K3168*cx_m365+Sens!K3169*cx_lic+(Sens!K3171+Sens!K3173)*cx_ind+Sens!K3176*cx_srch+(Sens!K3178+Sens!K3180)*cx_dev</f>
        <v>61.368702741994</v>
      </c>
    </row>
    <row r="3245" customFormat="false" ht="17.15" hidden="false" customHeight="false" outlineLevel="0" collapsed="false">
      <c r="A3245" s="1" t="s">
        <v>945</v>
      </c>
      <c r="B3245" s="0" t="s">
        <v>98</v>
      </c>
      <c r="E3245" s="6" t="n">
        <f aca="false">Q!M42</f>
        <v>145.3</v>
      </c>
      <c r="F3245" s="6" t="n">
        <f aca="false">Sens!F3243+Sens!F3244</f>
        <v>204.2</v>
      </c>
      <c r="G3245" s="6" t="n">
        <f aca="false">Sens!G3243+Sens!G3244</f>
        <v>76.4556205863892</v>
      </c>
      <c r="H3245" s="6" t="n">
        <f aca="false">Sens!H3243+Sens!H3244</f>
        <v>46.8115136440897</v>
      </c>
      <c r="I3245" s="6" t="n">
        <f aca="false">Sens!I3243+Sens!I3244</f>
        <v>82.4570756583106</v>
      </c>
      <c r="J3245" s="6" t="n">
        <f aca="false">Sens!J3243+Sens!J3244</f>
        <v>102.777688263707</v>
      </c>
      <c r="K3245" s="6" t="n">
        <f aca="false">Sens!K3243+Sens!K3244</f>
        <v>152.144728781994</v>
      </c>
      <c r="L3245" s="1" t="s">
        <v>946</v>
      </c>
    </row>
    <row r="3246" customFormat="false" ht="15" hidden="false" customHeight="false" outlineLevel="0" collapsed="false">
      <c r="A3246" s="1" t="s">
        <v>947</v>
      </c>
      <c r="B3246" s="0" t="s">
        <v>98</v>
      </c>
      <c r="E3246" s="6" t="n">
        <f aca="false">fl_liab</f>
        <v>66.594</v>
      </c>
      <c r="F3246" s="6" t="n">
        <f aca="false">Sens!E3246-Sens!F3247</f>
        <v>62.46973</v>
      </c>
      <c r="G3246" s="6" t="n">
        <f aca="false">Sens!F3246-Sens!G3247</f>
        <v>57.98686785</v>
      </c>
      <c r="H3246" s="6" t="n">
        <f aca="false">Sens!G3246-Sens!H3247</f>
        <v>53.92827690325</v>
      </c>
      <c r="I3246" s="6" t="n">
        <f aca="false">Sens!H3246-Sens!I3247</f>
        <v>49.7850493638962</v>
      </c>
      <c r="J3246" s="6" t="n">
        <f aca="false">Sens!I3246-Sens!J3247</f>
        <v>45.4823765852716</v>
      </c>
      <c r="K3246" s="6" t="n">
        <f aca="false">Sens!J3246-Sens!K3247</f>
        <v>40.9860835316088</v>
      </c>
    </row>
    <row r="3247" customFormat="false" ht="15" hidden="false" customHeight="false" outlineLevel="0" collapsed="false">
      <c r="A3247" s="1" t="s">
        <v>948</v>
      </c>
      <c r="B3247" s="0" t="s">
        <v>98</v>
      </c>
      <c r="F3247" s="6" t="n">
        <f aca="false">fl_pay_27-Sens!E3246*fl_rate</f>
        <v>4.12427</v>
      </c>
      <c r="G3247" s="6" t="n">
        <f aca="false">fl_pay_28-Sens!F3246*fl_rate</f>
        <v>4.48286215</v>
      </c>
      <c r="H3247" s="6" t="n">
        <f aca="false">fl_pay_29-Sens!G3246*fl_rate</f>
        <v>4.05859094675</v>
      </c>
      <c r="I3247" s="6" t="n">
        <f aca="false">fl_pay_30-Sens!H3246*fl_rate</f>
        <v>4.14322753935375</v>
      </c>
      <c r="J3247" s="6" t="n">
        <f aca="false">fl_pay_31-Sens!I3246*fl_rate</f>
        <v>4.30267277862467</v>
      </c>
      <c r="K3247" s="6" t="n">
        <f aca="false">fl_pay_32-Sens!J3246*fl_rate</f>
        <v>4.49629305366278</v>
      </c>
    </row>
    <row r="3248" customFormat="false" ht="17.15" hidden="false" customHeight="false" outlineLevel="0" collapsed="false">
      <c r="A3248" s="1" t="s">
        <v>949</v>
      </c>
      <c r="B3248" s="0" t="s">
        <v>98</v>
      </c>
      <c r="E3248" s="6" t="n">
        <f aca="false">Q!M35-Q!M36-Q!M43</f>
        <v>63.886</v>
      </c>
      <c r="F3248" s="6" t="n">
        <f aca="false">Sens!F3242-Sens!F3245-Sens!F3247</f>
        <v>-6.27364614003597</v>
      </c>
      <c r="G3248" s="6" t="n">
        <f aca="false">Sens!G3242-Sens!G3245-Sens!G3247</f>
        <v>155.085360763063</v>
      </c>
      <c r="H3248" s="6" t="n">
        <f aca="false">Sens!H3242-Sens!H3245-Sens!H3247</f>
        <v>209.74219960369</v>
      </c>
      <c r="I3248" s="6" t="n">
        <f aca="false">Sens!I3242-Sens!I3245-Sens!I3247</f>
        <v>196.900719639779</v>
      </c>
      <c r="J3248" s="6" t="n">
        <f aca="false">Sens!J3242-Sens!J3245-Sens!J3247</f>
        <v>198.550217073058</v>
      </c>
      <c r="K3248" s="6" t="n">
        <f aca="false">Sens!K3242-Sens!K3245-Sens!K3247</f>
        <v>171.406924683041</v>
      </c>
      <c r="L3248" s="11" t="s">
        <v>950</v>
      </c>
    </row>
    <row r="3249" customFormat="false" ht="15" hidden="false" customHeight="false" outlineLevel="0" collapsed="false">
      <c r="A3249" s="1" t="s">
        <v>951</v>
      </c>
      <c r="B3249" s="0" t="s">
        <v>75</v>
      </c>
      <c r="F3249" s="8" t="n">
        <f aca="false">dps_27</f>
        <v>3.85</v>
      </c>
      <c r="G3249" s="8" t="n">
        <f aca="false">Sens!F3249*(1+dps_g)</f>
        <v>4.158</v>
      </c>
      <c r="H3249" s="8" t="n">
        <f aca="false">Sens!G3249*(1+dps_g)</f>
        <v>4.49064</v>
      </c>
      <c r="I3249" s="8" t="n">
        <f aca="false">Sens!H3249*(1+dps_g)</f>
        <v>4.8498912</v>
      </c>
      <c r="J3249" s="8" t="n">
        <f aca="false">Sens!I3249*(1+dps_g)</f>
        <v>5.237882496</v>
      </c>
      <c r="K3249" s="8" t="n">
        <f aca="false">Sens!J3249*(1+dps_g)</f>
        <v>5.65691309568</v>
      </c>
    </row>
    <row r="3250" customFormat="false" ht="17.15" hidden="false" customHeight="false" outlineLevel="0" collapsed="false">
      <c r="A3250" s="1" t="s">
        <v>952</v>
      </c>
      <c r="B3250" s="0" t="s">
        <v>98</v>
      </c>
      <c r="E3250" s="6" t="n">
        <f aca="false">Q!M41</f>
        <v>26.445</v>
      </c>
      <c r="F3250" s="6" t="n">
        <f aca="false">Sens!F3249*Sens!E3259</f>
        <v>28.59395</v>
      </c>
      <c r="G3250" s="6" t="n">
        <f aca="false">Sens!G3249*Sens!F3259</f>
        <v>31.068576</v>
      </c>
      <c r="H3250" s="6" t="n">
        <f aca="false">Sens!H3249*Sens!G3259</f>
        <v>33.5888350159995</v>
      </c>
      <c r="I3250" s="6" t="n">
        <f aca="false">Sens!I3249*Sens!H3259</f>
        <v>36.3268810572789</v>
      </c>
      <c r="J3250" s="6" t="n">
        <f aca="false">Sens!J3249*Sens!I3259</f>
        <v>39.3014303901806</v>
      </c>
      <c r="K3250" s="6" t="n">
        <f aca="false">Sens!K3249*Sens!J3259</f>
        <v>42.5328000467001</v>
      </c>
      <c r="L3250" s="1" t="s">
        <v>953</v>
      </c>
    </row>
    <row r="3251" customFormat="false" ht="15" hidden="false" customHeight="false" outlineLevel="0" collapsed="false">
      <c r="A3251" s="1" t="s">
        <v>954</v>
      </c>
      <c r="B3251" s="0" t="s">
        <v>98</v>
      </c>
      <c r="E3251" s="6" t="n">
        <f aca="false">Sens!E3248-Sens!E3250</f>
        <v>37.441</v>
      </c>
      <c r="F3251" s="6" t="n">
        <f aca="false">Sens!F3248-Sens!F3250</f>
        <v>-34.867596140036</v>
      </c>
      <c r="G3251" s="6" t="n">
        <f aca="false">Sens!G3248-Sens!G3250</f>
        <v>124.016784763063</v>
      </c>
      <c r="H3251" s="6" t="n">
        <f aca="false">Sens!H3248-Sens!H3250</f>
        <v>176.153364587691</v>
      </c>
      <c r="I3251" s="6" t="n">
        <f aca="false">Sens!I3248-Sens!I3250</f>
        <v>160.5738385825</v>
      </c>
      <c r="J3251" s="6" t="n">
        <f aca="false">Sens!J3248-Sens!J3250</f>
        <v>159.248786682877</v>
      </c>
      <c r="K3251" s="6" t="n">
        <f aca="false">Sens!K3248-Sens!K3250</f>
        <v>128.874124636341</v>
      </c>
    </row>
    <row r="3252" customFormat="false" ht="15" hidden="false" customHeight="false" outlineLevel="0" collapsed="false">
      <c r="A3252" s="1" t="s">
        <v>955</v>
      </c>
      <c r="B3252" s="0" t="s">
        <v>98</v>
      </c>
      <c r="F3252" s="6" t="n">
        <f aca="false">debt_mat_27</f>
        <v>9.25</v>
      </c>
      <c r="G3252" s="6" t="n">
        <f aca="false">debt_mat_28</f>
        <v>0</v>
      </c>
      <c r="H3252" s="6" t="n">
        <f aca="false">debt_mat_29</f>
        <v>2.001</v>
      </c>
      <c r="I3252" s="6" t="n">
        <f aca="false">debt_mat_30</f>
        <v>0</v>
      </c>
      <c r="J3252" s="6" t="n">
        <f aca="false">debt_mat_31</f>
        <v>0.5</v>
      </c>
      <c r="K3252" s="6" t="n">
        <f aca="false">debt_mat_32</f>
        <v>0</v>
      </c>
    </row>
    <row r="3253" customFormat="false" ht="15" hidden="false" customHeight="false" outlineLevel="0" collapsed="false">
      <c r="A3253" s="1" t="s">
        <v>956</v>
      </c>
      <c r="B3253" s="0" t="s">
        <v>98</v>
      </c>
      <c r="E3253" s="6" t="n">
        <f aca="false">Q!M40</f>
        <v>22.271</v>
      </c>
      <c r="F3253" s="6" t="n">
        <f aca="false">MAX(0,MIN(bb_target,Sens!E3255+Sens!F3251-Sens!F3252-min_cash))</f>
        <v>0</v>
      </c>
      <c r="G3253" s="6" t="n">
        <f aca="false">MAX(0,MIN(bb_target,Sens!F3255+Sens!G3251-Sens!G3252-min_cash))</f>
        <v>22.271</v>
      </c>
      <c r="H3253" s="6" t="n">
        <f aca="false">MAX(0,MIN(bb_target,Sens!G3255+Sens!H3251-Sens!H3252-min_cash))</f>
        <v>22.271</v>
      </c>
      <c r="I3253" s="6" t="n">
        <f aca="false">MAX(0,MIN(bb_target,Sens!H3255+Sens!I3251-Sens!I3252-min_cash))</f>
        <v>22.271</v>
      </c>
      <c r="J3253" s="6" t="n">
        <f aca="false">MAX(0,MIN(bb_target,Sens!I3255+Sens!J3251-Sens!J3252-min_cash))</f>
        <v>22.271</v>
      </c>
      <c r="K3253" s="6" t="n">
        <f aca="false">MAX(0,MIN(bb_target,Sens!J3255+Sens!K3251-Sens!K3252-min_cash))</f>
        <v>22.271</v>
      </c>
    </row>
    <row r="3254" customFormat="false" ht="15" hidden="false" customHeight="false" outlineLevel="0" collapsed="false">
      <c r="A3254" s="1" t="s">
        <v>957</v>
      </c>
      <c r="B3254" s="0" t="s">
        <v>98</v>
      </c>
      <c r="F3254" s="6" t="n">
        <f aca="false">MAX(0,min_cash-(Sens!E3255+Sens!F3251-Sens!F3252-Sens!F3253))</f>
        <v>17.274596140036</v>
      </c>
      <c r="G3254" s="6" t="n">
        <f aca="false">MAX(0,min_cash-(Sens!F3255+Sens!G3251-Sens!G3252-Sens!G3253))</f>
        <v>0</v>
      </c>
      <c r="H3254" s="6" t="n">
        <f aca="false">MAX(0,min_cash-(Sens!G3255+Sens!H3251-Sens!H3252-Sens!H3253))</f>
        <v>0</v>
      </c>
      <c r="I3254" s="6" t="n">
        <f aca="false">MAX(0,min_cash-(Sens!H3255+Sens!I3251-Sens!I3252-Sens!I3253))</f>
        <v>0</v>
      </c>
      <c r="J3254" s="6" t="n">
        <f aca="false">MAX(0,min_cash-(Sens!I3255+Sens!J3251-Sens!J3252-Sens!J3253))</f>
        <v>0</v>
      </c>
      <c r="K3254" s="6" t="n">
        <f aca="false">MAX(0,min_cash-(Sens!J3255+Sens!K3251-Sens!K3252-Sens!K3253))</f>
        <v>0</v>
      </c>
    </row>
    <row r="3255" customFormat="false" ht="15" hidden="false" customHeight="false" outlineLevel="0" collapsed="false">
      <c r="A3255" s="1" t="s">
        <v>958</v>
      </c>
      <c r="B3255" s="0" t="s">
        <v>98</v>
      </c>
      <c r="E3255" s="6" t="n">
        <f aca="false">cash_open</f>
        <v>76.843</v>
      </c>
      <c r="F3255" s="6" t="n">
        <f aca="false">Sens!E3255+Sens!F3251-Sens!F3252-Sens!F3253+Sens!F3254</f>
        <v>50</v>
      </c>
      <c r="G3255" s="6" t="n">
        <f aca="false">Sens!F3255+Sens!G3251-Sens!G3252-Sens!G3253+Sens!G3254</f>
        <v>151.745784763063</v>
      </c>
      <c r="H3255" s="6" t="n">
        <f aca="false">Sens!G3255+Sens!H3251-Sens!H3252-Sens!H3253+Sens!H3254</f>
        <v>303.627149350754</v>
      </c>
      <c r="I3255" s="6" t="n">
        <f aca="false">Sens!H3255+Sens!I3251-Sens!I3252-Sens!I3253+Sens!I3254</f>
        <v>441.929987933254</v>
      </c>
      <c r="J3255" s="6" t="n">
        <f aca="false">Sens!I3255+Sens!J3251-Sens!J3252-Sens!J3253+Sens!J3254</f>
        <v>578.407774616131</v>
      </c>
      <c r="K3255" s="6" t="n">
        <f aca="false">Sens!J3255+Sens!K3251-Sens!K3252-Sens!K3253+Sens!K3254</f>
        <v>685.010899252473</v>
      </c>
    </row>
    <row r="3256" customFormat="false" ht="15" hidden="false" customHeight="false" outlineLevel="0" collapsed="false">
      <c r="A3256" s="1" t="s">
        <v>959</v>
      </c>
      <c r="B3256" s="0" t="s">
        <v>98</v>
      </c>
      <c r="E3256" s="6" t="n">
        <f aca="false">debt_face</f>
        <v>46.136</v>
      </c>
      <c r="F3256" s="6" t="n">
        <f aca="false">Sens!E3256-Sens!F3252+Sens!F3254</f>
        <v>54.160596140036</v>
      </c>
      <c r="G3256" s="6" t="n">
        <f aca="false">Sens!F3256-Sens!G3252+Sens!G3254</f>
        <v>54.160596140036</v>
      </c>
      <c r="H3256" s="6" t="n">
        <f aca="false">Sens!G3256-Sens!H3252+Sens!H3254</f>
        <v>52.159596140036</v>
      </c>
      <c r="I3256" s="6" t="n">
        <f aca="false">Sens!H3256-Sens!I3252+Sens!I3254</f>
        <v>52.159596140036</v>
      </c>
      <c r="J3256" s="6" t="n">
        <f aca="false">Sens!I3256-Sens!J3252+Sens!J3254</f>
        <v>51.659596140036</v>
      </c>
      <c r="K3256" s="6" t="n">
        <f aca="false">Sens!J3256-Sens!K3252+Sens!K3254</f>
        <v>51.659596140036</v>
      </c>
    </row>
    <row r="3257" customFormat="false" ht="15" hidden="false" customHeight="false" outlineLevel="0" collapsed="false">
      <c r="A3257" s="1" t="s">
        <v>960</v>
      </c>
      <c r="B3257" s="0" t="s">
        <v>98</v>
      </c>
      <c r="E3257" s="6" t="n">
        <f aca="false">Sens!E3255-Sens!E3256</f>
        <v>30.707</v>
      </c>
      <c r="F3257" s="6" t="n">
        <f aca="false">Sens!F3255-Sens!F3256</f>
        <v>-4.16059614003597</v>
      </c>
      <c r="G3257" s="6" t="n">
        <f aca="false">Sens!G3255-Sens!G3256</f>
        <v>97.5851886230267</v>
      </c>
      <c r="H3257" s="6" t="n">
        <f aca="false">Sens!H3255-Sens!H3256</f>
        <v>251.467553210718</v>
      </c>
      <c r="I3257" s="6" t="n">
        <f aca="false">Sens!I3255-Sens!I3256</f>
        <v>389.770391793218</v>
      </c>
      <c r="J3257" s="6" t="n">
        <f aca="false">Sens!J3255-Sens!J3256</f>
        <v>526.748178476095</v>
      </c>
      <c r="K3257" s="6" t="n">
        <f aca="false">Sens!K3255-Sens!K3256</f>
        <v>633.351303112437</v>
      </c>
    </row>
    <row r="3258" customFormat="false" ht="15" hidden="false" customHeight="false" outlineLevel="0" collapsed="false">
      <c r="A3258" s="1" t="s">
        <v>961</v>
      </c>
      <c r="B3258" s="0" t="s">
        <v>75</v>
      </c>
      <c r="F3258" s="29" t="n">
        <f aca="false">px*(1+bb_g)^(Sens!F3122-base_fy-mid_yr)</f>
        <v>553.494156066711</v>
      </c>
      <c r="G3258" s="29" t="n">
        <f aca="false">px*(1+bb_g)^(Sens!G3122-base_fy-mid_yr)</f>
        <v>597.773688552047</v>
      </c>
      <c r="H3258" s="29" t="n">
        <f aca="false">px*(1+bb_g)^(Sens!H3122-base_fy-mid_yr)</f>
        <v>645.595583636211</v>
      </c>
      <c r="I3258" s="29" t="n">
        <f aca="false">px*(1+bb_g)^(Sens!I3122-base_fy-mid_yr)</f>
        <v>697.243230327108</v>
      </c>
      <c r="J3258" s="29" t="n">
        <f aca="false">px*(1+bb_g)^(Sens!J3122-base_fy-mid_yr)</f>
        <v>753.022688753277</v>
      </c>
      <c r="K3258" s="29" t="n">
        <f aca="false">px*(1+bb_g)^(Sens!K3122-base_fy-mid_yr)</f>
        <v>813.264503853539</v>
      </c>
    </row>
    <row r="3259" customFormat="false" ht="15" hidden="false" customHeight="false" outlineLevel="0" collapsed="false">
      <c r="A3259" s="1" t="s">
        <v>962</v>
      </c>
      <c r="B3259" s="1" t="s">
        <v>81</v>
      </c>
      <c r="E3259" s="14" t="n">
        <f aca="false">sh_out26</f>
        <v>7.427</v>
      </c>
      <c r="F3259" s="14" t="n">
        <f aca="false">Sens!E3259+sh_iss-Sens!F3253/Sens!F3258</f>
        <v>7.472</v>
      </c>
      <c r="G3259" s="14" t="n">
        <f aca="false">Sens!F3259+sh_iss-Sens!G3253/Sens!G3258</f>
        <v>7.47974342543589</v>
      </c>
      <c r="H3259" s="14" t="n">
        <f aca="false">Sens!G3259+sh_iss-Sens!H3253/Sens!H3258</f>
        <v>7.4902465971358</v>
      </c>
      <c r="I3259" s="14" t="n">
        <f aca="false">Sens!H3259+sh_iss-Sens!I3253/Sens!I3258</f>
        <v>7.50330508945052</v>
      </c>
      <c r="J3259" s="14" t="n">
        <f aca="false">Sens!I3259+sh_iss-Sens!J3253/Sens!J3258</f>
        <v>7.51872961937156</v>
      </c>
      <c r="K3259" s="14" t="n">
        <f aca="false">Sens!J3259+sh_iss-Sens!K3253/Sens!K3258</f>
        <v>7.53634492485401</v>
      </c>
    </row>
    <row r="3260" customFormat="false" ht="15" hidden="false" customHeight="false" outlineLevel="0" collapsed="false">
      <c r="A3260" s="1" t="s">
        <v>963</v>
      </c>
      <c r="B3260" s="1" t="s">
        <v>81</v>
      </c>
      <c r="E3260" s="14" t="n">
        <f aca="false">sh_dil26</f>
        <v>7.453</v>
      </c>
      <c r="F3260" s="14" t="n">
        <f aca="false">(Sens!E3259+Sens!F3259)/2+dil_gap</f>
        <v>7.4735</v>
      </c>
      <c r="G3260" s="14" t="n">
        <f aca="false">(Sens!F3259+Sens!G3259)/2+dil_gap</f>
        <v>7.49987171271795</v>
      </c>
      <c r="H3260" s="14" t="n">
        <f aca="false">(Sens!G3259+Sens!H3259)/2+dil_gap</f>
        <v>7.50899501128585</v>
      </c>
      <c r="I3260" s="14" t="n">
        <f aca="false">(Sens!H3259+Sens!I3259)/2+dil_gap</f>
        <v>7.52077584329316</v>
      </c>
      <c r="J3260" s="14" t="n">
        <f aca="false">(Sens!I3259+Sens!J3259)/2+dil_gap</f>
        <v>7.53501735441104</v>
      </c>
      <c r="K3260" s="14" t="n">
        <f aca="false">(Sens!J3259+Sens!K3259)/2+dil_gap</f>
        <v>7.55153727211278</v>
      </c>
    </row>
    <row r="3261" customFormat="false" ht="17.15" hidden="false" customHeight="false" outlineLevel="0" collapsed="false">
      <c r="A3261" s="1" t="s">
        <v>964</v>
      </c>
      <c r="B3261" s="0" t="s">
        <v>98</v>
      </c>
      <c r="C3261" s="6" t="n">
        <f aca="false">SUM(Sens!F3251:J3251)</f>
        <v>585.125178476095</v>
      </c>
    </row>
    <row r="3262" customFormat="false" ht="15" hidden="false" customHeight="false" outlineLevel="0" collapsed="false">
      <c r="A3262" s="23" t="s">
        <v>935</v>
      </c>
      <c r="B3262" s="30" t="s">
        <v>98</v>
      </c>
      <c r="C3262" s="24" t="n">
        <f aca="false">Sens!$C$3261-(Sens!F3251+Sens!G3251+Sens!H3251+Sens!I3251+Sens!J3251)</f>
        <v>0</v>
      </c>
      <c r="D3262" s="30"/>
      <c r="E3262" s="30"/>
      <c r="F3262" s="30"/>
      <c r="G3262" s="30"/>
      <c r="H3262" s="30"/>
      <c r="I3262" s="30"/>
      <c r="J3262" s="30"/>
      <c r="K3262" s="30"/>
    </row>
    <row r="3263" customFormat="false" ht="17.15" hidden="false" customHeight="false" outlineLevel="0" collapsed="false">
      <c r="A3263" s="1" t="s">
        <v>929</v>
      </c>
      <c r="B3263" s="1" t="s">
        <v>965</v>
      </c>
      <c r="C3263" s="32" t="str">
        <f aca="false">IF(SUM(Sens!F3254:J3254)&gt;0.05,"需要舉債 "&amp;TEXT(SUM(Sens!F3254:J3254),"0.0")&amp;" 十億美元","不需舉債")&amp;"；"&amp;IF(SUM(Sens!F3253:J3253)&lt;COUNT(Sens!F3253:J3253)*bb_target-0.05,"回購較每年 "&amp;TEXT(bb_target,"0.0")&amp;" 的目標少 "&amp;TEXT(COUNT(Sens!F3253:J3253)*bb_target-SUM(Sens!F3253:J3253),"0.0")&amp;" 十億美元（"&amp;TEXT(COUNTIF(Sens!F3253:J3253,"&lt;"&amp;(bb_target-0.05)),"0")&amp;" 年減少）","回購不減")</f>
        <v>需要舉債 17.3 十億美元；回購較每年 22.3 的目標少 22.3 十億美元（1 年減少）</v>
      </c>
    </row>
    <row r="3264" customFormat="false" ht="17.15" hidden="false" customHeight="false" outlineLevel="0" collapsed="false">
      <c r="A3264" s="3" t="s">
        <v>1318</v>
      </c>
    </row>
    <row r="3265" customFormat="false" ht="15" hidden="false" customHeight="false" outlineLevel="0" collapsed="false">
      <c r="A3265" s="4" t="s">
        <v>43</v>
      </c>
      <c r="B3265" s="4" t="s">
        <v>65</v>
      </c>
      <c r="C3265" s="20" t="s">
        <v>788</v>
      </c>
      <c r="D3265" s="20" t="s">
        <v>789</v>
      </c>
      <c r="E3265" s="20" t="s">
        <v>790</v>
      </c>
      <c r="F3265" s="20" t="s">
        <v>791</v>
      </c>
      <c r="G3265" s="20" t="s">
        <v>792</v>
      </c>
      <c r="H3265" s="20" t="s">
        <v>793</v>
      </c>
      <c r="I3265" s="20" t="s">
        <v>794</v>
      </c>
      <c r="J3265" s="20" t="s">
        <v>795</v>
      </c>
      <c r="K3265" s="20" t="s">
        <v>796</v>
      </c>
      <c r="L3265" s="4" t="s">
        <v>47</v>
      </c>
    </row>
    <row r="3266" customFormat="false" ht="15" hidden="false" customHeight="false" outlineLevel="0" collapsed="false">
      <c r="A3266" s="1" t="s">
        <v>1042</v>
      </c>
      <c r="B3266" s="1" t="s">
        <v>235</v>
      </c>
      <c r="F3266" s="36" t="n">
        <f aca="false">Sens!F3122-base_fy-mid_yr</f>
        <v>0.5</v>
      </c>
      <c r="G3266" s="36" t="n">
        <f aca="false">Sens!G3122-base_fy-mid_yr</f>
        <v>1.5</v>
      </c>
      <c r="H3266" s="36" t="n">
        <f aca="false">Sens!H3122-base_fy-mid_yr</f>
        <v>2.5</v>
      </c>
      <c r="I3266" s="36" t="n">
        <f aca="false">Sens!I3122-base_fy-mid_yr</f>
        <v>3.5</v>
      </c>
      <c r="J3266" s="36" t="n">
        <f aca="false">Sens!J3122-base_fy-mid_yr</f>
        <v>4.5</v>
      </c>
      <c r="K3266" s="36" t="n">
        <f aca="false">Sens!K3122-base_fy-mid_yr</f>
        <v>5.5</v>
      </c>
    </row>
    <row r="3267" customFormat="false" ht="15" hidden="false" customHeight="false" outlineLevel="0" collapsed="false">
      <c r="A3267" s="1" t="s">
        <v>1043</v>
      </c>
      <c r="B3267" s="0" t="s">
        <v>185</v>
      </c>
      <c r="F3267" s="14" t="n">
        <f aca="false">1/(1+wacc)^Sens!F3266</f>
        <v>0.952193373608246</v>
      </c>
      <c r="G3267" s="14" t="n">
        <f aca="false">1/(1+wacc)^Sens!G3266</f>
        <v>0.863327280626589</v>
      </c>
      <c r="H3267" s="14" t="n">
        <f aca="false">1/(1+wacc)^Sens!H3266</f>
        <v>0.782754862754115</v>
      </c>
      <c r="I3267" s="14" t="n">
        <f aca="false">1/(1+wacc)^Sens!I3266</f>
        <v>0.709702089711011</v>
      </c>
      <c r="J3267" s="14" t="n">
        <f aca="false">1/(1+wacc)^Sens!J3266</f>
        <v>0.643467169744551</v>
      </c>
      <c r="K3267" s="14" t="n">
        <f aca="false">1/(1+wacc)^Sens!K3266</f>
        <v>0.583413807767797</v>
      </c>
    </row>
    <row r="3268" customFormat="false" ht="17.15" hidden="false" customHeight="false" outlineLevel="0" collapsed="false">
      <c r="A3268" s="1" t="s">
        <v>1044</v>
      </c>
      <c r="B3268" s="0" t="s">
        <v>98</v>
      </c>
      <c r="F3268" s="6" t="n">
        <f aca="false">Sens!F3242-Sens!F3240-Sens!F3245+Sens!F3226*(1-tax_f)</f>
        <v>-6.50748703295474</v>
      </c>
      <c r="G3268" s="6" t="n">
        <f aca="false">Sens!G3242-Sens!G3240-Sens!G3245+Sens!G3226*(1-tax_f)</f>
        <v>153.480534179646</v>
      </c>
      <c r="H3268" s="6" t="n">
        <f aca="false">Sens!H3242-Sens!H3240-Sens!H3245+Sens!H3226*(1-tax_f)</f>
        <v>204.607216725454</v>
      </c>
      <c r="I3268" s="6" t="n">
        <f aca="false">Sens!I3242-Sens!I3240-Sens!I3245+Sens!I3226*(1-tax_f)</f>
        <v>188.752325269793</v>
      </c>
      <c r="J3268" s="6" t="n">
        <f aca="false">Sens!J3242-Sens!J3240-Sens!J3245+Sens!J3226*(1-tax_f)</f>
        <v>188.508417968337</v>
      </c>
      <c r="K3268" s="6" t="n">
        <f aca="false">Sens!K3242-Sens!K3240-Sens!K3245+Sens!K3226*(1-tax_f)</f>
        <v>160.314461252006</v>
      </c>
      <c r="L3268" s="1" t="s">
        <v>1045</v>
      </c>
    </row>
    <row r="3269" customFormat="false" ht="15" hidden="false" customHeight="false" outlineLevel="0" collapsed="false">
      <c r="A3269" s="1" t="s">
        <v>1046</v>
      </c>
      <c r="B3269" s="0" t="s">
        <v>98</v>
      </c>
      <c r="F3269" s="6" t="n">
        <f aca="false">Sens!F3268*Sens!F3267</f>
        <v>-6.19638603162109</v>
      </c>
      <c r="G3269" s="6" t="n">
        <f aca="false">Sens!G3268*Sens!G3267</f>
        <v>132.50393220243</v>
      </c>
      <c r="H3269" s="6" t="n">
        <f aca="false">Sens!H3268*Sens!H3267</f>
        <v>160.157293846435</v>
      </c>
      <c r="I3269" s="6" t="n">
        <f aca="false">Sens!I3268*Sens!I3267</f>
        <v>133.957919681784</v>
      </c>
      <c r="J3269" s="6" t="n">
        <f aca="false">Sens!J3268*Sens!J3267</f>
        <v>121.298978183108</v>
      </c>
      <c r="K3269" s="6" t="n">
        <f aca="false">Sens!K3268*Sens!K3267</f>
        <v>93.5296702792754</v>
      </c>
    </row>
    <row r="3270" customFormat="false" ht="17.15" hidden="false" customHeight="false" outlineLevel="0" collapsed="false">
      <c r="A3270" s="1" t="s">
        <v>1047</v>
      </c>
      <c r="B3270" s="0" t="s">
        <v>98</v>
      </c>
      <c r="C3270" s="6" t="n">
        <f aca="false">SUM(Sens!F3269:K3269)</f>
        <v>635.251408161412</v>
      </c>
    </row>
    <row r="3271" customFormat="false" ht="17.15" hidden="false" customHeight="false" outlineLevel="0" collapsed="false">
      <c r="A3271" s="1" t="s">
        <v>1048</v>
      </c>
      <c r="B3271" s="0" t="s">
        <v>98</v>
      </c>
      <c r="C3271" s="6" t="n">
        <f aca="false">Sens!K3212*(1+g_tv)*(1-tax_f)</f>
        <v>223.582114073784</v>
      </c>
    </row>
    <row r="3272" customFormat="false" ht="17.15" hidden="false" customHeight="false" outlineLevel="0" collapsed="false">
      <c r="A3272" s="1" t="s">
        <v>1049</v>
      </c>
      <c r="B3272" s="0" t="s">
        <v>98</v>
      </c>
      <c r="C3272" s="6" t="n">
        <f aca="false">Sens!$C$3271*(1-g_tv/(wacc+ronic_prem))</f>
        <v>158.419621137393</v>
      </c>
    </row>
    <row r="3273" customFormat="false" ht="17.15" hidden="false" customHeight="false" outlineLevel="0" collapsed="false">
      <c r="A3273" s="1" t="s">
        <v>1050</v>
      </c>
      <c r="B3273" s="0" t="s">
        <v>98</v>
      </c>
      <c r="C3273" s="6" t="n">
        <f aca="false">Sens!$C$3272/(wacc-g_tv)</f>
        <v>2172.0830978797</v>
      </c>
    </row>
    <row r="3274" customFormat="false" ht="15" hidden="false" customHeight="false" outlineLevel="0" collapsed="false">
      <c r="A3274" s="1" t="s">
        <v>1051</v>
      </c>
      <c r="B3274" s="0" t="s">
        <v>98</v>
      </c>
      <c r="C3274" s="6" t="n">
        <f aca="false">Sens!$C$3273/(1+wacc)^(Sens!K3266+mid_yr)</f>
        <v>1206.64160145416</v>
      </c>
    </row>
    <row r="3275" customFormat="false" ht="17.15" hidden="false" customHeight="false" outlineLevel="0" collapsed="false">
      <c r="A3275" s="0" t="s">
        <v>972</v>
      </c>
      <c r="B3275" s="0" t="s">
        <v>98</v>
      </c>
      <c r="C3275" s="6" t="n">
        <f aca="false">Sens!$C$3270+Sens!$C$3274</f>
        <v>1841.89300961557</v>
      </c>
    </row>
    <row r="3276" customFormat="false" ht="15" hidden="false" customHeight="false" outlineLevel="0" collapsed="false">
      <c r="A3276" s="1" t="s">
        <v>973</v>
      </c>
      <c r="B3276" s="0" t="s">
        <v>129</v>
      </c>
      <c r="C3276" s="7" t="n">
        <f aca="false">Sens!$C$3274/Sens!$C$3275</f>
        <v>0.655109496129747</v>
      </c>
    </row>
    <row r="3277" customFormat="false" ht="17.15" hidden="false" customHeight="false" outlineLevel="0" collapsed="false">
      <c r="A3277" s="1" t="s">
        <v>1052</v>
      </c>
      <c r="B3277" s="0" t="s">
        <v>98</v>
      </c>
      <c r="C3277" s="6" t="n">
        <f aca="false">Sens!$C$3275+Sens!E3257-Sens!E3246+oai_v</f>
        <v>1976.40600961557</v>
      </c>
    </row>
    <row r="3278" customFormat="false" ht="17.15" hidden="false" customHeight="false" outlineLevel="0" collapsed="false">
      <c r="A3278" s="0" t="s">
        <v>980</v>
      </c>
      <c r="B3278" s="0" t="s">
        <v>75</v>
      </c>
      <c r="C3278" s="5" t="n">
        <f aca="false">Sens!$C$3277/sh_dil26</f>
        <v>265.182612319277</v>
      </c>
    </row>
    <row r="3279" customFormat="false" ht="15" hidden="false" customHeight="false" outlineLevel="0" collapsed="false">
      <c r="A3279" s="1" t="s">
        <v>1053</v>
      </c>
      <c r="B3279" s="0" t="s">
        <v>75</v>
      </c>
      <c r="C3279" s="8" t="n">
        <f aca="false">dps_27+Sens!G3249*roll_div_q/q_per_yr</f>
        <v>4.8895</v>
      </c>
    </row>
    <row r="3280" customFormat="false" ht="17.15" hidden="false" customHeight="false" outlineLevel="0" collapsed="false">
      <c r="A3280" s="0" t="s">
        <v>1054</v>
      </c>
      <c r="B3280" s="0" t="s">
        <v>75</v>
      </c>
      <c r="C3280" s="5" t="n">
        <f aca="false">Sens!$C$3278*(1+wacc)^t_roll-Sens!$C$3279</f>
        <v>297.082794969622</v>
      </c>
    </row>
    <row r="3281" customFormat="false" ht="17.15" hidden="false" customHeight="false" outlineLevel="0" collapsed="false">
      <c r="A3281" s="1" t="s">
        <v>1055</v>
      </c>
      <c r="B3281" s="0" t="s">
        <v>129</v>
      </c>
      <c r="F3281" s="7" t="n">
        <f aca="false">Sens!F3238/(Sens!F3183-Sens!F3139)</f>
        <v>0.0684307874075333</v>
      </c>
      <c r="G3281" s="7" t="n">
        <f aca="false">Sens!G3238/(Sens!G3183-Sens!G3139)</f>
        <v>0.0656456058503526</v>
      </c>
      <c r="H3281" s="7" t="n">
        <f aca="false">Sens!H3238/(Sens!H3183-Sens!H3139)</f>
        <v>0.0641950889132002</v>
      </c>
      <c r="I3281" s="7" t="n">
        <f aca="false">Sens!I3238/(Sens!I3183-Sens!I3139)</f>
        <v>0.063960269667854</v>
      </c>
      <c r="J3281" s="7" t="n">
        <f aca="false">Sens!J3238/(Sens!J3183-Sens!J3139)</f>
        <v>0.0646607917002597</v>
      </c>
      <c r="K3281" s="7" t="n">
        <f aca="false">Sens!K3238/(Sens!K3183-Sens!K3139)</f>
        <v>0.0659511546529383</v>
      </c>
    </row>
    <row r="3282" customFormat="false" ht="17.15" hidden="false" customHeight="false" outlineLevel="0" collapsed="false">
      <c r="A3282" s="0" t="s">
        <v>1056</v>
      </c>
      <c r="B3282" s="0" t="s">
        <v>98</v>
      </c>
      <c r="F3282" s="6" t="n">
        <f aca="false">Sens!F3168*(al_m365+Sens!F3281+sbc_r)</f>
        <v>83.9158372980923</v>
      </c>
      <c r="G3282" s="6" t="n">
        <f aca="false">Sens!G3168*(al_m365+Sens!G3281+sbc_r)</f>
        <v>96.3459139664276</v>
      </c>
      <c r="H3282" s="6" t="n">
        <f aca="false">Sens!H3168*(al_m365+Sens!H3281+sbc_r)</f>
        <v>108.939128787393</v>
      </c>
      <c r="I3282" s="6" t="n">
        <f aca="false">Sens!I3168*(al_m365+Sens!I3281+sbc_r)</f>
        <v>120.51456797186</v>
      </c>
      <c r="J3282" s="6" t="n">
        <f aca="false">Sens!J3168*(al_m365+Sens!J3281+sbc_r)</f>
        <v>130.883844402211</v>
      </c>
      <c r="K3282" s="6" t="n">
        <f aca="false">Sens!K3168*(al_m365+Sens!K3281+sbc_r)</f>
        <v>140.862269296832</v>
      </c>
      <c r="L3282" s="11" t="s">
        <v>1057</v>
      </c>
    </row>
    <row r="3283" customFormat="false" ht="17.15" hidden="false" customHeight="false" outlineLevel="0" collapsed="false">
      <c r="A3283" s="0" t="s">
        <v>1058</v>
      </c>
      <c r="B3283" s="0" t="s">
        <v>98</v>
      </c>
      <c r="F3283" s="6" t="n">
        <f aca="false">Sens!F3169*(al_lic+Sens!F3281+sbc_r)</f>
        <v>33.4384115342236</v>
      </c>
      <c r="G3283" s="6" t="n">
        <f aca="false">Sens!G3169*(al_lic+Sens!G3281+sbc_r)</f>
        <v>34.7409063621757</v>
      </c>
      <c r="H3283" s="6" t="n">
        <f aca="false">Sens!H3169*(al_lic+Sens!H3281+sbc_r)</f>
        <v>35.9566740351293</v>
      </c>
      <c r="I3283" s="6" t="n">
        <f aca="false">Sens!I3169*(al_lic+Sens!I3281+sbc_r)</f>
        <v>37.0672966580049</v>
      </c>
      <c r="J3283" s="6" t="n">
        <f aca="false">Sens!J3169*(al_lic+Sens!J3281+sbc_r)</f>
        <v>38.0469841498966</v>
      </c>
      <c r="K3283" s="6" t="n">
        <f aca="false">Sens!K3169*(al_lic+Sens!K3281+sbc_r)</f>
        <v>38.8666958490701</v>
      </c>
    </row>
    <row r="3284" customFormat="false" ht="17.15" hidden="false" customHeight="false" outlineLevel="0" collapsed="false">
      <c r="A3284" s="0" t="s">
        <v>1059</v>
      </c>
      <c r="B3284" s="0" t="s">
        <v>98</v>
      </c>
      <c r="F3284" s="6" t="n">
        <f aca="false">Sens!F3171*(al_ind+Sens!F3281+sbc_r)</f>
        <v>9.07285900381439</v>
      </c>
      <c r="G3284" s="6" t="n">
        <f aca="false">Sens!G3171*(al_ind+Sens!G3281+sbc_r)</f>
        <v>9.84969160470639</v>
      </c>
      <c r="H3284" s="6" t="n">
        <f aca="false">Sens!H3171*(al_ind+Sens!H3281+sbc_r)</f>
        <v>10.6714469126029</v>
      </c>
      <c r="I3284" s="6" t="n">
        <f aca="false">Sens!I3171*(al_ind+Sens!I3281+sbc_r)</f>
        <v>11.5350820765572</v>
      </c>
      <c r="J3284" s="6" t="n">
        <f aca="false">Sens!J3171*(al_ind+Sens!J3281+sbc_r)</f>
        <v>12.4308815351832</v>
      </c>
      <c r="K3284" s="6" t="n">
        <f aca="false">Sens!K3171*(al_ind+Sens!K3281+sbc_r)</f>
        <v>13.3437330974691</v>
      </c>
    </row>
    <row r="3285" customFormat="false" ht="17.15" hidden="false" customHeight="false" outlineLevel="0" collapsed="false">
      <c r="A3285" s="0" t="s">
        <v>1060</v>
      </c>
      <c r="B3285" s="0" t="s">
        <v>98</v>
      </c>
      <c r="F3285" s="6" t="n">
        <f aca="false">Sens!F3173*(al_fro+Sens!F3281+sbc_r)</f>
        <v>3.5711091569032</v>
      </c>
      <c r="G3285" s="6" t="n">
        <f aca="false">Sens!G3173*(al_fro+Sens!G3281+sbc_r)</f>
        <v>3.78169924595695</v>
      </c>
      <c r="H3285" s="6" t="n">
        <f aca="false">Sens!H3173*(al_fro+Sens!H3281+sbc_r)</f>
        <v>4.02136645419237</v>
      </c>
      <c r="I3285" s="6" t="n">
        <f aca="false">Sens!I3173*(al_fro+Sens!I3281+sbc_r)</f>
        <v>4.29288807676321</v>
      </c>
      <c r="J3285" s="6" t="n">
        <f aca="false">Sens!J3173*(al_fro+Sens!J3281+sbc_r)</f>
        <v>4.59741770960175</v>
      </c>
      <c r="K3285" s="6" t="n">
        <f aca="false">Sens!K3173*(al_fro+Sens!K3281+sbc_r)</f>
        <v>4.9350252981555</v>
      </c>
    </row>
    <row r="3286" customFormat="false" ht="17.15" hidden="false" customHeight="false" outlineLevel="0" collapsed="false">
      <c r="A3286" s="0" t="s">
        <v>1061</v>
      </c>
      <c r="B3286" s="0" t="s">
        <v>98</v>
      </c>
      <c r="F3286" s="6" t="n">
        <f aca="false">Sens!F3176*(al_srch+Sens!F3281+sbc_r)</f>
        <v>11.205111954849</v>
      </c>
      <c r="G3286" s="6" t="n">
        <f aca="false">Sens!G3176*(al_srch+Sens!G3281+sbc_r)</f>
        <v>12.2792883348957</v>
      </c>
      <c r="H3286" s="6" t="n">
        <f aca="false">Sens!H3176*(al_srch+Sens!H3281+sbc_r)</f>
        <v>13.3983888227975</v>
      </c>
      <c r="I3286" s="6" t="n">
        <f aca="false">Sens!I3176*(al_srch+Sens!I3281+sbc_r)</f>
        <v>14.5517695263616</v>
      </c>
      <c r="J3286" s="6" t="n">
        <f aca="false">Sens!J3176*(al_srch+Sens!J3281+sbc_r)</f>
        <v>15.7194284145253</v>
      </c>
      <c r="K3286" s="6" t="n">
        <f aca="false">Sens!K3176*(al_srch+Sens!K3281+sbc_r)</f>
        <v>16.87377171237</v>
      </c>
    </row>
    <row r="3287" customFormat="false" ht="17.15" hidden="false" customHeight="false" outlineLevel="0" collapsed="false">
      <c r="A3287" s="0" t="s">
        <v>1062</v>
      </c>
      <c r="B3287" s="0" t="s">
        <v>98</v>
      </c>
      <c r="F3287" s="6" t="n">
        <f aca="false">Sens!F3145-Sens!F3146+Sens!F3226</f>
        <v>36.4402057883326</v>
      </c>
      <c r="G3287" s="6" t="n">
        <f aca="false">Sens!G3145-Sens!G3146+Sens!G3226</f>
        <v>41.2560023247498</v>
      </c>
      <c r="H3287" s="6" t="n">
        <f aca="false">Sens!H3145-Sens!H3146+Sens!H3226</f>
        <v>41.3619727353037</v>
      </c>
      <c r="I3287" s="6" t="n">
        <f aca="false">Sens!I3145-Sens!I3146+Sens!I3226</f>
        <v>40.6604493822374</v>
      </c>
      <c r="J3287" s="6" t="n">
        <f aca="false">Sens!J3145-Sens!J3146+Sens!J3226</f>
        <v>41.7683134462468</v>
      </c>
      <c r="K3287" s="6" t="n">
        <f aca="false">Sens!K3145-Sens!K3146+Sens!K3226</f>
        <v>45.6587955712701</v>
      </c>
    </row>
    <row r="3288" customFormat="false" ht="17.15" hidden="false" customHeight="false" outlineLevel="0" collapsed="false">
      <c r="A3288" s="0" t="s">
        <v>1063</v>
      </c>
      <c r="B3288" s="0" t="s">
        <v>98</v>
      </c>
      <c r="F3288" s="6" t="n">
        <f aca="false">Sens!F3205+Sens!F3226+Sens!F3156+Sens!F3281*(Sens!F3175-Sens!F3139)+sbc_r*Sens!F3175</f>
        <v>226.959641886432</v>
      </c>
      <c r="G3288" s="6" t="n">
        <f aca="false">Sens!G3205+Sens!G3226+Sens!G3156+Sens!G3281*(Sens!G3175-Sens!G3139)+sbc_r*Sens!G3175</f>
        <v>257.851856843118</v>
      </c>
      <c r="H3288" s="6" t="n">
        <f aca="false">Sens!H3205+Sens!H3226+Sens!H3156+Sens!H3281*(Sens!H3175-Sens!H3139)+sbc_r*Sens!H3175</f>
        <v>284.330066690179</v>
      </c>
      <c r="I3288" s="6" t="n">
        <f aca="false">Sens!I3205+Sens!I3226+Sens!I3156+Sens!I3281*(Sens!I3175-Sens!I3139)+sbc_r*Sens!I3175</f>
        <v>308.728770951264</v>
      </c>
      <c r="J3288" s="6" t="n">
        <f aca="false">Sens!J3205+Sens!J3226+Sens!J3156+Sens!J3281*(Sens!J3175-Sens!J3139)+sbc_r*Sens!J3175</f>
        <v>332.880668967142</v>
      </c>
      <c r="K3288" s="6" t="n">
        <f aca="false">Sens!K3205+Sens!K3226+Sens!K3156+Sens!K3281*(Sens!K3175-Sens!K3139)+sbc_r*Sens!K3175</f>
        <v>357.831101174548</v>
      </c>
    </row>
    <row r="3289" customFormat="false" ht="17.15" hidden="false" customHeight="false" outlineLevel="0" collapsed="false">
      <c r="A3289" s="0" t="s">
        <v>1064</v>
      </c>
      <c r="B3289" s="0" t="s">
        <v>98</v>
      </c>
      <c r="F3289" s="6" t="n">
        <f aca="false">Sens!F3288-Sens!F3282-Sens!F3283-Sens!F3284-Sens!F3285-Sens!F3287</f>
        <v>60.5212191050656</v>
      </c>
      <c r="G3289" s="6" t="n">
        <f aca="false">Sens!G3288-Sens!G3282-Sens!G3283-Sens!G3284-Sens!G3285-Sens!G3287</f>
        <v>71.8776433391012</v>
      </c>
      <c r="H3289" s="6" t="n">
        <f aca="false">Sens!H3288-Sens!H3282-Sens!H3283-Sens!H3284-Sens!H3285-Sens!H3287</f>
        <v>83.3794777655571</v>
      </c>
      <c r="I3289" s="6" t="n">
        <f aca="false">Sens!I3288-Sens!I3282-Sens!I3283-Sens!I3284-Sens!I3285-Sens!I3287</f>
        <v>94.6584867858411</v>
      </c>
      <c r="J3289" s="6" t="n">
        <f aca="false">Sens!J3288-Sens!J3282-Sens!J3283-Sens!J3284-Sens!J3285-Sens!J3287</f>
        <v>105.153227724003</v>
      </c>
      <c r="K3289" s="6" t="n">
        <f aca="false">Sens!K3288-Sens!K3282-Sens!K3283-Sens!K3284-Sens!K3285-Sens!K3287</f>
        <v>114.164582061752</v>
      </c>
    </row>
    <row r="3290" customFormat="false" ht="17.15" hidden="false" customHeight="false" outlineLevel="0" collapsed="false">
      <c r="A3290" s="0" t="s">
        <v>1065</v>
      </c>
      <c r="B3290" s="0" t="s">
        <v>98</v>
      </c>
      <c r="F3290" s="6" t="n">
        <f aca="false">Sens!F3207+Sens!F3281*Sens!F3182+sbc_r*Sens!F3182</f>
        <v>26.1883018536976</v>
      </c>
      <c r="G3290" s="6" t="n">
        <f aca="false">Sens!G3207+Sens!G3281*Sens!G3182+sbc_r*Sens!G3182</f>
        <v>26.7988692269165</v>
      </c>
      <c r="H3290" s="6" t="n">
        <f aca="false">Sens!H3207+Sens!H3281*Sens!H3182+sbc_r*Sens!H3182</f>
        <v>27.676651877401</v>
      </c>
      <c r="I3290" s="6" t="n">
        <f aca="false">Sens!I3207+Sens!I3281*Sens!I3182+sbc_r*Sens!I3182</f>
        <v>28.7919477163856</v>
      </c>
      <c r="J3290" s="6" t="n">
        <f aca="false">Sens!J3207+Sens!J3281*Sens!J3182+sbc_r*Sens!J3182</f>
        <v>30.1095554599876</v>
      </c>
      <c r="K3290" s="6" t="n">
        <f aca="false">Sens!K3207+Sens!K3281*Sens!K3182+sbc_r*Sens!K3182</f>
        <v>31.5923355811805</v>
      </c>
    </row>
    <row r="3291" customFormat="false" ht="17.15" hidden="false" customHeight="false" outlineLevel="0" collapsed="false">
      <c r="A3291" s="0" t="s">
        <v>1066</v>
      </c>
      <c r="B3291" s="0" t="s">
        <v>98</v>
      </c>
      <c r="F3291" s="6" t="n">
        <f aca="false">(Sens!F3290-Sens!F3286)*Sens!F3178/(Sens!F3178+Sens!F3180)</f>
        <v>8.21363876839376</v>
      </c>
      <c r="G3291" s="6" t="n">
        <f aca="false">(Sens!G3290-Sens!G3286)*Sens!G3178/(Sens!G3178+Sens!G3180)</f>
        <v>7.81757556948427</v>
      </c>
      <c r="H3291" s="6" t="n">
        <f aca="false">(Sens!H3290-Sens!H3286)*Sens!H3178/(Sens!H3178+Sens!H3180)</f>
        <v>7.58379891746928</v>
      </c>
      <c r="I3291" s="6" t="n">
        <f aca="false">(Sens!I3290-Sens!I3286)*Sens!I3178/(Sens!I3178+Sens!I3180)</f>
        <v>7.49513512835163</v>
      </c>
      <c r="J3291" s="6" t="n">
        <f aca="false">(Sens!J3290-Sens!J3286)*Sens!J3178/(Sens!J3178+Sens!J3180)</f>
        <v>7.53980917061682</v>
      </c>
      <c r="K3291" s="6" t="n">
        <f aca="false">(Sens!K3290-Sens!K3286)*Sens!K3178/(Sens!K3178+Sens!K3180)</f>
        <v>7.71189597463361</v>
      </c>
    </row>
    <row r="3292" customFormat="false" ht="17.15" hidden="false" customHeight="false" outlineLevel="0" collapsed="false">
      <c r="A3292" s="0" t="s">
        <v>1067</v>
      </c>
      <c r="B3292" s="0" t="s">
        <v>98</v>
      </c>
      <c r="F3292" s="6" t="n">
        <f aca="false">Sens!F3290-Sens!F3286-Sens!F3291</f>
        <v>6.76955113045481</v>
      </c>
      <c r="G3292" s="6" t="n">
        <f aca="false">Sens!G3290-Sens!G3286-Sens!G3291</f>
        <v>6.70200532253647</v>
      </c>
      <c r="H3292" s="6" t="n">
        <f aca="false">Sens!H3290-Sens!H3286-Sens!H3291</f>
        <v>6.6944641371343</v>
      </c>
      <c r="I3292" s="6" t="n">
        <f aca="false">Sens!I3290-Sens!I3286-Sens!I3291</f>
        <v>6.74504306167234</v>
      </c>
      <c r="J3292" s="6" t="n">
        <f aca="false">Sens!J3290-Sens!J3286-Sens!J3291</f>
        <v>6.85031787484545</v>
      </c>
      <c r="K3292" s="6" t="n">
        <f aca="false">Sens!K3290-Sens!K3286-Sens!K3291</f>
        <v>7.00666789417688</v>
      </c>
    </row>
    <row r="3293" customFormat="false" ht="17.15" hidden="false" customHeight="false" outlineLevel="0" collapsed="false">
      <c r="A3293" s="0" t="s">
        <v>1068</v>
      </c>
      <c r="B3293" s="0" t="s">
        <v>98</v>
      </c>
      <c r="F3293" s="6" t="n">
        <f aca="false">Sens!F3287-tax_f*(Sens!F3287-Sens!F3156)-Sens!F3153</f>
        <v>-132.242899601931</v>
      </c>
      <c r="G3293" s="6" t="n">
        <f aca="false">Sens!G3287-tax_f*(Sens!G3287-Sens!G3156)-Sens!G3153</f>
        <v>8.1889168780811</v>
      </c>
      <c r="H3293" s="6" t="n">
        <f aca="false">Sens!H3287-tax_f*(Sens!H3287-Sens!H3156)-Sens!H3153</f>
        <v>44.0929601061242</v>
      </c>
      <c r="I3293" s="6" t="n">
        <f aca="false">Sens!I3287-tax_f*(Sens!I3287-Sens!I3156)-Sens!I3153</f>
        <v>13.4018209229212</v>
      </c>
      <c r="J3293" s="6" t="n">
        <f aca="false">Sens!J3287-tax_f*(Sens!J3287-Sens!J3156)-Sens!J3153</f>
        <v>-0.826786552787972</v>
      </c>
      <c r="K3293" s="6" t="n">
        <f aca="false">Sens!K3287-tax_f*(Sens!K3287-Sens!K3156)-Sens!K3153</f>
        <v>-42.2129412478527</v>
      </c>
    </row>
    <row r="3294" customFormat="false" ht="17.15" hidden="false" customHeight="false" outlineLevel="0" collapsed="false">
      <c r="A3294" s="0" t="s">
        <v>1069</v>
      </c>
      <c r="B3294" s="0" t="s">
        <v>98</v>
      </c>
      <c r="F3294" s="6" t="n">
        <f aca="false">Sens!F3293*Sens!F3267</f>
        <v>-125.920812707699</v>
      </c>
      <c r="G3294" s="6" t="n">
        <f aca="false">Sens!G3293*Sens!G3267</f>
        <v>7.06971533963093</v>
      </c>
      <c r="H3294" s="6" t="n">
        <f aca="false">Sens!H3293*Sens!H3267</f>
        <v>34.5139789362919</v>
      </c>
      <c r="I3294" s="6" t="n">
        <f aca="false">Sens!I3293*Sens!I3267</f>
        <v>9.5113003149299</v>
      </c>
      <c r="J3294" s="6" t="n">
        <f aca="false">Sens!J3293*Sens!J3267</f>
        <v>-0.53201000310533</v>
      </c>
      <c r="K3294" s="6" t="n">
        <f aca="false">Sens!K3293*Sens!K3267</f>
        <v>-24.627612790488</v>
      </c>
    </row>
    <row r="3295" customFormat="false" ht="17.15" hidden="false" customHeight="false" outlineLevel="0" collapsed="false">
      <c r="A3295" s="0" t="s">
        <v>1070</v>
      </c>
      <c r="B3295" s="0" t="s">
        <v>98</v>
      </c>
      <c r="C3295" s="6" t="n">
        <f aca="false">(Sens!K3287-Sens!K3156)*(1-tax_f)*(1+g_tv)*(1-g_tv/(wacc+ronic_prem))/(wacc-g_tv)/(1+wacc)^(Sens!K3266+mid_yr)</f>
        <v>-64.5770668627121</v>
      </c>
    </row>
    <row r="3296" customFormat="false" ht="17.15" hidden="false" customHeight="false" outlineLevel="0" collapsed="false">
      <c r="A3296" s="1" t="s">
        <v>1071</v>
      </c>
      <c r="B3296" s="0" t="s">
        <v>98</v>
      </c>
      <c r="C3296" s="6" t="n">
        <f aca="false">(SUM(Sens!F3294:K3294)+Sens!$C$3295)*(1+wacc)^t_roll</f>
        <v>-187.392822265378</v>
      </c>
      <c r="L3296" s="11" t="s">
        <v>1072</v>
      </c>
    </row>
    <row r="3297" customFormat="false" ht="17.15" hidden="false" customHeight="false" outlineLevel="0" collapsed="false">
      <c r="A3297" s="1" t="s">
        <v>1073</v>
      </c>
      <c r="B3297" s="0" t="s">
        <v>98</v>
      </c>
      <c r="C3297" s="6" t="n">
        <f aca="false">(w_ntm28*Sens!G3145+(1-w_ntm28)*Sens!H3145)*m_ai</f>
        <v>209.754114949644</v>
      </c>
    </row>
    <row r="3298" customFormat="false" ht="17.15" hidden="false" customHeight="false" outlineLevel="0" collapsed="false">
      <c r="A3298" s="1" t="s">
        <v>1074</v>
      </c>
      <c r="B3298" s="0" t="s">
        <v>98</v>
      </c>
      <c r="C3298" s="6" t="n">
        <f aca="false">(w_ntm28*Sens!G3289+(1-w_ntm28)*Sens!H3289)*m_cloud</f>
        <v>1044.73733645128</v>
      </c>
    </row>
    <row r="3299" customFormat="false" ht="17.15" hidden="false" customHeight="false" outlineLevel="0" collapsed="false">
      <c r="A3299" s="1" t="s">
        <v>1075</v>
      </c>
      <c r="B3299" s="0" t="s">
        <v>98</v>
      </c>
      <c r="C3299" s="6" t="n">
        <f aca="false">(w_ntm28*Sens!G3282+(1-w_ntm28)*Sens!H3282)*m_sw</f>
        <v>1084.50516663972</v>
      </c>
    </row>
    <row r="3300" customFormat="false" ht="17.15" hidden="false" customHeight="false" outlineLevel="0" collapsed="false">
      <c r="A3300" s="1" t="s">
        <v>1076</v>
      </c>
      <c r="B3300" s="0" t="s">
        <v>98</v>
      </c>
      <c r="C3300" s="6" t="n">
        <f aca="false">(w_ntm28*Sens!G3283+(1-w_ntm28)*Sens!H3283)*m_sw</f>
        <v>379.446649868791</v>
      </c>
    </row>
    <row r="3301" customFormat="false" ht="17.15" hidden="false" customHeight="false" outlineLevel="0" collapsed="false">
      <c r="A3301" s="1" t="s">
        <v>1077</v>
      </c>
      <c r="B3301" s="0" t="s">
        <v>98</v>
      </c>
      <c r="C3301" s="6" t="n">
        <f aca="false">(w_ntm28*Sens!G3284+(1-w_ntm28)*Sens!H3284)*m_sw</f>
        <v>109.245833616811</v>
      </c>
    </row>
    <row r="3302" customFormat="false" ht="17.15" hidden="false" customHeight="false" outlineLevel="0" collapsed="false">
      <c r="A3302" s="1" t="s">
        <v>1078</v>
      </c>
      <c r="B3302" s="0" t="s">
        <v>98</v>
      </c>
      <c r="C3302" s="6" t="n">
        <f aca="false">(w_ntm28*Sens!G3285+(1-w_ntm28)*Sens!H3285)*m_sw</f>
        <v>41.6791515554452</v>
      </c>
    </row>
    <row r="3303" customFormat="false" ht="17.15" hidden="false" customHeight="false" outlineLevel="0" collapsed="false">
      <c r="A3303" s="1" t="s">
        <v>1079</v>
      </c>
      <c r="B3303" s="0" t="s">
        <v>98</v>
      </c>
      <c r="C3303" s="6" t="n">
        <f aca="false">(w_ntm28*Sens!G3286+(1-w_ntm28)*Sens!H3286)*m_ads</f>
        <v>115.160236299351</v>
      </c>
    </row>
    <row r="3304" customFormat="false" ht="17.15" hidden="false" customHeight="false" outlineLevel="0" collapsed="false">
      <c r="A3304" s="1" t="s">
        <v>1080</v>
      </c>
      <c r="B3304" s="0" t="s">
        <v>98</v>
      </c>
      <c r="C3304" s="6" t="n">
        <f aca="false">(w_ntm28*Sens!G3291+(1-w_ntm28)*Sens!H3291)*m_game</f>
        <v>97.7814405506301</v>
      </c>
    </row>
    <row r="3305" customFormat="false" ht="17.15" hidden="false" customHeight="false" outlineLevel="0" collapsed="false">
      <c r="A3305" s="1" t="s">
        <v>1081</v>
      </c>
      <c r="B3305" s="0" t="s">
        <v>98</v>
      </c>
      <c r="C3305" s="6" t="n">
        <f aca="false">(w_ntm28*Sens!G3292+(1-w_ntm28)*Sens!H3292)*m_pc</f>
        <v>96.9427395583992</v>
      </c>
    </row>
    <row r="3306" customFormat="false" ht="17.15" hidden="false" customHeight="false" outlineLevel="0" collapsed="false">
      <c r="A3306" s="1" t="s">
        <v>1082</v>
      </c>
      <c r="B3306" s="0" t="s">
        <v>98</v>
      </c>
      <c r="C3306" s="6" t="n">
        <f aca="false">Sens!$C$3296+Sens!$C$3298+Sens!$C$3299+Sens!$C$3300+Sens!$C$3301+Sens!$C$3302+Sens!$C$3303+Sens!$C$3304+Sens!$C$3305</f>
        <v>2782.10573227504</v>
      </c>
    </row>
    <row r="3307" customFormat="false" ht="17.15" hidden="false" customHeight="false" outlineLevel="0" collapsed="false">
      <c r="A3307" s="1" t="s">
        <v>1000</v>
      </c>
      <c r="B3307" s="0" t="s">
        <v>98</v>
      </c>
      <c r="C3307" s="6" t="n">
        <f aca="false">Sens!F3257+oai_v-Sens!F3246</f>
        <v>103.769673859964</v>
      </c>
      <c r="L3307" s="1" t="s">
        <v>1083</v>
      </c>
    </row>
    <row r="3308" customFormat="false" ht="15" hidden="false" customHeight="false" outlineLevel="0" collapsed="false">
      <c r="A3308" s="1" t="s">
        <v>1001</v>
      </c>
      <c r="B3308" s="0" t="s">
        <v>75</v>
      </c>
      <c r="C3308" s="5" t="n">
        <f aca="false">(Sens!$C$3306+Sens!$C$3307)/Sens!F3259</f>
        <v>386.225295253614</v>
      </c>
    </row>
    <row r="3309" customFormat="false" ht="17.15" hidden="false" customHeight="false" outlineLevel="0" collapsed="false">
      <c r="A3309" s="1" t="s">
        <v>1084</v>
      </c>
      <c r="B3309" s="0" t="s">
        <v>75</v>
      </c>
      <c r="C3309" s="5" t="n">
        <f aca="false">w_dcf*Sens!$C$3280+(1-w_dcf)*Sens!$C$3308</f>
        <v>341.654045111618</v>
      </c>
    </row>
    <row r="3310" customFormat="false" ht="17.15" hidden="false" customHeight="false" outlineLevel="0" collapsed="false">
      <c r="A3310" s="3" t="s">
        <v>1319</v>
      </c>
    </row>
    <row r="3311" customFormat="false" ht="15" hidden="false" customHeight="false" outlineLevel="0" collapsed="false">
      <c r="A3311" s="4" t="s">
        <v>43</v>
      </c>
      <c r="B3311" s="4" t="s">
        <v>65</v>
      </c>
      <c r="C3311" s="20" t="s">
        <v>788</v>
      </c>
      <c r="D3311" s="20" t="s">
        <v>789</v>
      </c>
      <c r="E3311" s="20" t="s">
        <v>790</v>
      </c>
      <c r="F3311" s="20" t="s">
        <v>791</v>
      </c>
      <c r="G3311" s="20" t="s">
        <v>792</v>
      </c>
      <c r="H3311" s="20" t="s">
        <v>793</v>
      </c>
      <c r="I3311" s="20" t="s">
        <v>794</v>
      </c>
      <c r="J3311" s="20" t="s">
        <v>795</v>
      </c>
      <c r="K3311" s="20" t="s">
        <v>796</v>
      </c>
      <c r="L3311" s="4" t="s">
        <v>47</v>
      </c>
    </row>
    <row r="3312" customFormat="false" ht="17.15" hidden="false" customHeight="false" outlineLevel="0" collapsed="false">
      <c r="A3312" s="1" t="s">
        <v>797</v>
      </c>
      <c r="B3312" s="1" t="s">
        <v>235</v>
      </c>
      <c r="C3312" s="28" t="n">
        <v>2024</v>
      </c>
      <c r="D3312" s="28" t="n">
        <v>2025</v>
      </c>
      <c r="E3312" s="28" t="n">
        <v>2026</v>
      </c>
      <c r="F3312" s="28" t="n">
        <v>2027</v>
      </c>
      <c r="G3312" s="28" t="n">
        <v>2028</v>
      </c>
      <c r="H3312" s="28" t="n">
        <v>2029</v>
      </c>
      <c r="I3312" s="28" t="n">
        <v>2030</v>
      </c>
      <c r="J3312" s="28" t="n">
        <v>2031</v>
      </c>
      <c r="K3312" s="28" t="n">
        <v>2032</v>
      </c>
    </row>
    <row r="3313" customFormat="false" ht="17.15" hidden="false" customHeight="false" outlineLevel="0" collapsed="false">
      <c r="A3313" s="1" t="s">
        <v>798</v>
      </c>
      <c r="B3313" s="0" t="s">
        <v>392</v>
      </c>
      <c r="F3313" s="29" t="n">
        <f aca="false">pace_epoch</f>
        <v>650</v>
      </c>
      <c r="G3313" s="29" t="n">
        <f aca="false">pace_epoch</f>
        <v>650</v>
      </c>
      <c r="H3313" s="29" t="n">
        <f aca="false">pace_epoch</f>
        <v>650</v>
      </c>
      <c r="I3313" s="29" t="n">
        <f aca="false">pace_epoch+(g_tv*Sens!H3314-pace_epoch)*MIN(1,(Sens!I3312-pace_y0)/(pace_y1-pace_y0))</f>
        <v>477.193333333333</v>
      </c>
      <c r="J3313" s="29" t="n">
        <f aca="false">pace_epoch+(g_tv*Sens!H3314-pace_epoch)*MIN(1,(Sens!J3312-pace_y0)/(pace_y1-pace_y0))</f>
        <v>304.386666666667</v>
      </c>
      <c r="K3313" s="29" t="n">
        <f aca="false">pace_epoch+(g_tv*Sens!H3314-pace_epoch)*MIN(1,(Sens!K3312-pace_y0)/(pace_y1-pace_y0))</f>
        <v>131.58</v>
      </c>
      <c r="L3313" s="11" t="s">
        <v>799</v>
      </c>
    </row>
    <row r="3314" customFormat="false" ht="17.15" hidden="false" customHeight="false" outlineLevel="0" collapsed="false">
      <c r="A3314" s="1" t="s">
        <v>800</v>
      </c>
      <c r="B3314" s="0" t="s">
        <v>392</v>
      </c>
      <c r="C3314" s="29" t="n">
        <f aca="false">mw_ext_24</f>
        <v>640</v>
      </c>
      <c r="D3314" s="29" t="n">
        <f aca="false">mw_ext_25</f>
        <v>1630</v>
      </c>
      <c r="E3314" s="29" t="n">
        <f aca="false">mw_ext_26</f>
        <v>3250</v>
      </c>
      <c r="F3314" s="29" t="n">
        <f aca="false">MIN(cap_epoch,Sens!E3314+Sens!F3313)</f>
        <v>3900</v>
      </c>
      <c r="G3314" s="29" t="n">
        <f aca="false">MIN(cap_epoch,Sens!F3314+Sens!G3313)</f>
        <v>4386</v>
      </c>
      <c r="H3314" s="29" t="n">
        <f aca="false">MIN(cap_epoch,Sens!G3314+Sens!H3313)</f>
        <v>4386</v>
      </c>
      <c r="I3314" s="29" t="n">
        <f aca="false">MIN(cap_epoch,Sens!H3314+Sens!I3313)</f>
        <v>4386</v>
      </c>
      <c r="J3314" s="29" t="n">
        <f aca="false">MIN(cap_epoch,Sens!I3314+Sens!J3313)</f>
        <v>4386</v>
      </c>
      <c r="K3314" s="29" t="n">
        <f aca="false">MIN(cap_epoch,Sens!J3314+Sens!K3313)</f>
        <v>4386</v>
      </c>
      <c r="L3314" s="1" t="s">
        <v>801</v>
      </c>
    </row>
    <row r="3315" customFormat="false" ht="17.15" hidden="false" customHeight="false" outlineLevel="0" collapsed="false">
      <c r="A3315" s="1" t="s">
        <v>802</v>
      </c>
      <c r="B3315" s="0" t="s">
        <v>392</v>
      </c>
      <c r="C3315" s="29" t="n">
        <f aca="false">rent_ext_24</f>
        <v>150</v>
      </c>
      <c r="D3315" s="29" t="n">
        <f aca="false">rent_ext_25</f>
        <v>400</v>
      </c>
      <c r="E3315" s="29" t="n">
        <f aca="false">rent_ext_26</f>
        <v>550</v>
      </c>
      <c r="F3315" s="29" t="n">
        <f aca="false">rent_ext_f</f>
        <v>756</v>
      </c>
      <c r="G3315" s="29" t="n">
        <f aca="false">rent_ext_f</f>
        <v>756</v>
      </c>
      <c r="H3315" s="29" t="n">
        <f aca="false">rent_ext_f</f>
        <v>756</v>
      </c>
      <c r="I3315" s="29" t="n">
        <f aca="false">rent_ext_f</f>
        <v>756</v>
      </c>
      <c r="J3315" s="29" t="n">
        <f aca="false">rent_ext_f</f>
        <v>756</v>
      </c>
      <c r="K3315" s="29" t="n">
        <f aca="false">rent_ext_f</f>
        <v>756</v>
      </c>
      <c r="L3315" s="1" t="s">
        <v>803</v>
      </c>
    </row>
    <row r="3316" customFormat="false" ht="17.15" hidden="false" customHeight="false" outlineLevel="0" collapsed="false">
      <c r="A3316" s="1" t="s">
        <v>804</v>
      </c>
      <c r="B3316" s="0" t="s">
        <v>392</v>
      </c>
      <c r="C3316" s="29" t="n">
        <f aca="false">Sens!C3314-Sens!C3315</f>
        <v>490</v>
      </c>
      <c r="D3316" s="29" t="n">
        <f aca="false">Sens!D3314-Sens!D3315</f>
        <v>1230</v>
      </c>
      <c r="E3316" s="29" t="n">
        <f aca="false">Sens!E3314-Sens!E3315</f>
        <v>2700</v>
      </c>
      <c r="F3316" s="29" t="n">
        <f aca="false">Sens!F3314-Sens!F3315</f>
        <v>3144</v>
      </c>
      <c r="G3316" s="29" t="n">
        <f aca="false">Sens!G3314-Sens!G3315</f>
        <v>3630</v>
      </c>
      <c r="H3316" s="29" t="n">
        <f aca="false">Sens!H3314-Sens!H3315</f>
        <v>3630</v>
      </c>
      <c r="I3316" s="29" t="n">
        <f aca="false">Sens!I3314-Sens!I3315</f>
        <v>3630</v>
      </c>
      <c r="J3316" s="29" t="n">
        <f aca="false">Sens!J3314-Sens!J3315</f>
        <v>3630</v>
      </c>
      <c r="K3316" s="29" t="n">
        <f aca="false">Sens!K3314-Sens!K3315</f>
        <v>3630</v>
      </c>
    </row>
    <row r="3317" customFormat="false" ht="17.15" hidden="false" customHeight="false" outlineLevel="0" collapsed="false">
      <c r="A3317" s="1" t="s">
        <v>805</v>
      </c>
      <c r="B3317" s="0" t="s">
        <v>392</v>
      </c>
      <c r="C3317" s="29" t="n">
        <f aca="false">Sens!C3316/ext_sh</f>
        <v>816.666666666667</v>
      </c>
      <c r="D3317" s="29" t="n">
        <f aca="false">Sens!D3316/ext_sh</f>
        <v>2050</v>
      </c>
      <c r="E3317" s="29" t="n">
        <f aca="false">Sens!E3316/ext_sh</f>
        <v>4500</v>
      </c>
      <c r="F3317" s="29" t="n">
        <f aca="false">Sens!F3316/ext_sh</f>
        <v>5240</v>
      </c>
      <c r="G3317" s="29" t="n">
        <f aca="false">Sens!G3316/ext_sh</f>
        <v>6050</v>
      </c>
      <c r="H3317" s="29" t="n">
        <f aca="false">Sens!H3316/ext_sh</f>
        <v>6050</v>
      </c>
      <c r="I3317" s="29" t="n">
        <f aca="false">Sens!I3316/ext_sh</f>
        <v>6050</v>
      </c>
      <c r="J3317" s="29" t="n">
        <f aca="false">Sens!J3316/ext_sh</f>
        <v>6050</v>
      </c>
      <c r="K3317" s="29" t="n">
        <f aca="false">Sens!K3316/ext_sh</f>
        <v>6050</v>
      </c>
      <c r="L3317" s="1" t="s">
        <v>806</v>
      </c>
    </row>
    <row r="3318" customFormat="false" ht="17.15" hidden="false" customHeight="false" outlineLevel="0" collapsed="false">
      <c r="A3318" s="1" t="s">
        <v>807</v>
      </c>
      <c r="B3318" s="0" t="s">
        <v>392</v>
      </c>
      <c r="C3318" s="29" t="n">
        <f aca="false">Sens!C3317-Sens!C3316</f>
        <v>326.666666666667</v>
      </c>
      <c r="D3318" s="29" t="n">
        <f aca="false">Sens!D3317-Sens!D3316</f>
        <v>820</v>
      </c>
      <c r="E3318" s="29" t="n">
        <f aca="false">Sens!E3317-Sens!E3316</f>
        <v>1800</v>
      </c>
      <c r="F3318" s="29" t="n">
        <f aca="false">Sens!F3317-Sens!F3316</f>
        <v>2096</v>
      </c>
      <c r="G3318" s="29" t="n">
        <f aca="false">Sens!G3317-Sens!G3316</f>
        <v>2420</v>
      </c>
      <c r="H3318" s="29" t="n">
        <f aca="false">Sens!H3317-Sens!H3316</f>
        <v>2420</v>
      </c>
      <c r="I3318" s="29" t="n">
        <f aca="false">Sens!I3317-Sens!I3316</f>
        <v>2420</v>
      </c>
      <c r="J3318" s="29" t="n">
        <f aca="false">Sens!J3317-Sens!J3316</f>
        <v>2420</v>
      </c>
      <c r="K3318" s="29" t="n">
        <f aca="false">Sens!K3317-Sens!K3316</f>
        <v>2420</v>
      </c>
    </row>
    <row r="3319" customFormat="false" ht="17.15" hidden="false" customHeight="false" outlineLevel="0" collapsed="false">
      <c r="A3319" s="1" t="s">
        <v>808</v>
      </c>
      <c r="B3319" s="0" t="s">
        <v>392</v>
      </c>
      <c r="C3319" s="29" t="n">
        <f aca="false">Sens!C3317</f>
        <v>816.666666666667</v>
      </c>
      <c r="D3319" s="29" t="n">
        <f aca="false">Sens!D3317-Sens!C3317</f>
        <v>1233.33333333333</v>
      </c>
      <c r="E3319" s="29" t="n">
        <f aca="false">Sens!E3317-Sens!D3317</f>
        <v>2450</v>
      </c>
      <c r="F3319" s="29" t="n">
        <f aca="false">Sens!F3317-Sens!E3317</f>
        <v>740</v>
      </c>
      <c r="G3319" s="29" t="n">
        <f aca="false">Sens!G3317-Sens!F3317</f>
        <v>810</v>
      </c>
      <c r="H3319" s="29" t="n">
        <f aca="false">Sens!H3317-Sens!G3317</f>
        <v>0</v>
      </c>
      <c r="I3319" s="29" t="n">
        <f aca="false">Sens!I3317-Sens!H3317</f>
        <v>0</v>
      </c>
      <c r="J3319" s="29" t="n">
        <f aca="false">Sens!J3317-Sens!I3317</f>
        <v>0</v>
      </c>
      <c r="K3319" s="29" t="n">
        <f aca="false">Sens!K3317-Sens!J3317</f>
        <v>0</v>
      </c>
    </row>
    <row r="3320" customFormat="false" ht="17.15" hidden="false" customHeight="false" outlineLevel="0" collapsed="false">
      <c r="A3320" s="1" t="s">
        <v>809</v>
      </c>
      <c r="B3320" s="0" t="s">
        <v>392</v>
      </c>
      <c r="D3320" s="29" t="n">
        <f aca="false">Sens!D3314-Sens!C3314</f>
        <v>990</v>
      </c>
      <c r="E3320" s="29" t="n">
        <f aca="false">Sens!E3314-Sens!D3314</f>
        <v>1620</v>
      </c>
      <c r="F3320" s="29" t="n">
        <f aca="false">Sens!F3314-Sens!E3314</f>
        <v>650</v>
      </c>
      <c r="G3320" s="29" t="n">
        <f aca="false">Sens!G3314-Sens!F3314</f>
        <v>486</v>
      </c>
      <c r="H3320" s="29" t="n">
        <f aca="false">Sens!H3314-Sens!G3314</f>
        <v>0</v>
      </c>
      <c r="I3320" s="29" t="n">
        <f aca="false">Sens!I3314-Sens!H3314</f>
        <v>0</v>
      </c>
      <c r="J3320" s="29" t="n">
        <f aca="false">Sens!J3314-Sens!I3314</f>
        <v>0</v>
      </c>
      <c r="K3320" s="29" t="n">
        <f aca="false">Sens!K3314-Sens!J3314</f>
        <v>0</v>
      </c>
    </row>
    <row r="3321" customFormat="false" ht="17.15" hidden="false" customHeight="false" outlineLevel="0" collapsed="false">
      <c r="A3321" s="1" t="s">
        <v>810</v>
      </c>
      <c r="B3321" s="0" t="s">
        <v>392</v>
      </c>
      <c r="F3321" s="29" t="n">
        <f aca="false">Sens!F3338*ext_sh</f>
        <v>0</v>
      </c>
      <c r="G3321" s="29" t="n">
        <f aca="false">Sens!G3338*ext_sh</f>
        <v>0</v>
      </c>
      <c r="H3321" s="29" t="n">
        <f aca="false">Sens!H3338*ext_sh</f>
        <v>0</v>
      </c>
      <c r="I3321" s="29" t="n">
        <f aca="false">Sens!I3338*ext_sh</f>
        <v>490</v>
      </c>
      <c r="J3321" s="29" t="n">
        <f aca="false">Sens!J3338*ext_sh</f>
        <v>740</v>
      </c>
      <c r="K3321" s="29" t="n">
        <f aca="false">Sens!K3338*ext_sh</f>
        <v>1470</v>
      </c>
      <c r="L3321" s="1" t="s">
        <v>811</v>
      </c>
    </row>
    <row r="3322" customFormat="false" ht="17.15" hidden="false" customHeight="false" outlineLevel="0" collapsed="false">
      <c r="A3322" s="1" t="s">
        <v>812</v>
      </c>
      <c r="B3322" s="0" t="s">
        <v>392</v>
      </c>
      <c r="C3322" s="29" t="n">
        <f aca="false">mix_h*Sens!C3314</f>
        <v>128</v>
      </c>
      <c r="D3322" s="29" t="n">
        <f aca="false">mix_h*Sens!D3314</f>
        <v>326</v>
      </c>
      <c r="E3322" s="29" t="n">
        <f aca="false">mix_h*Sens!E3314</f>
        <v>650</v>
      </c>
      <c r="F3322" s="29" t="n">
        <f aca="false">Sens!E3322-Sens!F3321*mix_h</f>
        <v>650</v>
      </c>
      <c r="G3322" s="29" t="n">
        <f aca="false">Sens!F3322-Sens!G3321*mix_h</f>
        <v>650</v>
      </c>
      <c r="H3322" s="29" t="n">
        <f aca="false">Sens!G3322-Sens!H3321*mix_h</f>
        <v>650</v>
      </c>
      <c r="I3322" s="29" t="n">
        <f aca="false">Sens!H3322-Sens!I3321*mix_h</f>
        <v>552</v>
      </c>
      <c r="J3322" s="29" t="n">
        <f aca="false">Sens!I3322-Sens!J3321*mix_h</f>
        <v>404</v>
      </c>
      <c r="K3322" s="29" t="n">
        <f aca="false">Sens!J3322-Sens!K3321*mix_h</f>
        <v>110</v>
      </c>
    </row>
    <row r="3323" customFormat="false" ht="17.15" hidden="false" customHeight="false" outlineLevel="0" collapsed="false">
      <c r="A3323" s="1" t="s">
        <v>813</v>
      </c>
      <c r="B3323" s="0" t="s">
        <v>392</v>
      </c>
      <c r="C3323" s="29" t="n">
        <f aca="false">mix_g2*Sens!C3314</f>
        <v>288</v>
      </c>
      <c r="D3323" s="29" t="n">
        <f aca="false">mix_g2*Sens!D3314</f>
        <v>733.5</v>
      </c>
      <c r="E3323" s="29" t="n">
        <f aca="false">mix_g2*Sens!E3314</f>
        <v>1462.5</v>
      </c>
      <c r="F3323" s="29" t="n">
        <f aca="false">Sens!E3323-Sens!F3321*mix_g2</f>
        <v>1462.5</v>
      </c>
      <c r="G3323" s="29" t="n">
        <f aca="false">Sens!F3323-Sens!G3321*mix_g2</f>
        <v>1462.5</v>
      </c>
      <c r="H3323" s="29" t="n">
        <f aca="false">Sens!G3323-Sens!H3321*mix_g2</f>
        <v>1462.5</v>
      </c>
      <c r="I3323" s="29" t="n">
        <f aca="false">Sens!H3323-Sens!I3321*mix_g2</f>
        <v>1242</v>
      </c>
      <c r="J3323" s="29" t="n">
        <f aca="false">Sens!I3323-Sens!J3321*mix_g2</f>
        <v>909</v>
      </c>
      <c r="K3323" s="29" t="n">
        <f aca="false">Sens!J3323-Sens!K3321*mix_g2</f>
        <v>247.5</v>
      </c>
    </row>
    <row r="3324" customFormat="false" ht="17.15" hidden="false" customHeight="false" outlineLevel="0" collapsed="false">
      <c r="A3324" s="1" t="s">
        <v>814</v>
      </c>
      <c r="B3324" s="0" t="s">
        <v>392</v>
      </c>
      <c r="C3324" s="29" t="n">
        <f aca="false">mix_g3*Sens!C3314</f>
        <v>224</v>
      </c>
      <c r="D3324" s="29" t="n">
        <f aca="false">mix_g3*Sens!D3314</f>
        <v>570.5</v>
      </c>
      <c r="E3324" s="29" t="n">
        <f aca="false">mix_g3*Sens!E3314</f>
        <v>1137.5</v>
      </c>
      <c r="F3324" s="29" t="n">
        <f aca="false">Sens!E3324+(Sens!F3320+Sens!F3321)*a_g3_27-Sens!F3321*mix_g3</f>
        <v>1592.5</v>
      </c>
      <c r="G3324" s="29" t="n">
        <f aca="false">Sens!F3324+(Sens!G3320+Sens!G3321)*a_g3_28-Sens!G3321*mix_g3</f>
        <v>1738.3</v>
      </c>
      <c r="H3324" s="29" t="n">
        <f aca="false">Sens!G3324+(Sens!H3320+Sens!H3321)*a_g3_29-Sens!H3321*mix_g3</f>
        <v>1738.3</v>
      </c>
      <c r="I3324" s="29" t="n">
        <f aca="false">Sens!H3324+(Sens!I3320+Sens!I3321)*a_g3_29-Sens!I3321*mix_g3</f>
        <v>1615.8</v>
      </c>
      <c r="J3324" s="29" t="n">
        <f aca="false">Sens!I3324+(Sens!J3320+Sens!J3321)*a_g3_29-Sens!J3321*mix_g3</f>
        <v>1430.8</v>
      </c>
      <c r="K3324" s="29" t="n">
        <f aca="false">Sens!J3324+(Sens!K3320+Sens!K3321)*a_g3_29-Sens!K3321*mix_g3</f>
        <v>1063.3</v>
      </c>
    </row>
    <row r="3325" customFormat="false" ht="17.15" hidden="false" customHeight="false" outlineLevel="0" collapsed="false">
      <c r="A3325" s="1" t="s">
        <v>815</v>
      </c>
      <c r="B3325" s="0" t="s">
        <v>392</v>
      </c>
      <c r="C3325" s="29" t="n">
        <v>0</v>
      </c>
      <c r="D3325" s="29" t="n">
        <v>0</v>
      </c>
      <c r="E3325" s="29" t="n">
        <v>0</v>
      </c>
      <c r="F3325" s="29" t="n">
        <f aca="false">Sens!E3325+(Sens!F3320+Sens!F3321)*(1-a_g3_27)</f>
        <v>195</v>
      </c>
      <c r="G3325" s="29" t="n">
        <f aca="false">Sens!F3325+(Sens!G3320+Sens!G3321)*(1-a_g3_28)</f>
        <v>535.2</v>
      </c>
      <c r="H3325" s="29" t="n">
        <f aca="false">Sens!G3325+(Sens!H3320+Sens!H3321)*(1-a_g3_29)</f>
        <v>535.2</v>
      </c>
      <c r="I3325" s="29" t="n">
        <f aca="false">Sens!H3325+(Sens!I3320+Sens!I3321)*(1-a_g3_29)</f>
        <v>976.2</v>
      </c>
      <c r="J3325" s="29" t="n">
        <f aca="false">Sens!I3325+(Sens!J3320+Sens!J3321)*(1-a_g3_29)</f>
        <v>1642.2</v>
      </c>
      <c r="K3325" s="29" t="n">
        <f aca="false">Sens!J3325+(Sens!K3320+Sens!K3321)*(1-a_g3_29)</f>
        <v>2965.2</v>
      </c>
    </row>
    <row r="3326" customFormat="false" ht="17.15" hidden="false" customHeight="false" outlineLevel="0" collapsed="false">
      <c r="A3326" s="1" t="s">
        <v>816</v>
      </c>
      <c r="B3326" s="0" t="s">
        <v>339</v>
      </c>
      <c r="C3326" s="14" t="n">
        <f aca="false">(Sens!C3322*tk_hold_h100+Sens!C3323*tk_hold_gb200+Sens!C3324*tk_hold_gb300+Sens!C3325*tk_hold_vr200)/Sens!C3314</f>
        <v>9.7235358126469</v>
      </c>
      <c r="D3326" s="14" t="n">
        <f aca="false">(Sens!D3322*tk_hold_h100+Sens!D3323*tk_hold_gb200+Sens!D3324*tk_hold_gb300+Sens!D3325*tk_hold_vr200)/Sens!D3314</f>
        <v>9.7235358126469</v>
      </c>
      <c r="E3326" s="14" t="n">
        <f aca="false">(Sens!E3322*tk_hold_h100+Sens!E3323*tk_hold_gb200+Sens!E3324*tk_hold_gb300+Sens!E3325*tk_hold_vr200)/Sens!E3314</f>
        <v>9.7235358126469</v>
      </c>
      <c r="F3326" s="14" t="n">
        <f aca="false">(Sens!F3322*tk_hold_h100+Sens!F3323*tk_hold_gb200+Sens!F3324*tk_hold_gb300+Sens!F3325*tk_hold_vr200)/Sens!F3314</f>
        <v>9.9843013443478</v>
      </c>
      <c r="G3326" s="14" t="n">
        <f aca="false">(Sens!G3322*tk_hold_h100+Sens!G3323*tk_hold_gb200+Sens!G3324*tk_hold_gb300+Sens!G3325*tk_hold_vr200)/Sens!G3314</f>
        <v>10.1881256732384</v>
      </c>
      <c r="H3326" s="14" t="n">
        <f aca="false">(Sens!H3322*tk_hold_h100+Sens!H3323*tk_hold_gb200+Sens!H3324*tk_hold_gb300+Sens!H3325*tk_hold_vr200)/Sens!H3314</f>
        <v>10.1881256732384</v>
      </c>
      <c r="I3326" s="14" t="n">
        <f aca="false">(Sens!I3322*tk_hold_h100+Sens!I3323*tk_hold_gb200+Sens!I3324*tk_hold_gb300+Sens!I3325*tk_hold_vr200)/Sens!I3314</f>
        <v>10.4526797781011</v>
      </c>
      <c r="J3326" s="14" t="n">
        <f aca="false">(Sens!J3322*tk_hold_h100+Sens!J3323*tk_hold_gb200+Sens!J3324*tk_hold_gb300+Sens!J3325*tk_hold_vr200)/Sens!J3314</f>
        <v>10.8522104670775</v>
      </c>
      <c r="K3326" s="14" t="n">
        <f aca="false">(Sens!K3322*tk_hold_h100+Sens!K3323*tk_hold_gb200+Sens!K3324*tk_hold_gb300+Sens!K3325*tk_hold_vr200)/Sens!K3314</f>
        <v>11.6458727816658</v>
      </c>
    </row>
    <row r="3327" customFormat="false" ht="17.15" hidden="false" customHeight="false" outlineLevel="0" collapsed="false">
      <c r="A3327" s="0" t="s">
        <v>817</v>
      </c>
      <c r="B3327" s="0" t="s">
        <v>185</v>
      </c>
      <c r="C3327" s="14" t="n">
        <f aca="false">k_B</f>
        <v>1.17213932619116</v>
      </c>
      <c r="D3327" s="14" t="n">
        <f aca="false">k_B</f>
        <v>1.17213932619116</v>
      </c>
      <c r="E3327" s="14" t="n">
        <f aca="false">k_B</f>
        <v>1.17213932619116</v>
      </c>
      <c r="F3327" s="14" t="n">
        <f aca="false">(k_B+((ls_C*k_long+(1-ls_C)*k_spot)-k_B)*MIN(1,(Sens!F3312-base_fy)/k_ramp))</f>
        <v>1.07843258004497</v>
      </c>
      <c r="G3327" s="14" t="n">
        <f aca="false">(k_B+((ls_C*k_long+(1-ls_C)*k_spot)-k_B)*MIN(1,(Sens!G3312-base_fy)/k_ramp))</f>
        <v>0.984725833898784</v>
      </c>
      <c r="H3327" s="14" t="n">
        <f aca="false">(k_B+((ls_C*k_long+(1-ls_C)*k_spot)-k_B)*MIN(1,(Sens!H3312-base_fy)/k_ramp))</f>
        <v>0.891019087752599</v>
      </c>
      <c r="I3327" s="14" t="n">
        <f aca="false">(k_B+((ls_C*k_long+(1-ls_C)*k_spot)-k_B)*MIN(1,(Sens!I3312-base_fy)/k_ramp))</f>
        <v>0.891019087752599</v>
      </c>
      <c r="J3327" s="14" t="n">
        <f aca="false">(k_B+((ls_C*k_long+(1-ls_C)*k_spot)-k_B)*MIN(1,(Sens!J3312-base_fy)/k_ramp))</f>
        <v>0.891019087752599</v>
      </c>
      <c r="K3327" s="14" t="n">
        <f aca="false">(k_B+((ls_C*k_long+(1-ls_C)*k_spot)-k_B)*MIN(1,(Sens!K3312-base_fy)/k_ramp))</f>
        <v>0.891019087752599</v>
      </c>
      <c r="L3327" s="1" t="s">
        <v>818</v>
      </c>
    </row>
    <row r="3328" customFormat="false" ht="17.15" hidden="false" customHeight="false" outlineLevel="0" collapsed="false">
      <c r="A3328" s="1" t="s">
        <v>819</v>
      </c>
      <c r="B3328" s="0" t="s">
        <v>339</v>
      </c>
      <c r="C3328" s="14" t="n">
        <f aca="false">Sens!C3326*Sens!C3327*chip_f</f>
        <v>11.3973387156315</v>
      </c>
      <c r="D3328" s="14" t="n">
        <f aca="false">Sens!D3326*Sens!D3327*chip_f</f>
        <v>11.3973387156315</v>
      </c>
      <c r="E3328" s="14" t="n">
        <f aca="false">Sens!E3326*Sens!E3327*chip_f</f>
        <v>11.3973387156315</v>
      </c>
      <c r="F3328" s="14" t="n">
        <f aca="false">Sens!F3326*Sens!F3327*chip_f</f>
        <v>10.7673958587315</v>
      </c>
      <c r="G3328" s="14" t="n">
        <f aca="false">Sens!G3326*Sens!G3327*chip_f</f>
        <v>10.0325105494453</v>
      </c>
      <c r="H3328" s="14" t="n">
        <f aca="false">Sens!H3326*Sens!H3327*chip_f</f>
        <v>9.0778144432777</v>
      </c>
      <c r="I3328" s="14" t="n">
        <f aca="false">Sens!I3326*Sens!I3327*chip_f</f>
        <v>9.31353720045371</v>
      </c>
      <c r="J3328" s="14" t="n">
        <f aca="false">Sens!J3326*Sens!J3327*chip_f</f>
        <v>9.66952667047463</v>
      </c>
      <c r="K3328" s="14" t="n">
        <f aca="false">Sens!K3326*Sens!K3327*chip_f</f>
        <v>10.3766949420027</v>
      </c>
      <c r="L3328" s="1" t="s">
        <v>820</v>
      </c>
    </row>
    <row r="3329" customFormat="false" ht="17.15" hidden="false" customHeight="false" outlineLevel="0" collapsed="false">
      <c r="A3329" s="0" t="s">
        <v>821</v>
      </c>
      <c r="B3329" s="0" t="s">
        <v>98</v>
      </c>
      <c r="D3329" s="6" t="n">
        <f aca="false">(Sens!C3314+Sens!D3314)/2*Sens!D3328/1000</f>
        <v>12.9359794422418</v>
      </c>
      <c r="E3329" s="6" t="n">
        <f aca="false">(Sens!D3314+Sens!E3314)/2*Sens!E3328/1000</f>
        <v>27.8095064661409</v>
      </c>
      <c r="F3329" s="6" t="n">
        <f aca="false">(Sens!E3314+Sens!F3314)/2*Sens!F3328/1000</f>
        <v>38.493440194965</v>
      </c>
      <c r="G3329" s="6" t="n">
        <f aca="false">(Sens!F3314+Sens!G3314)/2*Sens!G3328/1000</f>
        <v>41.5646912063518</v>
      </c>
      <c r="H3329" s="6" t="n">
        <f aca="false">(Sens!G3314+Sens!H3314)/2*Sens!H3328/1000</f>
        <v>39.815294148216</v>
      </c>
      <c r="I3329" s="6" t="n">
        <f aca="false">(Sens!H3314+Sens!I3314)/2*Sens!I3328/1000</f>
        <v>40.84917416119</v>
      </c>
      <c r="J3329" s="6" t="n">
        <f aca="false">(Sens!I3314+Sens!J3314)/2*Sens!J3328/1000</f>
        <v>42.4105439767017</v>
      </c>
      <c r="K3329" s="6" t="n">
        <f aca="false">(Sens!J3314+Sens!K3314)/2*Sens!K3328/1000</f>
        <v>45.5121840156236</v>
      </c>
      <c r="L3329" s="11" t="s">
        <v>822</v>
      </c>
    </row>
    <row r="3330" customFormat="false" ht="17.15" hidden="false" customHeight="false" outlineLevel="0" collapsed="false">
      <c r="A3330" s="1" t="s">
        <v>823</v>
      </c>
      <c r="B3330" s="0" t="s">
        <v>339</v>
      </c>
      <c r="C3330" s="14" t="n">
        <f aca="false">(Sens!C3322*tk_opex_h100+Sens!C3323*tk_opex_gb200+Sens!C3324*tk_opex_gb300+Sens!C3325*tk_opex_vr200)/Sens!C3314</f>
        <v>1.88636041306092</v>
      </c>
      <c r="D3330" s="14" t="n">
        <f aca="false">(Sens!D3322*tk_opex_h100+Sens!D3323*tk_opex_gb200+Sens!D3324*tk_opex_gb300+Sens!D3325*tk_opex_vr200)/Sens!D3314</f>
        <v>1.88636041306092</v>
      </c>
      <c r="E3330" s="14" t="n">
        <f aca="false">(Sens!E3322*tk_opex_h100+Sens!E3323*tk_opex_gb200+Sens!E3324*tk_opex_gb300+Sens!E3325*tk_opex_vr200)/Sens!E3314</f>
        <v>1.88636041306092</v>
      </c>
      <c r="F3330" s="14" t="n">
        <f aca="false">(Sens!F3322*tk_opex_h100+Sens!F3323*tk_opex_gb200+Sens!F3324*tk_opex_gb300+Sens!F3325*tk_opex_vr200)/Sens!F3314</f>
        <v>1.90794918316667</v>
      </c>
      <c r="G3330" s="14" t="n">
        <f aca="false">(Sens!G3322*tk_opex_h100+Sens!G3323*tk_opex_gb200+Sens!G3324*tk_opex_gb300+Sens!G3325*tk_opex_vr200)/Sens!G3314</f>
        <v>1.92482379289624</v>
      </c>
      <c r="H3330" s="14" t="n">
        <f aca="false">(Sens!H3322*tk_opex_h100+Sens!H3323*tk_opex_gb200+Sens!H3324*tk_opex_gb300+Sens!H3325*tk_opex_vr200)/Sens!H3314</f>
        <v>1.92482379289624</v>
      </c>
      <c r="I3330" s="14" t="n">
        <f aca="false">(Sens!I3322*tk_opex_h100+Sens!I3323*tk_opex_gb200+Sens!I3324*tk_opex_gb300+Sens!I3325*tk_opex_vr200)/Sens!I3314</f>
        <v>1.946726218854</v>
      </c>
      <c r="J3330" s="14" t="n">
        <f aca="false">(Sens!J3322*tk_opex_h100+Sens!J3323*tk_opex_gb200+Sens!J3324*tk_opex_gb300+Sens!J3325*tk_opex_vr200)/Sens!J3314</f>
        <v>1.97980335193306</v>
      </c>
      <c r="K3330" s="14" t="n">
        <f aca="false">(Sens!K3322*tk_opex_h100+Sens!K3323*tk_opex_gb200+Sens!K3324*tk_opex_gb300+Sens!K3325*tk_opex_vr200)/Sens!K3314</f>
        <v>2.04551062980633</v>
      </c>
    </row>
    <row r="3331" customFormat="false" ht="17.15" hidden="false" customHeight="false" outlineLevel="0" collapsed="false">
      <c r="A3331" s="0" t="s">
        <v>824</v>
      </c>
      <c r="B3331" s="0" t="s">
        <v>98</v>
      </c>
      <c r="D3331" s="6" t="n">
        <f aca="false">(Sens!C3317+Sens!D3317)/2*Sens!D3330/1000</f>
        <v>2.70378325872065</v>
      </c>
      <c r="E3331" s="6" t="n">
        <f aca="false">(Sens!D3317+Sens!E3317)/2*Sens!E3330/1000</f>
        <v>6.17783035277451</v>
      </c>
      <c r="F3331" s="6" t="n">
        <f aca="false">(Sens!E3317+Sens!F3317)/2*Sens!F3330/1000</f>
        <v>9.29171252202166</v>
      </c>
      <c r="G3331" s="6" t="n">
        <f aca="false">(Sens!F3317+Sens!G3317)/2*Sens!G3330/1000</f>
        <v>10.8656303108993</v>
      </c>
      <c r="H3331" s="6" t="n">
        <f aca="false">(Sens!G3317+Sens!H3317)/2*Sens!H3330/1000</f>
        <v>11.6451839470223</v>
      </c>
      <c r="I3331" s="6" t="n">
        <f aca="false">(Sens!H3317+Sens!I3317)/2*Sens!I3330/1000</f>
        <v>11.7776936240667</v>
      </c>
      <c r="J3331" s="6" t="n">
        <f aca="false">(Sens!I3317+Sens!J3317)/2*Sens!J3330/1000</f>
        <v>11.977810279195</v>
      </c>
      <c r="K3331" s="6" t="n">
        <f aca="false">(Sens!J3317+Sens!K3317)/2*Sens!K3330/1000</f>
        <v>12.3753393103283</v>
      </c>
    </row>
    <row r="3332" customFormat="false" ht="17.15" hidden="false" customHeight="false" outlineLevel="0" collapsed="false">
      <c r="A3332" s="0" t="s">
        <v>825</v>
      </c>
      <c r="B3332" s="0" t="s">
        <v>98</v>
      </c>
      <c r="D3332" s="6" t="n">
        <f aca="false">(Sens!C3315+Sens!D3315)/2*rent_mw/1000</f>
        <v>2.44475</v>
      </c>
      <c r="E3332" s="6" t="n">
        <f aca="false">(Sens!D3315+Sens!E3315)/2*rent_mw/1000</f>
        <v>4.22275</v>
      </c>
      <c r="F3332" s="6" t="n">
        <f aca="false">(Sens!E3315+Sens!F3315)/2*rent_mw/1000</f>
        <v>5.80517</v>
      </c>
      <c r="G3332" s="6" t="n">
        <f aca="false">(Sens!F3315+Sens!G3315)/2*rent_mw/1000</f>
        <v>6.72084</v>
      </c>
      <c r="H3332" s="6" t="n">
        <f aca="false">(Sens!G3315+Sens!H3315)/2*rent_mw/1000</f>
        <v>6.72084</v>
      </c>
      <c r="I3332" s="6" t="n">
        <f aca="false">(Sens!H3315+Sens!I3315)/2*rent_mw/1000</f>
        <v>6.72084</v>
      </c>
      <c r="J3332" s="6" t="n">
        <f aca="false">(Sens!I3315+Sens!J3315)/2*rent_mw/1000</f>
        <v>6.72084</v>
      </c>
      <c r="K3332" s="6" t="n">
        <f aca="false">(Sens!J3315+Sens!K3315)/2*rent_mw/1000</f>
        <v>6.72084</v>
      </c>
    </row>
    <row r="3333" customFormat="false" ht="17.15" hidden="false" customHeight="false" outlineLevel="0" collapsed="false">
      <c r="A3333" s="0" t="s">
        <v>826</v>
      </c>
      <c r="B3333" s="0" t="s">
        <v>98</v>
      </c>
      <c r="D3333" s="6" t="n">
        <f aca="false">(Sens!C3317+Sens!D3317)/2*(1-self_build)*fac_rent/1000</f>
        <v>0.853242375631075</v>
      </c>
      <c r="E3333" s="6" t="n">
        <f aca="false">(Sens!D3317+Sens!E3317)/2*(1-self_build)*fac_rent/1000</f>
        <v>1.94955961408728</v>
      </c>
      <c r="F3333" s="6" t="n">
        <f aca="false">(Sens!E3317+Sens!F3317)/2*(1-self_build)*fac_rent/1000</f>
        <v>2.89903979255117</v>
      </c>
      <c r="G3333" s="6" t="n">
        <f aca="false">(Sens!F3317+Sens!G3317)/2*(1-self_build)*fac_rent/1000</f>
        <v>3.36038596077029</v>
      </c>
      <c r="H3333" s="6" t="n">
        <f aca="false">(Sens!G3317+Sens!H3317)/2*(1-self_build)*fac_rent/1000</f>
        <v>3.60147653900094</v>
      </c>
      <c r="I3333" s="6" t="n">
        <f aca="false">(Sens!H3317+Sens!I3317)/2*(1-self_build)*fac_rent/1000</f>
        <v>3.60147653900094</v>
      </c>
      <c r="J3333" s="6" t="n">
        <f aca="false">(Sens!I3317+Sens!J3317)/2*(1-self_build)*fac_rent/1000</f>
        <v>3.60147653900094</v>
      </c>
      <c r="K3333" s="6" t="n">
        <f aca="false">(Sens!J3317+Sens!K3317)/2*(1-self_build)*fac_rent/1000</f>
        <v>3.60147653900094</v>
      </c>
      <c r="L3333" s="11" t="s">
        <v>827</v>
      </c>
    </row>
    <row r="3334" customFormat="false" ht="17.15" hidden="false" customHeight="false" outlineLevel="0" collapsed="false">
      <c r="A3334" s="1" t="s">
        <v>828</v>
      </c>
      <c r="B3334" s="0" t="s">
        <v>129</v>
      </c>
      <c r="D3334" s="7" t="n">
        <f aca="false">(Sens!C3316+Sens!D3316)/(Sens!C3317+Sens!D3317)</f>
        <v>0.6</v>
      </c>
      <c r="E3334" s="7" t="n">
        <f aca="false">(Sens!D3316+Sens!E3316)/(Sens!D3317+Sens!E3317)</f>
        <v>0.6</v>
      </c>
      <c r="F3334" s="7" t="n">
        <f aca="false">(Sens!E3316+Sens!F3316)/(Sens!E3317+Sens!F3317)</f>
        <v>0.6</v>
      </c>
      <c r="G3334" s="7" t="n">
        <f aca="false">(Sens!F3316+Sens!G3316)/(Sens!F3317+Sens!G3317)</f>
        <v>0.6</v>
      </c>
      <c r="H3334" s="7" t="n">
        <f aca="false">(Sens!G3316+Sens!H3316)/(Sens!G3317+Sens!H3317)</f>
        <v>0.6</v>
      </c>
      <c r="I3334" s="7" t="n">
        <f aca="false">(Sens!H3316+Sens!I3316)/(Sens!H3317+Sens!I3317)</f>
        <v>0.6</v>
      </c>
      <c r="J3334" s="7" t="n">
        <f aca="false">(Sens!I3316+Sens!J3316)/(Sens!I3317+Sens!J3317)</f>
        <v>0.6</v>
      </c>
      <c r="K3334" s="7" t="n">
        <f aca="false">(Sens!J3316+Sens!K3316)/(Sens!J3317+Sens!K3317)</f>
        <v>0.6</v>
      </c>
    </row>
    <row r="3335" customFormat="false" ht="17.15" hidden="false" customHeight="false" outlineLevel="0" collapsed="false">
      <c r="A3335" s="0" t="s">
        <v>829</v>
      </c>
      <c r="B3335" s="0" t="s">
        <v>98</v>
      </c>
      <c r="D3335" s="6" t="n">
        <f aca="false">Sens!D3329-Sens!D3334*(Sens!D3331+Sens!D3333)-Sens!D3332</f>
        <v>8.35701406163072</v>
      </c>
      <c r="E3335" s="6" t="n">
        <f aca="false">Sens!E3329-Sens!E3334*(Sens!E3331+Sens!E3333)-Sens!E3332</f>
        <v>18.7103224860238</v>
      </c>
      <c r="F3335" s="6" t="n">
        <f aca="false">Sens!F3329-Sens!F3334*(Sens!F3331+Sens!F3333)-Sens!F3332</f>
        <v>25.3738188062213</v>
      </c>
      <c r="G3335" s="6" t="n">
        <f aca="false">Sens!G3329-Sens!G3334*(Sens!G3331+Sens!G3333)-Sens!G3332</f>
        <v>26.3082414433501</v>
      </c>
      <c r="H3335" s="6" t="n">
        <f aca="false">Sens!H3329-Sens!H3334*(Sens!H3331+Sens!H3333)-Sens!H3332</f>
        <v>23.9464578566021</v>
      </c>
      <c r="I3335" s="6" t="n">
        <f aca="false">Sens!I3329-Sens!I3334*(Sens!I3331+Sens!I3333)-Sens!I3332</f>
        <v>24.9008320633494</v>
      </c>
      <c r="J3335" s="6" t="n">
        <f aca="false">Sens!J3329-Sens!J3334*(Sens!J3331+Sens!J3333)-Sens!J3332</f>
        <v>26.3421318857841</v>
      </c>
      <c r="K3335" s="6" t="n">
        <f aca="false">Sens!K3329-Sens!K3334*(Sens!K3331+Sens!K3333)-Sens!K3332</f>
        <v>29.2052545060261</v>
      </c>
    </row>
    <row r="3336" customFormat="false" ht="17.15" hidden="false" customHeight="false" outlineLevel="0" collapsed="false">
      <c r="A3336" s="1" t="s">
        <v>830</v>
      </c>
      <c r="B3336" s="0" t="s">
        <v>98</v>
      </c>
      <c r="D3336" s="6" t="n">
        <f aca="false">(1-Sens!D3334)*(Sens!D3331+Sens!D3333)</f>
        <v>1.42281025374069</v>
      </c>
      <c r="E3336" s="6" t="n">
        <f aca="false">(1-Sens!E3334)*(Sens!E3331+Sens!E3333)</f>
        <v>3.25095598674472</v>
      </c>
      <c r="F3336" s="6" t="n">
        <f aca="false">(1-Sens!F3334)*(Sens!F3331+Sens!F3333)</f>
        <v>4.87630092582913</v>
      </c>
      <c r="G3336" s="6" t="n">
        <f aca="false">(1-Sens!G3334)*(Sens!G3331+Sens!G3333)</f>
        <v>5.69040650866783</v>
      </c>
      <c r="H3336" s="6" t="n">
        <f aca="false">(1-Sens!H3334)*(Sens!H3331+Sens!H3333)</f>
        <v>6.09866419440928</v>
      </c>
      <c r="I3336" s="6" t="n">
        <f aca="false">(1-Sens!I3334)*(Sens!I3331+Sens!I3333)</f>
        <v>6.15166806522705</v>
      </c>
      <c r="J3336" s="6" t="n">
        <f aca="false">(1-Sens!J3334)*(Sens!J3331+Sens!J3333)</f>
        <v>6.23171472727838</v>
      </c>
      <c r="K3336" s="6" t="n">
        <f aca="false">(1-Sens!K3334)*(Sens!K3331+Sens!K3333)</f>
        <v>6.39072633973169</v>
      </c>
    </row>
    <row r="3337" customFormat="false" ht="17.15" hidden="false" customHeight="false" outlineLevel="0" collapsed="false">
      <c r="A3337" s="1" t="s">
        <v>831</v>
      </c>
      <c r="B3337" s="0" t="s">
        <v>350</v>
      </c>
      <c r="C3337" s="8" t="n">
        <f aca="false">cxit_open</f>
        <v>27.5918995</v>
      </c>
      <c r="D3337" s="8" t="n">
        <f aca="false">cxit_open</f>
        <v>27.5918995</v>
      </c>
      <c r="E3337" s="8" t="n">
        <f aca="false">cxit_open</f>
        <v>27.5918995</v>
      </c>
      <c r="F3337" s="8" t="n">
        <f aca="false">(a_g3_27*tk_cxit_gb300+(1-a_g3_27)*tk_cxit_vr200)</f>
        <v>33.8419624</v>
      </c>
      <c r="G3337" s="8" t="n">
        <f aca="false">(a_g3_28*tk_cxit_gb300+(1-a_g3_28)*tk_cxit_vr200)</f>
        <v>35.9816136</v>
      </c>
      <c r="H3337" s="8" t="n">
        <f aca="false">(a_g3_29*tk_cxit_gb300+(1-a_g3_29)*tk_cxit_vr200)</f>
        <v>37.0514392</v>
      </c>
      <c r="I3337" s="8" t="n">
        <f aca="false">(a_g3_29*tk_cxit_gb300+(1-a_g3_29)*tk_cxit_vr200)</f>
        <v>37.0514392</v>
      </c>
      <c r="J3337" s="8" t="n">
        <f aca="false">(a_g3_29*tk_cxit_gb300+(1-a_g3_29)*tk_cxit_vr200)</f>
        <v>37.0514392</v>
      </c>
      <c r="K3337" s="8" t="n">
        <f aca="false">(a_g3_29*tk_cxit_gb300+(1-a_g3_29)*tk_cxit_vr200)</f>
        <v>37.0514392</v>
      </c>
      <c r="L3337" s="11" t="s">
        <v>832</v>
      </c>
    </row>
    <row r="3338" customFormat="false" ht="17.15" hidden="false" customHeight="false" outlineLevel="0" collapsed="false">
      <c r="A3338" s="0" t="s">
        <v>833</v>
      </c>
      <c r="B3338" s="0" t="s">
        <v>392</v>
      </c>
      <c r="F3338" s="29" t="n">
        <f aca="false">Sens!C3319*IF(Sens!F3312-Sens!C3312=life_it,1,0)+Sens!D3319*IF(Sens!F3312-Sens!D3312=life_it,1,0)+Sens!E3319*IF(Sens!F3312-Sens!E3312=life_it,1,0)</f>
        <v>0</v>
      </c>
      <c r="G3338" s="29" t="n">
        <f aca="false">Sens!C3319*IF(Sens!G3312-Sens!C3312=life_it,1,0)+Sens!D3319*IF(Sens!G3312-Sens!D3312=life_it,1,0)+Sens!E3319*IF(Sens!G3312-Sens!E3312=life_it,1,0)+Sens!F3319*IF(Sens!G3312-Sens!F3312=life_it,1,0)</f>
        <v>0</v>
      </c>
      <c r="H3338" s="29" t="n">
        <f aca="false">Sens!C3319*IF(Sens!H3312-Sens!C3312=life_it,1,0)+Sens!D3319*IF(Sens!H3312-Sens!D3312=life_it,1,0)+Sens!E3319*IF(Sens!H3312-Sens!E3312=life_it,1,0)+Sens!F3319*IF(Sens!H3312-Sens!F3312=life_it,1,0)+Sens!G3319*IF(Sens!H3312-Sens!G3312=life_it,1,0)</f>
        <v>0</v>
      </c>
      <c r="I3338" s="29" t="n">
        <f aca="false">Sens!C3319*IF(Sens!I3312-Sens!C3312=life_it,1,0)+Sens!D3319*IF(Sens!I3312-Sens!D3312=life_it,1,0)+Sens!E3319*IF(Sens!I3312-Sens!E3312=life_it,1,0)+Sens!F3319*IF(Sens!I3312-Sens!F3312=life_it,1,0)+Sens!G3319*IF(Sens!I3312-Sens!G3312=life_it,1,0)+Sens!H3319*IF(Sens!I3312-Sens!H3312=life_it,1,0)</f>
        <v>816.666666666667</v>
      </c>
      <c r="J3338" s="29" t="n">
        <f aca="false">Sens!C3319*IF(Sens!J3312-Sens!C3312=life_it,1,0)+Sens!D3319*IF(Sens!J3312-Sens!D3312=life_it,1,0)+Sens!E3319*IF(Sens!J3312-Sens!E3312=life_it,1,0)+Sens!F3319*IF(Sens!J3312-Sens!F3312=life_it,1,0)+Sens!G3319*IF(Sens!J3312-Sens!G3312=life_it,1,0)+Sens!H3319*IF(Sens!J3312-Sens!H3312=life_it,1,0)+Sens!I3319*IF(Sens!J3312-Sens!I3312=life_it,1,0)</f>
        <v>1233.33333333333</v>
      </c>
      <c r="K3338" s="29" t="n">
        <f aca="false">Sens!C3319*IF(Sens!K3312-Sens!C3312=life_it,1,0)+Sens!D3319*IF(Sens!K3312-Sens!D3312=life_it,1,0)+Sens!E3319*IF(Sens!K3312-Sens!E3312=life_it,1,0)+Sens!F3319*IF(Sens!K3312-Sens!F3312=life_it,1,0)+Sens!G3319*IF(Sens!K3312-Sens!G3312=life_it,1,0)+Sens!H3319*IF(Sens!K3312-Sens!H3312=life_it,1,0)+Sens!I3319*IF(Sens!K3312-Sens!I3312=life_it,1,0)+Sens!J3319*IF(Sens!K3312-Sens!J3312=life_it,1,0)</f>
        <v>2450</v>
      </c>
      <c r="L3338" s="1" t="s">
        <v>834</v>
      </c>
    </row>
    <row r="3339" customFormat="false" ht="17.15" hidden="false" customHeight="false" outlineLevel="0" collapsed="false">
      <c r="A3339" s="0" t="s">
        <v>835</v>
      </c>
      <c r="B3339" s="0" t="s">
        <v>98</v>
      </c>
      <c r="C3339" s="6" t="n">
        <f aca="false">Sens!C3319*Sens!C3337/1000</f>
        <v>22.5333845916667</v>
      </c>
      <c r="D3339" s="6" t="n">
        <f aca="false">Sens!D3319*Sens!D3337/1000</f>
        <v>34.0300093833333</v>
      </c>
      <c r="E3339" s="6" t="n">
        <f aca="false">Sens!E3319*Sens!E3337/1000</f>
        <v>67.600153775</v>
      </c>
      <c r="F3339" s="6" t="n">
        <f aca="false">(Sens!F3319+Sens!F3338)*Sens!F3337/1000</f>
        <v>25.043052176</v>
      </c>
      <c r="G3339" s="6" t="n">
        <f aca="false">(Sens!G3319+Sens!G3338)*Sens!G3337/1000</f>
        <v>29.145107016</v>
      </c>
      <c r="H3339" s="6" t="n">
        <f aca="false">(Sens!H3319+Sens!H3338)*Sens!H3337/1000</f>
        <v>0</v>
      </c>
      <c r="I3339" s="6" t="n">
        <f aca="false">(Sens!I3319+Sens!I3338)*Sens!I3337/1000</f>
        <v>30.2586753466667</v>
      </c>
      <c r="J3339" s="6" t="n">
        <f aca="false">(Sens!J3319+Sens!J3338)*Sens!J3337/1000</f>
        <v>45.6967750133333</v>
      </c>
      <c r="K3339" s="6" t="n">
        <f aca="false">(Sens!K3319+Sens!K3338)*Sens!K3337/1000</f>
        <v>90.77602604</v>
      </c>
    </row>
    <row r="3340" customFormat="false" ht="17.15" hidden="false" customHeight="false" outlineLevel="0" collapsed="false">
      <c r="A3340" s="0" t="s">
        <v>836</v>
      </c>
      <c r="B3340" s="0" t="s">
        <v>98</v>
      </c>
      <c r="C3340" s="6" t="n">
        <f aca="false">Sens!C3319*self_build*tk_cxfac/1000</f>
        <v>6.2083</v>
      </c>
      <c r="D3340" s="6" t="n">
        <f aca="false">Sens!D3319*self_build*tk_cxfac/1000</f>
        <v>9.3758</v>
      </c>
      <c r="E3340" s="6" t="n">
        <f aca="false">Sens!E3319*self_build*tk_cxfac/1000</f>
        <v>18.6249</v>
      </c>
      <c r="F3340" s="6" t="n">
        <f aca="false">Sens!F3319*self_build*tk_cxfac/1000</f>
        <v>5.62548</v>
      </c>
      <c r="G3340" s="6" t="n">
        <f aca="false">Sens!G3319*self_build*tk_cxfac/1000</f>
        <v>6.15762</v>
      </c>
      <c r="H3340" s="6" t="n">
        <f aca="false">Sens!H3319*self_build*tk_cxfac/1000</f>
        <v>0</v>
      </c>
      <c r="I3340" s="6" t="n">
        <f aca="false">Sens!I3319*self_build*tk_cxfac/1000</f>
        <v>0</v>
      </c>
      <c r="J3340" s="6" t="n">
        <f aca="false">Sens!J3319*self_build*tk_cxfac/1000</f>
        <v>0</v>
      </c>
      <c r="K3340" s="6" t="n">
        <f aca="false">Sens!K3319*self_build*tk_cxfac/1000</f>
        <v>0</v>
      </c>
    </row>
    <row r="3341" customFormat="false" ht="17.15" hidden="false" customHeight="false" outlineLevel="0" collapsed="false">
      <c r="A3341" s="0" t="s">
        <v>837</v>
      </c>
      <c r="B3341" s="0" t="s">
        <v>98</v>
      </c>
      <c r="F3341" s="6" t="n">
        <f aca="false">MAX(0,capex_floor27-Sens!F3339-Sens!F3340-Sens!F3434)</f>
        <v>138.102120594438</v>
      </c>
      <c r="L3341" s="1" t="s">
        <v>838</v>
      </c>
    </row>
    <row r="3342" customFormat="false" ht="17.15" hidden="false" customHeight="false" outlineLevel="0" collapsed="false">
      <c r="A3342" s="0" t="s">
        <v>839</v>
      </c>
      <c r="B3342" s="0" t="s">
        <v>98</v>
      </c>
      <c r="C3342" s="6" t="n">
        <f aca="false">Sens!C3339</f>
        <v>22.5333845916667</v>
      </c>
      <c r="D3342" s="6" t="n">
        <f aca="false">Sens!D3339</f>
        <v>34.0300093833333</v>
      </c>
      <c r="E3342" s="6" t="n">
        <f aca="false">Sens!E3339</f>
        <v>67.600153775</v>
      </c>
      <c r="F3342" s="6" t="n">
        <f aca="false">Sens!F3339+Sens!F3341</f>
        <v>163.145172770438</v>
      </c>
      <c r="G3342" s="6" t="n">
        <f aca="false">Sens!G3339</f>
        <v>29.145107016</v>
      </c>
      <c r="H3342" s="6" t="n">
        <f aca="false">Sens!H3339</f>
        <v>0</v>
      </c>
      <c r="I3342" s="6" t="n">
        <f aca="false">Sens!I3339</f>
        <v>30.2586753466667</v>
      </c>
      <c r="J3342" s="6" t="n">
        <f aca="false">Sens!J3339</f>
        <v>45.6967750133333</v>
      </c>
      <c r="K3342" s="6" t="n">
        <f aca="false">Sens!K3339</f>
        <v>90.77602604</v>
      </c>
    </row>
    <row r="3343" customFormat="false" ht="17.15" hidden="false" customHeight="false" outlineLevel="0" collapsed="false">
      <c r="A3343" s="0" t="s">
        <v>840</v>
      </c>
      <c r="B3343" s="0" t="s">
        <v>98</v>
      </c>
      <c r="C3343" s="6" t="n">
        <f aca="false">Sens!C3342+Sens!C3340</f>
        <v>28.7416845916667</v>
      </c>
      <c r="D3343" s="6" t="n">
        <f aca="false">Sens!D3342+Sens!D3340</f>
        <v>43.4058093833333</v>
      </c>
      <c r="E3343" s="6" t="n">
        <f aca="false">Sens!E3342+Sens!E3340</f>
        <v>86.225053775</v>
      </c>
      <c r="F3343" s="6" t="n">
        <f aca="false">Sens!F3342+Sens!F3340</f>
        <v>168.770652770438</v>
      </c>
      <c r="G3343" s="6" t="n">
        <f aca="false">Sens!G3342+Sens!G3340</f>
        <v>35.302727016</v>
      </c>
      <c r="H3343" s="6" t="n">
        <f aca="false">Sens!H3342+Sens!H3340</f>
        <v>0</v>
      </c>
      <c r="I3343" s="6" t="n">
        <f aca="false">Sens!I3342+Sens!I3340</f>
        <v>30.2586753466667</v>
      </c>
      <c r="J3343" s="6" t="n">
        <f aca="false">Sens!J3342+Sens!J3340</f>
        <v>45.6967750133333</v>
      </c>
      <c r="K3343" s="6" t="n">
        <f aca="false">Sens!K3342+Sens!K3340</f>
        <v>90.77602604</v>
      </c>
      <c r="L3343" s="11" t="s">
        <v>841</v>
      </c>
    </row>
    <row r="3344" customFormat="false" ht="17.15" hidden="false" customHeight="false" outlineLevel="0" collapsed="false">
      <c r="A3344" s="0" t="s">
        <v>842</v>
      </c>
      <c r="B3344" s="0" t="s">
        <v>98</v>
      </c>
      <c r="E3344" s="6" t="n">
        <f aca="false">(Sens!C3342*IF(2&lt;life_it,1,IF(2=life_it,0.5,0))+Sens!D3342*IF(1&lt;life_it,1,IF(1=life_it,0.5,0))+Sens!E3342*0.5)/life_it</f>
        <v>15.0605784770833</v>
      </c>
      <c r="F3344" s="6" t="n">
        <f aca="false">(Sens!C3342*IF(3&lt;life_it,1,IF(3=life_it,0.5,0))+Sens!D3342*IF(2&lt;life_it,1,IF(2=life_it,0.5,0))+Sens!E3342*IF(1&lt;life_it,1,IF(1=life_it,0.5,0))+Sens!F3342*0.5)/life_it</f>
        <v>34.2893556892031</v>
      </c>
      <c r="G3344" s="6" t="n">
        <f aca="false">(Sens!C3342*IF(4&lt;life_it,1,IF(4=life_it,0.5,0))+Sens!D3342*IF(3&lt;life_it,1,IF(3=life_it,0.5,0))+Sens!E3342*IF(2&lt;life_it,1,IF(2=life_it,0.5,0))+Sens!F3342*IF(1&lt;life_it,1,IF(1=life_it,0.5,0))+Sens!G3342*0.5)/life_it</f>
        <v>50.3135456714063</v>
      </c>
      <c r="H3344" s="6" t="n">
        <f aca="false">(Sens!C3342*IF(5&lt;life_it,1,IF(5=life_it,0.5,0))+Sens!D3342*IF(4&lt;life_it,1,IF(4=life_it,0.5,0))+Sens!E3342*IF(3&lt;life_it,1,IF(3=life_it,0.5,0))+Sens!F3342*IF(2&lt;life_it,1,IF(2=life_it,0.5,0))+Sens!G3342*IF(1&lt;life_it,1,IF(1=life_it,0.5,0))+Sens!H3342*0.5)/life_it</f>
        <v>52.7423045894063</v>
      </c>
      <c r="I3344" s="6" t="n">
        <f aca="false">(Sens!C3342*IF(6&lt;life_it,1,IF(6=life_it,0.5,0))+Sens!D3342*IF(5&lt;life_it,1,IF(5=life_it,0.5,0))+Sens!E3342*IF(4&lt;life_it,1,IF(4=life_it,0.5,0))+Sens!F3342*IF(3&lt;life_it,1,IF(3=life_it,0.5,0))+Sens!G3342*IF(2&lt;life_it,1,IF(2=life_it,0.5,0))+Sens!H3342*IF(1&lt;life_it,1,IF(1=life_it,0.5,0))+Sens!I3342*0.5)/life_it</f>
        <v>53.3860788189896</v>
      </c>
      <c r="J3344" s="6" t="n">
        <f aca="false">(Sens!C3342*IF(7&lt;life_it,1,IF(7=life_it,0.5,0))+Sens!D3342*IF(6&lt;life_it,1,IF(6=life_it,0.5,0))+Sens!E3342*IF(5&lt;life_it,1,IF(5=life_it,0.5,0))+Sens!F3342*IF(4&lt;life_it,1,IF(4=life_it,0.5,0))+Sens!G3342*IF(3&lt;life_it,1,IF(3=life_it,0.5,0))+Sens!H3342*IF(2&lt;life_it,1,IF(2=life_it,0.5,0))+Sens!I3342*IF(1&lt;life_it,1,IF(1=life_it,0.5,0))+Sens!J3342*0.5)/life_it</f>
        <v>55.0020835177396</v>
      </c>
      <c r="K3344" s="6" t="n">
        <f aca="false">(Sens!C3342*IF(8&lt;life_it,1,IF(8=life_it,0.5,0))+Sens!D3342*IF(7&lt;life_it,1,IF(7=life_it,0.5,0))+Sens!E3342*IF(6&lt;life_it,1,IF(6=life_it,0.5,0))+Sens!F3342*IF(5&lt;life_it,1,IF(5=life_it,0.5,0))+Sens!G3342*IF(4&lt;life_it,1,IF(4=life_it,0.5,0))+Sens!H3342*IF(3&lt;life_it,1,IF(3=life_it,0.5,0))+Sens!I3342*IF(2&lt;life_it,1,IF(2=life_it,0.5,0))+Sens!J3342*IF(1&lt;life_it,1,IF(1=life_it,0.5,0))+Sens!K3342*0.5)/life_it</f>
        <v>57.9056366756563</v>
      </c>
    </row>
    <row r="3345" customFormat="false" ht="17.15" hidden="false" customHeight="false" outlineLevel="0" collapsed="false">
      <c r="A3345" s="0" t="s">
        <v>843</v>
      </c>
      <c r="B3345" s="0" t="s">
        <v>98</v>
      </c>
      <c r="E3345" s="6" t="n">
        <f aca="false">(Sens!C3340*IF(2&lt;life_fac,1,IF(2=life_fac,0.5,0))+Sens!D3340*IF(1&lt;life_fac,1,IF(1=life_fac,0.5,0))+Sens!E3340*0.5)/life_fac</f>
        <v>1.2448275</v>
      </c>
      <c r="F3345" s="6" t="n">
        <f aca="false">(Sens!C3340*IF(3&lt;life_fac,1,IF(3=life_fac,0.5,0))+Sens!D3340*IF(2&lt;life_fac,1,IF(2=life_fac,0.5,0))+Sens!E3340*IF(1&lt;life_fac,1,IF(1=life_fac,0.5,0))+Sens!F3340*0.5)/life_fac</f>
        <v>1.851087</v>
      </c>
      <c r="G3345" s="6" t="n">
        <f aca="false">(Sens!C3340*IF(4&lt;life_fac,1,IF(4=life_fac,0.5,0))+Sens!D3340*IF(3&lt;life_fac,1,IF(3=life_fac,0.5,0))+Sens!E3340*IF(2&lt;life_fac,1,IF(2=life_fac,0.5,0))+Sens!F3340*IF(1&lt;life_fac,1,IF(1=life_fac,0.5,0))+Sens!G3340*0.5)/life_fac</f>
        <v>2.1456645</v>
      </c>
      <c r="H3345" s="6" t="n">
        <f aca="false">(Sens!C3340*IF(5&lt;life_fac,1,IF(5=life_fac,0.5,0))+Sens!D3340*IF(4&lt;life_fac,1,IF(4=life_fac,0.5,0))+Sens!E3340*IF(3&lt;life_fac,1,IF(3=life_fac,0.5,0))+Sens!F3340*IF(2&lt;life_fac,1,IF(2=life_fac,0.5,0))+Sens!G3340*IF(1&lt;life_fac,1,IF(1=life_fac,0.5,0))+Sens!H3340*0.5)/life_fac</f>
        <v>2.299605</v>
      </c>
      <c r="I3345" s="6" t="n">
        <f aca="false">(Sens!C3340*IF(6&lt;life_fac,1,IF(6=life_fac,0.5,0))+Sens!D3340*IF(5&lt;life_fac,1,IF(5=life_fac,0.5,0))+Sens!E3340*IF(4&lt;life_fac,1,IF(4=life_fac,0.5,0))+Sens!F3340*IF(3&lt;life_fac,1,IF(3=life_fac,0.5,0))+Sens!G3340*IF(2&lt;life_fac,1,IF(2=life_fac,0.5,0))+Sens!H3340*IF(1&lt;life_fac,1,IF(1=life_fac,0.5,0))+Sens!I3340*0.5)/life_fac</f>
        <v>2.299605</v>
      </c>
      <c r="J3345" s="6" t="n">
        <f aca="false">(Sens!C3340*IF(7&lt;life_fac,1,IF(7=life_fac,0.5,0))+Sens!D3340*IF(6&lt;life_fac,1,IF(6=life_fac,0.5,0))+Sens!E3340*IF(5&lt;life_fac,1,IF(5=life_fac,0.5,0))+Sens!F3340*IF(4&lt;life_fac,1,IF(4=life_fac,0.5,0))+Sens!G3340*IF(3&lt;life_fac,1,IF(3=life_fac,0.5,0))+Sens!H3340*IF(2&lt;life_fac,1,IF(2=life_fac,0.5,0))+Sens!I3340*IF(1&lt;life_fac,1,IF(1=life_fac,0.5,0))+Sens!J3340*0.5)/life_fac</f>
        <v>2.299605</v>
      </c>
      <c r="K3345" s="6" t="n">
        <f aca="false">(Sens!C3340*IF(8&lt;life_fac,1,IF(8=life_fac,0.5,0))+Sens!D3340*IF(7&lt;life_fac,1,IF(7=life_fac,0.5,0))+Sens!E3340*IF(6&lt;life_fac,1,IF(6=life_fac,0.5,0))+Sens!F3340*IF(5&lt;life_fac,1,IF(5=life_fac,0.5,0))+Sens!G3340*IF(4&lt;life_fac,1,IF(4=life_fac,0.5,0))+Sens!H3340*IF(3&lt;life_fac,1,IF(3=life_fac,0.5,0))+Sens!I3340*IF(2&lt;life_fac,1,IF(2=life_fac,0.5,0))+Sens!J3340*IF(1&lt;life_fac,1,IF(1=life_fac,0.5,0))+Sens!K3340*0.5)/life_fac</f>
        <v>2.299605</v>
      </c>
    </row>
    <row r="3346" customFormat="false" ht="17.15" hidden="false" customHeight="false" outlineLevel="0" collapsed="false">
      <c r="A3346" s="0" t="s">
        <v>844</v>
      </c>
      <c r="B3346" s="0" t="s">
        <v>98</v>
      </c>
      <c r="E3346" s="6" t="n">
        <f aca="false">Sens!E3344+Sens!E3345</f>
        <v>16.3054059770833</v>
      </c>
      <c r="F3346" s="6" t="n">
        <f aca="false">Sens!F3344+Sens!F3345</f>
        <v>36.1404426892031</v>
      </c>
      <c r="G3346" s="6" t="n">
        <f aca="false">Sens!G3344+Sens!G3345</f>
        <v>52.4592101714063</v>
      </c>
      <c r="H3346" s="6" t="n">
        <f aca="false">Sens!H3344+Sens!H3345</f>
        <v>55.0419095894063</v>
      </c>
      <c r="I3346" s="6" t="n">
        <f aca="false">Sens!I3344+Sens!I3345</f>
        <v>55.6856838189896</v>
      </c>
      <c r="J3346" s="6" t="n">
        <f aca="false">Sens!J3344+Sens!J3345</f>
        <v>57.3016885177396</v>
      </c>
      <c r="K3346" s="6" t="n">
        <f aca="false">Sens!K3344+Sens!K3345</f>
        <v>60.2052416756563</v>
      </c>
    </row>
    <row r="3347" customFormat="false" ht="17.15" hidden="false" customHeight="false" outlineLevel="0" collapsed="false">
      <c r="A3347" s="0" t="s">
        <v>845</v>
      </c>
      <c r="B3347" s="0" t="s">
        <v>98</v>
      </c>
      <c r="E3347" s="6" t="n">
        <f aca="false">Sens!E3335-Sens!E3334*Sens!E3346</f>
        <v>8.92707889977379</v>
      </c>
      <c r="F3347" s="6" t="n">
        <f aca="false">Sens!F3335-Sens!F3334*Sens!F3346</f>
        <v>3.68955319269938</v>
      </c>
      <c r="G3347" s="6" t="n">
        <f aca="false">Sens!G3335-Sens!G3334*Sens!G3346</f>
        <v>-5.16728465949367</v>
      </c>
      <c r="H3347" s="6" t="n">
        <f aca="false">Sens!H3335-Sens!H3334*Sens!H3346</f>
        <v>-9.07868789704165</v>
      </c>
      <c r="I3347" s="6" t="n">
        <f aca="false">Sens!I3335-Sens!I3334*Sens!I3346</f>
        <v>-8.51057822804433</v>
      </c>
      <c r="J3347" s="6" t="n">
        <f aca="false">Sens!J3335-Sens!J3334*Sens!J3346</f>
        <v>-8.03888122485961</v>
      </c>
      <c r="K3347" s="6" t="n">
        <f aca="false">Sens!K3335-Sens!K3334*Sens!K3346</f>
        <v>-6.91789049936764</v>
      </c>
    </row>
    <row r="3348" customFormat="false" ht="17.15" hidden="false" customHeight="false" outlineLevel="0" collapsed="false">
      <c r="A3348" s="3" t="s">
        <v>1320</v>
      </c>
    </row>
    <row r="3349" customFormat="false" ht="15" hidden="false" customHeight="false" outlineLevel="0" collapsed="false">
      <c r="A3349" s="4" t="s">
        <v>43</v>
      </c>
      <c r="B3349" s="4" t="s">
        <v>65</v>
      </c>
      <c r="C3349" s="20" t="s">
        <v>788</v>
      </c>
      <c r="D3349" s="20" t="s">
        <v>789</v>
      </c>
      <c r="E3349" s="20" t="s">
        <v>790</v>
      </c>
      <c r="F3349" s="20" t="s">
        <v>791</v>
      </c>
      <c r="G3349" s="20" t="s">
        <v>792</v>
      </c>
      <c r="H3349" s="20" t="s">
        <v>793</v>
      </c>
      <c r="I3349" s="20" t="s">
        <v>794</v>
      </c>
      <c r="J3349" s="20" t="s">
        <v>795</v>
      </c>
      <c r="K3349" s="20" t="s">
        <v>796</v>
      </c>
      <c r="L3349" s="4" t="s">
        <v>47</v>
      </c>
    </row>
    <row r="3350" customFormat="false" ht="17.15" hidden="false" customHeight="false" outlineLevel="0" collapsed="false">
      <c r="A3350" s="0" t="s">
        <v>864</v>
      </c>
      <c r="B3350" s="0" t="s">
        <v>98</v>
      </c>
      <c r="D3350" s="6" t="n">
        <f aca="false">Sens!D3329</f>
        <v>12.9359794422418</v>
      </c>
      <c r="E3350" s="6" t="n">
        <f aca="false">Sens!E3329</f>
        <v>27.8095064661409</v>
      </c>
      <c r="F3350" s="6" t="n">
        <f aca="false">Sens!F3329</f>
        <v>38.493440194965</v>
      </c>
      <c r="G3350" s="6" t="n">
        <f aca="false">Sens!G3329</f>
        <v>41.5646912063518</v>
      </c>
      <c r="H3350" s="6" t="n">
        <f aca="false">Sens!H3329</f>
        <v>39.815294148216</v>
      </c>
      <c r="I3350" s="6" t="n">
        <f aca="false">Sens!I3329</f>
        <v>40.84917416119</v>
      </c>
      <c r="J3350" s="6" t="n">
        <f aca="false">Sens!J3329</f>
        <v>42.4105439767017</v>
      </c>
      <c r="K3350" s="6" t="n">
        <f aca="false">Sens!K3329</f>
        <v>45.5121840156236</v>
      </c>
    </row>
    <row r="3351" customFormat="false" ht="17.15" hidden="false" customHeight="false" outlineLevel="0" collapsed="false">
      <c r="A3351" s="0" t="s">
        <v>865</v>
      </c>
      <c r="B3351" s="0" t="s">
        <v>98</v>
      </c>
      <c r="D3351" s="6" t="n">
        <f aca="false">Q!L6-Sens!D3350</f>
        <v>59.6740205577583</v>
      </c>
      <c r="E3351" s="6" t="n">
        <f aca="false">Q!M6-Sens!E3350</f>
        <v>74.1284935338591</v>
      </c>
      <c r="F3351" s="6" t="n">
        <f aca="false">Sens!E3351*(1+Sens!F3352)</f>
        <v>90.0799497373663</v>
      </c>
      <c r="G3351" s="6" t="n">
        <f aca="false">Sens!F3351*(1+Sens!G3352)</f>
        <v>107.02842520331</v>
      </c>
      <c r="H3351" s="6" t="n">
        <f aca="false">Sens!G3351*(1+Sens!H3352)</f>
        <v>124.271982585636</v>
      </c>
      <c r="I3351" s="6" t="n">
        <f aca="false">Sens!H3351*(1+Sens!I3352)</f>
        <v>140.933702381855</v>
      </c>
      <c r="J3351" s="6" t="n">
        <f aca="false">Sens!I3351*(1+Sens!J3352)</f>
        <v>156.018867314332</v>
      </c>
      <c r="K3351" s="6" t="n">
        <f aca="false">Sens!J3351*(1+Sens!K3352)</f>
        <v>168.500376699478</v>
      </c>
    </row>
    <row r="3352" customFormat="false" ht="15" hidden="false" customHeight="false" outlineLevel="0" collapsed="false">
      <c r="A3352" s="1" t="s">
        <v>866</v>
      </c>
      <c r="B3352" s="0" t="s">
        <v>129</v>
      </c>
      <c r="E3352" s="7" t="n">
        <f aca="false">Sens!E3351/Sens!D3351-1</f>
        <v>0.242223883039864</v>
      </c>
      <c r="F3352" s="7" t="n">
        <f aca="false">Sens!$E$3352+(glt_azo-Sens!$E$3352)*MIN(1,(Sens!F3312-base_fy)/n_conv)</f>
        <v>0.215186569199887</v>
      </c>
      <c r="G3352" s="7" t="n">
        <f aca="false">Sens!$E$3352+(glt_azo-Sens!$E$3352)*MIN(1,(Sens!G3312-base_fy)/n_conv)</f>
        <v>0.18814925535991</v>
      </c>
      <c r="H3352" s="7" t="n">
        <f aca="false">Sens!$E$3352+(glt_azo-Sens!$E$3352)*MIN(1,(Sens!H3312-base_fy)/n_conv)</f>
        <v>0.161111941519932</v>
      </c>
      <c r="I3352" s="7" t="n">
        <f aca="false">Sens!$E$3352+(glt_azo-Sens!$E$3352)*MIN(1,(Sens!I3312-base_fy)/n_conv)</f>
        <v>0.134074627679955</v>
      </c>
      <c r="J3352" s="7" t="n">
        <f aca="false">Sens!$E$3352+(glt_azo-Sens!$E$3352)*MIN(1,(Sens!J3312-base_fy)/n_conv)</f>
        <v>0.107037313839977</v>
      </c>
      <c r="K3352" s="7" t="n">
        <f aca="false">Sens!$E$3352+(glt_azo-Sens!$E$3352)*MIN(1,(Sens!K3312-base_fy)/n_conv)</f>
        <v>0.08</v>
      </c>
    </row>
    <row r="3353" customFormat="false" ht="15" hidden="false" customHeight="false" outlineLevel="0" collapsed="false">
      <c r="A3353" s="0" t="s">
        <v>867</v>
      </c>
      <c r="B3353" s="0" t="s">
        <v>98</v>
      </c>
      <c r="D3353" s="6" t="n">
        <f aca="false">Sens!D3350+Sens!D3351</f>
        <v>72.61</v>
      </c>
      <c r="E3353" s="6" t="n">
        <f aca="false">Sens!E3350+Sens!E3351</f>
        <v>101.938</v>
      </c>
      <c r="F3353" s="6" t="n">
        <f aca="false">Sens!F3350+Sens!F3351</f>
        <v>128.573389932331</v>
      </c>
      <c r="G3353" s="6" t="n">
        <f aca="false">Sens!G3350+Sens!G3351</f>
        <v>148.593116409662</v>
      </c>
      <c r="H3353" s="6" t="n">
        <f aca="false">Sens!H3350+Sens!H3351</f>
        <v>164.087276733852</v>
      </c>
      <c r="I3353" s="6" t="n">
        <f aca="false">Sens!I3350+Sens!I3351</f>
        <v>181.782876543045</v>
      </c>
      <c r="J3353" s="6" t="n">
        <f aca="false">Sens!J3350+Sens!J3351</f>
        <v>198.429411291033</v>
      </c>
      <c r="K3353" s="6" t="n">
        <f aca="false">Sens!K3350+Sens!K3351</f>
        <v>214.012560715102</v>
      </c>
    </row>
    <row r="3354" customFormat="false" ht="17.15" hidden="false" customHeight="false" outlineLevel="0" collapsed="false">
      <c r="A3354" s="0" t="s">
        <v>868</v>
      </c>
      <c r="B3354" s="1" t="s">
        <v>521</v>
      </c>
      <c r="C3354" s="29" t="n">
        <f aca="false">cop_s24</f>
        <v>1</v>
      </c>
      <c r="D3354" s="29" t="n">
        <f aca="false">cop_s25</f>
        <v>5</v>
      </c>
      <c r="E3354" s="29" t="n">
        <f aca="false">cop_s26</f>
        <v>30</v>
      </c>
      <c r="F3354" s="29" t="n">
        <f aca="false">Sens!E3354+cop_add_C</f>
        <v>40</v>
      </c>
      <c r="G3354" s="29" t="n">
        <f aca="false">Sens!F3354+cop_add_C</f>
        <v>50</v>
      </c>
      <c r="H3354" s="29" t="n">
        <f aca="false">Sens!G3354+cop_add_C</f>
        <v>60</v>
      </c>
      <c r="I3354" s="29" t="n">
        <f aca="false">Sens!H3354+cop_add_C*cop_tail</f>
        <v>65</v>
      </c>
      <c r="J3354" s="29" t="n">
        <f aca="false">Sens!I3354+cop_add_C*cop_tail</f>
        <v>70</v>
      </c>
      <c r="K3354" s="29" t="n">
        <f aca="false">Sens!J3354+cop_add_C*cop_tail</f>
        <v>75</v>
      </c>
      <c r="L3354" s="11" t="s">
        <v>869</v>
      </c>
    </row>
    <row r="3355" customFormat="false" ht="17.15" hidden="false" customHeight="false" outlineLevel="0" collapsed="false">
      <c r="A3355" s="0" t="s">
        <v>870</v>
      </c>
      <c r="B3355" s="0" t="s">
        <v>98</v>
      </c>
      <c r="D3355" s="6" t="n">
        <f aca="false">(Sens!C3354+Sens!D3354)/2*cop_px*12/1000</f>
        <v>0.9</v>
      </c>
      <c r="E3355" s="6" t="n">
        <f aca="false">(Sens!D3354+Sens!E3354)/2*cop_px*12/1000</f>
        <v>5.25</v>
      </c>
      <c r="F3355" s="6" t="n">
        <f aca="false">(Sens!E3354+Sens!F3354)/2*cop_px*12/1000</f>
        <v>10.5</v>
      </c>
      <c r="G3355" s="6" t="n">
        <f aca="false">(Sens!F3354+Sens!G3354)/2*cop_px*12/1000</f>
        <v>13.5</v>
      </c>
      <c r="H3355" s="6" t="n">
        <f aca="false">(Sens!G3354+Sens!H3354)/2*cop_px*12/1000</f>
        <v>16.5</v>
      </c>
      <c r="I3355" s="6" t="n">
        <f aca="false">(Sens!H3354+Sens!I3354)/2*cop_px*12/1000</f>
        <v>18.75</v>
      </c>
      <c r="J3355" s="6" t="n">
        <f aca="false">(Sens!I3354+Sens!J3354)/2*cop_px*12/1000</f>
        <v>20.25</v>
      </c>
      <c r="K3355" s="6" t="n">
        <f aca="false">(Sens!J3354+Sens!K3354)/2*cop_px*12/1000</f>
        <v>21.75</v>
      </c>
      <c r="L3355" s="1" t="s">
        <v>871</v>
      </c>
    </row>
    <row r="3356" customFormat="false" ht="17.15" hidden="false" customHeight="false" outlineLevel="0" collapsed="false">
      <c r="A3356" s="0" t="s">
        <v>872</v>
      </c>
      <c r="B3356" s="0" t="s">
        <v>98</v>
      </c>
      <c r="D3356" s="6" t="n">
        <f aca="false">Q!L7-Sens!D3355</f>
        <v>83.705</v>
      </c>
      <c r="E3356" s="6" t="n">
        <f aca="false">Q!M7-Sens!E3355</f>
        <v>95.049</v>
      </c>
      <c r="F3356" s="6" t="n">
        <f aca="false">Sens!E3356*(1+Sens!F3357)</f>
        <v>106.89238776686</v>
      </c>
      <c r="G3356" s="6" t="n">
        <f aca="false">Sens!F3356*(1+Sens!G3357)</f>
        <v>119.044168448684</v>
      </c>
      <c r="H3356" s="6" t="n">
        <f aca="false">Sens!G3356*(1+Sens!H3357)</f>
        <v>131.277359388781</v>
      </c>
      <c r="I3356" s="6" t="n">
        <f aca="false">Sens!H3356*(1+Sens!I3357)</f>
        <v>143.334028071957</v>
      </c>
      <c r="J3356" s="6" t="n">
        <f aca="false">Sens!I3356*(1+Sens!J3357)</f>
        <v>154.932702785465</v>
      </c>
      <c r="K3356" s="6" t="n">
        <f aca="false">Sens!J3356*(1+Sens!K3357)</f>
        <v>165.777991980448</v>
      </c>
    </row>
    <row r="3357" customFormat="false" ht="15" hidden="false" customHeight="false" outlineLevel="0" collapsed="false">
      <c r="A3357" s="1" t="s">
        <v>866</v>
      </c>
      <c r="B3357" s="0" t="s">
        <v>129</v>
      </c>
      <c r="E3357" s="7" t="n">
        <f aca="false">Sens!E3356/Sens!D3356-1</f>
        <v>0.135523564900544</v>
      </c>
      <c r="F3357" s="7" t="n">
        <f aca="false">Sens!$E$3357+(glt_m365b-Sens!$E$3357)*MIN(1,(Sens!F3312-base_fy)/n_conv)</f>
        <v>0.124602970750453</v>
      </c>
      <c r="G3357" s="7" t="n">
        <f aca="false">Sens!$E$3357+(glt_m365b-Sens!$E$3357)*MIN(1,(Sens!G3312-base_fy)/n_conv)</f>
        <v>0.113682376600363</v>
      </c>
      <c r="H3357" s="7" t="n">
        <f aca="false">Sens!$E$3357+(glt_m365b-Sens!$E$3357)*MIN(1,(Sens!H3312-base_fy)/n_conv)</f>
        <v>0.102761782450272</v>
      </c>
      <c r="I3357" s="7" t="n">
        <f aca="false">Sens!$E$3357+(glt_m365b-Sens!$E$3357)*MIN(1,(Sens!I3312-base_fy)/n_conv)</f>
        <v>0.0918411883001813</v>
      </c>
      <c r="J3357" s="7" t="n">
        <f aca="false">Sens!$E$3357+(glt_m365b-Sens!$E$3357)*MIN(1,(Sens!J3312-base_fy)/n_conv)</f>
        <v>0.0809205941500906</v>
      </c>
      <c r="K3357" s="7" t="n">
        <f aca="false">Sens!$E$3357+(glt_m365b-Sens!$E$3357)*MIN(1,(Sens!K3312-base_fy)/n_conv)</f>
        <v>0.07</v>
      </c>
    </row>
    <row r="3358" customFormat="false" ht="15" hidden="false" customHeight="false" outlineLevel="0" collapsed="false">
      <c r="A3358" s="0" t="s">
        <v>873</v>
      </c>
      <c r="B3358" s="0" t="s">
        <v>98</v>
      </c>
      <c r="D3358" s="6" t="n">
        <f aca="false">Sens!D3356+Sens!D3355</f>
        <v>84.605</v>
      </c>
      <c r="E3358" s="6" t="n">
        <f aca="false">Sens!E3356+Sens!E3355</f>
        <v>100.299</v>
      </c>
      <c r="F3358" s="6" t="n">
        <f aca="false">Sens!F3356+Sens!F3355</f>
        <v>117.39238776686</v>
      </c>
      <c r="G3358" s="6" t="n">
        <f aca="false">Sens!G3356+Sens!G3355</f>
        <v>132.544168448684</v>
      </c>
      <c r="H3358" s="6" t="n">
        <f aca="false">Sens!H3356+Sens!H3355</f>
        <v>147.777359388781</v>
      </c>
      <c r="I3358" s="6" t="n">
        <f aca="false">Sens!I3356+Sens!I3355</f>
        <v>162.084028071957</v>
      </c>
      <c r="J3358" s="6" t="n">
        <f aca="false">Sens!J3356+Sens!J3355</f>
        <v>175.182702785465</v>
      </c>
      <c r="K3358" s="6" t="n">
        <f aca="false">Sens!K3356+Sens!K3355</f>
        <v>187.527991980448</v>
      </c>
    </row>
    <row r="3359" customFormat="false" ht="15" hidden="false" customHeight="false" outlineLevel="0" collapsed="false">
      <c r="A3359" s="0" t="s">
        <v>874</v>
      </c>
      <c r="B3359" s="0" t="s">
        <v>98</v>
      </c>
      <c r="D3359" s="6" t="n">
        <f aca="false">Q!L8</f>
        <v>35.391</v>
      </c>
      <c r="E3359" s="6" t="n">
        <f aca="false">Q!M8</f>
        <v>37.285</v>
      </c>
      <c r="F3359" s="6" t="n">
        <f aca="false">Sens!E3359*(1+Sens!F3360)</f>
        <v>39.0720834331704</v>
      </c>
      <c r="G3359" s="6" t="n">
        <f aca="false">Sens!F3359*(1+Sens!G3360)</f>
        <v>40.726562953769</v>
      </c>
      <c r="H3359" s="6" t="n">
        <f aca="false">Sens!G3359*(1+Sens!H3360)</f>
        <v>42.2235987259198</v>
      </c>
      <c r="I3359" s="6" t="n">
        <f aca="false">Sens!H3359*(1+Sens!I3360)</f>
        <v>43.5397988077414</v>
      </c>
      <c r="J3359" s="6" t="n">
        <f aca="false">Sens!I3359*(1+Sens!J3360)</f>
        <v>44.653811225693</v>
      </c>
      <c r="K3359" s="6" t="n">
        <f aca="false">Sens!J3359*(1+Sens!K3360)</f>
        <v>45.5468874502068</v>
      </c>
    </row>
    <row r="3360" customFormat="false" ht="15" hidden="false" customHeight="false" outlineLevel="0" collapsed="false">
      <c r="A3360" s="1" t="s">
        <v>866</v>
      </c>
      <c r="B3360" s="0" t="s">
        <v>129</v>
      </c>
      <c r="E3360" s="7" t="n">
        <f aca="false">Sens!E3359/Sens!D3359-1</f>
        <v>0.0535164307309768</v>
      </c>
      <c r="F3360" s="7" t="n">
        <f aca="false">Sens!$E$3360+(glt_lic-Sens!$E$3360)*MIN(1,(Sens!F3312-base_fy)/n_conv)</f>
        <v>0.0479303589424807</v>
      </c>
      <c r="G3360" s="7" t="n">
        <f aca="false">Sens!$E$3360+(glt_lic-Sens!$E$3360)*MIN(1,(Sens!G3312-base_fy)/n_conv)</f>
        <v>0.0423442871539845</v>
      </c>
      <c r="H3360" s="7" t="n">
        <f aca="false">Sens!$E$3360+(glt_lic-Sens!$E$3360)*MIN(1,(Sens!H3312-base_fy)/n_conv)</f>
        <v>0.0367582153654884</v>
      </c>
      <c r="I3360" s="7" t="n">
        <f aca="false">Sens!$E$3360+(glt_lic-Sens!$E$3360)*MIN(1,(Sens!I3312-base_fy)/n_conv)</f>
        <v>0.0311721435769923</v>
      </c>
      <c r="J3360" s="7" t="n">
        <f aca="false">Sens!$E$3360+(glt_lic-Sens!$E$3360)*MIN(1,(Sens!J3312-base_fy)/n_conv)</f>
        <v>0.0255860717884961</v>
      </c>
      <c r="K3360" s="7" t="n">
        <f aca="false">Sens!$E$3360+(glt_lic-Sens!$E$3360)*MIN(1,(Sens!K3312-base_fy)/n_conv)</f>
        <v>0.02</v>
      </c>
    </row>
    <row r="3361" customFormat="false" ht="15" hidden="false" customHeight="false" outlineLevel="0" collapsed="false">
      <c r="A3361" s="0" t="s">
        <v>875</v>
      </c>
      <c r="B3361" s="0" t="s">
        <v>98</v>
      </c>
      <c r="D3361" s="6" t="n">
        <f aca="false">Q!L9</f>
        <v>18.417</v>
      </c>
      <c r="E3361" s="6" t="n">
        <f aca="false">Q!M9</f>
        <v>20.345</v>
      </c>
      <c r="F3361" s="6" t="n">
        <f aca="false">Sens!E3361*(1+Sens!F3362)</f>
        <v>22.3572203267814</v>
      </c>
      <c r="G3361" s="6" t="n">
        <f aca="false">Sens!F3361*(1+Sens!G3362)</f>
        <v>24.4392124437232</v>
      </c>
      <c r="H3361" s="6" t="n">
        <f aca="false">Sens!G3361*(1+Sens!H3362)</f>
        <v>26.5738052080665</v>
      </c>
      <c r="I3361" s="6" t="n">
        <f aca="false">Sens!H3361*(1+Sens!I3362)</f>
        <v>28.7412169166967</v>
      </c>
      <c r="J3361" s="6" t="n">
        <f aca="false">Sens!I3361*(1+Sens!J3362)</f>
        <v>30.9192545395413</v>
      </c>
      <c r="K3361" s="6" t="n">
        <f aca="false">Sens!J3361*(1+Sens!K3362)</f>
        <v>33.0836023573092</v>
      </c>
    </row>
    <row r="3362" customFormat="false" ht="15" hidden="false" customHeight="false" outlineLevel="0" collapsed="false">
      <c r="A3362" s="1" t="s">
        <v>866</v>
      </c>
      <c r="B3362" s="0" t="s">
        <v>129</v>
      </c>
      <c r="E3362" s="7" t="n">
        <f aca="false">Sens!E3361/Sens!D3361-1</f>
        <v>0.104685888038225</v>
      </c>
      <c r="F3362" s="7" t="n">
        <f aca="false">Sens!$E$3362+(glt_ind-Sens!$E$3362)*MIN(1,(Sens!F3312-base_fy)/n_conv)</f>
        <v>0.0989049066985211</v>
      </c>
      <c r="G3362" s="7" t="n">
        <f aca="false">Sens!$E$3362+(glt_ind-Sens!$E$3362)*MIN(1,(Sens!G3312-base_fy)/n_conv)</f>
        <v>0.0931239253588169</v>
      </c>
      <c r="H3362" s="7" t="n">
        <f aca="false">Sens!$E$3362+(glt_ind-Sens!$E$3362)*MIN(1,(Sens!H3312-base_fy)/n_conv)</f>
        <v>0.0873429440191127</v>
      </c>
      <c r="I3362" s="7" t="n">
        <f aca="false">Sens!$E$3362+(glt_ind-Sens!$E$3362)*MIN(1,(Sens!I3312-base_fy)/n_conv)</f>
        <v>0.0815619626794085</v>
      </c>
      <c r="J3362" s="7" t="n">
        <f aca="false">Sens!$E$3362+(glt_ind-Sens!$E$3362)*MIN(1,(Sens!J3312-base_fy)/n_conv)</f>
        <v>0.0757809813397042</v>
      </c>
      <c r="K3362" s="7" t="n">
        <f aca="false">Sens!$E$3362+(glt_ind-Sens!$E$3362)*MIN(1,(Sens!K3312-base_fy)/n_conv)</f>
        <v>0.07</v>
      </c>
    </row>
    <row r="3363" customFormat="false" ht="15" hidden="false" customHeight="false" outlineLevel="0" collapsed="false">
      <c r="A3363" s="0" t="s">
        <v>876</v>
      </c>
      <c r="B3363" s="0" t="s">
        <v>98</v>
      </c>
      <c r="D3363" s="6" t="n">
        <f aca="false">Q!L10</f>
        <v>7.76</v>
      </c>
      <c r="E3363" s="6" t="n">
        <f aca="false">Q!M10</f>
        <v>8.26</v>
      </c>
      <c r="F3363" s="6" t="n">
        <f aca="false">Sens!E3363*(1+Sens!F3364)</f>
        <v>8.79988041237113</v>
      </c>
      <c r="G3363" s="6" t="n">
        <f aca="false">Sens!F3363*(1+Sens!G3364)</f>
        <v>9.38321269125306</v>
      </c>
      <c r="H3363" s="6" t="n">
        <f aca="false">Sens!G3363*(1+Sens!H3364)</f>
        <v>10.0139193587476</v>
      </c>
      <c r="I3363" s="6" t="n">
        <f aca="false">Sens!H3363*(1+Sens!I3364)</f>
        <v>10.6963111830911</v>
      </c>
      <c r="J3363" s="6" t="n">
        <f aca="false">Sens!I3363*(1+Sens!J3364)</f>
        <v>11.4351285534696</v>
      </c>
      <c r="K3363" s="6" t="n">
        <f aca="false">Sens!J3363*(1+Sens!K3364)</f>
        <v>12.2355875522124</v>
      </c>
    </row>
    <row r="3364" customFormat="false" ht="15" hidden="false" customHeight="false" outlineLevel="0" collapsed="false">
      <c r="A3364" s="1" t="s">
        <v>866</v>
      </c>
      <c r="B3364" s="0" t="s">
        <v>129</v>
      </c>
      <c r="E3364" s="7" t="n">
        <f aca="false">Sens!E3363/Sens!D3363-1</f>
        <v>0.0644329896907216</v>
      </c>
      <c r="F3364" s="7" t="n">
        <f aca="false">Sens!$E$3364+(glt_fro-Sens!$E$3364)*MIN(1,(Sens!F3312-base_fy)/n_conv)</f>
        <v>0.065360824742268</v>
      </c>
      <c r="G3364" s="7" t="n">
        <f aca="false">Sens!$E$3364+(glt_fro-Sens!$E$3364)*MIN(1,(Sens!G3312-base_fy)/n_conv)</f>
        <v>0.0662886597938144</v>
      </c>
      <c r="H3364" s="7" t="n">
        <f aca="false">Sens!$E$3364+(glt_fro-Sens!$E$3364)*MIN(1,(Sens!H3312-base_fy)/n_conv)</f>
        <v>0.0672164948453608</v>
      </c>
      <c r="I3364" s="7" t="n">
        <f aca="false">Sens!$E$3364+(glt_fro-Sens!$E$3364)*MIN(1,(Sens!I3312-base_fy)/n_conv)</f>
        <v>0.0681443298969072</v>
      </c>
      <c r="J3364" s="7" t="n">
        <f aca="false">Sens!$E$3364+(glt_fro-Sens!$E$3364)*MIN(1,(Sens!J3312-base_fy)/n_conv)</f>
        <v>0.0690721649484536</v>
      </c>
      <c r="K3364" s="7" t="n">
        <f aca="false">Sens!$E$3364+(glt_fro-Sens!$E$3364)*MIN(1,(Sens!K3312-base_fy)/n_conv)</f>
        <v>0.07</v>
      </c>
    </row>
    <row r="3365" customFormat="false" ht="15" hidden="false" customHeight="false" outlineLevel="0" collapsed="false">
      <c r="A3365" s="0" t="s">
        <v>704</v>
      </c>
      <c r="B3365" s="0" t="s">
        <v>98</v>
      </c>
      <c r="D3365" s="6" t="n">
        <f aca="false">Sens!D3353+Sens!D3358+Sens!D3359+Sens!D3361+Sens!D3363</f>
        <v>218.783</v>
      </c>
      <c r="E3365" s="6" t="n">
        <f aca="false">Sens!E3353+Sens!E3358+Sens!E3359+Sens!E3361+Sens!E3363</f>
        <v>268.127</v>
      </c>
      <c r="F3365" s="6" t="n">
        <f aca="false">Sens!F3353+Sens!F3358+Sens!F3359+Sens!F3361+Sens!F3363</f>
        <v>316.194961871514</v>
      </c>
      <c r="G3365" s="6" t="n">
        <f aca="false">Sens!G3353+Sens!G3358+Sens!G3359+Sens!G3361+Sens!G3363</f>
        <v>355.686272947091</v>
      </c>
      <c r="H3365" s="6" t="n">
        <f aca="false">Sens!H3353+Sens!H3358+Sens!H3359+Sens!H3361+Sens!H3363</f>
        <v>390.675959415367</v>
      </c>
      <c r="I3365" s="6" t="n">
        <f aca="false">Sens!I3353+Sens!I3358+Sens!I3359+Sens!I3361+Sens!I3363</f>
        <v>426.844231522531</v>
      </c>
      <c r="J3365" s="6" t="n">
        <f aca="false">Sens!J3353+Sens!J3358+Sens!J3359+Sens!J3361+Sens!J3363</f>
        <v>460.620308395202</v>
      </c>
      <c r="K3365" s="6" t="n">
        <f aca="false">Sens!K3353+Sens!K3358+Sens!K3359+Sens!K3361+Sens!K3363</f>
        <v>492.406630055278</v>
      </c>
    </row>
    <row r="3366" customFormat="false" ht="15" hidden="false" customHeight="false" outlineLevel="0" collapsed="false">
      <c r="A3366" s="0" t="s">
        <v>877</v>
      </c>
      <c r="B3366" s="0" t="s">
        <v>98</v>
      </c>
      <c r="D3366" s="6" t="n">
        <f aca="false">Q!L13</f>
        <v>22.171</v>
      </c>
      <c r="E3366" s="6" t="n">
        <f aca="false">Q!M13</f>
        <v>24.835</v>
      </c>
      <c r="F3366" s="6" t="n">
        <f aca="false">Sens!E3366*(1+Sens!F3367)</f>
        <v>27.6114901218559</v>
      </c>
      <c r="G3366" s="6" t="n">
        <f aca="false">Sens!F3366*(1+Sens!G3367)</f>
        <v>30.4675667338515</v>
      </c>
      <c r="H3366" s="6" t="n">
        <f aca="false">Sens!G3366*(1+Sens!H3367)</f>
        <v>33.3643766955789</v>
      </c>
      <c r="I3366" s="6" t="n">
        <f aca="false">Sens!H3366*(1+Sens!I3367)</f>
        <v>36.2577016533691</v>
      </c>
      <c r="J3366" s="6" t="n">
        <f aca="false">Sens!I3366*(1+Sens!J3367)</f>
        <v>39.0988367952171</v>
      </c>
      <c r="K3366" s="6" t="n">
        <f aca="false">Sens!J3366*(1+Sens!K3367)</f>
        <v>41.8357553708823</v>
      </c>
    </row>
    <row r="3367" customFormat="false" ht="15" hidden="false" customHeight="false" outlineLevel="0" collapsed="false">
      <c r="A3367" s="1" t="s">
        <v>866</v>
      </c>
      <c r="B3367" s="0" t="s">
        <v>129</v>
      </c>
      <c r="E3367" s="7" t="n">
        <f aca="false">Sens!E3366/Sens!D3366-1</f>
        <v>0.120156961796942</v>
      </c>
      <c r="F3367" s="7" t="n">
        <f aca="false">Sens!$E$3367+(glt_srch-Sens!$E$3367)*MIN(1,(Sens!F3312-base_fy)/n_conv)</f>
        <v>0.111797468164118</v>
      </c>
      <c r="G3367" s="7" t="n">
        <f aca="false">Sens!$E$3367+(glt_srch-Sens!$E$3367)*MIN(1,(Sens!G3312-base_fy)/n_conv)</f>
        <v>0.103437974531295</v>
      </c>
      <c r="H3367" s="7" t="n">
        <f aca="false">Sens!$E$3367+(glt_srch-Sens!$E$3367)*MIN(1,(Sens!H3312-base_fy)/n_conv)</f>
        <v>0.095078480898471</v>
      </c>
      <c r="I3367" s="7" t="n">
        <f aca="false">Sens!$E$3367+(glt_srch-Sens!$E$3367)*MIN(1,(Sens!I3312-base_fy)/n_conv)</f>
        <v>0.0867189872656474</v>
      </c>
      <c r="J3367" s="7" t="n">
        <f aca="false">Sens!$E$3367+(glt_srch-Sens!$E$3367)*MIN(1,(Sens!J3312-base_fy)/n_conv)</f>
        <v>0.0783594936328237</v>
      </c>
      <c r="K3367" s="7" t="n">
        <f aca="false">Sens!$E$3367+(glt_srch-Sens!$E$3367)*MIN(1,(Sens!K3312-base_fy)/n_conv)</f>
        <v>0.07</v>
      </c>
    </row>
    <row r="3368" customFormat="false" ht="15" hidden="false" customHeight="false" outlineLevel="0" collapsed="false">
      <c r="A3368" s="0" t="s">
        <v>878</v>
      </c>
      <c r="B3368" s="0" t="s">
        <v>98</v>
      </c>
      <c r="D3368" s="6" t="n">
        <f aca="false">Q!L14</f>
        <v>23.455</v>
      </c>
      <c r="E3368" s="6" t="n">
        <f aca="false">Q!M14</f>
        <v>21.79</v>
      </c>
      <c r="F3368" s="6" t="n">
        <f aca="false">Sens!E3368*(1+Sens!F3369)</f>
        <v>20.5736277908051</v>
      </c>
      <c r="G3368" s="6" t="n">
        <f aca="false">Sens!F3368*(1+Sens!G3369)</f>
        <v>19.7371452817919</v>
      </c>
      <c r="H3368" s="6" t="n">
        <f aca="false">Sens!G3368*(1+Sens!H3369)</f>
        <v>19.2339764043138</v>
      </c>
      <c r="I3368" s="6" t="n">
        <f aca="false">Sens!H3368*(1+Sens!I3369)</f>
        <v>19.0353086852681</v>
      </c>
      <c r="J3368" s="6" t="n">
        <f aca="false">Sens!I3368*(1+Sens!J3369)</f>
        <v>19.1273539319129</v>
      </c>
      <c r="K3368" s="6" t="n">
        <f aca="false">Sens!J3368*(1+Sens!K3369)</f>
        <v>19.5099010105511</v>
      </c>
    </row>
    <row r="3369" customFormat="false" ht="15" hidden="false" customHeight="false" outlineLevel="0" collapsed="false">
      <c r="A3369" s="1" t="s">
        <v>866</v>
      </c>
      <c r="B3369" s="0" t="s">
        <v>129</v>
      </c>
      <c r="E3369" s="7" t="n">
        <f aca="false">Sens!E3368/Sens!D3368-1</f>
        <v>-0.0709869963760392</v>
      </c>
      <c r="F3369" s="7" t="n">
        <f aca="false">Sens!$E$3369+(glt_xbox-Sens!$E$3369)*MIN(1,(Sens!F3312-base_fy)/n_conv)</f>
        <v>-0.0558224969800327</v>
      </c>
      <c r="G3369" s="7" t="n">
        <f aca="false">Sens!$E$3369+(glt_xbox-Sens!$E$3369)*MIN(1,(Sens!G3312-base_fy)/n_conv)</f>
        <v>-0.0406579975840262</v>
      </c>
      <c r="H3369" s="7" t="n">
        <f aca="false">Sens!$E$3369+(glt_xbox-Sens!$E$3369)*MIN(1,(Sens!H3312-base_fy)/n_conv)</f>
        <v>-0.0254934981880196</v>
      </c>
      <c r="I3369" s="7" t="n">
        <f aca="false">Sens!$E$3369+(glt_xbox-Sens!$E$3369)*MIN(1,(Sens!I3312-base_fy)/n_conv)</f>
        <v>-0.0103289987920131</v>
      </c>
      <c r="J3369" s="7" t="n">
        <f aca="false">Sens!$E$3369+(glt_xbox-Sens!$E$3369)*MIN(1,(Sens!J3312-base_fy)/n_conv)</f>
        <v>0.00483550060399347</v>
      </c>
      <c r="K3369" s="7" t="n">
        <f aca="false">Sens!$E$3369+(glt_xbox-Sens!$E$3369)*MIN(1,(Sens!K3312-base_fy)/n_conv)</f>
        <v>0.02</v>
      </c>
    </row>
    <row r="3370" customFormat="false" ht="15" hidden="false" customHeight="false" outlineLevel="0" collapsed="false">
      <c r="A3370" s="0" t="s">
        <v>879</v>
      </c>
      <c r="B3370" s="0" t="s">
        <v>98</v>
      </c>
      <c r="D3370" s="6" t="n">
        <f aca="false">Q!L15</f>
        <v>17.315</v>
      </c>
      <c r="E3370" s="6" t="n">
        <f aca="false">Q!M15</f>
        <v>17.087</v>
      </c>
      <c r="F3370" s="6" t="n">
        <f aca="false">Sens!E3370*(1+Sens!F3371)</f>
        <v>16.9564585436519</v>
      </c>
      <c r="G3370" s="6" t="n">
        <f aca="false">Sens!F3370*(1+Sens!G3371)</f>
        <v>16.9206490624268</v>
      </c>
      <c r="H3370" s="6" t="n">
        <f aca="false">Sens!G3370*(1+Sens!H3371)</f>
        <v>16.9784519149849</v>
      </c>
      <c r="I3370" s="6" t="n">
        <f aca="false">Sens!H3370*(1+Sens!I3371)</f>
        <v>17.1303084701817</v>
      </c>
      <c r="J3370" s="6" t="n">
        <f aca="false">Sens!I3370*(1+Sens!J3371)</f>
        <v>17.3782189407267</v>
      </c>
      <c r="K3370" s="6" t="n">
        <f aca="false">Sens!J3370*(1+Sens!K3371)</f>
        <v>17.7257833195413</v>
      </c>
    </row>
    <row r="3371" customFormat="false" ht="15" hidden="false" customHeight="false" outlineLevel="0" collapsed="false">
      <c r="A3371" s="1" t="s">
        <v>866</v>
      </c>
      <c r="B3371" s="0" t="s">
        <v>129</v>
      </c>
      <c r="E3371" s="7" t="n">
        <f aca="false">Sens!E3370/Sens!D3370-1</f>
        <v>-0.0131677736066995</v>
      </c>
      <c r="F3371" s="7" t="n">
        <f aca="false">Sens!$E$3371+(glt_win-Sens!$E$3371)*MIN(1,(Sens!F3312-base_fy)/n_conv)</f>
        <v>-0.00763981133891627</v>
      </c>
      <c r="G3371" s="7" t="n">
        <f aca="false">Sens!$E$3371+(glt_win-Sens!$E$3371)*MIN(1,(Sens!G3312-base_fy)/n_conv)</f>
        <v>-0.00211184907113301</v>
      </c>
      <c r="H3371" s="7" t="n">
        <f aca="false">Sens!$E$3371+(glt_win-Sens!$E$3371)*MIN(1,(Sens!H3312-base_fy)/n_conv)</f>
        <v>0.00341611319665024</v>
      </c>
      <c r="I3371" s="7" t="n">
        <f aca="false">Sens!$E$3371+(glt_win-Sens!$E$3371)*MIN(1,(Sens!I3312-base_fy)/n_conv)</f>
        <v>0.00894407546443349</v>
      </c>
      <c r="J3371" s="7" t="n">
        <f aca="false">Sens!$E$3371+(glt_win-Sens!$E$3371)*MIN(1,(Sens!J3312-base_fy)/n_conv)</f>
        <v>0.0144720377322168</v>
      </c>
      <c r="K3371" s="7" t="n">
        <f aca="false">Sens!$E$3371+(glt_win-Sens!$E$3371)*MIN(1,(Sens!K3312-base_fy)/n_conv)</f>
        <v>0.02</v>
      </c>
    </row>
    <row r="3372" customFormat="false" ht="15" hidden="false" customHeight="false" outlineLevel="0" collapsed="false">
      <c r="A3372" s="0" t="s">
        <v>718</v>
      </c>
      <c r="B3372" s="0" t="s">
        <v>98</v>
      </c>
      <c r="D3372" s="6" t="n">
        <f aca="false">Sens!D3366+Sens!D3368+Sens!D3370</f>
        <v>62.941</v>
      </c>
      <c r="E3372" s="6" t="n">
        <f aca="false">Sens!E3366+Sens!E3368+Sens!E3370</f>
        <v>63.712</v>
      </c>
      <c r="F3372" s="6" t="n">
        <f aca="false">Sens!F3366+Sens!F3368+Sens!F3370</f>
        <v>65.1415764563129</v>
      </c>
      <c r="G3372" s="6" t="n">
        <f aca="false">Sens!G3366+Sens!G3368+Sens!G3370</f>
        <v>67.1253610780702</v>
      </c>
      <c r="H3372" s="6" t="n">
        <f aca="false">Sens!H3366+Sens!H3368+Sens!H3370</f>
        <v>69.5768050148776</v>
      </c>
      <c r="I3372" s="6" t="n">
        <f aca="false">Sens!I3366+Sens!I3368+Sens!I3370</f>
        <v>72.4233188088189</v>
      </c>
      <c r="J3372" s="6" t="n">
        <f aca="false">Sens!J3366+Sens!J3368+Sens!J3370</f>
        <v>75.6044096678567</v>
      </c>
      <c r="K3372" s="6" t="n">
        <f aca="false">Sens!K3366+Sens!K3368+Sens!K3370</f>
        <v>79.0714397009747</v>
      </c>
    </row>
    <row r="3373" customFormat="false" ht="15" hidden="false" customHeight="false" outlineLevel="0" collapsed="false">
      <c r="A3373" s="1" t="s">
        <v>880</v>
      </c>
      <c r="B3373" s="0" t="s">
        <v>98</v>
      </c>
      <c r="D3373" s="6" t="n">
        <f aca="false">Sens!D3365+Sens!D3372</f>
        <v>281.724</v>
      </c>
      <c r="E3373" s="6" t="n">
        <f aca="false">Sens!E3365+Sens!E3372</f>
        <v>331.839</v>
      </c>
      <c r="F3373" s="6" t="n">
        <f aca="false">Sens!F3365+Sens!F3372</f>
        <v>381.336538327827</v>
      </c>
      <c r="G3373" s="6" t="n">
        <f aca="false">Sens!G3365+Sens!G3372</f>
        <v>422.811634025161</v>
      </c>
      <c r="H3373" s="6" t="n">
        <f aca="false">Sens!H3365+Sens!H3372</f>
        <v>460.252764430245</v>
      </c>
      <c r="I3373" s="6" t="n">
        <f aca="false">Sens!I3365+Sens!I3372</f>
        <v>499.26755033135</v>
      </c>
      <c r="J3373" s="6" t="n">
        <f aca="false">Sens!J3365+Sens!J3372</f>
        <v>536.224718063059</v>
      </c>
      <c r="K3373" s="6" t="n">
        <f aca="false">Sens!K3365+Sens!K3372</f>
        <v>571.478069756253</v>
      </c>
    </row>
    <row r="3374" customFormat="false" ht="15" hidden="false" customHeight="false" outlineLevel="0" collapsed="false">
      <c r="A3374" s="23" t="s">
        <v>881</v>
      </c>
      <c r="B3374" s="30" t="s">
        <v>98</v>
      </c>
      <c r="C3374" s="30"/>
      <c r="D3374" s="24" t="n">
        <f aca="false">(Sens!D3353+Sens!D3358+Sens!D3359+Sens!D3361+Sens!D3363-Sens!D3365)+(Sens!D3366+Sens!D3368+Sens!D3370-Sens!D3372)+(Sens!D3365-Q!L5)+(Sens!D3372-Q!L12)+(Sens!D3353-Q!L6)+(Sens!D3358-Q!L7)</f>
        <v>0</v>
      </c>
      <c r="E3374" s="24" t="n">
        <f aca="false">(Sens!E3353+Sens!E3358+Sens!E3359+Sens!E3361+Sens!E3363-Sens!E3365)+(Sens!E3366+Sens!E3368+Sens!E3370-Sens!E3372)+(Sens!E3365-Q!M5)+(Sens!E3372-Q!M12)+(Sens!E3353-Q!M6)+(Sens!E3358-Q!M7)</f>
        <v>0</v>
      </c>
      <c r="F3374" s="24" t="n">
        <f aca="false">(Sens!F3353+Sens!F3358+Sens!F3359+Sens!F3361+Sens!F3363-Sens!F3365)+(Sens!F3366+Sens!F3368+Sens!F3370-Sens!F3372)</f>
        <v>0</v>
      </c>
      <c r="G3374" s="24" t="n">
        <f aca="false">(Sens!G3353+Sens!G3358+Sens!G3359+Sens!G3361+Sens!G3363-Sens!G3365)+(Sens!G3366+Sens!G3368+Sens!G3370-Sens!G3372)</f>
        <v>0</v>
      </c>
      <c r="H3374" s="24" t="n">
        <f aca="false">(Sens!H3353+Sens!H3358+Sens!H3359+Sens!H3361+Sens!H3363-Sens!H3365)+(Sens!H3366+Sens!H3368+Sens!H3370-Sens!H3372)</f>
        <v>0</v>
      </c>
      <c r="I3374" s="24" t="n">
        <f aca="false">(Sens!I3353+Sens!I3358+Sens!I3359+Sens!I3361+Sens!I3363-Sens!I3365)+(Sens!I3366+Sens!I3368+Sens!I3370-Sens!I3372)</f>
        <v>0</v>
      </c>
      <c r="J3374" s="24" t="n">
        <f aca="false">(Sens!J3353+Sens!J3358+Sens!J3359+Sens!J3361+Sens!J3363-Sens!J3365)+(Sens!J3366+Sens!J3368+Sens!J3370-Sens!J3372)</f>
        <v>0</v>
      </c>
      <c r="K3374" s="24" t="n">
        <f aca="false">(Sens!K3353+Sens!K3358+Sens!K3359+Sens!K3361+Sens!K3363-Sens!K3365)+(Sens!K3366+Sens!K3368+Sens!K3370-Sens!K3372)</f>
        <v>0</v>
      </c>
    </row>
    <row r="3375" customFormat="false" ht="17.15" hidden="false" customHeight="false" outlineLevel="0" collapsed="false">
      <c r="A3375" s="3" t="s">
        <v>1321</v>
      </c>
    </row>
    <row r="3376" customFormat="false" ht="15" hidden="false" customHeight="false" outlineLevel="0" collapsed="false">
      <c r="A3376" s="4" t="s">
        <v>43</v>
      </c>
      <c r="B3376" s="4" t="s">
        <v>65</v>
      </c>
      <c r="C3376" s="20" t="s">
        <v>788</v>
      </c>
      <c r="D3376" s="20" t="s">
        <v>789</v>
      </c>
      <c r="E3376" s="20" t="s">
        <v>790</v>
      </c>
      <c r="F3376" s="20" t="s">
        <v>791</v>
      </c>
      <c r="G3376" s="20" t="s">
        <v>792</v>
      </c>
      <c r="H3376" s="20" t="s">
        <v>793</v>
      </c>
      <c r="I3376" s="20" t="s">
        <v>794</v>
      </c>
      <c r="J3376" s="20" t="s">
        <v>795</v>
      </c>
      <c r="K3376" s="20" t="s">
        <v>796</v>
      </c>
      <c r="L3376" s="4" t="s">
        <v>47</v>
      </c>
    </row>
    <row r="3377" customFormat="false" ht="15" hidden="false" customHeight="false" outlineLevel="0" collapsed="false">
      <c r="A3377" s="0" t="s">
        <v>867</v>
      </c>
      <c r="B3377" s="0" t="s">
        <v>98</v>
      </c>
      <c r="D3377" s="6" t="n">
        <f aca="false">Sens!D3353</f>
        <v>72.61</v>
      </c>
      <c r="E3377" s="6" t="n">
        <f aca="false">Sens!E3353</f>
        <v>101.938</v>
      </c>
      <c r="F3377" s="6" t="n">
        <f aca="false">Sens!F3353</f>
        <v>128.573389932331</v>
      </c>
      <c r="G3377" s="6" t="n">
        <f aca="false">Sens!G3353</f>
        <v>148.593116409662</v>
      </c>
      <c r="H3377" s="6" t="n">
        <f aca="false">Sens!H3353</f>
        <v>164.087276733852</v>
      </c>
      <c r="I3377" s="6" t="n">
        <f aca="false">Sens!I3353</f>
        <v>181.782876543045</v>
      </c>
      <c r="J3377" s="6" t="n">
        <f aca="false">Sens!J3353</f>
        <v>198.429411291033</v>
      </c>
      <c r="K3377" s="6" t="n">
        <f aca="false">Sens!K3353</f>
        <v>214.012560715102</v>
      </c>
    </row>
    <row r="3378" customFormat="false" ht="17.15" hidden="false" customHeight="false" outlineLevel="0" collapsed="false">
      <c r="A3378" s="0" t="s">
        <v>864</v>
      </c>
      <c r="B3378" s="0" t="s">
        <v>98</v>
      </c>
      <c r="D3378" s="6" t="n">
        <f aca="false">Sens!D3350</f>
        <v>12.9359794422418</v>
      </c>
      <c r="E3378" s="6" t="n">
        <f aca="false">Sens!E3350</f>
        <v>27.8095064661409</v>
      </c>
      <c r="F3378" s="6" t="n">
        <f aca="false">Sens!F3350</f>
        <v>38.493440194965</v>
      </c>
      <c r="G3378" s="6" t="n">
        <f aca="false">Sens!G3350</f>
        <v>41.5646912063518</v>
      </c>
      <c r="H3378" s="6" t="n">
        <f aca="false">Sens!H3350</f>
        <v>39.815294148216</v>
      </c>
      <c r="I3378" s="6" t="n">
        <f aca="false">Sens!I3350</f>
        <v>40.84917416119</v>
      </c>
      <c r="J3378" s="6" t="n">
        <f aca="false">Sens!J3350</f>
        <v>42.4105439767017</v>
      </c>
      <c r="K3378" s="6" t="n">
        <f aca="false">Sens!K3350</f>
        <v>45.5121840156236</v>
      </c>
    </row>
    <row r="3379" customFormat="false" ht="17.15" hidden="false" customHeight="false" outlineLevel="0" collapsed="false">
      <c r="A3379" s="0" t="s">
        <v>892</v>
      </c>
      <c r="B3379" s="0" t="s">
        <v>98</v>
      </c>
      <c r="D3379" s="6" t="n">
        <f aca="false">Sens!D3351</f>
        <v>59.6740205577583</v>
      </c>
      <c r="E3379" s="6" t="n">
        <f aca="false">Sens!E3351</f>
        <v>74.1284935338591</v>
      </c>
      <c r="F3379" s="6" t="n">
        <f aca="false">Sens!F3351</f>
        <v>90.0799497373663</v>
      </c>
      <c r="G3379" s="6" t="n">
        <f aca="false">Sens!G3351</f>
        <v>107.02842520331</v>
      </c>
      <c r="H3379" s="6" t="n">
        <f aca="false">Sens!H3351</f>
        <v>124.271982585636</v>
      </c>
      <c r="I3379" s="6" t="n">
        <f aca="false">Sens!I3351</f>
        <v>140.933702381855</v>
      </c>
      <c r="J3379" s="6" t="n">
        <f aca="false">Sens!J3351</f>
        <v>156.018867314332</v>
      </c>
      <c r="K3379" s="6" t="n">
        <f aca="false">Sens!K3351</f>
        <v>168.500376699478</v>
      </c>
    </row>
    <row r="3380" customFormat="false" ht="15" hidden="false" customHeight="false" outlineLevel="0" collapsed="false">
      <c r="A3380" s="0" t="s">
        <v>873</v>
      </c>
      <c r="B3380" s="0" t="s">
        <v>98</v>
      </c>
      <c r="D3380" s="6" t="n">
        <f aca="false">Sens!D3358</f>
        <v>84.605</v>
      </c>
      <c r="E3380" s="6" t="n">
        <f aca="false">Sens!E3358</f>
        <v>100.299</v>
      </c>
      <c r="F3380" s="6" t="n">
        <f aca="false">Sens!F3358</f>
        <v>117.39238776686</v>
      </c>
      <c r="G3380" s="6" t="n">
        <f aca="false">Sens!G3358</f>
        <v>132.544168448684</v>
      </c>
      <c r="H3380" s="6" t="n">
        <f aca="false">Sens!H3358</f>
        <v>147.777359388781</v>
      </c>
      <c r="I3380" s="6" t="n">
        <f aca="false">Sens!I3358</f>
        <v>162.084028071957</v>
      </c>
      <c r="J3380" s="6" t="n">
        <f aca="false">Sens!J3358</f>
        <v>175.182702785465</v>
      </c>
      <c r="K3380" s="6" t="n">
        <f aca="false">Sens!K3358</f>
        <v>187.527991980448</v>
      </c>
    </row>
    <row r="3381" customFormat="false" ht="17.15" hidden="false" customHeight="false" outlineLevel="0" collapsed="false">
      <c r="A3381" s="0" t="s">
        <v>893</v>
      </c>
      <c r="B3381" s="0" t="s">
        <v>98</v>
      </c>
      <c r="D3381" s="6" t="n">
        <f aca="false">Sens!D3356</f>
        <v>83.705</v>
      </c>
      <c r="E3381" s="6" t="n">
        <f aca="false">Sens!E3356</f>
        <v>95.049</v>
      </c>
      <c r="F3381" s="6" t="n">
        <f aca="false">Sens!F3356</f>
        <v>106.89238776686</v>
      </c>
      <c r="G3381" s="6" t="n">
        <f aca="false">Sens!G3356</f>
        <v>119.044168448684</v>
      </c>
      <c r="H3381" s="6" t="n">
        <f aca="false">Sens!H3356</f>
        <v>131.277359388781</v>
      </c>
      <c r="I3381" s="6" t="n">
        <f aca="false">Sens!I3356</f>
        <v>143.334028071957</v>
      </c>
      <c r="J3381" s="6" t="n">
        <f aca="false">Sens!J3356</f>
        <v>154.932702785465</v>
      </c>
      <c r="K3381" s="6" t="n">
        <f aca="false">Sens!K3356</f>
        <v>165.777991980448</v>
      </c>
    </row>
    <row r="3382" customFormat="false" ht="17.15" hidden="false" customHeight="false" outlineLevel="0" collapsed="false">
      <c r="A3382" s="0" t="s">
        <v>894</v>
      </c>
      <c r="B3382" s="0" t="s">
        <v>98</v>
      </c>
      <c r="D3382" s="6" t="n">
        <f aca="false">Sens!D3355</f>
        <v>0.9</v>
      </c>
      <c r="E3382" s="6" t="n">
        <f aca="false">Sens!E3355</f>
        <v>5.25</v>
      </c>
      <c r="F3382" s="6" t="n">
        <f aca="false">Sens!F3355</f>
        <v>10.5</v>
      </c>
      <c r="G3382" s="6" t="n">
        <f aca="false">Sens!G3355</f>
        <v>13.5</v>
      </c>
      <c r="H3382" s="6" t="n">
        <f aca="false">Sens!H3355</f>
        <v>16.5</v>
      </c>
      <c r="I3382" s="6" t="n">
        <f aca="false">Sens!I3355</f>
        <v>18.75</v>
      </c>
      <c r="J3382" s="6" t="n">
        <f aca="false">Sens!J3355</f>
        <v>20.25</v>
      </c>
      <c r="K3382" s="6" t="n">
        <f aca="false">Sens!K3355</f>
        <v>21.75</v>
      </c>
    </row>
    <row r="3383" customFormat="false" ht="15" hidden="false" customHeight="false" outlineLevel="0" collapsed="false">
      <c r="A3383" s="0" t="s">
        <v>874</v>
      </c>
      <c r="B3383" s="0" t="s">
        <v>98</v>
      </c>
      <c r="D3383" s="6" t="n">
        <f aca="false">Sens!D3359</f>
        <v>35.391</v>
      </c>
      <c r="E3383" s="6" t="n">
        <f aca="false">Sens!E3359</f>
        <v>37.285</v>
      </c>
      <c r="F3383" s="6" t="n">
        <f aca="false">Sens!F3359</f>
        <v>39.0720834331704</v>
      </c>
      <c r="G3383" s="6" t="n">
        <f aca="false">Sens!G3359</f>
        <v>40.726562953769</v>
      </c>
      <c r="H3383" s="6" t="n">
        <f aca="false">Sens!H3359</f>
        <v>42.2235987259198</v>
      </c>
      <c r="I3383" s="6" t="n">
        <f aca="false">Sens!I3359</f>
        <v>43.5397988077414</v>
      </c>
      <c r="J3383" s="6" t="n">
        <f aca="false">Sens!J3359</f>
        <v>44.653811225693</v>
      </c>
      <c r="K3383" s="6" t="n">
        <f aca="false">Sens!K3359</f>
        <v>45.5468874502068</v>
      </c>
    </row>
    <row r="3384" customFormat="false" ht="15" hidden="false" customHeight="false" outlineLevel="0" collapsed="false">
      <c r="A3384" s="0" t="s">
        <v>875</v>
      </c>
      <c r="B3384" s="0" t="s">
        <v>98</v>
      </c>
      <c r="D3384" s="6" t="n">
        <f aca="false">Sens!D3361</f>
        <v>18.417</v>
      </c>
      <c r="E3384" s="6" t="n">
        <f aca="false">Sens!E3361</f>
        <v>20.345</v>
      </c>
      <c r="F3384" s="6" t="n">
        <f aca="false">Sens!F3361</f>
        <v>22.3572203267814</v>
      </c>
      <c r="G3384" s="6" t="n">
        <f aca="false">Sens!G3361</f>
        <v>24.4392124437232</v>
      </c>
      <c r="H3384" s="6" t="n">
        <f aca="false">Sens!H3361</f>
        <v>26.5738052080665</v>
      </c>
      <c r="I3384" s="6" t="n">
        <f aca="false">Sens!I3361</f>
        <v>28.7412169166967</v>
      </c>
      <c r="J3384" s="6" t="n">
        <f aca="false">Sens!J3361</f>
        <v>30.9192545395413</v>
      </c>
      <c r="K3384" s="6" t="n">
        <f aca="false">Sens!K3361</f>
        <v>33.0836023573092</v>
      </c>
    </row>
    <row r="3385" customFormat="false" ht="15" hidden="false" customHeight="false" outlineLevel="0" collapsed="false">
      <c r="A3385" s="0" t="s">
        <v>876</v>
      </c>
      <c r="B3385" s="0" t="s">
        <v>98</v>
      </c>
      <c r="D3385" s="6" t="n">
        <f aca="false">Sens!D3363</f>
        <v>7.76</v>
      </c>
      <c r="E3385" s="6" t="n">
        <f aca="false">Sens!E3363</f>
        <v>8.26</v>
      </c>
      <c r="F3385" s="6" t="n">
        <f aca="false">Sens!F3363</f>
        <v>8.79988041237113</v>
      </c>
      <c r="G3385" s="6" t="n">
        <f aca="false">Sens!G3363</f>
        <v>9.38321269125306</v>
      </c>
      <c r="H3385" s="6" t="n">
        <f aca="false">Sens!H3363</f>
        <v>10.0139193587476</v>
      </c>
      <c r="I3385" s="6" t="n">
        <f aca="false">Sens!I3363</f>
        <v>10.6963111830911</v>
      </c>
      <c r="J3385" s="6" t="n">
        <f aca="false">Sens!J3363</f>
        <v>11.4351285534696</v>
      </c>
      <c r="K3385" s="6" t="n">
        <f aca="false">Sens!K3363</f>
        <v>12.2355875522124</v>
      </c>
    </row>
    <row r="3386" customFormat="false" ht="15" hidden="false" customHeight="false" outlineLevel="0" collapsed="false">
      <c r="A3386" s="0" t="s">
        <v>704</v>
      </c>
      <c r="B3386" s="0" t="s">
        <v>98</v>
      </c>
      <c r="D3386" s="6" t="n">
        <f aca="false">Sens!D3365</f>
        <v>218.783</v>
      </c>
      <c r="E3386" s="6" t="n">
        <f aca="false">Sens!E3365</f>
        <v>268.127</v>
      </c>
      <c r="F3386" s="6" t="n">
        <f aca="false">Sens!F3365</f>
        <v>316.194961871514</v>
      </c>
      <c r="G3386" s="6" t="n">
        <f aca="false">Sens!G3365</f>
        <v>355.686272947091</v>
      </c>
      <c r="H3386" s="6" t="n">
        <f aca="false">Sens!H3365</f>
        <v>390.675959415367</v>
      </c>
      <c r="I3386" s="6" t="n">
        <f aca="false">Sens!I3365</f>
        <v>426.844231522531</v>
      </c>
      <c r="J3386" s="6" t="n">
        <f aca="false">Sens!J3365</f>
        <v>460.620308395202</v>
      </c>
      <c r="K3386" s="6" t="n">
        <f aca="false">Sens!K3365</f>
        <v>492.406630055278</v>
      </c>
    </row>
    <row r="3387" customFormat="false" ht="15" hidden="false" customHeight="false" outlineLevel="0" collapsed="false">
      <c r="A3387" s="0" t="s">
        <v>877</v>
      </c>
      <c r="B3387" s="0" t="s">
        <v>98</v>
      </c>
      <c r="D3387" s="6" t="n">
        <f aca="false">Sens!D3366</f>
        <v>22.171</v>
      </c>
      <c r="E3387" s="6" t="n">
        <f aca="false">Sens!E3366</f>
        <v>24.835</v>
      </c>
      <c r="F3387" s="6" t="n">
        <f aca="false">Sens!F3366</f>
        <v>27.6114901218559</v>
      </c>
      <c r="G3387" s="6" t="n">
        <f aca="false">Sens!G3366</f>
        <v>30.4675667338515</v>
      </c>
      <c r="H3387" s="6" t="n">
        <f aca="false">Sens!H3366</f>
        <v>33.3643766955789</v>
      </c>
      <c r="I3387" s="6" t="n">
        <f aca="false">Sens!I3366</f>
        <v>36.2577016533691</v>
      </c>
      <c r="J3387" s="6" t="n">
        <f aca="false">Sens!J3366</f>
        <v>39.0988367952171</v>
      </c>
      <c r="K3387" s="6" t="n">
        <f aca="false">Sens!K3366</f>
        <v>41.8357553708823</v>
      </c>
    </row>
    <row r="3388" customFormat="false" ht="15" hidden="false" customHeight="false" outlineLevel="0" collapsed="false">
      <c r="A3388" s="0" t="s">
        <v>878</v>
      </c>
      <c r="B3388" s="0" t="s">
        <v>98</v>
      </c>
      <c r="D3388" s="6" t="n">
        <f aca="false">Sens!D3368</f>
        <v>23.455</v>
      </c>
      <c r="E3388" s="6" t="n">
        <f aca="false">Sens!E3368</f>
        <v>21.79</v>
      </c>
      <c r="F3388" s="6" t="n">
        <f aca="false">Sens!F3368</f>
        <v>20.5736277908051</v>
      </c>
      <c r="G3388" s="6" t="n">
        <f aca="false">Sens!G3368</f>
        <v>19.7371452817919</v>
      </c>
      <c r="H3388" s="6" t="n">
        <f aca="false">Sens!H3368</f>
        <v>19.2339764043138</v>
      </c>
      <c r="I3388" s="6" t="n">
        <f aca="false">Sens!I3368</f>
        <v>19.0353086852681</v>
      </c>
      <c r="J3388" s="6" t="n">
        <f aca="false">Sens!J3368</f>
        <v>19.1273539319129</v>
      </c>
      <c r="K3388" s="6" t="n">
        <f aca="false">Sens!K3368</f>
        <v>19.5099010105511</v>
      </c>
    </row>
    <row r="3389" customFormat="false" ht="15" hidden="false" customHeight="false" outlineLevel="0" collapsed="false">
      <c r="A3389" s="0" t="s">
        <v>879</v>
      </c>
      <c r="B3389" s="0" t="s">
        <v>98</v>
      </c>
      <c r="D3389" s="6" t="n">
        <f aca="false">Sens!D3370</f>
        <v>17.315</v>
      </c>
      <c r="E3389" s="6" t="n">
        <f aca="false">Sens!E3370</f>
        <v>17.087</v>
      </c>
      <c r="F3389" s="6" t="n">
        <f aca="false">Sens!F3370</f>
        <v>16.9564585436519</v>
      </c>
      <c r="G3389" s="6" t="n">
        <f aca="false">Sens!G3370</f>
        <v>16.9206490624268</v>
      </c>
      <c r="H3389" s="6" t="n">
        <f aca="false">Sens!H3370</f>
        <v>16.9784519149849</v>
      </c>
      <c r="I3389" s="6" t="n">
        <f aca="false">Sens!I3370</f>
        <v>17.1303084701817</v>
      </c>
      <c r="J3389" s="6" t="n">
        <f aca="false">Sens!J3370</f>
        <v>17.3782189407267</v>
      </c>
      <c r="K3389" s="6" t="n">
        <f aca="false">Sens!K3370</f>
        <v>17.7257833195413</v>
      </c>
    </row>
    <row r="3390" customFormat="false" ht="15" hidden="false" customHeight="false" outlineLevel="0" collapsed="false">
      <c r="A3390" s="0" t="s">
        <v>718</v>
      </c>
      <c r="B3390" s="0" t="s">
        <v>98</v>
      </c>
      <c r="D3390" s="6" t="n">
        <f aca="false">Sens!D3372</f>
        <v>62.941</v>
      </c>
      <c r="E3390" s="6" t="n">
        <f aca="false">Sens!E3372</f>
        <v>63.712</v>
      </c>
      <c r="F3390" s="6" t="n">
        <f aca="false">Sens!F3372</f>
        <v>65.1415764563129</v>
      </c>
      <c r="G3390" s="6" t="n">
        <f aca="false">Sens!G3372</f>
        <v>67.1253610780702</v>
      </c>
      <c r="H3390" s="6" t="n">
        <f aca="false">Sens!H3372</f>
        <v>69.5768050148776</v>
      </c>
      <c r="I3390" s="6" t="n">
        <f aca="false">Sens!I3372</f>
        <v>72.4233188088189</v>
      </c>
      <c r="J3390" s="6" t="n">
        <f aca="false">Sens!J3372</f>
        <v>75.6044096678567</v>
      </c>
      <c r="K3390" s="6" t="n">
        <f aca="false">Sens!K3372</f>
        <v>79.0714397009747</v>
      </c>
    </row>
    <row r="3391" customFormat="false" ht="15" hidden="false" customHeight="false" outlineLevel="0" collapsed="false">
      <c r="A3391" s="1" t="s">
        <v>895</v>
      </c>
      <c r="B3391" s="0" t="s">
        <v>98</v>
      </c>
      <c r="D3391" s="6" t="n">
        <f aca="false">Sens!D3373</f>
        <v>281.724</v>
      </c>
      <c r="E3391" s="6" t="n">
        <f aca="false">Sens!E3373</f>
        <v>331.839</v>
      </c>
      <c r="F3391" s="6" t="n">
        <f aca="false">Sens!F3373</f>
        <v>381.336538327827</v>
      </c>
      <c r="G3391" s="6" t="n">
        <f aca="false">Sens!G3373</f>
        <v>422.811634025161</v>
      </c>
      <c r="H3391" s="6" t="n">
        <f aca="false">Sens!H3373</f>
        <v>460.252764430245</v>
      </c>
      <c r="I3391" s="6" t="n">
        <f aca="false">Sens!I3373</f>
        <v>499.26755033135</v>
      </c>
      <c r="J3391" s="6" t="n">
        <f aca="false">Sens!J3373</f>
        <v>536.224718063059</v>
      </c>
      <c r="K3391" s="6" t="n">
        <f aca="false">Sens!K3373</f>
        <v>571.478069756253</v>
      </c>
    </row>
    <row r="3392" customFormat="false" ht="15" hidden="false" customHeight="false" outlineLevel="0" collapsed="false">
      <c r="A3392" s="1" t="s">
        <v>896</v>
      </c>
      <c r="B3392" s="0" t="s">
        <v>129</v>
      </c>
      <c r="E3392" s="7" t="n">
        <f aca="false">Sens!E3391/Sens!D3391-1</f>
        <v>0.177886867998467</v>
      </c>
      <c r="F3392" s="7" t="n">
        <f aca="false">Sens!F3391/Sens!E3391-1</f>
        <v>0.149161305114308</v>
      </c>
      <c r="G3392" s="7" t="n">
        <f aca="false">Sens!G3391/Sens!F3391-1</f>
        <v>0.108762448726272</v>
      </c>
      <c r="H3392" s="7" t="n">
        <f aca="false">Sens!H3391/Sens!G3391-1</f>
        <v>0.088552744040282</v>
      </c>
      <c r="I3392" s="7" t="n">
        <f aca="false">Sens!I3391/Sens!H3391-1</f>
        <v>0.0847681728743168</v>
      </c>
      <c r="J3392" s="7" t="n">
        <f aca="false">Sens!J3391/Sens!I3391-1</f>
        <v>0.0740227713721466</v>
      </c>
      <c r="K3392" s="7" t="n">
        <f aca="false">Sens!K3391/Sens!J3391-1</f>
        <v>0.0657436155135391</v>
      </c>
    </row>
    <row r="3393" customFormat="false" ht="17.15" hidden="false" customHeight="false" outlineLevel="0" collapsed="false">
      <c r="A3393" s="23" t="s">
        <v>897</v>
      </c>
      <c r="B3393" s="30" t="s">
        <v>98</v>
      </c>
      <c r="C3393" s="30"/>
      <c r="D3393" s="24" t="n">
        <f aca="false">(Sens!D3386+Sens!D3390-Sens!D3391)+(Sens!D3378+Sens!D3379-Sens!D3377)+(Sens!D3381+Sens!D3382-Sens!D3380)+(Sens!D3391-Q!L18)</f>
        <v>0</v>
      </c>
      <c r="E3393" s="24" t="n">
        <f aca="false">(Sens!E3386+Sens!E3390-Sens!E3391)+(Sens!E3378+Sens!E3379-Sens!E3377)+(Sens!E3381+Sens!E3382-Sens!E3380)+(Sens!E3391-Q!M18)</f>
        <v>0</v>
      </c>
      <c r="F3393" s="24" t="n">
        <f aca="false">(Sens!F3386+Sens!F3390-Sens!F3391)+(Sens!F3378+Sens!F3379-Sens!F3377)+(Sens!F3381+Sens!F3382-Sens!F3380)</f>
        <v>0</v>
      </c>
      <c r="G3393" s="24" t="n">
        <f aca="false">(Sens!G3386+Sens!G3390-Sens!G3391)+(Sens!G3378+Sens!G3379-Sens!G3377)+(Sens!G3381+Sens!G3382-Sens!G3380)</f>
        <v>0</v>
      </c>
      <c r="H3393" s="24" t="n">
        <f aca="false">(Sens!H3386+Sens!H3390-Sens!H3391)+(Sens!H3378+Sens!H3379-Sens!H3377)+(Sens!H3381+Sens!H3382-Sens!H3380)</f>
        <v>0</v>
      </c>
      <c r="I3393" s="24" t="n">
        <f aca="false">(Sens!I3386+Sens!I3390-Sens!I3391)+(Sens!I3378+Sens!I3379-Sens!I3377)+(Sens!I3381+Sens!I3382-Sens!I3380)</f>
        <v>0</v>
      </c>
      <c r="J3393" s="24" t="n">
        <f aca="false">(Sens!J3386+Sens!J3390-Sens!J3391)+(Sens!J3378+Sens!J3379-Sens!J3377)+(Sens!J3381+Sens!J3382-Sens!J3380)</f>
        <v>0</v>
      </c>
      <c r="K3393" s="24" t="n">
        <f aca="false">(Sens!K3386+Sens!K3390-Sens!K3391)+(Sens!K3378+Sens!K3379-Sens!K3377)+(Sens!K3381+Sens!K3382-Sens!K3380)</f>
        <v>0</v>
      </c>
    </row>
    <row r="3394" customFormat="false" ht="17.15" hidden="false" customHeight="false" outlineLevel="0" collapsed="false">
      <c r="A3394" s="0" t="s">
        <v>898</v>
      </c>
      <c r="B3394" s="0" t="s">
        <v>129</v>
      </c>
      <c r="E3394" s="7" t="n">
        <f aca="false">(Q!M21+Sens!E3331+Sens!E3332+Sens!E3333+Sens!E3346-Sens!E3329)/(Q!M5-Sens!E3329)</f>
        <v>0.570957350878296</v>
      </c>
      <c r="F3394" s="7" t="n">
        <f aca="false">Sens!$E$3394+dm_seg</f>
        <v>0.570957350878296</v>
      </c>
      <c r="G3394" s="7" t="n">
        <f aca="false">Sens!$E$3394+dm_seg</f>
        <v>0.570957350878296</v>
      </c>
      <c r="H3394" s="7" t="n">
        <f aca="false">Sens!$E$3394+dm_seg</f>
        <v>0.570957350878296</v>
      </c>
      <c r="I3394" s="7" t="n">
        <f aca="false">Sens!$E$3394+dm_seg</f>
        <v>0.570957350878296</v>
      </c>
      <c r="J3394" s="7" t="n">
        <f aca="false">Sens!$E$3394+dm_seg</f>
        <v>0.570957350878296</v>
      </c>
      <c r="K3394" s="7" t="n">
        <f aca="false">Sens!$E$3394+dm_seg</f>
        <v>0.570957350878296</v>
      </c>
      <c r="L3394" s="11" t="s">
        <v>899</v>
      </c>
    </row>
    <row r="3395" customFormat="false" ht="17.15" hidden="false" customHeight="false" outlineLevel="0" collapsed="false">
      <c r="A3395" s="0" t="s">
        <v>732</v>
      </c>
      <c r="B3395" s="0" t="s">
        <v>98</v>
      </c>
      <c r="D3395" s="6" t="n">
        <f aca="false">Q!L21</f>
        <v>110.814</v>
      </c>
      <c r="E3395" s="6" t="n">
        <f aca="false">Q!M21</f>
        <v>136.365</v>
      </c>
      <c r="F3395" s="6" t="n">
        <f aca="false">Sens!F3394*(Sens!F3365-Sens!F3329)+Sens!F3329-(Sens!F3331+Sens!F3332+Sens!F3333)-Sens!F3346</f>
        <v>142.912800342503</v>
      </c>
      <c r="G3395" s="6" t="n">
        <f aca="false">Sens!G3394*(Sens!G3365-Sens!G3329)+Sens!G3329-(Sens!G3331+Sens!G3332+Sens!G3333)-Sens!G3346</f>
        <v>147.508650927669</v>
      </c>
      <c r="H3395" s="6" t="n">
        <f aca="false">Sens!H3394*(Sens!H3365-Sens!H3329)+Sens!H3329-(Sens!H3331+Sens!H3332+Sens!H3333)-Sens!H3346</f>
        <v>163.132360041116</v>
      </c>
      <c r="I3395" s="6" t="n">
        <f aca="false">Sens!I3394*(Sens!I3365-Sens!I3329)+Sens!I3329-(Sens!I3331+Sens!I3332+Sens!I3333)-Sens!I3346</f>
        <v>183.45019558228</v>
      </c>
      <c r="J3395" s="6" t="n">
        <f aca="false">Sens!J3394*(Sens!J3365-Sens!J3329)+Sens!J3329-(Sens!J3331+Sens!J3332+Sens!J3333)-Sens!J3346</f>
        <v>201.588667844589</v>
      </c>
      <c r="K3395" s="6" t="n">
        <f aca="false">Sens!K3394*(Sens!K3365-Sens!K3329)+Sens!K3329-(Sens!K3331+Sens!K3332+Sens!K3333)-Sens!K3346</f>
        <v>217.766955523663</v>
      </c>
      <c r="L3395" s="1" t="s">
        <v>900</v>
      </c>
    </row>
    <row r="3396" customFormat="false" ht="17.15" hidden="false" customHeight="false" outlineLevel="0" collapsed="false">
      <c r="A3396" s="0" t="s">
        <v>901</v>
      </c>
      <c r="B3396" s="0" t="s">
        <v>129</v>
      </c>
      <c r="E3396" s="7" t="n">
        <f aca="false">Q!M22/Q!M12</f>
        <v>0.296207935710698</v>
      </c>
      <c r="F3396" s="7" t="n">
        <f aca="false">Sens!$E$3396+dm_seg</f>
        <v>0.296207935710698</v>
      </c>
      <c r="G3396" s="7" t="n">
        <f aca="false">Sens!$E$3396+dm_seg</f>
        <v>0.296207935710698</v>
      </c>
      <c r="H3396" s="7" t="n">
        <f aca="false">Sens!$E$3396+dm_seg</f>
        <v>0.296207935710698</v>
      </c>
      <c r="I3396" s="7" t="n">
        <f aca="false">Sens!$E$3396+dm_seg</f>
        <v>0.296207935710698</v>
      </c>
      <c r="J3396" s="7" t="n">
        <f aca="false">Sens!$E$3396+dm_seg</f>
        <v>0.296207935710698</v>
      </c>
      <c r="K3396" s="7" t="n">
        <f aca="false">Sens!$E$3396+dm_seg</f>
        <v>0.296207935710698</v>
      </c>
      <c r="L3396" s="11" t="s">
        <v>902</v>
      </c>
    </row>
    <row r="3397" customFormat="false" ht="17.15" hidden="false" customHeight="false" outlineLevel="0" collapsed="false">
      <c r="A3397" s="0" t="s">
        <v>734</v>
      </c>
      <c r="B3397" s="0" t="s">
        <v>98</v>
      </c>
      <c r="D3397" s="6" t="n">
        <f aca="false">Q!L22</f>
        <v>17.714</v>
      </c>
      <c r="E3397" s="6" t="n">
        <f aca="false">Q!M22</f>
        <v>18.872</v>
      </c>
      <c r="F3397" s="6" t="n">
        <f aca="false">Sens!F3372*Sens!F3396</f>
        <v>19.2954518910651</v>
      </c>
      <c r="G3397" s="6" t="n">
        <f aca="false">Sens!G3372*Sens!G3396</f>
        <v>19.8830646387704</v>
      </c>
      <c r="H3397" s="6" t="n">
        <f aca="false">Sens!H3372*Sens!H3396</f>
        <v>20.6092017868026</v>
      </c>
      <c r="I3397" s="6" t="n">
        <f aca="false">Sens!I3372*Sens!I3396</f>
        <v>21.452361761678</v>
      </c>
      <c r="J3397" s="6" t="n">
        <f aca="false">Sens!J3372*Sens!J3396</f>
        <v>22.3946261183418</v>
      </c>
      <c r="K3397" s="6" t="n">
        <f aca="false">Sens!K3372*Sens!K3396</f>
        <v>23.4215879274986</v>
      </c>
    </row>
    <row r="3398" customFormat="false" ht="15" hidden="false" customHeight="false" outlineLevel="0" collapsed="false">
      <c r="A3398" s="1" t="s">
        <v>903</v>
      </c>
      <c r="B3398" s="0" t="s">
        <v>98</v>
      </c>
      <c r="D3398" s="6" t="n">
        <f aca="false">Sens!D3395+Sens!D3397</f>
        <v>128.528</v>
      </c>
      <c r="E3398" s="6" t="n">
        <f aca="false">Sens!E3395+Sens!E3397</f>
        <v>155.237</v>
      </c>
      <c r="F3398" s="6" t="n">
        <f aca="false">Sens!F3395+Sens!F3397</f>
        <v>162.208252233568</v>
      </c>
      <c r="G3398" s="6" t="n">
        <f aca="false">Sens!G3395+Sens!G3397</f>
        <v>167.391715566439</v>
      </c>
      <c r="H3398" s="6" t="n">
        <f aca="false">Sens!H3395+Sens!H3397</f>
        <v>183.741561827918</v>
      </c>
      <c r="I3398" s="6" t="n">
        <f aca="false">Sens!I3395+Sens!I3397</f>
        <v>204.902557343958</v>
      </c>
      <c r="J3398" s="6" t="n">
        <f aca="false">Sens!J3395+Sens!J3397</f>
        <v>223.983293962931</v>
      </c>
      <c r="K3398" s="6" t="n">
        <f aca="false">Sens!K3395+Sens!K3397</f>
        <v>241.188543451161</v>
      </c>
    </row>
    <row r="3399" customFormat="false" ht="15" hidden="false" customHeight="false" outlineLevel="0" collapsed="false">
      <c r="A3399" s="23" t="s">
        <v>904</v>
      </c>
      <c r="B3399" s="30" t="s">
        <v>98</v>
      </c>
      <c r="C3399" s="30"/>
      <c r="D3399" s="24" t="n">
        <f aca="false">Sens!D3398-Q!L23</f>
        <v>0</v>
      </c>
      <c r="E3399" s="24" t="n">
        <f aca="false">Sens!E3398-Q!M23</f>
        <v>0</v>
      </c>
      <c r="F3399" s="30"/>
      <c r="G3399" s="30"/>
      <c r="H3399" s="30"/>
      <c r="I3399" s="30"/>
      <c r="J3399" s="30"/>
      <c r="K3399" s="30"/>
    </row>
    <row r="3400" customFormat="false" ht="15" hidden="false" customHeight="false" outlineLevel="0" collapsed="false">
      <c r="A3400" s="1" t="s">
        <v>905</v>
      </c>
      <c r="B3400" s="0" t="s">
        <v>129</v>
      </c>
      <c r="D3400" s="7" t="n">
        <f aca="false">Sens!D3398/Sens!D3391</f>
        <v>0.456219562408598</v>
      </c>
      <c r="E3400" s="7" t="n">
        <f aca="false">Sens!E3398/Sens!E3391</f>
        <v>0.467808184089272</v>
      </c>
      <c r="F3400" s="7" t="n">
        <f aca="false">Sens!F3398/Sens!F3391</f>
        <v>0.42536771573177</v>
      </c>
      <c r="G3400" s="7" t="n">
        <f aca="false">Sens!G3398/Sens!G3391</f>
        <v>0.395901394606558</v>
      </c>
      <c r="H3400" s="7" t="n">
        <f aca="false">Sens!H3398/Sens!H3391</f>
        <v>0.399218811983401</v>
      </c>
      <c r="I3400" s="7" t="n">
        <f aca="false">Sens!I3398/Sens!I3391</f>
        <v>0.410406318632104</v>
      </c>
      <c r="J3400" s="7" t="n">
        <f aca="false">Sens!J3398/Sens!J3391</f>
        <v>0.417704157264513</v>
      </c>
      <c r="K3400" s="7" t="n">
        <f aca="false">Sens!K3398/Sens!K3391</f>
        <v>0.422043392765769</v>
      </c>
    </row>
    <row r="3401" customFormat="false" ht="17.15" hidden="false" customHeight="false" outlineLevel="0" collapsed="false">
      <c r="A3401" s="1" t="s">
        <v>906</v>
      </c>
      <c r="B3401" s="0" t="s">
        <v>98</v>
      </c>
      <c r="F3401" s="6" t="n">
        <f aca="false">Sens!F3416</f>
        <v>13.4543668345674</v>
      </c>
      <c r="G3401" s="6" t="n">
        <f aca="false">Sens!G3416</f>
        <v>15.2968635333153</v>
      </c>
      <c r="H3401" s="6" t="n">
        <f aca="false">Sens!H3416</f>
        <v>15.234467839745</v>
      </c>
      <c r="I3401" s="6" t="n">
        <f aca="false">Sens!I3416</f>
        <v>14.5900347340367</v>
      </c>
      <c r="J3401" s="6" t="n">
        <f aca="false">Sens!J3416</f>
        <v>14.7004629750421</v>
      </c>
      <c r="K3401" s="6" t="n">
        <f aca="false">Sens!K3416</f>
        <v>15.7646897500282</v>
      </c>
      <c r="L3401" s="1" t="s">
        <v>907</v>
      </c>
    </row>
    <row r="3402" customFormat="false" ht="17.15" hidden="false" customHeight="false" outlineLevel="0" collapsed="false">
      <c r="A3402" s="1" t="s">
        <v>908</v>
      </c>
      <c r="B3402" s="0" t="s">
        <v>98</v>
      </c>
      <c r="D3402" s="6" t="n">
        <f aca="false">Sens!D3398</f>
        <v>128.528</v>
      </c>
      <c r="E3402" s="6" t="n">
        <f aca="false">Sens!E3398</f>
        <v>155.237</v>
      </c>
      <c r="F3402" s="6" t="n">
        <f aca="false">Sens!F3398+Sens!F3401</f>
        <v>175.662619068136</v>
      </c>
      <c r="G3402" s="6" t="n">
        <f aca="false">Sens!G3398+Sens!G3401</f>
        <v>182.688579099754</v>
      </c>
      <c r="H3402" s="6" t="n">
        <f aca="false">Sens!H3398+Sens!H3401</f>
        <v>198.976029667663</v>
      </c>
      <c r="I3402" s="6" t="n">
        <f aca="false">Sens!I3398+Sens!I3401</f>
        <v>219.492592077995</v>
      </c>
      <c r="J3402" s="6" t="n">
        <f aca="false">Sens!J3398+Sens!J3401</f>
        <v>238.683756937973</v>
      </c>
      <c r="K3402" s="6" t="n">
        <f aca="false">Sens!K3398+Sens!K3401</f>
        <v>256.95323320119</v>
      </c>
    </row>
    <row r="3403" customFormat="false" ht="17.15" hidden="false" customHeight="false" outlineLevel="0" collapsed="false">
      <c r="A3403" s="1" t="s">
        <v>909</v>
      </c>
      <c r="B3403" s="0" t="s">
        <v>98</v>
      </c>
      <c r="E3403" s="6" t="n">
        <f aca="false">Sens!E3346</f>
        <v>16.3054059770833</v>
      </c>
      <c r="F3403" s="6" t="n">
        <f aca="false">Sens!F3346</f>
        <v>36.1404426892031</v>
      </c>
      <c r="G3403" s="6" t="n">
        <f aca="false">Sens!G3346</f>
        <v>52.4592101714063</v>
      </c>
      <c r="H3403" s="6" t="n">
        <f aca="false">Sens!H3346</f>
        <v>55.0419095894063</v>
      </c>
      <c r="I3403" s="6" t="n">
        <f aca="false">Sens!I3346</f>
        <v>55.6856838189896</v>
      </c>
      <c r="J3403" s="6" t="n">
        <f aca="false">Sens!J3346</f>
        <v>57.3016885177396</v>
      </c>
      <c r="K3403" s="6" t="n">
        <f aca="false">Sens!K3346</f>
        <v>60.2052416756563</v>
      </c>
    </row>
    <row r="3404" customFormat="false" ht="17.15" hidden="false" customHeight="false" outlineLevel="0" collapsed="false">
      <c r="A3404" s="1" t="s">
        <v>910</v>
      </c>
      <c r="B3404" s="0" t="s">
        <v>98</v>
      </c>
      <c r="E3404" s="6" t="n">
        <f aca="false">Sens!E3428</f>
        <v>22.2285940229167</v>
      </c>
      <c r="F3404" s="6" t="n">
        <f aca="false">Sens!F3428</f>
        <v>23.5486693435813</v>
      </c>
      <c r="G3404" s="6" t="n">
        <f aca="false">Sens!G3428</f>
        <v>25.264091766262</v>
      </c>
      <c r="H3404" s="6" t="n">
        <f aca="false">Sens!H3428</f>
        <v>27.3438339540448</v>
      </c>
      <c r="I3404" s="6" t="n">
        <f aca="false">Sens!I3428</f>
        <v>29.7317905898047</v>
      </c>
      <c r="J3404" s="6" t="n">
        <f aca="false">Sens!J3428</f>
        <v>32.3542028558616</v>
      </c>
      <c r="K3404" s="6" t="n">
        <f aca="false">Sens!K3428</f>
        <v>35.1281528444749</v>
      </c>
    </row>
    <row r="3405" customFormat="false" ht="17.15" hidden="false" customHeight="false" outlineLevel="0" collapsed="false">
      <c r="A3405" s="1" t="s">
        <v>911</v>
      </c>
      <c r="B3405" s="0" t="s">
        <v>98</v>
      </c>
      <c r="D3405" s="6" t="n">
        <f aca="false">Q!L27</f>
        <v>-4.901</v>
      </c>
      <c r="E3405" s="6" t="n">
        <f aca="false">Q!M27</f>
        <v>10.697</v>
      </c>
      <c r="F3405" s="6" t="n">
        <f aca="false">oie_f</f>
        <v>-0.4</v>
      </c>
      <c r="G3405" s="6" t="n">
        <f aca="false">oie_f</f>
        <v>-0.4</v>
      </c>
      <c r="H3405" s="6" t="n">
        <f aca="false">oie_f</f>
        <v>-0.4</v>
      </c>
      <c r="I3405" s="6" t="n">
        <f aca="false">oie_f</f>
        <v>-0.4</v>
      </c>
      <c r="J3405" s="6" t="n">
        <f aca="false">oie_f</f>
        <v>-0.4</v>
      </c>
      <c r="K3405" s="6" t="n">
        <f aca="false">oie_f</f>
        <v>-0.4</v>
      </c>
      <c r="L3405" s="11" t="s">
        <v>912</v>
      </c>
    </row>
    <row r="3406" customFormat="false" ht="15" hidden="false" customHeight="false" outlineLevel="0" collapsed="false">
      <c r="A3406" s="1" t="s">
        <v>913</v>
      </c>
      <c r="B3406" s="0" t="s">
        <v>98</v>
      </c>
      <c r="D3406" s="6" t="n">
        <f aca="false">Sens!D3398+Sens!D3405</f>
        <v>123.627</v>
      </c>
      <c r="E3406" s="6" t="n">
        <f aca="false">Sens!E3398+Sens!E3405</f>
        <v>165.934</v>
      </c>
      <c r="F3406" s="6" t="n">
        <f aca="false">Sens!F3398+Sens!F3405</f>
        <v>161.808252233568</v>
      </c>
      <c r="G3406" s="6" t="n">
        <f aca="false">Sens!G3398+Sens!G3405</f>
        <v>166.991715566439</v>
      </c>
      <c r="H3406" s="6" t="n">
        <f aca="false">Sens!H3398+Sens!H3405</f>
        <v>183.341561827918</v>
      </c>
      <c r="I3406" s="6" t="n">
        <f aca="false">Sens!I3398+Sens!I3405</f>
        <v>204.502557343958</v>
      </c>
      <c r="J3406" s="6" t="n">
        <f aca="false">Sens!J3398+Sens!J3405</f>
        <v>223.583293962931</v>
      </c>
      <c r="K3406" s="6" t="n">
        <f aca="false">Sens!K3398+Sens!K3405</f>
        <v>240.788543451161</v>
      </c>
    </row>
    <row r="3407" customFormat="false" ht="15" hidden="false" customHeight="false" outlineLevel="0" collapsed="false">
      <c r="A3407" s="1" t="s">
        <v>914</v>
      </c>
      <c r="B3407" s="0" t="s">
        <v>98</v>
      </c>
      <c r="D3407" s="6" t="n">
        <f aca="false">Q!L29</f>
        <v>21.795</v>
      </c>
      <c r="E3407" s="6" t="n">
        <f aca="false">Q!M29</f>
        <v>32.185</v>
      </c>
      <c r="F3407" s="6" t="n">
        <f aca="false">Sens!F3406*tax_f</f>
        <v>32.3616504467137</v>
      </c>
      <c r="G3407" s="6" t="n">
        <f aca="false">Sens!G3406*tax_f</f>
        <v>33.3983431132878</v>
      </c>
      <c r="H3407" s="6" t="n">
        <f aca="false">Sens!H3406*tax_f</f>
        <v>36.6683123655837</v>
      </c>
      <c r="I3407" s="6" t="n">
        <f aca="false">Sens!I3406*tax_f</f>
        <v>40.9005114687916</v>
      </c>
      <c r="J3407" s="6" t="n">
        <f aca="false">Sens!J3406*tax_f</f>
        <v>44.7166587925862</v>
      </c>
      <c r="K3407" s="6" t="n">
        <f aca="false">Sens!K3406*tax_f</f>
        <v>48.1577086902323</v>
      </c>
    </row>
    <row r="3408" customFormat="false" ht="15" hidden="false" customHeight="false" outlineLevel="0" collapsed="false">
      <c r="A3408" s="1" t="s">
        <v>915</v>
      </c>
      <c r="B3408" s="0" t="s">
        <v>98</v>
      </c>
      <c r="D3408" s="6" t="n">
        <f aca="false">Sens!D3406-Sens!D3407</f>
        <v>101.832</v>
      </c>
      <c r="E3408" s="6" t="n">
        <f aca="false">Sens!E3406-Sens!E3407</f>
        <v>133.749</v>
      </c>
      <c r="F3408" s="6" t="n">
        <f aca="false">Sens!F3406-Sens!F3407</f>
        <v>129.446601786855</v>
      </c>
      <c r="G3408" s="6" t="n">
        <f aca="false">Sens!G3406-Sens!G3407</f>
        <v>133.593372453151</v>
      </c>
      <c r="H3408" s="6" t="n">
        <f aca="false">Sens!H3406-Sens!H3407</f>
        <v>146.673249462335</v>
      </c>
      <c r="I3408" s="6" t="n">
        <f aca="false">Sens!I3406-Sens!I3407</f>
        <v>163.602045875166</v>
      </c>
      <c r="J3408" s="6" t="n">
        <f aca="false">Sens!J3406-Sens!J3407</f>
        <v>178.866635170345</v>
      </c>
      <c r="K3408" s="6" t="n">
        <f aca="false">Sens!K3406-Sens!K3407</f>
        <v>192.630834760929</v>
      </c>
    </row>
    <row r="3409" customFormat="false" ht="17.15" hidden="false" customHeight="false" outlineLevel="0" collapsed="false">
      <c r="A3409" s="1" t="s">
        <v>916</v>
      </c>
      <c r="B3409" s="1" t="s">
        <v>81</v>
      </c>
      <c r="D3409" s="14" t="n">
        <f aca="false">Q!L31</f>
        <v>7.465</v>
      </c>
      <c r="E3409" s="14" t="n">
        <f aca="false">Q!M31</f>
        <v>7.453</v>
      </c>
      <c r="F3409" s="14" t="n">
        <f aca="false">Sens!F3450</f>
        <v>7.4735</v>
      </c>
      <c r="G3409" s="14" t="n">
        <f aca="false">Sens!G3450</f>
        <v>7.49987171271795</v>
      </c>
      <c r="H3409" s="14" t="n">
        <f aca="false">Sens!H3450</f>
        <v>7.50899501128585</v>
      </c>
      <c r="I3409" s="14" t="n">
        <f aca="false">Sens!I3450</f>
        <v>7.52077584329316</v>
      </c>
      <c r="J3409" s="14" t="n">
        <f aca="false">Sens!J3450</f>
        <v>7.53501735441104</v>
      </c>
      <c r="K3409" s="14" t="n">
        <f aca="false">Sens!K3450</f>
        <v>7.55153727211278</v>
      </c>
    </row>
    <row r="3410" customFormat="false" ht="17.15" hidden="false" customHeight="false" outlineLevel="0" collapsed="false">
      <c r="A3410" s="0" t="s">
        <v>917</v>
      </c>
      <c r="B3410" s="0" t="s">
        <v>75</v>
      </c>
      <c r="D3410" s="8" t="n">
        <f aca="false">Sens!D3408/Sens!D3409</f>
        <v>13.641259209645</v>
      </c>
      <c r="E3410" s="8" t="n">
        <f aca="false">Sens!E3408/Sens!E3409</f>
        <v>17.9456594659869</v>
      </c>
      <c r="F3410" s="8" t="n">
        <f aca="false">Sens!F3408/Sens!F3409</f>
        <v>17.3207468772134</v>
      </c>
      <c r="G3410" s="8" t="n">
        <f aca="false">Sens!G3408/Sens!G3409</f>
        <v>17.8127543470656</v>
      </c>
      <c r="H3410" s="8" t="n">
        <f aca="false">Sens!H3408/Sens!H3409</f>
        <v>19.5330066462806</v>
      </c>
      <c r="I3410" s="8" t="n">
        <f aca="false">Sens!I3408/Sens!I3409</f>
        <v>21.7533468998498</v>
      </c>
      <c r="J3410" s="8" t="n">
        <f aca="false">Sens!J3408/Sens!J3409</f>
        <v>23.7380521845295</v>
      </c>
      <c r="K3410" s="8" t="n">
        <f aca="false">Sens!K3408/Sens!K3409</f>
        <v>25.5088239413582</v>
      </c>
      <c r="L3410" s="1" t="s">
        <v>918</v>
      </c>
    </row>
    <row r="3411" customFormat="false" ht="17.15" hidden="false" customHeight="false" outlineLevel="0" collapsed="false">
      <c r="A3411" s="1" t="s">
        <v>919</v>
      </c>
      <c r="B3411" s="0" t="s">
        <v>98</v>
      </c>
      <c r="D3411" s="6" t="n">
        <f aca="false">Sens!D3408</f>
        <v>101.832</v>
      </c>
      <c r="E3411" s="6" t="n">
        <f aca="false">Sens!E3408</f>
        <v>133.749</v>
      </c>
      <c r="F3411" s="6" t="n">
        <f aca="false">Sens!F3408+Sens!F3401*(1-tax_f)</f>
        <v>140.210095254509</v>
      </c>
      <c r="G3411" s="6" t="n">
        <f aca="false">Sens!G3408+Sens!G3401*(1-tax_f)</f>
        <v>145.830863279803</v>
      </c>
      <c r="H3411" s="6" t="n">
        <f aca="false">Sens!H3408+Sens!H3401*(1-tax_f)</f>
        <v>158.860823734131</v>
      </c>
      <c r="I3411" s="6" t="n">
        <f aca="false">Sens!I3408+Sens!I3401*(1-tax_f)</f>
        <v>175.274073662396</v>
      </c>
      <c r="J3411" s="6" t="n">
        <f aca="false">Sens!J3408+Sens!J3401*(1-tax_f)</f>
        <v>190.627005550379</v>
      </c>
      <c r="K3411" s="6" t="n">
        <f aca="false">Sens!K3408+Sens!K3401*(1-tax_f)</f>
        <v>205.242586560952</v>
      </c>
    </row>
    <row r="3412" customFormat="false" ht="17.15" hidden="false" customHeight="false" outlineLevel="0" collapsed="false">
      <c r="A3412" s="0" t="s">
        <v>920</v>
      </c>
      <c r="B3412" s="0" t="s">
        <v>75</v>
      </c>
      <c r="D3412" s="8" t="n">
        <f aca="false">Sens!D3411/Sens!D3409</f>
        <v>13.641259209645</v>
      </c>
      <c r="E3412" s="8" t="n">
        <f aca="false">Sens!E3411/Sens!E3409</f>
        <v>17.9456594659869</v>
      </c>
      <c r="F3412" s="8" t="n">
        <f aca="false">Sens!F3411/Sens!F3409</f>
        <v>18.7609681212964</v>
      </c>
      <c r="G3412" s="8" t="n">
        <f aca="false">Sens!G3411/Sens!G3409</f>
        <v>19.4444477006867</v>
      </c>
      <c r="H3412" s="8" t="n">
        <f aca="false">Sens!H3411/Sens!H3409</f>
        <v>21.1560699528188</v>
      </c>
      <c r="I3412" s="8" t="n">
        <f aca="false">Sens!I3411/Sens!I3409</f>
        <v>23.3053181366522</v>
      </c>
      <c r="J3412" s="8" t="n">
        <f aca="false">Sens!J3411/Sens!J3409</f>
        <v>25.2988144000471</v>
      </c>
      <c r="K3412" s="8" t="n">
        <f aca="false">Sens!K3411/Sens!K3409</f>
        <v>27.1789145925156</v>
      </c>
      <c r="L3412" s="1" t="s">
        <v>921</v>
      </c>
    </row>
    <row r="3413" customFormat="false" ht="17.15" hidden="false" customHeight="false" outlineLevel="0" collapsed="false">
      <c r="A3413" s="0" t="s">
        <v>922</v>
      </c>
      <c r="B3413" s="0" t="s">
        <v>129</v>
      </c>
      <c r="E3413" s="7" t="n">
        <f aca="false">Sens!E3412/Sens!D3412-1</f>
        <v>0.315542736208578</v>
      </c>
      <c r="F3413" s="7" t="n">
        <f aca="false">Sens!F3412/Sens!E3412-1</f>
        <v>0.0454320810474989</v>
      </c>
      <c r="G3413" s="7" t="n">
        <f aca="false">Sens!G3412/Sens!F3412-1</f>
        <v>0.0364309333596931</v>
      </c>
      <c r="H3413" s="7" t="n">
        <f aca="false">Sens!H3412/Sens!G3412-1</f>
        <v>0.0880262725112881</v>
      </c>
      <c r="I3413" s="7" t="n">
        <f aca="false">Sens!I3412/Sens!H3412-1</f>
        <v>0.101590143567617</v>
      </c>
      <c r="J3413" s="7" t="n">
        <f aca="false">Sens!J3412/Sens!I3412-1</f>
        <v>0.0855382557623072</v>
      </c>
      <c r="K3413" s="7" t="n">
        <f aca="false">Sens!K3412/Sens!J3412-1</f>
        <v>0.0743157431308337</v>
      </c>
    </row>
    <row r="3414" customFormat="false" ht="17.15" hidden="false" customHeight="false" outlineLevel="0" collapsed="false">
      <c r="A3414" s="0" t="s">
        <v>846</v>
      </c>
      <c r="B3414" s="0" t="s">
        <v>98</v>
      </c>
      <c r="E3414" s="6" t="n">
        <f aca="false">Sens!E3355</f>
        <v>5.25</v>
      </c>
      <c r="F3414" s="6" t="n">
        <f aca="false">Sens!F3355</f>
        <v>10.5</v>
      </c>
      <c r="G3414" s="6" t="n">
        <f aca="false">Sens!G3355</f>
        <v>13.5</v>
      </c>
      <c r="H3414" s="6" t="n">
        <f aca="false">Sens!H3355</f>
        <v>16.5</v>
      </c>
      <c r="I3414" s="6" t="n">
        <f aca="false">Sens!I3355</f>
        <v>18.75</v>
      </c>
      <c r="J3414" s="6" t="n">
        <f aca="false">Sens!J3355</f>
        <v>20.25</v>
      </c>
      <c r="K3414" s="6" t="n">
        <f aca="false">Sens!K3355</f>
        <v>21.75</v>
      </c>
    </row>
    <row r="3415" customFormat="false" ht="17.15" hidden="false" customHeight="false" outlineLevel="0" collapsed="false">
      <c r="A3415" s="1" t="s">
        <v>847</v>
      </c>
      <c r="B3415" s="0" t="s">
        <v>98</v>
      </c>
      <c r="F3415" s="6" t="n">
        <f aca="false">MAX(0,(Sens!E3318+Sens!F3318)/2*Sens!F3326/1000-Sens!F3414*Sens!F3394)</f>
        <v>13.4543668345674</v>
      </c>
      <c r="G3415" s="6" t="n">
        <f aca="false">MAX(0,(Sens!F3318+Sens!G3318)/2*Sens!G3326/1000-Sens!G3414*Sens!G3394)</f>
        <v>15.2968635333153</v>
      </c>
      <c r="H3415" s="6" t="n">
        <f aca="false">MAX(0,(Sens!G3318+Sens!H3318)/2*Sens!H3326/1000-Sens!H3414*Sens!H3394)</f>
        <v>15.234467839745</v>
      </c>
      <c r="I3415" s="6" t="n">
        <f aca="false">MAX(0,(Sens!H3318+Sens!I3318)/2*Sens!I3326/1000-Sens!I3414*Sens!I3394)</f>
        <v>14.5900347340367</v>
      </c>
      <c r="J3415" s="6" t="n">
        <f aca="false">MAX(0,(Sens!I3318+Sens!J3318)/2*Sens!J3326/1000-Sens!J3414*Sens!J3394)</f>
        <v>14.7004629750421</v>
      </c>
      <c r="K3415" s="6" t="n">
        <f aca="false">MAX(0,(Sens!J3318+Sens!K3318)/2*Sens!K3326/1000-Sens!K3414*Sens!K3394)</f>
        <v>15.7646897500282</v>
      </c>
      <c r="L3415" s="1" t="s">
        <v>848</v>
      </c>
    </row>
    <row r="3416" customFormat="false" ht="17.15" hidden="false" customHeight="false" outlineLevel="0" collapsed="false">
      <c r="A3416" s="1" t="s">
        <v>849</v>
      </c>
      <c r="B3416" s="0" t="s">
        <v>98</v>
      </c>
      <c r="F3416" s="6" t="n">
        <f aca="false">IF(internal_ai_reading=2,1,0)*Sens!F3415</f>
        <v>13.4543668345674</v>
      </c>
      <c r="G3416" s="6" t="n">
        <f aca="false">IF(internal_ai_reading=2,1,0)*Sens!G3415</f>
        <v>15.2968635333153</v>
      </c>
      <c r="H3416" s="6" t="n">
        <f aca="false">IF(internal_ai_reading=2,1,0)*Sens!H3415</f>
        <v>15.234467839745</v>
      </c>
      <c r="I3416" s="6" t="n">
        <f aca="false">IF(internal_ai_reading=2,1,0)*Sens!I3415</f>
        <v>14.5900347340367</v>
      </c>
      <c r="J3416" s="6" t="n">
        <f aca="false">IF(internal_ai_reading=2,1,0)*Sens!J3415</f>
        <v>14.7004629750421</v>
      </c>
      <c r="K3416" s="6" t="n">
        <f aca="false">IF(internal_ai_reading=2,1,0)*Sens!K3415</f>
        <v>15.7646897500282</v>
      </c>
    </row>
    <row r="3417" customFormat="false" ht="17.15" hidden="false" customHeight="false" outlineLevel="0" collapsed="false">
      <c r="A3417" s="0" t="s">
        <v>850</v>
      </c>
      <c r="B3417" s="0" t="s">
        <v>98</v>
      </c>
      <c r="F3417" s="6" t="n">
        <f aca="false">Sens!F3335+Sens!F3414*Sens!F3394+Sens!F3416-Sens!F3336-Sens!F3346</f>
        <v>3.8064942099785</v>
      </c>
      <c r="G3417" s="6" t="n">
        <f aca="false">Sens!G3335+Sens!G3414*Sens!G3394+Sens!G3416-Sens!G3336-Sens!G3346</f>
        <v>-8.83658746655171</v>
      </c>
      <c r="H3417" s="6" t="n">
        <f aca="false">Sens!H3335+Sens!H3414*Sens!H3394+Sens!H3416-Sens!H3336-Sens!H3346</f>
        <v>-12.5388517979765</v>
      </c>
      <c r="I3417" s="6" t="n">
        <f aca="false">Sens!I3335+Sens!I3414*Sens!I3394+Sens!I3416-Sens!I3336-Sens!I3346</f>
        <v>-11.6410347578625</v>
      </c>
      <c r="J3417" s="6" t="n">
        <f aca="false">Sens!J3335+Sens!J3414*Sens!J3394+Sens!J3416-Sens!J3336-Sens!J3346</f>
        <v>-10.9289220289062</v>
      </c>
      <c r="K3417" s="6" t="n">
        <f aca="false">Sens!K3335+Sens!K3414*Sens!K3394+Sens!K3416-Sens!K3336-Sens!K3346</f>
        <v>-9.20770137773069</v>
      </c>
    </row>
    <row r="3418" customFormat="false" ht="17.15" hidden="false" customHeight="false" outlineLevel="0" collapsed="false">
      <c r="A3418" s="0" t="s">
        <v>851</v>
      </c>
      <c r="B3418" s="0" t="s">
        <v>98</v>
      </c>
      <c r="E3418" s="6" t="n">
        <f aca="false">Sens!E3317*(cxit_open+self_build*tk_cxfac)/1000*ai_net_open</f>
        <v>126.6980382</v>
      </c>
      <c r="F3418" s="6" t="n">
        <f aca="false">Sens!E3418+Sens!F3343-Sens!F3346</f>
        <v>259.328248281234</v>
      </c>
      <c r="G3418" s="6" t="n">
        <f aca="false">Sens!F3418+Sens!G3343-Sens!G3346</f>
        <v>242.171765125828</v>
      </c>
      <c r="H3418" s="6" t="n">
        <f aca="false">Sens!G3418+Sens!H3343-Sens!H3346</f>
        <v>187.129855536422</v>
      </c>
      <c r="I3418" s="6" t="n">
        <f aca="false">Sens!H3418+Sens!I3343-Sens!I3346</f>
        <v>161.702847064099</v>
      </c>
      <c r="J3418" s="6" t="n">
        <f aca="false">Sens!I3418+Sens!J3343-Sens!J3346</f>
        <v>150.097933559693</v>
      </c>
      <c r="K3418" s="6" t="n">
        <f aca="false">Sens!J3418+Sens!K3343-Sens!K3346</f>
        <v>180.668717924036</v>
      </c>
      <c r="L3418" s="1" t="s">
        <v>852</v>
      </c>
    </row>
    <row r="3419" customFormat="false" ht="17.15" hidden="false" customHeight="false" outlineLevel="0" collapsed="false">
      <c r="A3419" s="0" t="s">
        <v>853</v>
      </c>
      <c r="B3419" s="0" t="s">
        <v>129</v>
      </c>
      <c r="F3419" s="7" t="n">
        <f aca="false">Sens!F3417*(1-tax_f)/((Sens!E3418+Sens!F3418)/2)</f>
        <v>0.0157771399235054</v>
      </c>
      <c r="G3419" s="7" t="n">
        <f aca="false">Sens!G3417*(1-tax_f)/((Sens!F3418+Sens!G3418)/2)</f>
        <v>-0.0281925016321119</v>
      </c>
      <c r="H3419" s="7" t="n">
        <f aca="false">Sens!H3417*(1-tax_f)/((Sens!G3418+Sens!H3418)/2)</f>
        <v>-0.0467320921030163</v>
      </c>
      <c r="I3419" s="7" t="n">
        <f aca="false">Sens!I3417*(1-tax_f)/((Sens!H3418+Sens!I3418)/2)</f>
        <v>-0.0533942359008405</v>
      </c>
      <c r="J3419" s="7" t="n">
        <f aca="false">Sens!J3417*(1-tax_f)/((Sens!I3418+Sens!J3418)/2)</f>
        <v>-0.0560815633984838</v>
      </c>
      <c r="K3419" s="7" t="n">
        <f aca="false">Sens!K3417*(1-tax_f)/((Sens!J3418+Sens!K3418)/2)</f>
        <v>-0.0445399260726071</v>
      </c>
    </row>
    <row r="3420" customFormat="false" ht="17.15" hidden="false" customHeight="false" outlineLevel="0" collapsed="false">
      <c r="A3420" s="1" t="s">
        <v>854</v>
      </c>
      <c r="B3420" s="0" t="s">
        <v>129</v>
      </c>
      <c r="F3420" s="7" t="n">
        <f aca="false">(Sens!F3417-Sens!F3416)*(1-tax_f)/((Sens!E3418+Sens!F3418)/2)</f>
        <v>-0.0399884586618498</v>
      </c>
      <c r="G3420" s="7" t="n">
        <f aca="false">(Sens!G3417-Sens!G3416)*(1-tax_f)/((Sens!F3418+Sens!G3418)/2)</f>
        <v>-0.0769960529760644</v>
      </c>
      <c r="H3420" s="7" t="n">
        <f aca="false">(Sens!H3417-Sens!H3416)*(1-tax_f)/((Sens!G3418+Sens!H3418)/2)</f>
        <v>-0.103510700359818</v>
      </c>
      <c r="I3420" s="7" t="n">
        <f aca="false">(Sens!I3417-Sens!I3416)*(1-tax_f)/((Sens!H3418+Sens!I3418)/2)</f>
        <v>-0.120314726440949</v>
      </c>
      <c r="J3420" s="7" t="n">
        <f aca="false">(Sens!J3417-Sens!J3416)*(1-tax_f)/((Sens!I3418+Sens!J3418)/2)</f>
        <v>-0.131516720145082</v>
      </c>
      <c r="K3420" s="7" t="n">
        <f aca="false">(Sens!K3417-Sens!K3416)*(1-tax_f)/((Sens!J3418+Sens!K3418)/2)</f>
        <v>-0.120797624625044</v>
      </c>
    </row>
    <row r="3421" customFormat="false" ht="17.15" hidden="false" customHeight="false" outlineLevel="0" collapsed="false">
      <c r="A3421" s="1" t="s">
        <v>855</v>
      </c>
      <c r="B3421" s="0" t="s">
        <v>129</v>
      </c>
      <c r="F3421" s="7" t="n">
        <f aca="false">(Sens!F3417-Sens!F3416+Sens!F3415)*(1-tax_f)/((Sens!E3418+Sens!F3418)/2)</f>
        <v>0.0157771399235054</v>
      </c>
      <c r="G3421" s="7" t="n">
        <f aca="false">(Sens!G3417-Sens!G3416+Sens!G3415)*(1-tax_f)/((Sens!F3418+Sens!G3418)/2)</f>
        <v>-0.0281925016321119</v>
      </c>
      <c r="H3421" s="7" t="n">
        <f aca="false">(Sens!H3417-Sens!H3416+Sens!H3415)*(1-tax_f)/((Sens!G3418+Sens!H3418)/2)</f>
        <v>-0.0467320921030163</v>
      </c>
      <c r="I3421" s="7" t="n">
        <f aca="false">(Sens!I3417-Sens!I3416+Sens!I3415)*(1-tax_f)/((Sens!H3418+Sens!I3418)/2)</f>
        <v>-0.0533942359008405</v>
      </c>
      <c r="J3421" s="7" t="n">
        <f aca="false">(Sens!J3417-Sens!J3416+Sens!J3415)*(1-tax_f)/((Sens!I3418+Sens!J3418)/2)</f>
        <v>-0.0560815633984838</v>
      </c>
      <c r="K3421" s="7" t="n">
        <f aca="false">(Sens!K3417-Sens!K3416+Sens!K3415)*(1-tax_f)/((Sens!J3418+Sens!K3418)/2)</f>
        <v>-0.0445399260726071</v>
      </c>
    </row>
    <row r="3422" customFormat="false" ht="17.15" hidden="false" customHeight="false" outlineLevel="0" collapsed="false">
      <c r="A3422" s="1" t="s">
        <v>856</v>
      </c>
      <c r="B3422" s="0" t="s">
        <v>129</v>
      </c>
      <c r="F3422" s="7" t="n">
        <f aca="false">Sens!F3347*(1-tax_f)/(Sens!F3334*(Sens!E3418+Sens!F3418)/2)</f>
        <v>0.0254874055431541</v>
      </c>
      <c r="G3422" s="7" t="n">
        <f aca="false">Sens!G3347*(1-tax_f)/(Sens!G3334*(Sens!F3418+Sens!G3418)/2)</f>
        <v>-0.0274764215159954</v>
      </c>
      <c r="H3422" s="7" t="n">
        <f aca="false">Sens!H3347*(1-tax_f)/(Sens!H3334*(Sens!G3418+Sens!H3418)/2)</f>
        <v>-0.0563935313236517</v>
      </c>
      <c r="I3422" s="7" t="n">
        <f aca="false">Sens!I3347*(1-tax_f)/(Sens!I3334*(Sens!H3418+Sens!I3418)/2)</f>
        <v>-0.0650594829716261</v>
      </c>
      <c r="J3422" s="7" t="n">
        <f aca="false">Sens!J3347*(1-tax_f)/(Sens!J3334*(Sens!I3418+Sens!J3418)/2)</f>
        <v>-0.0687522864976108</v>
      </c>
      <c r="K3422" s="7" t="n">
        <f aca="false">Sens!K3347*(1-tax_f)/(Sens!K3334*(Sens!J3418+Sens!K3418)/2)</f>
        <v>-0.0557725753656311</v>
      </c>
    </row>
    <row r="3423" customFormat="false" ht="17.15" hidden="false" customHeight="false" outlineLevel="0" collapsed="false">
      <c r="A3423" s="0" t="s">
        <v>857</v>
      </c>
      <c r="B3423" s="0" t="s">
        <v>209</v>
      </c>
      <c r="F3423" s="7" t="n">
        <f aca="false">Sens!F3419-wacc</f>
        <v>-0.0871572801693704</v>
      </c>
      <c r="G3423" s="7" t="n">
        <f aca="false">Sens!G3419-wacc</f>
        <v>-0.131126921724988</v>
      </c>
      <c r="H3423" s="7" t="n">
        <f aca="false">Sens!H3419-wacc</f>
        <v>-0.149666512195892</v>
      </c>
      <c r="I3423" s="7" t="n">
        <f aca="false">Sens!I3419-wacc</f>
        <v>-0.156328655993716</v>
      </c>
      <c r="J3423" s="7" t="n">
        <f aca="false">Sens!J3419-wacc</f>
        <v>-0.15901598349136</v>
      </c>
      <c r="K3423" s="7" t="n">
        <f aca="false">Sens!K3419-wacc</f>
        <v>-0.147474346165483</v>
      </c>
    </row>
    <row r="3424" customFormat="false" ht="17.15" hidden="false" customHeight="false" outlineLevel="0" collapsed="false">
      <c r="A3424" s="0" t="s">
        <v>858</v>
      </c>
      <c r="B3424" s="0" t="s">
        <v>98</v>
      </c>
      <c r="F3424" s="6" t="n">
        <f aca="false">Sens!F3417*(1-tax_f)-wacc*(Sens!E3418+Sens!F3418)/2</f>
        <v>-16.8225006017933</v>
      </c>
      <c r="G3424" s="6" t="n">
        <f aca="false">Sens!G3417*(1-tax_f)-wacc*(Sens!F3418+Sens!G3418)/2</f>
        <v>-32.8800765015541</v>
      </c>
      <c r="H3424" s="6" t="n">
        <f aca="false">Sens!H3417*(1-tax_f)-wacc*(Sens!G3418+Sens!H3418)/2</f>
        <v>-32.1260381222814</v>
      </c>
      <c r="I3424" s="6" t="n">
        <f aca="false">Sens!I3417*(1-tax_f)-wacc*(Sens!H3418+Sens!I3418)/2</f>
        <v>-27.2662737820976</v>
      </c>
      <c r="J3424" s="6" t="n">
        <f aca="false">Sens!J3417*(1-tax_f)-wacc*(Sens!I3418+Sens!J3418)/2</f>
        <v>-24.7906538921329</v>
      </c>
      <c r="K3424" s="6" t="n">
        <f aca="false">Sens!K3417*(1-tax_f)-wacc*(Sens!J3418+Sens!K3418)/2</f>
        <v>-24.3897978304546</v>
      </c>
    </row>
    <row r="3425" customFormat="false" ht="17.15" hidden="false" customHeight="false" outlineLevel="0" collapsed="false">
      <c r="A3425" s="3" t="s">
        <v>1322</v>
      </c>
    </row>
    <row r="3426" customFormat="false" ht="15" hidden="false" customHeight="false" outlineLevel="0" collapsed="false">
      <c r="A3426" s="4" t="s">
        <v>43</v>
      </c>
      <c r="B3426" s="4" t="s">
        <v>65</v>
      </c>
      <c r="C3426" s="20" t="s">
        <v>788</v>
      </c>
      <c r="D3426" s="20" t="s">
        <v>789</v>
      </c>
      <c r="E3426" s="20" t="s">
        <v>790</v>
      </c>
      <c r="F3426" s="20" t="s">
        <v>791</v>
      </c>
      <c r="G3426" s="20" t="s">
        <v>792</v>
      </c>
      <c r="H3426" s="20" t="s">
        <v>793</v>
      </c>
      <c r="I3426" s="20" t="s">
        <v>794</v>
      </c>
      <c r="J3426" s="20" t="s">
        <v>795</v>
      </c>
      <c r="K3426" s="20" t="s">
        <v>796</v>
      </c>
      <c r="L3426" s="4" t="s">
        <v>47</v>
      </c>
    </row>
    <row r="3427" customFormat="false" ht="15" hidden="false" customHeight="false" outlineLevel="0" collapsed="false">
      <c r="A3427" s="1" t="s">
        <v>915</v>
      </c>
      <c r="B3427" s="0" t="s">
        <v>98</v>
      </c>
      <c r="F3427" s="6" t="n">
        <f aca="false">Sens!F3408</f>
        <v>129.446601786855</v>
      </c>
      <c r="G3427" s="6" t="n">
        <f aca="false">Sens!G3408</f>
        <v>133.593372453151</v>
      </c>
      <c r="H3427" s="6" t="n">
        <f aca="false">Sens!H3408</f>
        <v>146.673249462335</v>
      </c>
      <c r="I3427" s="6" t="n">
        <f aca="false">Sens!I3408</f>
        <v>163.602045875166</v>
      </c>
      <c r="J3427" s="6" t="n">
        <f aca="false">Sens!J3408</f>
        <v>178.866635170345</v>
      </c>
      <c r="K3427" s="6" t="n">
        <f aca="false">Sens!K3408</f>
        <v>192.630834760929</v>
      </c>
    </row>
    <row r="3428" customFormat="false" ht="17.15" hidden="false" customHeight="false" outlineLevel="0" collapsed="false">
      <c r="A3428" s="1" t="s">
        <v>937</v>
      </c>
      <c r="B3428" s="0" t="s">
        <v>98</v>
      </c>
      <c r="E3428" s="6" t="n">
        <f aca="false">Q!M38-Sens!E3346</f>
        <v>22.2285940229167</v>
      </c>
      <c r="F3428" s="6" t="n">
        <f aca="false">Sens!E3428*(1-1/life_nonai)+Sens!F3434/life_nonai</f>
        <v>23.5486693435813</v>
      </c>
      <c r="G3428" s="6" t="n">
        <f aca="false">Sens!F3428*(1-1/life_nonai)+Sens!G3434/life_nonai</f>
        <v>25.264091766262</v>
      </c>
      <c r="H3428" s="6" t="n">
        <f aca="false">Sens!G3428*(1-1/life_nonai)+Sens!H3434/life_nonai</f>
        <v>27.3438339540448</v>
      </c>
      <c r="I3428" s="6" t="n">
        <f aca="false">Sens!H3428*(1-1/life_nonai)+Sens!I3434/life_nonai</f>
        <v>29.7317905898047</v>
      </c>
      <c r="J3428" s="6" t="n">
        <f aca="false">Sens!I3428*(1-1/life_nonai)+Sens!J3434/life_nonai</f>
        <v>32.3542028558616</v>
      </c>
      <c r="K3428" s="6" t="n">
        <f aca="false">Sens!J3428*(1-1/life_nonai)+Sens!K3434/life_nonai</f>
        <v>35.1281528444749</v>
      </c>
      <c r="L3428" s="11" t="s">
        <v>938</v>
      </c>
    </row>
    <row r="3429" customFormat="false" ht="17.15" hidden="false" customHeight="false" outlineLevel="0" collapsed="false">
      <c r="A3429" s="1" t="s">
        <v>939</v>
      </c>
      <c r="B3429" s="0" t="s">
        <v>98</v>
      </c>
      <c r="E3429" s="6" t="n">
        <f aca="false">Sens!E3346+Sens!E3428</f>
        <v>38.534</v>
      </c>
      <c r="F3429" s="6" t="n">
        <f aca="false">Sens!F3346+Sens!F3428</f>
        <v>59.6891120327844</v>
      </c>
      <c r="G3429" s="6" t="n">
        <f aca="false">Sens!G3346+Sens!G3428</f>
        <v>77.7233019376683</v>
      </c>
      <c r="H3429" s="6" t="n">
        <f aca="false">Sens!H3346+Sens!H3428</f>
        <v>82.3857435434511</v>
      </c>
      <c r="I3429" s="6" t="n">
        <f aca="false">Sens!I3346+Sens!I3428</f>
        <v>85.4174744087943</v>
      </c>
      <c r="J3429" s="6" t="n">
        <f aca="false">Sens!J3346+Sens!J3428</f>
        <v>89.6558913736012</v>
      </c>
      <c r="K3429" s="6" t="n">
        <f aca="false">Sens!K3346+Sens!K3428</f>
        <v>95.3333945201311</v>
      </c>
    </row>
    <row r="3430" customFormat="false" ht="17.15" hidden="false" customHeight="false" outlineLevel="0" collapsed="false">
      <c r="A3430" s="1" t="s">
        <v>940</v>
      </c>
      <c r="B3430" s="0" t="s">
        <v>98</v>
      </c>
      <c r="F3430" s="6" t="n">
        <f aca="false">Sens!F3373*sbc_r</f>
        <v>14.255345989943</v>
      </c>
      <c r="G3430" s="6" t="n">
        <f aca="false">Sens!G3373*sbc_r</f>
        <v>15.8057923272494</v>
      </c>
      <c r="H3430" s="6" t="n">
        <f aca="false">Sens!H3373*sbc_r</f>
        <v>17.2054386095582</v>
      </c>
      <c r="I3430" s="6" t="n">
        <f aca="false">Sens!I3373*sbc_r</f>
        <v>18.6639122039917</v>
      </c>
      <c r="J3430" s="6" t="n">
        <f aca="false">Sens!J3373*sbc_r</f>
        <v>20.0454667099776</v>
      </c>
      <c r="K3430" s="6" t="n">
        <f aca="false">Sens!K3373*sbc_r</f>
        <v>21.3633281661478</v>
      </c>
    </row>
    <row r="3431" customFormat="false" ht="17.15" hidden="false" customHeight="false" outlineLevel="0" collapsed="false">
      <c r="A3431" s="1" t="s">
        <v>941</v>
      </c>
      <c r="B3431" s="0" t="s">
        <v>98</v>
      </c>
      <c r="F3431" s="6" t="n">
        <f aca="false">wc27</f>
        <v>-4.895</v>
      </c>
      <c r="G3431" s="6" t="n">
        <f aca="false">wc_f</f>
        <v>0</v>
      </c>
      <c r="H3431" s="6" t="n">
        <f aca="false">wc_f</f>
        <v>0</v>
      </c>
      <c r="I3431" s="6" t="n">
        <f aca="false">wc_f</f>
        <v>0</v>
      </c>
      <c r="J3431" s="6" t="n">
        <f aca="false">wc_f</f>
        <v>0</v>
      </c>
      <c r="K3431" s="6" t="n">
        <f aca="false">wc_f</f>
        <v>0</v>
      </c>
      <c r="L3431" s="11" t="s">
        <v>942</v>
      </c>
    </row>
    <row r="3432" customFormat="false" ht="15" hidden="false" customHeight="false" outlineLevel="0" collapsed="false">
      <c r="A3432" s="1" t="s">
        <v>756</v>
      </c>
      <c r="B3432" s="0" t="s">
        <v>98</v>
      </c>
      <c r="E3432" s="6" t="n">
        <f aca="false">Q!M35</f>
        <v>182.935</v>
      </c>
      <c r="F3432" s="6" t="n">
        <f aca="false">Sens!F3427+Sens!F3429+Sens!F3430+Sens!F3431</f>
        <v>198.496059809582</v>
      </c>
      <c r="G3432" s="6" t="n">
        <f aca="false">Sens!G3427+Sens!G3429+Sens!G3430+Sens!G3431</f>
        <v>227.122466718069</v>
      </c>
      <c r="H3432" s="6" t="n">
        <f aca="false">Sens!H3427+Sens!H3429+Sens!H3430+Sens!H3431</f>
        <v>246.264431615344</v>
      </c>
      <c r="I3432" s="6" t="n">
        <f aca="false">Sens!I3427+Sens!I3429+Sens!I3430+Sens!I3431</f>
        <v>267.683432487952</v>
      </c>
      <c r="J3432" s="6" t="n">
        <f aca="false">Sens!J3427+Sens!J3429+Sens!J3430+Sens!J3431</f>
        <v>288.567993253924</v>
      </c>
      <c r="K3432" s="6" t="n">
        <f aca="false">Sens!K3427+Sens!K3429+Sens!K3430+Sens!K3431</f>
        <v>309.327557447208</v>
      </c>
    </row>
    <row r="3433" customFormat="false" ht="17.15" hidden="false" customHeight="false" outlineLevel="0" collapsed="false">
      <c r="A3433" s="0" t="s">
        <v>943</v>
      </c>
      <c r="B3433" s="0" t="s">
        <v>98</v>
      </c>
      <c r="F3433" s="6" t="n">
        <f aca="false">Sens!F3343</f>
        <v>168.770652770438</v>
      </c>
      <c r="G3433" s="6" t="n">
        <f aca="false">Sens!G3343</f>
        <v>35.302727016</v>
      </c>
      <c r="H3433" s="6" t="n">
        <f aca="false">Sens!H3343</f>
        <v>0</v>
      </c>
      <c r="I3433" s="6" t="n">
        <f aca="false">Sens!I3343</f>
        <v>30.2586753466667</v>
      </c>
      <c r="J3433" s="6" t="n">
        <f aca="false">Sens!J3343</f>
        <v>45.6967750133333</v>
      </c>
      <c r="K3433" s="6" t="n">
        <f aca="false">Sens!K3343</f>
        <v>90.77602604</v>
      </c>
    </row>
    <row r="3434" customFormat="false" ht="17.15" hidden="false" customHeight="false" outlineLevel="0" collapsed="false">
      <c r="A3434" s="1" t="s">
        <v>944</v>
      </c>
      <c r="B3434" s="0" t="s">
        <v>98</v>
      </c>
      <c r="E3434" s="6" t="n">
        <f aca="false">Sens!E3351*cx_azo+Sens!E3358*cx_m365+Sens!E3359*cx_lic+(Sens!E3361+Sens!E3363)*cx_ind+Sens!E3366*cx_srch+(Sens!E3368+Sens!E3370)*cx_dev</f>
        <v>30.1846587067718</v>
      </c>
      <c r="F3434" s="6" t="n">
        <f aca="false">Sens!F3351*cx_azo+Sens!F3358*cx_m365+Sens!F3359*cx_lic+(Sens!F3361+Sens!F3363)*cx_ind+Sens!F3366*cx_srch+(Sens!F3368+Sens!F3370)*cx_dev</f>
        <v>35.4293472295625</v>
      </c>
      <c r="G3434" s="6" t="n">
        <f aca="false">Sens!G3351*cx_azo+Sens!G3358*cx_m365+Sens!G3359*cx_lic+(Sens!G3361+Sens!G3363)*cx_ind+Sens!G3366*cx_srch+(Sens!G3368+Sens!G3370)*cx_dev</f>
        <v>40.7028935703892</v>
      </c>
      <c r="H3434" s="6" t="n">
        <f aca="false">Sens!H3351*cx_azo+Sens!H3358*cx_m365+Sens!H3359*cx_lic+(Sens!H3361+Sens!H3363)*cx_ind+Sens!H3366*cx_srch+(Sens!H3368+Sens!H3370)*cx_dev</f>
        <v>46.0615136440897</v>
      </c>
      <c r="I3434" s="6" t="n">
        <f aca="false">Sens!I3351*cx_azo+Sens!I3358*cx_m365+Sens!I3359*cx_lic+(Sens!I3361+Sens!I3363)*cx_ind+Sens!I3366*cx_srch+(Sens!I3368+Sens!I3370)*cx_dev</f>
        <v>51.2234003116439</v>
      </c>
      <c r="J3434" s="6" t="n">
        <f aca="false">Sens!J3351*cx_azo+Sens!J3358*cx_m365+Sens!J3359*cx_lic+(Sens!J3361+Sens!J3363)*cx_ind+Sens!J3366*cx_srch+(Sens!J3368+Sens!J3370)*cx_dev</f>
        <v>55.9559132503738</v>
      </c>
      <c r="K3434" s="6" t="n">
        <f aca="false">Sens!K3351*cx_azo+Sens!K3358*cx_m365+Sens!K3359*cx_lic+(Sens!K3361+Sens!K3363)*cx_ind+Sens!K3366*cx_srch+(Sens!K3368+Sens!K3370)*cx_dev</f>
        <v>60.093702741994</v>
      </c>
    </row>
    <row r="3435" customFormat="false" ht="17.15" hidden="false" customHeight="false" outlineLevel="0" collapsed="false">
      <c r="A3435" s="1" t="s">
        <v>945</v>
      </c>
      <c r="B3435" s="0" t="s">
        <v>98</v>
      </c>
      <c r="E3435" s="6" t="n">
        <f aca="false">Q!M42</f>
        <v>145.3</v>
      </c>
      <c r="F3435" s="6" t="n">
        <f aca="false">Sens!F3433+Sens!F3434</f>
        <v>204.2</v>
      </c>
      <c r="G3435" s="6" t="n">
        <f aca="false">Sens!G3433+Sens!G3434</f>
        <v>76.0056205863892</v>
      </c>
      <c r="H3435" s="6" t="n">
        <f aca="false">Sens!H3433+Sens!H3434</f>
        <v>46.0615136440897</v>
      </c>
      <c r="I3435" s="6" t="n">
        <f aca="false">Sens!I3433+Sens!I3434</f>
        <v>81.4820756583106</v>
      </c>
      <c r="J3435" s="6" t="n">
        <f aca="false">Sens!J3433+Sens!J3434</f>
        <v>101.652688263707</v>
      </c>
      <c r="K3435" s="6" t="n">
        <f aca="false">Sens!K3433+Sens!K3434</f>
        <v>150.869728781994</v>
      </c>
      <c r="L3435" s="1" t="s">
        <v>946</v>
      </c>
    </row>
    <row r="3436" customFormat="false" ht="15" hidden="false" customHeight="false" outlineLevel="0" collapsed="false">
      <c r="A3436" s="1" t="s">
        <v>947</v>
      </c>
      <c r="B3436" s="0" t="s">
        <v>98</v>
      </c>
      <c r="E3436" s="6" t="n">
        <f aca="false">fl_liab</f>
        <v>66.594</v>
      </c>
      <c r="F3436" s="6" t="n">
        <f aca="false">Sens!E3436-Sens!F3437</f>
        <v>62.46973</v>
      </c>
      <c r="G3436" s="6" t="n">
        <f aca="false">Sens!F3436-Sens!G3437</f>
        <v>57.98686785</v>
      </c>
      <c r="H3436" s="6" t="n">
        <f aca="false">Sens!G3436-Sens!H3437</f>
        <v>53.92827690325</v>
      </c>
      <c r="I3436" s="6" t="n">
        <f aca="false">Sens!H3436-Sens!I3437</f>
        <v>49.7850493638962</v>
      </c>
      <c r="J3436" s="6" t="n">
        <f aca="false">Sens!I3436-Sens!J3437</f>
        <v>45.4823765852716</v>
      </c>
      <c r="K3436" s="6" t="n">
        <f aca="false">Sens!J3436-Sens!K3437</f>
        <v>40.9860835316088</v>
      </c>
    </row>
    <row r="3437" customFormat="false" ht="15" hidden="false" customHeight="false" outlineLevel="0" collapsed="false">
      <c r="A3437" s="1" t="s">
        <v>948</v>
      </c>
      <c r="B3437" s="0" t="s">
        <v>98</v>
      </c>
      <c r="F3437" s="6" t="n">
        <f aca="false">fl_pay_27-Sens!E3436*fl_rate</f>
        <v>4.12427</v>
      </c>
      <c r="G3437" s="6" t="n">
        <f aca="false">fl_pay_28-Sens!F3436*fl_rate</f>
        <v>4.48286215</v>
      </c>
      <c r="H3437" s="6" t="n">
        <f aca="false">fl_pay_29-Sens!G3436*fl_rate</f>
        <v>4.05859094675</v>
      </c>
      <c r="I3437" s="6" t="n">
        <f aca="false">fl_pay_30-Sens!H3436*fl_rate</f>
        <v>4.14322753935375</v>
      </c>
      <c r="J3437" s="6" t="n">
        <f aca="false">fl_pay_31-Sens!I3436*fl_rate</f>
        <v>4.30267277862467</v>
      </c>
      <c r="K3437" s="6" t="n">
        <f aca="false">fl_pay_32-Sens!J3436*fl_rate</f>
        <v>4.49629305366278</v>
      </c>
    </row>
    <row r="3438" customFormat="false" ht="17.15" hidden="false" customHeight="false" outlineLevel="0" collapsed="false">
      <c r="A3438" s="1" t="s">
        <v>949</v>
      </c>
      <c r="B3438" s="0" t="s">
        <v>98</v>
      </c>
      <c r="E3438" s="6" t="n">
        <f aca="false">Q!M35-Q!M36-Q!M43</f>
        <v>63.886</v>
      </c>
      <c r="F3438" s="6" t="n">
        <f aca="false">Sens!F3432-Sens!F3435-Sens!F3437</f>
        <v>-9.82821019041805</v>
      </c>
      <c r="G3438" s="6" t="n">
        <f aca="false">Sens!G3432-Sens!G3435-Sens!G3437</f>
        <v>146.63398398168</v>
      </c>
      <c r="H3438" s="6" t="n">
        <f aca="false">Sens!H3432-Sens!H3435-Sens!H3437</f>
        <v>196.144327024504</v>
      </c>
      <c r="I3438" s="6" t="n">
        <f aca="false">Sens!I3432-Sens!I3435-Sens!I3437</f>
        <v>182.058129290288</v>
      </c>
      <c r="J3438" s="6" t="n">
        <f aca="false">Sens!J3432-Sens!J3435-Sens!J3437</f>
        <v>182.612632211592</v>
      </c>
      <c r="K3438" s="6" t="n">
        <f aca="false">Sens!K3432-Sens!K3435-Sens!K3437</f>
        <v>153.961535611551</v>
      </c>
      <c r="L3438" s="11" t="s">
        <v>950</v>
      </c>
    </row>
    <row r="3439" customFormat="false" ht="15" hidden="false" customHeight="false" outlineLevel="0" collapsed="false">
      <c r="A3439" s="1" t="s">
        <v>951</v>
      </c>
      <c r="B3439" s="0" t="s">
        <v>75</v>
      </c>
      <c r="F3439" s="8" t="n">
        <f aca="false">dps_27</f>
        <v>3.85</v>
      </c>
      <c r="G3439" s="8" t="n">
        <f aca="false">Sens!F3439*(1+dps_g)</f>
        <v>4.158</v>
      </c>
      <c r="H3439" s="8" t="n">
        <f aca="false">Sens!G3439*(1+dps_g)</f>
        <v>4.49064</v>
      </c>
      <c r="I3439" s="8" t="n">
        <f aca="false">Sens!H3439*(1+dps_g)</f>
        <v>4.8498912</v>
      </c>
      <c r="J3439" s="8" t="n">
        <f aca="false">Sens!I3439*(1+dps_g)</f>
        <v>5.237882496</v>
      </c>
      <c r="K3439" s="8" t="n">
        <f aca="false">Sens!J3439*(1+dps_g)</f>
        <v>5.65691309568</v>
      </c>
    </row>
    <row r="3440" customFormat="false" ht="17.15" hidden="false" customHeight="false" outlineLevel="0" collapsed="false">
      <c r="A3440" s="1" t="s">
        <v>952</v>
      </c>
      <c r="B3440" s="0" t="s">
        <v>98</v>
      </c>
      <c r="E3440" s="6" t="n">
        <f aca="false">Q!M41</f>
        <v>26.445</v>
      </c>
      <c r="F3440" s="6" t="n">
        <f aca="false">Sens!F3439*Sens!E3449</f>
        <v>28.59395</v>
      </c>
      <c r="G3440" s="6" t="n">
        <f aca="false">Sens!G3439*Sens!F3449</f>
        <v>31.068576</v>
      </c>
      <c r="H3440" s="6" t="n">
        <f aca="false">Sens!H3439*Sens!G3449</f>
        <v>33.5888350159995</v>
      </c>
      <c r="I3440" s="6" t="n">
        <f aca="false">Sens!I3439*Sens!H3449</f>
        <v>36.3268810572789</v>
      </c>
      <c r="J3440" s="6" t="n">
        <f aca="false">Sens!J3439*Sens!I3449</f>
        <v>39.3014303901806</v>
      </c>
      <c r="K3440" s="6" t="n">
        <f aca="false">Sens!K3439*Sens!J3449</f>
        <v>42.5328000467001</v>
      </c>
      <c r="L3440" s="1" t="s">
        <v>953</v>
      </c>
    </row>
    <row r="3441" customFormat="false" ht="15" hidden="false" customHeight="false" outlineLevel="0" collapsed="false">
      <c r="A3441" s="1" t="s">
        <v>954</v>
      </c>
      <c r="B3441" s="0" t="s">
        <v>98</v>
      </c>
      <c r="E3441" s="6" t="n">
        <f aca="false">Sens!E3438-Sens!E3440</f>
        <v>37.441</v>
      </c>
      <c r="F3441" s="6" t="n">
        <f aca="false">Sens!F3438-Sens!F3440</f>
        <v>-38.4221601904181</v>
      </c>
      <c r="G3441" s="6" t="n">
        <f aca="false">Sens!G3438-Sens!G3440</f>
        <v>115.56540798168</v>
      </c>
      <c r="H3441" s="6" t="n">
        <f aca="false">Sens!H3438-Sens!H3440</f>
        <v>162.555492008505</v>
      </c>
      <c r="I3441" s="6" t="n">
        <f aca="false">Sens!I3438-Sens!I3440</f>
        <v>145.731248233009</v>
      </c>
      <c r="J3441" s="6" t="n">
        <f aca="false">Sens!J3438-Sens!J3440</f>
        <v>143.311201821411</v>
      </c>
      <c r="K3441" s="6" t="n">
        <f aca="false">Sens!K3438-Sens!K3440</f>
        <v>111.428735564851</v>
      </c>
    </row>
    <row r="3442" customFormat="false" ht="15" hidden="false" customHeight="false" outlineLevel="0" collapsed="false">
      <c r="A3442" s="1" t="s">
        <v>955</v>
      </c>
      <c r="B3442" s="0" t="s">
        <v>98</v>
      </c>
      <c r="F3442" s="6" t="n">
        <f aca="false">debt_mat_27</f>
        <v>9.25</v>
      </c>
      <c r="G3442" s="6" t="n">
        <f aca="false">debt_mat_28</f>
        <v>0</v>
      </c>
      <c r="H3442" s="6" t="n">
        <f aca="false">debt_mat_29</f>
        <v>2.001</v>
      </c>
      <c r="I3442" s="6" t="n">
        <f aca="false">debt_mat_30</f>
        <v>0</v>
      </c>
      <c r="J3442" s="6" t="n">
        <f aca="false">debt_mat_31</f>
        <v>0.5</v>
      </c>
      <c r="K3442" s="6" t="n">
        <f aca="false">debt_mat_32</f>
        <v>0</v>
      </c>
    </row>
    <row r="3443" customFormat="false" ht="15" hidden="false" customHeight="false" outlineLevel="0" collapsed="false">
      <c r="A3443" s="1" t="s">
        <v>956</v>
      </c>
      <c r="B3443" s="0" t="s">
        <v>98</v>
      </c>
      <c r="E3443" s="6" t="n">
        <f aca="false">Q!M40</f>
        <v>22.271</v>
      </c>
      <c r="F3443" s="6" t="n">
        <f aca="false">MAX(0,MIN(bb_target,Sens!E3445+Sens!F3441-Sens!F3442-min_cash))</f>
        <v>0</v>
      </c>
      <c r="G3443" s="6" t="n">
        <f aca="false">MAX(0,MIN(bb_target,Sens!F3445+Sens!G3441-Sens!G3442-min_cash))</f>
        <v>22.271</v>
      </c>
      <c r="H3443" s="6" t="n">
        <f aca="false">MAX(0,MIN(bb_target,Sens!G3445+Sens!H3441-Sens!H3442-min_cash))</f>
        <v>22.271</v>
      </c>
      <c r="I3443" s="6" t="n">
        <f aca="false">MAX(0,MIN(bb_target,Sens!H3445+Sens!I3441-Sens!I3442-min_cash))</f>
        <v>22.271</v>
      </c>
      <c r="J3443" s="6" t="n">
        <f aca="false">MAX(0,MIN(bb_target,Sens!I3445+Sens!J3441-Sens!J3442-min_cash))</f>
        <v>22.271</v>
      </c>
      <c r="K3443" s="6" t="n">
        <f aca="false">MAX(0,MIN(bb_target,Sens!J3445+Sens!K3441-Sens!K3442-min_cash))</f>
        <v>22.271</v>
      </c>
    </row>
    <row r="3444" customFormat="false" ht="15" hidden="false" customHeight="false" outlineLevel="0" collapsed="false">
      <c r="A3444" s="1" t="s">
        <v>957</v>
      </c>
      <c r="B3444" s="0" t="s">
        <v>98</v>
      </c>
      <c r="F3444" s="6" t="n">
        <f aca="false">MAX(0,min_cash-(Sens!E3445+Sens!F3441-Sens!F3442-Sens!F3443))</f>
        <v>20.8291601904181</v>
      </c>
      <c r="G3444" s="6" t="n">
        <f aca="false">MAX(0,min_cash-(Sens!F3445+Sens!G3441-Sens!G3442-Sens!G3443))</f>
        <v>0</v>
      </c>
      <c r="H3444" s="6" t="n">
        <f aca="false">MAX(0,min_cash-(Sens!G3445+Sens!H3441-Sens!H3442-Sens!H3443))</f>
        <v>0</v>
      </c>
      <c r="I3444" s="6" t="n">
        <f aca="false">MAX(0,min_cash-(Sens!H3445+Sens!I3441-Sens!I3442-Sens!I3443))</f>
        <v>0</v>
      </c>
      <c r="J3444" s="6" t="n">
        <f aca="false">MAX(0,min_cash-(Sens!I3445+Sens!J3441-Sens!J3442-Sens!J3443))</f>
        <v>0</v>
      </c>
      <c r="K3444" s="6" t="n">
        <f aca="false">MAX(0,min_cash-(Sens!J3445+Sens!K3441-Sens!K3442-Sens!K3443))</f>
        <v>0</v>
      </c>
    </row>
    <row r="3445" customFormat="false" ht="15" hidden="false" customHeight="false" outlineLevel="0" collapsed="false">
      <c r="A3445" s="1" t="s">
        <v>958</v>
      </c>
      <c r="B3445" s="0" t="s">
        <v>98</v>
      </c>
      <c r="E3445" s="6" t="n">
        <f aca="false">cash_open</f>
        <v>76.843</v>
      </c>
      <c r="F3445" s="6" t="n">
        <f aca="false">Sens!E3445+Sens!F3441-Sens!F3442-Sens!F3443+Sens!F3444</f>
        <v>50</v>
      </c>
      <c r="G3445" s="6" t="n">
        <f aca="false">Sens!F3445+Sens!G3441-Sens!G3442-Sens!G3443+Sens!G3444</f>
        <v>143.29440798168</v>
      </c>
      <c r="H3445" s="6" t="n">
        <f aca="false">Sens!G3445+Sens!H3441-Sens!H3442-Sens!H3443+Sens!H3444</f>
        <v>281.577899990184</v>
      </c>
      <c r="I3445" s="6" t="n">
        <f aca="false">Sens!H3445+Sens!I3441-Sens!I3442-Sens!I3443+Sens!I3444</f>
        <v>405.038148223194</v>
      </c>
      <c r="J3445" s="6" t="n">
        <f aca="false">Sens!I3445+Sens!J3441-Sens!J3442-Sens!J3443+Sens!J3444</f>
        <v>525.578350044605</v>
      </c>
      <c r="K3445" s="6" t="n">
        <f aca="false">Sens!J3445+Sens!K3441-Sens!K3442-Sens!K3443+Sens!K3444</f>
        <v>614.736085609456</v>
      </c>
    </row>
    <row r="3446" customFormat="false" ht="15" hidden="false" customHeight="false" outlineLevel="0" collapsed="false">
      <c r="A3446" s="1" t="s">
        <v>959</v>
      </c>
      <c r="B3446" s="0" t="s">
        <v>98</v>
      </c>
      <c r="E3446" s="6" t="n">
        <f aca="false">debt_face</f>
        <v>46.136</v>
      </c>
      <c r="F3446" s="6" t="n">
        <f aca="false">Sens!E3446-Sens!F3442+Sens!F3444</f>
        <v>57.7151601904181</v>
      </c>
      <c r="G3446" s="6" t="n">
        <f aca="false">Sens!F3446-Sens!G3442+Sens!G3444</f>
        <v>57.7151601904181</v>
      </c>
      <c r="H3446" s="6" t="n">
        <f aca="false">Sens!G3446-Sens!H3442+Sens!H3444</f>
        <v>55.7141601904181</v>
      </c>
      <c r="I3446" s="6" t="n">
        <f aca="false">Sens!H3446-Sens!I3442+Sens!I3444</f>
        <v>55.7141601904181</v>
      </c>
      <c r="J3446" s="6" t="n">
        <f aca="false">Sens!I3446-Sens!J3442+Sens!J3444</f>
        <v>55.2141601904181</v>
      </c>
      <c r="K3446" s="6" t="n">
        <f aca="false">Sens!J3446-Sens!K3442+Sens!K3444</f>
        <v>55.2141601904181</v>
      </c>
    </row>
    <row r="3447" customFormat="false" ht="15" hidden="false" customHeight="false" outlineLevel="0" collapsed="false">
      <c r="A3447" s="1" t="s">
        <v>960</v>
      </c>
      <c r="B3447" s="0" t="s">
        <v>98</v>
      </c>
      <c r="E3447" s="6" t="n">
        <f aca="false">Sens!E3445-Sens!E3446</f>
        <v>30.707</v>
      </c>
      <c r="F3447" s="6" t="n">
        <f aca="false">Sens!F3445-Sens!F3446</f>
        <v>-7.71516019041805</v>
      </c>
      <c r="G3447" s="6" t="n">
        <f aca="false">Sens!G3445-Sens!G3446</f>
        <v>85.5792477912616</v>
      </c>
      <c r="H3447" s="6" t="n">
        <f aca="false">Sens!H3445-Sens!H3446</f>
        <v>225.863739799766</v>
      </c>
      <c r="I3447" s="6" t="n">
        <f aca="false">Sens!I3445-Sens!I3446</f>
        <v>349.323988032776</v>
      </c>
      <c r="J3447" s="6" t="n">
        <f aca="false">Sens!J3445-Sens!J3446</f>
        <v>470.364189854187</v>
      </c>
      <c r="K3447" s="6" t="n">
        <f aca="false">Sens!K3445-Sens!K3446</f>
        <v>559.521925419038</v>
      </c>
    </row>
    <row r="3448" customFormat="false" ht="15" hidden="false" customHeight="false" outlineLevel="0" collapsed="false">
      <c r="A3448" s="1" t="s">
        <v>961</v>
      </c>
      <c r="B3448" s="0" t="s">
        <v>75</v>
      </c>
      <c r="F3448" s="29" t="n">
        <f aca="false">px*(1+bb_g)^(Sens!F3312-base_fy-mid_yr)</f>
        <v>553.494156066711</v>
      </c>
      <c r="G3448" s="29" t="n">
        <f aca="false">px*(1+bb_g)^(Sens!G3312-base_fy-mid_yr)</f>
        <v>597.773688552047</v>
      </c>
      <c r="H3448" s="29" t="n">
        <f aca="false">px*(1+bb_g)^(Sens!H3312-base_fy-mid_yr)</f>
        <v>645.595583636211</v>
      </c>
      <c r="I3448" s="29" t="n">
        <f aca="false">px*(1+bb_g)^(Sens!I3312-base_fy-mid_yr)</f>
        <v>697.243230327108</v>
      </c>
      <c r="J3448" s="29" t="n">
        <f aca="false">px*(1+bb_g)^(Sens!J3312-base_fy-mid_yr)</f>
        <v>753.022688753277</v>
      </c>
      <c r="K3448" s="29" t="n">
        <f aca="false">px*(1+bb_g)^(Sens!K3312-base_fy-mid_yr)</f>
        <v>813.264503853539</v>
      </c>
    </row>
    <row r="3449" customFormat="false" ht="15" hidden="false" customHeight="false" outlineLevel="0" collapsed="false">
      <c r="A3449" s="1" t="s">
        <v>962</v>
      </c>
      <c r="B3449" s="1" t="s">
        <v>81</v>
      </c>
      <c r="E3449" s="14" t="n">
        <f aca="false">sh_out26</f>
        <v>7.427</v>
      </c>
      <c r="F3449" s="14" t="n">
        <f aca="false">Sens!E3449+sh_iss-Sens!F3443/Sens!F3448</f>
        <v>7.472</v>
      </c>
      <c r="G3449" s="14" t="n">
        <f aca="false">Sens!F3449+sh_iss-Sens!G3443/Sens!G3448</f>
        <v>7.47974342543589</v>
      </c>
      <c r="H3449" s="14" t="n">
        <f aca="false">Sens!G3449+sh_iss-Sens!H3443/Sens!H3448</f>
        <v>7.4902465971358</v>
      </c>
      <c r="I3449" s="14" t="n">
        <f aca="false">Sens!H3449+sh_iss-Sens!I3443/Sens!I3448</f>
        <v>7.50330508945052</v>
      </c>
      <c r="J3449" s="14" t="n">
        <f aca="false">Sens!I3449+sh_iss-Sens!J3443/Sens!J3448</f>
        <v>7.51872961937156</v>
      </c>
      <c r="K3449" s="14" t="n">
        <f aca="false">Sens!J3449+sh_iss-Sens!K3443/Sens!K3448</f>
        <v>7.53634492485401</v>
      </c>
    </row>
    <row r="3450" customFormat="false" ht="15" hidden="false" customHeight="false" outlineLevel="0" collapsed="false">
      <c r="A3450" s="1" t="s">
        <v>963</v>
      </c>
      <c r="B3450" s="1" t="s">
        <v>81</v>
      </c>
      <c r="E3450" s="14" t="n">
        <f aca="false">sh_dil26</f>
        <v>7.453</v>
      </c>
      <c r="F3450" s="14" t="n">
        <f aca="false">(Sens!E3449+Sens!F3449)/2+dil_gap</f>
        <v>7.4735</v>
      </c>
      <c r="G3450" s="14" t="n">
        <f aca="false">(Sens!F3449+Sens!G3449)/2+dil_gap</f>
        <v>7.49987171271795</v>
      </c>
      <c r="H3450" s="14" t="n">
        <f aca="false">(Sens!G3449+Sens!H3449)/2+dil_gap</f>
        <v>7.50899501128585</v>
      </c>
      <c r="I3450" s="14" t="n">
        <f aca="false">(Sens!H3449+Sens!I3449)/2+dil_gap</f>
        <v>7.52077584329316</v>
      </c>
      <c r="J3450" s="14" t="n">
        <f aca="false">(Sens!I3449+Sens!J3449)/2+dil_gap</f>
        <v>7.53501735441104</v>
      </c>
      <c r="K3450" s="14" t="n">
        <f aca="false">(Sens!J3449+Sens!K3449)/2+dil_gap</f>
        <v>7.55153727211278</v>
      </c>
    </row>
    <row r="3451" customFormat="false" ht="17.15" hidden="false" customHeight="false" outlineLevel="0" collapsed="false">
      <c r="A3451" s="1" t="s">
        <v>964</v>
      </c>
      <c r="B3451" s="0" t="s">
        <v>98</v>
      </c>
      <c r="C3451" s="6" t="n">
        <f aca="false">SUM(Sens!F3441:J3441)</f>
        <v>528.741189854187</v>
      </c>
    </row>
    <row r="3452" customFormat="false" ht="15" hidden="false" customHeight="false" outlineLevel="0" collapsed="false">
      <c r="A3452" s="23" t="s">
        <v>935</v>
      </c>
      <c r="B3452" s="30" t="s">
        <v>98</v>
      </c>
      <c r="C3452" s="24" t="n">
        <f aca="false">Sens!$C$3451-(Sens!F3441+Sens!G3441+Sens!H3441+Sens!I3441+Sens!J3441)</f>
        <v>0</v>
      </c>
      <c r="D3452" s="30"/>
      <c r="E3452" s="30"/>
      <c r="F3452" s="30"/>
      <c r="G3452" s="30"/>
      <c r="H3452" s="30"/>
      <c r="I3452" s="30"/>
      <c r="J3452" s="30"/>
      <c r="K3452" s="30"/>
    </row>
    <row r="3453" customFormat="false" ht="17.15" hidden="false" customHeight="false" outlineLevel="0" collapsed="false">
      <c r="A3453" s="1" t="s">
        <v>929</v>
      </c>
      <c r="B3453" s="1" t="s">
        <v>965</v>
      </c>
      <c r="C3453" s="32" t="str">
        <f aca="false">IF(SUM(Sens!F3444:J3444)&gt;0.05,"需要舉債 "&amp;TEXT(SUM(Sens!F3444:J3444),"0.0")&amp;" 十億美元","不需舉債")&amp;"；"&amp;IF(SUM(Sens!F3443:J3443)&lt;COUNT(Sens!F3443:J3443)*bb_target-0.05,"回購較每年 "&amp;TEXT(bb_target,"0.0")&amp;" 的目標少 "&amp;TEXT(COUNT(Sens!F3443:J3443)*bb_target-SUM(Sens!F3443:J3443),"0.0")&amp;" 十億美元（"&amp;TEXT(COUNTIF(Sens!F3443:J3443,"&lt;"&amp;(bb_target-0.05)),"0")&amp;" 年減少）","回購不減")</f>
        <v>需要舉債 20.8 十億美元；回購較每年 22.3 的目標少 22.3 十億美元（1 年減少）</v>
      </c>
    </row>
    <row r="3454" customFormat="false" ht="17.15" hidden="false" customHeight="false" outlineLevel="0" collapsed="false">
      <c r="A3454" s="3" t="s">
        <v>1323</v>
      </c>
    </row>
    <row r="3455" customFormat="false" ht="15" hidden="false" customHeight="false" outlineLevel="0" collapsed="false">
      <c r="A3455" s="4" t="s">
        <v>43</v>
      </c>
      <c r="B3455" s="4" t="s">
        <v>65</v>
      </c>
      <c r="C3455" s="20" t="s">
        <v>788</v>
      </c>
      <c r="D3455" s="20" t="s">
        <v>789</v>
      </c>
      <c r="E3455" s="20" t="s">
        <v>790</v>
      </c>
      <c r="F3455" s="20" t="s">
        <v>791</v>
      </c>
      <c r="G3455" s="20" t="s">
        <v>792</v>
      </c>
      <c r="H3455" s="20" t="s">
        <v>793</v>
      </c>
      <c r="I3455" s="20" t="s">
        <v>794</v>
      </c>
      <c r="J3455" s="20" t="s">
        <v>795</v>
      </c>
      <c r="K3455" s="20" t="s">
        <v>796</v>
      </c>
      <c r="L3455" s="4" t="s">
        <v>47</v>
      </c>
    </row>
    <row r="3456" customFormat="false" ht="15" hidden="false" customHeight="false" outlineLevel="0" collapsed="false">
      <c r="A3456" s="1" t="s">
        <v>1042</v>
      </c>
      <c r="B3456" s="1" t="s">
        <v>235</v>
      </c>
      <c r="F3456" s="36" t="n">
        <f aca="false">Sens!F3312-base_fy-mid_yr</f>
        <v>0.5</v>
      </c>
      <c r="G3456" s="36" t="n">
        <f aca="false">Sens!G3312-base_fy-mid_yr</f>
        <v>1.5</v>
      </c>
      <c r="H3456" s="36" t="n">
        <f aca="false">Sens!H3312-base_fy-mid_yr</f>
        <v>2.5</v>
      </c>
      <c r="I3456" s="36" t="n">
        <f aca="false">Sens!I3312-base_fy-mid_yr</f>
        <v>3.5</v>
      </c>
      <c r="J3456" s="36" t="n">
        <f aca="false">Sens!J3312-base_fy-mid_yr</f>
        <v>4.5</v>
      </c>
      <c r="K3456" s="36" t="n">
        <f aca="false">Sens!K3312-base_fy-mid_yr</f>
        <v>5.5</v>
      </c>
    </row>
    <row r="3457" customFormat="false" ht="15" hidden="false" customHeight="false" outlineLevel="0" collapsed="false">
      <c r="A3457" s="1" t="s">
        <v>1043</v>
      </c>
      <c r="B3457" s="0" t="s">
        <v>185</v>
      </c>
      <c r="F3457" s="14" t="n">
        <f aca="false">1/(1+wacc)^Sens!F3456</f>
        <v>0.952193373608246</v>
      </c>
      <c r="G3457" s="14" t="n">
        <f aca="false">1/(1+wacc)^Sens!G3456</f>
        <v>0.863327280626589</v>
      </c>
      <c r="H3457" s="14" t="n">
        <f aca="false">1/(1+wacc)^Sens!H3456</f>
        <v>0.782754862754115</v>
      </c>
      <c r="I3457" s="14" t="n">
        <f aca="false">1/(1+wacc)^Sens!I3456</f>
        <v>0.709702089711011</v>
      </c>
      <c r="J3457" s="14" t="n">
        <f aca="false">1/(1+wacc)^Sens!J3456</f>
        <v>0.643467169744551</v>
      </c>
      <c r="K3457" s="14" t="n">
        <f aca="false">1/(1+wacc)^Sens!K3456</f>
        <v>0.583413807767797</v>
      </c>
    </row>
    <row r="3458" customFormat="false" ht="17.15" hidden="false" customHeight="false" outlineLevel="0" collapsed="false">
      <c r="A3458" s="1" t="s">
        <v>1044</v>
      </c>
      <c r="B3458" s="0" t="s">
        <v>98</v>
      </c>
      <c r="F3458" s="6" t="n">
        <f aca="false">Sens!F3432-Sens!F3430-Sens!F3435+Sens!F3416*(1-tax_f)</f>
        <v>-9.19579271270711</v>
      </c>
      <c r="G3458" s="6" t="n">
        <f aca="false">Sens!G3432-Sens!G3430-Sens!G3435+Sens!G3416*(1-tax_f)</f>
        <v>147.548544631082</v>
      </c>
      <c r="H3458" s="6" t="n">
        <f aca="false">Sens!H3432-Sens!H3430-Sens!H3435+Sens!H3416*(1-tax_f)</f>
        <v>195.185053633492</v>
      </c>
      <c r="I3458" s="6" t="n">
        <f aca="false">Sens!I3432-Sens!I3430-Sens!I3435+Sens!I3416*(1-tax_f)</f>
        <v>179.209472412879</v>
      </c>
      <c r="J3458" s="6" t="n">
        <f aca="false">Sens!J3432-Sens!J3430-Sens!J3435+Sens!J3416*(1-tax_f)</f>
        <v>178.630208660273</v>
      </c>
      <c r="K3458" s="6" t="n">
        <f aca="false">Sens!K3432-Sens!K3430-Sens!K3435+Sens!K3416*(1-tax_f)</f>
        <v>149.706252299089</v>
      </c>
      <c r="L3458" s="1" t="s">
        <v>1045</v>
      </c>
    </row>
    <row r="3459" customFormat="false" ht="15" hidden="false" customHeight="false" outlineLevel="0" collapsed="false">
      <c r="A3459" s="1" t="s">
        <v>1046</v>
      </c>
      <c r="B3459" s="0" t="s">
        <v>98</v>
      </c>
      <c r="F3459" s="6" t="n">
        <f aca="false">Sens!F3458*Sens!F3457</f>
        <v>-8.75617288611471</v>
      </c>
      <c r="G3459" s="6" t="n">
        <f aca="false">Sens!G3458*Sens!G3457</f>
        <v>127.382683796763</v>
      </c>
      <c r="H3459" s="6" t="n">
        <f aca="false">Sens!H3458*Sens!H3457</f>
        <v>152.782049868539</v>
      </c>
      <c r="I3459" s="6" t="n">
        <f aca="false">Sens!I3458*Sens!I3457</f>
        <v>127.185337067428</v>
      </c>
      <c r="J3459" s="6" t="n">
        <f aca="false">Sens!J3458*Sens!J3457</f>
        <v>114.942674797504</v>
      </c>
      <c r="K3459" s="6" t="n">
        <f aca="false">Sens!K3458*Sens!K3457</f>
        <v>87.3406947004579</v>
      </c>
    </row>
    <row r="3460" customFormat="false" ht="17.15" hidden="false" customHeight="false" outlineLevel="0" collapsed="false">
      <c r="A3460" s="1" t="s">
        <v>1047</v>
      </c>
      <c r="B3460" s="0" t="s">
        <v>98</v>
      </c>
      <c r="C3460" s="6" t="n">
        <f aca="false">SUM(Sens!F3459:K3459)</f>
        <v>600.877267344578</v>
      </c>
    </row>
    <row r="3461" customFormat="false" ht="17.15" hidden="false" customHeight="false" outlineLevel="0" collapsed="false">
      <c r="A3461" s="1" t="s">
        <v>1048</v>
      </c>
      <c r="B3461" s="0" t="s">
        <v>98</v>
      </c>
      <c r="C3461" s="6" t="n">
        <f aca="false">Sens!K3402*(1+g_tv)*(1-tax_f)</f>
        <v>211.72946415778</v>
      </c>
    </row>
    <row r="3462" customFormat="false" ht="17.15" hidden="false" customHeight="false" outlineLevel="0" collapsed="false">
      <c r="A3462" s="1" t="s">
        <v>1049</v>
      </c>
      <c r="B3462" s="0" t="s">
        <v>98</v>
      </c>
      <c r="C3462" s="6" t="n">
        <f aca="false">Sens!$C$3461*(1-g_tv/(wacc+ronic_prem))</f>
        <v>150.021398779822</v>
      </c>
    </row>
    <row r="3463" customFormat="false" ht="17.15" hidden="false" customHeight="false" outlineLevel="0" collapsed="false">
      <c r="A3463" s="1" t="s">
        <v>1050</v>
      </c>
      <c r="B3463" s="0" t="s">
        <v>98</v>
      </c>
      <c r="C3463" s="6" t="n">
        <f aca="false">Sens!$C$3462/(wacc-g_tv)</f>
        <v>2056.93551259861</v>
      </c>
    </row>
    <row r="3464" customFormat="false" ht="15" hidden="false" customHeight="false" outlineLevel="0" collapsed="false">
      <c r="A3464" s="1" t="s">
        <v>1051</v>
      </c>
      <c r="B3464" s="0" t="s">
        <v>98</v>
      </c>
      <c r="C3464" s="6" t="n">
        <f aca="false">Sens!$C$3463/(1+wacc)^(Sens!K3456+mid_yr)</f>
        <v>1142.67449686098</v>
      </c>
    </row>
    <row r="3465" customFormat="false" ht="17.15" hidden="false" customHeight="false" outlineLevel="0" collapsed="false">
      <c r="A3465" s="0" t="s">
        <v>972</v>
      </c>
      <c r="B3465" s="0" t="s">
        <v>98</v>
      </c>
      <c r="C3465" s="6" t="n">
        <f aca="false">Sens!$C$3460+Sens!$C$3464</f>
        <v>1743.55176420556</v>
      </c>
    </row>
    <row r="3466" customFormat="false" ht="15" hidden="false" customHeight="false" outlineLevel="0" collapsed="false">
      <c r="A3466" s="1" t="s">
        <v>973</v>
      </c>
      <c r="B3466" s="0" t="s">
        <v>129</v>
      </c>
      <c r="C3466" s="7" t="n">
        <f aca="false">Sens!$C$3464/Sens!$C$3465</f>
        <v>0.655371707522337</v>
      </c>
    </row>
    <row r="3467" customFormat="false" ht="17.15" hidden="false" customHeight="false" outlineLevel="0" collapsed="false">
      <c r="A3467" s="1" t="s">
        <v>1052</v>
      </c>
      <c r="B3467" s="0" t="s">
        <v>98</v>
      </c>
      <c r="C3467" s="6" t="n">
        <f aca="false">Sens!$C$3465+Sens!E3447-Sens!E3436+oai_v</f>
        <v>1878.06476420556</v>
      </c>
    </row>
    <row r="3468" customFormat="false" ht="17.15" hidden="false" customHeight="false" outlineLevel="0" collapsed="false">
      <c r="A3468" s="0" t="s">
        <v>980</v>
      </c>
      <c r="B3468" s="0" t="s">
        <v>75</v>
      </c>
      <c r="C3468" s="5" t="n">
        <f aca="false">Sens!$C$3467/sh_dil26</f>
        <v>251.987758514096</v>
      </c>
    </row>
    <row r="3469" customFormat="false" ht="15" hidden="false" customHeight="false" outlineLevel="0" collapsed="false">
      <c r="A3469" s="1" t="s">
        <v>1053</v>
      </c>
      <c r="B3469" s="0" t="s">
        <v>75</v>
      </c>
      <c r="C3469" s="8" t="n">
        <f aca="false">dps_27+Sens!G3439*roll_div_q/q_per_yr</f>
        <v>4.8895</v>
      </c>
    </row>
    <row r="3470" customFormat="false" ht="17.15" hidden="false" customHeight="false" outlineLevel="0" collapsed="false">
      <c r="A3470" s="0" t="s">
        <v>1054</v>
      </c>
      <c r="B3470" s="0" t="s">
        <v>75</v>
      </c>
      <c r="C3470" s="5" t="n">
        <f aca="false">Sens!$C$3468*(1+wacc)^t_roll-Sens!$C$3469</f>
        <v>282.057374371751</v>
      </c>
    </row>
    <row r="3471" customFormat="false" ht="17.15" hidden="false" customHeight="false" outlineLevel="0" collapsed="false">
      <c r="A3471" s="1" t="s">
        <v>1055</v>
      </c>
      <c r="B3471" s="0" t="s">
        <v>129</v>
      </c>
      <c r="F3471" s="7" t="n">
        <f aca="false">Sens!F3428/(Sens!F3373-Sens!F3329)</f>
        <v>0.0686864325746334</v>
      </c>
      <c r="G3471" s="7" t="n">
        <f aca="false">Sens!G3428/(Sens!G3373-Sens!G3329)</f>
        <v>0.066267001590801</v>
      </c>
      <c r="H3471" s="7" t="n">
        <f aca="false">Sens!H3428/(Sens!H3373-Sens!H3329)</f>
        <v>0.0650366246750144</v>
      </c>
      <c r="I3471" s="7" t="n">
        <f aca="false">Sens!I3428/(Sens!I3373-Sens!I3329)</f>
        <v>0.0648573271390164</v>
      </c>
      <c r="J3471" s="7" t="n">
        <f aca="false">Sens!J3428/(Sens!J3373-Sens!J3329)</f>
        <v>0.0655189837669657</v>
      </c>
      <c r="K3471" s="7" t="n">
        <f aca="false">Sens!K3428/(Sens!K3373-Sens!K3329)</f>
        <v>0.0667878921367872</v>
      </c>
    </row>
    <row r="3472" customFormat="false" ht="17.15" hidden="false" customHeight="false" outlineLevel="0" collapsed="false">
      <c r="A3472" s="0" t="s">
        <v>1056</v>
      </c>
      <c r="B3472" s="0" t="s">
        <v>98</v>
      </c>
      <c r="F3472" s="6" t="n">
        <f aca="false">Sens!F3358*(al_m365+Sens!F3471+sbc_r)</f>
        <v>82.8871280343675</v>
      </c>
      <c r="G3472" s="6" t="n">
        <f aca="false">Sens!G3358*(al_m365+Sens!G3471+sbc_r)</f>
        <v>93.2646494841949</v>
      </c>
      <c r="H3472" s="6" t="n">
        <f aca="false">Sens!H3358*(al_m365+Sens!H3471+sbc_r)</f>
        <v>103.801656157254</v>
      </c>
      <c r="I3472" s="6" t="n">
        <f aca="false">Sens!I3358*(al_m365+Sens!I3471+sbc_r)</f>
        <v>113.821873816133</v>
      </c>
      <c r="J3472" s="6" t="n">
        <f aca="false">Sens!J3358*(al_m365+Sens!J3471+sbc_r)</f>
        <v>123.136196807334</v>
      </c>
      <c r="K3472" s="6" t="n">
        <f aca="false">Sens!K3358*(al_m365+Sens!K3471+sbc_r)</f>
        <v>132.051675801964</v>
      </c>
      <c r="L3472" s="11" t="s">
        <v>1057</v>
      </c>
    </row>
    <row r="3473" customFormat="false" ht="17.15" hidden="false" customHeight="false" outlineLevel="0" collapsed="false">
      <c r="A3473" s="0" t="s">
        <v>1058</v>
      </c>
      <c r="B3473" s="0" t="s">
        <v>98</v>
      </c>
      <c r="F3473" s="6" t="n">
        <f aca="false">Sens!F3359*(al_lic+Sens!F3471+sbc_r)</f>
        <v>33.4484001235218</v>
      </c>
      <c r="G3473" s="6" t="n">
        <f aca="false">Sens!G3359*(al_lic+Sens!G3471+sbc_r)</f>
        <v>34.7662136749183</v>
      </c>
      <c r="H3473" s="6" t="n">
        <f aca="false">Sens!H3359*(al_lic+Sens!H3471+sbc_r)</f>
        <v>35.9922067034497</v>
      </c>
      <c r="I3473" s="6" t="n">
        <f aca="false">Sens!I3359*(al_lic+Sens!I3471+sbc_r)</f>
        <v>37.1063543598183</v>
      </c>
      <c r="J3473" s="6" t="n">
        <f aca="false">Sens!J3359*(al_lic+Sens!J3471+sbc_r)</f>
        <v>38.0853056964387</v>
      </c>
      <c r="K3473" s="6" t="n">
        <f aca="false">Sens!K3359*(al_lic+Sens!K3471+sbc_r)</f>
        <v>38.9048066370724</v>
      </c>
    </row>
    <row r="3474" customFormat="false" ht="17.15" hidden="false" customHeight="false" outlineLevel="0" collapsed="false">
      <c r="A3474" s="0" t="s">
        <v>1059</v>
      </c>
      <c r="B3474" s="0" t="s">
        <v>98</v>
      </c>
      <c r="F3474" s="6" t="n">
        <f aca="false">Sens!F3361*(al_ind+Sens!F3471+sbc_r)</f>
        <v>9.07857451914073</v>
      </c>
      <c r="G3474" s="6" t="n">
        <f aca="false">Sens!G3361*(al_ind+Sens!G3471+sbc_r)</f>
        <v>9.86487802721884</v>
      </c>
      <c r="H3474" s="6" t="n">
        <f aca="false">Sens!H3361*(al_ind+Sens!H3471+sbc_r)</f>
        <v>10.693809720013</v>
      </c>
      <c r="I3474" s="6" t="n">
        <f aca="false">Sens!I3361*(al_ind+Sens!I3471+sbc_r)</f>
        <v>11.5608645999226</v>
      </c>
      <c r="J3474" s="6" t="n">
        <f aca="false">Sens!J3361*(al_ind+Sens!J3471+sbc_r)</f>
        <v>12.4574161941375</v>
      </c>
      <c r="K3474" s="6" t="n">
        <f aca="false">Sens!K3361*(al_ind+Sens!K3471+sbc_r)</f>
        <v>13.3714153876622</v>
      </c>
    </row>
    <row r="3475" customFormat="false" ht="17.15" hidden="false" customHeight="false" outlineLevel="0" collapsed="false">
      <c r="A3475" s="0" t="s">
        <v>1060</v>
      </c>
      <c r="B3475" s="0" t="s">
        <v>98</v>
      </c>
      <c r="F3475" s="6" t="n">
        <f aca="false">Sens!F3363*(al_fro+Sens!F3471+sbc_r)</f>
        <v>3.57335880380168</v>
      </c>
      <c r="G3475" s="6" t="n">
        <f aca="false">Sens!G3363*(al_fro+Sens!G3471+sbc_r)</f>
        <v>3.78752993435501</v>
      </c>
      <c r="H3475" s="6" t="n">
        <f aca="false">Sens!H3363*(al_fro+Sens!H3471+sbc_r)</f>
        <v>4.02979352544868</v>
      </c>
      <c r="I3475" s="6" t="n">
        <f aca="false">Sens!I3363*(al_fro+Sens!I3471+sbc_r)</f>
        <v>4.30248328262388</v>
      </c>
      <c r="J3475" s="6" t="n">
        <f aca="false">Sens!J3363*(al_fro+Sens!J3471+sbc_r)</f>
        <v>4.6072312462081</v>
      </c>
      <c r="K3475" s="6" t="n">
        <f aca="false">Sens!K3363*(al_fro+Sens!K3471+sbc_r)</f>
        <v>4.94526327289735</v>
      </c>
    </row>
    <row r="3476" customFormat="false" ht="17.15" hidden="false" customHeight="false" outlineLevel="0" collapsed="false">
      <c r="A3476" s="0" t="s">
        <v>1061</v>
      </c>
      <c r="B3476" s="0" t="s">
        <v>98</v>
      </c>
      <c r="F3476" s="6" t="n">
        <f aca="false">Sens!F3366*(al_srch+Sens!F3471+sbc_r)</f>
        <v>11.2121706988551</v>
      </c>
      <c r="G3476" s="6" t="n">
        <f aca="false">Sens!G3366*(al_srch+Sens!G3471+sbc_r)</f>
        <v>12.298220751086</v>
      </c>
      <c r="H3476" s="6" t="n">
        <f aca="false">Sens!H3366*(al_srch+Sens!H3471+sbc_r)</f>
        <v>13.4264661389574</v>
      </c>
      <c r="I3476" s="6" t="n">
        <f aca="false">Sens!I3366*(al_srch+Sens!I3471+sbc_r)</f>
        <v>14.5842947685169</v>
      </c>
      <c r="J3476" s="6" t="n">
        <f aca="false">Sens!J3366*(al_srch+Sens!J3471+sbc_r)</f>
        <v>15.7529827260804</v>
      </c>
      <c r="K3476" s="6" t="n">
        <f aca="false">Sens!K3366*(al_srch+Sens!K3471+sbc_r)</f>
        <v>16.908777257054</v>
      </c>
    </row>
    <row r="3477" customFormat="false" ht="17.15" hidden="false" customHeight="false" outlineLevel="0" collapsed="false">
      <c r="A3477" s="0" t="s">
        <v>1062</v>
      </c>
      <c r="B3477" s="0" t="s">
        <v>98</v>
      </c>
      <c r="F3477" s="6" t="n">
        <f aca="false">Sens!F3335-Sens!F3336+Sens!F3416</f>
        <v>33.9518847149595</v>
      </c>
      <c r="G3477" s="6" t="n">
        <f aca="false">Sens!G3335-Sens!G3336+Sens!G3416</f>
        <v>35.9146984679975</v>
      </c>
      <c r="H3477" s="6" t="n">
        <f aca="false">Sens!H3335-Sens!H3336+Sens!H3416</f>
        <v>33.0822615019378</v>
      </c>
      <c r="I3477" s="6" t="n">
        <f aca="false">Sens!I3335-Sens!I3336+Sens!I3416</f>
        <v>33.3391987321591</v>
      </c>
      <c r="J3477" s="6" t="n">
        <f aca="false">Sens!J3335-Sens!J3336+Sens!J3416</f>
        <v>34.8108801335479</v>
      </c>
      <c r="K3477" s="6" t="n">
        <f aca="false">Sens!K3335-Sens!K3336+Sens!K3416</f>
        <v>38.5792179163226</v>
      </c>
    </row>
    <row r="3478" customFormat="false" ht="17.15" hidden="false" customHeight="false" outlineLevel="0" collapsed="false">
      <c r="A3478" s="0" t="s">
        <v>1063</v>
      </c>
      <c r="B3478" s="0" t="s">
        <v>98</v>
      </c>
      <c r="F3478" s="6" t="n">
        <f aca="false">Sens!F3395+Sens!F3416+Sens!F3346+Sens!F3471*(Sens!F3365-Sens!F3329)+sbc_r*Sens!F3365</f>
        <v>223.402122107967</v>
      </c>
      <c r="G3478" s="6" t="n">
        <f aca="false">Sens!G3395+Sens!G3416+Sens!G3346+Sens!G3471*(Sens!G3365-Sens!G3329)+sbc_r*Sens!G3365</f>
        <v>249.377092724306</v>
      </c>
      <c r="H3478" s="6" t="n">
        <f aca="false">Sens!H3395+Sens!H3416+Sens!H3346+Sens!H3471*(Sens!H3365-Sens!H3329)+sbc_r*Sens!H3365</f>
        <v>270.832008573659</v>
      </c>
      <c r="I3478" s="6" t="n">
        <f aca="false">Sens!I3395+Sens!I3416+Sens!I3346+Sens!I3471*(Sens!I3365-Sens!I3329)+sbc_r*Sens!I3365</f>
        <v>294.717063095171</v>
      </c>
      <c r="J3478" s="6" t="n">
        <f aca="false">Sens!J3395+Sens!J3416+Sens!J3346+Sens!J3471*(Sens!J3365-Sens!J3329)+sbc_r*Sens!J3365</f>
        <v>318.21067645698</v>
      </c>
      <c r="K3478" s="6" t="n">
        <f aca="false">Sens!K3395+Sens!K3416+Sens!K3346+Sens!K3471*(Sens!K3365-Sens!K3329)+sbc_r*Sens!K3365</f>
        <v>341.991458268788</v>
      </c>
    </row>
    <row r="3479" customFormat="false" ht="17.15" hidden="false" customHeight="false" outlineLevel="0" collapsed="false">
      <c r="A3479" s="0" t="s">
        <v>1064</v>
      </c>
      <c r="B3479" s="0" t="s">
        <v>98</v>
      </c>
      <c r="F3479" s="6" t="n">
        <f aca="false">Sens!F3478-Sens!F3472-Sens!F3473-Sens!F3474-Sens!F3475-Sens!F3477</f>
        <v>60.4627759121758</v>
      </c>
      <c r="G3479" s="6" t="n">
        <f aca="false">Sens!G3478-Sens!G3472-Sens!G3473-Sens!G3474-Sens!G3475-Sens!G3477</f>
        <v>71.7791231356209</v>
      </c>
      <c r="H3479" s="6" t="n">
        <f aca="false">Sens!H3478-Sens!H3472-Sens!H3473-Sens!H3474-Sens!H3475-Sens!H3477</f>
        <v>83.2322809655555</v>
      </c>
      <c r="I3479" s="6" t="n">
        <f aca="false">Sens!I3478-Sens!I3472-Sens!I3473-Sens!I3474-Sens!I3475-Sens!I3477</f>
        <v>94.5862883045141</v>
      </c>
      <c r="J3479" s="6" t="n">
        <f aca="false">Sens!J3478-Sens!J3472-Sens!J3473-Sens!J3474-Sens!J3475-Sens!J3477</f>
        <v>105.113646379313</v>
      </c>
      <c r="K3479" s="6" t="n">
        <f aca="false">Sens!K3478-Sens!K3472-Sens!K3473-Sens!K3474-Sens!K3475-Sens!K3477</f>
        <v>114.13907925287</v>
      </c>
    </row>
    <row r="3480" customFormat="false" ht="17.15" hidden="false" customHeight="false" outlineLevel="0" collapsed="false">
      <c r="A3480" s="0" t="s">
        <v>1065</v>
      </c>
      <c r="B3480" s="0" t="s">
        <v>98</v>
      </c>
      <c r="F3480" s="6" t="n">
        <f aca="false">Sens!F3397+Sens!F3471*Sens!F3372+sbc_r*Sens!F3372</f>
        <v>26.2049549828959</v>
      </c>
      <c r="G3480" s="6" t="n">
        <f aca="false">Sens!G3397+Sens!G3471*Sens!G3372+sbc_r*Sens!G3372</f>
        <v>26.8405806403664</v>
      </c>
      <c r="H3480" s="6" t="n">
        <f aca="false">Sens!H3397+Sens!H3471*Sens!H3372+sbc_r*Sens!H3372</f>
        <v>27.7352032470138</v>
      </c>
      <c r="I3480" s="6" t="n">
        <f aca="false">Sens!I3397+Sens!I3471*Sens!I3372+sbc_r*Sens!I3372</f>
        <v>28.8569155956094</v>
      </c>
      <c r="J3480" s="6" t="n">
        <f aca="false">Sens!J3397+Sens!J3471*Sens!J3372+sbc_r*Sens!J3372</f>
        <v>30.1744385645725</v>
      </c>
      <c r="K3480" s="6" t="n">
        <f aca="false">Sens!K3397+Sens!K3471*Sens!K3372+sbc_r*Sens!K3372</f>
        <v>31.6584976186802</v>
      </c>
    </row>
    <row r="3481" customFormat="false" ht="17.15" hidden="false" customHeight="false" outlineLevel="0" collapsed="false">
      <c r="A3481" s="0" t="s">
        <v>1066</v>
      </c>
      <c r="B3481" s="0" t="s">
        <v>98</v>
      </c>
      <c r="F3481" s="6" t="n">
        <f aca="false">(Sens!F3480-Sens!F3476)*Sens!F3368/(Sens!F3368+Sens!F3370)</f>
        <v>8.21889831690819</v>
      </c>
      <c r="G3481" s="6" t="n">
        <f aca="false">(Sens!G3480-Sens!G3476)*Sens!G3368/(Sens!G3368+Sens!G3370)</f>
        <v>7.82984014749099</v>
      </c>
      <c r="H3481" s="6" t="n">
        <f aca="false">(Sens!H3480-Sens!H3476)*Sens!H3368/(Sens!H3368+Sens!H3370)</f>
        <v>7.5999849964554</v>
      </c>
      <c r="I3481" s="6" t="n">
        <f aca="false">(Sens!I3480-Sens!I3476)*Sens!I3368/(Sens!I3368+Sens!I3370)</f>
        <v>7.51221089422364</v>
      </c>
      <c r="J3481" s="6" t="n">
        <f aca="false">(Sens!J3480-Sens!J3476)*Sens!J3368/(Sens!J3368+Sens!J3370)</f>
        <v>7.55622411401827</v>
      </c>
      <c r="K3481" s="6" t="n">
        <f aca="false">(Sens!K3480-Sens!K3476)*Sens!K3368/(Sens!K3368+Sens!K3370)</f>
        <v>7.72822064011532</v>
      </c>
    </row>
    <row r="3482" customFormat="false" ht="17.15" hidden="false" customHeight="false" outlineLevel="0" collapsed="false">
      <c r="A3482" s="0" t="s">
        <v>1067</v>
      </c>
      <c r="B3482" s="0" t="s">
        <v>98</v>
      </c>
      <c r="F3482" s="6" t="n">
        <f aca="false">Sens!F3480-Sens!F3476-Sens!F3481</f>
        <v>6.77388596713263</v>
      </c>
      <c r="G3482" s="6" t="n">
        <f aca="false">Sens!G3480-Sens!G3476-Sens!G3481</f>
        <v>6.71251974178949</v>
      </c>
      <c r="H3482" s="6" t="n">
        <f aca="false">Sens!H3480-Sens!H3476-Sens!H3481</f>
        <v>6.70875211160101</v>
      </c>
      <c r="I3482" s="6" t="n">
        <f aca="false">Sens!I3480-Sens!I3476-Sens!I3481</f>
        <v>6.76040993286883</v>
      </c>
      <c r="J3482" s="6" t="n">
        <f aca="false">Sens!J3480-Sens!J3476-Sens!J3481</f>
        <v>6.86523172447386</v>
      </c>
      <c r="K3482" s="6" t="n">
        <f aca="false">Sens!K3480-Sens!K3476-Sens!K3481</f>
        <v>7.02149972151092</v>
      </c>
    </row>
    <row r="3483" customFormat="false" ht="17.15" hidden="false" customHeight="false" outlineLevel="0" collapsed="false">
      <c r="A3483" s="0" t="s">
        <v>1068</v>
      </c>
      <c r="B3483" s="0" t="s">
        <v>98</v>
      </c>
      <c r="F3483" s="6" t="n">
        <f aca="false">Sens!F3477-tax_f*(Sens!F3477-Sens!F3346)-Sens!F3343</f>
        <v>-134.381056460629</v>
      </c>
      <c r="G3483" s="6" t="n">
        <f aca="false">Sens!G3477-tax_f*(Sens!G3477-Sens!G3346)-Sens!G3343</f>
        <v>3.92087379267928</v>
      </c>
      <c r="H3483" s="6" t="n">
        <f aca="false">Sens!H3477-tax_f*(Sens!H3477-Sens!H3346)-Sens!H3343</f>
        <v>37.4741911194315</v>
      </c>
      <c r="I3483" s="6" t="n">
        <f aca="false">Sens!I3477-tax_f*(Sens!I3477-Sens!I3346)-Sens!I3343</f>
        <v>7.5498204028585</v>
      </c>
      <c r="J3483" s="6" t="n">
        <f aca="false">Sens!J3477-tax_f*(Sens!J3477-Sens!J3346)-Sens!J3343</f>
        <v>-6.3877332029471</v>
      </c>
      <c r="K3483" s="6" t="n">
        <f aca="false">Sens!K3477-tax_f*(Sens!K3477-Sens!K3346)-Sens!K3343</f>
        <v>-47.8716033718106</v>
      </c>
    </row>
    <row r="3484" customFormat="false" ht="17.15" hidden="false" customHeight="false" outlineLevel="0" collapsed="false">
      <c r="A3484" s="0" t="s">
        <v>1069</v>
      </c>
      <c r="B3484" s="0" t="s">
        <v>98</v>
      </c>
      <c r="F3484" s="6" t="n">
        <f aca="false">Sens!F3483*Sens!F3457</f>
        <v>-127.956751500287</v>
      </c>
      <c r="G3484" s="6" t="n">
        <f aca="false">Sens!G3483*Sens!G3457</f>
        <v>3.38499730911386</v>
      </c>
      <c r="H3484" s="6" t="n">
        <f aca="false">Sens!H3483*Sens!H3457</f>
        <v>29.3331053265121</v>
      </c>
      <c r="I3484" s="6" t="n">
        <f aca="false">Sens!I3483*Sens!I3457</f>
        <v>5.3581233168515</v>
      </c>
      <c r="J3484" s="6" t="n">
        <f aca="false">Sens!J3483*Sens!J3457</f>
        <v>-4.11029660518367</v>
      </c>
      <c r="K3484" s="6" t="n">
        <f aca="false">Sens!K3483*Sens!K3457</f>
        <v>-27.9289544070977</v>
      </c>
    </row>
    <row r="3485" customFormat="false" ht="17.15" hidden="false" customHeight="false" outlineLevel="0" collapsed="false">
      <c r="A3485" s="0" t="s">
        <v>1070</v>
      </c>
      <c r="B3485" s="0" t="s">
        <v>98</v>
      </c>
      <c r="C3485" s="6" t="n">
        <f aca="false">(Sens!K3477-Sens!K3346)*(1-tax_f)*(1+g_tv)*(1-g_tv/(wacc+ronic_prem))/(wacc-g_tv)/(1+wacc)^(Sens!K3456+mid_yr)</f>
        <v>-96.1712196045865</v>
      </c>
    </row>
    <row r="3486" customFormat="false" ht="17.15" hidden="false" customHeight="false" outlineLevel="0" collapsed="false">
      <c r="A3486" s="1" t="s">
        <v>1071</v>
      </c>
      <c r="B3486" s="0" t="s">
        <v>98</v>
      </c>
      <c r="C3486" s="6" t="n">
        <f aca="false">(SUM(Sens!F3484:K3484)+Sens!$C$3485)*(1+wacc)^t_roll</f>
        <v>-248.347499287649</v>
      </c>
      <c r="L3486" s="11" t="s">
        <v>1072</v>
      </c>
    </row>
    <row r="3487" customFormat="false" ht="17.15" hidden="false" customHeight="false" outlineLevel="0" collapsed="false">
      <c r="A3487" s="1" t="s">
        <v>1073</v>
      </c>
      <c r="B3487" s="0" t="s">
        <v>98</v>
      </c>
      <c r="C3487" s="6" t="n">
        <f aca="false">(w_ntm28*Sens!G3335+(1-w_ntm28)*Sens!H3335)*m_ai</f>
        <v>153.268235565806</v>
      </c>
    </row>
    <row r="3488" customFormat="false" ht="17.15" hidden="false" customHeight="false" outlineLevel="0" collapsed="false">
      <c r="A3488" s="1" t="s">
        <v>1074</v>
      </c>
      <c r="B3488" s="0" t="s">
        <v>98</v>
      </c>
      <c r="C3488" s="6" t="n">
        <f aca="false">(w_ntm28*Sens!G3479+(1-w_ntm28)*Sens!H3479)*m_cloud</f>
        <v>1043.15830820755</v>
      </c>
    </row>
    <row r="3489" customFormat="false" ht="17.15" hidden="false" customHeight="false" outlineLevel="0" collapsed="false">
      <c r="A3489" s="1" t="s">
        <v>1075</v>
      </c>
      <c r="B3489" s="0" t="s">
        <v>98</v>
      </c>
      <c r="C3489" s="6" t="n">
        <f aca="false">(w_ntm28*Sens!G3472+(1-w_ntm28)*Sens!H3472)*m_sw</f>
        <v>1044.04824539957</v>
      </c>
    </row>
    <row r="3490" customFormat="false" ht="17.15" hidden="false" customHeight="false" outlineLevel="0" collapsed="false">
      <c r="A3490" s="1" t="s">
        <v>1076</v>
      </c>
      <c r="B3490" s="0" t="s">
        <v>98</v>
      </c>
      <c r="C3490" s="6" t="n">
        <f aca="false">(w_ntm28*Sens!G3473+(1-w_ntm28)*Sens!H3473)*m_sw</f>
        <v>379.755670745447</v>
      </c>
    </row>
    <row r="3491" customFormat="false" ht="17.15" hidden="false" customHeight="false" outlineLevel="0" collapsed="false">
      <c r="A3491" s="1" t="s">
        <v>1077</v>
      </c>
      <c r="B3491" s="0" t="s">
        <v>98</v>
      </c>
      <c r="C3491" s="6" t="n">
        <f aca="false">(w_ntm28*Sens!G3474+(1-w_ntm28)*Sens!H3474)*m_sw</f>
        <v>109.434903376969</v>
      </c>
    </row>
    <row r="3492" customFormat="false" ht="17.15" hidden="false" customHeight="false" outlineLevel="0" collapsed="false">
      <c r="A3492" s="1" t="s">
        <v>1078</v>
      </c>
      <c r="B3492" s="0" t="s">
        <v>98</v>
      </c>
      <c r="C3492" s="6" t="n">
        <f aca="false">(w_ntm28*Sens!G3475+(1-w_ntm28)*Sens!H3475)*m_sw</f>
        <v>41.7511882786773</v>
      </c>
    </row>
    <row r="3493" customFormat="false" ht="17.15" hidden="false" customHeight="false" outlineLevel="0" collapsed="false">
      <c r="A3493" s="1" t="s">
        <v>1079</v>
      </c>
      <c r="B3493" s="0" t="s">
        <v>98</v>
      </c>
      <c r="C3493" s="6" t="n">
        <f aca="false">(w_ntm28*Sens!G3476+(1-w_ntm28)*Sens!H3476)*m_ads</f>
        <v>115.359643719254</v>
      </c>
    </row>
    <row r="3494" customFormat="false" ht="17.15" hidden="false" customHeight="false" outlineLevel="0" collapsed="false">
      <c r="A3494" s="1" t="s">
        <v>1080</v>
      </c>
      <c r="B3494" s="0" t="s">
        <v>98</v>
      </c>
      <c r="C3494" s="6" t="n">
        <f aca="false">(w_ntm28*Sens!G3481+(1-w_ntm28)*Sens!H3481)*m_game</f>
        <v>97.9523541428266</v>
      </c>
    </row>
    <row r="3495" customFormat="false" ht="17.15" hidden="false" customHeight="false" outlineLevel="0" collapsed="false">
      <c r="A3495" s="1" t="s">
        <v>1081</v>
      </c>
      <c r="B3495" s="0" t="s">
        <v>98</v>
      </c>
      <c r="C3495" s="6" t="n">
        <f aca="false">(w_ntm28*Sens!G3482+(1-w_ntm28)*Sens!H3482)*m_pc</f>
        <v>97.1125357928949</v>
      </c>
    </row>
    <row r="3496" customFormat="false" ht="17.15" hidden="false" customHeight="false" outlineLevel="0" collapsed="false">
      <c r="A3496" s="1" t="s">
        <v>1082</v>
      </c>
      <c r="B3496" s="0" t="s">
        <v>98</v>
      </c>
      <c r="C3496" s="6" t="n">
        <f aca="false">Sens!$C$3486+Sens!$C$3488+Sens!$C$3489+Sens!$C$3490+Sens!$C$3491+Sens!$C$3492+Sens!$C$3493+Sens!$C$3494+Sens!$C$3495</f>
        <v>2680.22535037554</v>
      </c>
    </row>
    <row r="3497" customFormat="false" ht="17.15" hidden="false" customHeight="false" outlineLevel="0" collapsed="false">
      <c r="A3497" s="1" t="s">
        <v>1000</v>
      </c>
      <c r="B3497" s="0" t="s">
        <v>98</v>
      </c>
      <c r="C3497" s="6" t="n">
        <f aca="false">Sens!F3447+oai_v-Sens!F3436</f>
        <v>100.215109809582</v>
      </c>
      <c r="L3497" s="1" t="s">
        <v>1083</v>
      </c>
    </row>
    <row r="3498" customFormat="false" ht="15" hidden="false" customHeight="false" outlineLevel="0" collapsed="false">
      <c r="A3498" s="1" t="s">
        <v>1001</v>
      </c>
      <c r="B3498" s="0" t="s">
        <v>75</v>
      </c>
      <c r="C3498" s="5" t="n">
        <f aca="false">(Sens!$C$3496+Sens!$C$3497)/Sens!F3449</f>
        <v>372.114622615782</v>
      </c>
    </row>
    <row r="3499" customFormat="false" ht="17.15" hidden="false" customHeight="false" outlineLevel="0" collapsed="false">
      <c r="A3499" s="1" t="s">
        <v>1084</v>
      </c>
      <c r="B3499" s="0" t="s">
        <v>75</v>
      </c>
      <c r="C3499" s="5" t="n">
        <f aca="false">w_dcf*Sens!$C$3470+(1-w_dcf)*Sens!$C$3498</f>
        <v>327.085998493767</v>
      </c>
    </row>
    <row r="3500" customFormat="false" ht="17.15" hidden="false" customHeight="false" outlineLevel="0" collapsed="false">
      <c r="A3500" s="3" t="s">
        <v>1324</v>
      </c>
    </row>
    <row r="3501" customFormat="false" ht="15" hidden="false" customHeight="false" outlineLevel="0" collapsed="false">
      <c r="A3501" s="4" t="s">
        <v>43</v>
      </c>
      <c r="B3501" s="4" t="s">
        <v>65</v>
      </c>
      <c r="C3501" s="20" t="s">
        <v>788</v>
      </c>
      <c r="D3501" s="20" t="s">
        <v>789</v>
      </c>
      <c r="E3501" s="20" t="s">
        <v>790</v>
      </c>
      <c r="F3501" s="20" t="s">
        <v>791</v>
      </c>
      <c r="G3501" s="20" t="s">
        <v>792</v>
      </c>
      <c r="H3501" s="20" t="s">
        <v>793</v>
      </c>
      <c r="I3501" s="20" t="s">
        <v>794</v>
      </c>
      <c r="J3501" s="20" t="s">
        <v>795</v>
      </c>
      <c r="K3501" s="20" t="s">
        <v>796</v>
      </c>
      <c r="L3501" s="4" t="s">
        <v>47</v>
      </c>
    </row>
    <row r="3502" customFormat="false" ht="17.15" hidden="false" customHeight="false" outlineLevel="0" collapsed="false">
      <c r="A3502" s="1" t="s">
        <v>797</v>
      </c>
      <c r="B3502" s="1" t="s">
        <v>235</v>
      </c>
      <c r="C3502" s="28" t="n">
        <v>2024</v>
      </c>
      <c r="D3502" s="28" t="n">
        <v>2025</v>
      </c>
      <c r="E3502" s="28" t="n">
        <v>2026</v>
      </c>
      <c r="F3502" s="28" t="n">
        <v>2027</v>
      </c>
      <c r="G3502" s="28" t="n">
        <v>2028</v>
      </c>
      <c r="H3502" s="28" t="n">
        <v>2029</v>
      </c>
      <c r="I3502" s="28" t="n">
        <v>2030</v>
      </c>
      <c r="J3502" s="28" t="n">
        <v>2031</v>
      </c>
      <c r="K3502" s="28" t="n">
        <v>2032</v>
      </c>
    </row>
    <row r="3503" customFormat="false" ht="17.15" hidden="false" customHeight="false" outlineLevel="0" collapsed="false">
      <c r="A3503" s="1" t="s">
        <v>798</v>
      </c>
      <c r="B3503" s="0" t="s">
        <v>392</v>
      </c>
      <c r="F3503" s="29" t="n">
        <f aca="false">pace*1.2</f>
        <v>3032.64</v>
      </c>
      <c r="G3503" s="29" t="n">
        <f aca="false">pace*1.2</f>
        <v>3032.64</v>
      </c>
      <c r="H3503" s="29" t="n">
        <f aca="false">pace*1.2</f>
        <v>3032.64</v>
      </c>
      <c r="I3503" s="29" t="n">
        <f aca="false">pace*1.2+(g_tv*Sens!H3504-pace*1.2)*MIN(1,(Sens!I3502-pace_y0)/(pace_y1-pace_y0))</f>
        <v>2145.2392</v>
      </c>
      <c r="J3503" s="29" t="n">
        <f aca="false">pace*1.2+(g_tv*Sens!H3504-pace*1.2)*MIN(1,(Sens!J3502-pace_y0)/(pace_y1-pace_y0))</f>
        <v>1257.8384</v>
      </c>
      <c r="K3503" s="29" t="n">
        <f aca="false">pace*1.2+(g_tv*Sens!H3504-pace*1.2)*MIN(1,(Sens!K3502-pace_y0)/(pace_y1-pace_y0))</f>
        <v>370.4376</v>
      </c>
      <c r="L3503" s="11" t="s">
        <v>799</v>
      </c>
    </row>
    <row r="3504" customFormat="false" ht="17.15" hidden="false" customHeight="false" outlineLevel="0" collapsed="false">
      <c r="A3504" s="1" t="s">
        <v>800</v>
      </c>
      <c r="B3504" s="0" t="s">
        <v>392</v>
      </c>
      <c r="C3504" s="29" t="n">
        <f aca="false">mw_ext_24</f>
        <v>640</v>
      </c>
      <c r="D3504" s="29" t="n">
        <f aca="false">mw_ext_25</f>
        <v>1630</v>
      </c>
      <c r="E3504" s="29" t="n">
        <f aca="false">mw_ext_26</f>
        <v>3250</v>
      </c>
      <c r="F3504" s="29" t="n">
        <f aca="false">Sens!E3504+Sens!F3503</f>
        <v>6282.64</v>
      </c>
      <c r="G3504" s="29" t="n">
        <f aca="false">Sens!F3504+Sens!G3503</f>
        <v>9315.28</v>
      </c>
      <c r="H3504" s="29" t="n">
        <f aca="false">Sens!G3504+Sens!H3503</f>
        <v>12347.92</v>
      </c>
      <c r="I3504" s="29" t="n">
        <f aca="false">Sens!H3504+Sens!I3503</f>
        <v>14493.1592</v>
      </c>
      <c r="J3504" s="29" t="n">
        <f aca="false">Sens!I3504+Sens!J3503</f>
        <v>15750.9976</v>
      </c>
      <c r="K3504" s="29" t="n">
        <f aca="false">Sens!J3504+Sens!K3503</f>
        <v>16121.4352</v>
      </c>
      <c r="L3504" s="1" t="s">
        <v>801</v>
      </c>
    </row>
    <row r="3505" customFormat="false" ht="17.15" hidden="false" customHeight="false" outlineLevel="0" collapsed="false">
      <c r="A3505" s="1" t="s">
        <v>802</v>
      </c>
      <c r="B3505" s="0" t="s">
        <v>392</v>
      </c>
      <c r="C3505" s="29" t="n">
        <f aca="false">rent_ext_24</f>
        <v>150</v>
      </c>
      <c r="D3505" s="29" t="n">
        <f aca="false">rent_ext_25</f>
        <v>400</v>
      </c>
      <c r="E3505" s="29" t="n">
        <f aca="false">rent_ext_26</f>
        <v>550</v>
      </c>
      <c r="F3505" s="29" t="n">
        <f aca="false">rent_ext_f</f>
        <v>756</v>
      </c>
      <c r="G3505" s="29" t="n">
        <f aca="false">rent_ext_f</f>
        <v>756</v>
      </c>
      <c r="H3505" s="29" t="n">
        <f aca="false">rent_ext_f</f>
        <v>756</v>
      </c>
      <c r="I3505" s="29" t="n">
        <f aca="false">rent_ext_f</f>
        <v>756</v>
      </c>
      <c r="J3505" s="29" t="n">
        <f aca="false">rent_ext_f</f>
        <v>756</v>
      </c>
      <c r="K3505" s="29" t="n">
        <f aca="false">rent_ext_f</f>
        <v>756</v>
      </c>
      <c r="L3505" s="1" t="s">
        <v>803</v>
      </c>
    </row>
    <row r="3506" customFormat="false" ht="17.15" hidden="false" customHeight="false" outlineLevel="0" collapsed="false">
      <c r="A3506" s="1" t="s">
        <v>804</v>
      </c>
      <c r="B3506" s="0" t="s">
        <v>392</v>
      </c>
      <c r="C3506" s="29" t="n">
        <f aca="false">Sens!C3504-Sens!C3505</f>
        <v>490</v>
      </c>
      <c r="D3506" s="29" t="n">
        <f aca="false">Sens!D3504-Sens!D3505</f>
        <v>1230</v>
      </c>
      <c r="E3506" s="29" t="n">
        <f aca="false">Sens!E3504-Sens!E3505</f>
        <v>2700</v>
      </c>
      <c r="F3506" s="29" t="n">
        <f aca="false">Sens!F3504-Sens!F3505</f>
        <v>5526.64</v>
      </c>
      <c r="G3506" s="29" t="n">
        <f aca="false">Sens!G3504-Sens!G3505</f>
        <v>8559.28</v>
      </c>
      <c r="H3506" s="29" t="n">
        <f aca="false">Sens!H3504-Sens!H3505</f>
        <v>11591.92</v>
      </c>
      <c r="I3506" s="29" t="n">
        <f aca="false">Sens!I3504-Sens!I3505</f>
        <v>13737.1592</v>
      </c>
      <c r="J3506" s="29" t="n">
        <f aca="false">Sens!J3504-Sens!J3505</f>
        <v>14994.9976</v>
      </c>
      <c r="K3506" s="29" t="n">
        <f aca="false">Sens!K3504-Sens!K3505</f>
        <v>15365.4352</v>
      </c>
    </row>
    <row r="3507" customFormat="false" ht="17.15" hidden="false" customHeight="false" outlineLevel="0" collapsed="false">
      <c r="A3507" s="1" t="s">
        <v>805</v>
      </c>
      <c r="B3507" s="0" t="s">
        <v>392</v>
      </c>
      <c r="C3507" s="29" t="n">
        <f aca="false">Sens!C3506/ext_sh</f>
        <v>816.666666666667</v>
      </c>
      <c r="D3507" s="29" t="n">
        <f aca="false">Sens!D3506/ext_sh</f>
        <v>2050</v>
      </c>
      <c r="E3507" s="29" t="n">
        <f aca="false">Sens!E3506/ext_sh</f>
        <v>4500</v>
      </c>
      <c r="F3507" s="29" t="n">
        <f aca="false">Sens!F3506/ext_sh</f>
        <v>9211.06666666667</v>
      </c>
      <c r="G3507" s="29" t="n">
        <f aca="false">Sens!G3506/ext_sh</f>
        <v>14265.4666666667</v>
      </c>
      <c r="H3507" s="29" t="n">
        <f aca="false">Sens!H3506/ext_sh</f>
        <v>19319.8666666667</v>
      </c>
      <c r="I3507" s="29" t="n">
        <f aca="false">Sens!I3506/ext_sh</f>
        <v>22895.2653333333</v>
      </c>
      <c r="J3507" s="29" t="n">
        <f aca="false">Sens!J3506/ext_sh</f>
        <v>24991.6626666667</v>
      </c>
      <c r="K3507" s="29" t="n">
        <f aca="false">Sens!K3506/ext_sh</f>
        <v>25609.0586666667</v>
      </c>
      <c r="L3507" s="1" t="s">
        <v>806</v>
      </c>
    </row>
    <row r="3508" customFormat="false" ht="17.15" hidden="false" customHeight="false" outlineLevel="0" collapsed="false">
      <c r="A3508" s="1" t="s">
        <v>807</v>
      </c>
      <c r="B3508" s="0" t="s">
        <v>392</v>
      </c>
      <c r="C3508" s="29" t="n">
        <f aca="false">Sens!C3507-Sens!C3506</f>
        <v>326.666666666667</v>
      </c>
      <c r="D3508" s="29" t="n">
        <f aca="false">Sens!D3507-Sens!D3506</f>
        <v>820</v>
      </c>
      <c r="E3508" s="29" t="n">
        <f aca="false">Sens!E3507-Sens!E3506</f>
        <v>1800</v>
      </c>
      <c r="F3508" s="29" t="n">
        <f aca="false">Sens!F3507-Sens!F3506</f>
        <v>3684.42666666667</v>
      </c>
      <c r="G3508" s="29" t="n">
        <f aca="false">Sens!G3507-Sens!G3506</f>
        <v>5706.18666666667</v>
      </c>
      <c r="H3508" s="29" t="n">
        <f aca="false">Sens!H3507-Sens!H3506</f>
        <v>7727.94666666667</v>
      </c>
      <c r="I3508" s="29" t="n">
        <f aca="false">Sens!I3507-Sens!I3506</f>
        <v>9158.10613333334</v>
      </c>
      <c r="J3508" s="29" t="n">
        <f aca="false">Sens!J3507-Sens!J3506</f>
        <v>9996.66506666667</v>
      </c>
      <c r="K3508" s="29" t="n">
        <f aca="false">Sens!K3507-Sens!K3506</f>
        <v>10243.6234666667</v>
      </c>
    </row>
    <row r="3509" customFormat="false" ht="17.15" hidden="false" customHeight="false" outlineLevel="0" collapsed="false">
      <c r="A3509" s="1" t="s">
        <v>808</v>
      </c>
      <c r="B3509" s="0" t="s">
        <v>392</v>
      </c>
      <c r="C3509" s="29" t="n">
        <f aca="false">Sens!C3507</f>
        <v>816.666666666667</v>
      </c>
      <c r="D3509" s="29" t="n">
        <f aca="false">Sens!D3507-Sens!C3507</f>
        <v>1233.33333333333</v>
      </c>
      <c r="E3509" s="29" t="n">
        <f aca="false">Sens!E3507-Sens!D3507</f>
        <v>2450</v>
      </c>
      <c r="F3509" s="29" t="n">
        <f aca="false">Sens!F3507-Sens!E3507</f>
        <v>4711.06666666667</v>
      </c>
      <c r="G3509" s="29" t="n">
        <f aca="false">Sens!G3507-Sens!F3507</f>
        <v>5054.4</v>
      </c>
      <c r="H3509" s="29" t="n">
        <f aca="false">Sens!H3507-Sens!G3507</f>
        <v>5054.4</v>
      </c>
      <c r="I3509" s="29" t="n">
        <f aca="false">Sens!I3507-Sens!H3507</f>
        <v>3575.39866666667</v>
      </c>
      <c r="J3509" s="29" t="n">
        <f aca="false">Sens!J3507-Sens!I3507</f>
        <v>2096.39733333333</v>
      </c>
      <c r="K3509" s="29" t="n">
        <f aca="false">Sens!K3507-Sens!J3507</f>
        <v>617.395999999997</v>
      </c>
    </row>
    <row r="3510" customFormat="false" ht="17.15" hidden="false" customHeight="false" outlineLevel="0" collapsed="false">
      <c r="A3510" s="1" t="s">
        <v>809</v>
      </c>
      <c r="B3510" s="0" t="s">
        <v>392</v>
      </c>
      <c r="D3510" s="29" t="n">
        <f aca="false">Sens!D3504-Sens!C3504</f>
        <v>990</v>
      </c>
      <c r="E3510" s="29" t="n">
        <f aca="false">Sens!E3504-Sens!D3504</f>
        <v>1620</v>
      </c>
      <c r="F3510" s="29" t="n">
        <f aca="false">Sens!F3504-Sens!E3504</f>
        <v>3032.64</v>
      </c>
      <c r="G3510" s="29" t="n">
        <f aca="false">Sens!G3504-Sens!F3504</f>
        <v>3032.64</v>
      </c>
      <c r="H3510" s="29" t="n">
        <f aca="false">Sens!H3504-Sens!G3504</f>
        <v>3032.64</v>
      </c>
      <c r="I3510" s="29" t="n">
        <f aca="false">Sens!I3504-Sens!H3504</f>
        <v>2145.2392</v>
      </c>
      <c r="J3510" s="29" t="n">
        <f aca="false">Sens!J3504-Sens!I3504</f>
        <v>1257.8384</v>
      </c>
      <c r="K3510" s="29" t="n">
        <f aca="false">Sens!K3504-Sens!J3504</f>
        <v>370.437599999999</v>
      </c>
    </row>
    <row r="3511" customFormat="false" ht="17.15" hidden="false" customHeight="false" outlineLevel="0" collapsed="false">
      <c r="A3511" s="1" t="s">
        <v>810</v>
      </c>
      <c r="B3511" s="0" t="s">
        <v>392</v>
      </c>
      <c r="F3511" s="29" t="n">
        <f aca="false">Sens!F3528*ext_sh</f>
        <v>0</v>
      </c>
      <c r="G3511" s="29" t="n">
        <f aca="false">Sens!G3528*ext_sh</f>
        <v>0</v>
      </c>
      <c r="H3511" s="29" t="n">
        <f aca="false">Sens!H3528*ext_sh</f>
        <v>0</v>
      </c>
      <c r="I3511" s="29" t="n">
        <f aca="false">Sens!I3528*ext_sh</f>
        <v>490</v>
      </c>
      <c r="J3511" s="29" t="n">
        <f aca="false">Sens!J3528*ext_sh</f>
        <v>740</v>
      </c>
      <c r="K3511" s="29" t="n">
        <f aca="false">Sens!K3528*ext_sh</f>
        <v>1470</v>
      </c>
      <c r="L3511" s="1" t="s">
        <v>811</v>
      </c>
    </row>
    <row r="3512" customFormat="false" ht="17.15" hidden="false" customHeight="false" outlineLevel="0" collapsed="false">
      <c r="A3512" s="1" t="s">
        <v>812</v>
      </c>
      <c r="B3512" s="0" t="s">
        <v>392</v>
      </c>
      <c r="C3512" s="29" t="n">
        <f aca="false">mix_h*Sens!C3504</f>
        <v>128</v>
      </c>
      <c r="D3512" s="29" t="n">
        <f aca="false">mix_h*Sens!D3504</f>
        <v>326</v>
      </c>
      <c r="E3512" s="29" t="n">
        <f aca="false">mix_h*Sens!E3504</f>
        <v>650</v>
      </c>
      <c r="F3512" s="29" t="n">
        <f aca="false">Sens!E3512-Sens!F3511*mix_h</f>
        <v>650</v>
      </c>
      <c r="G3512" s="29" t="n">
        <f aca="false">Sens!F3512-Sens!G3511*mix_h</f>
        <v>650</v>
      </c>
      <c r="H3512" s="29" t="n">
        <f aca="false">Sens!G3512-Sens!H3511*mix_h</f>
        <v>650</v>
      </c>
      <c r="I3512" s="29" t="n">
        <f aca="false">Sens!H3512-Sens!I3511*mix_h</f>
        <v>552</v>
      </c>
      <c r="J3512" s="29" t="n">
        <f aca="false">Sens!I3512-Sens!J3511*mix_h</f>
        <v>404</v>
      </c>
      <c r="K3512" s="29" t="n">
        <f aca="false">Sens!J3512-Sens!K3511*mix_h</f>
        <v>110</v>
      </c>
    </row>
    <row r="3513" customFormat="false" ht="17.15" hidden="false" customHeight="false" outlineLevel="0" collapsed="false">
      <c r="A3513" s="1" t="s">
        <v>813</v>
      </c>
      <c r="B3513" s="0" t="s">
        <v>392</v>
      </c>
      <c r="C3513" s="29" t="n">
        <f aca="false">mix_g2*Sens!C3504</f>
        <v>288</v>
      </c>
      <c r="D3513" s="29" t="n">
        <f aca="false">mix_g2*Sens!D3504</f>
        <v>733.5</v>
      </c>
      <c r="E3513" s="29" t="n">
        <f aca="false">mix_g2*Sens!E3504</f>
        <v>1462.5</v>
      </c>
      <c r="F3513" s="29" t="n">
        <f aca="false">Sens!E3513-Sens!F3511*mix_g2</f>
        <v>1462.5</v>
      </c>
      <c r="G3513" s="29" t="n">
        <f aca="false">Sens!F3513-Sens!G3511*mix_g2</f>
        <v>1462.5</v>
      </c>
      <c r="H3513" s="29" t="n">
        <f aca="false">Sens!G3513-Sens!H3511*mix_g2</f>
        <v>1462.5</v>
      </c>
      <c r="I3513" s="29" t="n">
        <f aca="false">Sens!H3513-Sens!I3511*mix_g2</f>
        <v>1242</v>
      </c>
      <c r="J3513" s="29" t="n">
        <f aca="false">Sens!I3513-Sens!J3511*mix_g2</f>
        <v>909</v>
      </c>
      <c r="K3513" s="29" t="n">
        <f aca="false">Sens!J3513-Sens!K3511*mix_g2</f>
        <v>247.5</v>
      </c>
    </row>
    <row r="3514" customFormat="false" ht="17.15" hidden="false" customHeight="false" outlineLevel="0" collapsed="false">
      <c r="A3514" s="1" t="s">
        <v>814</v>
      </c>
      <c r="B3514" s="0" t="s">
        <v>392</v>
      </c>
      <c r="C3514" s="29" t="n">
        <f aca="false">mix_g3*Sens!C3504</f>
        <v>224</v>
      </c>
      <c r="D3514" s="29" t="n">
        <f aca="false">mix_g3*Sens!D3504</f>
        <v>570.5</v>
      </c>
      <c r="E3514" s="29" t="n">
        <f aca="false">mix_g3*Sens!E3504</f>
        <v>1137.5</v>
      </c>
      <c r="F3514" s="29" t="n">
        <f aca="false">Sens!E3514+(Sens!F3510+Sens!F3511)*a_g3_27-Sens!F3511*mix_g3</f>
        <v>3260.348</v>
      </c>
      <c r="G3514" s="29" t="n">
        <f aca="false">Sens!F3514+(Sens!G3510+Sens!G3511)*a_g3_28-Sens!G3511*mix_g3</f>
        <v>4170.14</v>
      </c>
      <c r="H3514" s="29" t="n">
        <f aca="false">Sens!G3514+(Sens!H3510+Sens!H3511)*a_g3_29-Sens!H3511*mix_g3</f>
        <v>4473.404</v>
      </c>
      <c r="I3514" s="29" t="n">
        <f aca="false">Sens!H3514+(Sens!I3510+Sens!I3511)*a_g3_29-Sens!I3511*mix_g3</f>
        <v>4565.42792</v>
      </c>
      <c r="J3514" s="29" t="n">
        <f aca="false">Sens!I3514+(Sens!J3510+Sens!J3511)*a_g3_29-Sens!J3511*mix_g3</f>
        <v>4506.21176</v>
      </c>
      <c r="K3514" s="29" t="n">
        <f aca="false">Sens!J3514+(Sens!K3510+Sens!K3511)*a_g3_29-Sens!K3511*mix_g3</f>
        <v>4175.75552</v>
      </c>
    </row>
    <row r="3515" customFormat="false" ht="17.15" hidden="false" customHeight="false" outlineLevel="0" collapsed="false">
      <c r="A3515" s="1" t="s">
        <v>815</v>
      </c>
      <c r="B3515" s="0" t="s">
        <v>392</v>
      </c>
      <c r="C3515" s="29" t="n">
        <v>0</v>
      </c>
      <c r="D3515" s="29" t="n">
        <v>0</v>
      </c>
      <c r="E3515" s="29" t="n">
        <v>0</v>
      </c>
      <c r="F3515" s="29" t="n">
        <f aca="false">Sens!E3515+(Sens!F3510+Sens!F3511)*(1-a_g3_27)</f>
        <v>909.792</v>
      </c>
      <c r="G3515" s="29" t="n">
        <f aca="false">Sens!F3515+(Sens!G3510+Sens!G3511)*(1-a_g3_28)</f>
        <v>3032.64</v>
      </c>
      <c r="H3515" s="29" t="n">
        <f aca="false">Sens!G3515+(Sens!H3510+Sens!H3511)*(1-a_g3_29)</f>
        <v>5762.016</v>
      </c>
      <c r="I3515" s="29" t="n">
        <f aca="false">Sens!H3515+(Sens!I3510+Sens!I3511)*(1-a_g3_29)</f>
        <v>8133.73128</v>
      </c>
      <c r="J3515" s="29" t="n">
        <f aca="false">Sens!I3515+(Sens!J3510+Sens!J3511)*(1-a_g3_29)</f>
        <v>9931.78584</v>
      </c>
      <c r="K3515" s="29" t="n">
        <f aca="false">Sens!J3515+(Sens!K3510+Sens!K3511)*(1-a_g3_29)</f>
        <v>11588.17968</v>
      </c>
    </row>
    <row r="3516" customFormat="false" ht="17.15" hidden="false" customHeight="false" outlineLevel="0" collapsed="false">
      <c r="A3516" s="1" t="s">
        <v>816</v>
      </c>
      <c r="B3516" s="0" t="s">
        <v>339</v>
      </c>
      <c r="C3516" s="14" t="n">
        <f aca="false">(Sens!C3512*tk_hold_h100+Sens!C3513*tk_hold_gb200+Sens!C3514*tk_hold_gb300+Sens!C3515*tk_hold_vr200)/Sens!C3504</f>
        <v>9.7235358126469</v>
      </c>
      <c r="D3516" s="14" t="n">
        <f aca="false">(Sens!D3512*tk_hold_h100+Sens!D3513*tk_hold_gb200+Sens!D3514*tk_hold_gb300+Sens!D3515*tk_hold_vr200)/Sens!D3504</f>
        <v>9.7235358126469</v>
      </c>
      <c r="E3516" s="14" t="n">
        <f aca="false">(Sens!E3512*tk_hold_h100+Sens!E3513*tk_hold_gb200+Sens!E3514*tk_hold_gb300+Sens!E3515*tk_hold_vr200)/Sens!E3504</f>
        <v>9.7235358126469</v>
      </c>
      <c r="F3516" s="14" t="n">
        <f aca="false">(Sens!F3512*tk_hold_h100+Sens!F3513*tk_hold_gb200+Sens!F3514*tk_hold_gb300+Sens!F3515*tk_hold_vr200)/Sens!F3504</f>
        <v>10.4787673542193</v>
      </c>
      <c r="G3516" s="14" t="n">
        <f aca="false">(Sens!G3512*tk_hold_h100+Sens!G3513*tk_hold_gb200+Sens!G3514*tk_hold_gb300+Sens!G3515*tk_hold_vr200)/Sens!G3504</f>
        <v>10.9166347377517</v>
      </c>
      <c r="H3516" s="14" t="n">
        <f aca="false">(Sens!H3512*tk_hold_h100+Sens!H3513*tk_hold_gb200+Sens!H3514*tk_hold_gb300+Sens!H3515*tk_hold_vr200)/Sens!H3504</f>
        <v>11.2051967403931</v>
      </c>
      <c r="I3516" s="14" t="n">
        <f aca="false">(Sens!I3512*tk_hold_h100+Sens!I3513*tk_hold_gb200+Sens!I3514*tk_hold_gb300+Sens!I3515*tk_hold_vr200)/Sens!I3504</f>
        <v>11.4164554595671</v>
      </c>
      <c r="J3516" s="14" t="n">
        <f aca="false">(Sens!J3512*tk_hold_h100+Sens!J3513*tk_hold_gb200+Sens!J3514*tk_hold_gb300+Sens!J3515*tk_hold_vr200)/Sens!J3504</f>
        <v>11.5816208908327</v>
      </c>
      <c r="K3516" s="14" t="n">
        <f aca="false">(Sens!K3512*tk_hold_h100+Sens!K3513*tk_hold_gb200+Sens!K3514*tk_hold_gb300+Sens!K3515*tk_hold_vr200)/Sens!K3504</f>
        <v>11.8092622478084</v>
      </c>
    </row>
    <row r="3517" customFormat="false" ht="17.15" hidden="false" customHeight="false" outlineLevel="0" collapsed="false">
      <c r="A3517" s="0" t="s">
        <v>817</v>
      </c>
      <c r="B3517" s="0" t="s">
        <v>185</v>
      </c>
      <c r="C3517" s="14" t="n">
        <f aca="false">k_B</f>
        <v>1.17213932619116</v>
      </c>
      <c r="D3517" s="14" t="n">
        <f aca="false">k_B</f>
        <v>1.17213932619116</v>
      </c>
      <c r="E3517" s="14" t="n">
        <f aca="false">k_B</f>
        <v>1.17213932619116</v>
      </c>
      <c r="F3517" s="14" t="n">
        <f aca="false">(k_B+((ls_A*k_long+(1-ls_A)*k_spot)-k_B)*MIN(1,(Sens!F3502-base_fy)/k_ramp))</f>
        <v>1.25022828131298</v>
      </c>
      <c r="G3517" s="14" t="n">
        <f aca="false">(k_B+((ls_A*k_long+(1-ls_A)*k_spot)-k_B)*MIN(1,(Sens!G3502-base_fy)/k_ramp))</f>
        <v>1.3283172364348</v>
      </c>
      <c r="H3517" s="14" t="n">
        <f aca="false">(k_B+((ls_A*k_long+(1-ls_A)*k_spot)-k_B)*MIN(1,(Sens!H3502-base_fy)/k_ramp))</f>
        <v>1.40640619155662</v>
      </c>
      <c r="I3517" s="14" t="n">
        <f aca="false">(k_B+((ls_A*k_long+(1-ls_A)*k_spot)-k_B)*MIN(1,(Sens!I3502-base_fy)/k_ramp))</f>
        <v>1.40640619155662</v>
      </c>
      <c r="J3517" s="14" t="n">
        <f aca="false">(k_B+((ls_A*k_long+(1-ls_A)*k_spot)-k_B)*MIN(1,(Sens!J3502-base_fy)/k_ramp))</f>
        <v>1.40640619155662</v>
      </c>
      <c r="K3517" s="14" t="n">
        <f aca="false">(k_B+((ls_A*k_long+(1-ls_A)*k_spot)-k_B)*MIN(1,(Sens!K3502-base_fy)/k_ramp))</f>
        <v>1.40640619155662</v>
      </c>
      <c r="L3517" s="1" t="s">
        <v>818</v>
      </c>
    </row>
    <row r="3518" customFormat="false" ht="17.15" hidden="false" customHeight="false" outlineLevel="0" collapsed="false">
      <c r="A3518" s="1" t="s">
        <v>819</v>
      </c>
      <c r="B3518" s="0" t="s">
        <v>339</v>
      </c>
      <c r="C3518" s="14" t="n">
        <f aca="false">Sens!C3516*Sens!C3517*chip_f</f>
        <v>11.3973387156315</v>
      </c>
      <c r="D3518" s="14" t="n">
        <f aca="false">Sens!D3516*Sens!D3517*chip_f</f>
        <v>11.3973387156315</v>
      </c>
      <c r="E3518" s="14" t="n">
        <f aca="false">Sens!E3516*Sens!E3517*chip_f</f>
        <v>11.3973387156315</v>
      </c>
      <c r="F3518" s="14" t="n">
        <f aca="false">Sens!F3516*Sens!F3517*chip_f</f>
        <v>13.1008512995441</v>
      </c>
      <c r="G3518" s="14" t="n">
        <f aca="false">Sens!G3516*Sens!G3517*chip_f</f>
        <v>14.5007540860184</v>
      </c>
      <c r="H3518" s="14" t="n">
        <f aca="false">Sens!H3516*Sens!H3517*chip_f</f>
        <v>15.7590580732989</v>
      </c>
      <c r="I3518" s="14" t="n">
        <f aca="false">Sens!I3516*Sens!I3517*chip_f</f>
        <v>16.0561736439655</v>
      </c>
      <c r="J3518" s="14" t="n">
        <f aca="false">Sens!J3516*Sens!J3517*chip_f</f>
        <v>16.2884633291286</v>
      </c>
      <c r="K3518" s="14" t="n">
        <f aca="false">Sens!K3516*Sens!K3517*chip_f</f>
        <v>16.6086195430336</v>
      </c>
      <c r="L3518" s="1" t="s">
        <v>820</v>
      </c>
    </row>
    <row r="3519" customFormat="false" ht="17.15" hidden="false" customHeight="false" outlineLevel="0" collapsed="false">
      <c r="A3519" s="0" t="s">
        <v>821</v>
      </c>
      <c r="B3519" s="0" t="s">
        <v>98</v>
      </c>
      <c r="D3519" s="6" t="n">
        <f aca="false">(Sens!C3504+Sens!D3504)/2*Sens!D3518/1000</f>
        <v>12.9359794422418</v>
      </c>
      <c r="E3519" s="6" t="n">
        <f aca="false">(Sens!D3504+Sens!E3504)/2*Sens!E3518/1000</f>
        <v>27.8095064661409</v>
      </c>
      <c r="F3519" s="6" t="n">
        <f aca="false">(Sens!E3504+Sens!F3504)/2*Sens!F3518/1000</f>
        <v>62.4428495660432</v>
      </c>
      <c r="G3519" s="6" t="n">
        <f aca="false">(Sens!F3504+Sens!G3504)/2*Sens!G3518/1000</f>
        <v>113.090801086694</v>
      </c>
      <c r="H3519" s="6" t="n">
        <f aca="false">(Sens!G3504+Sens!H3504)/2*Sens!H3518/1000</f>
        <v>170.695813426745</v>
      </c>
      <c r="I3519" s="6" t="n">
        <f aca="false">(Sens!H3504+Sens!I3504)/2*Sens!I3518/1000</f>
        <v>215.482514213315</v>
      </c>
      <c r="J3519" s="6" t="n">
        <f aca="false">(Sens!I3504+Sens!J3504)/2*Sens!J3518/1000</f>
        <v>246.315419478608</v>
      </c>
      <c r="K3519" s="6" t="n">
        <f aca="false">(Sens!J3504+Sens!K3504)/2*Sens!K3518/1000</f>
        <v>264.678555143053</v>
      </c>
      <c r="L3519" s="11" t="s">
        <v>822</v>
      </c>
    </row>
    <row r="3520" customFormat="false" ht="17.15" hidden="false" customHeight="false" outlineLevel="0" collapsed="false">
      <c r="A3520" s="1" t="s">
        <v>823</v>
      </c>
      <c r="B3520" s="0" t="s">
        <v>339</v>
      </c>
      <c r="C3520" s="14" t="n">
        <f aca="false">(Sens!C3512*tk_opex_h100+Sens!C3513*tk_opex_gb200+Sens!C3514*tk_opex_gb300+Sens!C3515*tk_opex_vr200)/Sens!C3504</f>
        <v>1.88636041306092</v>
      </c>
      <c r="D3520" s="14" t="n">
        <f aca="false">(Sens!D3512*tk_opex_h100+Sens!D3513*tk_opex_gb200+Sens!D3514*tk_opex_gb300+Sens!D3515*tk_opex_vr200)/Sens!D3504</f>
        <v>1.88636041306092</v>
      </c>
      <c r="E3520" s="14" t="n">
        <f aca="false">(Sens!E3512*tk_opex_h100+Sens!E3513*tk_opex_gb200+Sens!E3514*tk_opex_gb300+Sens!E3515*tk_opex_vr200)/Sens!E3504</f>
        <v>1.88636041306092</v>
      </c>
      <c r="F3520" s="14" t="n">
        <f aca="false">(Sens!F3512*tk_opex_h100+Sens!F3513*tk_opex_gb200+Sens!F3514*tk_opex_gb300+Sens!F3515*tk_opex_vr200)/Sens!F3504</f>
        <v>1.94888600845409</v>
      </c>
      <c r="G3520" s="14" t="n">
        <f aca="false">(Sens!G3512*tk_opex_h100+Sens!G3513*tk_opex_gb200+Sens!G3514*tk_opex_gb300+Sens!G3515*tk_opex_vr200)/Sens!G3504</f>
        <v>1.98513703526054</v>
      </c>
      <c r="H3520" s="14" t="n">
        <f aca="false">(Sens!H3512*tk_opex_h100+Sens!H3513*tk_opex_gb200+Sens!H3514*tk_opex_gb300+Sens!H3515*tk_opex_vr200)/Sens!H3504</f>
        <v>2.00902707431457</v>
      </c>
      <c r="I3520" s="14" t="n">
        <f aca="false">(Sens!I3512*tk_opex_h100+Sens!I3513*tk_opex_gb200+Sens!I3514*tk_opex_gb300+Sens!I3515*tk_opex_vr200)/Sens!I3504</f>
        <v>2.02651717698011</v>
      </c>
      <c r="J3520" s="14" t="n">
        <f aca="false">(Sens!J3512*tk_opex_h100+Sens!J3513*tk_opex_gb200+Sens!J3514*tk_opex_gb300+Sens!J3515*tk_opex_vr200)/Sens!J3504</f>
        <v>2.04019121780043</v>
      </c>
      <c r="K3520" s="14" t="n">
        <f aca="false">(Sens!K3512*tk_opex_h100+Sens!K3513*tk_opex_gb200+Sens!K3514*tk_opex_gb300+Sens!K3515*tk_opex_vr200)/Sens!K3504</f>
        <v>2.0590376385304</v>
      </c>
    </row>
    <row r="3521" customFormat="false" ht="17.15" hidden="false" customHeight="false" outlineLevel="0" collapsed="false">
      <c r="A3521" s="0" t="s">
        <v>824</v>
      </c>
      <c r="B3521" s="0" t="s">
        <v>98</v>
      </c>
      <c r="D3521" s="6" t="n">
        <f aca="false">(Sens!C3507+Sens!D3507)/2*Sens!D3520/1000</f>
        <v>2.70378325872065</v>
      </c>
      <c r="E3521" s="6" t="n">
        <f aca="false">(Sens!D3507+Sens!E3507)/2*Sens!E3520/1000</f>
        <v>6.17783035277451</v>
      </c>
      <c r="F3521" s="6" t="n">
        <f aca="false">(Sens!E3507+Sens!F3507)/2*Sens!F3520/1000</f>
        <v>13.360652993824</v>
      </c>
      <c r="G3521" s="6" t="n">
        <f aca="false">(Sens!F3507+Sens!G3507)/2*Sens!G3520/1000</f>
        <v>23.3020678897643</v>
      </c>
      <c r="H3521" s="6" t="n">
        <f aca="false">(Sens!G3507+Sens!H3507)/2*Sens!H3520/1000</f>
        <v>33.7369219832732</v>
      </c>
      <c r="I3521" s="6" t="n">
        <f aca="false">(Sens!H3507+Sens!I3507)/2*Sens!I3520/1000</f>
        <v>42.7748450632413</v>
      </c>
      <c r="J3521" s="6" t="n">
        <f aca="false">(Sens!I3507+Sens!J3507)/2*Sens!J3520/1000</f>
        <v>48.8492449765207</v>
      </c>
      <c r="K3521" s="6" t="n">
        <f aca="false">(Sens!J3507+Sens!K3507)/2*Sens!K3520/1000</f>
        <v>52.0943948810608</v>
      </c>
    </row>
    <row r="3522" customFormat="false" ht="17.15" hidden="false" customHeight="false" outlineLevel="0" collapsed="false">
      <c r="A3522" s="0" t="s">
        <v>825</v>
      </c>
      <c r="B3522" s="0" t="s">
        <v>98</v>
      </c>
      <c r="D3522" s="6" t="n">
        <f aca="false">(Sens!C3505+Sens!D3505)/2*rent_mw/1000</f>
        <v>2.44475</v>
      </c>
      <c r="E3522" s="6" t="n">
        <f aca="false">(Sens!D3505+Sens!E3505)/2*rent_mw/1000</f>
        <v>4.22275</v>
      </c>
      <c r="F3522" s="6" t="n">
        <f aca="false">(Sens!E3505+Sens!F3505)/2*rent_mw/1000</f>
        <v>5.80517</v>
      </c>
      <c r="G3522" s="6" t="n">
        <f aca="false">(Sens!F3505+Sens!G3505)/2*rent_mw/1000</f>
        <v>6.72084</v>
      </c>
      <c r="H3522" s="6" t="n">
        <f aca="false">(Sens!G3505+Sens!H3505)/2*rent_mw/1000</f>
        <v>6.72084</v>
      </c>
      <c r="I3522" s="6" t="n">
        <f aca="false">(Sens!H3505+Sens!I3505)/2*rent_mw/1000</f>
        <v>6.72084</v>
      </c>
      <c r="J3522" s="6" t="n">
        <f aca="false">(Sens!I3505+Sens!J3505)/2*rent_mw/1000</f>
        <v>6.72084</v>
      </c>
      <c r="K3522" s="6" t="n">
        <f aca="false">(Sens!J3505+Sens!K3505)/2*rent_mw/1000</f>
        <v>6.72084</v>
      </c>
    </row>
    <row r="3523" customFormat="false" ht="17.15" hidden="false" customHeight="false" outlineLevel="0" collapsed="false">
      <c r="A3523" s="0" t="s">
        <v>826</v>
      </c>
      <c r="B3523" s="0" t="s">
        <v>98</v>
      </c>
      <c r="D3523" s="6" t="n">
        <f aca="false">(Sens!C3507+Sens!D3507)/2*(1-self_build)*fac_rent/1000</f>
        <v>0.853242375631075</v>
      </c>
      <c r="E3523" s="6" t="n">
        <f aca="false">(Sens!D3507+Sens!E3507)/2*(1-self_build)*fac_rent/1000</f>
        <v>1.94955961408728</v>
      </c>
      <c r="F3523" s="6" t="n">
        <f aca="false">(Sens!E3507+Sens!F3507)/2*(1-self_build)*fac_rent/1000</f>
        <v>4.0809987541056</v>
      </c>
      <c r="G3523" s="6" t="n">
        <f aca="false">(Sens!F3507+Sens!G3507)/2*(1-self_build)*fac_rent/1000</f>
        <v>6.98761851380772</v>
      </c>
      <c r="H3523" s="6" t="n">
        <f aca="false">(Sens!G3507+Sens!H3507)/2*(1-self_build)*fac_rent/1000</f>
        <v>9.99642893012612</v>
      </c>
      <c r="I3523" s="6" t="n">
        <f aca="false">(Sens!H3507+Sens!I3507)/2*(1-self_build)*fac_rent/1000</f>
        <v>12.5650254122998</v>
      </c>
      <c r="J3523" s="6" t="n">
        <f aca="false">(Sens!I3507+Sens!J3507)/2*(1-self_build)*fac_rent/1000</f>
        <v>14.253194026184</v>
      </c>
      <c r="K3523" s="6" t="n">
        <f aca="false">(Sens!J3507+Sens!K3507)/2*(1-self_build)*fac_rent/1000</f>
        <v>15.0609347717789</v>
      </c>
      <c r="L3523" s="11" t="s">
        <v>827</v>
      </c>
    </row>
    <row r="3524" customFormat="false" ht="17.15" hidden="false" customHeight="false" outlineLevel="0" collapsed="false">
      <c r="A3524" s="1" t="s">
        <v>828</v>
      </c>
      <c r="B3524" s="0" t="s">
        <v>129</v>
      </c>
      <c r="D3524" s="7" t="n">
        <f aca="false">(Sens!C3506+Sens!D3506)/(Sens!C3507+Sens!D3507)</f>
        <v>0.6</v>
      </c>
      <c r="E3524" s="7" t="n">
        <f aca="false">(Sens!D3506+Sens!E3506)/(Sens!D3507+Sens!E3507)</f>
        <v>0.6</v>
      </c>
      <c r="F3524" s="7" t="n">
        <f aca="false">(Sens!E3506+Sens!F3506)/(Sens!E3507+Sens!F3507)</f>
        <v>0.6</v>
      </c>
      <c r="G3524" s="7" t="n">
        <f aca="false">(Sens!F3506+Sens!G3506)/(Sens!F3507+Sens!G3507)</f>
        <v>0.6</v>
      </c>
      <c r="H3524" s="7" t="n">
        <f aca="false">(Sens!G3506+Sens!H3506)/(Sens!G3507+Sens!H3507)</f>
        <v>0.6</v>
      </c>
      <c r="I3524" s="7" t="n">
        <f aca="false">(Sens!H3506+Sens!I3506)/(Sens!H3507+Sens!I3507)</f>
        <v>0.6</v>
      </c>
      <c r="J3524" s="7" t="n">
        <f aca="false">(Sens!I3506+Sens!J3506)/(Sens!I3507+Sens!J3507)</f>
        <v>0.6</v>
      </c>
      <c r="K3524" s="7" t="n">
        <f aca="false">(Sens!J3506+Sens!K3506)/(Sens!J3507+Sens!K3507)</f>
        <v>0.6</v>
      </c>
    </row>
    <row r="3525" customFormat="false" ht="17.15" hidden="false" customHeight="false" outlineLevel="0" collapsed="false">
      <c r="A3525" s="0" t="s">
        <v>829</v>
      </c>
      <c r="B3525" s="0" t="s">
        <v>98</v>
      </c>
      <c r="D3525" s="6" t="n">
        <f aca="false">Sens!D3519-Sens!D3524*(Sens!D3521+Sens!D3523)-Sens!D3522</f>
        <v>8.35701406163072</v>
      </c>
      <c r="E3525" s="6" t="n">
        <f aca="false">Sens!E3519-Sens!E3524*(Sens!E3521+Sens!E3523)-Sens!E3522</f>
        <v>18.7103224860238</v>
      </c>
      <c r="F3525" s="6" t="n">
        <f aca="false">Sens!F3519-Sens!F3524*(Sens!F3521+Sens!F3523)-Sens!F3522</f>
        <v>46.1726885172854</v>
      </c>
      <c r="G3525" s="6" t="n">
        <f aca="false">Sens!G3519-Sens!G3524*(Sens!G3521+Sens!G3523)-Sens!G3522</f>
        <v>88.1961492445511</v>
      </c>
      <c r="H3525" s="6" t="n">
        <f aca="false">Sens!H3519-Sens!H3524*(Sens!H3521+Sens!H3523)-Sens!H3522</f>
        <v>137.734962878705</v>
      </c>
      <c r="I3525" s="6" t="n">
        <f aca="false">Sens!I3519-Sens!I3524*(Sens!I3521+Sens!I3523)-Sens!I3522</f>
        <v>175.55775192799</v>
      </c>
      <c r="J3525" s="6" t="n">
        <f aca="false">Sens!J3519-Sens!J3524*(Sens!J3521+Sens!J3523)-Sens!J3522</f>
        <v>201.733116076985</v>
      </c>
      <c r="K3525" s="6" t="n">
        <f aca="false">Sens!K3519-Sens!K3524*(Sens!K3521+Sens!K3523)-Sens!K3522</f>
        <v>217.664517351349</v>
      </c>
    </row>
    <row r="3526" customFormat="false" ht="17.15" hidden="false" customHeight="false" outlineLevel="0" collapsed="false">
      <c r="A3526" s="1" t="s">
        <v>830</v>
      </c>
      <c r="B3526" s="0" t="s">
        <v>98</v>
      </c>
      <c r="D3526" s="6" t="n">
        <f aca="false">(1-Sens!D3524)*(Sens!D3521+Sens!D3523)</f>
        <v>1.42281025374069</v>
      </c>
      <c r="E3526" s="6" t="n">
        <f aca="false">(1-Sens!E3524)*(Sens!E3521+Sens!E3523)</f>
        <v>3.25095598674472</v>
      </c>
      <c r="F3526" s="6" t="n">
        <f aca="false">(1-Sens!F3524)*(Sens!F3521+Sens!F3523)</f>
        <v>6.97666069917183</v>
      </c>
      <c r="G3526" s="6" t="n">
        <f aca="false">(1-Sens!G3524)*(Sens!G3521+Sens!G3523)</f>
        <v>12.1158745614288</v>
      </c>
      <c r="H3526" s="6" t="n">
        <f aca="false">(1-Sens!H3524)*(Sens!H3521+Sens!H3523)</f>
        <v>17.4933403653597</v>
      </c>
      <c r="I3526" s="6" t="n">
        <f aca="false">(1-Sens!I3524)*(Sens!I3521+Sens!I3523)</f>
        <v>22.1359481902164</v>
      </c>
      <c r="J3526" s="6" t="n">
        <f aca="false">(1-Sens!J3524)*(Sens!J3521+Sens!J3523)</f>
        <v>25.2409756010819</v>
      </c>
      <c r="K3526" s="6" t="n">
        <f aca="false">(1-Sens!K3524)*(Sens!K3521+Sens!K3523)</f>
        <v>26.8621318611359</v>
      </c>
    </row>
    <row r="3527" customFormat="false" ht="17.15" hidden="false" customHeight="false" outlineLevel="0" collapsed="false">
      <c r="A3527" s="1" t="s">
        <v>831</v>
      </c>
      <c r="B3527" s="0" t="s">
        <v>350</v>
      </c>
      <c r="C3527" s="8" t="n">
        <f aca="false">cxit_open</f>
        <v>27.5918995</v>
      </c>
      <c r="D3527" s="8" t="n">
        <f aca="false">cxit_open</f>
        <v>27.5918995</v>
      </c>
      <c r="E3527" s="8" t="n">
        <f aca="false">cxit_open</f>
        <v>27.5918995</v>
      </c>
      <c r="F3527" s="8" t="n">
        <f aca="false">(a_g3_27*tk_cxit_gb300+(1-a_g3_27)*tk_cxit_vr200)</f>
        <v>33.8419624</v>
      </c>
      <c r="G3527" s="8" t="n">
        <f aca="false">(a_g3_28*tk_cxit_gb300+(1-a_g3_28)*tk_cxit_vr200)</f>
        <v>35.9816136</v>
      </c>
      <c r="H3527" s="8" t="n">
        <f aca="false">(a_g3_29*tk_cxit_gb300+(1-a_g3_29)*tk_cxit_vr200)</f>
        <v>37.0514392</v>
      </c>
      <c r="I3527" s="8" t="n">
        <f aca="false">(a_g3_29*tk_cxit_gb300+(1-a_g3_29)*tk_cxit_vr200)</f>
        <v>37.0514392</v>
      </c>
      <c r="J3527" s="8" t="n">
        <f aca="false">(a_g3_29*tk_cxit_gb300+(1-a_g3_29)*tk_cxit_vr200)</f>
        <v>37.0514392</v>
      </c>
      <c r="K3527" s="8" t="n">
        <f aca="false">(a_g3_29*tk_cxit_gb300+(1-a_g3_29)*tk_cxit_vr200)</f>
        <v>37.0514392</v>
      </c>
      <c r="L3527" s="11" t="s">
        <v>832</v>
      </c>
    </row>
    <row r="3528" customFormat="false" ht="17.15" hidden="false" customHeight="false" outlineLevel="0" collapsed="false">
      <c r="A3528" s="0" t="s">
        <v>833</v>
      </c>
      <c r="B3528" s="0" t="s">
        <v>392</v>
      </c>
      <c r="F3528" s="29" t="n">
        <f aca="false">Sens!C3509*IF(Sens!F3502-Sens!C3502=life_it,1,0)+Sens!D3509*IF(Sens!F3502-Sens!D3502=life_it,1,0)+Sens!E3509*IF(Sens!F3502-Sens!E3502=life_it,1,0)</f>
        <v>0</v>
      </c>
      <c r="G3528" s="29" t="n">
        <f aca="false">Sens!C3509*IF(Sens!G3502-Sens!C3502=life_it,1,0)+Sens!D3509*IF(Sens!G3502-Sens!D3502=life_it,1,0)+Sens!E3509*IF(Sens!G3502-Sens!E3502=life_it,1,0)+Sens!F3509*IF(Sens!G3502-Sens!F3502=life_it,1,0)</f>
        <v>0</v>
      </c>
      <c r="H3528" s="29" t="n">
        <f aca="false">Sens!C3509*IF(Sens!H3502-Sens!C3502=life_it,1,0)+Sens!D3509*IF(Sens!H3502-Sens!D3502=life_it,1,0)+Sens!E3509*IF(Sens!H3502-Sens!E3502=life_it,1,0)+Sens!F3509*IF(Sens!H3502-Sens!F3502=life_it,1,0)+Sens!G3509*IF(Sens!H3502-Sens!G3502=life_it,1,0)</f>
        <v>0</v>
      </c>
      <c r="I3528" s="29" t="n">
        <f aca="false">Sens!C3509*IF(Sens!I3502-Sens!C3502=life_it,1,0)+Sens!D3509*IF(Sens!I3502-Sens!D3502=life_it,1,0)+Sens!E3509*IF(Sens!I3502-Sens!E3502=life_it,1,0)+Sens!F3509*IF(Sens!I3502-Sens!F3502=life_it,1,0)+Sens!G3509*IF(Sens!I3502-Sens!G3502=life_it,1,0)+Sens!H3509*IF(Sens!I3502-Sens!H3502=life_it,1,0)</f>
        <v>816.666666666667</v>
      </c>
      <c r="J3528" s="29" t="n">
        <f aca="false">Sens!C3509*IF(Sens!J3502-Sens!C3502=life_it,1,0)+Sens!D3509*IF(Sens!J3502-Sens!D3502=life_it,1,0)+Sens!E3509*IF(Sens!J3502-Sens!E3502=life_it,1,0)+Sens!F3509*IF(Sens!J3502-Sens!F3502=life_it,1,0)+Sens!G3509*IF(Sens!J3502-Sens!G3502=life_it,1,0)+Sens!H3509*IF(Sens!J3502-Sens!H3502=life_it,1,0)+Sens!I3509*IF(Sens!J3502-Sens!I3502=life_it,1,0)</f>
        <v>1233.33333333333</v>
      </c>
      <c r="K3528" s="29" t="n">
        <f aca="false">Sens!C3509*IF(Sens!K3502-Sens!C3502=life_it,1,0)+Sens!D3509*IF(Sens!K3502-Sens!D3502=life_it,1,0)+Sens!E3509*IF(Sens!K3502-Sens!E3502=life_it,1,0)+Sens!F3509*IF(Sens!K3502-Sens!F3502=life_it,1,0)+Sens!G3509*IF(Sens!K3502-Sens!G3502=life_it,1,0)+Sens!H3509*IF(Sens!K3502-Sens!H3502=life_it,1,0)+Sens!I3509*IF(Sens!K3502-Sens!I3502=life_it,1,0)+Sens!J3509*IF(Sens!K3502-Sens!J3502=life_it,1,0)</f>
        <v>2450</v>
      </c>
      <c r="L3528" s="1" t="s">
        <v>834</v>
      </c>
    </row>
    <row r="3529" customFormat="false" ht="17.15" hidden="false" customHeight="false" outlineLevel="0" collapsed="false">
      <c r="A3529" s="0" t="s">
        <v>835</v>
      </c>
      <c r="B3529" s="0" t="s">
        <v>98</v>
      </c>
      <c r="C3529" s="6" t="n">
        <f aca="false">Sens!C3509*Sens!C3527/1000</f>
        <v>22.5333845916667</v>
      </c>
      <c r="D3529" s="6" t="n">
        <f aca="false">Sens!D3509*Sens!D3527/1000</f>
        <v>34.0300093833333</v>
      </c>
      <c r="E3529" s="6" t="n">
        <f aca="false">Sens!E3509*Sens!E3527/1000</f>
        <v>67.600153775</v>
      </c>
      <c r="F3529" s="6" t="n">
        <f aca="false">(Sens!F3509+Sens!F3528)*Sens!F3527/1000</f>
        <v>159.431740997227</v>
      </c>
      <c r="G3529" s="6" t="n">
        <f aca="false">(Sens!G3509+Sens!G3528)*Sens!G3527/1000</f>
        <v>181.86546777984</v>
      </c>
      <c r="H3529" s="6" t="n">
        <f aca="false">(Sens!H3509+Sens!H3528)*Sens!H3527/1000</f>
        <v>187.27279429248</v>
      </c>
      <c r="I3529" s="6" t="n">
        <f aca="false">(Sens!I3509+Sens!I3528)*Sens!I3527/1000</f>
        <v>162.732341660428</v>
      </c>
      <c r="J3529" s="6" t="n">
        <f aca="false">(Sens!J3509+Sens!J3528)*Sens!J3527/1000</f>
        <v>123.371313348375</v>
      </c>
      <c r="K3529" s="6" t="n">
        <f aca="false">(Sens!K3509+Sens!K3528)*Sens!K3527/1000</f>
        <v>113.651436396323</v>
      </c>
    </row>
    <row r="3530" customFormat="false" ht="17.15" hidden="false" customHeight="false" outlineLevel="0" collapsed="false">
      <c r="A3530" s="0" t="s">
        <v>836</v>
      </c>
      <c r="B3530" s="0" t="s">
        <v>98</v>
      </c>
      <c r="C3530" s="6" t="n">
        <f aca="false">Sens!C3509*self_build*tk_cxfac/1000</f>
        <v>6.2083</v>
      </c>
      <c r="D3530" s="6" t="n">
        <f aca="false">Sens!D3509*self_build*tk_cxfac/1000</f>
        <v>9.3758</v>
      </c>
      <c r="E3530" s="6" t="n">
        <f aca="false">Sens!E3509*self_build*tk_cxfac/1000</f>
        <v>18.6249</v>
      </c>
      <c r="F3530" s="6" t="n">
        <f aca="false">Sens!F3509*self_build*tk_cxfac/1000</f>
        <v>35.8135288</v>
      </c>
      <c r="G3530" s="6" t="n">
        <f aca="false">Sens!G3509*self_build*tk_cxfac/1000</f>
        <v>38.4235488</v>
      </c>
      <c r="H3530" s="6" t="n">
        <f aca="false">Sens!H3509*self_build*tk_cxfac/1000</f>
        <v>38.4235488</v>
      </c>
      <c r="I3530" s="6" t="n">
        <f aca="false">Sens!I3509*self_build*tk_cxfac/1000</f>
        <v>27.180180664</v>
      </c>
      <c r="J3530" s="6" t="n">
        <f aca="false">Sens!J3509*self_build*tk_cxfac/1000</f>
        <v>15.936812528</v>
      </c>
      <c r="K3530" s="6" t="n">
        <f aca="false">Sens!K3509*self_build*tk_cxfac/1000</f>
        <v>4.69344439199998</v>
      </c>
    </row>
    <row r="3531" customFormat="false" ht="17.15" hidden="false" customHeight="false" outlineLevel="0" collapsed="false">
      <c r="A3531" s="0" t="s">
        <v>837</v>
      </c>
      <c r="B3531" s="0" t="s">
        <v>98</v>
      </c>
      <c r="F3531" s="6" t="n">
        <f aca="false">MAX(0,capex_floor27-Sens!F3529-Sens!F3530-Sens!F3624)</f>
        <v>0</v>
      </c>
      <c r="L3531" s="1" t="s">
        <v>838</v>
      </c>
    </row>
    <row r="3532" customFormat="false" ht="17.15" hidden="false" customHeight="false" outlineLevel="0" collapsed="false">
      <c r="A3532" s="0" t="s">
        <v>839</v>
      </c>
      <c r="B3532" s="0" t="s">
        <v>98</v>
      </c>
      <c r="C3532" s="6" t="n">
        <f aca="false">Sens!C3529</f>
        <v>22.5333845916667</v>
      </c>
      <c r="D3532" s="6" t="n">
        <f aca="false">Sens!D3529</f>
        <v>34.0300093833333</v>
      </c>
      <c r="E3532" s="6" t="n">
        <f aca="false">Sens!E3529</f>
        <v>67.600153775</v>
      </c>
      <c r="F3532" s="6" t="n">
        <f aca="false">Sens!F3529+Sens!F3531</f>
        <v>159.431740997227</v>
      </c>
      <c r="G3532" s="6" t="n">
        <f aca="false">Sens!G3529</f>
        <v>181.86546777984</v>
      </c>
      <c r="H3532" s="6" t="n">
        <f aca="false">Sens!H3529</f>
        <v>187.27279429248</v>
      </c>
      <c r="I3532" s="6" t="n">
        <f aca="false">Sens!I3529</f>
        <v>162.732341660428</v>
      </c>
      <c r="J3532" s="6" t="n">
        <f aca="false">Sens!J3529</f>
        <v>123.371313348375</v>
      </c>
      <c r="K3532" s="6" t="n">
        <f aca="false">Sens!K3529</f>
        <v>113.651436396323</v>
      </c>
    </row>
    <row r="3533" customFormat="false" ht="17.15" hidden="false" customHeight="false" outlineLevel="0" collapsed="false">
      <c r="A3533" s="0" t="s">
        <v>840</v>
      </c>
      <c r="B3533" s="0" t="s">
        <v>98</v>
      </c>
      <c r="C3533" s="6" t="n">
        <f aca="false">Sens!C3532+Sens!C3530</f>
        <v>28.7416845916667</v>
      </c>
      <c r="D3533" s="6" t="n">
        <f aca="false">Sens!D3532+Sens!D3530</f>
        <v>43.4058093833333</v>
      </c>
      <c r="E3533" s="6" t="n">
        <f aca="false">Sens!E3532+Sens!E3530</f>
        <v>86.225053775</v>
      </c>
      <c r="F3533" s="6" t="n">
        <f aca="false">Sens!F3532+Sens!F3530</f>
        <v>195.245269797227</v>
      </c>
      <c r="G3533" s="6" t="n">
        <f aca="false">Sens!G3532+Sens!G3530</f>
        <v>220.28901657984</v>
      </c>
      <c r="H3533" s="6" t="n">
        <f aca="false">Sens!H3532+Sens!H3530</f>
        <v>225.69634309248</v>
      </c>
      <c r="I3533" s="6" t="n">
        <f aca="false">Sens!I3532+Sens!I3530</f>
        <v>189.912522324428</v>
      </c>
      <c r="J3533" s="6" t="n">
        <f aca="false">Sens!J3532+Sens!J3530</f>
        <v>139.308125876376</v>
      </c>
      <c r="K3533" s="6" t="n">
        <f aca="false">Sens!K3532+Sens!K3530</f>
        <v>118.344880788323</v>
      </c>
      <c r="L3533" s="11" t="s">
        <v>841</v>
      </c>
    </row>
    <row r="3534" customFormat="false" ht="17.15" hidden="false" customHeight="false" outlineLevel="0" collapsed="false">
      <c r="A3534" s="0" t="s">
        <v>842</v>
      </c>
      <c r="B3534" s="0" t="s">
        <v>98</v>
      </c>
      <c r="E3534" s="6" t="n">
        <f aca="false">(Sens!C3532*IF(2&lt;life_it,1,IF(2=life_it,0.5,0))+Sens!D3532*IF(1&lt;life_it,1,IF(1=life_it,0.5,0))+Sens!E3532*0.5)/life_it</f>
        <v>15.0605784770833</v>
      </c>
      <c r="F3534" s="6" t="n">
        <f aca="false">(Sens!C3532*IF(3&lt;life_it,1,IF(3=life_it,0.5,0))+Sens!D3532*IF(2&lt;life_it,1,IF(2=life_it,0.5,0))+Sens!E3532*IF(1&lt;life_it,1,IF(1=life_it,0.5,0))+Sens!F3532*0.5)/life_it</f>
        <v>33.9799030414356</v>
      </c>
      <c r="G3534" s="6" t="n">
        <f aca="false">(Sens!C3532*IF(4&lt;life_it,1,IF(4=life_it,0.5,0))+Sens!D3532*IF(3&lt;life_it,1,IF(3=life_it,0.5,0))+Sens!E3532*IF(2&lt;life_it,1,IF(2=life_it,0.5,0))+Sens!F3532*IF(1&lt;life_it,1,IF(1=life_it,0.5,0))+Sens!G3532*0.5)/life_it</f>
        <v>62.4213371061911</v>
      </c>
      <c r="H3534" s="6" t="n">
        <f aca="false">(Sens!C3532*IF(5&lt;life_it,1,IF(5=life_it,0.5,0))+Sens!D3532*IF(4&lt;life_it,1,IF(4=life_it,0.5,0))+Sens!E3532*IF(3&lt;life_it,1,IF(3=life_it,0.5,0))+Sens!F3532*IF(2&lt;life_it,1,IF(2=life_it,0.5,0))+Sens!G3532*IF(1&lt;life_it,1,IF(1=life_it,0.5,0))+Sens!H3532*0.5)/life_it</f>
        <v>93.1828589455511</v>
      </c>
      <c r="I3534" s="6" t="n">
        <f aca="false">(Sens!C3532*IF(6&lt;life_it,1,IF(6=life_it,0.5,0))+Sens!D3532*IF(5&lt;life_it,1,IF(5=life_it,0.5,0))+Sens!E3532*IF(4&lt;life_it,1,IF(4=life_it,0.5,0))+Sens!F3532*IF(3&lt;life_it,1,IF(3=life_it,0.5,0))+Sens!G3532*IF(2&lt;life_it,1,IF(2=life_it,0.5,0))+Sens!H3532*IF(1&lt;life_it,1,IF(1=life_it,0.5,0))+Sens!I3532*0.5)/life_it</f>
        <v>120.472171558988</v>
      </c>
      <c r="J3534" s="6" t="n">
        <f aca="false">(Sens!C3532*IF(7&lt;life_it,1,IF(7=life_it,0.5,0))+Sens!D3532*IF(6&lt;life_it,1,IF(6=life_it,0.5,0))+Sens!E3532*IF(5&lt;life_it,1,IF(5=life_it,0.5,0))+Sens!F3532*IF(4&lt;life_it,1,IF(4=life_it,0.5,0))+Sens!G3532*IF(3&lt;life_it,1,IF(3=life_it,0.5,0))+Sens!H3532*IF(2&lt;life_it,1,IF(2=life_it,0.5,0))+Sens!I3532*IF(1&lt;life_it,1,IF(1=life_it,0.5,0))+Sens!J3532*0.5)/life_it</f>
        <v>139.600526645138</v>
      </c>
      <c r="K3534" s="6" t="n">
        <f aca="false">(Sens!C3532*IF(8&lt;life_it,1,IF(8=life_it,0.5,0))+Sens!D3532*IF(7&lt;life_it,1,IF(7=life_it,0.5,0))+Sens!E3532*IF(6&lt;life_it,1,IF(6=life_it,0.5,0))+Sens!F3532*IF(5&lt;life_it,1,IF(5=life_it,0.5,0))+Sens!G3532*IF(4&lt;life_it,1,IF(4=life_it,0.5,0))+Sens!H3532*IF(3&lt;life_it,1,IF(3=life_it,0.5,0))+Sens!I3532*IF(2&lt;life_it,1,IF(2=life_it,0.5,0))+Sens!J3532*IF(1&lt;life_it,1,IF(1=life_it,0.5,0))+Sens!K3532*0.5)/life_it</f>
        <v>150.883242194002</v>
      </c>
    </row>
    <row r="3535" customFormat="false" ht="17.15" hidden="false" customHeight="false" outlineLevel="0" collapsed="false">
      <c r="A3535" s="0" t="s">
        <v>843</v>
      </c>
      <c r="B3535" s="0" t="s">
        <v>98</v>
      </c>
      <c r="E3535" s="6" t="n">
        <f aca="false">(Sens!C3530*IF(2&lt;life_fac,1,IF(2=life_fac,0.5,0))+Sens!D3530*IF(1&lt;life_fac,1,IF(1=life_fac,0.5,0))+Sens!E3530*0.5)/life_fac</f>
        <v>1.2448275</v>
      </c>
      <c r="F3535" s="6" t="n">
        <f aca="false">(Sens!C3530*IF(3&lt;life_fac,1,IF(3=life_fac,0.5,0))+Sens!D3530*IF(2&lt;life_fac,1,IF(2=life_fac,0.5,0))+Sens!E3530*IF(1&lt;life_fac,1,IF(1=life_fac,0.5,0))+Sens!F3530*0.5)/life_fac</f>
        <v>2.60578822</v>
      </c>
      <c r="G3535" s="6" t="n">
        <f aca="false">(Sens!C3530*IF(4&lt;life_fac,1,IF(4=life_fac,0.5,0))+Sens!D3530*IF(3&lt;life_fac,1,IF(3=life_fac,0.5,0))+Sens!E3530*IF(2&lt;life_fac,1,IF(2=life_fac,0.5,0))+Sens!F3530*IF(1&lt;life_fac,1,IF(1=life_fac,0.5,0))+Sens!G3530*0.5)/life_fac</f>
        <v>4.46171516</v>
      </c>
      <c r="H3535" s="6" t="n">
        <f aca="false">(Sens!C3530*IF(5&lt;life_fac,1,IF(5=life_fac,0.5,0))+Sens!D3530*IF(4&lt;life_fac,1,IF(4=life_fac,0.5,0))+Sens!E3530*IF(3&lt;life_fac,1,IF(3=life_fac,0.5,0))+Sens!F3530*IF(2&lt;life_fac,1,IF(2=life_fac,0.5,0))+Sens!G3530*IF(1&lt;life_fac,1,IF(1=life_fac,0.5,0))+Sens!H3530*0.5)/life_fac</f>
        <v>6.3828926</v>
      </c>
      <c r="I3535" s="6" t="n">
        <f aca="false">(Sens!C3530*IF(6&lt;life_fac,1,IF(6=life_fac,0.5,0))+Sens!D3530*IF(5&lt;life_fac,1,IF(5=life_fac,0.5,0))+Sens!E3530*IF(4&lt;life_fac,1,IF(4=life_fac,0.5,0))+Sens!F3530*IF(3&lt;life_fac,1,IF(3=life_fac,0.5,0))+Sens!G3530*IF(2&lt;life_fac,1,IF(2=life_fac,0.5,0))+Sens!H3530*IF(1&lt;life_fac,1,IF(1=life_fac,0.5,0))+Sens!I3530*0.5)/life_fac</f>
        <v>8.0229858366</v>
      </c>
      <c r="J3535" s="6" t="n">
        <f aca="false">(Sens!C3530*IF(7&lt;life_fac,1,IF(7=life_fac,0.5,0))+Sens!D3530*IF(6&lt;life_fac,1,IF(6=life_fac,0.5,0))+Sens!E3530*IF(5&lt;life_fac,1,IF(5=life_fac,0.5,0))+Sens!F3530*IF(4&lt;life_fac,1,IF(4=life_fac,0.5,0))+Sens!G3530*IF(3&lt;life_fac,1,IF(3=life_fac,0.5,0))+Sens!H3530*IF(2&lt;life_fac,1,IF(2=life_fac,0.5,0))+Sens!I3530*IF(1&lt;life_fac,1,IF(1=life_fac,0.5,0))+Sens!J3530*0.5)/life_fac</f>
        <v>9.1009106664</v>
      </c>
      <c r="K3535" s="6" t="n">
        <f aca="false">(Sens!C3530*IF(8&lt;life_fac,1,IF(8=life_fac,0.5,0))+Sens!D3530*IF(7&lt;life_fac,1,IF(7=life_fac,0.5,0))+Sens!E3530*IF(6&lt;life_fac,1,IF(6=life_fac,0.5,0))+Sens!F3530*IF(5&lt;life_fac,1,IF(5=life_fac,0.5,0))+Sens!G3530*IF(4&lt;life_fac,1,IF(4=life_fac,0.5,0))+Sens!H3530*IF(3&lt;life_fac,1,IF(3=life_fac,0.5,0))+Sens!I3530*IF(2&lt;life_fac,1,IF(2=life_fac,0.5,0))+Sens!J3530*IF(1&lt;life_fac,1,IF(1=life_fac,0.5,0))+Sens!K3530*0.5)/life_fac</f>
        <v>9.6166670894</v>
      </c>
    </row>
    <row r="3536" customFormat="false" ht="17.15" hidden="false" customHeight="false" outlineLevel="0" collapsed="false">
      <c r="A3536" s="0" t="s">
        <v>844</v>
      </c>
      <c r="B3536" s="0" t="s">
        <v>98</v>
      </c>
      <c r="E3536" s="6" t="n">
        <f aca="false">Sens!E3534+Sens!E3535</f>
        <v>16.3054059770833</v>
      </c>
      <c r="F3536" s="6" t="n">
        <f aca="false">Sens!F3534+Sens!F3535</f>
        <v>36.5856912614356</v>
      </c>
      <c r="G3536" s="6" t="n">
        <f aca="false">Sens!G3534+Sens!G3535</f>
        <v>66.8830522661911</v>
      </c>
      <c r="H3536" s="6" t="n">
        <f aca="false">Sens!H3534+Sens!H3535</f>
        <v>99.5657515455511</v>
      </c>
      <c r="I3536" s="6" t="n">
        <f aca="false">Sens!I3534+Sens!I3535</f>
        <v>128.495157395588</v>
      </c>
      <c r="J3536" s="6" t="n">
        <f aca="false">Sens!J3534+Sens!J3535</f>
        <v>148.701437311538</v>
      </c>
      <c r="K3536" s="6" t="n">
        <f aca="false">Sens!K3534+Sens!K3535</f>
        <v>160.499909283402</v>
      </c>
    </row>
    <row r="3537" customFormat="false" ht="17.15" hidden="false" customHeight="false" outlineLevel="0" collapsed="false">
      <c r="A3537" s="0" t="s">
        <v>845</v>
      </c>
      <c r="B3537" s="0" t="s">
        <v>98</v>
      </c>
      <c r="E3537" s="6" t="n">
        <f aca="false">Sens!E3525-Sens!E3524*Sens!E3536</f>
        <v>8.92707889977379</v>
      </c>
      <c r="F3537" s="6" t="n">
        <f aca="false">Sens!F3525-Sens!F3524*Sens!F3536</f>
        <v>24.2212737604241</v>
      </c>
      <c r="G3537" s="6" t="n">
        <f aca="false">Sens!G3525-Sens!G3524*Sens!G3536</f>
        <v>48.0663178848364</v>
      </c>
      <c r="H3537" s="6" t="n">
        <f aca="false">Sens!H3525-Sens!H3524*Sens!H3536</f>
        <v>77.9955119513744</v>
      </c>
      <c r="I3537" s="6" t="n">
        <f aca="false">Sens!I3525-Sens!I3524*Sens!I3536</f>
        <v>98.4606574906373</v>
      </c>
      <c r="J3537" s="6" t="n">
        <f aca="false">Sens!J3525-Sens!J3524*Sens!J3536</f>
        <v>112.512253690062</v>
      </c>
      <c r="K3537" s="6" t="n">
        <f aca="false">Sens!K3525-Sens!K3524*Sens!K3536</f>
        <v>121.364571781308</v>
      </c>
    </row>
    <row r="3538" customFormat="false" ht="17.15" hidden="false" customHeight="false" outlineLevel="0" collapsed="false">
      <c r="A3538" s="3" t="s">
        <v>1325</v>
      </c>
    </row>
    <row r="3539" customFormat="false" ht="15" hidden="false" customHeight="false" outlineLevel="0" collapsed="false">
      <c r="A3539" s="4" t="s">
        <v>43</v>
      </c>
      <c r="B3539" s="4" t="s">
        <v>65</v>
      </c>
      <c r="C3539" s="20" t="s">
        <v>788</v>
      </c>
      <c r="D3539" s="20" t="s">
        <v>789</v>
      </c>
      <c r="E3539" s="20" t="s">
        <v>790</v>
      </c>
      <c r="F3539" s="20" t="s">
        <v>791</v>
      </c>
      <c r="G3539" s="20" t="s">
        <v>792</v>
      </c>
      <c r="H3539" s="20" t="s">
        <v>793</v>
      </c>
      <c r="I3539" s="20" t="s">
        <v>794</v>
      </c>
      <c r="J3539" s="20" t="s">
        <v>795</v>
      </c>
      <c r="K3539" s="20" t="s">
        <v>796</v>
      </c>
      <c r="L3539" s="4" t="s">
        <v>47</v>
      </c>
    </row>
    <row r="3540" customFormat="false" ht="17.15" hidden="false" customHeight="false" outlineLevel="0" collapsed="false">
      <c r="A3540" s="0" t="s">
        <v>864</v>
      </c>
      <c r="B3540" s="0" t="s">
        <v>98</v>
      </c>
      <c r="D3540" s="6" t="n">
        <f aca="false">Sens!D3519</f>
        <v>12.9359794422418</v>
      </c>
      <c r="E3540" s="6" t="n">
        <f aca="false">Sens!E3519</f>
        <v>27.8095064661409</v>
      </c>
      <c r="F3540" s="6" t="n">
        <f aca="false">Sens!F3519</f>
        <v>62.4428495660432</v>
      </c>
      <c r="G3540" s="6" t="n">
        <f aca="false">Sens!G3519</f>
        <v>113.090801086694</v>
      </c>
      <c r="H3540" s="6" t="n">
        <f aca="false">Sens!H3519</f>
        <v>170.695813426745</v>
      </c>
      <c r="I3540" s="6" t="n">
        <f aca="false">Sens!I3519</f>
        <v>215.482514213315</v>
      </c>
      <c r="J3540" s="6" t="n">
        <f aca="false">Sens!J3519</f>
        <v>246.315419478608</v>
      </c>
      <c r="K3540" s="6" t="n">
        <f aca="false">Sens!K3519</f>
        <v>264.678555143053</v>
      </c>
    </row>
    <row r="3541" customFormat="false" ht="17.15" hidden="false" customHeight="false" outlineLevel="0" collapsed="false">
      <c r="A3541" s="0" t="s">
        <v>865</v>
      </c>
      <c r="B3541" s="0" t="s">
        <v>98</v>
      </c>
      <c r="D3541" s="6" t="n">
        <f aca="false">Q!L6-Sens!D3540</f>
        <v>59.6740205577583</v>
      </c>
      <c r="E3541" s="6" t="n">
        <f aca="false">Q!M6-Sens!E3540</f>
        <v>74.1284935338591</v>
      </c>
      <c r="F3541" s="6" t="n">
        <f aca="false">Sens!E3541*(1+Sens!F3542)</f>
        <v>90.0799497373663</v>
      </c>
      <c r="G3541" s="6" t="n">
        <f aca="false">Sens!F3541*(1+Sens!G3542)</f>
        <v>107.02842520331</v>
      </c>
      <c r="H3541" s="6" t="n">
        <f aca="false">Sens!G3541*(1+Sens!H3542)</f>
        <v>124.271982585636</v>
      </c>
      <c r="I3541" s="6" t="n">
        <f aca="false">Sens!H3541*(1+Sens!I3542)</f>
        <v>140.933702381855</v>
      </c>
      <c r="J3541" s="6" t="n">
        <f aca="false">Sens!I3541*(1+Sens!J3542)</f>
        <v>156.018867314332</v>
      </c>
      <c r="K3541" s="6" t="n">
        <f aca="false">Sens!J3541*(1+Sens!K3542)</f>
        <v>168.500376699478</v>
      </c>
    </row>
    <row r="3542" customFormat="false" ht="15" hidden="false" customHeight="false" outlineLevel="0" collapsed="false">
      <c r="A3542" s="1" t="s">
        <v>866</v>
      </c>
      <c r="B3542" s="0" t="s">
        <v>129</v>
      </c>
      <c r="E3542" s="7" t="n">
        <f aca="false">Sens!E3541/Sens!D3541-1</f>
        <v>0.242223883039864</v>
      </c>
      <c r="F3542" s="7" t="n">
        <f aca="false">Sens!$E$3542+(glt_azo-Sens!$E$3542)*MIN(1,(Sens!F3502-base_fy)/n_conv)</f>
        <v>0.215186569199887</v>
      </c>
      <c r="G3542" s="7" t="n">
        <f aca="false">Sens!$E$3542+(glt_azo-Sens!$E$3542)*MIN(1,(Sens!G3502-base_fy)/n_conv)</f>
        <v>0.18814925535991</v>
      </c>
      <c r="H3542" s="7" t="n">
        <f aca="false">Sens!$E$3542+(glt_azo-Sens!$E$3542)*MIN(1,(Sens!H3502-base_fy)/n_conv)</f>
        <v>0.161111941519932</v>
      </c>
      <c r="I3542" s="7" t="n">
        <f aca="false">Sens!$E$3542+(glt_azo-Sens!$E$3542)*MIN(1,(Sens!I3502-base_fy)/n_conv)</f>
        <v>0.134074627679955</v>
      </c>
      <c r="J3542" s="7" t="n">
        <f aca="false">Sens!$E$3542+(glt_azo-Sens!$E$3542)*MIN(1,(Sens!J3502-base_fy)/n_conv)</f>
        <v>0.107037313839977</v>
      </c>
      <c r="K3542" s="7" t="n">
        <f aca="false">Sens!$E$3542+(glt_azo-Sens!$E$3542)*MIN(1,(Sens!K3502-base_fy)/n_conv)</f>
        <v>0.08</v>
      </c>
    </row>
    <row r="3543" customFormat="false" ht="15" hidden="false" customHeight="false" outlineLevel="0" collapsed="false">
      <c r="A3543" s="0" t="s">
        <v>867</v>
      </c>
      <c r="B3543" s="0" t="s">
        <v>98</v>
      </c>
      <c r="D3543" s="6" t="n">
        <f aca="false">Sens!D3540+Sens!D3541</f>
        <v>72.61</v>
      </c>
      <c r="E3543" s="6" t="n">
        <f aca="false">Sens!E3540+Sens!E3541</f>
        <v>101.938</v>
      </c>
      <c r="F3543" s="6" t="n">
        <f aca="false">Sens!F3540+Sens!F3541</f>
        <v>152.522799303409</v>
      </c>
      <c r="G3543" s="6" t="n">
        <f aca="false">Sens!G3540+Sens!G3541</f>
        <v>220.119226290004</v>
      </c>
      <c r="H3543" s="6" t="n">
        <f aca="false">Sens!H3540+Sens!H3541</f>
        <v>294.967796012381</v>
      </c>
      <c r="I3543" s="6" t="n">
        <f aca="false">Sens!I3540+Sens!I3541</f>
        <v>356.41621659517</v>
      </c>
      <c r="J3543" s="6" t="n">
        <f aca="false">Sens!J3540+Sens!J3541</f>
        <v>402.334286792939</v>
      </c>
      <c r="K3543" s="6" t="n">
        <f aca="false">Sens!K3540+Sens!K3541</f>
        <v>433.178931842531</v>
      </c>
    </row>
    <row r="3544" customFormat="false" ht="17.15" hidden="false" customHeight="false" outlineLevel="0" collapsed="false">
      <c r="A3544" s="0" t="s">
        <v>868</v>
      </c>
      <c r="B3544" s="1" t="s">
        <v>521</v>
      </c>
      <c r="C3544" s="29" t="n">
        <f aca="false">cop_s24</f>
        <v>1</v>
      </c>
      <c r="D3544" s="29" t="n">
        <f aca="false">cop_s25</f>
        <v>5</v>
      </c>
      <c r="E3544" s="29" t="n">
        <f aca="false">cop_s26</f>
        <v>30</v>
      </c>
      <c r="F3544" s="29" t="n">
        <f aca="false">Sens!E3544+cop_add_A</f>
        <v>60</v>
      </c>
      <c r="G3544" s="29" t="n">
        <f aca="false">Sens!F3544+cop_add_A</f>
        <v>90</v>
      </c>
      <c r="H3544" s="29" t="n">
        <f aca="false">Sens!G3544+cop_add_A</f>
        <v>120</v>
      </c>
      <c r="I3544" s="29" t="n">
        <f aca="false">Sens!H3544+cop_add_A*cop_tail</f>
        <v>135</v>
      </c>
      <c r="J3544" s="29" t="n">
        <f aca="false">Sens!I3544+cop_add_A*cop_tail</f>
        <v>150</v>
      </c>
      <c r="K3544" s="29" t="n">
        <f aca="false">Sens!J3544+cop_add_A*cop_tail</f>
        <v>165</v>
      </c>
      <c r="L3544" s="11" t="s">
        <v>869</v>
      </c>
    </row>
    <row r="3545" customFormat="false" ht="17.15" hidden="false" customHeight="false" outlineLevel="0" collapsed="false">
      <c r="A3545" s="0" t="s">
        <v>870</v>
      </c>
      <c r="B3545" s="0" t="s">
        <v>98</v>
      </c>
      <c r="D3545" s="6" t="n">
        <f aca="false">(Sens!C3544+Sens!D3544)/2*cop_px*12/1000</f>
        <v>0.9</v>
      </c>
      <c r="E3545" s="6" t="n">
        <f aca="false">(Sens!D3544+Sens!E3544)/2*cop_px*12/1000</f>
        <v>5.25</v>
      </c>
      <c r="F3545" s="6" t="n">
        <f aca="false">(Sens!E3544+Sens!F3544)/2*cop_px*12/1000</f>
        <v>13.5</v>
      </c>
      <c r="G3545" s="6" t="n">
        <f aca="false">(Sens!F3544+Sens!G3544)/2*cop_px*12/1000</f>
        <v>22.5</v>
      </c>
      <c r="H3545" s="6" t="n">
        <f aca="false">(Sens!G3544+Sens!H3544)/2*cop_px*12/1000</f>
        <v>31.5</v>
      </c>
      <c r="I3545" s="6" t="n">
        <f aca="false">(Sens!H3544+Sens!I3544)/2*cop_px*12/1000</f>
        <v>38.25</v>
      </c>
      <c r="J3545" s="6" t="n">
        <f aca="false">(Sens!I3544+Sens!J3544)/2*cop_px*12/1000</f>
        <v>42.75</v>
      </c>
      <c r="K3545" s="6" t="n">
        <f aca="false">(Sens!J3544+Sens!K3544)/2*cop_px*12/1000</f>
        <v>47.25</v>
      </c>
      <c r="L3545" s="1" t="s">
        <v>871</v>
      </c>
    </row>
    <row r="3546" customFormat="false" ht="17.15" hidden="false" customHeight="false" outlineLevel="0" collapsed="false">
      <c r="A3546" s="0" t="s">
        <v>872</v>
      </c>
      <c r="B3546" s="0" t="s">
        <v>98</v>
      </c>
      <c r="D3546" s="6" t="n">
        <f aca="false">Q!L7-Sens!D3545</f>
        <v>83.705</v>
      </c>
      <c r="E3546" s="6" t="n">
        <f aca="false">Q!M7-Sens!E3545</f>
        <v>95.049</v>
      </c>
      <c r="F3546" s="6" t="n">
        <f aca="false">Sens!E3546*(1+Sens!F3547)</f>
        <v>106.89238776686</v>
      </c>
      <c r="G3546" s="6" t="n">
        <f aca="false">Sens!F3546*(1+Sens!G3547)</f>
        <v>119.044168448684</v>
      </c>
      <c r="H3546" s="6" t="n">
        <f aca="false">Sens!G3546*(1+Sens!H3547)</f>
        <v>131.277359388781</v>
      </c>
      <c r="I3546" s="6" t="n">
        <f aca="false">Sens!H3546*(1+Sens!I3547)</f>
        <v>143.334028071957</v>
      </c>
      <c r="J3546" s="6" t="n">
        <f aca="false">Sens!I3546*(1+Sens!J3547)</f>
        <v>154.932702785465</v>
      </c>
      <c r="K3546" s="6" t="n">
        <f aca="false">Sens!J3546*(1+Sens!K3547)</f>
        <v>165.777991980448</v>
      </c>
    </row>
    <row r="3547" customFormat="false" ht="15" hidden="false" customHeight="false" outlineLevel="0" collapsed="false">
      <c r="A3547" s="1" t="s">
        <v>866</v>
      </c>
      <c r="B3547" s="0" t="s">
        <v>129</v>
      </c>
      <c r="E3547" s="7" t="n">
        <f aca="false">Sens!E3546/Sens!D3546-1</f>
        <v>0.135523564900544</v>
      </c>
      <c r="F3547" s="7" t="n">
        <f aca="false">Sens!$E$3547+(glt_m365b-Sens!$E$3547)*MIN(1,(Sens!F3502-base_fy)/n_conv)</f>
        <v>0.124602970750453</v>
      </c>
      <c r="G3547" s="7" t="n">
        <f aca="false">Sens!$E$3547+(glt_m365b-Sens!$E$3547)*MIN(1,(Sens!G3502-base_fy)/n_conv)</f>
        <v>0.113682376600363</v>
      </c>
      <c r="H3547" s="7" t="n">
        <f aca="false">Sens!$E$3547+(glt_m365b-Sens!$E$3547)*MIN(1,(Sens!H3502-base_fy)/n_conv)</f>
        <v>0.102761782450272</v>
      </c>
      <c r="I3547" s="7" t="n">
        <f aca="false">Sens!$E$3547+(glt_m365b-Sens!$E$3547)*MIN(1,(Sens!I3502-base_fy)/n_conv)</f>
        <v>0.0918411883001813</v>
      </c>
      <c r="J3547" s="7" t="n">
        <f aca="false">Sens!$E$3547+(glt_m365b-Sens!$E$3547)*MIN(1,(Sens!J3502-base_fy)/n_conv)</f>
        <v>0.0809205941500906</v>
      </c>
      <c r="K3547" s="7" t="n">
        <f aca="false">Sens!$E$3547+(glt_m365b-Sens!$E$3547)*MIN(1,(Sens!K3502-base_fy)/n_conv)</f>
        <v>0.07</v>
      </c>
    </row>
    <row r="3548" customFormat="false" ht="15" hidden="false" customHeight="false" outlineLevel="0" collapsed="false">
      <c r="A3548" s="0" t="s">
        <v>873</v>
      </c>
      <c r="B3548" s="0" t="s">
        <v>98</v>
      </c>
      <c r="D3548" s="6" t="n">
        <f aca="false">Sens!D3546+Sens!D3545</f>
        <v>84.605</v>
      </c>
      <c r="E3548" s="6" t="n">
        <f aca="false">Sens!E3546+Sens!E3545</f>
        <v>100.299</v>
      </c>
      <c r="F3548" s="6" t="n">
        <f aca="false">Sens!F3546+Sens!F3545</f>
        <v>120.39238776686</v>
      </c>
      <c r="G3548" s="6" t="n">
        <f aca="false">Sens!G3546+Sens!G3545</f>
        <v>141.544168448684</v>
      </c>
      <c r="H3548" s="6" t="n">
        <f aca="false">Sens!H3546+Sens!H3545</f>
        <v>162.777359388781</v>
      </c>
      <c r="I3548" s="6" t="n">
        <f aca="false">Sens!I3546+Sens!I3545</f>
        <v>181.584028071957</v>
      </c>
      <c r="J3548" s="6" t="n">
        <f aca="false">Sens!J3546+Sens!J3545</f>
        <v>197.682702785465</v>
      </c>
      <c r="K3548" s="6" t="n">
        <f aca="false">Sens!K3546+Sens!K3545</f>
        <v>213.027991980448</v>
      </c>
    </row>
    <row r="3549" customFormat="false" ht="15" hidden="false" customHeight="false" outlineLevel="0" collapsed="false">
      <c r="A3549" s="0" t="s">
        <v>874</v>
      </c>
      <c r="B3549" s="0" t="s">
        <v>98</v>
      </c>
      <c r="D3549" s="6" t="n">
        <f aca="false">Q!L8</f>
        <v>35.391</v>
      </c>
      <c r="E3549" s="6" t="n">
        <f aca="false">Q!M8</f>
        <v>37.285</v>
      </c>
      <c r="F3549" s="6" t="n">
        <f aca="false">Sens!E3549*(1+Sens!F3550)</f>
        <v>39.0720834331704</v>
      </c>
      <c r="G3549" s="6" t="n">
        <f aca="false">Sens!F3549*(1+Sens!G3550)</f>
        <v>40.726562953769</v>
      </c>
      <c r="H3549" s="6" t="n">
        <f aca="false">Sens!G3549*(1+Sens!H3550)</f>
        <v>42.2235987259198</v>
      </c>
      <c r="I3549" s="6" t="n">
        <f aca="false">Sens!H3549*(1+Sens!I3550)</f>
        <v>43.5397988077414</v>
      </c>
      <c r="J3549" s="6" t="n">
        <f aca="false">Sens!I3549*(1+Sens!J3550)</f>
        <v>44.653811225693</v>
      </c>
      <c r="K3549" s="6" t="n">
        <f aca="false">Sens!J3549*(1+Sens!K3550)</f>
        <v>45.5468874502068</v>
      </c>
    </row>
    <row r="3550" customFormat="false" ht="15" hidden="false" customHeight="false" outlineLevel="0" collapsed="false">
      <c r="A3550" s="1" t="s">
        <v>866</v>
      </c>
      <c r="B3550" s="0" t="s">
        <v>129</v>
      </c>
      <c r="E3550" s="7" t="n">
        <f aca="false">Sens!E3549/Sens!D3549-1</f>
        <v>0.0535164307309768</v>
      </c>
      <c r="F3550" s="7" t="n">
        <f aca="false">Sens!$E$3550+(glt_lic-Sens!$E$3550)*MIN(1,(Sens!F3502-base_fy)/n_conv)</f>
        <v>0.0479303589424807</v>
      </c>
      <c r="G3550" s="7" t="n">
        <f aca="false">Sens!$E$3550+(glt_lic-Sens!$E$3550)*MIN(1,(Sens!G3502-base_fy)/n_conv)</f>
        <v>0.0423442871539845</v>
      </c>
      <c r="H3550" s="7" t="n">
        <f aca="false">Sens!$E$3550+(glt_lic-Sens!$E$3550)*MIN(1,(Sens!H3502-base_fy)/n_conv)</f>
        <v>0.0367582153654884</v>
      </c>
      <c r="I3550" s="7" t="n">
        <f aca="false">Sens!$E$3550+(glt_lic-Sens!$E$3550)*MIN(1,(Sens!I3502-base_fy)/n_conv)</f>
        <v>0.0311721435769923</v>
      </c>
      <c r="J3550" s="7" t="n">
        <f aca="false">Sens!$E$3550+(glt_lic-Sens!$E$3550)*MIN(1,(Sens!J3502-base_fy)/n_conv)</f>
        <v>0.0255860717884961</v>
      </c>
      <c r="K3550" s="7" t="n">
        <f aca="false">Sens!$E$3550+(glt_lic-Sens!$E$3550)*MIN(1,(Sens!K3502-base_fy)/n_conv)</f>
        <v>0.02</v>
      </c>
    </row>
    <row r="3551" customFormat="false" ht="15" hidden="false" customHeight="false" outlineLevel="0" collapsed="false">
      <c r="A3551" s="0" t="s">
        <v>875</v>
      </c>
      <c r="B3551" s="0" t="s">
        <v>98</v>
      </c>
      <c r="D3551" s="6" t="n">
        <f aca="false">Q!L9</f>
        <v>18.417</v>
      </c>
      <c r="E3551" s="6" t="n">
        <f aca="false">Q!M9</f>
        <v>20.345</v>
      </c>
      <c r="F3551" s="6" t="n">
        <f aca="false">Sens!E3551*(1+Sens!F3552)</f>
        <v>22.3572203267814</v>
      </c>
      <c r="G3551" s="6" t="n">
        <f aca="false">Sens!F3551*(1+Sens!G3552)</f>
        <v>24.4392124437232</v>
      </c>
      <c r="H3551" s="6" t="n">
        <f aca="false">Sens!G3551*(1+Sens!H3552)</f>
        <v>26.5738052080665</v>
      </c>
      <c r="I3551" s="6" t="n">
        <f aca="false">Sens!H3551*(1+Sens!I3552)</f>
        <v>28.7412169166967</v>
      </c>
      <c r="J3551" s="6" t="n">
        <f aca="false">Sens!I3551*(1+Sens!J3552)</f>
        <v>30.9192545395413</v>
      </c>
      <c r="K3551" s="6" t="n">
        <f aca="false">Sens!J3551*(1+Sens!K3552)</f>
        <v>33.0836023573092</v>
      </c>
    </row>
    <row r="3552" customFormat="false" ht="15" hidden="false" customHeight="false" outlineLevel="0" collapsed="false">
      <c r="A3552" s="1" t="s">
        <v>866</v>
      </c>
      <c r="B3552" s="0" t="s">
        <v>129</v>
      </c>
      <c r="E3552" s="7" t="n">
        <f aca="false">Sens!E3551/Sens!D3551-1</f>
        <v>0.104685888038225</v>
      </c>
      <c r="F3552" s="7" t="n">
        <f aca="false">Sens!$E$3552+(glt_ind-Sens!$E$3552)*MIN(1,(Sens!F3502-base_fy)/n_conv)</f>
        <v>0.0989049066985211</v>
      </c>
      <c r="G3552" s="7" t="n">
        <f aca="false">Sens!$E$3552+(glt_ind-Sens!$E$3552)*MIN(1,(Sens!G3502-base_fy)/n_conv)</f>
        <v>0.0931239253588169</v>
      </c>
      <c r="H3552" s="7" t="n">
        <f aca="false">Sens!$E$3552+(glt_ind-Sens!$E$3552)*MIN(1,(Sens!H3502-base_fy)/n_conv)</f>
        <v>0.0873429440191127</v>
      </c>
      <c r="I3552" s="7" t="n">
        <f aca="false">Sens!$E$3552+(glt_ind-Sens!$E$3552)*MIN(1,(Sens!I3502-base_fy)/n_conv)</f>
        <v>0.0815619626794085</v>
      </c>
      <c r="J3552" s="7" t="n">
        <f aca="false">Sens!$E$3552+(glt_ind-Sens!$E$3552)*MIN(1,(Sens!J3502-base_fy)/n_conv)</f>
        <v>0.0757809813397042</v>
      </c>
      <c r="K3552" s="7" t="n">
        <f aca="false">Sens!$E$3552+(glt_ind-Sens!$E$3552)*MIN(1,(Sens!K3502-base_fy)/n_conv)</f>
        <v>0.07</v>
      </c>
    </row>
    <row r="3553" customFormat="false" ht="15" hidden="false" customHeight="false" outlineLevel="0" collapsed="false">
      <c r="A3553" s="0" t="s">
        <v>876</v>
      </c>
      <c r="B3553" s="0" t="s">
        <v>98</v>
      </c>
      <c r="D3553" s="6" t="n">
        <f aca="false">Q!L10</f>
        <v>7.76</v>
      </c>
      <c r="E3553" s="6" t="n">
        <f aca="false">Q!M10</f>
        <v>8.26</v>
      </c>
      <c r="F3553" s="6" t="n">
        <f aca="false">Sens!E3553*(1+Sens!F3554)</f>
        <v>8.79988041237113</v>
      </c>
      <c r="G3553" s="6" t="n">
        <f aca="false">Sens!F3553*(1+Sens!G3554)</f>
        <v>9.38321269125306</v>
      </c>
      <c r="H3553" s="6" t="n">
        <f aca="false">Sens!G3553*(1+Sens!H3554)</f>
        <v>10.0139193587476</v>
      </c>
      <c r="I3553" s="6" t="n">
        <f aca="false">Sens!H3553*(1+Sens!I3554)</f>
        <v>10.6963111830911</v>
      </c>
      <c r="J3553" s="6" t="n">
        <f aca="false">Sens!I3553*(1+Sens!J3554)</f>
        <v>11.4351285534696</v>
      </c>
      <c r="K3553" s="6" t="n">
        <f aca="false">Sens!J3553*(1+Sens!K3554)</f>
        <v>12.2355875522124</v>
      </c>
    </row>
    <row r="3554" customFormat="false" ht="15" hidden="false" customHeight="false" outlineLevel="0" collapsed="false">
      <c r="A3554" s="1" t="s">
        <v>866</v>
      </c>
      <c r="B3554" s="0" t="s">
        <v>129</v>
      </c>
      <c r="E3554" s="7" t="n">
        <f aca="false">Sens!E3553/Sens!D3553-1</f>
        <v>0.0644329896907216</v>
      </c>
      <c r="F3554" s="7" t="n">
        <f aca="false">Sens!$E$3554+(glt_fro-Sens!$E$3554)*MIN(1,(Sens!F3502-base_fy)/n_conv)</f>
        <v>0.065360824742268</v>
      </c>
      <c r="G3554" s="7" t="n">
        <f aca="false">Sens!$E$3554+(glt_fro-Sens!$E$3554)*MIN(1,(Sens!G3502-base_fy)/n_conv)</f>
        <v>0.0662886597938144</v>
      </c>
      <c r="H3554" s="7" t="n">
        <f aca="false">Sens!$E$3554+(glt_fro-Sens!$E$3554)*MIN(1,(Sens!H3502-base_fy)/n_conv)</f>
        <v>0.0672164948453608</v>
      </c>
      <c r="I3554" s="7" t="n">
        <f aca="false">Sens!$E$3554+(glt_fro-Sens!$E$3554)*MIN(1,(Sens!I3502-base_fy)/n_conv)</f>
        <v>0.0681443298969072</v>
      </c>
      <c r="J3554" s="7" t="n">
        <f aca="false">Sens!$E$3554+(glt_fro-Sens!$E$3554)*MIN(1,(Sens!J3502-base_fy)/n_conv)</f>
        <v>0.0690721649484536</v>
      </c>
      <c r="K3554" s="7" t="n">
        <f aca="false">Sens!$E$3554+(glt_fro-Sens!$E$3554)*MIN(1,(Sens!K3502-base_fy)/n_conv)</f>
        <v>0.07</v>
      </c>
    </row>
    <row r="3555" customFormat="false" ht="15" hidden="false" customHeight="false" outlineLevel="0" collapsed="false">
      <c r="A3555" s="0" t="s">
        <v>704</v>
      </c>
      <c r="B3555" s="0" t="s">
        <v>98</v>
      </c>
      <c r="D3555" s="6" t="n">
        <f aca="false">Sens!D3543+Sens!D3548+Sens!D3549+Sens!D3551+Sens!D3553</f>
        <v>218.783</v>
      </c>
      <c r="E3555" s="6" t="n">
        <f aca="false">Sens!E3543+Sens!E3548+Sens!E3549+Sens!E3551+Sens!E3553</f>
        <v>268.127</v>
      </c>
      <c r="F3555" s="6" t="n">
        <f aca="false">Sens!F3543+Sens!F3548+Sens!F3549+Sens!F3551+Sens!F3553</f>
        <v>343.144371242592</v>
      </c>
      <c r="G3555" s="6" t="n">
        <f aca="false">Sens!G3543+Sens!G3548+Sens!G3549+Sens!G3551+Sens!G3553</f>
        <v>436.212382827433</v>
      </c>
      <c r="H3555" s="6" t="n">
        <f aca="false">Sens!H3543+Sens!H3548+Sens!H3549+Sens!H3551+Sens!H3553</f>
        <v>536.556478693896</v>
      </c>
      <c r="I3555" s="6" t="n">
        <f aca="false">Sens!I3543+Sens!I3548+Sens!I3549+Sens!I3551+Sens!I3553</f>
        <v>620.977571574656</v>
      </c>
      <c r="J3555" s="6" t="n">
        <f aca="false">Sens!J3543+Sens!J3548+Sens!J3549+Sens!J3551+Sens!J3553</f>
        <v>687.025183897108</v>
      </c>
      <c r="K3555" s="6" t="n">
        <f aca="false">Sens!K3543+Sens!K3548+Sens!K3549+Sens!K3551+Sens!K3553</f>
        <v>737.073001182707</v>
      </c>
    </row>
    <row r="3556" customFormat="false" ht="15" hidden="false" customHeight="false" outlineLevel="0" collapsed="false">
      <c r="A3556" s="0" t="s">
        <v>877</v>
      </c>
      <c r="B3556" s="0" t="s">
        <v>98</v>
      </c>
      <c r="D3556" s="6" t="n">
        <f aca="false">Q!L13</f>
        <v>22.171</v>
      </c>
      <c r="E3556" s="6" t="n">
        <f aca="false">Q!M13</f>
        <v>24.835</v>
      </c>
      <c r="F3556" s="6" t="n">
        <f aca="false">Sens!E3556*(1+Sens!F3557)</f>
        <v>27.6114901218559</v>
      </c>
      <c r="G3556" s="6" t="n">
        <f aca="false">Sens!F3556*(1+Sens!G3557)</f>
        <v>30.4675667338515</v>
      </c>
      <c r="H3556" s="6" t="n">
        <f aca="false">Sens!G3556*(1+Sens!H3557)</f>
        <v>33.3643766955789</v>
      </c>
      <c r="I3556" s="6" t="n">
        <f aca="false">Sens!H3556*(1+Sens!I3557)</f>
        <v>36.2577016533691</v>
      </c>
      <c r="J3556" s="6" t="n">
        <f aca="false">Sens!I3556*(1+Sens!J3557)</f>
        <v>39.0988367952171</v>
      </c>
      <c r="K3556" s="6" t="n">
        <f aca="false">Sens!J3556*(1+Sens!K3557)</f>
        <v>41.8357553708823</v>
      </c>
    </row>
    <row r="3557" customFormat="false" ht="15" hidden="false" customHeight="false" outlineLevel="0" collapsed="false">
      <c r="A3557" s="1" t="s">
        <v>866</v>
      </c>
      <c r="B3557" s="0" t="s">
        <v>129</v>
      </c>
      <c r="E3557" s="7" t="n">
        <f aca="false">Sens!E3556/Sens!D3556-1</f>
        <v>0.120156961796942</v>
      </c>
      <c r="F3557" s="7" t="n">
        <f aca="false">Sens!$E$3557+(glt_srch-Sens!$E$3557)*MIN(1,(Sens!F3502-base_fy)/n_conv)</f>
        <v>0.111797468164118</v>
      </c>
      <c r="G3557" s="7" t="n">
        <f aca="false">Sens!$E$3557+(glt_srch-Sens!$E$3557)*MIN(1,(Sens!G3502-base_fy)/n_conv)</f>
        <v>0.103437974531295</v>
      </c>
      <c r="H3557" s="7" t="n">
        <f aca="false">Sens!$E$3557+(glt_srch-Sens!$E$3557)*MIN(1,(Sens!H3502-base_fy)/n_conv)</f>
        <v>0.095078480898471</v>
      </c>
      <c r="I3557" s="7" t="n">
        <f aca="false">Sens!$E$3557+(glt_srch-Sens!$E$3557)*MIN(1,(Sens!I3502-base_fy)/n_conv)</f>
        <v>0.0867189872656474</v>
      </c>
      <c r="J3557" s="7" t="n">
        <f aca="false">Sens!$E$3557+(glt_srch-Sens!$E$3557)*MIN(1,(Sens!J3502-base_fy)/n_conv)</f>
        <v>0.0783594936328237</v>
      </c>
      <c r="K3557" s="7" t="n">
        <f aca="false">Sens!$E$3557+(glt_srch-Sens!$E$3557)*MIN(1,(Sens!K3502-base_fy)/n_conv)</f>
        <v>0.07</v>
      </c>
    </row>
    <row r="3558" customFormat="false" ht="15" hidden="false" customHeight="false" outlineLevel="0" collapsed="false">
      <c r="A3558" s="0" t="s">
        <v>878</v>
      </c>
      <c r="B3558" s="0" t="s">
        <v>98</v>
      </c>
      <c r="D3558" s="6" t="n">
        <f aca="false">Q!L14</f>
        <v>23.455</v>
      </c>
      <c r="E3558" s="6" t="n">
        <f aca="false">Q!M14</f>
        <v>21.79</v>
      </c>
      <c r="F3558" s="6" t="n">
        <f aca="false">Sens!E3558*(1+Sens!F3559)</f>
        <v>20.5736277908051</v>
      </c>
      <c r="G3558" s="6" t="n">
        <f aca="false">Sens!F3558*(1+Sens!G3559)</f>
        <v>19.7371452817919</v>
      </c>
      <c r="H3558" s="6" t="n">
        <f aca="false">Sens!G3558*(1+Sens!H3559)</f>
        <v>19.2339764043138</v>
      </c>
      <c r="I3558" s="6" t="n">
        <f aca="false">Sens!H3558*(1+Sens!I3559)</f>
        <v>19.0353086852681</v>
      </c>
      <c r="J3558" s="6" t="n">
        <f aca="false">Sens!I3558*(1+Sens!J3559)</f>
        <v>19.1273539319129</v>
      </c>
      <c r="K3558" s="6" t="n">
        <f aca="false">Sens!J3558*(1+Sens!K3559)</f>
        <v>19.5099010105511</v>
      </c>
    </row>
    <row r="3559" customFormat="false" ht="15" hidden="false" customHeight="false" outlineLevel="0" collapsed="false">
      <c r="A3559" s="1" t="s">
        <v>866</v>
      </c>
      <c r="B3559" s="0" t="s">
        <v>129</v>
      </c>
      <c r="E3559" s="7" t="n">
        <f aca="false">Sens!E3558/Sens!D3558-1</f>
        <v>-0.0709869963760392</v>
      </c>
      <c r="F3559" s="7" t="n">
        <f aca="false">Sens!$E$3559+(glt_xbox-Sens!$E$3559)*MIN(1,(Sens!F3502-base_fy)/n_conv)</f>
        <v>-0.0558224969800327</v>
      </c>
      <c r="G3559" s="7" t="n">
        <f aca="false">Sens!$E$3559+(glt_xbox-Sens!$E$3559)*MIN(1,(Sens!G3502-base_fy)/n_conv)</f>
        <v>-0.0406579975840262</v>
      </c>
      <c r="H3559" s="7" t="n">
        <f aca="false">Sens!$E$3559+(glt_xbox-Sens!$E$3559)*MIN(1,(Sens!H3502-base_fy)/n_conv)</f>
        <v>-0.0254934981880196</v>
      </c>
      <c r="I3559" s="7" t="n">
        <f aca="false">Sens!$E$3559+(glt_xbox-Sens!$E$3559)*MIN(1,(Sens!I3502-base_fy)/n_conv)</f>
        <v>-0.0103289987920131</v>
      </c>
      <c r="J3559" s="7" t="n">
        <f aca="false">Sens!$E$3559+(glt_xbox-Sens!$E$3559)*MIN(1,(Sens!J3502-base_fy)/n_conv)</f>
        <v>0.00483550060399347</v>
      </c>
      <c r="K3559" s="7" t="n">
        <f aca="false">Sens!$E$3559+(glt_xbox-Sens!$E$3559)*MIN(1,(Sens!K3502-base_fy)/n_conv)</f>
        <v>0.02</v>
      </c>
    </row>
    <row r="3560" customFormat="false" ht="15" hidden="false" customHeight="false" outlineLevel="0" collapsed="false">
      <c r="A3560" s="0" t="s">
        <v>879</v>
      </c>
      <c r="B3560" s="0" t="s">
        <v>98</v>
      </c>
      <c r="D3560" s="6" t="n">
        <f aca="false">Q!L15</f>
        <v>17.315</v>
      </c>
      <c r="E3560" s="6" t="n">
        <f aca="false">Q!M15</f>
        <v>17.087</v>
      </c>
      <c r="F3560" s="6" t="n">
        <f aca="false">Sens!E3560*(1+Sens!F3561)</f>
        <v>16.9564585436519</v>
      </c>
      <c r="G3560" s="6" t="n">
        <f aca="false">Sens!F3560*(1+Sens!G3561)</f>
        <v>16.9206490624268</v>
      </c>
      <c r="H3560" s="6" t="n">
        <f aca="false">Sens!G3560*(1+Sens!H3561)</f>
        <v>16.9784519149849</v>
      </c>
      <c r="I3560" s="6" t="n">
        <f aca="false">Sens!H3560*(1+Sens!I3561)</f>
        <v>17.1303084701817</v>
      </c>
      <c r="J3560" s="6" t="n">
        <f aca="false">Sens!I3560*(1+Sens!J3561)</f>
        <v>17.3782189407267</v>
      </c>
      <c r="K3560" s="6" t="n">
        <f aca="false">Sens!J3560*(1+Sens!K3561)</f>
        <v>17.7257833195413</v>
      </c>
    </row>
    <row r="3561" customFormat="false" ht="15" hidden="false" customHeight="false" outlineLevel="0" collapsed="false">
      <c r="A3561" s="1" t="s">
        <v>866</v>
      </c>
      <c r="B3561" s="0" t="s">
        <v>129</v>
      </c>
      <c r="E3561" s="7" t="n">
        <f aca="false">Sens!E3560/Sens!D3560-1</f>
        <v>-0.0131677736066995</v>
      </c>
      <c r="F3561" s="7" t="n">
        <f aca="false">Sens!$E$3561+(glt_win-Sens!$E$3561)*MIN(1,(Sens!F3502-base_fy)/n_conv)</f>
        <v>-0.00763981133891627</v>
      </c>
      <c r="G3561" s="7" t="n">
        <f aca="false">Sens!$E$3561+(glt_win-Sens!$E$3561)*MIN(1,(Sens!G3502-base_fy)/n_conv)</f>
        <v>-0.00211184907113301</v>
      </c>
      <c r="H3561" s="7" t="n">
        <f aca="false">Sens!$E$3561+(glt_win-Sens!$E$3561)*MIN(1,(Sens!H3502-base_fy)/n_conv)</f>
        <v>0.00341611319665024</v>
      </c>
      <c r="I3561" s="7" t="n">
        <f aca="false">Sens!$E$3561+(glt_win-Sens!$E$3561)*MIN(1,(Sens!I3502-base_fy)/n_conv)</f>
        <v>0.00894407546443349</v>
      </c>
      <c r="J3561" s="7" t="n">
        <f aca="false">Sens!$E$3561+(glt_win-Sens!$E$3561)*MIN(1,(Sens!J3502-base_fy)/n_conv)</f>
        <v>0.0144720377322168</v>
      </c>
      <c r="K3561" s="7" t="n">
        <f aca="false">Sens!$E$3561+(glt_win-Sens!$E$3561)*MIN(1,(Sens!K3502-base_fy)/n_conv)</f>
        <v>0.02</v>
      </c>
    </row>
    <row r="3562" customFormat="false" ht="15" hidden="false" customHeight="false" outlineLevel="0" collapsed="false">
      <c r="A3562" s="0" t="s">
        <v>718</v>
      </c>
      <c r="B3562" s="0" t="s">
        <v>98</v>
      </c>
      <c r="D3562" s="6" t="n">
        <f aca="false">Sens!D3556+Sens!D3558+Sens!D3560</f>
        <v>62.941</v>
      </c>
      <c r="E3562" s="6" t="n">
        <f aca="false">Sens!E3556+Sens!E3558+Sens!E3560</f>
        <v>63.712</v>
      </c>
      <c r="F3562" s="6" t="n">
        <f aca="false">Sens!F3556+Sens!F3558+Sens!F3560</f>
        <v>65.1415764563129</v>
      </c>
      <c r="G3562" s="6" t="n">
        <f aca="false">Sens!G3556+Sens!G3558+Sens!G3560</f>
        <v>67.1253610780702</v>
      </c>
      <c r="H3562" s="6" t="n">
        <f aca="false">Sens!H3556+Sens!H3558+Sens!H3560</f>
        <v>69.5768050148776</v>
      </c>
      <c r="I3562" s="6" t="n">
        <f aca="false">Sens!I3556+Sens!I3558+Sens!I3560</f>
        <v>72.4233188088189</v>
      </c>
      <c r="J3562" s="6" t="n">
        <f aca="false">Sens!J3556+Sens!J3558+Sens!J3560</f>
        <v>75.6044096678567</v>
      </c>
      <c r="K3562" s="6" t="n">
        <f aca="false">Sens!K3556+Sens!K3558+Sens!K3560</f>
        <v>79.0714397009747</v>
      </c>
    </row>
    <row r="3563" customFormat="false" ht="15" hidden="false" customHeight="false" outlineLevel="0" collapsed="false">
      <c r="A3563" s="1" t="s">
        <v>880</v>
      </c>
      <c r="B3563" s="0" t="s">
        <v>98</v>
      </c>
      <c r="D3563" s="6" t="n">
        <f aca="false">Sens!D3555+Sens!D3562</f>
        <v>281.724</v>
      </c>
      <c r="E3563" s="6" t="n">
        <f aca="false">Sens!E3555+Sens!E3562</f>
        <v>331.839</v>
      </c>
      <c r="F3563" s="6" t="n">
        <f aca="false">Sens!F3555+Sens!F3562</f>
        <v>408.285947698905</v>
      </c>
      <c r="G3563" s="6" t="n">
        <f aca="false">Sens!G3555+Sens!G3562</f>
        <v>503.337743905504</v>
      </c>
      <c r="H3563" s="6" t="n">
        <f aca="false">Sens!H3555+Sens!H3562</f>
        <v>606.133283708773</v>
      </c>
      <c r="I3563" s="6" t="n">
        <f aca="false">Sens!I3555+Sens!I3562</f>
        <v>693.400890383475</v>
      </c>
      <c r="J3563" s="6" t="n">
        <f aca="false">Sens!J3555+Sens!J3562</f>
        <v>762.629593564965</v>
      </c>
      <c r="K3563" s="6" t="n">
        <f aca="false">Sens!K3555+Sens!K3562</f>
        <v>816.144440883682</v>
      </c>
    </row>
    <row r="3564" customFormat="false" ht="15" hidden="false" customHeight="false" outlineLevel="0" collapsed="false">
      <c r="A3564" s="23" t="s">
        <v>881</v>
      </c>
      <c r="B3564" s="30" t="s">
        <v>98</v>
      </c>
      <c r="C3564" s="30"/>
      <c r="D3564" s="24" t="n">
        <f aca="false">(Sens!D3543+Sens!D3548+Sens!D3549+Sens!D3551+Sens!D3553-Sens!D3555)+(Sens!D3556+Sens!D3558+Sens!D3560-Sens!D3562)+(Sens!D3555-Q!L5)+(Sens!D3562-Q!L12)+(Sens!D3543-Q!L6)+(Sens!D3548-Q!L7)</f>
        <v>0</v>
      </c>
      <c r="E3564" s="24" t="n">
        <f aca="false">(Sens!E3543+Sens!E3548+Sens!E3549+Sens!E3551+Sens!E3553-Sens!E3555)+(Sens!E3556+Sens!E3558+Sens!E3560-Sens!E3562)+(Sens!E3555-Q!M5)+(Sens!E3562-Q!M12)+(Sens!E3543-Q!M6)+(Sens!E3548-Q!M7)</f>
        <v>0</v>
      </c>
      <c r="F3564" s="24" t="n">
        <f aca="false">(Sens!F3543+Sens!F3548+Sens!F3549+Sens!F3551+Sens!F3553-Sens!F3555)+(Sens!F3556+Sens!F3558+Sens!F3560-Sens!F3562)</f>
        <v>0</v>
      </c>
      <c r="G3564" s="24" t="n">
        <f aca="false">(Sens!G3543+Sens!G3548+Sens!G3549+Sens!G3551+Sens!G3553-Sens!G3555)+(Sens!G3556+Sens!G3558+Sens!G3560-Sens!G3562)</f>
        <v>0</v>
      </c>
      <c r="H3564" s="24" t="n">
        <f aca="false">(Sens!H3543+Sens!H3548+Sens!H3549+Sens!H3551+Sens!H3553-Sens!H3555)+(Sens!H3556+Sens!H3558+Sens!H3560-Sens!H3562)</f>
        <v>0</v>
      </c>
      <c r="I3564" s="24" t="n">
        <f aca="false">(Sens!I3543+Sens!I3548+Sens!I3549+Sens!I3551+Sens!I3553-Sens!I3555)+(Sens!I3556+Sens!I3558+Sens!I3560-Sens!I3562)</f>
        <v>0</v>
      </c>
      <c r="J3564" s="24" t="n">
        <f aca="false">(Sens!J3543+Sens!J3548+Sens!J3549+Sens!J3551+Sens!J3553-Sens!J3555)+(Sens!J3556+Sens!J3558+Sens!J3560-Sens!J3562)</f>
        <v>0</v>
      </c>
      <c r="K3564" s="24" t="n">
        <f aca="false">(Sens!K3543+Sens!K3548+Sens!K3549+Sens!K3551+Sens!K3553-Sens!K3555)+(Sens!K3556+Sens!K3558+Sens!K3560-Sens!K3562)</f>
        <v>0</v>
      </c>
    </row>
    <row r="3565" customFormat="false" ht="17.15" hidden="false" customHeight="false" outlineLevel="0" collapsed="false">
      <c r="A3565" s="3" t="s">
        <v>1326</v>
      </c>
    </row>
    <row r="3566" customFormat="false" ht="15" hidden="false" customHeight="false" outlineLevel="0" collapsed="false">
      <c r="A3566" s="4" t="s">
        <v>43</v>
      </c>
      <c r="B3566" s="4" t="s">
        <v>65</v>
      </c>
      <c r="C3566" s="20" t="s">
        <v>788</v>
      </c>
      <c r="D3566" s="20" t="s">
        <v>789</v>
      </c>
      <c r="E3566" s="20" t="s">
        <v>790</v>
      </c>
      <c r="F3566" s="20" t="s">
        <v>791</v>
      </c>
      <c r="G3566" s="20" t="s">
        <v>792</v>
      </c>
      <c r="H3566" s="20" t="s">
        <v>793</v>
      </c>
      <c r="I3566" s="20" t="s">
        <v>794</v>
      </c>
      <c r="J3566" s="20" t="s">
        <v>795</v>
      </c>
      <c r="K3566" s="20" t="s">
        <v>796</v>
      </c>
      <c r="L3566" s="4" t="s">
        <v>47</v>
      </c>
    </row>
    <row r="3567" customFormat="false" ht="15" hidden="false" customHeight="false" outlineLevel="0" collapsed="false">
      <c r="A3567" s="0" t="s">
        <v>867</v>
      </c>
      <c r="B3567" s="0" t="s">
        <v>98</v>
      </c>
      <c r="D3567" s="6" t="n">
        <f aca="false">Sens!D3543</f>
        <v>72.61</v>
      </c>
      <c r="E3567" s="6" t="n">
        <f aca="false">Sens!E3543</f>
        <v>101.938</v>
      </c>
      <c r="F3567" s="6" t="n">
        <f aca="false">Sens!F3543</f>
        <v>152.522799303409</v>
      </c>
      <c r="G3567" s="6" t="n">
        <f aca="false">Sens!G3543</f>
        <v>220.119226290004</v>
      </c>
      <c r="H3567" s="6" t="n">
        <f aca="false">Sens!H3543</f>
        <v>294.967796012381</v>
      </c>
      <c r="I3567" s="6" t="n">
        <f aca="false">Sens!I3543</f>
        <v>356.41621659517</v>
      </c>
      <c r="J3567" s="6" t="n">
        <f aca="false">Sens!J3543</f>
        <v>402.334286792939</v>
      </c>
      <c r="K3567" s="6" t="n">
        <f aca="false">Sens!K3543</f>
        <v>433.178931842531</v>
      </c>
    </row>
    <row r="3568" customFormat="false" ht="17.15" hidden="false" customHeight="false" outlineLevel="0" collapsed="false">
      <c r="A3568" s="0" t="s">
        <v>864</v>
      </c>
      <c r="B3568" s="0" t="s">
        <v>98</v>
      </c>
      <c r="D3568" s="6" t="n">
        <f aca="false">Sens!D3540</f>
        <v>12.9359794422418</v>
      </c>
      <c r="E3568" s="6" t="n">
        <f aca="false">Sens!E3540</f>
        <v>27.8095064661409</v>
      </c>
      <c r="F3568" s="6" t="n">
        <f aca="false">Sens!F3540</f>
        <v>62.4428495660432</v>
      </c>
      <c r="G3568" s="6" t="n">
        <f aca="false">Sens!G3540</f>
        <v>113.090801086694</v>
      </c>
      <c r="H3568" s="6" t="n">
        <f aca="false">Sens!H3540</f>
        <v>170.695813426745</v>
      </c>
      <c r="I3568" s="6" t="n">
        <f aca="false">Sens!I3540</f>
        <v>215.482514213315</v>
      </c>
      <c r="J3568" s="6" t="n">
        <f aca="false">Sens!J3540</f>
        <v>246.315419478608</v>
      </c>
      <c r="K3568" s="6" t="n">
        <f aca="false">Sens!K3540</f>
        <v>264.678555143053</v>
      </c>
    </row>
    <row r="3569" customFormat="false" ht="17.15" hidden="false" customHeight="false" outlineLevel="0" collapsed="false">
      <c r="A3569" s="0" t="s">
        <v>892</v>
      </c>
      <c r="B3569" s="0" t="s">
        <v>98</v>
      </c>
      <c r="D3569" s="6" t="n">
        <f aca="false">Sens!D3541</f>
        <v>59.6740205577583</v>
      </c>
      <c r="E3569" s="6" t="n">
        <f aca="false">Sens!E3541</f>
        <v>74.1284935338591</v>
      </c>
      <c r="F3569" s="6" t="n">
        <f aca="false">Sens!F3541</f>
        <v>90.0799497373663</v>
      </c>
      <c r="G3569" s="6" t="n">
        <f aca="false">Sens!G3541</f>
        <v>107.02842520331</v>
      </c>
      <c r="H3569" s="6" t="n">
        <f aca="false">Sens!H3541</f>
        <v>124.271982585636</v>
      </c>
      <c r="I3569" s="6" t="n">
        <f aca="false">Sens!I3541</f>
        <v>140.933702381855</v>
      </c>
      <c r="J3569" s="6" t="n">
        <f aca="false">Sens!J3541</f>
        <v>156.018867314332</v>
      </c>
      <c r="K3569" s="6" t="n">
        <f aca="false">Sens!K3541</f>
        <v>168.500376699478</v>
      </c>
    </row>
    <row r="3570" customFormat="false" ht="15" hidden="false" customHeight="false" outlineLevel="0" collapsed="false">
      <c r="A3570" s="0" t="s">
        <v>873</v>
      </c>
      <c r="B3570" s="0" t="s">
        <v>98</v>
      </c>
      <c r="D3570" s="6" t="n">
        <f aca="false">Sens!D3548</f>
        <v>84.605</v>
      </c>
      <c r="E3570" s="6" t="n">
        <f aca="false">Sens!E3548</f>
        <v>100.299</v>
      </c>
      <c r="F3570" s="6" t="n">
        <f aca="false">Sens!F3548</f>
        <v>120.39238776686</v>
      </c>
      <c r="G3570" s="6" t="n">
        <f aca="false">Sens!G3548</f>
        <v>141.544168448684</v>
      </c>
      <c r="H3570" s="6" t="n">
        <f aca="false">Sens!H3548</f>
        <v>162.777359388781</v>
      </c>
      <c r="I3570" s="6" t="n">
        <f aca="false">Sens!I3548</f>
        <v>181.584028071957</v>
      </c>
      <c r="J3570" s="6" t="n">
        <f aca="false">Sens!J3548</f>
        <v>197.682702785465</v>
      </c>
      <c r="K3570" s="6" t="n">
        <f aca="false">Sens!K3548</f>
        <v>213.027991980448</v>
      </c>
    </row>
    <row r="3571" customFormat="false" ht="17.15" hidden="false" customHeight="false" outlineLevel="0" collapsed="false">
      <c r="A3571" s="0" t="s">
        <v>893</v>
      </c>
      <c r="B3571" s="0" t="s">
        <v>98</v>
      </c>
      <c r="D3571" s="6" t="n">
        <f aca="false">Sens!D3546</f>
        <v>83.705</v>
      </c>
      <c r="E3571" s="6" t="n">
        <f aca="false">Sens!E3546</f>
        <v>95.049</v>
      </c>
      <c r="F3571" s="6" t="n">
        <f aca="false">Sens!F3546</f>
        <v>106.89238776686</v>
      </c>
      <c r="G3571" s="6" t="n">
        <f aca="false">Sens!G3546</f>
        <v>119.044168448684</v>
      </c>
      <c r="H3571" s="6" t="n">
        <f aca="false">Sens!H3546</f>
        <v>131.277359388781</v>
      </c>
      <c r="I3571" s="6" t="n">
        <f aca="false">Sens!I3546</f>
        <v>143.334028071957</v>
      </c>
      <c r="J3571" s="6" t="n">
        <f aca="false">Sens!J3546</f>
        <v>154.932702785465</v>
      </c>
      <c r="K3571" s="6" t="n">
        <f aca="false">Sens!K3546</f>
        <v>165.777991980448</v>
      </c>
    </row>
    <row r="3572" customFormat="false" ht="17.15" hidden="false" customHeight="false" outlineLevel="0" collapsed="false">
      <c r="A3572" s="0" t="s">
        <v>894</v>
      </c>
      <c r="B3572" s="0" t="s">
        <v>98</v>
      </c>
      <c r="D3572" s="6" t="n">
        <f aca="false">Sens!D3545</f>
        <v>0.9</v>
      </c>
      <c r="E3572" s="6" t="n">
        <f aca="false">Sens!E3545</f>
        <v>5.25</v>
      </c>
      <c r="F3572" s="6" t="n">
        <f aca="false">Sens!F3545</f>
        <v>13.5</v>
      </c>
      <c r="G3572" s="6" t="n">
        <f aca="false">Sens!G3545</f>
        <v>22.5</v>
      </c>
      <c r="H3572" s="6" t="n">
        <f aca="false">Sens!H3545</f>
        <v>31.5</v>
      </c>
      <c r="I3572" s="6" t="n">
        <f aca="false">Sens!I3545</f>
        <v>38.25</v>
      </c>
      <c r="J3572" s="6" t="n">
        <f aca="false">Sens!J3545</f>
        <v>42.75</v>
      </c>
      <c r="K3572" s="6" t="n">
        <f aca="false">Sens!K3545</f>
        <v>47.25</v>
      </c>
    </row>
    <row r="3573" customFormat="false" ht="15" hidden="false" customHeight="false" outlineLevel="0" collapsed="false">
      <c r="A3573" s="0" t="s">
        <v>874</v>
      </c>
      <c r="B3573" s="0" t="s">
        <v>98</v>
      </c>
      <c r="D3573" s="6" t="n">
        <f aca="false">Sens!D3549</f>
        <v>35.391</v>
      </c>
      <c r="E3573" s="6" t="n">
        <f aca="false">Sens!E3549</f>
        <v>37.285</v>
      </c>
      <c r="F3573" s="6" t="n">
        <f aca="false">Sens!F3549</f>
        <v>39.0720834331704</v>
      </c>
      <c r="G3573" s="6" t="n">
        <f aca="false">Sens!G3549</f>
        <v>40.726562953769</v>
      </c>
      <c r="H3573" s="6" t="n">
        <f aca="false">Sens!H3549</f>
        <v>42.2235987259198</v>
      </c>
      <c r="I3573" s="6" t="n">
        <f aca="false">Sens!I3549</f>
        <v>43.5397988077414</v>
      </c>
      <c r="J3573" s="6" t="n">
        <f aca="false">Sens!J3549</f>
        <v>44.653811225693</v>
      </c>
      <c r="K3573" s="6" t="n">
        <f aca="false">Sens!K3549</f>
        <v>45.5468874502068</v>
      </c>
    </row>
    <row r="3574" customFormat="false" ht="15" hidden="false" customHeight="false" outlineLevel="0" collapsed="false">
      <c r="A3574" s="0" t="s">
        <v>875</v>
      </c>
      <c r="B3574" s="0" t="s">
        <v>98</v>
      </c>
      <c r="D3574" s="6" t="n">
        <f aca="false">Sens!D3551</f>
        <v>18.417</v>
      </c>
      <c r="E3574" s="6" t="n">
        <f aca="false">Sens!E3551</f>
        <v>20.345</v>
      </c>
      <c r="F3574" s="6" t="n">
        <f aca="false">Sens!F3551</f>
        <v>22.3572203267814</v>
      </c>
      <c r="G3574" s="6" t="n">
        <f aca="false">Sens!G3551</f>
        <v>24.4392124437232</v>
      </c>
      <c r="H3574" s="6" t="n">
        <f aca="false">Sens!H3551</f>
        <v>26.5738052080665</v>
      </c>
      <c r="I3574" s="6" t="n">
        <f aca="false">Sens!I3551</f>
        <v>28.7412169166967</v>
      </c>
      <c r="J3574" s="6" t="n">
        <f aca="false">Sens!J3551</f>
        <v>30.9192545395413</v>
      </c>
      <c r="K3574" s="6" t="n">
        <f aca="false">Sens!K3551</f>
        <v>33.0836023573092</v>
      </c>
    </row>
    <row r="3575" customFormat="false" ht="15" hidden="false" customHeight="false" outlineLevel="0" collapsed="false">
      <c r="A3575" s="0" t="s">
        <v>876</v>
      </c>
      <c r="B3575" s="0" t="s">
        <v>98</v>
      </c>
      <c r="D3575" s="6" t="n">
        <f aca="false">Sens!D3553</f>
        <v>7.76</v>
      </c>
      <c r="E3575" s="6" t="n">
        <f aca="false">Sens!E3553</f>
        <v>8.26</v>
      </c>
      <c r="F3575" s="6" t="n">
        <f aca="false">Sens!F3553</f>
        <v>8.79988041237113</v>
      </c>
      <c r="G3575" s="6" t="n">
        <f aca="false">Sens!G3553</f>
        <v>9.38321269125306</v>
      </c>
      <c r="H3575" s="6" t="n">
        <f aca="false">Sens!H3553</f>
        <v>10.0139193587476</v>
      </c>
      <c r="I3575" s="6" t="n">
        <f aca="false">Sens!I3553</f>
        <v>10.6963111830911</v>
      </c>
      <c r="J3575" s="6" t="n">
        <f aca="false">Sens!J3553</f>
        <v>11.4351285534696</v>
      </c>
      <c r="K3575" s="6" t="n">
        <f aca="false">Sens!K3553</f>
        <v>12.2355875522124</v>
      </c>
    </row>
    <row r="3576" customFormat="false" ht="15" hidden="false" customHeight="false" outlineLevel="0" collapsed="false">
      <c r="A3576" s="0" t="s">
        <v>704</v>
      </c>
      <c r="B3576" s="0" t="s">
        <v>98</v>
      </c>
      <c r="D3576" s="6" t="n">
        <f aca="false">Sens!D3555</f>
        <v>218.783</v>
      </c>
      <c r="E3576" s="6" t="n">
        <f aca="false">Sens!E3555</f>
        <v>268.127</v>
      </c>
      <c r="F3576" s="6" t="n">
        <f aca="false">Sens!F3555</f>
        <v>343.144371242592</v>
      </c>
      <c r="G3576" s="6" t="n">
        <f aca="false">Sens!G3555</f>
        <v>436.212382827433</v>
      </c>
      <c r="H3576" s="6" t="n">
        <f aca="false">Sens!H3555</f>
        <v>536.556478693896</v>
      </c>
      <c r="I3576" s="6" t="n">
        <f aca="false">Sens!I3555</f>
        <v>620.977571574656</v>
      </c>
      <c r="J3576" s="6" t="n">
        <f aca="false">Sens!J3555</f>
        <v>687.025183897108</v>
      </c>
      <c r="K3576" s="6" t="n">
        <f aca="false">Sens!K3555</f>
        <v>737.073001182707</v>
      </c>
    </row>
    <row r="3577" customFormat="false" ht="15" hidden="false" customHeight="false" outlineLevel="0" collapsed="false">
      <c r="A3577" s="0" t="s">
        <v>877</v>
      </c>
      <c r="B3577" s="0" t="s">
        <v>98</v>
      </c>
      <c r="D3577" s="6" t="n">
        <f aca="false">Sens!D3556</f>
        <v>22.171</v>
      </c>
      <c r="E3577" s="6" t="n">
        <f aca="false">Sens!E3556</f>
        <v>24.835</v>
      </c>
      <c r="F3577" s="6" t="n">
        <f aca="false">Sens!F3556</f>
        <v>27.6114901218559</v>
      </c>
      <c r="G3577" s="6" t="n">
        <f aca="false">Sens!G3556</f>
        <v>30.4675667338515</v>
      </c>
      <c r="H3577" s="6" t="n">
        <f aca="false">Sens!H3556</f>
        <v>33.3643766955789</v>
      </c>
      <c r="I3577" s="6" t="n">
        <f aca="false">Sens!I3556</f>
        <v>36.2577016533691</v>
      </c>
      <c r="J3577" s="6" t="n">
        <f aca="false">Sens!J3556</f>
        <v>39.0988367952171</v>
      </c>
      <c r="K3577" s="6" t="n">
        <f aca="false">Sens!K3556</f>
        <v>41.8357553708823</v>
      </c>
    </row>
    <row r="3578" customFormat="false" ht="15" hidden="false" customHeight="false" outlineLevel="0" collapsed="false">
      <c r="A3578" s="0" t="s">
        <v>878</v>
      </c>
      <c r="B3578" s="0" t="s">
        <v>98</v>
      </c>
      <c r="D3578" s="6" t="n">
        <f aca="false">Sens!D3558</f>
        <v>23.455</v>
      </c>
      <c r="E3578" s="6" t="n">
        <f aca="false">Sens!E3558</f>
        <v>21.79</v>
      </c>
      <c r="F3578" s="6" t="n">
        <f aca="false">Sens!F3558</f>
        <v>20.5736277908051</v>
      </c>
      <c r="G3578" s="6" t="n">
        <f aca="false">Sens!G3558</f>
        <v>19.7371452817919</v>
      </c>
      <c r="H3578" s="6" t="n">
        <f aca="false">Sens!H3558</f>
        <v>19.2339764043138</v>
      </c>
      <c r="I3578" s="6" t="n">
        <f aca="false">Sens!I3558</f>
        <v>19.0353086852681</v>
      </c>
      <c r="J3578" s="6" t="n">
        <f aca="false">Sens!J3558</f>
        <v>19.1273539319129</v>
      </c>
      <c r="K3578" s="6" t="n">
        <f aca="false">Sens!K3558</f>
        <v>19.5099010105511</v>
      </c>
    </row>
    <row r="3579" customFormat="false" ht="15" hidden="false" customHeight="false" outlineLevel="0" collapsed="false">
      <c r="A3579" s="0" t="s">
        <v>879</v>
      </c>
      <c r="B3579" s="0" t="s">
        <v>98</v>
      </c>
      <c r="D3579" s="6" t="n">
        <f aca="false">Sens!D3560</f>
        <v>17.315</v>
      </c>
      <c r="E3579" s="6" t="n">
        <f aca="false">Sens!E3560</f>
        <v>17.087</v>
      </c>
      <c r="F3579" s="6" t="n">
        <f aca="false">Sens!F3560</f>
        <v>16.9564585436519</v>
      </c>
      <c r="G3579" s="6" t="n">
        <f aca="false">Sens!G3560</f>
        <v>16.9206490624268</v>
      </c>
      <c r="H3579" s="6" t="n">
        <f aca="false">Sens!H3560</f>
        <v>16.9784519149849</v>
      </c>
      <c r="I3579" s="6" t="n">
        <f aca="false">Sens!I3560</f>
        <v>17.1303084701817</v>
      </c>
      <c r="J3579" s="6" t="n">
        <f aca="false">Sens!J3560</f>
        <v>17.3782189407267</v>
      </c>
      <c r="K3579" s="6" t="n">
        <f aca="false">Sens!K3560</f>
        <v>17.7257833195413</v>
      </c>
    </row>
    <row r="3580" customFormat="false" ht="15" hidden="false" customHeight="false" outlineLevel="0" collapsed="false">
      <c r="A3580" s="0" t="s">
        <v>718</v>
      </c>
      <c r="B3580" s="0" t="s">
        <v>98</v>
      </c>
      <c r="D3580" s="6" t="n">
        <f aca="false">Sens!D3562</f>
        <v>62.941</v>
      </c>
      <c r="E3580" s="6" t="n">
        <f aca="false">Sens!E3562</f>
        <v>63.712</v>
      </c>
      <c r="F3580" s="6" t="n">
        <f aca="false">Sens!F3562</f>
        <v>65.1415764563129</v>
      </c>
      <c r="G3580" s="6" t="n">
        <f aca="false">Sens!G3562</f>
        <v>67.1253610780702</v>
      </c>
      <c r="H3580" s="6" t="n">
        <f aca="false">Sens!H3562</f>
        <v>69.5768050148776</v>
      </c>
      <c r="I3580" s="6" t="n">
        <f aca="false">Sens!I3562</f>
        <v>72.4233188088189</v>
      </c>
      <c r="J3580" s="6" t="n">
        <f aca="false">Sens!J3562</f>
        <v>75.6044096678567</v>
      </c>
      <c r="K3580" s="6" t="n">
        <f aca="false">Sens!K3562</f>
        <v>79.0714397009747</v>
      </c>
    </row>
    <row r="3581" customFormat="false" ht="15" hidden="false" customHeight="false" outlineLevel="0" collapsed="false">
      <c r="A3581" s="1" t="s">
        <v>895</v>
      </c>
      <c r="B3581" s="0" t="s">
        <v>98</v>
      </c>
      <c r="D3581" s="6" t="n">
        <f aca="false">Sens!D3563</f>
        <v>281.724</v>
      </c>
      <c r="E3581" s="6" t="n">
        <f aca="false">Sens!E3563</f>
        <v>331.839</v>
      </c>
      <c r="F3581" s="6" t="n">
        <f aca="false">Sens!F3563</f>
        <v>408.285947698905</v>
      </c>
      <c r="G3581" s="6" t="n">
        <f aca="false">Sens!G3563</f>
        <v>503.337743905504</v>
      </c>
      <c r="H3581" s="6" t="n">
        <f aca="false">Sens!H3563</f>
        <v>606.133283708773</v>
      </c>
      <c r="I3581" s="6" t="n">
        <f aca="false">Sens!I3563</f>
        <v>693.400890383475</v>
      </c>
      <c r="J3581" s="6" t="n">
        <f aca="false">Sens!J3563</f>
        <v>762.629593564965</v>
      </c>
      <c r="K3581" s="6" t="n">
        <f aca="false">Sens!K3563</f>
        <v>816.144440883682</v>
      </c>
    </row>
    <row r="3582" customFormat="false" ht="15" hidden="false" customHeight="false" outlineLevel="0" collapsed="false">
      <c r="A3582" s="1" t="s">
        <v>896</v>
      </c>
      <c r="B3582" s="0" t="s">
        <v>129</v>
      </c>
      <c r="E3582" s="7" t="n">
        <f aca="false">Sens!E3581/Sens!D3581-1</f>
        <v>0.177886867998467</v>
      </c>
      <c r="F3582" s="7" t="n">
        <f aca="false">Sens!F3581/Sens!E3581-1</f>
        <v>0.230373607981296</v>
      </c>
      <c r="G3582" s="7" t="n">
        <f aca="false">Sens!G3581/Sens!F3581-1</f>
        <v>0.23280692549501</v>
      </c>
      <c r="H3582" s="7" t="n">
        <f aca="false">Sens!H3581/Sens!G3581-1</f>
        <v>0.204227759686086</v>
      </c>
      <c r="I3582" s="7" t="n">
        <f aca="false">Sens!I3581/Sens!H3581-1</f>
        <v>0.143974285887641</v>
      </c>
      <c r="J3582" s="7" t="n">
        <f aca="false">Sens!J3581/Sens!I3581-1</f>
        <v>0.0998393629739995</v>
      </c>
      <c r="K3582" s="7" t="n">
        <f aca="false">Sens!K3581/Sens!J3581-1</f>
        <v>0.0701714800609277</v>
      </c>
    </row>
    <row r="3583" customFormat="false" ht="17.15" hidden="false" customHeight="false" outlineLevel="0" collapsed="false">
      <c r="A3583" s="23" t="s">
        <v>897</v>
      </c>
      <c r="B3583" s="30" t="s">
        <v>98</v>
      </c>
      <c r="C3583" s="30"/>
      <c r="D3583" s="24" t="n">
        <f aca="false">(Sens!D3576+Sens!D3580-Sens!D3581)+(Sens!D3568+Sens!D3569-Sens!D3567)+(Sens!D3571+Sens!D3572-Sens!D3570)+(Sens!D3581-Q!L18)</f>
        <v>0</v>
      </c>
      <c r="E3583" s="24" t="n">
        <f aca="false">(Sens!E3576+Sens!E3580-Sens!E3581)+(Sens!E3568+Sens!E3569-Sens!E3567)+(Sens!E3571+Sens!E3572-Sens!E3570)+(Sens!E3581-Q!M18)</f>
        <v>0</v>
      </c>
      <c r="F3583" s="24" t="n">
        <f aca="false">(Sens!F3576+Sens!F3580-Sens!F3581)+(Sens!F3568+Sens!F3569-Sens!F3567)+(Sens!F3571+Sens!F3572-Sens!F3570)</f>
        <v>0</v>
      </c>
      <c r="G3583" s="24" t="n">
        <f aca="false">(Sens!G3576+Sens!G3580-Sens!G3581)+(Sens!G3568+Sens!G3569-Sens!G3567)+(Sens!G3571+Sens!G3572-Sens!G3570)</f>
        <v>0</v>
      </c>
      <c r="H3583" s="24" t="n">
        <f aca="false">(Sens!H3576+Sens!H3580-Sens!H3581)+(Sens!H3568+Sens!H3569-Sens!H3567)+(Sens!H3571+Sens!H3572-Sens!H3570)</f>
        <v>0</v>
      </c>
      <c r="I3583" s="24" t="n">
        <f aca="false">(Sens!I3576+Sens!I3580-Sens!I3581)+(Sens!I3568+Sens!I3569-Sens!I3567)+(Sens!I3571+Sens!I3572-Sens!I3570)</f>
        <v>0</v>
      </c>
      <c r="J3583" s="24" t="n">
        <f aca="false">(Sens!J3576+Sens!J3580-Sens!J3581)+(Sens!J3568+Sens!J3569-Sens!J3567)+(Sens!J3571+Sens!J3572-Sens!J3570)</f>
        <v>0</v>
      </c>
      <c r="K3583" s="24" t="n">
        <f aca="false">(Sens!K3576+Sens!K3580-Sens!K3581)+(Sens!K3568+Sens!K3569-Sens!K3567)+(Sens!K3571+Sens!K3572-Sens!K3570)</f>
        <v>0</v>
      </c>
    </row>
    <row r="3584" customFormat="false" ht="17.15" hidden="false" customHeight="false" outlineLevel="0" collapsed="false">
      <c r="A3584" s="0" t="s">
        <v>898</v>
      </c>
      <c r="B3584" s="0" t="s">
        <v>129</v>
      </c>
      <c r="E3584" s="7" t="n">
        <f aca="false">(Q!M21+Sens!E3521+Sens!E3522+Sens!E3523+Sens!E3536-Sens!E3519)/(Q!M5-Sens!E3519)</f>
        <v>0.570957350878296</v>
      </c>
      <c r="F3584" s="7" t="n">
        <f aca="false">Sens!$E$3584+dm_seg</f>
        <v>0.570957350878296</v>
      </c>
      <c r="G3584" s="7" t="n">
        <f aca="false">Sens!$E$3584+dm_seg</f>
        <v>0.570957350878296</v>
      </c>
      <c r="H3584" s="7" t="n">
        <f aca="false">Sens!$E$3584+dm_seg</f>
        <v>0.570957350878296</v>
      </c>
      <c r="I3584" s="7" t="n">
        <f aca="false">Sens!$E$3584+dm_seg</f>
        <v>0.570957350878296</v>
      </c>
      <c r="J3584" s="7" t="n">
        <f aca="false">Sens!$E$3584+dm_seg</f>
        <v>0.570957350878296</v>
      </c>
      <c r="K3584" s="7" t="n">
        <f aca="false">Sens!$E$3584+dm_seg</f>
        <v>0.570957350878296</v>
      </c>
      <c r="L3584" s="11" t="s">
        <v>899</v>
      </c>
    </row>
    <row r="3585" customFormat="false" ht="17.15" hidden="false" customHeight="false" outlineLevel="0" collapsed="false">
      <c r="A3585" s="0" t="s">
        <v>732</v>
      </c>
      <c r="B3585" s="0" t="s">
        <v>98</v>
      </c>
      <c r="D3585" s="6" t="n">
        <f aca="false">Q!L21</f>
        <v>110.814</v>
      </c>
      <c r="E3585" s="6" t="n">
        <f aca="false">Q!M21</f>
        <v>136.365</v>
      </c>
      <c r="F3585" s="6" t="n">
        <f aca="false">Sens!F3584*(Sens!F3555-Sens!F3519)+Sens!F3519-(Sens!F3521+Sens!F3522+Sens!F3523)-Sens!F3536</f>
        <v>162.878933760627</v>
      </c>
      <c r="G3585" s="6" t="n">
        <f aca="false">Sens!G3584*(Sens!G3555-Sens!G3519)+Sens!G3519-(Sens!G3521+Sens!G3522+Sens!G3523)-Sens!G3536</f>
        <v>193.685864739228</v>
      </c>
      <c r="H3585" s="6" t="n">
        <f aca="false">Sens!H3584*(Sens!H3555-Sens!H3519)+Sens!H3519-(Sens!H3521+Sens!H3522+Sens!H3523)-Sens!H3536</f>
        <v>229.566707199298</v>
      </c>
      <c r="I3585" s="6" t="n">
        <f aca="false">Sens!I3584*(Sens!I3555-Sens!I3519)+Sens!I3519-(Sens!I3521+Sens!I3522+Sens!I3523)-Sens!I3536</f>
        <v>256.44703008746</v>
      </c>
      <c r="J3585" s="6" t="n">
        <f aca="false">Sens!J3584*(Sens!J3555-Sens!J3519)+Sens!J3519-(Sens!J3521+Sens!J3522+Sens!J3523)-Sens!J3536</f>
        <v>279.41718276295</v>
      </c>
      <c r="K3585" s="6" t="n">
        <f aca="false">Sens!K3584*(Sens!K3555-Sens!K3519)+Sens!K3519-(Sens!K3521+Sens!K3522+Sens!K3523)-Sens!K3536</f>
        <v>300.019557687233</v>
      </c>
      <c r="L3585" s="1" t="s">
        <v>900</v>
      </c>
    </row>
    <row r="3586" customFormat="false" ht="17.15" hidden="false" customHeight="false" outlineLevel="0" collapsed="false">
      <c r="A3586" s="0" t="s">
        <v>901</v>
      </c>
      <c r="B3586" s="0" t="s">
        <v>129</v>
      </c>
      <c r="E3586" s="7" t="n">
        <f aca="false">Q!M22/Q!M12</f>
        <v>0.296207935710698</v>
      </c>
      <c r="F3586" s="7" t="n">
        <f aca="false">Sens!$E$3586+dm_seg</f>
        <v>0.296207935710698</v>
      </c>
      <c r="G3586" s="7" t="n">
        <f aca="false">Sens!$E$3586+dm_seg</f>
        <v>0.296207935710698</v>
      </c>
      <c r="H3586" s="7" t="n">
        <f aca="false">Sens!$E$3586+dm_seg</f>
        <v>0.296207935710698</v>
      </c>
      <c r="I3586" s="7" t="n">
        <f aca="false">Sens!$E$3586+dm_seg</f>
        <v>0.296207935710698</v>
      </c>
      <c r="J3586" s="7" t="n">
        <f aca="false">Sens!$E$3586+dm_seg</f>
        <v>0.296207935710698</v>
      </c>
      <c r="K3586" s="7" t="n">
        <f aca="false">Sens!$E$3586+dm_seg</f>
        <v>0.296207935710698</v>
      </c>
      <c r="L3586" s="11" t="s">
        <v>902</v>
      </c>
    </row>
    <row r="3587" customFormat="false" ht="17.15" hidden="false" customHeight="false" outlineLevel="0" collapsed="false">
      <c r="A3587" s="0" t="s">
        <v>734</v>
      </c>
      <c r="B3587" s="0" t="s">
        <v>98</v>
      </c>
      <c r="D3587" s="6" t="n">
        <f aca="false">Q!L22</f>
        <v>17.714</v>
      </c>
      <c r="E3587" s="6" t="n">
        <f aca="false">Q!M22</f>
        <v>18.872</v>
      </c>
      <c r="F3587" s="6" t="n">
        <f aca="false">Sens!F3562*Sens!F3586</f>
        <v>19.2954518910651</v>
      </c>
      <c r="G3587" s="6" t="n">
        <f aca="false">Sens!G3562*Sens!G3586</f>
        <v>19.8830646387704</v>
      </c>
      <c r="H3587" s="6" t="n">
        <f aca="false">Sens!H3562*Sens!H3586</f>
        <v>20.6092017868026</v>
      </c>
      <c r="I3587" s="6" t="n">
        <f aca="false">Sens!I3562*Sens!I3586</f>
        <v>21.452361761678</v>
      </c>
      <c r="J3587" s="6" t="n">
        <f aca="false">Sens!J3562*Sens!J3586</f>
        <v>22.3946261183418</v>
      </c>
      <c r="K3587" s="6" t="n">
        <f aca="false">Sens!K3562*Sens!K3586</f>
        <v>23.4215879274986</v>
      </c>
    </row>
    <row r="3588" customFormat="false" ht="15" hidden="false" customHeight="false" outlineLevel="0" collapsed="false">
      <c r="A3588" s="1" t="s">
        <v>903</v>
      </c>
      <c r="B3588" s="0" t="s">
        <v>98</v>
      </c>
      <c r="D3588" s="6" t="n">
        <f aca="false">Sens!D3585+Sens!D3587</f>
        <v>128.528</v>
      </c>
      <c r="E3588" s="6" t="n">
        <f aca="false">Sens!E3585+Sens!E3587</f>
        <v>155.237</v>
      </c>
      <c r="F3588" s="6" t="n">
        <f aca="false">Sens!F3585+Sens!F3587</f>
        <v>182.174385651692</v>
      </c>
      <c r="G3588" s="6" t="n">
        <f aca="false">Sens!G3585+Sens!G3587</f>
        <v>213.568929377999</v>
      </c>
      <c r="H3588" s="6" t="n">
        <f aca="false">Sens!H3585+Sens!H3587</f>
        <v>250.1759089861</v>
      </c>
      <c r="I3588" s="6" t="n">
        <f aca="false">Sens!I3585+Sens!I3587</f>
        <v>277.899391849138</v>
      </c>
      <c r="J3588" s="6" t="n">
        <f aca="false">Sens!J3585+Sens!J3587</f>
        <v>301.811808881291</v>
      </c>
      <c r="K3588" s="6" t="n">
        <f aca="false">Sens!K3585+Sens!K3587</f>
        <v>323.441145614731</v>
      </c>
    </row>
    <row r="3589" customFormat="false" ht="15" hidden="false" customHeight="false" outlineLevel="0" collapsed="false">
      <c r="A3589" s="23" t="s">
        <v>904</v>
      </c>
      <c r="B3589" s="30" t="s">
        <v>98</v>
      </c>
      <c r="C3589" s="30"/>
      <c r="D3589" s="24" t="n">
        <f aca="false">Sens!D3588-Q!L23</f>
        <v>0</v>
      </c>
      <c r="E3589" s="24" t="n">
        <f aca="false">Sens!E3588-Q!M23</f>
        <v>0</v>
      </c>
      <c r="F3589" s="30"/>
      <c r="G3589" s="30"/>
      <c r="H3589" s="30"/>
      <c r="I3589" s="30"/>
      <c r="J3589" s="30"/>
      <c r="K3589" s="30"/>
    </row>
    <row r="3590" customFormat="false" ht="15" hidden="false" customHeight="false" outlineLevel="0" collapsed="false">
      <c r="A3590" s="1" t="s">
        <v>905</v>
      </c>
      <c r="B3590" s="0" t="s">
        <v>129</v>
      </c>
      <c r="D3590" s="7" t="n">
        <f aca="false">Sens!D3588/Sens!D3581</f>
        <v>0.456219562408598</v>
      </c>
      <c r="E3590" s="7" t="n">
        <f aca="false">Sens!E3588/Sens!E3581</f>
        <v>0.467808184089272</v>
      </c>
      <c r="F3590" s="7" t="n">
        <f aca="false">Sens!F3588/Sens!F3581</f>
        <v>0.446193131746084</v>
      </c>
      <c r="G3590" s="7" t="n">
        <f aca="false">Sens!G3588/Sens!G3581</f>
        <v>0.424305413142421</v>
      </c>
      <c r="H3590" s="7" t="n">
        <f aca="false">Sens!H3588/Sens!H3581</f>
        <v>0.412740754731927</v>
      </c>
      <c r="I3590" s="7" t="n">
        <f aca="false">Sens!I3588/Sens!I3581</f>
        <v>0.400777379584052</v>
      </c>
      <c r="J3590" s="7" t="n">
        <f aca="false">Sens!J3588/Sens!J3581</f>
        <v>0.395751504305585</v>
      </c>
      <c r="K3590" s="7" t="n">
        <f aca="false">Sens!K3588/Sens!K3581</f>
        <v>0.396303802871615</v>
      </c>
    </row>
    <row r="3591" customFormat="false" ht="17.15" hidden="false" customHeight="false" outlineLevel="0" collapsed="false">
      <c r="A3591" s="1" t="s">
        <v>906</v>
      </c>
      <c r="B3591" s="0" t="s">
        <v>98</v>
      </c>
      <c r="F3591" s="6" t="n">
        <f aca="false">Sens!F3606</f>
        <v>21.0270913187813</v>
      </c>
      <c r="G3591" s="6" t="n">
        <f aca="false">Sens!G3606</f>
        <v>38.4104074669687</v>
      </c>
      <c r="H3591" s="6" t="n">
        <f aca="false">Sens!H3606</f>
        <v>57.2808969656704</v>
      </c>
      <c r="I3591" s="6" t="n">
        <f aca="false">Sens!I3606</f>
        <v>74.5503161684539</v>
      </c>
      <c r="J3591" s="6" t="n">
        <f aca="false">Sens!J3606</f>
        <v>86.5132223944732</v>
      </c>
      <c r="K3591" s="6" t="n">
        <f aca="false">Sens!K3606</f>
        <v>92.5337028017223</v>
      </c>
      <c r="L3591" s="1" t="s">
        <v>907</v>
      </c>
    </row>
    <row r="3592" customFormat="false" ht="17.15" hidden="false" customHeight="false" outlineLevel="0" collapsed="false">
      <c r="A3592" s="1" t="s">
        <v>908</v>
      </c>
      <c r="B3592" s="0" t="s">
        <v>98</v>
      </c>
      <c r="D3592" s="6" t="n">
        <f aca="false">Sens!D3588</f>
        <v>128.528</v>
      </c>
      <c r="E3592" s="6" t="n">
        <f aca="false">Sens!E3588</f>
        <v>155.237</v>
      </c>
      <c r="F3592" s="6" t="n">
        <f aca="false">Sens!F3588+Sens!F3591</f>
        <v>203.201476970473</v>
      </c>
      <c r="G3592" s="6" t="n">
        <f aca="false">Sens!G3588+Sens!G3591</f>
        <v>251.979336844968</v>
      </c>
      <c r="H3592" s="6" t="n">
        <f aca="false">Sens!H3588+Sens!H3591</f>
        <v>307.456805951771</v>
      </c>
      <c r="I3592" s="6" t="n">
        <f aca="false">Sens!I3588+Sens!I3591</f>
        <v>352.449708017592</v>
      </c>
      <c r="J3592" s="6" t="n">
        <f aca="false">Sens!J3588+Sens!J3591</f>
        <v>388.325031275765</v>
      </c>
      <c r="K3592" s="6" t="n">
        <f aca="false">Sens!K3588+Sens!K3591</f>
        <v>415.974848416454</v>
      </c>
    </row>
    <row r="3593" customFormat="false" ht="17.15" hidden="false" customHeight="false" outlineLevel="0" collapsed="false">
      <c r="A3593" s="1" t="s">
        <v>909</v>
      </c>
      <c r="B3593" s="0" t="s">
        <v>98</v>
      </c>
      <c r="E3593" s="6" t="n">
        <f aca="false">Sens!E3536</f>
        <v>16.3054059770833</v>
      </c>
      <c r="F3593" s="6" t="n">
        <f aca="false">Sens!F3536</f>
        <v>36.5856912614356</v>
      </c>
      <c r="G3593" s="6" t="n">
        <f aca="false">Sens!G3536</f>
        <v>66.8830522661911</v>
      </c>
      <c r="H3593" s="6" t="n">
        <f aca="false">Sens!H3536</f>
        <v>99.5657515455511</v>
      </c>
      <c r="I3593" s="6" t="n">
        <f aca="false">Sens!I3536</f>
        <v>128.495157395588</v>
      </c>
      <c r="J3593" s="6" t="n">
        <f aca="false">Sens!J3536</f>
        <v>148.701437311538</v>
      </c>
      <c r="K3593" s="6" t="n">
        <f aca="false">Sens!K3536</f>
        <v>160.499909283402</v>
      </c>
    </row>
    <row r="3594" customFormat="false" ht="17.15" hidden="false" customHeight="false" outlineLevel="0" collapsed="false">
      <c r="A3594" s="1" t="s">
        <v>910</v>
      </c>
      <c r="B3594" s="0" t="s">
        <v>98</v>
      </c>
      <c r="E3594" s="6" t="n">
        <f aca="false">Sens!E3618</f>
        <v>22.2285940229167</v>
      </c>
      <c r="F3594" s="6" t="n">
        <f aca="false">Sens!F3618</f>
        <v>23.5786693435813</v>
      </c>
      <c r="G3594" s="6" t="n">
        <f aca="false">Sens!G3618</f>
        <v>25.3810917662621</v>
      </c>
      <c r="H3594" s="6" t="n">
        <f aca="false">Sens!H3618</f>
        <v>27.5991339540448</v>
      </c>
      <c r="I3594" s="6" t="n">
        <f aca="false">Sens!I3618</f>
        <v>30.1565605898047</v>
      </c>
      <c r="J3594" s="6" t="n">
        <f aca="false">Sens!J3618</f>
        <v>32.9614958558616</v>
      </c>
      <c r="K3594" s="6" t="n">
        <f aca="false">Sens!K3618</f>
        <v>35.9297165444749</v>
      </c>
    </row>
    <row r="3595" customFormat="false" ht="17.15" hidden="false" customHeight="false" outlineLevel="0" collapsed="false">
      <c r="A3595" s="1" t="s">
        <v>911</v>
      </c>
      <c r="B3595" s="0" t="s">
        <v>98</v>
      </c>
      <c r="D3595" s="6" t="n">
        <f aca="false">Q!L27</f>
        <v>-4.901</v>
      </c>
      <c r="E3595" s="6" t="n">
        <f aca="false">Q!M27</f>
        <v>10.697</v>
      </c>
      <c r="F3595" s="6" t="n">
        <f aca="false">oie_f</f>
        <v>-0.4</v>
      </c>
      <c r="G3595" s="6" t="n">
        <f aca="false">oie_f</f>
        <v>-0.4</v>
      </c>
      <c r="H3595" s="6" t="n">
        <f aca="false">oie_f</f>
        <v>-0.4</v>
      </c>
      <c r="I3595" s="6" t="n">
        <f aca="false">oie_f</f>
        <v>-0.4</v>
      </c>
      <c r="J3595" s="6" t="n">
        <f aca="false">oie_f</f>
        <v>-0.4</v>
      </c>
      <c r="K3595" s="6" t="n">
        <f aca="false">oie_f</f>
        <v>-0.4</v>
      </c>
      <c r="L3595" s="11" t="s">
        <v>912</v>
      </c>
    </row>
    <row r="3596" customFormat="false" ht="15" hidden="false" customHeight="false" outlineLevel="0" collapsed="false">
      <c r="A3596" s="1" t="s">
        <v>913</v>
      </c>
      <c r="B3596" s="0" t="s">
        <v>98</v>
      </c>
      <c r="D3596" s="6" t="n">
        <f aca="false">Sens!D3588+Sens!D3595</f>
        <v>123.627</v>
      </c>
      <c r="E3596" s="6" t="n">
        <f aca="false">Sens!E3588+Sens!E3595</f>
        <v>165.934</v>
      </c>
      <c r="F3596" s="6" t="n">
        <f aca="false">Sens!F3588+Sens!F3595</f>
        <v>181.774385651692</v>
      </c>
      <c r="G3596" s="6" t="n">
        <f aca="false">Sens!G3588+Sens!G3595</f>
        <v>213.168929377999</v>
      </c>
      <c r="H3596" s="6" t="n">
        <f aca="false">Sens!H3588+Sens!H3595</f>
        <v>249.7759089861</v>
      </c>
      <c r="I3596" s="6" t="n">
        <f aca="false">Sens!I3588+Sens!I3595</f>
        <v>277.499391849138</v>
      </c>
      <c r="J3596" s="6" t="n">
        <f aca="false">Sens!J3588+Sens!J3595</f>
        <v>301.411808881291</v>
      </c>
      <c r="K3596" s="6" t="n">
        <f aca="false">Sens!K3588+Sens!K3595</f>
        <v>323.041145614731</v>
      </c>
    </row>
    <row r="3597" customFormat="false" ht="15" hidden="false" customHeight="false" outlineLevel="0" collapsed="false">
      <c r="A3597" s="1" t="s">
        <v>914</v>
      </c>
      <c r="B3597" s="0" t="s">
        <v>98</v>
      </c>
      <c r="D3597" s="6" t="n">
        <f aca="false">Q!L29</f>
        <v>21.795</v>
      </c>
      <c r="E3597" s="6" t="n">
        <f aca="false">Q!M29</f>
        <v>32.185</v>
      </c>
      <c r="F3597" s="6" t="n">
        <f aca="false">Sens!F3596*tax_f</f>
        <v>36.3548771303384</v>
      </c>
      <c r="G3597" s="6" t="n">
        <f aca="false">Sens!G3596*tax_f</f>
        <v>42.6337858755998</v>
      </c>
      <c r="H3597" s="6" t="n">
        <f aca="false">Sens!H3596*tax_f</f>
        <v>49.9551817972201</v>
      </c>
      <c r="I3597" s="6" t="n">
        <f aca="false">Sens!I3596*tax_f</f>
        <v>55.4998783698275</v>
      </c>
      <c r="J3597" s="6" t="n">
        <f aca="false">Sens!J3596*tax_f</f>
        <v>60.2823617762583</v>
      </c>
      <c r="K3597" s="6" t="n">
        <f aca="false">Sens!K3596*tax_f</f>
        <v>64.6082291229463</v>
      </c>
    </row>
    <row r="3598" customFormat="false" ht="15" hidden="false" customHeight="false" outlineLevel="0" collapsed="false">
      <c r="A3598" s="1" t="s">
        <v>915</v>
      </c>
      <c r="B3598" s="0" t="s">
        <v>98</v>
      </c>
      <c r="D3598" s="6" t="n">
        <f aca="false">Sens!D3596-Sens!D3597</f>
        <v>101.832</v>
      </c>
      <c r="E3598" s="6" t="n">
        <f aca="false">Sens!E3596-Sens!E3597</f>
        <v>133.749</v>
      </c>
      <c r="F3598" s="6" t="n">
        <f aca="false">Sens!F3596-Sens!F3597</f>
        <v>145.419508521354</v>
      </c>
      <c r="G3598" s="6" t="n">
        <f aca="false">Sens!G3596-Sens!G3597</f>
        <v>170.535143502399</v>
      </c>
      <c r="H3598" s="6" t="n">
        <f aca="false">Sens!H3596-Sens!H3597</f>
        <v>199.82072718888</v>
      </c>
      <c r="I3598" s="6" t="n">
        <f aca="false">Sens!I3596-Sens!I3597</f>
        <v>221.99951347931</v>
      </c>
      <c r="J3598" s="6" t="n">
        <f aca="false">Sens!J3596-Sens!J3597</f>
        <v>241.129447105033</v>
      </c>
      <c r="K3598" s="6" t="n">
        <f aca="false">Sens!K3596-Sens!K3597</f>
        <v>258.432916491785</v>
      </c>
    </row>
    <row r="3599" customFormat="false" ht="17.15" hidden="false" customHeight="false" outlineLevel="0" collapsed="false">
      <c r="A3599" s="1" t="s">
        <v>916</v>
      </c>
      <c r="B3599" s="1" t="s">
        <v>81</v>
      </c>
      <c r="D3599" s="14" t="n">
        <f aca="false">Q!L31</f>
        <v>7.465</v>
      </c>
      <c r="E3599" s="14" t="n">
        <f aca="false">Q!M31</f>
        <v>7.453</v>
      </c>
      <c r="F3599" s="14" t="n">
        <f aca="false">Sens!F3640</f>
        <v>7.4735</v>
      </c>
      <c r="G3599" s="14" t="n">
        <f aca="false">Sens!G3640</f>
        <v>7.5185</v>
      </c>
      <c r="H3599" s="14" t="n">
        <f aca="false">Sens!H3640</f>
        <v>7.54625158584995</v>
      </c>
      <c r="I3599" s="14" t="n">
        <f aca="false">Sens!I3640</f>
        <v>7.55803241785726</v>
      </c>
      <c r="J3599" s="14" t="n">
        <f aca="false">Sens!J3640</f>
        <v>7.57227392897515</v>
      </c>
      <c r="K3599" s="14" t="n">
        <f aca="false">Sens!K3640</f>
        <v>7.58879384667689</v>
      </c>
    </row>
    <row r="3600" customFormat="false" ht="17.15" hidden="false" customHeight="false" outlineLevel="0" collapsed="false">
      <c r="A3600" s="0" t="s">
        <v>917</v>
      </c>
      <c r="B3600" s="0" t="s">
        <v>75</v>
      </c>
      <c r="D3600" s="8" t="n">
        <f aca="false">Sens!D3598/Sens!D3599</f>
        <v>13.641259209645</v>
      </c>
      <c r="E3600" s="8" t="n">
        <f aca="false">Sens!E3598/Sens!E3599</f>
        <v>17.9456594659869</v>
      </c>
      <c r="F3600" s="8" t="n">
        <f aca="false">Sens!F3598/Sens!F3599</f>
        <v>19.458019471647</v>
      </c>
      <c r="G3600" s="8" t="n">
        <f aca="false">Sens!G3598/Sens!G3599</f>
        <v>22.6820700275852</v>
      </c>
      <c r="H3600" s="8" t="n">
        <f aca="false">Sens!H3598/Sens!H3599</f>
        <v>26.4794679736846</v>
      </c>
      <c r="I3600" s="8" t="n">
        <f aca="false">Sens!I3598/Sens!I3599</f>
        <v>29.3726596031521</v>
      </c>
      <c r="J3600" s="8" t="n">
        <f aca="false">Sens!J3598/Sens!J3599</f>
        <v>31.8437300824996</v>
      </c>
      <c r="K3600" s="8" t="n">
        <f aca="false">Sens!K3598/Sens!K3599</f>
        <v>34.0545443338077</v>
      </c>
      <c r="L3600" s="1" t="s">
        <v>918</v>
      </c>
    </row>
    <row r="3601" customFormat="false" ht="17.15" hidden="false" customHeight="false" outlineLevel="0" collapsed="false">
      <c r="A3601" s="1" t="s">
        <v>919</v>
      </c>
      <c r="B3601" s="0" t="s">
        <v>98</v>
      </c>
      <c r="D3601" s="6" t="n">
        <f aca="false">Sens!D3598</f>
        <v>101.832</v>
      </c>
      <c r="E3601" s="6" t="n">
        <f aca="false">Sens!E3598</f>
        <v>133.749</v>
      </c>
      <c r="F3601" s="6" t="n">
        <f aca="false">Sens!F3598+Sens!F3591*(1-tax_f)</f>
        <v>162.241181576379</v>
      </c>
      <c r="G3601" s="6" t="n">
        <f aca="false">Sens!G3598+Sens!G3591*(1-tax_f)</f>
        <v>201.263469475974</v>
      </c>
      <c r="H3601" s="6" t="n">
        <f aca="false">Sens!H3598+Sens!H3591*(1-tax_f)</f>
        <v>245.645444761417</v>
      </c>
      <c r="I3601" s="6" t="n">
        <f aca="false">Sens!I3598+Sens!I3591*(1-tax_f)</f>
        <v>281.639766414073</v>
      </c>
      <c r="J3601" s="6" t="n">
        <f aca="false">Sens!J3598+Sens!J3591*(1-tax_f)</f>
        <v>310.340025020612</v>
      </c>
      <c r="K3601" s="6" t="n">
        <f aca="false">Sens!K3598+Sens!K3591*(1-tax_f)</f>
        <v>332.459878733163</v>
      </c>
    </row>
    <row r="3602" customFormat="false" ht="17.15" hidden="false" customHeight="false" outlineLevel="0" collapsed="false">
      <c r="A3602" s="0" t="s">
        <v>920</v>
      </c>
      <c r="B3602" s="0" t="s">
        <v>75</v>
      </c>
      <c r="D3602" s="8" t="n">
        <f aca="false">Sens!D3601/Sens!D3599</f>
        <v>13.641259209645</v>
      </c>
      <c r="E3602" s="8" t="n">
        <f aca="false">Sens!E3601/Sens!E3599</f>
        <v>17.9456594659869</v>
      </c>
      <c r="F3602" s="8" t="n">
        <f aca="false">Sens!F3601/Sens!F3599</f>
        <v>21.7088621899216</v>
      </c>
      <c r="G3602" s="8" t="n">
        <f aca="false">Sens!G3601/Sens!G3599</f>
        <v>26.7690988197079</v>
      </c>
      <c r="H3602" s="8" t="n">
        <f aca="false">Sens!H3601/Sens!H3599</f>
        <v>32.5519818636883</v>
      </c>
      <c r="I3602" s="8" t="n">
        <f aca="false">Sens!I3601/Sens!I3599</f>
        <v>37.2636356717188</v>
      </c>
      <c r="J3602" s="8" t="n">
        <f aca="false">Sens!J3601/Sens!J3599</f>
        <v>40.9837293171741</v>
      </c>
      <c r="K3602" s="8" t="n">
        <f aca="false">Sens!K3601/Sens!K3599</f>
        <v>43.8093174554671</v>
      </c>
      <c r="L3602" s="1" t="s">
        <v>921</v>
      </c>
    </row>
    <row r="3603" customFormat="false" ht="17.15" hidden="false" customHeight="false" outlineLevel="0" collapsed="false">
      <c r="A3603" s="0" t="s">
        <v>922</v>
      </c>
      <c r="B3603" s="0" t="s">
        <v>129</v>
      </c>
      <c r="E3603" s="7" t="n">
        <f aca="false">Sens!E3602/Sens!D3602-1</f>
        <v>0.315542736208578</v>
      </c>
      <c r="F3603" s="7" t="n">
        <f aca="false">Sens!F3602/Sens!E3602-1</f>
        <v>0.209699884870058</v>
      </c>
      <c r="G3603" s="7" t="n">
        <f aca="false">Sens!G3602/Sens!F3602-1</f>
        <v>0.233095432893558</v>
      </c>
      <c r="H3603" s="7" t="n">
        <f aca="false">Sens!H3602/Sens!G3602-1</f>
        <v>0.216028304984362</v>
      </c>
      <c r="I3603" s="7" t="n">
        <f aca="false">Sens!I3602/Sens!H3602-1</f>
        <v>0.144742456166283</v>
      </c>
      <c r="J3603" s="7" t="n">
        <f aca="false">Sens!J3602/Sens!I3602-1</f>
        <v>0.0998317415463195</v>
      </c>
      <c r="K3603" s="7" t="n">
        <f aca="false">Sens!K3602/Sens!J3602-1</f>
        <v>0.0689441440632619</v>
      </c>
    </row>
    <row r="3604" customFormat="false" ht="17.15" hidden="false" customHeight="false" outlineLevel="0" collapsed="false">
      <c r="A3604" s="0" t="s">
        <v>846</v>
      </c>
      <c r="B3604" s="0" t="s">
        <v>98</v>
      </c>
      <c r="E3604" s="6" t="n">
        <f aca="false">Sens!E3545</f>
        <v>5.25</v>
      </c>
      <c r="F3604" s="6" t="n">
        <f aca="false">Sens!F3545</f>
        <v>13.5</v>
      </c>
      <c r="G3604" s="6" t="n">
        <f aca="false">Sens!G3545</f>
        <v>22.5</v>
      </c>
      <c r="H3604" s="6" t="n">
        <f aca="false">Sens!H3545</f>
        <v>31.5</v>
      </c>
      <c r="I3604" s="6" t="n">
        <f aca="false">Sens!I3545</f>
        <v>38.25</v>
      </c>
      <c r="J3604" s="6" t="n">
        <f aca="false">Sens!J3545</f>
        <v>42.75</v>
      </c>
      <c r="K3604" s="6" t="n">
        <f aca="false">Sens!K3545</f>
        <v>47.25</v>
      </c>
    </row>
    <row r="3605" customFormat="false" ht="17.15" hidden="false" customHeight="false" outlineLevel="0" collapsed="false">
      <c r="A3605" s="1" t="s">
        <v>847</v>
      </c>
      <c r="B3605" s="0" t="s">
        <v>98</v>
      </c>
      <c r="F3605" s="6" t="n">
        <f aca="false">MAX(0,(Sens!E3508+Sens!F3508)/2*Sens!F3516/1000-Sens!F3604*Sens!F3584)</f>
        <v>21.0270913187813</v>
      </c>
      <c r="G3605" s="6" t="n">
        <f aca="false">MAX(0,(Sens!F3508+Sens!G3508)/2*Sens!G3516/1000-Sens!G3604*Sens!G3584)</f>
        <v>38.4104074669687</v>
      </c>
      <c r="H3605" s="6" t="n">
        <f aca="false">MAX(0,(Sens!G3508+Sens!H3508)/2*Sens!H3516/1000-Sens!H3604*Sens!H3584)</f>
        <v>57.2808969656704</v>
      </c>
      <c r="I3605" s="6" t="n">
        <f aca="false">MAX(0,(Sens!H3508+Sens!I3508)/2*Sens!I3516/1000-Sens!I3604*Sens!I3584)</f>
        <v>74.5503161684539</v>
      </c>
      <c r="J3605" s="6" t="n">
        <f aca="false">MAX(0,(Sens!I3508+Sens!J3508)/2*Sens!J3516/1000-Sens!J3604*Sens!J3584)</f>
        <v>86.5132223944732</v>
      </c>
      <c r="K3605" s="6" t="n">
        <f aca="false">MAX(0,(Sens!J3508+Sens!K3508)/2*Sens!K3516/1000-Sens!K3604*Sens!K3584)</f>
        <v>92.5337028017223</v>
      </c>
      <c r="L3605" s="1" t="s">
        <v>848</v>
      </c>
    </row>
    <row r="3606" customFormat="false" ht="17.15" hidden="false" customHeight="false" outlineLevel="0" collapsed="false">
      <c r="A3606" s="1" t="s">
        <v>849</v>
      </c>
      <c r="B3606" s="0" t="s">
        <v>98</v>
      </c>
      <c r="F3606" s="6" t="n">
        <f aca="false">IF(internal_ai_reading=2,1,0)*Sens!F3605</f>
        <v>21.0270913187813</v>
      </c>
      <c r="G3606" s="6" t="n">
        <f aca="false">IF(internal_ai_reading=2,1,0)*Sens!G3605</f>
        <v>38.4104074669687</v>
      </c>
      <c r="H3606" s="6" t="n">
        <f aca="false">IF(internal_ai_reading=2,1,0)*Sens!H3605</f>
        <v>57.2808969656704</v>
      </c>
      <c r="I3606" s="6" t="n">
        <f aca="false">IF(internal_ai_reading=2,1,0)*Sens!I3605</f>
        <v>74.5503161684539</v>
      </c>
      <c r="J3606" s="6" t="n">
        <f aca="false">IF(internal_ai_reading=2,1,0)*Sens!J3605</f>
        <v>86.5132223944732</v>
      </c>
      <c r="K3606" s="6" t="n">
        <f aca="false">IF(internal_ai_reading=2,1,0)*Sens!K3605</f>
        <v>92.5337028017223</v>
      </c>
    </row>
    <row r="3607" customFormat="false" ht="17.15" hidden="false" customHeight="false" outlineLevel="0" collapsed="false">
      <c r="A3607" s="0" t="s">
        <v>850</v>
      </c>
      <c r="B3607" s="0" t="s">
        <v>98</v>
      </c>
      <c r="F3607" s="6" t="n">
        <f aca="false">Sens!F3525+Sens!F3604*Sens!F3584+Sens!F3606-Sens!F3526-Sens!F3536</f>
        <v>31.3453521123163</v>
      </c>
      <c r="G3607" s="6" t="n">
        <f aca="false">Sens!G3525+Sens!G3604*Sens!G3584+Sens!G3606-Sens!G3526-Sens!G3536</f>
        <v>60.4541702786616</v>
      </c>
      <c r="H3607" s="6" t="n">
        <f aca="false">Sens!H3525+Sens!H3604*Sens!H3584+Sens!H3606-Sens!H3526-Sens!H3536</f>
        <v>95.9419244861309</v>
      </c>
      <c r="I3607" s="6" t="n">
        <f aca="false">Sens!I3525+Sens!I3604*Sens!I3584+Sens!I3606-Sens!I3526-Sens!I3536</f>
        <v>121.316081181734</v>
      </c>
      <c r="J3607" s="6" t="n">
        <f aca="false">Sens!J3525+Sens!J3604*Sens!J3584+Sens!J3606-Sens!J3526-Sens!J3536</f>
        <v>138.712352308885</v>
      </c>
      <c r="K3607" s="6" t="n">
        <f aca="false">Sens!K3525+Sens!K3604*Sens!K3584+Sens!K3606-Sens!K3526-Sens!K3536</f>
        <v>149.813913837533</v>
      </c>
    </row>
    <row r="3608" customFormat="false" ht="17.15" hidden="false" customHeight="false" outlineLevel="0" collapsed="false">
      <c r="A3608" s="0" t="s">
        <v>851</v>
      </c>
      <c r="B3608" s="0" t="s">
        <v>98</v>
      </c>
      <c r="E3608" s="6" t="n">
        <f aca="false">Sens!E3507*(cxit_open+self_build*tk_cxfac)/1000*ai_net_open</f>
        <v>126.6980382</v>
      </c>
      <c r="F3608" s="6" t="n">
        <f aca="false">Sens!E3608+Sens!F3533-Sens!F3536</f>
        <v>285.357616735791</v>
      </c>
      <c r="G3608" s="6" t="n">
        <f aca="false">Sens!F3608+Sens!G3533-Sens!G3536</f>
        <v>438.76358104944</v>
      </c>
      <c r="H3608" s="6" t="n">
        <f aca="false">Sens!G3608+Sens!H3533-Sens!H3536</f>
        <v>564.894172596369</v>
      </c>
      <c r="I3608" s="6" t="n">
        <f aca="false">Sens!H3608+Sens!I3533-Sens!I3536</f>
        <v>626.311537525209</v>
      </c>
      <c r="J3608" s="6" t="n">
        <f aca="false">Sens!I3608+Sens!J3533-Sens!J3536</f>
        <v>616.918226090046</v>
      </c>
      <c r="K3608" s="6" t="n">
        <f aca="false">Sens!J3608+Sens!K3533-Sens!K3536</f>
        <v>574.763197594967</v>
      </c>
      <c r="L3608" s="1" t="s">
        <v>852</v>
      </c>
    </row>
    <row r="3609" customFormat="false" ht="17.15" hidden="false" customHeight="false" outlineLevel="0" collapsed="false">
      <c r="A3609" s="0" t="s">
        <v>853</v>
      </c>
      <c r="B3609" s="0" t="s">
        <v>129</v>
      </c>
      <c r="F3609" s="7" t="n">
        <f aca="false">Sens!F3607*(1-tax_f)/((Sens!E3608+Sens!F3608)/2)</f>
        <v>0.121713081179583</v>
      </c>
      <c r="G3609" s="7" t="n">
        <f aca="false">Sens!G3607*(1-tax_f)/((Sens!F3608+Sens!G3608)/2)</f>
        <v>0.133578015312496</v>
      </c>
      <c r="H3609" s="7" t="n">
        <f aca="false">Sens!H3607*(1-tax_f)/((Sens!G3608+Sens!H3608)/2)</f>
        <v>0.152947634410427</v>
      </c>
      <c r="I3609" s="7" t="n">
        <f aca="false">Sens!I3607*(1-tax_f)/((Sens!H3608+Sens!I3608)/2)</f>
        <v>0.162948958556423</v>
      </c>
      <c r="J3609" s="7" t="n">
        <f aca="false">Sens!J3607*(1-tax_f)/((Sens!I3608+Sens!J3608)/2)</f>
        <v>0.178518702004709</v>
      </c>
      <c r="K3609" s="7" t="n">
        <f aca="false">Sens!K3607*(1-tax_f)/((Sens!J3608+Sens!K3608)/2)</f>
        <v>0.201146260549087</v>
      </c>
    </row>
    <row r="3610" customFormat="false" ht="17.15" hidden="false" customHeight="false" outlineLevel="0" collapsed="false">
      <c r="A3610" s="1" t="s">
        <v>854</v>
      </c>
      <c r="B3610" s="0" t="s">
        <v>129</v>
      </c>
      <c r="F3610" s="7" t="n">
        <f aca="false">(Sens!F3607-Sens!F3606)*(1-tax_f)/((Sens!E3608+Sens!F3608)/2)</f>
        <v>0.0400655034627023</v>
      </c>
      <c r="G3610" s="7" t="n">
        <f aca="false">(Sens!G3607-Sens!G3606)*(1-tax_f)/((Sens!F3608+Sens!G3608)/2)</f>
        <v>0.0487073443044949</v>
      </c>
      <c r="H3610" s="7" t="n">
        <f aca="false">(Sens!H3607-Sens!H3606)*(1-tax_f)/((Sens!G3608+Sens!H3608)/2)</f>
        <v>0.0616322085970418</v>
      </c>
      <c r="I3610" s="7" t="n">
        <f aca="false">(Sens!I3607-Sens!I3606)*(1-tax_f)/((Sens!H3608+Sens!I3608)/2)</f>
        <v>0.0628146955521327</v>
      </c>
      <c r="J3610" s="7" t="n">
        <f aca="false">(Sens!J3607-Sens!J3606)*(1-tax_f)/((Sens!I3608+Sens!J3608)/2)</f>
        <v>0.0671787390451388</v>
      </c>
      <c r="K3610" s="7" t="n">
        <f aca="false">(Sens!K3607-Sens!K3606)*(1-tax_f)/((Sens!J3608+Sens!K3608)/2)</f>
        <v>0.0769067435606195</v>
      </c>
    </row>
    <row r="3611" customFormat="false" ht="17.15" hidden="false" customHeight="false" outlineLevel="0" collapsed="false">
      <c r="A3611" s="1" t="s">
        <v>855</v>
      </c>
      <c r="B3611" s="0" t="s">
        <v>129</v>
      </c>
      <c r="F3611" s="7" t="n">
        <f aca="false">(Sens!F3607-Sens!F3606+Sens!F3605)*(1-tax_f)/((Sens!E3608+Sens!F3608)/2)</f>
        <v>0.121713081179583</v>
      </c>
      <c r="G3611" s="7" t="n">
        <f aca="false">(Sens!G3607-Sens!G3606+Sens!G3605)*(1-tax_f)/((Sens!F3608+Sens!G3608)/2)</f>
        <v>0.133578015312496</v>
      </c>
      <c r="H3611" s="7" t="n">
        <f aca="false">(Sens!H3607-Sens!H3606+Sens!H3605)*(1-tax_f)/((Sens!G3608+Sens!H3608)/2)</f>
        <v>0.152947634410427</v>
      </c>
      <c r="I3611" s="7" t="n">
        <f aca="false">(Sens!I3607-Sens!I3606+Sens!I3605)*(1-tax_f)/((Sens!H3608+Sens!I3608)/2)</f>
        <v>0.162948958556423</v>
      </c>
      <c r="J3611" s="7" t="n">
        <f aca="false">(Sens!J3607-Sens!J3606+Sens!J3605)*(1-tax_f)/((Sens!I3608+Sens!J3608)/2)</f>
        <v>0.178518702004709</v>
      </c>
      <c r="K3611" s="7" t="n">
        <f aca="false">(Sens!K3607-Sens!K3606+Sens!K3605)*(1-tax_f)/((Sens!J3608+Sens!K3608)/2)</f>
        <v>0.201146260549087</v>
      </c>
    </row>
    <row r="3612" customFormat="false" ht="17.15" hidden="false" customHeight="false" outlineLevel="0" collapsed="false">
      <c r="A3612" s="1" t="s">
        <v>856</v>
      </c>
      <c r="B3612" s="0" t="s">
        <v>129</v>
      </c>
      <c r="F3612" s="7" t="n">
        <f aca="false">Sens!F3537*(1-tax_f)/(Sens!F3524*(Sens!E3608+Sens!F3608)/2)</f>
        <v>0.156750823796353</v>
      </c>
      <c r="G3612" s="7" t="n">
        <f aca="false">Sens!G3537*(1-tax_f)/(Sens!G3524*(Sens!F3608+Sens!G3608)/2)</f>
        <v>0.177010213324695</v>
      </c>
      <c r="H3612" s="7" t="n">
        <f aca="false">Sens!H3537*(1-tax_f)/(Sens!H3524*(Sens!G3608+Sens!H3608)/2)</f>
        <v>0.207230035452634</v>
      </c>
      <c r="I3612" s="7" t="n">
        <f aca="false">Sens!I3537*(1-tax_f)/(Sens!I3524*(Sens!H3608+Sens!I3608)/2)</f>
        <v>0.22041680213367</v>
      </c>
      <c r="J3612" s="7" t="n">
        <f aca="false">Sens!J3537*(1-tax_f)/(Sens!J3524*(Sens!I3608+Sens!J3608)/2)</f>
        <v>0.241333247713078</v>
      </c>
      <c r="K3612" s="7" t="n">
        <f aca="false">Sens!K3537*(1-tax_f)/(Sens!K3524*(Sens!J3608+Sens!K3608)/2)</f>
        <v>0.271581692599274</v>
      </c>
    </row>
    <row r="3613" customFormat="false" ht="17.15" hidden="false" customHeight="false" outlineLevel="0" collapsed="false">
      <c r="A3613" s="0" t="s">
        <v>857</v>
      </c>
      <c r="B3613" s="0" t="s">
        <v>209</v>
      </c>
      <c r="F3613" s="7" t="n">
        <f aca="false">Sens!F3609-wacc</f>
        <v>0.0187786610867069</v>
      </c>
      <c r="G3613" s="7" t="n">
        <f aca="false">Sens!G3609-wacc</f>
        <v>0.0306435952196202</v>
      </c>
      <c r="H3613" s="7" t="n">
        <f aca="false">Sens!H3609-wacc</f>
        <v>0.0500132143175512</v>
      </c>
      <c r="I3613" s="7" t="n">
        <f aca="false">Sens!I3609-wacc</f>
        <v>0.0600145384635471</v>
      </c>
      <c r="J3613" s="7" t="n">
        <f aca="false">Sens!J3609-wacc</f>
        <v>0.0755842819118328</v>
      </c>
      <c r="K3613" s="7" t="n">
        <f aca="false">Sens!K3609-wacc</f>
        <v>0.0982118404562115</v>
      </c>
    </row>
    <row r="3614" customFormat="false" ht="17.15" hidden="false" customHeight="false" outlineLevel="0" collapsed="false">
      <c r="A3614" s="0" t="s">
        <v>858</v>
      </c>
      <c r="B3614" s="0" t="s">
        <v>98</v>
      </c>
      <c r="F3614" s="6" t="n">
        <f aca="false">Sens!F3607*(1-tax_f)-wacc*(Sens!E3608+Sens!F3608)/2</f>
        <v>3.86892674645013</v>
      </c>
      <c r="G3614" s="6" t="n">
        <f aca="false">Sens!G3607*(1-tax_f)-wacc*(Sens!F3608+Sens!G3608)/2</f>
        <v>11.0948384374386</v>
      </c>
      <c r="H3614" s="6" t="n">
        <f aca="false">Sens!H3607*(1-tax_f)-wacc*(Sens!G3608+Sens!H3608)/2</f>
        <v>25.0980751672799</v>
      </c>
      <c r="I3614" s="6" t="n">
        <f aca="false">Sens!I3607*(1-tax_f)-wacc*(Sens!H3608+Sens!I3608)/2</f>
        <v>35.7448304540442</v>
      </c>
      <c r="J3614" s="6" t="n">
        <f aca="false">Sens!J3607*(1-tax_f)-wacc*(Sens!I3608+Sens!J3608)/2</f>
        <v>46.9843144671383</v>
      </c>
      <c r="K3614" s="6" t="n">
        <f aca="false">Sens!K3607*(1-tax_f)-wacc*(Sens!J3608+Sens!K3608)/2</f>
        <v>58.5186129287917</v>
      </c>
    </row>
    <row r="3615" customFormat="false" ht="17.15" hidden="false" customHeight="false" outlineLevel="0" collapsed="false">
      <c r="A3615" s="3" t="s">
        <v>1327</v>
      </c>
    </row>
    <row r="3616" customFormat="false" ht="15" hidden="false" customHeight="false" outlineLevel="0" collapsed="false">
      <c r="A3616" s="4" t="s">
        <v>43</v>
      </c>
      <c r="B3616" s="4" t="s">
        <v>65</v>
      </c>
      <c r="C3616" s="20" t="s">
        <v>788</v>
      </c>
      <c r="D3616" s="20" t="s">
        <v>789</v>
      </c>
      <c r="E3616" s="20" t="s">
        <v>790</v>
      </c>
      <c r="F3616" s="20" t="s">
        <v>791</v>
      </c>
      <c r="G3616" s="20" t="s">
        <v>792</v>
      </c>
      <c r="H3616" s="20" t="s">
        <v>793</v>
      </c>
      <c r="I3616" s="20" t="s">
        <v>794</v>
      </c>
      <c r="J3616" s="20" t="s">
        <v>795</v>
      </c>
      <c r="K3616" s="20" t="s">
        <v>796</v>
      </c>
      <c r="L3616" s="4" t="s">
        <v>47</v>
      </c>
    </row>
    <row r="3617" customFormat="false" ht="15" hidden="false" customHeight="false" outlineLevel="0" collapsed="false">
      <c r="A3617" s="1" t="s">
        <v>915</v>
      </c>
      <c r="B3617" s="0" t="s">
        <v>98</v>
      </c>
      <c r="F3617" s="6" t="n">
        <f aca="false">Sens!F3598</f>
        <v>145.419508521354</v>
      </c>
      <c r="G3617" s="6" t="n">
        <f aca="false">Sens!G3598</f>
        <v>170.535143502399</v>
      </c>
      <c r="H3617" s="6" t="n">
        <f aca="false">Sens!H3598</f>
        <v>199.82072718888</v>
      </c>
      <c r="I3617" s="6" t="n">
        <f aca="false">Sens!I3598</f>
        <v>221.99951347931</v>
      </c>
      <c r="J3617" s="6" t="n">
        <f aca="false">Sens!J3598</f>
        <v>241.129447105033</v>
      </c>
      <c r="K3617" s="6" t="n">
        <f aca="false">Sens!K3598</f>
        <v>258.432916491785</v>
      </c>
    </row>
    <row r="3618" customFormat="false" ht="17.15" hidden="false" customHeight="false" outlineLevel="0" collapsed="false">
      <c r="A3618" s="1" t="s">
        <v>937</v>
      </c>
      <c r="B3618" s="0" t="s">
        <v>98</v>
      </c>
      <c r="E3618" s="6" t="n">
        <f aca="false">Q!M38-Sens!E3536</f>
        <v>22.2285940229167</v>
      </c>
      <c r="F3618" s="6" t="n">
        <f aca="false">Sens!E3618*(1-1/life_nonai)+Sens!F3624/life_nonai</f>
        <v>23.5786693435813</v>
      </c>
      <c r="G3618" s="6" t="n">
        <f aca="false">Sens!F3618*(1-1/life_nonai)+Sens!G3624/life_nonai</f>
        <v>25.3810917662621</v>
      </c>
      <c r="H3618" s="6" t="n">
        <f aca="false">Sens!G3618*(1-1/life_nonai)+Sens!H3624/life_nonai</f>
        <v>27.5991339540448</v>
      </c>
      <c r="I3618" s="6" t="n">
        <f aca="false">Sens!H3618*(1-1/life_nonai)+Sens!I3624/life_nonai</f>
        <v>30.1565605898047</v>
      </c>
      <c r="J3618" s="6" t="n">
        <f aca="false">Sens!I3618*(1-1/life_nonai)+Sens!J3624/life_nonai</f>
        <v>32.9614958558616</v>
      </c>
      <c r="K3618" s="6" t="n">
        <f aca="false">Sens!J3618*(1-1/life_nonai)+Sens!K3624/life_nonai</f>
        <v>35.9297165444749</v>
      </c>
      <c r="L3618" s="11" t="s">
        <v>938</v>
      </c>
    </row>
    <row r="3619" customFormat="false" ht="17.15" hidden="false" customHeight="false" outlineLevel="0" collapsed="false">
      <c r="A3619" s="1" t="s">
        <v>939</v>
      </c>
      <c r="B3619" s="0" t="s">
        <v>98</v>
      </c>
      <c r="E3619" s="6" t="n">
        <f aca="false">Sens!E3536+Sens!E3618</f>
        <v>38.534</v>
      </c>
      <c r="F3619" s="6" t="n">
        <f aca="false">Sens!F3536+Sens!F3618</f>
        <v>60.1643606050168</v>
      </c>
      <c r="G3619" s="6" t="n">
        <f aca="false">Sens!G3536+Sens!G3618</f>
        <v>92.2641440324532</v>
      </c>
      <c r="H3619" s="6" t="n">
        <f aca="false">Sens!H3536+Sens!H3618</f>
        <v>127.164885499596</v>
      </c>
      <c r="I3619" s="6" t="n">
        <f aca="false">Sens!I3536+Sens!I3618</f>
        <v>158.651717985393</v>
      </c>
      <c r="J3619" s="6" t="n">
        <f aca="false">Sens!J3536+Sens!J3618</f>
        <v>181.6629331674</v>
      </c>
      <c r="K3619" s="6" t="n">
        <f aca="false">Sens!K3536+Sens!K3618</f>
        <v>196.429625827877</v>
      </c>
    </row>
    <row r="3620" customFormat="false" ht="17.15" hidden="false" customHeight="false" outlineLevel="0" collapsed="false">
      <c r="A3620" s="1" t="s">
        <v>940</v>
      </c>
      <c r="B3620" s="0" t="s">
        <v>98</v>
      </c>
      <c r="F3620" s="6" t="n">
        <f aca="false">Sens!F3563*sbc_r</f>
        <v>15.262784607008</v>
      </c>
      <c r="G3620" s="6" t="n">
        <f aca="false">Sens!G3563*sbc_r</f>
        <v>18.8160665658581</v>
      </c>
      <c r="H3620" s="6" t="n">
        <f aca="false">Sens!H3563*sbc_r</f>
        <v>22.6588296867075</v>
      </c>
      <c r="I3620" s="6" t="n">
        <f aca="false">Sens!I3563*sbc_r</f>
        <v>25.9211185099009</v>
      </c>
      <c r="J3620" s="6" t="n">
        <f aca="false">Sens!J3563*sbc_r</f>
        <v>28.5090664695029</v>
      </c>
      <c r="K3620" s="6" t="n">
        <f aca="false">Sens!K3563*sbc_r</f>
        <v>30.5095898588233</v>
      </c>
    </row>
    <row r="3621" customFormat="false" ht="17.15" hidden="false" customHeight="false" outlineLevel="0" collapsed="false">
      <c r="A3621" s="1" t="s">
        <v>941</v>
      </c>
      <c r="B3621" s="0" t="s">
        <v>98</v>
      </c>
      <c r="F3621" s="6" t="n">
        <f aca="false">wc27</f>
        <v>-4.895</v>
      </c>
      <c r="G3621" s="6" t="n">
        <f aca="false">wc_f</f>
        <v>0</v>
      </c>
      <c r="H3621" s="6" t="n">
        <f aca="false">wc_f</f>
        <v>0</v>
      </c>
      <c r="I3621" s="6" t="n">
        <f aca="false">wc_f</f>
        <v>0</v>
      </c>
      <c r="J3621" s="6" t="n">
        <f aca="false">wc_f</f>
        <v>0</v>
      </c>
      <c r="K3621" s="6" t="n">
        <f aca="false">wc_f</f>
        <v>0</v>
      </c>
      <c r="L3621" s="11" t="s">
        <v>942</v>
      </c>
    </row>
    <row r="3622" customFormat="false" ht="15" hidden="false" customHeight="false" outlineLevel="0" collapsed="false">
      <c r="A3622" s="1" t="s">
        <v>756</v>
      </c>
      <c r="B3622" s="0" t="s">
        <v>98</v>
      </c>
      <c r="E3622" s="6" t="n">
        <f aca="false">Q!M35</f>
        <v>182.935</v>
      </c>
      <c r="F3622" s="6" t="n">
        <f aca="false">Sens!F3617+Sens!F3619+Sens!F3620+Sens!F3621</f>
        <v>215.951653733379</v>
      </c>
      <c r="G3622" s="6" t="n">
        <f aca="false">Sens!G3617+Sens!G3619+Sens!G3620+Sens!G3621</f>
        <v>281.61535410071</v>
      </c>
      <c r="H3622" s="6" t="n">
        <f aca="false">Sens!H3617+Sens!H3619+Sens!H3620+Sens!H3621</f>
        <v>349.644442375184</v>
      </c>
      <c r="I3622" s="6" t="n">
        <f aca="false">Sens!I3617+Sens!I3619+Sens!I3620+Sens!I3621</f>
        <v>406.572349974604</v>
      </c>
      <c r="J3622" s="6" t="n">
        <f aca="false">Sens!J3617+Sens!J3619+Sens!J3620+Sens!J3621</f>
        <v>451.301446741936</v>
      </c>
      <c r="K3622" s="6" t="n">
        <f aca="false">Sens!K3617+Sens!K3619+Sens!K3620+Sens!K3621</f>
        <v>485.372132178485</v>
      </c>
    </row>
    <row r="3623" customFormat="false" ht="17.15" hidden="false" customHeight="false" outlineLevel="0" collapsed="false">
      <c r="A3623" s="0" t="s">
        <v>943</v>
      </c>
      <c r="B3623" s="0" t="s">
        <v>98</v>
      </c>
      <c r="F3623" s="6" t="n">
        <f aca="false">Sens!F3533</f>
        <v>195.245269797227</v>
      </c>
      <c r="G3623" s="6" t="n">
        <f aca="false">Sens!G3533</f>
        <v>220.28901657984</v>
      </c>
      <c r="H3623" s="6" t="n">
        <f aca="false">Sens!H3533</f>
        <v>225.69634309248</v>
      </c>
      <c r="I3623" s="6" t="n">
        <f aca="false">Sens!I3533</f>
        <v>189.912522324428</v>
      </c>
      <c r="J3623" s="6" t="n">
        <f aca="false">Sens!J3533</f>
        <v>139.308125876376</v>
      </c>
      <c r="K3623" s="6" t="n">
        <f aca="false">Sens!K3533</f>
        <v>118.344880788323</v>
      </c>
    </row>
    <row r="3624" customFormat="false" ht="17.15" hidden="false" customHeight="false" outlineLevel="0" collapsed="false">
      <c r="A3624" s="1" t="s">
        <v>944</v>
      </c>
      <c r="B3624" s="0" t="s">
        <v>98</v>
      </c>
      <c r="E3624" s="6" t="n">
        <f aca="false">Sens!E3541*cx_azo+Sens!E3548*cx_m365+Sens!E3549*cx_lic+(Sens!E3551+Sens!E3553)*cx_ind+Sens!E3556*cx_srch+(Sens!E3558+Sens!E3560)*cx_dev</f>
        <v>30.1846587067718</v>
      </c>
      <c r="F3624" s="6" t="n">
        <f aca="false">Sens!F3541*cx_azo+Sens!F3548*cx_m365+Sens!F3549*cx_lic+(Sens!F3551+Sens!F3553)*cx_ind+Sens!F3556*cx_srch+(Sens!F3558+Sens!F3560)*cx_dev</f>
        <v>35.7293472295625</v>
      </c>
      <c r="G3624" s="6" t="n">
        <f aca="false">Sens!G3541*cx_azo+Sens!G3548*cx_m365+Sens!G3549*cx_lic+(Sens!G3551+Sens!G3553)*cx_ind+Sens!G3556*cx_srch+(Sens!G3558+Sens!G3560)*cx_dev</f>
        <v>41.6028935703892</v>
      </c>
      <c r="H3624" s="6" t="n">
        <f aca="false">Sens!H3541*cx_azo+Sens!H3548*cx_m365+Sens!H3549*cx_lic+(Sens!H3551+Sens!H3553)*cx_ind+Sens!H3556*cx_srch+(Sens!H3558+Sens!H3560)*cx_dev</f>
        <v>47.5615136440897</v>
      </c>
      <c r="I3624" s="6" t="n">
        <f aca="false">Sens!I3541*cx_azo+Sens!I3548*cx_m365+Sens!I3549*cx_lic+(Sens!I3551+Sens!I3553)*cx_ind+Sens!I3556*cx_srch+(Sens!I3558+Sens!I3560)*cx_dev</f>
        <v>53.1734003116439</v>
      </c>
      <c r="J3624" s="6" t="n">
        <f aca="false">Sens!J3541*cx_azo+Sens!J3548*cx_m365+Sens!J3549*cx_lic+(Sens!J3551+Sens!J3553)*cx_ind+Sens!J3556*cx_srch+(Sens!J3558+Sens!J3560)*cx_dev</f>
        <v>58.2059132503738</v>
      </c>
      <c r="K3624" s="6" t="n">
        <f aca="false">Sens!K3541*cx_azo+Sens!K3548*cx_m365+Sens!K3549*cx_lic+(Sens!K3551+Sens!K3553)*cx_ind+Sens!K3556*cx_srch+(Sens!K3558+Sens!K3560)*cx_dev</f>
        <v>62.643702741994</v>
      </c>
    </row>
    <row r="3625" customFormat="false" ht="17.15" hidden="false" customHeight="false" outlineLevel="0" collapsed="false">
      <c r="A3625" s="1" t="s">
        <v>945</v>
      </c>
      <c r="B3625" s="0" t="s">
        <v>98</v>
      </c>
      <c r="E3625" s="6" t="n">
        <f aca="false">Q!M42</f>
        <v>145.3</v>
      </c>
      <c r="F3625" s="6" t="n">
        <f aca="false">Sens!F3623+Sens!F3624</f>
        <v>230.974617026789</v>
      </c>
      <c r="G3625" s="6" t="n">
        <f aca="false">Sens!G3623+Sens!G3624</f>
        <v>261.891910150229</v>
      </c>
      <c r="H3625" s="6" t="n">
        <f aca="false">Sens!H3623+Sens!H3624</f>
        <v>273.25785673657</v>
      </c>
      <c r="I3625" s="6" t="n">
        <f aca="false">Sens!I3623+Sens!I3624</f>
        <v>243.085922636072</v>
      </c>
      <c r="J3625" s="6" t="n">
        <f aca="false">Sens!J3623+Sens!J3624</f>
        <v>197.514039126749</v>
      </c>
      <c r="K3625" s="6" t="n">
        <f aca="false">Sens!K3623+Sens!K3624</f>
        <v>180.988583530317</v>
      </c>
      <c r="L3625" s="1" t="s">
        <v>946</v>
      </c>
    </row>
    <row r="3626" customFormat="false" ht="15" hidden="false" customHeight="false" outlineLevel="0" collapsed="false">
      <c r="A3626" s="1" t="s">
        <v>947</v>
      </c>
      <c r="B3626" s="0" t="s">
        <v>98</v>
      </c>
      <c r="E3626" s="6" t="n">
        <f aca="false">fl_liab</f>
        <v>66.594</v>
      </c>
      <c r="F3626" s="6" t="n">
        <f aca="false">Sens!E3626-Sens!F3627</f>
        <v>62.46973</v>
      </c>
      <c r="G3626" s="6" t="n">
        <f aca="false">Sens!F3626-Sens!G3627</f>
        <v>57.98686785</v>
      </c>
      <c r="H3626" s="6" t="n">
        <f aca="false">Sens!G3626-Sens!H3627</f>
        <v>53.92827690325</v>
      </c>
      <c r="I3626" s="6" t="n">
        <f aca="false">Sens!H3626-Sens!I3627</f>
        <v>49.7850493638962</v>
      </c>
      <c r="J3626" s="6" t="n">
        <f aca="false">Sens!I3626-Sens!J3627</f>
        <v>45.4823765852716</v>
      </c>
      <c r="K3626" s="6" t="n">
        <f aca="false">Sens!J3626-Sens!K3627</f>
        <v>40.9860835316088</v>
      </c>
    </row>
    <row r="3627" customFormat="false" ht="15" hidden="false" customHeight="false" outlineLevel="0" collapsed="false">
      <c r="A3627" s="1" t="s">
        <v>948</v>
      </c>
      <c r="B3627" s="0" t="s">
        <v>98</v>
      </c>
      <c r="F3627" s="6" t="n">
        <f aca="false">fl_pay_27-Sens!E3626*fl_rate</f>
        <v>4.12427</v>
      </c>
      <c r="G3627" s="6" t="n">
        <f aca="false">fl_pay_28-Sens!F3626*fl_rate</f>
        <v>4.48286215</v>
      </c>
      <c r="H3627" s="6" t="n">
        <f aca="false">fl_pay_29-Sens!G3626*fl_rate</f>
        <v>4.05859094675</v>
      </c>
      <c r="I3627" s="6" t="n">
        <f aca="false">fl_pay_30-Sens!H3626*fl_rate</f>
        <v>4.14322753935375</v>
      </c>
      <c r="J3627" s="6" t="n">
        <f aca="false">fl_pay_31-Sens!I3626*fl_rate</f>
        <v>4.30267277862467</v>
      </c>
      <c r="K3627" s="6" t="n">
        <f aca="false">fl_pay_32-Sens!J3626*fl_rate</f>
        <v>4.49629305366278</v>
      </c>
    </row>
    <row r="3628" customFormat="false" ht="17.15" hidden="false" customHeight="false" outlineLevel="0" collapsed="false">
      <c r="A3628" s="1" t="s">
        <v>949</v>
      </c>
      <c r="B3628" s="0" t="s">
        <v>98</v>
      </c>
      <c r="E3628" s="6" t="n">
        <f aca="false">Q!M35-Q!M36-Q!M43</f>
        <v>63.886</v>
      </c>
      <c r="F3628" s="6" t="n">
        <f aca="false">Sens!F3622-Sens!F3625-Sens!F3627</f>
        <v>-19.1472332934106</v>
      </c>
      <c r="G3628" s="6" t="n">
        <f aca="false">Sens!G3622-Sens!G3625-Sens!G3627</f>
        <v>15.2405818004811</v>
      </c>
      <c r="H3628" s="6" t="n">
        <f aca="false">Sens!H3622-Sens!H3625-Sens!H3627</f>
        <v>72.3279946918641</v>
      </c>
      <c r="I3628" s="6" t="n">
        <f aca="false">Sens!I3622-Sens!I3625-Sens!I3627</f>
        <v>159.343199799178</v>
      </c>
      <c r="J3628" s="6" t="n">
        <f aca="false">Sens!J3622-Sens!J3625-Sens!J3627</f>
        <v>249.484734836562</v>
      </c>
      <c r="K3628" s="6" t="n">
        <f aca="false">Sens!K3622-Sens!K3625-Sens!K3627</f>
        <v>299.887255594505</v>
      </c>
      <c r="L3628" s="11" t="s">
        <v>950</v>
      </c>
    </row>
    <row r="3629" customFormat="false" ht="15" hidden="false" customHeight="false" outlineLevel="0" collapsed="false">
      <c r="A3629" s="1" t="s">
        <v>951</v>
      </c>
      <c r="B3629" s="0" t="s">
        <v>75</v>
      </c>
      <c r="F3629" s="8" t="n">
        <f aca="false">dps_27</f>
        <v>3.85</v>
      </c>
      <c r="G3629" s="8" t="n">
        <f aca="false">Sens!F3629*(1+dps_g)</f>
        <v>4.158</v>
      </c>
      <c r="H3629" s="8" t="n">
        <f aca="false">Sens!G3629*(1+dps_g)</f>
        <v>4.49064</v>
      </c>
      <c r="I3629" s="8" t="n">
        <f aca="false">Sens!H3629*(1+dps_g)</f>
        <v>4.8498912</v>
      </c>
      <c r="J3629" s="8" t="n">
        <f aca="false">Sens!I3629*(1+dps_g)</f>
        <v>5.237882496</v>
      </c>
      <c r="K3629" s="8" t="n">
        <f aca="false">Sens!J3629*(1+dps_g)</f>
        <v>5.65691309568</v>
      </c>
    </row>
    <row r="3630" customFormat="false" ht="17.15" hidden="false" customHeight="false" outlineLevel="0" collapsed="false">
      <c r="A3630" s="1" t="s">
        <v>952</v>
      </c>
      <c r="B3630" s="0" t="s">
        <v>98</v>
      </c>
      <c r="E3630" s="6" t="n">
        <f aca="false">Q!M41</f>
        <v>26.445</v>
      </c>
      <c r="F3630" s="6" t="n">
        <f aca="false">Sens!F3629*Sens!E3639</f>
        <v>28.59395</v>
      </c>
      <c r="G3630" s="6" t="n">
        <f aca="false">Sens!G3629*Sens!F3639</f>
        <v>31.068576</v>
      </c>
      <c r="H3630" s="6" t="n">
        <f aca="false">Sens!H3629*Sens!G3639</f>
        <v>33.75614088</v>
      </c>
      <c r="I3630" s="6" t="n">
        <f aca="false">Sens!I3629*Sens!H3639</f>
        <v>36.5075713903995</v>
      </c>
      <c r="J3630" s="6" t="n">
        <f aca="false">Sens!J3629*Sens!I3639</f>
        <v>39.4965759499509</v>
      </c>
      <c r="K3630" s="6" t="n">
        <f aca="false">Sens!K3629*Sens!J3639</f>
        <v>42.743557251252</v>
      </c>
      <c r="L3630" s="1" t="s">
        <v>953</v>
      </c>
    </row>
    <row r="3631" customFormat="false" ht="15" hidden="false" customHeight="false" outlineLevel="0" collapsed="false">
      <c r="A3631" s="1" t="s">
        <v>954</v>
      </c>
      <c r="B3631" s="0" t="s">
        <v>98</v>
      </c>
      <c r="E3631" s="6" t="n">
        <f aca="false">Sens!E3628-Sens!E3630</f>
        <v>37.441</v>
      </c>
      <c r="F3631" s="6" t="n">
        <f aca="false">Sens!F3628-Sens!F3630</f>
        <v>-47.7411832934106</v>
      </c>
      <c r="G3631" s="6" t="n">
        <f aca="false">Sens!G3628-Sens!G3630</f>
        <v>-15.8279941995189</v>
      </c>
      <c r="H3631" s="6" t="n">
        <f aca="false">Sens!H3628-Sens!H3630</f>
        <v>38.5718538118641</v>
      </c>
      <c r="I3631" s="6" t="n">
        <f aca="false">Sens!I3628-Sens!I3630</f>
        <v>122.835628408779</v>
      </c>
      <c r="J3631" s="6" t="n">
        <f aca="false">Sens!J3628-Sens!J3630</f>
        <v>209.988158886611</v>
      </c>
      <c r="K3631" s="6" t="n">
        <f aca="false">Sens!K3628-Sens!K3630</f>
        <v>257.143698343253</v>
      </c>
    </row>
    <row r="3632" customFormat="false" ht="15" hidden="false" customHeight="false" outlineLevel="0" collapsed="false">
      <c r="A3632" s="1" t="s">
        <v>955</v>
      </c>
      <c r="B3632" s="0" t="s">
        <v>98</v>
      </c>
      <c r="F3632" s="6" t="n">
        <f aca="false">debt_mat_27</f>
        <v>9.25</v>
      </c>
      <c r="G3632" s="6" t="n">
        <f aca="false">debt_mat_28</f>
        <v>0</v>
      </c>
      <c r="H3632" s="6" t="n">
        <f aca="false">debt_mat_29</f>
        <v>2.001</v>
      </c>
      <c r="I3632" s="6" t="n">
        <f aca="false">debt_mat_30</f>
        <v>0</v>
      </c>
      <c r="J3632" s="6" t="n">
        <f aca="false">debt_mat_31</f>
        <v>0.5</v>
      </c>
      <c r="K3632" s="6" t="n">
        <f aca="false">debt_mat_32</f>
        <v>0</v>
      </c>
    </row>
    <row r="3633" customFormat="false" ht="15" hidden="false" customHeight="false" outlineLevel="0" collapsed="false">
      <c r="A3633" s="1" t="s">
        <v>956</v>
      </c>
      <c r="B3633" s="0" t="s">
        <v>98</v>
      </c>
      <c r="E3633" s="6" t="n">
        <f aca="false">Q!M40</f>
        <v>22.271</v>
      </c>
      <c r="F3633" s="6" t="n">
        <f aca="false">MAX(0,MIN(bb_target,Sens!E3635+Sens!F3631-Sens!F3632-min_cash))</f>
        <v>0</v>
      </c>
      <c r="G3633" s="6" t="n">
        <f aca="false">MAX(0,MIN(bb_target,Sens!F3635+Sens!G3631-Sens!G3632-min_cash))</f>
        <v>0</v>
      </c>
      <c r="H3633" s="6" t="n">
        <f aca="false">MAX(0,MIN(bb_target,Sens!G3635+Sens!H3631-Sens!H3632-min_cash))</f>
        <v>22.271</v>
      </c>
      <c r="I3633" s="6" t="n">
        <f aca="false">MAX(0,MIN(bb_target,Sens!H3635+Sens!I3631-Sens!I3632-min_cash))</f>
        <v>22.271</v>
      </c>
      <c r="J3633" s="6" t="n">
        <f aca="false">MAX(0,MIN(bb_target,Sens!I3635+Sens!J3631-Sens!J3632-min_cash))</f>
        <v>22.271</v>
      </c>
      <c r="K3633" s="6" t="n">
        <f aca="false">MAX(0,MIN(bb_target,Sens!J3635+Sens!K3631-Sens!K3632-min_cash))</f>
        <v>22.271</v>
      </c>
    </row>
    <row r="3634" customFormat="false" ht="15" hidden="false" customHeight="false" outlineLevel="0" collapsed="false">
      <c r="A3634" s="1" t="s">
        <v>957</v>
      </c>
      <c r="B3634" s="0" t="s">
        <v>98</v>
      </c>
      <c r="F3634" s="6" t="n">
        <f aca="false">MAX(0,min_cash-(Sens!E3635+Sens!F3631-Sens!F3632-Sens!F3633))</f>
        <v>30.1481832934106</v>
      </c>
      <c r="G3634" s="6" t="n">
        <f aca="false">MAX(0,min_cash-(Sens!F3635+Sens!G3631-Sens!G3632-Sens!G3633))</f>
        <v>15.8279941995189</v>
      </c>
      <c r="H3634" s="6" t="n">
        <f aca="false">MAX(0,min_cash-(Sens!G3635+Sens!H3631-Sens!H3632-Sens!H3633))</f>
        <v>0</v>
      </c>
      <c r="I3634" s="6" t="n">
        <f aca="false">MAX(0,min_cash-(Sens!H3635+Sens!I3631-Sens!I3632-Sens!I3633))</f>
        <v>0</v>
      </c>
      <c r="J3634" s="6" t="n">
        <f aca="false">MAX(0,min_cash-(Sens!I3635+Sens!J3631-Sens!J3632-Sens!J3633))</f>
        <v>0</v>
      </c>
      <c r="K3634" s="6" t="n">
        <f aca="false">MAX(0,min_cash-(Sens!J3635+Sens!K3631-Sens!K3632-Sens!K3633))</f>
        <v>0</v>
      </c>
    </row>
    <row r="3635" customFormat="false" ht="15" hidden="false" customHeight="false" outlineLevel="0" collapsed="false">
      <c r="A3635" s="1" t="s">
        <v>958</v>
      </c>
      <c r="B3635" s="0" t="s">
        <v>98</v>
      </c>
      <c r="E3635" s="6" t="n">
        <f aca="false">cash_open</f>
        <v>76.843</v>
      </c>
      <c r="F3635" s="6" t="n">
        <f aca="false">Sens!E3635+Sens!F3631-Sens!F3632-Sens!F3633+Sens!F3634</f>
        <v>50</v>
      </c>
      <c r="G3635" s="6" t="n">
        <f aca="false">Sens!F3635+Sens!G3631-Sens!G3632-Sens!G3633+Sens!G3634</f>
        <v>50</v>
      </c>
      <c r="H3635" s="6" t="n">
        <f aca="false">Sens!G3635+Sens!H3631-Sens!H3632-Sens!H3633+Sens!H3634</f>
        <v>64.2998538118641</v>
      </c>
      <c r="I3635" s="6" t="n">
        <f aca="false">Sens!H3635+Sens!I3631-Sens!I3632-Sens!I3633+Sens!I3634</f>
        <v>164.864482220643</v>
      </c>
      <c r="J3635" s="6" t="n">
        <f aca="false">Sens!I3635+Sens!J3631-Sens!J3632-Sens!J3633+Sens!J3634</f>
        <v>352.081641107254</v>
      </c>
      <c r="K3635" s="6" t="n">
        <f aca="false">Sens!J3635+Sens!K3631-Sens!K3632-Sens!K3633+Sens!K3634</f>
        <v>586.954339450507</v>
      </c>
    </row>
    <row r="3636" customFormat="false" ht="15" hidden="false" customHeight="false" outlineLevel="0" collapsed="false">
      <c r="A3636" s="1" t="s">
        <v>959</v>
      </c>
      <c r="B3636" s="0" t="s">
        <v>98</v>
      </c>
      <c r="E3636" s="6" t="n">
        <f aca="false">debt_face</f>
        <v>46.136</v>
      </c>
      <c r="F3636" s="6" t="n">
        <f aca="false">Sens!E3636-Sens!F3632+Sens!F3634</f>
        <v>67.0341832934107</v>
      </c>
      <c r="G3636" s="6" t="n">
        <f aca="false">Sens!F3636-Sens!G3632+Sens!G3634</f>
        <v>82.8621774929296</v>
      </c>
      <c r="H3636" s="6" t="n">
        <f aca="false">Sens!G3636-Sens!H3632+Sens!H3634</f>
        <v>80.8611774929296</v>
      </c>
      <c r="I3636" s="6" t="n">
        <f aca="false">Sens!H3636-Sens!I3632+Sens!I3634</f>
        <v>80.8611774929296</v>
      </c>
      <c r="J3636" s="6" t="n">
        <f aca="false">Sens!I3636-Sens!J3632+Sens!J3634</f>
        <v>80.3611774929296</v>
      </c>
      <c r="K3636" s="6" t="n">
        <f aca="false">Sens!J3636-Sens!K3632+Sens!K3634</f>
        <v>80.3611774929296</v>
      </c>
    </row>
    <row r="3637" customFormat="false" ht="15" hidden="false" customHeight="false" outlineLevel="0" collapsed="false">
      <c r="A3637" s="1" t="s">
        <v>960</v>
      </c>
      <c r="B3637" s="0" t="s">
        <v>98</v>
      </c>
      <c r="E3637" s="6" t="n">
        <f aca="false">Sens!E3635-Sens!E3636</f>
        <v>30.707</v>
      </c>
      <c r="F3637" s="6" t="n">
        <f aca="false">Sens!F3635-Sens!F3636</f>
        <v>-17.0341832934107</v>
      </c>
      <c r="G3637" s="6" t="n">
        <f aca="false">Sens!G3635-Sens!G3636</f>
        <v>-32.8621774929296</v>
      </c>
      <c r="H3637" s="6" t="n">
        <f aca="false">Sens!H3635-Sens!H3636</f>
        <v>-16.5613236810655</v>
      </c>
      <c r="I3637" s="6" t="n">
        <f aca="false">Sens!I3635-Sens!I3636</f>
        <v>84.0033047277133</v>
      </c>
      <c r="J3637" s="6" t="n">
        <f aca="false">Sens!J3635-Sens!J3636</f>
        <v>271.720463614324</v>
      </c>
      <c r="K3637" s="6" t="n">
        <f aca="false">Sens!K3635-Sens!K3636</f>
        <v>506.593161957578</v>
      </c>
    </row>
    <row r="3638" customFormat="false" ht="15" hidden="false" customHeight="false" outlineLevel="0" collapsed="false">
      <c r="A3638" s="1" t="s">
        <v>961</v>
      </c>
      <c r="B3638" s="0" t="s">
        <v>75</v>
      </c>
      <c r="F3638" s="29" t="n">
        <f aca="false">px*(1+bb_g)^(Sens!F3502-base_fy-mid_yr)</f>
        <v>553.494156066711</v>
      </c>
      <c r="G3638" s="29" t="n">
        <f aca="false">px*(1+bb_g)^(Sens!G3502-base_fy-mid_yr)</f>
        <v>597.773688552047</v>
      </c>
      <c r="H3638" s="29" t="n">
        <f aca="false">px*(1+bb_g)^(Sens!H3502-base_fy-mid_yr)</f>
        <v>645.595583636211</v>
      </c>
      <c r="I3638" s="29" t="n">
        <f aca="false">px*(1+bb_g)^(Sens!I3502-base_fy-mid_yr)</f>
        <v>697.243230327108</v>
      </c>
      <c r="J3638" s="29" t="n">
        <f aca="false">px*(1+bb_g)^(Sens!J3502-base_fy-mid_yr)</f>
        <v>753.022688753277</v>
      </c>
      <c r="K3638" s="29" t="n">
        <f aca="false">px*(1+bb_g)^(Sens!K3502-base_fy-mid_yr)</f>
        <v>813.264503853539</v>
      </c>
    </row>
    <row r="3639" customFormat="false" ht="15" hidden="false" customHeight="false" outlineLevel="0" collapsed="false">
      <c r="A3639" s="1" t="s">
        <v>962</v>
      </c>
      <c r="B3639" s="1" t="s">
        <v>81</v>
      </c>
      <c r="E3639" s="14" t="n">
        <f aca="false">sh_out26</f>
        <v>7.427</v>
      </c>
      <c r="F3639" s="14" t="n">
        <f aca="false">Sens!E3639+sh_iss-Sens!F3633/Sens!F3638</f>
        <v>7.472</v>
      </c>
      <c r="G3639" s="14" t="n">
        <f aca="false">Sens!F3639+sh_iss-Sens!G3633/Sens!G3638</f>
        <v>7.517</v>
      </c>
      <c r="H3639" s="14" t="n">
        <f aca="false">Sens!G3639+sh_iss-Sens!H3633/Sens!H3638</f>
        <v>7.5275031716999</v>
      </c>
      <c r="I3639" s="14" t="n">
        <f aca="false">Sens!H3639+sh_iss-Sens!I3633/Sens!I3638</f>
        <v>7.54056166401463</v>
      </c>
      <c r="J3639" s="14" t="n">
        <f aca="false">Sens!I3639+sh_iss-Sens!J3633/Sens!J3638</f>
        <v>7.55598619393567</v>
      </c>
      <c r="K3639" s="14" t="n">
        <f aca="false">Sens!J3639+sh_iss-Sens!K3633/Sens!K3638</f>
        <v>7.57360149941811</v>
      </c>
    </row>
    <row r="3640" customFormat="false" ht="15" hidden="false" customHeight="false" outlineLevel="0" collapsed="false">
      <c r="A3640" s="1" t="s">
        <v>963</v>
      </c>
      <c r="B3640" s="1" t="s">
        <v>81</v>
      </c>
      <c r="E3640" s="14" t="n">
        <f aca="false">sh_dil26</f>
        <v>7.453</v>
      </c>
      <c r="F3640" s="14" t="n">
        <f aca="false">(Sens!E3639+Sens!F3639)/2+dil_gap</f>
        <v>7.4735</v>
      </c>
      <c r="G3640" s="14" t="n">
        <f aca="false">(Sens!F3639+Sens!G3639)/2+dil_gap</f>
        <v>7.5185</v>
      </c>
      <c r="H3640" s="14" t="n">
        <f aca="false">(Sens!G3639+Sens!H3639)/2+dil_gap</f>
        <v>7.54625158584995</v>
      </c>
      <c r="I3640" s="14" t="n">
        <f aca="false">(Sens!H3639+Sens!I3639)/2+dil_gap</f>
        <v>7.55803241785726</v>
      </c>
      <c r="J3640" s="14" t="n">
        <f aca="false">(Sens!I3639+Sens!J3639)/2+dil_gap</f>
        <v>7.57227392897515</v>
      </c>
      <c r="K3640" s="14" t="n">
        <f aca="false">(Sens!J3639+Sens!K3639)/2+dil_gap</f>
        <v>7.58879384667689</v>
      </c>
    </row>
    <row r="3641" customFormat="false" ht="17.15" hidden="false" customHeight="false" outlineLevel="0" collapsed="false">
      <c r="A3641" s="1" t="s">
        <v>964</v>
      </c>
      <c r="B3641" s="0" t="s">
        <v>98</v>
      </c>
      <c r="C3641" s="6" t="n">
        <f aca="false">SUM(Sens!F3631:J3631)</f>
        <v>307.826463614324</v>
      </c>
    </row>
    <row r="3642" customFormat="false" ht="15" hidden="false" customHeight="false" outlineLevel="0" collapsed="false">
      <c r="A3642" s="23" t="s">
        <v>935</v>
      </c>
      <c r="B3642" s="30" t="s">
        <v>98</v>
      </c>
      <c r="C3642" s="24" t="n">
        <f aca="false">Sens!$C$3641-(Sens!F3631+Sens!G3631+Sens!H3631+Sens!I3631+Sens!J3631)</f>
        <v>0</v>
      </c>
      <c r="D3642" s="30"/>
      <c r="E3642" s="30"/>
      <c r="F3642" s="30"/>
      <c r="G3642" s="30"/>
      <c r="H3642" s="30"/>
      <c r="I3642" s="30"/>
      <c r="J3642" s="30"/>
      <c r="K3642" s="30"/>
    </row>
    <row r="3643" customFormat="false" ht="17.15" hidden="false" customHeight="false" outlineLevel="0" collapsed="false">
      <c r="A3643" s="1" t="s">
        <v>929</v>
      </c>
      <c r="B3643" s="1" t="s">
        <v>965</v>
      </c>
      <c r="C3643" s="32" t="str">
        <f aca="false">IF(SUM(Sens!F3634:J3634)&gt;0.05,"需要舉債 "&amp;TEXT(SUM(Sens!F3634:J3634),"0.0")&amp;" 十億美元","不需舉債")&amp;"；"&amp;IF(SUM(Sens!F3633:J3633)&lt;COUNT(Sens!F3633:J3633)*bb_target-0.05,"回購較每年 "&amp;TEXT(bb_target,"0.0")&amp;" 的目標少 "&amp;TEXT(COUNT(Sens!F3633:J3633)*bb_target-SUM(Sens!F3633:J3633),"0.0")&amp;" 十億美元（"&amp;TEXT(COUNTIF(Sens!F3633:J3633,"&lt;"&amp;(bb_target-0.05)),"0")&amp;" 年減少）","回購不減")</f>
        <v>需要舉債 46.0 十億美元；回購較每年 22.3 的目標少 44.5 十億美元（2 年減少）</v>
      </c>
    </row>
    <row r="3644" customFormat="false" ht="17.15" hidden="false" customHeight="false" outlineLevel="0" collapsed="false">
      <c r="A3644" s="3" t="s">
        <v>1328</v>
      </c>
    </row>
    <row r="3645" customFormat="false" ht="15" hidden="false" customHeight="false" outlineLevel="0" collapsed="false">
      <c r="A3645" s="4" t="s">
        <v>43</v>
      </c>
      <c r="B3645" s="4" t="s">
        <v>65</v>
      </c>
      <c r="C3645" s="20" t="s">
        <v>788</v>
      </c>
      <c r="D3645" s="20" t="s">
        <v>789</v>
      </c>
      <c r="E3645" s="20" t="s">
        <v>790</v>
      </c>
      <c r="F3645" s="20" t="s">
        <v>791</v>
      </c>
      <c r="G3645" s="20" t="s">
        <v>792</v>
      </c>
      <c r="H3645" s="20" t="s">
        <v>793</v>
      </c>
      <c r="I3645" s="20" t="s">
        <v>794</v>
      </c>
      <c r="J3645" s="20" t="s">
        <v>795</v>
      </c>
      <c r="K3645" s="20" t="s">
        <v>796</v>
      </c>
      <c r="L3645" s="4" t="s">
        <v>47</v>
      </c>
    </row>
    <row r="3646" customFormat="false" ht="15" hidden="false" customHeight="false" outlineLevel="0" collapsed="false">
      <c r="A3646" s="1" t="s">
        <v>1042</v>
      </c>
      <c r="B3646" s="1" t="s">
        <v>235</v>
      </c>
      <c r="F3646" s="36" t="n">
        <f aca="false">Sens!F3502-base_fy-mid_yr</f>
        <v>0.5</v>
      </c>
      <c r="G3646" s="36" t="n">
        <f aca="false">Sens!G3502-base_fy-mid_yr</f>
        <v>1.5</v>
      </c>
      <c r="H3646" s="36" t="n">
        <f aca="false">Sens!H3502-base_fy-mid_yr</f>
        <v>2.5</v>
      </c>
      <c r="I3646" s="36" t="n">
        <f aca="false">Sens!I3502-base_fy-mid_yr</f>
        <v>3.5</v>
      </c>
      <c r="J3646" s="36" t="n">
        <f aca="false">Sens!J3502-base_fy-mid_yr</f>
        <v>4.5</v>
      </c>
      <c r="K3646" s="36" t="n">
        <f aca="false">Sens!K3502-base_fy-mid_yr</f>
        <v>5.5</v>
      </c>
    </row>
    <row r="3647" customFormat="false" ht="15" hidden="false" customHeight="false" outlineLevel="0" collapsed="false">
      <c r="A3647" s="1" t="s">
        <v>1043</v>
      </c>
      <c r="B3647" s="0" t="s">
        <v>185</v>
      </c>
      <c r="F3647" s="14" t="n">
        <f aca="false">1/(1+wacc)^Sens!F3646</f>
        <v>0.952193373608246</v>
      </c>
      <c r="G3647" s="14" t="n">
        <f aca="false">1/(1+wacc)^Sens!G3646</f>
        <v>0.863327280626589</v>
      </c>
      <c r="H3647" s="14" t="n">
        <f aca="false">1/(1+wacc)^Sens!H3646</f>
        <v>0.782754862754115</v>
      </c>
      <c r="I3647" s="14" t="n">
        <f aca="false">1/(1+wacc)^Sens!I3646</f>
        <v>0.709702089711011</v>
      </c>
      <c r="J3647" s="14" t="n">
        <f aca="false">1/(1+wacc)^Sens!J3646</f>
        <v>0.643467169744551</v>
      </c>
      <c r="K3647" s="14" t="n">
        <f aca="false">1/(1+wacc)^Sens!K3646</f>
        <v>0.583413807767797</v>
      </c>
    </row>
    <row r="3648" customFormat="false" ht="17.15" hidden="false" customHeight="false" outlineLevel="0" collapsed="false">
      <c r="A3648" s="1" t="s">
        <v>1044</v>
      </c>
      <c r="B3648" s="0" t="s">
        <v>98</v>
      </c>
      <c r="F3648" s="6" t="n">
        <f aca="false">Sens!F3622-Sens!F3620-Sens!F3625+Sens!F3606*(1-tax_f)</f>
        <v>-13.4640748453936</v>
      </c>
      <c r="G3648" s="6" t="n">
        <f aca="false">Sens!G3622-Sens!G3620-Sens!G3625+Sens!G3606*(1-tax_f)</f>
        <v>31.635703358198</v>
      </c>
      <c r="H3648" s="6" t="n">
        <f aca="false">Sens!H3622-Sens!H3620-Sens!H3625+Sens!H3606*(1-tax_f)</f>
        <v>99.5524735244429</v>
      </c>
      <c r="I3648" s="6" t="n">
        <f aca="false">Sens!I3622-Sens!I3620-Sens!I3625+Sens!I3606*(1-tax_f)</f>
        <v>197.205561763394</v>
      </c>
      <c r="J3648" s="6" t="n">
        <f aca="false">Sens!J3622-Sens!J3620-Sens!J3625+Sens!J3606*(1-tax_f)</f>
        <v>294.488919061262</v>
      </c>
      <c r="K3648" s="6" t="n">
        <f aca="false">Sens!K3622-Sens!K3620-Sens!K3625+Sens!K3606*(1-tax_f)</f>
        <v>347.900921030723</v>
      </c>
      <c r="L3648" s="1" t="s">
        <v>1045</v>
      </c>
    </row>
    <row r="3649" customFormat="false" ht="15" hidden="false" customHeight="false" outlineLevel="0" collapsed="false">
      <c r="A3649" s="1" t="s">
        <v>1046</v>
      </c>
      <c r="B3649" s="0" t="s">
        <v>98</v>
      </c>
      <c r="F3649" s="6" t="n">
        <f aca="false">Sens!F3648*Sens!F3647</f>
        <v>-12.8204028495493</v>
      </c>
      <c r="G3649" s="6" t="n">
        <f aca="false">Sens!G3648*Sens!G3647</f>
        <v>27.3119657509425</v>
      </c>
      <c r="H3649" s="6" t="n">
        <f aca="false">Sens!H3648*Sens!H3647</f>
        <v>77.925182750458</v>
      </c>
      <c r="I3649" s="6" t="n">
        <f aca="false">Sens!I3648*Sens!I3647</f>
        <v>139.957199286115</v>
      </c>
      <c r="J3649" s="6" t="n">
        <f aca="false">Sens!J3648*Sens!J3647</f>
        <v>189.493951269483</v>
      </c>
      <c r="K3649" s="6" t="n">
        <f aca="false">Sens!K3648*Sens!K3647</f>
        <v>202.970201064457</v>
      </c>
    </row>
    <row r="3650" customFormat="false" ht="17.15" hidden="false" customHeight="false" outlineLevel="0" collapsed="false">
      <c r="A3650" s="1" t="s">
        <v>1047</v>
      </c>
      <c r="B3650" s="0" t="s">
        <v>98</v>
      </c>
      <c r="C3650" s="6" t="n">
        <f aca="false">SUM(Sens!F3649:K3649)</f>
        <v>624.838097271906</v>
      </c>
    </row>
    <row r="3651" customFormat="false" ht="17.15" hidden="false" customHeight="false" outlineLevel="0" collapsed="false">
      <c r="A3651" s="1" t="s">
        <v>1048</v>
      </c>
      <c r="B3651" s="0" t="s">
        <v>98</v>
      </c>
      <c r="C3651" s="6" t="n">
        <f aca="false">Sens!K3592*(1+g_tv)*(1-tax_f)</f>
        <v>342.763275095158</v>
      </c>
    </row>
    <row r="3652" customFormat="false" ht="17.15" hidden="false" customHeight="false" outlineLevel="0" collapsed="false">
      <c r="A3652" s="1" t="s">
        <v>1049</v>
      </c>
      <c r="B3652" s="0" t="s">
        <v>98</v>
      </c>
      <c r="C3652" s="6" t="n">
        <f aca="false">Sens!$C$3651*(1-g_tv/(wacc+ronic_prem))</f>
        <v>242.865706880593</v>
      </c>
    </row>
    <row r="3653" customFormat="false" ht="17.15" hidden="false" customHeight="false" outlineLevel="0" collapsed="false">
      <c r="A3653" s="1" t="s">
        <v>1050</v>
      </c>
      <c r="B3653" s="0" t="s">
        <v>98</v>
      </c>
      <c r="C3653" s="6" t="n">
        <f aca="false">Sens!$C$3652/(wacc-g_tv)</f>
        <v>3329.9189404855</v>
      </c>
    </row>
    <row r="3654" customFormat="false" ht="15" hidden="false" customHeight="false" outlineLevel="0" collapsed="false">
      <c r="A3654" s="1" t="s">
        <v>1051</v>
      </c>
      <c r="B3654" s="0" t="s">
        <v>98</v>
      </c>
      <c r="C3654" s="6" t="n">
        <f aca="false">Sens!$C$3653/(1+wacc)^(Sens!K3646+mid_yr)</f>
        <v>1849.84576648204</v>
      </c>
    </row>
    <row r="3655" customFormat="false" ht="17.15" hidden="false" customHeight="false" outlineLevel="0" collapsed="false">
      <c r="A3655" s="0" t="s">
        <v>972</v>
      </c>
      <c r="B3655" s="0" t="s">
        <v>98</v>
      </c>
      <c r="C3655" s="6" t="n">
        <f aca="false">Sens!$C$3650+Sens!$C$3654</f>
        <v>2474.68386375395</v>
      </c>
    </row>
    <row r="3656" customFormat="false" ht="15" hidden="false" customHeight="false" outlineLevel="0" collapsed="false">
      <c r="A3656" s="1" t="s">
        <v>973</v>
      </c>
      <c r="B3656" s="0" t="s">
        <v>129</v>
      </c>
      <c r="C3656" s="7" t="n">
        <f aca="false">Sens!$C$3654/Sens!$C$3655</f>
        <v>0.747507911445277</v>
      </c>
    </row>
    <row r="3657" customFormat="false" ht="17.15" hidden="false" customHeight="false" outlineLevel="0" collapsed="false">
      <c r="A3657" s="1" t="s">
        <v>1052</v>
      </c>
      <c r="B3657" s="0" t="s">
        <v>98</v>
      </c>
      <c r="C3657" s="6" t="n">
        <f aca="false">Sens!$C$3655+Sens!E3637-Sens!E3626+oai_v</f>
        <v>2609.19686375395</v>
      </c>
    </row>
    <row r="3658" customFormat="false" ht="17.15" hidden="false" customHeight="false" outlineLevel="0" collapsed="false">
      <c r="A3658" s="0" t="s">
        <v>980</v>
      </c>
      <c r="B3658" s="0" t="s">
        <v>75</v>
      </c>
      <c r="C3658" s="5" t="n">
        <f aca="false">Sens!$C$3657/sh_dil26</f>
        <v>350.086792399563</v>
      </c>
    </row>
    <row r="3659" customFormat="false" ht="15" hidden="false" customHeight="false" outlineLevel="0" collapsed="false">
      <c r="A3659" s="1" t="s">
        <v>1053</v>
      </c>
      <c r="B3659" s="0" t="s">
        <v>75</v>
      </c>
      <c r="C3659" s="8" t="n">
        <f aca="false">dps_27+Sens!G3629*roll_div_q/q_per_yr</f>
        <v>4.8895</v>
      </c>
    </row>
    <row r="3660" customFormat="false" ht="17.15" hidden="false" customHeight="false" outlineLevel="0" collapsed="false">
      <c r="A3660" s="0" t="s">
        <v>1054</v>
      </c>
      <c r="B3660" s="0" t="s">
        <v>75</v>
      </c>
      <c r="C3660" s="5" t="n">
        <f aca="false">Sens!$C$3658*(1+wacc)^t_roll-Sens!$C$3659</f>
        <v>393.76601973735</v>
      </c>
    </row>
    <row r="3661" customFormat="false" ht="17.15" hidden="false" customHeight="false" outlineLevel="0" collapsed="false">
      <c r="A3661" s="1" t="s">
        <v>1055</v>
      </c>
      <c r="B3661" s="0" t="s">
        <v>129</v>
      </c>
      <c r="F3661" s="7" t="n">
        <f aca="false">Sens!F3618/(Sens!F3563-Sens!F3519)</f>
        <v>0.0681773598226415</v>
      </c>
      <c r="G3661" s="7" t="n">
        <f aca="false">Sens!G3618/(Sens!G3563-Sens!G3519)</f>
        <v>0.0650385409375172</v>
      </c>
      <c r="H3661" s="7" t="n">
        <f aca="false">Sens!H3618/(Sens!H3563-Sens!H3519)</f>
        <v>0.063382542471986</v>
      </c>
      <c r="I3661" s="7" t="n">
        <f aca="false">Sens!I3618/(Sens!I3563-Sens!I3519)</f>
        <v>0.0630998138876076</v>
      </c>
      <c r="J3661" s="7" t="n">
        <f aca="false">Sens!J3618/(Sens!J3563-Sens!J3519)</f>
        <v>0.0638399980286975</v>
      </c>
      <c r="K3661" s="7" t="n">
        <f aca="false">Sens!K3618/(Sens!K3563-Sens!K3519)</f>
        <v>0.0651531082402687</v>
      </c>
    </row>
    <row r="3662" customFormat="false" ht="17.15" hidden="false" customHeight="false" outlineLevel="0" collapsed="false">
      <c r="A3662" s="0" t="s">
        <v>1056</v>
      </c>
      <c r="B3662" s="0" t="s">
        <v>98</v>
      </c>
      <c r="F3662" s="6" t="n">
        <f aca="false">Sens!F3548*(al_m365+Sens!F3661+sbc_r)</f>
        <v>84.944046606333</v>
      </c>
      <c r="G3662" s="6" t="n">
        <f aca="false">Sens!G3548*(al_m365+Sens!G3661+sbc_r)</f>
        <v>99.4236143320739</v>
      </c>
      <c r="H3662" s="6" t="n">
        <f aca="false">Sens!H3548*(al_m365+Sens!H3661+sbc_r)</f>
        <v>114.068697186163</v>
      </c>
      <c r="I3662" s="6" t="n">
        <f aca="false">Sens!I3548*(al_m365+Sens!I3661+sbc_r)</f>
        <v>127.196415789369</v>
      </c>
      <c r="J3662" s="6" t="n">
        <f aca="false">Sens!J3548*(al_m365+Sens!J3661+sbc_r)</f>
        <v>138.619575691419</v>
      </c>
      <c r="K3662" s="6" t="n">
        <f aca="false">Sens!K3548*(al_m365+Sens!K3661+sbc_r)</f>
        <v>149.659768267063</v>
      </c>
      <c r="L3662" s="11" t="s">
        <v>1057</v>
      </c>
    </row>
    <row r="3663" customFormat="false" ht="17.15" hidden="false" customHeight="false" outlineLevel="0" collapsed="false">
      <c r="A3663" s="0" t="s">
        <v>1058</v>
      </c>
      <c r="B3663" s="0" t="s">
        <v>98</v>
      </c>
      <c r="F3663" s="6" t="n">
        <f aca="false">Sens!F3549*(al_lic+Sens!F3661+sbc_r)</f>
        <v>33.4285095904825</v>
      </c>
      <c r="G3663" s="6" t="n">
        <f aca="false">Sens!G3549*(al_lic+Sens!G3661+sbc_r)</f>
        <v>34.7161826947861</v>
      </c>
      <c r="H3663" s="6" t="n">
        <f aca="false">Sens!H3549*(al_lic+Sens!H3661+sbc_r)</f>
        <v>35.9223654002493</v>
      </c>
      <c r="I3663" s="6" t="n">
        <f aca="false">Sens!I3549*(al_lic+Sens!I3661+sbc_r)</f>
        <v>37.0298325864501</v>
      </c>
      <c r="J3663" s="6" t="n">
        <f aca="false">Sens!J3549*(al_lic+Sens!J3661+sbc_r)</f>
        <v>38.0103325842314</v>
      </c>
      <c r="K3663" s="6" t="n">
        <f aca="false">Sens!K3549*(al_lic+Sens!K3661+sbc_r)</f>
        <v>38.8303473189322</v>
      </c>
    </row>
    <row r="3664" customFormat="false" ht="17.15" hidden="false" customHeight="false" outlineLevel="0" collapsed="false">
      <c r="A3664" s="0" t="s">
        <v>1059</v>
      </c>
      <c r="B3664" s="0" t="s">
        <v>98</v>
      </c>
      <c r="F3664" s="6" t="n">
        <f aca="false">Sens!F3551*(al_ind+Sens!F3661+sbc_r)</f>
        <v>9.06719306746208</v>
      </c>
      <c r="G3664" s="6" t="n">
        <f aca="false">Sens!G3551*(al_ind+Sens!G3661+sbc_r)</f>
        <v>9.83485541633448</v>
      </c>
      <c r="H3664" s="6" t="n">
        <f aca="false">Sens!H3551*(al_ind+Sens!H3661+sbc_r)</f>
        <v>10.6498544617516</v>
      </c>
      <c r="I3664" s="6" t="n">
        <f aca="false">Sens!I3551*(al_ind+Sens!I3661+sbc_r)</f>
        <v>11.5103515303299</v>
      </c>
      <c r="J3664" s="6" t="n">
        <f aca="false">Sens!J3551*(al_ind+Sens!J3661+sbc_r)</f>
        <v>12.4055032067278</v>
      </c>
      <c r="K3664" s="6" t="n">
        <f aca="false">Sens!K3551*(al_ind+Sens!K3661+sbc_r)</f>
        <v>13.3173308472897</v>
      </c>
    </row>
    <row r="3665" customFormat="false" ht="17.15" hidden="false" customHeight="false" outlineLevel="0" collapsed="false">
      <c r="A3665" s="0" t="s">
        <v>1060</v>
      </c>
      <c r="B3665" s="0" t="s">
        <v>98</v>
      </c>
      <c r="F3665" s="6" t="n">
        <f aca="false">Sens!F3553*(al_fro+Sens!F3661+sbc_r)</f>
        <v>3.56887902446295</v>
      </c>
      <c r="G3665" s="6" t="n">
        <f aca="false">Sens!G3553*(al_fro+Sens!G3661+sbc_r)</f>
        <v>3.77600302676241</v>
      </c>
      <c r="H3665" s="6" t="n">
        <f aca="false">Sens!H3553*(al_fro+Sens!H3661+sbc_r)</f>
        <v>4.01322967965482</v>
      </c>
      <c r="I3665" s="6" t="n">
        <f aca="false">Sens!I3553*(al_fro+Sens!I3661+sbc_r)</f>
        <v>4.28368437397841</v>
      </c>
      <c r="J3665" s="6" t="n">
        <f aca="false">Sens!J3553*(al_fro+Sens!J3661+sbc_r)</f>
        <v>4.58803182845156</v>
      </c>
      <c r="K3665" s="6" t="n">
        <f aca="false">Sens!K3553*(al_fro+Sens!K3661+sbc_r)</f>
        <v>4.92526073140255</v>
      </c>
    </row>
    <row r="3666" customFormat="false" ht="17.15" hidden="false" customHeight="false" outlineLevel="0" collapsed="false">
      <c r="A3666" s="0" t="s">
        <v>1061</v>
      </c>
      <c r="B3666" s="0" t="s">
        <v>98</v>
      </c>
      <c r="F3666" s="6" t="n">
        <f aca="false">Sens!F3556*(al_srch+Sens!F3661+sbc_r)</f>
        <v>11.1981144415922</v>
      </c>
      <c r="G3666" s="6" t="n">
        <f aca="false">Sens!G3556*(al_srch+Sens!G3661+sbc_r)</f>
        <v>12.2607925441521</v>
      </c>
      <c r="H3666" s="6" t="n">
        <f aca="false">Sens!H3556*(al_srch+Sens!H3661+sbc_r)</f>
        <v>13.3712787172501</v>
      </c>
      <c r="I3666" s="6" t="n">
        <f aca="false">Sens!I3556*(al_srch+Sens!I3661+sbc_r)</f>
        <v>14.5205713773955</v>
      </c>
      <c r="J3666" s="6" t="n">
        <f aca="false">Sens!J3556*(al_srch+Sens!J3661+sbc_r)</f>
        <v>15.6873363367184</v>
      </c>
      <c r="K3666" s="6" t="n">
        <f aca="false">Sens!K3556*(al_srch+Sens!K3661+sbc_r)</f>
        <v>16.8403848378749</v>
      </c>
    </row>
    <row r="3667" customFormat="false" ht="17.15" hidden="false" customHeight="false" outlineLevel="0" collapsed="false">
      <c r="A3667" s="0" t="s">
        <v>1062</v>
      </c>
      <c r="B3667" s="0" t="s">
        <v>98</v>
      </c>
      <c r="F3667" s="6" t="n">
        <f aca="false">Sens!F3525-Sens!F3526+Sens!F3606</f>
        <v>60.2231191368948</v>
      </c>
      <c r="G3667" s="6" t="n">
        <f aca="false">Sens!G3525-Sens!G3526+Sens!G3606</f>
        <v>114.490682150091</v>
      </c>
      <c r="H3667" s="6" t="n">
        <f aca="false">Sens!H3525-Sens!H3526+Sens!H3606</f>
        <v>177.522519479016</v>
      </c>
      <c r="I3667" s="6" t="n">
        <f aca="false">Sens!I3525-Sens!I3526+Sens!I3606</f>
        <v>227.972119906228</v>
      </c>
      <c r="J3667" s="6" t="n">
        <f aca="false">Sens!J3525-Sens!J3526+Sens!J3606</f>
        <v>263.005362870376</v>
      </c>
      <c r="K3667" s="6" t="n">
        <f aca="false">Sens!K3525-Sens!K3526+Sens!K3606</f>
        <v>283.336088291936</v>
      </c>
    </row>
    <row r="3668" customFormat="false" ht="17.15" hidden="false" customHeight="false" outlineLevel="0" collapsed="false">
      <c r="A3668" s="0" t="s">
        <v>1063</v>
      </c>
      <c r="B3668" s="0" t="s">
        <v>98</v>
      </c>
      <c r="F3668" s="6" t="n">
        <f aca="false">Sens!F3585+Sens!F3606+Sens!F3536+Sens!F3661*(Sens!F3555-Sens!F3519)+sbc_r*Sens!F3555</f>
        <v>252.456829001198</v>
      </c>
      <c r="G3668" s="6" t="n">
        <f aca="false">Sens!G3585+Sens!G3606+Sens!G3536+Sens!G3661*(Sens!G3555-Sens!G3519)+sbc_r*Sens!G3555</f>
        <v>336.301427667834</v>
      </c>
      <c r="H3668" s="6" t="n">
        <f aca="false">Sens!H3585+Sens!H3606+Sens!H3536+Sens!H3661*(Sens!H3555-Sens!H3519)+sbc_r*Sens!H3555</f>
        <v>429.660403645979</v>
      </c>
      <c r="I3668" s="6" t="n">
        <f aca="false">Sens!I3585+Sens!I3606+Sens!I3536+Sens!I3661*(Sens!I3555-Sens!I3519)+sbc_r*Sens!I3555</f>
        <v>508.292913859793</v>
      </c>
      <c r="J3668" s="6" t="n">
        <f aca="false">Sens!J3585+Sens!J3606+Sens!J3536+Sens!J3661*(Sens!J3555-Sens!J3519)+sbc_r*Sens!J3555</f>
        <v>568.449531073677</v>
      </c>
      <c r="K3668" s="6" t="n">
        <f aca="false">Sens!K3585+Sens!K3606+Sens!K3536+Sens!K3661*(Sens!K3555-Sens!K3519)+sbc_r*Sens!K3555</f>
        <v>611.384831200771</v>
      </c>
    </row>
    <row r="3669" customFormat="false" ht="17.15" hidden="false" customHeight="false" outlineLevel="0" collapsed="false">
      <c r="A3669" s="0" t="s">
        <v>1064</v>
      </c>
      <c r="B3669" s="0" t="s">
        <v>98</v>
      </c>
      <c r="F3669" s="6" t="n">
        <f aca="false">Sens!F3668-Sens!F3662-Sens!F3663-Sens!F3664-Sens!F3665-Sens!F3667</f>
        <v>61.2250815755627</v>
      </c>
      <c r="G3669" s="6" t="n">
        <f aca="false">Sens!G3668-Sens!G3662-Sens!G3663-Sens!G3664-Sens!G3665-Sens!G3667</f>
        <v>74.0600900477862</v>
      </c>
      <c r="H3669" s="6" t="n">
        <f aca="false">Sens!H3668-Sens!H3662-Sens!H3663-Sens!H3664-Sens!H3665-Sens!H3667</f>
        <v>87.4837374391447</v>
      </c>
      <c r="I3669" s="6" t="n">
        <f aca="false">Sens!I3668-Sens!I3662-Sens!I3663-Sens!I3664-Sens!I3665-Sens!I3667</f>
        <v>100.300509673438</v>
      </c>
      <c r="J3669" s="6" t="n">
        <f aca="false">Sens!J3668-Sens!J3662-Sens!J3663-Sens!J3664-Sens!J3665-Sens!J3667</f>
        <v>111.820724892472</v>
      </c>
      <c r="K3669" s="6" t="n">
        <f aca="false">Sens!K3668-Sens!K3662-Sens!K3663-Sens!K3664-Sens!K3665-Sens!K3667</f>
        <v>121.316035744148</v>
      </c>
    </row>
    <row r="3670" customFormat="false" ht="17.15" hidden="false" customHeight="false" outlineLevel="0" collapsed="false">
      <c r="A3670" s="0" t="s">
        <v>1065</v>
      </c>
      <c r="B3670" s="0" t="s">
        <v>98</v>
      </c>
      <c r="F3670" s="6" t="n">
        <f aca="false">Sens!F3587+Sens!F3661*Sens!F3562+sbc_r*Sens!F3562</f>
        <v>26.1717931813002</v>
      </c>
      <c r="G3670" s="6" t="n">
        <f aca="false">Sens!G3587+Sens!G3661*Sens!G3562+sbc_r*Sens!G3562</f>
        <v>26.7581197754446</v>
      </c>
      <c r="H3670" s="6" t="n">
        <f aca="false">Sens!H3587+Sens!H3661*Sens!H3562+sbc_r*Sens!H3562</f>
        <v>27.6201174920951</v>
      </c>
      <c r="I3670" s="6" t="n">
        <f aca="false">Sens!I3587+Sens!I3661*Sens!I3562+sbc_r*Sens!I3562</f>
        <v>28.7296306530919</v>
      </c>
      <c r="J3670" s="6" t="n">
        <f aca="false">Sens!J3587+Sens!J3661*Sens!J3562+sbc_r*Sens!J3562</f>
        <v>30.04749983899</v>
      </c>
      <c r="K3670" s="6" t="n">
        <f aca="false">Sens!K3587+Sens!K3661*Sens!K3562+sbc_r*Sens!K3562</f>
        <v>31.5292329023825</v>
      </c>
    </row>
    <row r="3671" customFormat="false" ht="17.15" hidden="false" customHeight="false" outlineLevel="0" collapsed="false">
      <c r="A3671" s="0" t="s">
        <v>1066</v>
      </c>
      <c r="B3671" s="0" t="s">
        <v>98</v>
      </c>
      <c r="F3671" s="6" t="n">
        <f aca="false">(Sens!F3670-Sens!F3666)*Sens!F3558/(Sens!F3558+Sens!F3560)</f>
        <v>8.20842484359027</v>
      </c>
      <c r="G3671" s="6" t="n">
        <f aca="false">(Sens!G3670-Sens!G3666)*Sens!G3558/(Sens!G3558+Sens!G3560)</f>
        <v>7.80559384110416</v>
      </c>
      <c r="H3671" s="6" t="n">
        <f aca="false">(Sens!H3670-Sens!H3666)*Sens!H3558/(Sens!H3558+Sens!H3560)</f>
        <v>7.56817041839156</v>
      </c>
      <c r="I3671" s="6" t="n">
        <f aca="false">(Sens!I3670-Sens!I3666)*Sens!I3558/(Sens!I3558+Sens!I3560)</f>
        <v>7.47875608696462</v>
      </c>
      <c r="J3671" s="6" t="n">
        <f aca="false">(Sens!J3670-Sens!J3666)*Sens!J3558/(Sens!J3558+Sens!J3560)</f>
        <v>7.52410955955578</v>
      </c>
      <c r="K3671" s="6" t="n">
        <f aca="false">(Sens!K3670-Sens!K3666)*Sens!K3558/(Sens!K3558+Sens!K3560)</f>
        <v>7.6963261681206</v>
      </c>
    </row>
    <row r="3672" customFormat="false" ht="17.15" hidden="false" customHeight="false" outlineLevel="0" collapsed="false">
      <c r="A3672" s="0" t="s">
        <v>1067</v>
      </c>
      <c r="B3672" s="0" t="s">
        <v>98</v>
      </c>
      <c r="F3672" s="6" t="n">
        <f aca="false">Sens!F3670-Sens!F3666-Sens!F3671</f>
        <v>6.76525389611778</v>
      </c>
      <c r="G3672" s="6" t="n">
        <f aca="false">Sens!G3670-Sens!G3666-Sens!G3671</f>
        <v>6.69173339018827</v>
      </c>
      <c r="H3672" s="6" t="n">
        <f aca="false">Sens!H3670-Sens!H3666-Sens!H3671</f>
        <v>6.68066835645346</v>
      </c>
      <c r="I3672" s="6" t="n">
        <f aca="false">Sens!I3670-Sens!I3666-Sens!I3671</f>
        <v>6.73030318873177</v>
      </c>
      <c r="J3672" s="6" t="n">
        <f aca="false">Sens!J3670-Sens!J3666-Sens!J3671</f>
        <v>6.83605394271588</v>
      </c>
      <c r="K3672" s="6" t="n">
        <f aca="false">Sens!K3670-Sens!K3666-Sens!K3671</f>
        <v>6.99252189638696</v>
      </c>
    </row>
    <row r="3673" customFormat="false" ht="17.15" hidden="false" customHeight="false" outlineLevel="0" collapsed="false">
      <c r="A3673" s="0" t="s">
        <v>1068</v>
      </c>
      <c r="B3673" s="0" t="s">
        <v>98</v>
      </c>
      <c r="F3673" s="6" t="n">
        <f aca="false">Sens!F3667-tax_f*(Sens!F3667-Sens!F3536)-Sens!F3533</f>
        <v>-139.749636235424</v>
      </c>
      <c r="G3673" s="6" t="n">
        <f aca="false">Sens!G3667-tax_f*(Sens!G3667-Sens!G3536)-Sens!G3533</f>
        <v>-115.319860406529</v>
      </c>
      <c r="H3673" s="6" t="n">
        <f aca="false">Sens!H3667-tax_f*(Sens!H3667-Sens!H3536)-Sens!H3533</f>
        <v>-63.7651772001572</v>
      </c>
      <c r="I3673" s="6" t="n">
        <f aca="false">Sens!I3667-tax_f*(Sens!I3667-Sens!I3536)-Sens!I3533</f>
        <v>18.1642050796718</v>
      </c>
      <c r="J3673" s="6" t="n">
        <f aca="false">Sens!J3667-tax_f*(Sens!J3667-Sens!J3536)-Sens!J3533</f>
        <v>100.836451882233</v>
      </c>
      <c r="K3673" s="6" t="n">
        <f aca="false">Sens!K3667-tax_f*(Sens!K3667-Sens!K3536)-Sens!K3533</f>
        <v>140.423971701906</v>
      </c>
    </row>
    <row r="3674" customFormat="false" ht="17.15" hidden="false" customHeight="false" outlineLevel="0" collapsed="false">
      <c r="A3674" s="0" t="s">
        <v>1069</v>
      </c>
      <c r="B3674" s="0" t="s">
        <v>98</v>
      </c>
      <c r="F3674" s="6" t="n">
        <f aca="false">Sens!F3673*Sens!F3647</f>
        <v>-133.068677587533</v>
      </c>
      <c r="G3674" s="6" t="n">
        <f aca="false">Sens!G3673*Sens!G3647</f>
        <v>-99.5587814870065</v>
      </c>
      <c r="H3674" s="6" t="n">
        <f aca="false">Sens!H3673*Sens!H3647</f>
        <v>-49.9125025278009</v>
      </c>
      <c r="I3674" s="6" t="n">
        <f aca="false">Sens!I3673*Sens!I3647</f>
        <v>12.8911743029824</v>
      </c>
      <c r="J3674" s="6" t="n">
        <f aca="false">Sens!J3673*Sens!J3647</f>
        <v>64.884946299743</v>
      </c>
      <c r="K3674" s="6" t="n">
        <f aca="false">Sens!K3673*Sens!K3647</f>
        <v>81.9252840324861</v>
      </c>
    </row>
    <row r="3675" customFormat="false" ht="17.15" hidden="false" customHeight="false" outlineLevel="0" collapsed="false">
      <c r="A3675" s="0" t="s">
        <v>1070</v>
      </c>
      <c r="B3675" s="0" t="s">
        <v>98</v>
      </c>
      <c r="C3675" s="6" t="n">
        <f aca="false">(Sens!K3667-Sens!K3536)*(1-tax_f)*(1+g_tv)*(1-g_tv/(wacc+ronic_prem))/(wacc-g_tv)/(1+wacc)^(Sens!K3646+mid_yr)</f>
        <v>546.254146313857</v>
      </c>
    </row>
    <row r="3676" customFormat="false" ht="17.15" hidden="false" customHeight="false" outlineLevel="0" collapsed="false">
      <c r="A3676" s="1" t="s">
        <v>1071</v>
      </c>
      <c r="B3676" s="0" t="s">
        <v>98</v>
      </c>
      <c r="C3676" s="6" t="n">
        <f aca="false">(SUM(Sens!F3674:K3674)+Sens!$C$3675)*(1+wacc)^t_roll</f>
        <v>482.15746923484</v>
      </c>
      <c r="L3676" s="11" t="s">
        <v>1072</v>
      </c>
    </row>
    <row r="3677" customFormat="false" ht="17.15" hidden="false" customHeight="false" outlineLevel="0" collapsed="false">
      <c r="A3677" s="1" t="s">
        <v>1073</v>
      </c>
      <c r="B3677" s="0" t="s">
        <v>98</v>
      </c>
      <c r="C3677" s="6" t="n">
        <f aca="false">(w_ntm28*Sens!G3525+(1-w_ntm28)*Sens!H3525)*m_ai</f>
        <v>625.268621639857</v>
      </c>
    </row>
    <row r="3678" customFormat="false" ht="17.15" hidden="false" customHeight="false" outlineLevel="0" collapsed="false">
      <c r="A3678" s="1" t="s">
        <v>1074</v>
      </c>
      <c r="B3678" s="0" t="s">
        <v>98</v>
      </c>
      <c r="C3678" s="6" t="n">
        <f aca="false">(w_ntm28*Sens!G3669+(1-w_ntm28)*Sens!H3669)*m_cloud</f>
        <v>1083.48509437803</v>
      </c>
    </row>
    <row r="3679" customFormat="false" ht="17.15" hidden="false" customHeight="false" outlineLevel="0" collapsed="false">
      <c r="A3679" s="1" t="s">
        <v>1075</v>
      </c>
      <c r="B3679" s="0" t="s">
        <v>98</v>
      </c>
      <c r="C3679" s="6" t="n">
        <f aca="false">(w_ntm28*Sens!G3662+(1-w_ntm28)*Sens!H3662)*m_sw</f>
        <v>1124.90844188024</v>
      </c>
    </row>
    <row r="3680" customFormat="false" ht="17.15" hidden="false" customHeight="false" outlineLevel="0" collapsed="false">
      <c r="A3680" s="1" t="s">
        <v>1076</v>
      </c>
      <c r="B3680" s="0" t="s">
        <v>98</v>
      </c>
      <c r="C3680" s="6" t="n">
        <f aca="false">(w_ntm28*Sens!G3663+(1-w_ntm28)*Sens!H3663)*m_sw</f>
        <v>379.14616828134</v>
      </c>
    </row>
    <row r="3681" customFormat="false" ht="17.15" hidden="false" customHeight="false" outlineLevel="0" collapsed="false">
      <c r="A3681" s="1" t="s">
        <v>1077</v>
      </c>
      <c r="B3681" s="0" t="s">
        <v>98</v>
      </c>
      <c r="C3681" s="6" t="n">
        <f aca="false">(w_ntm28*Sens!G3664+(1-w_ntm28)*Sens!H3664)*m_sw</f>
        <v>109.062013245671</v>
      </c>
    </row>
    <row r="3682" customFormat="false" ht="17.15" hidden="false" customHeight="false" outlineLevel="0" collapsed="false">
      <c r="A3682" s="1" t="s">
        <v>1078</v>
      </c>
      <c r="B3682" s="0" t="s">
        <v>98</v>
      </c>
      <c r="C3682" s="6" t="n">
        <f aca="false">(w_ntm28*Sens!G3665+(1-w_ntm28)*Sens!H3665)*m_sw</f>
        <v>41.609111172448</v>
      </c>
    </row>
    <row r="3683" customFormat="false" ht="17.15" hidden="false" customHeight="false" outlineLevel="0" collapsed="false">
      <c r="A3683" s="1" t="s">
        <v>1079</v>
      </c>
      <c r="B3683" s="0" t="s">
        <v>98</v>
      </c>
      <c r="C3683" s="6" t="n">
        <f aca="false">(w_ntm28*Sens!G3666+(1-w_ntm28)*Sens!H3666)*m_ads</f>
        <v>114.966369190532</v>
      </c>
    </row>
    <row r="3684" customFormat="false" ht="17.15" hidden="false" customHeight="false" outlineLevel="0" collapsed="false">
      <c r="A3684" s="1" t="s">
        <v>1080</v>
      </c>
      <c r="B3684" s="0" t="s">
        <v>98</v>
      </c>
      <c r="C3684" s="6" t="n">
        <f aca="false">(w_ntm28*Sens!G3671+(1-w_ntm28)*Sens!H3671)*m_game</f>
        <v>97.6152211068291</v>
      </c>
    </row>
    <row r="3685" customFormat="false" ht="17.15" hidden="false" customHeight="false" outlineLevel="0" collapsed="false">
      <c r="A3685" s="1" t="s">
        <v>1081</v>
      </c>
      <c r="B3685" s="0" t="s">
        <v>98</v>
      </c>
      <c r="C3685" s="6" t="n">
        <f aca="false">(w_ntm28*Sens!G3672+(1-w_ntm28)*Sens!H3672)*m_pc</f>
        <v>96.7776202313644</v>
      </c>
    </row>
    <row r="3686" customFormat="false" ht="17.15" hidden="false" customHeight="false" outlineLevel="0" collapsed="false">
      <c r="A3686" s="1" t="s">
        <v>1082</v>
      </c>
      <c r="B3686" s="0" t="s">
        <v>98</v>
      </c>
      <c r="C3686" s="6" t="n">
        <f aca="false">Sens!$C$3676+Sens!$C$3678+Sens!$C$3679+Sens!$C$3680+Sens!$C$3681+Sens!$C$3682+Sens!$C$3683+Sens!$C$3684+Sens!$C$3685</f>
        <v>3529.72750872129</v>
      </c>
    </row>
    <row r="3687" customFormat="false" ht="17.15" hidden="false" customHeight="false" outlineLevel="0" collapsed="false">
      <c r="A3687" s="1" t="s">
        <v>1000</v>
      </c>
      <c r="B3687" s="0" t="s">
        <v>98</v>
      </c>
      <c r="C3687" s="6" t="n">
        <f aca="false">Sens!F3637+oai_v-Sens!F3626</f>
        <v>90.8960867065894</v>
      </c>
      <c r="L3687" s="1" t="s">
        <v>1083</v>
      </c>
    </row>
    <row r="3688" customFormat="false" ht="15" hidden="false" customHeight="false" outlineLevel="0" collapsed="false">
      <c r="A3688" s="1" t="s">
        <v>1001</v>
      </c>
      <c r="B3688" s="0" t="s">
        <v>75</v>
      </c>
      <c r="C3688" s="5" t="n">
        <f aca="false">(Sens!$C$3686+Sens!$C$3687)/Sens!F3639</f>
        <v>484.558832364545</v>
      </c>
    </row>
    <row r="3689" customFormat="false" ht="17.15" hidden="false" customHeight="false" outlineLevel="0" collapsed="false">
      <c r="A3689" s="1" t="s">
        <v>1084</v>
      </c>
      <c r="B3689" s="0" t="s">
        <v>75</v>
      </c>
      <c r="C3689" s="5" t="n">
        <f aca="false">w_dcf*Sens!$C$3660+(1-w_dcf)*Sens!$C$3688</f>
        <v>439.162426050947</v>
      </c>
    </row>
    <row r="3690" customFormat="false" ht="17.15" hidden="false" customHeight="false" outlineLevel="0" collapsed="false">
      <c r="A3690" s="3" t="s">
        <v>1329</v>
      </c>
    </row>
    <row r="3691" customFormat="false" ht="15" hidden="false" customHeight="false" outlineLevel="0" collapsed="false">
      <c r="A3691" s="4" t="s">
        <v>43</v>
      </c>
      <c r="B3691" s="4" t="s">
        <v>65</v>
      </c>
      <c r="C3691" s="20" t="s">
        <v>788</v>
      </c>
      <c r="D3691" s="20" t="s">
        <v>789</v>
      </c>
      <c r="E3691" s="20" t="s">
        <v>790</v>
      </c>
      <c r="F3691" s="20" t="s">
        <v>791</v>
      </c>
      <c r="G3691" s="20" t="s">
        <v>792</v>
      </c>
      <c r="H3691" s="20" t="s">
        <v>793</v>
      </c>
      <c r="I3691" s="20" t="s">
        <v>794</v>
      </c>
      <c r="J3691" s="20" t="s">
        <v>795</v>
      </c>
      <c r="K3691" s="20" t="s">
        <v>796</v>
      </c>
      <c r="L3691" s="4" t="s">
        <v>47</v>
      </c>
    </row>
    <row r="3692" customFormat="false" ht="17.15" hidden="false" customHeight="false" outlineLevel="0" collapsed="false">
      <c r="A3692" s="1" t="s">
        <v>797</v>
      </c>
      <c r="B3692" s="1" t="s">
        <v>235</v>
      </c>
      <c r="C3692" s="28" t="n">
        <v>2024</v>
      </c>
      <c r="D3692" s="28" t="n">
        <v>2025</v>
      </c>
      <c r="E3692" s="28" t="n">
        <v>2026</v>
      </c>
      <c r="F3692" s="28" t="n">
        <v>2027</v>
      </c>
      <c r="G3692" s="28" t="n">
        <v>2028</v>
      </c>
      <c r="H3692" s="28" t="n">
        <v>2029</v>
      </c>
      <c r="I3692" s="28" t="n">
        <v>2030</v>
      </c>
      <c r="J3692" s="28" t="n">
        <v>2031</v>
      </c>
      <c r="K3692" s="28" t="n">
        <v>2032</v>
      </c>
    </row>
    <row r="3693" customFormat="false" ht="17.15" hidden="false" customHeight="false" outlineLevel="0" collapsed="false">
      <c r="A3693" s="1" t="s">
        <v>798</v>
      </c>
      <c r="B3693" s="0" t="s">
        <v>392</v>
      </c>
      <c r="F3693" s="29" t="n">
        <f aca="false">pace*1.2</f>
        <v>3032.64</v>
      </c>
      <c r="G3693" s="29" t="n">
        <f aca="false">pace*1.2</f>
        <v>3032.64</v>
      </c>
      <c r="H3693" s="29" t="n">
        <f aca="false">pace*1.2</f>
        <v>3032.64</v>
      </c>
      <c r="I3693" s="29" t="n">
        <f aca="false">pace*1.2+(g_tv*Sens!H3694-pace*1.2)*MIN(1,(Sens!I3692-pace_y0)/(pace_y1-pace_y0))</f>
        <v>2145.2392</v>
      </c>
      <c r="J3693" s="29" t="n">
        <f aca="false">pace*1.2+(g_tv*Sens!H3694-pace*1.2)*MIN(1,(Sens!J3692-pace_y0)/(pace_y1-pace_y0))</f>
        <v>1257.8384</v>
      </c>
      <c r="K3693" s="29" t="n">
        <f aca="false">pace*1.2+(g_tv*Sens!H3694-pace*1.2)*MIN(1,(Sens!K3692-pace_y0)/(pace_y1-pace_y0))</f>
        <v>370.4376</v>
      </c>
      <c r="L3693" s="11" t="s">
        <v>799</v>
      </c>
    </row>
    <row r="3694" customFormat="false" ht="17.15" hidden="false" customHeight="false" outlineLevel="0" collapsed="false">
      <c r="A3694" s="1" t="s">
        <v>800</v>
      </c>
      <c r="B3694" s="0" t="s">
        <v>392</v>
      </c>
      <c r="C3694" s="29" t="n">
        <f aca="false">mw_ext_24</f>
        <v>640</v>
      </c>
      <c r="D3694" s="29" t="n">
        <f aca="false">mw_ext_25</f>
        <v>1630</v>
      </c>
      <c r="E3694" s="29" t="n">
        <f aca="false">mw_ext_26</f>
        <v>3250</v>
      </c>
      <c r="F3694" s="29" t="n">
        <f aca="false">Sens!E3694+Sens!F3693</f>
        <v>6282.64</v>
      </c>
      <c r="G3694" s="29" t="n">
        <f aca="false">Sens!F3694+Sens!G3693</f>
        <v>9315.28</v>
      </c>
      <c r="H3694" s="29" t="n">
        <f aca="false">Sens!G3694+Sens!H3693</f>
        <v>12347.92</v>
      </c>
      <c r="I3694" s="29" t="n">
        <f aca="false">Sens!H3694+Sens!I3693</f>
        <v>14493.1592</v>
      </c>
      <c r="J3694" s="29" t="n">
        <f aca="false">Sens!I3694+Sens!J3693</f>
        <v>15750.9976</v>
      </c>
      <c r="K3694" s="29" t="n">
        <f aca="false">Sens!J3694+Sens!K3693</f>
        <v>16121.4352</v>
      </c>
      <c r="L3694" s="1" t="s">
        <v>801</v>
      </c>
    </row>
    <row r="3695" customFormat="false" ht="17.15" hidden="false" customHeight="false" outlineLevel="0" collapsed="false">
      <c r="A3695" s="1" t="s">
        <v>802</v>
      </c>
      <c r="B3695" s="0" t="s">
        <v>392</v>
      </c>
      <c r="C3695" s="29" t="n">
        <f aca="false">rent_ext_24</f>
        <v>150</v>
      </c>
      <c r="D3695" s="29" t="n">
        <f aca="false">rent_ext_25</f>
        <v>400</v>
      </c>
      <c r="E3695" s="29" t="n">
        <f aca="false">rent_ext_26</f>
        <v>550</v>
      </c>
      <c r="F3695" s="29" t="n">
        <f aca="false">rent_ext_f</f>
        <v>756</v>
      </c>
      <c r="G3695" s="29" t="n">
        <f aca="false">rent_ext_f</f>
        <v>756</v>
      </c>
      <c r="H3695" s="29" t="n">
        <f aca="false">rent_ext_f</f>
        <v>756</v>
      </c>
      <c r="I3695" s="29" t="n">
        <f aca="false">rent_ext_f</f>
        <v>756</v>
      </c>
      <c r="J3695" s="29" t="n">
        <f aca="false">rent_ext_f</f>
        <v>756</v>
      </c>
      <c r="K3695" s="29" t="n">
        <f aca="false">rent_ext_f</f>
        <v>756</v>
      </c>
      <c r="L3695" s="1" t="s">
        <v>803</v>
      </c>
    </row>
    <row r="3696" customFormat="false" ht="17.15" hidden="false" customHeight="false" outlineLevel="0" collapsed="false">
      <c r="A3696" s="1" t="s">
        <v>804</v>
      </c>
      <c r="B3696" s="0" t="s">
        <v>392</v>
      </c>
      <c r="C3696" s="29" t="n">
        <f aca="false">Sens!C3694-Sens!C3695</f>
        <v>490</v>
      </c>
      <c r="D3696" s="29" t="n">
        <f aca="false">Sens!D3694-Sens!D3695</f>
        <v>1230</v>
      </c>
      <c r="E3696" s="29" t="n">
        <f aca="false">Sens!E3694-Sens!E3695</f>
        <v>2700</v>
      </c>
      <c r="F3696" s="29" t="n">
        <f aca="false">Sens!F3694-Sens!F3695</f>
        <v>5526.64</v>
      </c>
      <c r="G3696" s="29" t="n">
        <f aca="false">Sens!G3694-Sens!G3695</f>
        <v>8559.28</v>
      </c>
      <c r="H3696" s="29" t="n">
        <f aca="false">Sens!H3694-Sens!H3695</f>
        <v>11591.92</v>
      </c>
      <c r="I3696" s="29" t="n">
        <f aca="false">Sens!I3694-Sens!I3695</f>
        <v>13737.1592</v>
      </c>
      <c r="J3696" s="29" t="n">
        <f aca="false">Sens!J3694-Sens!J3695</f>
        <v>14994.9976</v>
      </c>
      <c r="K3696" s="29" t="n">
        <f aca="false">Sens!K3694-Sens!K3695</f>
        <v>15365.4352</v>
      </c>
    </row>
    <row r="3697" customFormat="false" ht="17.15" hidden="false" customHeight="false" outlineLevel="0" collapsed="false">
      <c r="A3697" s="1" t="s">
        <v>805</v>
      </c>
      <c r="B3697" s="0" t="s">
        <v>392</v>
      </c>
      <c r="C3697" s="29" t="n">
        <f aca="false">Sens!C3696/ext_sh</f>
        <v>816.666666666667</v>
      </c>
      <c r="D3697" s="29" t="n">
        <f aca="false">Sens!D3696/ext_sh</f>
        <v>2050</v>
      </c>
      <c r="E3697" s="29" t="n">
        <f aca="false">Sens!E3696/ext_sh</f>
        <v>4500</v>
      </c>
      <c r="F3697" s="29" t="n">
        <f aca="false">Sens!F3696/ext_sh</f>
        <v>9211.06666666667</v>
      </c>
      <c r="G3697" s="29" t="n">
        <f aca="false">Sens!G3696/ext_sh</f>
        <v>14265.4666666667</v>
      </c>
      <c r="H3697" s="29" t="n">
        <f aca="false">Sens!H3696/ext_sh</f>
        <v>19319.8666666667</v>
      </c>
      <c r="I3697" s="29" t="n">
        <f aca="false">Sens!I3696/ext_sh</f>
        <v>22895.2653333333</v>
      </c>
      <c r="J3697" s="29" t="n">
        <f aca="false">Sens!J3696/ext_sh</f>
        <v>24991.6626666667</v>
      </c>
      <c r="K3697" s="29" t="n">
        <f aca="false">Sens!K3696/ext_sh</f>
        <v>25609.0586666667</v>
      </c>
      <c r="L3697" s="1" t="s">
        <v>806</v>
      </c>
    </row>
    <row r="3698" customFormat="false" ht="17.15" hidden="false" customHeight="false" outlineLevel="0" collapsed="false">
      <c r="A3698" s="1" t="s">
        <v>807</v>
      </c>
      <c r="B3698" s="0" t="s">
        <v>392</v>
      </c>
      <c r="C3698" s="29" t="n">
        <f aca="false">Sens!C3697-Sens!C3696</f>
        <v>326.666666666667</v>
      </c>
      <c r="D3698" s="29" t="n">
        <f aca="false">Sens!D3697-Sens!D3696</f>
        <v>820</v>
      </c>
      <c r="E3698" s="29" t="n">
        <f aca="false">Sens!E3697-Sens!E3696</f>
        <v>1800</v>
      </c>
      <c r="F3698" s="29" t="n">
        <f aca="false">Sens!F3697-Sens!F3696</f>
        <v>3684.42666666667</v>
      </c>
      <c r="G3698" s="29" t="n">
        <f aca="false">Sens!G3697-Sens!G3696</f>
        <v>5706.18666666667</v>
      </c>
      <c r="H3698" s="29" t="n">
        <f aca="false">Sens!H3697-Sens!H3696</f>
        <v>7727.94666666667</v>
      </c>
      <c r="I3698" s="29" t="n">
        <f aca="false">Sens!I3697-Sens!I3696</f>
        <v>9158.10613333334</v>
      </c>
      <c r="J3698" s="29" t="n">
        <f aca="false">Sens!J3697-Sens!J3696</f>
        <v>9996.66506666667</v>
      </c>
      <c r="K3698" s="29" t="n">
        <f aca="false">Sens!K3697-Sens!K3696</f>
        <v>10243.6234666667</v>
      </c>
    </row>
    <row r="3699" customFormat="false" ht="17.15" hidden="false" customHeight="false" outlineLevel="0" collapsed="false">
      <c r="A3699" s="1" t="s">
        <v>808</v>
      </c>
      <c r="B3699" s="0" t="s">
        <v>392</v>
      </c>
      <c r="C3699" s="29" t="n">
        <f aca="false">Sens!C3697</f>
        <v>816.666666666667</v>
      </c>
      <c r="D3699" s="29" t="n">
        <f aca="false">Sens!D3697-Sens!C3697</f>
        <v>1233.33333333333</v>
      </c>
      <c r="E3699" s="29" t="n">
        <f aca="false">Sens!E3697-Sens!D3697</f>
        <v>2450</v>
      </c>
      <c r="F3699" s="29" t="n">
        <f aca="false">Sens!F3697-Sens!E3697</f>
        <v>4711.06666666667</v>
      </c>
      <c r="G3699" s="29" t="n">
        <f aca="false">Sens!G3697-Sens!F3697</f>
        <v>5054.4</v>
      </c>
      <c r="H3699" s="29" t="n">
        <f aca="false">Sens!H3697-Sens!G3697</f>
        <v>5054.4</v>
      </c>
      <c r="I3699" s="29" t="n">
        <f aca="false">Sens!I3697-Sens!H3697</f>
        <v>3575.39866666667</v>
      </c>
      <c r="J3699" s="29" t="n">
        <f aca="false">Sens!J3697-Sens!I3697</f>
        <v>2096.39733333333</v>
      </c>
      <c r="K3699" s="29" t="n">
        <f aca="false">Sens!K3697-Sens!J3697</f>
        <v>617.395999999997</v>
      </c>
    </row>
    <row r="3700" customFormat="false" ht="17.15" hidden="false" customHeight="false" outlineLevel="0" collapsed="false">
      <c r="A3700" s="1" t="s">
        <v>809</v>
      </c>
      <c r="B3700" s="0" t="s">
        <v>392</v>
      </c>
      <c r="D3700" s="29" t="n">
        <f aca="false">Sens!D3694-Sens!C3694</f>
        <v>990</v>
      </c>
      <c r="E3700" s="29" t="n">
        <f aca="false">Sens!E3694-Sens!D3694</f>
        <v>1620</v>
      </c>
      <c r="F3700" s="29" t="n">
        <f aca="false">Sens!F3694-Sens!E3694</f>
        <v>3032.64</v>
      </c>
      <c r="G3700" s="29" t="n">
        <f aca="false">Sens!G3694-Sens!F3694</f>
        <v>3032.64</v>
      </c>
      <c r="H3700" s="29" t="n">
        <f aca="false">Sens!H3694-Sens!G3694</f>
        <v>3032.64</v>
      </c>
      <c r="I3700" s="29" t="n">
        <f aca="false">Sens!I3694-Sens!H3694</f>
        <v>2145.2392</v>
      </c>
      <c r="J3700" s="29" t="n">
        <f aca="false">Sens!J3694-Sens!I3694</f>
        <v>1257.8384</v>
      </c>
      <c r="K3700" s="29" t="n">
        <f aca="false">Sens!K3694-Sens!J3694</f>
        <v>370.437599999999</v>
      </c>
    </row>
    <row r="3701" customFormat="false" ht="17.15" hidden="false" customHeight="false" outlineLevel="0" collapsed="false">
      <c r="A3701" s="1" t="s">
        <v>810</v>
      </c>
      <c r="B3701" s="0" t="s">
        <v>392</v>
      </c>
      <c r="F3701" s="29" t="n">
        <f aca="false">Sens!F3718*ext_sh</f>
        <v>0</v>
      </c>
      <c r="G3701" s="29" t="n">
        <f aca="false">Sens!G3718*ext_sh</f>
        <v>0</v>
      </c>
      <c r="H3701" s="29" t="n">
        <f aca="false">Sens!H3718*ext_sh</f>
        <v>0</v>
      </c>
      <c r="I3701" s="29" t="n">
        <f aca="false">Sens!I3718*ext_sh</f>
        <v>490</v>
      </c>
      <c r="J3701" s="29" t="n">
        <f aca="false">Sens!J3718*ext_sh</f>
        <v>740</v>
      </c>
      <c r="K3701" s="29" t="n">
        <f aca="false">Sens!K3718*ext_sh</f>
        <v>1470</v>
      </c>
      <c r="L3701" s="1" t="s">
        <v>811</v>
      </c>
    </row>
    <row r="3702" customFormat="false" ht="17.15" hidden="false" customHeight="false" outlineLevel="0" collapsed="false">
      <c r="A3702" s="1" t="s">
        <v>812</v>
      </c>
      <c r="B3702" s="0" t="s">
        <v>392</v>
      </c>
      <c r="C3702" s="29" t="n">
        <f aca="false">mix_h*Sens!C3694</f>
        <v>128</v>
      </c>
      <c r="D3702" s="29" t="n">
        <f aca="false">mix_h*Sens!D3694</f>
        <v>326</v>
      </c>
      <c r="E3702" s="29" t="n">
        <f aca="false">mix_h*Sens!E3694</f>
        <v>650</v>
      </c>
      <c r="F3702" s="29" t="n">
        <f aca="false">Sens!E3702-Sens!F3701*mix_h</f>
        <v>650</v>
      </c>
      <c r="G3702" s="29" t="n">
        <f aca="false">Sens!F3702-Sens!G3701*mix_h</f>
        <v>650</v>
      </c>
      <c r="H3702" s="29" t="n">
        <f aca="false">Sens!G3702-Sens!H3701*mix_h</f>
        <v>650</v>
      </c>
      <c r="I3702" s="29" t="n">
        <f aca="false">Sens!H3702-Sens!I3701*mix_h</f>
        <v>552</v>
      </c>
      <c r="J3702" s="29" t="n">
        <f aca="false">Sens!I3702-Sens!J3701*mix_h</f>
        <v>404</v>
      </c>
      <c r="K3702" s="29" t="n">
        <f aca="false">Sens!J3702-Sens!K3701*mix_h</f>
        <v>110</v>
      </c>
    </row>
    <row r="3703" customFormat="false" ht="17.15" hidden="false" customHeight="false" outlineLevel="0" collapsed="false">
      <c r="A3703" s="1" t="s">
        <v>813</v>
      </c>
      <c r="B3703" s="0" t="s">
        <v>392</v>
      </c>
      <c r="C3703" s="29" t="n">
        <f aca="false">mix_g2*Sens!C3694</f>
        <v>288</v>
      </c>
      <c r="D3703" s="29" t="n">
        <f aca="false">mix_g2*Sens!D3694</f>
        <v>733.5</v>
      </c>
      <c r="E3703" s="29" t="n">
        <f aca="false">mix_g2*Sens!E3694</f>
        <v>1462.5</v>
      </c>
      <c r="F3703" s="29" t="n">
        <f aca="false">Sens!E3703-Sens!F3701*mix_g2</f>
        <v>1462.5</v>
      </c>
      <c r="G3703" s="29" t="n">
        <f aca="false">Sens!F3703-Sens!G3701*mix_g2</f>
        <v>1462.5</v>
      </c>
      <c r="H3703" s="29" t="n">
        <f aca="false">Sens!G3703-Sens!H3701*mix_g2</f>
        <v>1462.5</v>
      </c>
      <c r="I3703" s="29" t="n">
        <f aca="false">Sens!H3703-Sens!I3701*mix_g2</f>
        <v>1242</v>
      </c>
      <c r="J3703" s="29" t="n">
        <f aca="false">Sens!I3703-Sens!J3701*mix_g2</f>
        <v>909</v>
      </c>
      <c r="K3703" s="29" t="n">
        <f aca="false">Sens!J3703-Sens!K3701*mix_g2</f>
        <v>247.5</v>
      </c>
    </row>
    <row r="3704" customFormat="false" ht="17.15" hidden="false" customHeight="false" outlineLevel="0" collapsed="false">
      <c r="A3704" s="1" t="s">
        <v>814</v>
      </c>
      <c r="B3704" s="0" t="s">
        <v>392</v>
      </c>
      <c r="C3704" s="29" t="n">
        <f aca="false">mix_g3*Sens!C3694</f>
        <v>224</v>
      </c>
      <c r="D3704" s="29" t="n">
        <f aca="false">mix_g3*Sens!D3694</f>
        <v>570.5</v>
      </c>
      <c r="E3704" s="29" t="n">
        <f aca="false">mix_g3*Sens!E3694</f>
        <v>1137.5</v>
      </c>
      <c r="F3704" s="29" t="n">
        <f aca="false">Sens!E3704+(Sens!F3700+Sens!F3701)*a_g3_27-Sens!F3701*mix_g3</f>
        <v>3260.348</v>
      </c>
      <c r="G3704" s="29" t="n">
        <f aca="false">Sens!F3704+(Sens!G3700+Sens!G3701)*a_g3_28-Sens!G3701*mix_g3</f>
        <v>4170.14</v>
      </c>
      <c r="H3704" s="29" t="n">
        <f aca="false">Sens!G3704+(Sens!H3700+Sens!H3701)*a_g3_29-Sens!H3701*mix_g3</f>
        <v>4473.404</v>
      </c>
      <c r="I3704" s="29" t="n">
        <f aca="false">Sens!H3704+(Sens!I3700+Sens!I3701)*a_g3_29-Sens!I3701*mix_g3</f>
        <v>4565.42792</v>
      </c>
      <c r="J3704" s="29" t="n">
        <f aca="false">Sens!I3704+(Sens!J3700+Sens!J3701)*a_g3_29-Sens!J3701*mix_g3</f>
        <v>4506.21176</v>
      </c>
      <c r="K3704" s="29" t="n">
        <f aca="false">Sens!J3704+(Sens!K3700+Sens!K3701)*a_g3_29-Sens!K3701*mix_g3</f>
        <v>4175.75552</v>
      </c>
    </row>
    <row r="3705" customFormat="false" ht="17.15" hidden="false" customHeight="false" outlineLevel="0" collapsed="false">
      <c r="A3705" s="1" t="s">
        <v>815</v>
      </c>
      <c r="B3705" s="0" t="s">
        <v>392</v>
      </c>
      <c r="C3705" s="29" t="n">
        <v>0</v>
      </c>
      <c r="D3705" s="29" t="n">
        <v>0</v>
      </c>
      <c r="E3705" s="29" t="n">
        <v>0</v>
      </c>
      <c r="F3705" s="29" t="n">
        <f aca="false">Sens!E3705+(Sens!F3700+Sens!F3701)*(1-a_g3_27)</f>
        <v>909.792</v>
      </c>
      <c r="G3705" s="29" t="n">
        <f aca="false">Sens!F3705+(Sens!G3700+Sens!G3701)*(1-a_g3_28)</f>
        <v>3032.64</v>
      </c>
      <c r="H3705" s="29" t="n">
        <f aca="false">Sens!G3705+(Sens!H3700+Sens!H3701)*(1-a_g3_29)</f>
        <v>5762.016</v>
      </c>
      <c r="I3705" s="29" t="n">
        <f aca="false">Sens!H3705+(Sens!I3700+Sens!I3701)*(1-a_g3_29)</f>
        <v>8133.73128</v>
      </c>
      <c r="J3705" s="29" t="n">
        <f aca="false">Sens!I3705+(Sens!J3700+Sens!J3701)*(1-a_g3_29)</f>
        <v>9931.78584</v>
      </c>
      <c r="K3705" s="29" t="n">
        <f aca="false">Sens!J3705+(Sens!K3700+Sens!K3701)*(1-a_g3_29)</f>
        <v>11588.17968</v>
      </c>
    </row>
    <row r="3706" customFormat="false" ht="17.15" hidden="false" customHeight="false" outlineLevel="0" collapsed="false">
      <c r="A3706" s="1" t="s">
        <v>816</v>
      </c>
      <c r="B3706" s="0" t="s">
        <v>339</v>
      </c>
      <c r="C3706" s="14" t="n">
        <f aca="false">(Sens!C3702*tk_hold_h100+Sens!C3703*tk_hold_gb200+Sens!C3704*tk_hold_gb300+Sens!C3705*tk_hold_vr200)/Sens!C3694</f>
        <v>9.7235358126469</v>
      </c>
      <c r="D3706" s="14" t="n">
        <f aca="false">(Sens!D3702*tk_hold_h100+Sens!D3703*tk_hold_gb200+Sens!D3704*tk_hold_gb300+Sens!D3705*tk_hold_vr200)/Sens!D3694</f>
        <v>9.7235358126469</v>
      </c>
      <c r="E3706" s="14" t="n">
        <f aca="false">(Sens!E3702*tk_hold_h100+Sens!E3703*tk_hold_gb200+Sens!E3704*tk_hold_gb300+Sens!E3705*tk_hold_vr200)/Sens!E3694</f>
        <v>9.7235358126469</v>
      </c>
      <c r="F3706" s="14" t="n">
        <f aca="false">(Sens!F3702*tk_hold_h100+Sens!F3703*tk_hold_gb200+Sens!F3704*tk_hold_gb300+Sens!F3705*tk_hold_vr200)/Sens!F3694</f>
        <v>10.4787673542193</v>
      </c>
      <c r="G3706" s="14" t="n">
        <f aca="false">(Sens!G3702*tk_hold_h100+Sens!G3703*tk_hold_gb200+Sens!G3704*tk_hold_gb300+Sens!G3705*tk_hold_vr200)/Sens!G3694</f>
        <v>10.9166347377517</v>
      </c>
      <c r="H3706" s="14" t="n">
        <f aca="false">(Sens!H3702*tk_hold_h100+Sens!H3703*tk_hold_gb200+Sens!H3704*tk_hold_gb300+Sens!H3705*tk_hold_vr200)/Sens!H3694</f>
        <v>11.2051967403931</v>
      </c>
      <c r="I3706" s="14" t="n">
        <f aca="false">(Sens!I3702*tk_hold_h100+Sens!I3703*tk_hold_gb200+Sens!I3704*tk_hold_gb300+Sens!I3705*tk_hold_vr200)/Sens!I3694</f>
        <v>11.4164554595671</v>
      </c>
      <c r="J3706" s="14" t="n">
        <f aca="false">(Sens!J3702*tk_hold_h100+Sens!J3703*tk_hold_gb200+Sens!J3704*tk_hold_gb300+Sens!J3705*tk_hold_vr200)/Sens!J3694</f>
        <v>11.5816208908327</v>
      </c>
      <c r="K3706" s="14" t="n">
        <f aca="false">(Sens!K3702*tk_hold_h100+Sens!K3703*tk_hold_gb200+Sens!K3704*tk_hold_gb300+Sens!K3705*tk_hold_vr200)/Sens!K3694</f>
        <v>11.8092622478084</v>
      </c>
    </row>
    <row r="3707" customFormat="false" ht="17.15" hidden="false" customHeight="false" outlineLevel="0" collapsed="false">
      <c r="A3707" s="0" t="s">
        <v>817</v>
      </c>
      <c r="B3707" s="0" t="s">
        <v>185</v>
      </c>
      <c r="C3707" s="14" t="n">
        <f aca="false">k_B</f>
        <v>1.17213932619116</v>
      </c>
      <c r="D3707" s="14" t="n">
        <f aca="false">k_B</f>
        <v>1.17213932619116</v>
      </c>
      <c r="E3707" s="14" t="n">
        <f aca="false">k_B</f>
        <v>1.17213932619116</v>
      </c>
      <c r="F3707" s="14" t="n">
        <f aca="false">(k_B+((ls_B*k_long+(1-ls_B)*k_spot)-k_B)*MIN(1,(Sens!F3692-base_fy)/k_ramp))</f>
        <v>1.17213932619116</v>
      </c>
      <c r="G3707" s="14" t="n">
        <f aca="false">(k_B+((ls_B*k_long+(1-ls_B)*k_spot)-k_B)*MIN(1,(Sens!G3692-base_fy)/k_ramp))</f>
        <v>1.17213932619116</v>
      </c>
      <c r="H3707" s="14" t="n">
        <f aca="false">(k_B+((ls_B*k_long+(1-ls_B)*k_spot)-k_B)*MIN(1,(Sens!H3692-base_fy)/k_ramp))</f>
        <v>1.17213932619116</v>
      </c>
      <c r="I3707" s="14" t="n">
        <f aca="false">(k_B+((ls_B*k_long+(1-ls_B)*k_spot)-k_B)*MIN(1,(Sens!I3692-base_fy)/k_ramp))</f>
        <v>1.17213932619116</v>
      </c>
      <c r="J3707" s="14" t="n">
        <f aca="false">(k_B+((ls_B*k_long+(1-ls_B)*k_spot)-k_B)*MIN(1,(Sens!J3692-base_fy)/k_ramp))</f>
        <v>1.17213932619116</v>
      </c>
      <c r="K3707" s="14" t="n">
        <f aca="false">(k_B+((ls_B*k_long+(1-ls_B)*k_spot)-k_B)*MIN(1,(Sens!K3692-base_fy)/k_ramp))</f>
        <v>1.17213932619116</v>
      </c>
      <c r="L3707" s="1" t="s">
        <v>818</v>
      </c>
    </row>
    <row r="3708" customFormat="false" ht="17.15" hidden="false" customHeight="false" outlineLevel="0" collapsed="false">
      <c r="A3708" s="1" t="s">
        <v>819</v>
      </c>
      <c r="B3708" s="0" t="s">
        <v>339</v>
      </c>
      <c r="C3708" s="14" t="n">
        <f aca="false">Sens!C3706*Sens!C3707*chip_f</f>
        <v>11.3973387156315</v>
      </c>
      <c r="D3708" s="14" t="n">
        <f aca="false">Sens!D3706*Sens!D3707*chip_f</f>
        <v>11.3973387156315</v>
      </c>
      <c r="E3708" s="14" t="n">
        <f aca="false">Sens!E3706*Sens!E3707*chip_f</f>
        <v>11.3973387156315</v>
      </c>
      <c r="F3708" s="14" t="n">
        <f aca="false">Sens!F3706*Sens!F3707*chip_f</f>
        <v>12.2825753058885</v>
      </c>
      <c r="G3708" s="14" t="n">
        <f aca="false">Sens!G3706*Sens!G3707*chip_f</f>
        <v>12.7958168857832</v>
      </c>
      <c r="H3708" s="14" t="n">
        <f aca="false">Sens!H3706*Sens!H3707*chip_f</f>
        <v>13.1340517571237</v>
      </c>
      <c r="I3708" s="14" t="n">
        <f aca="false">Sens!I3706*Sens!I3707*chip_f</f>
        <v>13.3816764098683</v>
      </c>
      <c r="J3708" s="14" t="n">
        <f aca="false">Sens!J3706*Sens!J3707*chip_f</f>
        <v>13.5752733071821</v>
      </c>
      <c r="K3708" s="14" t="n">
        <f aca="false">Sens!K3706*Sens!K3707*chip_f</f>
        <v>13.8421006939608</v>
      </c>
      <c r="L3708" s="1" t="s">
        <v>820</v>
      </c>
    </row>
    <row r="3709" customFormat="false" ht="17.15" hidden="false" customHeight="false" outlineLevel="0" collapsed="false">
      <c r="A3709" s="0" t="s">
        <v>821</v>
      </c>
      <c r="B3709" s="0" t="s">
        <v>98</v>
      </c>
      <c r="D3709" s="6" t="n">
        <f aca="false">(Sens!C3694+Sens!D3694)/2*Sens!D3708/1000</f>
        <v>12.9359794422418</v>
      </c>
      <c r="E3709" s="6" t="n">
        <f aca="false">(Sens!D3694+Sens!E3694)/2*Sens!E3708/1000</f>
        <v>27.8095064661409</v>
      </c>
      <c r="F3709" s="6" t="n">
        <f aca="false">(Sens!E3694+Sens!F3694)/2*Sens!F3708/1000</f>
        <v>58.5426843319625</v>
      </c>
      <c r="G3709" s="6" t="n">
        <f aca="false">(Sens!F3694+Sens!G3694)/2*Sens!G3708/1000</f>
        <v>99.7940640595479</v>
      </c>
      <c r="H3709" s="6" t="n">
        <f aca="false">(Sens!G3694+Sens!H3694)/2*Sens!H3708/1000</f>
        <v>142.262795012461</v>
      </c>
      <c r="I3709" s="6" t="n">
        <f aca="false">(Sens!H3694+Sens!I3694)/2*Sens!I3708/1000</f>
        <v>179.589318173023</v>
      </c>
      <c r="J3709" s="6" t="n">
        <f aca="false">(Sens!I3694+Sens!J3694)/2*Sens!J3708/1000</f>
        <v>205.286347252634</v>
      </c>
      <c r="K3709" s="6" t="n">
        <f aca="false">(Sens!J3694+Sens!K3694)/2*Sens!K3708/1000</f>
        <v>220.59071208955</v>
      </c>
      <c r="L3709" s="11" t="s">
        <v>822</v>
      </c>
    </row>
    <row r="3710" customFormat="false" ht="17.15" hidden="false" customHeight="false" outlineLevel="0" collapsed="false">
      <c r="A3710" s="1" t="s">
        <v>823</v>
      </c>
      <c r="B3710" s="0" t="s">
        <v>339</v>
      </c>
      <c r="C3710" s="14" t="n">
        <f aca="false">(Sens!C3702*tk_opex_h100+Sens!C3703*tk_opex_gb200+Sens!C3704*tk_opex_gb300+Sens!C3705*tk_opex_vr200)/Sens!C3694</f>
        <v>1.88636041306092</v>
      </c>
      <c r="D3710" s="14" t="n">
        <f aca="false">(Sens!D3702*tk_opex_h100+Sens!D3703*tk_opex_gb200+Sens!D3704*tk_opex_gb300+Sens!D3705*tk_opex_vr200)/Sens!D3694</f>
        <v>1.88636041306092</v>
      </c>
      <c r="E3710" s="14" t="n">
        <f aca="false">(Sens!E3702*tk_opex_h100+Sens!E3703*tk_opex_gb200+Sens!E3704*tk_opex_gb300+Sens!E3705*tk_opex_vr200)/Sens!E3694</f>
        <v>1.88636041306092</v>
      </c>
      <c r="F3710" s="14" t="n">
        <f aca="false">(Sens!F3702*tk_opex_h100+Sens!F3703*tk_opex_gb200+Sens!F3704*tk_opex_gb300+Sens!F3705*tk_opex_vr200)/Sens!F3694</f>
        <v>1.94888600845409</v>
      </c>
      <c r="G3710" s="14" t="n">
        <f aca="false">(Sens!G3702*tk_opex_h100+Sens!G3703*tk_opex_gb200+Sens!G3704*tk_opex_gb300+Sens!G3705*tk_opex_vr200)/Sens!G3694</f>
        <v>1.98513703526054</v>
      </c>
      <c r="H3710" s="14" t="n">
        <f aca="false">(Sens!H3702*tk_opex_h100+Sens!H3703*tk_opex_gb200+Sens!H3704*tk_opex_gb300+Sens!H3705*tk_opex_vr200)/Sens!H3694</f>
        <v>2.00902707431457</v>
      </c>
      <c r="I3710" s="14" t="n">
        <f aca="false">(Sens!I3702*tk_opex_h100+Sens!I3703*tk_opex_gb200+Sens!I3704*tk_opex_gb300+Sens!I3705*tk_opex_vr200)/Sens!I3694</f>
        <v>2.02651717698011</v>
      </c>
      <c r="J3710" s="14" t="n">
        <f aca="false">(Sens!J3702*tk_opex_h100+Sens!J3703*tk_opex_gb200+Sens!J3704*tk_opex_gb300+Sens!J3705*tk_opex_vr200)/Sens!J3694</f>
        <v>2.04019121780043</v>
      </c>
      <c r="K3710" s="14" t="n">
        <f aca="false">(Sens!K3702*tk_opex_h100+Sens!K3703*tk_opex_gb200+Sens!K3704*tk_opex_gb300+Sens!K3705*tk_opex_vr200)/Sens!K3694</f>
        <v>2.0590376385304</v>
      </c>
    </row>
    <row r="3711" customFormat="false" ht="17.15" hidden="false" customHeight="false" outlineLevel="0" collapsed="false">
      <c r="A3711" s="0" t="s">
        <v>824</v>
      </c>
      <c r="B3711" s="0" t="s">
        <v>98</v>
      </c>
      <c r="D3711" s="6" t="n">
        <f aca="false">(Sens!C3697+Sens!D3697)/2*Sens!D3710/1000</f>
        <v>2.70378325872065</v>
      </c>
      <c r="E3711" s="6" t="n">
        <f aca="false">(Sens!D3697+Sens!E3697)/2*Sens!E3710/1000</f>
        <v>6.17783035277451</v>
      </c>
      <c r="F3711" s="6" t="n">
        <f aca="false">(Sens!E3697+Sens!F3697)/2*Sens!F3710/1000</f>
        <v>13.360652993824</v>
      </c>
      <c r="G3711" s="6" t="n">
        <f aca="false">(Sens!F3697+Sens!G3697)/2*Sens!G3710/1000</f>
        <v>23.3020678897643</v>
      </c>
      <c r="H3711" s="6" t="n">
        <f aca="false">(Sens!G3697+Sens!H3697)/2*Sens!H3710/1000</f>
        <v>33.7369219832732</v>
      </c>
      <c r="I3711" s="6" t="n">
        <f aca="false">(Sens!H3697+Sens!I3697)/2*Sens!I3710/1000</f>
        <v>42.7748450632413</v>
      </c>
      <c r="J3711" s="6" t="n">
        <f aca="false">(Sens!I3697+Sens!J3697)/2*Sens!J3710/1000</f>
        <v>48.8492449765207</v>
      </c>
      <c r="K3711" s="6" t="n">
        <f aca="false">(Sens!J3697+Sens!K3697)/2*Sens!K3710/1000</f>
        <v>52.0943948810608</v>
      </c>
    </row>
    <row r="3712" customFormat="false" ht="17.15" hidden="false" customHeight="false" outlineLevel="0" collapsed="false">
      <c r="A3712" s="0" t="s">
        <v>825</v>
      </c>
      <c r="B3712" s="0" t="s">
        <v>98</v>
      </c>
      <c r="D3712" s="6" t="n">
        <f aca="false">(Sens!C3695+Sens!D3695)/2*rent_mw/1000</f>
        <v>2.44475</v>
      </c>
      <c r="E3712" s="6" t="n">
        <f aca="false">(Sens!D3695+Sens!E3695)/2*rent_mw/1000</f>
        <v>4.22275</v>
      </c>
      <c r="F3712" s="6" t="n">
        <f aca="false">(Sens!E3695+Sens!F3695)/2*rent_mw/1000</f>
        <v>5.80517</v>
      </c>
      <c r="G3712" s="6" t="n">
        <f aca="false">(Sens!F3695+Sens!G3695)/2*rent_mw/1000</f>
        <v>6.72084</v>
      </c>
      <c r="H3712" s="6" t="n">
        <f aca="false">(Sens!G3695+Sens!H3695)/2*rent_mw/1000</f>
        <v>6.72084</v>
      </c>
      <c r="I3712" s="6" t="n">
        <f aca="false">(Sens!H3695+Sens!I3695)/2*rent_mw/1000</f>
        <v>6.72084</v>
      </c>
      <c r="J3712" s="6" t="n">
        <f aca="false">(Sens!I3695+Sens!J3695)/2*rent_mw/1000</f>
        <v>6.72084</v>
      </c>
      <c r="K3712" s="6" t="n">
        <f aca="false">(Sens!J3695+Sens!K3695)/2*rent_mw/1000</f>
        <v>6.72084</v>
      </c>
    </row>
    <row r="3713" customFormat="false" ht="17.15" hidden="false" customHeight="false" outlineLevel="0" collapsed="false">
      <c r="A3713" s="0" t="s">
        <v>826</v>
      </c>
      <c r="B3713" s="0" t="s">
        <v>98</v>
      </c>
      <c r="D3713" s="6" t="n">
        <f aca="false">(Sens!C3697+Sens!D3697)/2*(1-self_build)*fac_rent/1000</f>
        <v>0.853242375631075</v>
      </c>
      <c r="E3713" s="6" t="n">
        <f aca="false">(Sens!D3697+Sens!E3697)/2*(1-self_build)*fac_rent/1000</f>
        <v>1.94955961408728</v>
      </c>
      <c r="F3713" s="6" t="n">
        <f aca="false">(Sens!E3697+Sens!F3697)/2*(1-self_build)*fac_rent/1000</f>
        <v>4.0809987541056</v>
      </c>
      <c r="G3713" s="6" t="n">
        <f aca="false">(Sens!F3697+Sens!G3697)/2*(1-self_build)*fac_rent/1000</f>
        <v>6.98761851380772</v>
      </c>
      <c r="H3713" s="6" t="n">
        <f aca="false">(Sens!G3697+Sens!H3697)/2*(1-self_build)*fac_rent/1000</f>
        <v>9.99642893012612</v>
      </c>
      <c r="I3713" s="6" t="n">
        <f aca="false">(Sens!H3697+Sens!I3697)/2*(1-self_build)*fac_rent/1000</f>
        <v>12.5650254122998</v>
      </c>
      <c r="J3713" s="6" t="n">
        <f aca="false">(Sens!I3697+Sens!J3697)/2*(1-self_build)*fac_rent/1000</f>
        <v>14.253194026184</v>
      </c>
      <c r="K3713" s="6" t="n">
        <f aca="false">(Sens!J3697+Sens!K3697)/2*(1-self_build)*fac_rent/1000</f>
        <v>15.0609347717789</v>
      </c>
      <c r="L3713" s="11" t="s">
        <v>827</v>
      </c>
    </row>
    <row r="3714" customFormat="false" ht="17.15" hidden="false" customHeight="false" outlineLevel="0" collapsed="false">
      <c r="A3714" s="1" t="s">
        <v>828</v>
      </c>
      <c r="B3714" s="0" t="s">
        <v>129</v>
      </c>
      <c r="D3714" s="7" t="n">
        <f aca="false">(Sens!C3696+Sens!D3696)/(Sens!C3697+Sens!D3697)</f>
        <v>0.6</v>
      </c>
      <c r="E3714" s="7" t="n">
        <f aca="false">(Sens!D3696+Sens!E3696)/(Sens!D3697+Sens!E3697)</f>
        <v>0.6</v>
      </c>
      <c r="F3714" s="7" t="n">
        <f aca="false">(Sens!E3696+Sens!F3696)/(Sens!E3697+Sens!F3697)</f>
        <v>0.6</v>
      </c>
      <c r="G3714" s="7" t="n">
        <f aca="false">(Sens!F3696+Sens!G3696)/(Sens!F3697+Sens!G3697)</f>
        <v>0.6</v>
      </c>
      <c r="H3714" s="7" t="n">
        <f aca="false">(Sens!G3696+Sens!H3696)/(Sens!G3697+Sens!H3697)</f>
        <v>0.6</v>
      </c>
      <c r="I3714" s="7" t="n">
        <f aca="false">(Sens!H3696+Sens!I3696)/(Sens!H3697+Sens!I3697)</f>
        <v>0.6</v>
      </c>
      <c r="J3714" s="7" t="n">
        <f aca="false">(Sens!I3696+Sens!J3696)/(Sens!I3697+Sens!J3697)</f>
        <v>0.6</v>
      </c>
      <c r="K3714" s="7" t="n">
        <f aca="false">(Sens!J3696+Sens!K3696)/(Sens!J3697+Sens!K3697)</f>
        <v>0.6</v>
      </c>
    </row>
    <row r="3715" customFormat="false" ht="17.15" hidden="false" customHeight="false" outlineLevel="0" collapsed="false">
      <c r="A3715" s="0" t="s">
        <v>829</v>
      </c>
      <c r="B3715" s="0" t="s">
        <v>98</v>
      </c>
      <c r="D3715" s="6" t="n">
        <f aca="false">Sens!D3709-Sens!D3714*(Sens!D3711+Sens!D3713)-Sens!D3712</f>
        <v>8.35701406163072</v>
      </c>
      <c r="E3715" s="6" t="n">
        <f aca="false">Sens!E3709-Sens!E3714*(Sens!E3711+Sens!E3713)-Sens!E3712</f>
        <v>18.7103224860238</v>
      </c>
      <c r="F3715" s="6" t="n">
        <f aca="false">Sens!F3709-Sens!F3714*(Sens!F3711+Sens!F3713)-Sens!F3712</f>
        <v>42.2725232832047</v>
      </c>
      <c r="G3715" s="6" t="n">
        <f aca="false">Sens!G3709-Sens!G3714*(Sens!G3711+Sens!G3713)-Sens!G3712</f>
        <v>74.8994122174047</v>
      </c>
      <c r="H3715" s="6" t="n">
        <f aca="false">Sens!H3709-Sens!H3714*(Sens!H3711+Sens!H3713)-Sens!H3712</f>
        <v>109.301944464422</v>
      </c>
      <c r="I3715" s="6" t="n">
        <f aca="false">Sens!I3709-Sens!I3714*(Sens!I3711+Sens!I3713)-Sens!I3712</f>
        <v>139.664555887698</v>
      </c>
      <c r="J3715" s="6" t="n">
        <f aca="false">Sens!J3709-Sens!J3714*(Sens!J3711+Sens!J3713)-Sens!J3712</f>
        <v>160.704043851011</v>
      </c>
      <c r="K3715" s="6" t="n">
        <f aca="false">Sens!K3709-Sens!K3714*(Sens!K3711+Sens!K3713)-Sens!K3712</f>
        <v>173.576674297846</v>
      </c>
    </row>
    <row r="3716" customFormat="false" ht="17.15" hidden="false" customHeight="false" outlineLevel="0" collapsed="false">
      <c r="A3716" s="1" t="s">
        <v>830</v>
      </c>
      <c r="B3716" s="0" t="s">
        <v>98</v>
      </c>
      <c r="D3716" s="6" t="n">
        <f aca="false">(1-Sens!D3714)*(Sens!D3711+Sens!D3713)</f>
        <v>1.42281025374069</v>
      </c>
      <c r="E3716" s="6" t="n">
        <f aca="false">(1-Sens!E3714)*(Sens!E3711+Sens!E3713)</f>
        <v>3.25095598674472</v>
      </c>
      <c r="F3716" s="6" t="n">
        <f aca="false">(1-Sens!F3714)*(Sens!F3711+Sens!F3713)</f>
        <v>6.97666069917183</v>
      </c>
      <c r="G3716" s="6" t="n">
        <f aca="false">(1-Sens!G3714)*(Sens!G3711+Sens!G3713)</f>
        <v>12.1158745614288</v>
      </c>
      <c r="H3716" s="6" t="n">
        <f aca="false">(1-Sens!H3714)*(Sens!H3711+Sens!H3713)</f>
        <v>17.4933403653597</v>
      </c>
      <c r="I3716" s="6" t="n">
        <f aca="false">(1-Sens!I3714)*(Sens!I3711+Sens!I3713)</f>
        <v>22.1359481902164</v>
      </c>
      <c r="J3716" s="6" t="n">
        <f aca="false">(1-Sens!J3714)*(Sens!J3711+Sens!J3713)</f>
        <v>25.2409756010819</v>
      </c>
      <c r="K3716" s="6" t="n">
        <f aca="false">(1-Sens!K3714)*(Sens!K3711+Sens!K3713)</f>
        <v>26.8621318611359</v>
      </c>
    </row>
    <row r="3717" customFormat="false" ht="17.15" hidden="false" customHeight="false" outlineLevel="0" collapsed="false">
      <c r="A3717" s="1" t="s">
        <v>831</v>
      </c>
      <c r="B3717" s="0" t="s">
        <v>350</v>
      </c>
      <c r="C3717" s="8" t="n">
        <f aca="false">cxit_open</f>
        <v>27.5918995</v>
      </c>
      <c r="D3717" s="8" t="n">
        <f aca="false">cxit_open</f>
        <v>27.5918995</v>
      </c>
      <c r="E3717" s="8" t="n">
        <f aca="false">cxit_open</f>
        <v>27.5918995</v>
      </c>
      <c r="F3717" s="8" t="n">
        <f aca="false">(a_g3_27*tk_cxit_gb300+(1-a_g3_27)*tk_cxit_vr200)</f>
        <v>33.8419624</v>
      </c>
      <c r="G3717" s="8" t="n">
        <f aca="false">(a_g3_28*tk_cxit_gb300+(1-a_g3_28)*tk_cxit_vr200)</f>
        <v>35.9816136</v>
      </c>
      <c r="H3717" s="8" t="n">
        <f aca="false">(a_g3_29*tk_cxit_gb300+(1-a_g3_29)*tk_cxit_vr200)</f>
        <v>37.0514392</v>
      </c>
      <c r="I3717" s="8" t="n">
        <f aca="false">(a_g3_29*tk_cxit_gb300+(1-a_g3_29)*tk_cxit_vr200)</f>
        <v>37.0514392</v>
      </c>
      <c r="J3717" s="8" t="n">
        <f aca="false">(a_g3_29*tk_cxit_gb300+(1-a_g3_29)*tk_cxit_vr200)</f>
        <v>37.0514392</v>
      </c>
      <c r="K3717" s="8" t="n">
        <f aca="false">(a_g3_29*tk_cxit_gb300+(1-a_g3_29)*tk_cxit_vr200)</f>
        <v>37.0514392</v>
      </c>
      <c r="L3717" s="11" t="s">
        <v>832</v>
      </c>
    </row>
    <row r="3718" customFormat="false" ht="17.15" hidden="false" customHeight="false" outlineLevel="0" collapsed="false">
      <c r="A3718" s="0" t="s">
        <v>833</v>
      </c>
      <c r="B3718" s="0" t="s">
        <v>392</v>
      </c>
      <c r="F3718" s="29" t="n">
        <f aca="false">Sens!C3699*IF(Sens!F3692-Sens!C3692=life_it,1,0)+Sens!D3699*IF(Sens!F3692-Sens!D3692=life_it,1,0)+Sens!E3699*IF(Sens!F3692-Sens!E3692=life_it,1,0)</f>
        <v>0</v>
      </c>
      <c r="G3718" s="29" t="n">
        <f aca="false">Sens!C3699*IF(Sens!G3692-Sens!C3692=life_it,1,0)+Sens!D3699*IF(Sens!G3692-Sens!D3692=life_it,1,0)+Sens!E3699*IF(Sens!G3692-Sens!E3692=life_it,1,0)+Sens!F3699*IF(Sens!G3692-Sens!F3692=life_it,1,0)</f>
        <v>0</v>
      </c>
      <c r="H3718" s="29" t="n">
        <f aca="false">Sens!C3699*IF(Sens!H3692-Sens!C3692=life_it,1,0)+Sens!D3699*IF(Sens!H3692-Sens!D3692=life_it,1,0)+Sens!E3699*IF(Sens!H3692-Sens!E3692=life_it,1,0)+Sens!F3699*IF(Sens!H3692-Sens!F3692=life_it,1,0)+Sens!G3699*IF(Sens!H3692-Sens!G3692=life_it,1,0)</f>
        <v>0</v>
      </c>
      <c r="I3718" s="29" t="n">
        <f aca="false">Sens!C3699*IF(Sens!I3692-Sens!C3692=life_it,1,0)+Sens!D3699*IF(Sens!I3692-Sens!D3692=life_it,1,0)+Sens!E3699*IF(Sens!I3692-Sens!E3692=life_it,1,0)+Sens!F3699*IF(Sens!I3692-Sens!F3692=life_it,1,0)+Sens!G3699*IF(Sens!I3692-Sens!G3692=life_it,1,0)+Sens!H3699*IF(Sens!I3692-Sens!H3692=life_it,1,0)</f>
        <v>816.666666666667</v>
      </c>
      <c r="J3718" s="29" t="n">
        <f aca="false">Sens!C3699*IF(Sens!J3692-Sens!C3692=life_it,1,0)+Sens!D3699*IF(Sens!J3692-Sens!D3692=life_it,1,0)+Sens!E3699*IF(Sens!J3692-Sens!E3692=life_it,1,0)+Sens!F3699*IF(Sens!J3692-Sens!F3692=life_it,1,0)+Sens!G3699*IF(Sens!J3692-Sens!G3692=life_it,1,0)+Sens!H3699*IF(Sens!J3692-Sens!H3692=life_it,1,0)+Sens!I3699*IF(Sens!J3692-Sens!I3692=life_it,1,0)</f>
        <v>1233.33333333333</v>
      </c>
      <c r="K3718" s="29" t="n">
        <f aca="false">Sens!C3699*IF(Sens!K3692-Sens!C3692=life_it,1,0)+Sens!D3699*IF(Sens!K3692-Sens!D3692=life_it,1,0)+Sens!E3699*IF(Sens!K3692-Sens!E3692=life_it,1,0)+Sens!F3699*IF(Sens!K3692-Sens!F3692=life_it,1,0)+Sens!G3699*IF(Sens!K3692-Sens!G3692=life_it,1,0)+Sens!H3699*IF(Sens!K3692-Sens!H3692=life_it,1,0)+Sens!I3699*IF(Sens!K3692-Sens!I3692=life_it,1,0)+Sens!J3699*IF(Sens!K3692-Sens!J3692=life_it,1,0)</f>
        <v>2450</v>
      </c>
      <c r="L3718" s="1" t="s">
        <v>834</v>
      </c>
    </row>
    <row r="3719" customFormat="false" ht="17.15" hidden="false" customHeight="false" outlineLevel="0" collapsed="false">
      <c r="A3719" s="0" t="s">
        <v>835</v>
      </c>
      <c r="B3719" s="0" t="s">
        <v>98</v>
      </c>
      <c r="C3719" s="6" t="n">
        <f aca="false">Sens!C3699*Sens!C3717/1000</f>
        <v>22.5333845916667</v>
      </c>
      <c r="D3719" s="6" t="n">
        <f aca="false">Sens!D3699*Sens!D3717/1000</f>
        <v>34.0300093833333</v>
      </c>
      <c r="E3719" s="6" t="n">
        <f aca="false">Sens!E3699*Sens!E3717/1000</f>
        <v>67.600153775</v>
      </c>
      <c r="F3719" s="6" t="n">
        <f aca="false">(Sens!F3699+Sens!F3718)*Sens!F3717/1000</f>
        <v>159.431740997227</v>
      </c>
      <c r="G3719" s="6" t="n">
        <f aca="false">(Sens!G3699+Sens!G3718)*Sens!G3717/1000</f>
        <v>181.86546777984</v>
      </c>
      <c r="H3719" s="6" t="n">
        <f aca="false">(Sens!H3699+Sens!H3718)*Sens!H3717/1000</f>
        <v>187.27279429248</v>
      </c>
      <c r="I3719" s="6" t="n">
        <f aca="false">(Sens!I3699+Sens!I3718)*Sens!I3717/1000</f>
        <v>162.732341660428</v>
      </c>
      <c r="J3719" s="6" t="n">
        <f aca="false">(Sens!J3699+Sens!J3718)*Sens!J3717/1000</f>
        <v>123.371313348375</v>
      </c>
      <c r="K3719" s="6" t="n">
        <f aca="false">(Sens!K3699+Sens!K3718)*Sens!K3717/1000</f>
        <v>113.651436396323</v>
      </c>
    </row>
    <row r="3720" customFormat="false" ht="17.15" hidden="false" customHeight="false" outlineLevel="0" collapsed="false">
      <c r="A3720" s="0" t="s">
        <v>836</v>
      </c>
      <c r="B3720" s="0" t="s">
        <v>98</v>
      </c>
      <c r="C3720" s="6" t="n">
        <f aca="false">Sens!C3699*self_build*tk_cxfac/1000</f>
        <v>6.2083</v>
      </c>
      <c r="D3720" s="6" t="n">
        <f aca="false">Sens!D3699*self_build*tk_cxfac/1000</f>
        <v>9.3758</v>
      </c>
      <c r="E3720" s="6" t="n">
        <f aca="false">Sens!E3699*self_build*tk_cxfac/1000</f>
        <v>18.6249</v>
      </c>
      <c r="F3720" s="6" t="n">
        <f aca="false">Sens!F3699*self_build*tk_cxfac/1000</f>
        <v>35.8135288</v>
      </c>
      <c r="G3720" s="6" t="n">
        <f aca="false">Sens!G3699*self_build*tk_cxfac/1000</f>
        <v>38.4235488</v>
      </c>
      <c r="H3720" s="6" t="n">
        <f aca="false">Sens!H3699*self_build*tk_cxfac/1000</f>
        <v>38.4235488</v>
      </c>
      <c r="I3720" s="6" t="n">
        <f aca="false">Sens!I3699*self_build*tk_cxfac/1000</f>
        <v>27.180180664</v>
      </c>
      <c r="J3720" s="6" t="n">
        <f aca="false">Sens!J3699*self_build*tk_cxfac/1000</f>
        <v>15.936812528</v>
      </c>
      <c r="K3720" s="6" t="n">
        <f aca="false">Sens!K3699*self_build*tk_cxfac/1000</f>
        <v>4.69344439199998</v>
      </c>
    </row>
    <row r="3721" customFormat="false" ht="17.15" hidden="false" customHeight="false" outlineLevel="0" collapsed="false">
      <c r="A3721" s="0" t="s">
        <v>837</v>
      </c>
      <c r="B3721" s="0" t="s">
        <v>98</v>
      </c>
      <c r="F3721" s="6" t="n">
        <f aca="false">MAX(0,capex_floor27-Sens!F3719-Sens!F3720-Sens!F3814)</f>
        <v>0</v>
      </c>
      <c r="L3721" s="1" t="s">
        <v>838</v>
      </c>
    </row>
    <row r="3722" customFormat="false" ht="17.15" hidden="false" customHeight="false" outlineLevel="0" collapsed="false">
      <c r="A3722" s="0" t="s">
        <v>839</v>
      </c>
      <c r="B3722" s="0" t="s">
        <v>98</v>
      </c>
      <c r="C3722" s="6" t="n">
        <f aca="false">Sens!C3719</f>
        <v>22.5333845916667</v>
      </c>
      <c r="D3722" s="6" t="n">
        <f aca="false">Sens!D3719</f>
        <v>34.0300093833333</v>
      </c>
      <c r="E3722" s="6" t="n">
        <f aca="false">Sens!E3719</f>
        <v>67.600153775</v>
      </c>
      <c r="F3722" s="6" t="n">
        <f aca="false">Sens!F3719+Sens!F3721</f>
        <v>159.431740997227</v>
      </c>
      <c r="G3722" s="6" t="n">
        <f aca="false">Sens!G3719</f>
        <v>181.86546777984</v>
      </c>
      <c r="H3722" s="6" t="n">
        <f aca="false">Sens!H3719</f>
        <v>187.27279429248</v>
      </c>
      <c r="I3722" s="6" t="n">
        <f aca="false">Sens!I3719</f>
        <v>162.732341660428</v>
      </c>
      <c r="J3722" s="6" t="n">
        <f aca="false">Sens!J3719</f>
        <v>123.371313348375</v>
      </c>
      <c r="K3722" s="6" t="n">
        <f aca="false">Sens!K3719</f>
        <v>113.651436396323</v>
      </c>
    </row>
    <row r="3723" customFormat="false" ht="17.15" hidden="false" customHeight="false" outlineLevel="0" collapsed="false">
      <c r="A3723" s="0" t="s">
        <v>840</v>
      </c>
      <c r="B3723" s="0" t="s">
        <v>98</v>
      </c>
      <c r="C3723" s="6" t="n">
        <f aca="false">Sens!C3722+Sens!C3720</f>
        <v>28.7416845916667</v>
      </c>
      <c r="D3723" s="6" t="n">
        <f aca="false">Sens!D3722+Sens!D3720</f>
        <v>43.4058093833333</v>
      </c>
      <c r="E3723" s="6" t="n">
        <f aca="false">Sens!E3722+Sens!E3720</f>
        <v>86.225053775</v>
      </c>
      <c r="F3723" s="6" t="n">
        <f aca="false">Sens!F3722+Sens!F3720</f>
        <v>195.245269797227</v>
      </c>
      <c r="G3723" s="6" t="n">
        <f aca="false">Sens!G3722+Sens!G3720</f>
        <v>220.28901657984</v>
      </c>
      <c r="H3723" s="6" t="n">
        <f aca="false">Sens!H3722+Sens!H3720</f>
        <v>225.69634309248</v>
      </c>
      <c r="I3723" s="6" t="n">
        <f aca="false">Sens!I3722+Sens!I3720</f>
        <v>189.912522324428</v>
      </c>
      <c r="J3723" s="6" t="n">
        <f aca="false">Sens!J3722+Sens!J3720</f>
        <v>139.308125876376</v>
      </c>
      <c r="K3723" s="6" t="n">
        <f aca="false">Sens!K3722+Sens!K3720</f>
        <v>118.344880788323</v>
      </c>
      <c r="L3723" s="11" t="s">
        <v>841</v>
      </c>
    </row>
    <row r="3724" customFormat="false" ht="17.15" hidden="false" customHeight="false" outlineLevel="0" collapsed="false">
      <c r="A3724" s="0" t="s">
        <v>842</v>
      </c>
      <c r="B3724" s="0" t="s">
        <v>98</v>
      </c>
      <c r="E3724" s="6" t="n">
        <f aca="false">(Sens!C3722*IF(2&lt;life_it,1,IF(2=life_it,0.5,0))+Sens!D3722*IF(1&lt;life_it,1,IF(1=life_it,0.5,0))+Sens!E3722*0.5)/life_it</f>
        <v>15.0605784770833</v>
      </c>
      <c r="F3724" s="6" t="n">
        <f aca="false">(Sens!C3722*IF(3&lt;life_it,1,IF(3=life_it,0.5,0))+Sens!D3722*IF(2&lt;life_it,1,IF(2=life_it,0.5,0))+Sens!E3722*IF(1&lt;life_it,1,IF(1=life_it,0.5,0))+Sens!F3722*0.5)/life_it</f>
        <v>33.9799030414356</v>
      </c>
      <c r="G3724" s="6" t="n">
        <f aca="false">(Sens!C3722*IF(4&lt;life_it,1,IF(4=life_it,0.5,0))+Sens!D3722*IF(3&lt;life_it,1,IF(3=life_it,0.5,0))+Sens!E3722*IF(2&lt;life_it,1,IF(2=life_it,0.5,0))+Sens!F3722*IF(1&lt;life_it,1,IF(1=life_it,0.5,0))+Sens!G3722*0.5)/life_it</f>
        <v>62.4213371061911</v>
      </c>
      <c r="H3724" s="6" t="n">
        <f aca="false">(Sens!C3722*IF(5&lt;life_it,1,IF(5=life_it,0.5,0))+Sens!D3722*IF(4&lt;life_it,1,IF(4=life_it,0.5,0))+Sens!E3722*IF(3&lt;life_it,1,IF(3=life_it,0.5,0))+Sens!F3722*IF(2&lt;life_it,1,IF(2=life_it,0.5,0))+Sens!G3722*IF(1&lt;life_it,1,IF(1=life_it,0.5,0))+Sens!H3722*0.5)/life_it</f>
        <v>93.1828589455511</v>
      </c>
      <c r="I3724" s="6" t="n">
        <f aca="false">(Sens!C3722*IF(6&lt;life_it,1,IF(6=life_it,0.5,0))+Sens!D3722*IF(5&lt;life_it,1,IF(5=life_it,0.5,0))+Sens!E3722*IF(4&lt;life_it,1,IF(4=life_it,0.5,0))+Sens!F3722*IF(3&lt;life_it,1,IF(3=life_it,0.5,0))+Sens!G3722*IF(2&lt;life_it,1,IF(2=life_it,0.5,0))+Sens!H3722*IF(1&lt;life_it,1,IF(1=life_it,0.5,0))+Sens!I3722*0.5)/life_it</f>
        <v>120.472171558988</v>
      </c>
      <c r="J3724" s="6" t="n">
        <f aca="false">(Sens!C3722*IF(7&lt;life_it,1,IF(7=life_it,0.5,0))+Sens!D3722*IF(6&lt;life_it,1,IF(6=life_it,0.5,0))+Sens!E3722*IF(5&lt;life_it,1,IF(5=life_it,0.5,0))+Sens!F3722*IF(4&lt;life_it,1,IF(4=life_it,0.5,0))+Sens!G3722*IF(3&lt;life_it,1,IF(3=life_it,0.5,0))+Sens!H3722*IF(2&lt;life_it,1,IF(2=life_it,0.5,0))+Sens!I3722*IF(1&lt;life_it,1,IF(1=life_it,0.5,0))+Sens!J3722*0.5)/life_it</f>
        <v>139.600526645138</v>
      </c>
      <c r="K3724" s="6" t="n">
        <f aca="false">(Sens!C3722*IF(8&lt;life_it,1,IF(8=life_it,0.5,0))+Sens!D3722*IF(7&lt;life_it,1,IF(7=life_it,0.5,0))+Sens!E3722*IF(6&lt;life_it,1,IF(6=life_it,0.5,0))+Sens!F3722*IF(5&lt;life_it,1,IF(5=life_it,0.5,0))+Sens!G3722*IF(4&lt;life_it,1,IF(4=life_it,0.5,0))+Sens!H3722*IF(3&lt;life_it,1,IF(3=life_it,0.5,0))+Sens!I3722*IF(2&lt;life_it,1,IF(2=life_it,0.5,0))+Sens!J3722*IF(1&lt;life_it,1,IF(1=life_it,0.5,0))+Sens!K3722*0.5)/life_it</f>
        <v>150.883242194002</v>
      </c>
    </row>
    <row r="3725" customFormat="false" ht="17.15" hidden="false" customHeight="false" outlineLevel="0" collapsed="false">
      <c r="A3725" s="0" t="s">
        <v>843</v>
      </c>
      <c r="B3725" s="0" t="s">
        <v>98</v>
      </c>
      <c r="E3725" s="6" t="n">
        <f aca="false">(Sens!C3720*IF(2&lt;life_fac,1,IF(2=life_fac,0.5,0))+Sens!D3720*IF(1&lt;life_fac,1,IF(1=life_fac,0.5,0))+Sens!E3720*0.5)/life_fac</f>
        <v>1.2448275</v>
      </c>
      <c r="F3725" s="6" t="n">
        <f aca="false">(Sens!C3720*IF(3&lt;life_fac,1,IF(3=life_fac,0.5,0))+Sens!D3720*IF(2&lt;life_fac,1,IF(2=life_fac,0.5,0))+Sens!E3720*IF(1&lt;life_fac,1,IF(1=life_fac,0.5,0))+Sens!F3720*0.5)/life_fac</f>
        <v>2.60578822</v>
      </c>
      <c r="G3725" s="6" t="n">
        <f aca="false">(Sens!C3720*IF(4&lt;life_fac,1,IF(4=life_fac,0.5,0))+Sens!D3720*IF(3&lt;life_fac,1,IF(3=life_fac,0.5,0))+Sens!E3720*IF(2&lt;life_fac,1,IF(2=life_fac,0.5,0))+Sens!F3720*IF(1&lt;life_fac,1,IF(1=life_fac,0.5,0))+Sens!G3720*0.5)/life_fac</f>
        <v>4.46171516</v>
      </c>
      <c r="H3725" s="6" t="n">
        <f aca="false">(Sens!C3720*IF(5&lt;life_fac,1,IF(5=life_fac,0.5,0))+Sens!D3720*IF(4&lt;life_fac,1,IF(4=life_fac,0.5,0))+Sens!E3720*IF(3&lt;life_fac,1,IF(3=life_fac,0.5,0))+Sens!F3720*IF(2&lt;life_fac,1,IF(2=life_fac,0.5,0))+Sens!G3720*IF(1&lt;life_fac,1,IF(1=life_fac,0.5,0))+Sens!H3720*0.5)/life_fac</f>
        <v>6.3828926</v>
      </c>
      <c r="I3725" s="6" t="n">
        <f aca="false">(Sens!C3720*IF(6&lt;life_fac,1,IF(6=life_fac,0.5,0))+Sens!D3720*IF(5&lt;life_fac,1,IF(5=life_fac,0.5,0))+Sens!E3720*IF(4&lt;life_fac,1,IF(4=life_fac,0.5,0))+Sens!F3720*IF(3&lt;life_fac,1,IF(3=life_fac,0.5,0))+Sens!G3720*IF(2&lt;life_fac,1,IF(2=life_fac,0.5,0))+Sens!H3720*IF(1&lt;life_fac,1,IF(1=life_fac,0.5,0))+Sens!I3720*0.5)/life_fac</f>
        <v>8.0229858366</v>
      </c>
      <c r="J3725" s="6" t="n">
        <f aca="false">(Sens!C3720*IF(7&lt;life_fac,1,IF(7=life_fac,0.5,0))+Sens!D3720*IF(6&lt;life_fac,1,IF(6=life_fac,0.5,0))+Sens!E3720*IF(5&lt;life_fac,1,IF(5=life_fac,0.5,0))+Sens!F3720*IF(4&lt;life_fac,1,IF(4=life_fac,0.5,0))+Sens!G3720*IF(3&lt;life_fac,1,IF(3=life_fac,0.5,0))+Sens!H3720*IF(2&lt;life_fac,1,IF(2=life_fac,0.5,0))+Sens!I3720*IF(1&lt;life_fac,1,IF(1=life_fac,0.5,0))+Sens!J3720*0.5)/life_fac</f>
        <v>9.1009106664</v>
      </c>
      <c r="K3725" s="6" t="n">
        <f aca="false">(Sens!C3720*IF(8&lt;life_fac,1,IF(8=life_fac,0.5,0))+Sens!D3720*IF(7&lt;life_fac,1,IF(7=life_fac,0.5,0))+Sens!E3720*IF(6&lt;life_fac,1,IF(6=life_fac,0.5,0))+Sens!F3720*IF(5&lt;life_fac,1,IF(5=life_fac,0.5,0))+Sens!G3720*IF(4&lt;life_fac,1,IF(4=life_fac,0.5,0))+Sens!H3720*IF(3&lt;life_fac,1,IF(3=life_fac,0.5,0))+Sens!I3720*IF(2&lt;life_fac,1,IF(2=life_fac,0.5,0))+Sens!J3720*IF(1&lt;life_fac,1,IF(1=life_fac,0.5,0))+Sens!K3720*0.5)/life_fac</f>
        <v>9.6166670894</v>
      </c>
    </row>
    <row r="3726" customFormat="false" ht="17.15" hidden="false" customHeight="false" outlineLevel="0" collapsed="false">
      <c r="A3726" s="0" t="s">
        <v>844</v>
      </c>
      <c r="B3726" s="0" t="s">
        <v>98</v>
      </c>
      <c r="E3726" s="6" t="n">
        <f aca="false">Sens!E3724+Sens!E3725</f>
        <v>16.3054059770833</v>
      </c>
      <c r="F3726" s="6" t="n">
        <f aca="false">Sens!F3724+Sens!F3725</f>
        <v>36.5856912614356</v>
      </c>
      <c r="G3726" s="6" t="n">
        <f aca="false">Sens!G3724+Sens!G3725</f>
        <v>66.8830522661911</v>
      </c>
      <c r="H3726" s="6" t="n">
        <f aca="false">Sens!H3724+Sens!H3725</f>
        <v>99.5657515455511</v>
      </c>
      <c r="I3726" s="6" t="n">
        <f aca="false">Sens!I3724+Sens!I3725</f>
        <v>128.495157395588</v>
      </c>
      <c r="J3726" s="6" t="n">
        <f aca="false">Sens!J3724+Sens!J3725</f>
        <v>148.701437311538</v>
      </c>
      <c r="K3726" s="6" t="n">
        <f aca="false">Sens!K3724+Sens!K3725</f>
        <v>160.499909283402</v>
      </c>
    </row>
    <row r="3727" customFormat="false" ht="17.15" hidden="false" customHeight="false" outlineLevel="0" collapsed="false">
      <c r="A3727" s="0" t="s">
        <v>845</v>
      </c>
      <c r="B3727" s="0" t="s">
        <v>98</v>
      </c>
      <c r="E3727" s="6" t="n">
        <f aca="false">Sens!E3715-Sens!E3714*Sens!E3726</f>
        <v>8.92707889977379</v>
      </c>
      <c r="F3727" s="6" t="n">
        <f aca="false">Sens!F3715-Sens!F3714*Sens!F3726</f>
        <v>20.3211085263434</v>
      </c>
      <c r="G3727" s="6" t="n">
        <f aca="false">Sens!G3715-Sens!G3714*Sens!G3726</f>
        <v>34.76958085769</v>
      </c>
      <c r="H3727" s="6" t="n">
        <f aca="false">Sens!H3715-Sens!H3714*Sens!H3726</f>
        <v>49.5624935370911</v>
      </c>
      <c r="I3727" s="6" t="n">
        <f aca="false">Sens!I3715-Sens!I3714*Sens!I3726</f>
        <v>62.5674614503454</v>
      </c>
      <c r="J3727" s="6" t="n">
        <f aca="false">Sens!J3715-Sens!J3714*Sens!J3726</f>
        <v>71.4831814640885</v>
      </c>
      <c r="K3727" s="6" t="n">
        <f aca="false">Sens!K3715-Sens!K3714*Sens!K3726</f>
        <v>77.2767287278051</v>
      </c>
    </row>
    <row r="3728" customFormat="false" ht="17.15" hidden="false" customHeight="false" outlineLevel="0" collapsed="false">
      <c r="A3728" s="3" t="s">
        <v>1330</v>
      </c>
    </row>
    <row r="3729" customFormat="false" ht="15" hidden="false" customHeight="false" outlineLevel="0" collapsed="false">
      <c r="A3729" s="4" t="s">
        <v>43</v>
      </c>
      <c r="B3729" s="4" t="s">
        <v>65</v>
      </c>
      <c r="C3729" s="20" t="s">
        <v>788</v>
      </c>
      <c r="D3729" s="20" t="s">
        <v>789</v>
      </c>
      <c r="E3729" s="20" t="s">
        <v>790</v>
      </c>
      <c r="F3729" s="20" t="s">
        <v>791</v>
      </c>
      <c r="G3729" s="20" t="s">
        <v>792</v>
      </c>
      <c r="H3729" s="20" t="s">
        <v>793</v>
      </c>
      <c r="I3729" s="20" t="s">
        <v>794</v>
      </c>
      <c r="J3729" s="20" t="s">
        <v>795</v>
      </c>
      <c r="K3729" s="20" t="s">
        <v>796</v>
      </c>
      <c r="L3729" s="4" t="s">
        <v>47</v>
      </c>
    </row>
    <row r="3730" customFormat="false" ht="17.15" hidden="false" customHeight="false" outlineLevel="0" collapsed="false">
      <c r="A3730" s="0" t="s">
        <v>864</v>
      </c>
      <c r="B3730" s="0" t="s">
        <v>98</v>
      </c>
      <c r="D3730" s="6" t="n">
        <f aca="false">Sens!D3709</f>
        <v>12.9359794422418</v>
      </c>
      <c r="E3730" s="6" t="n">
        <f aca="false">Sens!E3709</f>
        <v>27.8095064661409</v>
      </c>
      <c r="F3730" s="6" t="n">
        <f aca="false">Sens!F3709</f>
        <v>58.5426843319625</v>
      </c>
      <c r="G3730" s="6" t="n">
        <f aca="false">Sens!G3709</f>
        <v>99.7940640595479</v>
      </c>
      <c r="H3730" s="6" t="n">
        <f aca="false">Sens!H3709</f>
        <v>142.262795012461</v>
      </c>
      <c r="I3730" s="6" t="n">
        <f aca="false">Sens!I3709</f>
        <v>179.589318173023</v>
      </c>
      <c r="J3730" s="6" t="n">
        <f aca="false">Sens!J3709</f>
        <v>205.286347252634</v>
      </c>
      <c r="K3730" s="6" t="n">
        <f aca="false">Sens!K3709</f>
        <v>220.59071208955</v>
      </c>
    </row>
    <row r="3731" customFormat="false" ht="17.15" hidden="false" customHeight="false" outlineLevel="0" collapsed="false">
      <c r="A3731" s="0" t="s">
        <v>865</v>
      </c>
      <c r="B3731" s="0" t="s">
        <v>98</v>
      </c>
      <c r="D3731" s="6" t="n">
        <f aca="false">Q!L6-Sens!D3730</f>
        <v>59.6740205577583</v>
      </c>
      <c r="E3731" s="6" t="n">
        <f aca="false">Q!M6-Sens!E3730</f>
        <v>74.1284935338591</v>
      </c>
      <c r="F3731" s="6" t="n">
        <f aca="false">Sens!E3731*(1+Sens!F3732)</f>
        <v>90.0799497373663</v>
      </c>
      <c r="G3731" s="6" t="n">
        <f aca="false">Sens!F3731*(1+Sens!G3732)</f>
        <v>107.02842520331</v>
      </c>
      <c r="H3731" s="6" t="n">
        <f aca="false">Sens!G3731*(1+Sens!H3732)</f>
        <v>124.271982585636</v>
      </c>
      <c r="I3731" s="6" t="n">
        <f aca="false">Sens!H3731*(1+Sens!I3732)</f>
        <v>140.933702381855</v>
      </c>
      <c r="J3731" s="6" t="n">
        <f aca="false">Sens!I3731*(1+Sens!J3732)</f>
        <v>156.018867314332</v>
      </c>
      <c r="K3731" s="6" t="n">
        <f aca="false">Sens!J3731*(1+Sens!K3732)</f>
        <v>168.500376699478</v>
      </c>
    </row>
    <row r="3732" customFormat="false" ht="15" hidden="false" customHeight="false" outlineLevel="0" collapsed="false">
      <c r="A3732" s="1" t="s">
        <v>866</v>
      </c>
      <c r="B3732" s="0" t="s">
        <v>129</v>
      </c>
      <c r="E3732" s="7" t="n">
        <f aca="false">Sens!E3731/Sens!D3731-1</f>
        <v>0.242223883039864</v>
      </c>
      <c r="F3732" s="7" t="n">
        <f aca="false">Sens!$E$3732+(glt_azo-Sens!$E$3732)*MIN(1,(Sens!F3692-base_fy)/n_conv)</f>
        <v>0.215186569199887</v>
      </c>
      <c r="G3732" s="7" t="n">
        <f aca="false">Sens!$E$3732+(glt_azo-Sens!$E$3732)*MIN(1,(Sens!G3692-base_fy)/n_conv)</f>
        <v>0.18814925535991</v>
      </c>
      <c r="H3732" s="7" t="n">
        <f aca="false">Sens!$E$3732+(glt_azo-Sens!$E$3732)*MIN(1,(Sens!H3692-base_fy)/n_conv)</f>
        <v>0.161111941519932</v>
      </c>
      <c r="I3732" s="7" t="n">
        <f aca="false">Sens!$E$3732+(glt_azo-Sens!$E$3732)*MIN(1,(Sens!I3692-base_fy)/n_conv)</f>
        <v>0.134074627679955</v>
      </c>
      <c r="J3732" s="7" t="n">
        <f aca="false">Sens!$E$3732+(glt_azo-Sens!$E$3732)*MIN(1,(Sens!J3692-base_fy)/n_conv)</f>
        <v>0.107037313839977</v>
      </c>
      <c r="K3732" s="7" t="n">
        <f aca="false">Sens!$E$3732+(glt_azo-Sens!$E$3732)*MIN(1,(Sens!K3692-base_fy)/n_conv)</f>
        <v>0.08</v>
      </c>
    </row>
    <row r="3733" customFormat="false" ht="15" hidden="false" customHeight="false" outlineLevel="0" collapsed="false">
      <c r="A3733" s="0" t="s">
        <v>867</v>
      </c>
      <c r="B3733" s="0" t="s">
        <v>98</v>
      </c>
      <c r="D3733" s="6" t="n">
        <f aca="false">Sens!D3730+Sens!D3731</f>
        <v>72.61</v>
      </c>
      <c r="E3733" s="6" t="n">
        <f aca="false">Sens!E3730+Sens!E3731</f>
        <v>101.938</v>
      </c>
      <c r="F3733" s="6" t="n">
        <f aca="false">Sens!F3730+Sens!F3731</f>
        <v>148.622634069329</v>
      </c>
      <c r="G3733" s="6" t="n">
        <f aca="false">Sens!G3730+Sens!G3731</f>
        <v>206.822489262858</v>
      </c>
      <c r="H3733" s="6" t="n">
        <f aca="false">Sens!H3730+Sens!H3731</f>
        <v>266.534777598097</v>
      </c>
      <c r="I3733" s="6" t="n">
        <f aca="false">Sens!I3730+Sens!I3731</f>
        <v>320.523020554878</v>
      </c>
      <c r="J3733" s="6" t="n">
        <f aca="false">Sens!J3730+Sens!J3731</f>
        <v>361.305214566966</v>
      </c>
      <c r="K3733" s="6" t="n">
        <f aca="false">Sens!K3730+Sens!K3731</f>
        <v>389.091088789028</v>
      </c>
    </row>
    <row r="3734" customFormat="false" ht="17.15" hidden="false" customHeight="false" outlineLevel="0" collapsed="false">
      <c r="A3734" s="0" t="s">
        <v>868</v>
      </c>
      <c r="B3734" s="1" t="s">
        <v>521</v>
      </c>
      <c r="C3734" s="29" t="n">
        <f aca="false">cop_s24</f>
        <v>1</v>
      </c>
      <c r="D3734" s="29" t="n">
        <f aca="false">cop_s25</f>
        <v>5</v>
      </c>
      <c r="E3734" s="29" t="n">
        <f aca="false">cop_s26</f>
        <v>30</v>
      </c>
      <c r="F3734" s="29" t="n">
        <f aca="false">Sens!E3734+cop_add_B</f>
        <v>50</v>
      </c>
      <c r="G3734" s="29" t="n">
        <f aca="false">Sens!F3734+cop_add_B</f>
        <v>70</v>
      </c>
      <c r="H3734" s="29" t="n">
        <f aca="false">Sens!G3734+cop_add_B</f>
        <v>90</v>
      </c>
      <c r="I3734" s="29" t="n">
        <f aca="false">Sens!H3734+cop_add_B*cop_tail</f>
        <v>100</v>
      </c>
      <c r="J3734" s="29" t="n">
        <f aca="false">Sens!I3734+cop_add_B*cop_tail</f>
        <v>110</v>
      </c>
      <c r="K3734" s="29" t="n">
        <f aca="false">Sens!J3734+cop_add_B*cop_tail</f>
        <v>120</v>
      </c>
      <c r="L3734" s="11" t="s">
        <v>869</v>
      </c>
    </row>
    <row r="3735" customFormat="false" ht="17.15" hidden="false" customHeight="false" outlineLevel="0" collapsed="false">
      <c r="A3735" s="0" t="s">
        <v>870</v>
      </c>
      <c r="B3735" s="0" t="s">
        <v>98</v>
      </c>
      <c r="D3735" s="6" t="n">
        <f aca="false">(Sens!C3734+Sens!D3734)/2*cop_px*12/1000</f>
        <v>0.9</v>
      </c>
      <c r="E3735" s="6" t="n">
        <f aca="false">(Sens!D3734+Sens!E3734)/2*cop_px*12/1000</f>
        <v>5.25</v>
      </c>
      <c r="F3735" s="6" t="n">
        <f aca="false">(Sens!E3734+Sens!F3734)/2*cop_px*12/1000</f>
        <v>12</v>
      </c>
      <c r="G3735" s="6" t="n">
        <f aca="false">(Sens!F3734+Sens!G3734)/2*cop_px*12/1000</f>
        <v>18</v>
      </c>
      <c r="H3735" s="6" t="n">
        <f aca="false">(Sens!G3734+Sens!H3734)/2*cop_px*12/1000</f>
        <v>24</v>
      </c>
      <c r="I3735" s="6" t="n">
        <f aca="false">(Sens!H3734+Sens!I3734)/2*cop_px*12/1000</f>
        <v>28.5</v>
      </c>
      <c r="J3735" s="6" t="n">
        <f aca="false">(Sens!I3734+Sens!J3734)/2*cop_px*12/1000</f>
        <v>31.5</v>
      </c>
      <c r="K3735" s="6" t="n">
        <f aca="false">(Sens!J3734+Sens!K3734)/2*cop_px*12/1000</f>
        <v>34.5</v>
      </c>
      <c r="L3735" s="1" t="s">
        <v>871</v>
      </c>
    </row>
    <row r="3736" customFormat="false" ht="17.15" hidden="false" customHeight="false" outlineLevel="0" collapsed="false">
      <c r="A3736" s="0" t="s">
        <v>872</v>
      </c>
      <c r="B3736" s="0" t="s">
        <v>98</v>
      </c>
      <c r="D3736" s="6" t="n">
        <f aca="false">Q!L7-Sens!D3735</f>
        <v>83.705</v>
      </c>
      <c r="E3736" s="6" t="n">
        <f aca="false">Q!M7-Sens!E3735</f>
        <v>95.049</v>
      </c>
      <c r="F3736" s="6" t="n">
        <f aca="false">Sens!E3736*(1+Sens!F3737)</f>
        <v>106.89238776686</v>
      </c>
      <c r="G3736" s="6" t="n">
        <f aca="false">Sens!F3736*(1+Sens!G3737)</f>
        <v>119.044168448684</v>
      </c>
      <c r="H3736" s="6" t="n">
        <f aca="false">Sens!G3736*(1+Sens!H3737)</f>
        <v>131.277359388781</v>
      </c>
      <c r="I3736" s="6" t="n">
        <f aca="false">Sens!H3736*(1+Sens!I3737)</f>
        <v>143.334028071957</v>
      </c>
      <c r="J3736" s="6" t="n">
        <f aca="false">Sens!I3736*(1+Sens!J3737)</f>
        <v>154.932702785465</v>
      </c>
      <c r="K3736" s="6" t="n">
        <f aca="false">Sens!J3736*(1+Sens!K3737)</f>
        <v>165.777991980448</v>
      </c>
    </row>
    <row r="3737" customFormat="false" ht="15" hidden="false" customHeight="false" outlineLevel="0" collapsed="false">
      <c r="A3737" s="1" t="s">
        <v>866</v>
      </c>
      <c r="B3737" s="0" t="s">
        <v>129</v>
      </c>
      <c r="E3737" s="7" t="n">
        <f aca="false">Sens!E3736/Sens!D3736-1</f>
        <v>0.135523564900544</v>
      </c>
      <c r="F3737" s="7" t="n">
        <f aca="false">Sens!$E$3737+(glt_m365b-Sens!$E$3737)*MIN(1,(Sens!F3692-base_fy)/n_conv)</f>
        <v>0.124602970750453</v>
      </c>
      <c r="G3737" s="7" t="n">
        <f aca="false">Sens!$E$3737+(glt_m365b-Sens!$E$3737)*MIN(1,(Sens!G3692-base_fy)/n_conv)</f>
        <v>0.113682376600363</v>
      </c>
      <c r="H3737" s="7" t="n">
        <f aca="false">Sens!$E$3737+(glt_m365b-Sens!$E$3737)*MIN(1,(Sens!H3692-base_fy)/n_conv)</f>
        <v>0.102761782450272</v>
      </c>
      <c r="I3737" s="7" t="n">
        <f aca="false">Sens!$E$3737+(glt_m365b-Sens!$E$3737)*MIN(1,(Sens!I3692-base_fy)/n_conv)</f>
        <v>0.0918411883001813</v>
      </c>
      <c r="J3737" s="7" t="n">
        <f aca="false">Sens!$E$3737+(glt_m365b-Sens!$E$3737)*MIN(1,(Sens!J3692-base_fy)/n_conv)</f>
        <v>0.0809205941500906</v>
      </c>
      <c r="K3737" s="7" t="n">
        <f aca="false">Sens!$E$3737+(glt_m365b-Sens!$E$3737)*MIN(1,(Sens!K3692-base_fy)/n_conv)</f>
        <v>0.07</v>
      </c>
    </row>
    <row r="3738" customFormat="false" ht="15" hidden="false" customHeight="false" outlineLevel="0" collapsed="false">
      <c r="A3738" s="0" t="s">
        <v>873</v>
      </c>
      <c r="B3738" s="0" t="s">
        <v>98</v>
      </c>
      <c r="D3738" s="6" t="n">
        <f aca="false">Sens!D3736+Sens!D3735</f>
        <v>84.605</v>
      </c>
      <c r="E3738" s="6" t="n">
        <f aca="false">Sens!E3736+Sens!E3735</f>
        <v>100.299</v>
      </c>
      <c r="F3738" s="6" t="n">
        <f aca="false">Sens!F3736+Sens!F3735</f>
        <v>118.89238776686</v>
      </c>
      <c r="G3738" s="6" t="n">
        <f aca="false">Sens!G3736+Sens!G3735</f>
        <v>137.044168448684</v>
      </c>
      <c r="H3738" s="6" t="n">
        <f aca="false">Sens!H3736+Sens!H3735</f>
        <v>155.277359388781</v>
      </c>
      <c r="I3738" s="6" t="n">
        <f aca="false">Sens!I3736+Sens!I3735</f>
        <v>171.834028071957</v>
      </c>
      <c r="J3738" s="6" t="n">
        <f aca="false">Sens!J3736+Sens!J3735</f>
        <v>186.432702785465</v>
      </c>
      <c r="K3738" s="6" t="n">
        <f aca="false">Sens!K3736+Sens!K3735</f>
        <v>200.277991980448</v>
      </c>
    </row>
    <row r="3739" customFormat="false" ht="15" hidden="false" customHeight="false" outlineLevel="0" collapsed="false">
      <c r="A3739" s="0" t="s">
        <v>874</v>
      </c>
      <c r="B3739" s="0" t="s">
        <v>98</v>
      </c>
      <c r="D3739" s="6" t="n">
        <f aca="false">Q!L8</f>
        <v>35.391</v>
      </c>
      <c r="E3739" s="6" t="n">
        <f aca="false">Q!M8</f>
        <v>37.285</v>
      </c>
      <c r="F3739" s="6" t="n">
        <f aca="false">Sens!E3739*(1+Sens!F3740)</f>
        <v>39.0720834331704</v>
      </c>
      <c r="G3739" s="6" t="n">
        <f aca="false">Sens!F3739*(1+Sens!G3740)</f>
        <v>40.726562953769</v>
      </c>
      <c r="H3739" s="6" t="n">
        <f aca="false">Sens!G3739*(1+Sens!H3740)</f>
        <v>42.2235987259198</v>
      </c>
      <c r="I3739" s="6" t="n">
        <f aca="false">Sens!H3739*(1+Sens!I3740)</f>
        <v>43.5397988077414</v>
      </c>
      <c r="J3739" s="6" t="n">
        <f aca="false">Sens!I3739*(1+Sens!J3740)</f>
        <v>44.653811225693</v>
      </c>
      <c r="K3739" s="6" t="n">
        <f aca="false">Sens!J3739*(1+Sens!K3740)</f>
        <v>45.5468874502068</v>
      </c>
    </row>
    <row r="3740" customFormat="false" ht="15" hidden="false" customHeight="false" outlineLevel="0" collapsed="false">
      <c r="A3740" s="1" t="s">
        <v>866</v>
      </c>
      <c r="B3740" s="0" t="s">
        <v>129</v>
      </c>
      <c r="E3740" s="7" t="n">
        <f aca="false">Sens!E3739/Sens!D3739-1</f>
        <v>0.0535164307309768</v>
      </c>
      <c r="F3740" s="7" t="n">
        <f aca="false">Sens!$E$3740+(glt_lic-Sens!$E$3740)*MIN(1,(Sens!F3692-base_fy)/n_conv)</f>
        <v>0.0479303589424807</v>
      </c>
      <c r="G3740" s="7" t="n">
        <f aca="false">Sens!$E$3740+(glt_lic-Sens!$E$3740)*MIN(1,(Sens!G3692-base_fy)/n_conv)</f>
        <v>0.0423442871539845</v>
      </c>
      <c r="H3740" s="7" t="n">
        <f aca="false">Sens!$E$3740+(glt_lic-Sens!$E$3740)*MIN(1,(Sens!H3692-base_fy)/n_conv)</f>
        <v>0.0367582153654884</v>
      </c>
      <c r="I3740" s="7" t="n">
        <f aca="false">Sens!$E$3740+(glt_lic-Sens!$E$3740)*MIN(1,(Sens!I3692-base_fy)/n_conv)</f>
        <v>0.0311721435769923</v>
      </c>
      <c r="J3740" s="7" t="n">
        <f aca="false">Sens!$E$3740+(glt_lic-Sens!$E$3740)*MIN(1,(Sens!J3692-base_fy)/n_conv)</f>
        <v>0.0255860717884961</v>
      </c>
      <c r="K3740" s="7" t="n">
        <f aca="false">Sens!$E$3740+(glt_lic-Sens!$E$3740)*MIN(1,(Sens!K3692-base_fy)/n_conv)</f>
        <v>0.02</v>
      </c>
    </row>
    <row r="3741" customFormat="false" ht="15" hidden="false" customHeight="false" outlineLevel="0" collapsed="false">
      <c r="A3741" s="0" t="s">
        <v>875</v>
      </c>
      <c r="B3741" s="0" t="s">
        <v>98</v>
      </c>
      <c r="D3741" s="6" t="n">
        <f aca="false">Q!L9</f>
        <v>18.417</v>
      </c>
      <c r="E3741" s="6" t="n">
        <f aca="false">Q!M9</f>
        <v>20.345</v>
      </c>
      <c r="F3741" s="6" t="n">
        <f aca="false">Sens!E3741*(1+Sens!F3742)</f>
        <v>22.3572203267814</v>
      </c>
      <c r="G3741" s="6" t="n">
        <f aca="false">Sens!F3741*(1+Sens!G3742)</f>
        <v>24.4392124437232</v>
      </c>
      <c r="H3741" s="6" t="n">
        <f aca="false">Sens!G3741*(1+Sens!H3742)</f>
        <v>26.5738052080665</v>
      </c>
      <c r="I3741" s="6" t="n">
        <f aca="false">Sens!H3741*(1+Sens!I3742)</f>
        <v>28.7412169166967</v>
      </c>
      <c r="J3741" s="6" t="n">
        <f aca="false">Sens!I3741*(1+Sens!J3742)</f>
        <v>30.9192545395413</v>
      </c>
      <c r="K3741" s="6" t="n">
        <f aca="false">Sens!J3741*(1+Sens!K3742)</f>
        <v>33.0836023573092</v>
      </c>
    </row>
    <row r="3742" customFormat="false" ht="15" hidden="false" customHeight="false" outlineLevel="0" collapsed="false">
      <c r="A3742" s="1" t="s">
        <v>866</v>
      </c>
      <c r="B3742" s="0" t="s">
        <v>129</v>
      </c>
      <c r="E3742" s="7" t="n">
        <f aca="false">Sens!E3741/Sens!D3741-1</f>
        <v>0.104685888038225</v>
      </c>
      <c r="F3742" s="7" t="n">
        <f aca="false">Sens!$E$3742+(glt_ind-Sens!$E$3742)*MIN(1,(Sens!F3692-base_fy)/n_conv)</f>
        <v>0.0989049066985211</v>
      </c>
      <c r="G3742" s="7" t="n">
        <f aca="false">Sens!$E$3742+(glt_ind-Sens!$E$3742)*MIN(1,(Sens!G3692-base_fy)/n_conv)</f>
        <v>0.0931239253588169</v>
      </c>
      <c r="H3742" s="7" t="n">
        <f aca="false">Sens!$E$3742+(glt_ind-Sens!$E$3742)*MIN(1,(Sens!H3692-base_fy)/n_conv)</f>
        <v>0.0873429440191127</v>
      </c>
      <c r="I3742" s="7" t="n">
        <f aca="false">Sens!$E$3742+(glt_ind-Sens!$E$3742)*MIN(1,(Sens!I3692-base_fy)/n_conv)</f>
        <v>0.0815619626794085</v>
      </c>
      <c r="J3742" s="7" t="n">
        <f aca="false">Sens!$E$3742+(glt_ind-Sens!$E$3742)*MIN(1,(Sens!J3692-base_fy)/n_conv)</f>
        <v>0.0757809813397042</v>
      </c>
      <c r="K3742" s="7" t="n">
        <f aca="false">Sens!$E$3742+(glt_ind-Sens!$E$3742)*MIN(1,(Sens!K3692-base_fy)/n_conv)</f>
        <v>0.07</v>
      </c>
    </row>
    <row r="3743" customFormat="false" ht="15" hidden="false" customHeight="false" outlineLevel="0" collapsed="false">
      <c r="A3743" s="0" t="s">
        <v>876</v>
      </c>
      <c r="B3743" s="0" t="s">
        <v>98</v>
      </c>
      <c r="D3743" s="6" t="n">
        <f aca="false">Q!L10</f>
        <v>7.76</v>
      </c>
      <c r="E3743" s="6" t="n">
        <f aca="false">Q!M10</f>
        <v>8.26</v>
      </c>
      <c r="F3743" s="6" t="n">
        <f aca="false">Sens!E3743*(1+Sens!F3744)</f>
        <v>8.79988041237113</v>
      </c>
      <c r="G3743" s="6" t="n">
        <f aca="false">Sens!F3743*(1+Sens!G3744)</f>
        <v>9.38321269125306</v>
      </c>
      <c r="H3743" s="6" t="n">
        <f aca="false">Sens!G3743*(1+Sens!H3744)</f>
        <v>10.0139193587476</v>
      </c>
      <c r="I3743" s="6" t="n">
        <f aca="false">Sens!H3743*(1+Sens!I3744)</f>
        <v>10.6963111830911</v>
      </c>
      <c r="J3743" s="6" t="n">
        <f aca="false">Sens!I3743*(1+Sens!J3744)</f>
        <v>11.4351285534696</v>
      </c>
      <c r="K3743" s="6" t="n">
        <f aca="false">Sens!J3743*(1+Sens!K3744)</f>
        <v>12.2355875522124</v>
      </c>
    </row>
    <row r="3744" customFormat="false" ht="15" hidden="false" customHeight="false" outlineLevel="0" collapsed="false">
      <c r="A3744" s="1" t="s">
        <v>866</v>
      </c>
      <c r="B3744" s="0" t="s">
        <v>129</v>
      </c>
      <c r="E3744" s="7" t="n">
        <f aca="false">Sens!E3743/Sens!D3743-1</f>
        <v>0.0644329896907216</v>
      </c>
      <c r="F3744" s="7" t="n">
        <f aca="false">Sens!$E$3744+(glt_fro-Sens!$E$3744)*MIN(1,(Sens!F3692-base_fy)/n_conv)</f>
        <v>0.065360824742268</v>
      </c>
      <c r="G3744" s="7" t="n">
        <f aca="false">Sens!$E$3744+(glt_fro-Sens!$E$3744)*MIN(1,(Sens!G3692-base_fy)/n_conv)</f>
        <v>0.0662886597938144</v>
      </c>
      <c r="H3744" s="7" t="n">
        <f aca="false">Sens!$E$3744+(glt_fro-Sens!$E$3744)*MIN(1,(Sens!H3692-base_fy)/n_conv)</f>
        <v>0.0672164948453608</v>
      </c>
      <c r="I3744" s="7" t="n">
        <f aca="false">Sens!$E$3744+(glt_fro-Sens!$E$3744)*MIN(1,(Sens!I3692-base_fy)/n_conv)</f>
        <v>0.0681443298969072</v>
      </c>
      <c r="J3744" s="7" t="n">
        <f aca="false">Sens!$E$3744+(glt_fro-Sens!$E$3744)*MIN(1,(Sens!J3692-base_fy)/n_conv)</f>
        <v>0.0690721649484536</v>
      </c>
      <c r="K3744" s="7" t="n">
        <f aca="false">Sens!$E$3744+(glt_fro-Sens!$E$3744)*MIN(1,(Sens!K3692-base_fy)/n_conv)</f>
        <v>0.07</v>
      </c>
    </row>
    <row r="3745" customFormat="false" ht="15" hidden="false" customHeight="false" outlineLevel="0" collapsed="false">
      <c r="A3745" s="0" t="s">
        <v>704</v>
      </c>
      <c r="B3745" s="0" t="s">
        <v>98</v>
      </c>
      <c r="D3745" s="6" t="n">
        <f aca="false">Sens!D3733+Sens!D3738+Sens!D3739+Sens!D3741+Sens!D3743</f>
        <v>218.783</v>
      </c>
      <c r="E3745" s="6" t="n">
        <f aca="false">Sens!E3733+Sens!E3738+Sens!E3739+Sens!E3741+Sens!E3743</f>
        <v>268.127</v>
      </c>
      <c r="F3745" s="6" t="n">
        <f aca="false">Sens!F3733+Sens!F3738+Sens!F3739+Sens!F3741+Sens!F3743</f>
        <v>337.744206008512</v>
      </c>
      <c r="G3745" s="6" t="n">
        <f aca="false">Sens!G3733+Sens!G3738+Sens!G3739+Sens!G3741+Sens!G3743</f>
        <v>418.415645800287</v>
      </c>
      <c r="H3745" s="6" t="n">
        <f aca="false">Sens!H3733+Sens!H3738+Sens!H3739+Sens!H3741+Sens!H3743</f>
        <v>500.623460279612</v>
      </c>
      <c r="I3745" s="6" t="n">
        <f aca="false">Sens!I3733+Sens!I3738+Sens!I3739+Sens!I3741+Sens!I3743</f>
        <v>575.334375534364</v>
      </c>
      <c r="J3745" s="6" t="n">
        <f aca="false">Sens!J3733+Sens!J3738+Sens!J3739+Sens!J3741+Sens!J3743</f>
        <v>634.746111671135</v>
      </c>
      <c r="K3745" s="6" t="n">
        <f aca="false">Sens!K3733+Sens!K3738+Sens!K3739+Sens!K3741+Sens!K3743</f>
        <v>680.235158129205</v>
      </c>
    </row>
    <row r="3746" customFormat="false" ht="15" hidden="false" customHeight="false" outlineLevel="0" collapsed="false">
      <c r="A3746" s="0" t="s">
        <v>877</v>
      </c>
      <c r="B3746" s="0" t="s">
        <v>98</v>
      </c>
      <c r="D3746" s="6" t="n">
        <f aca="false">Q!L13</f>
        <v>22.171</v>
      </c>
      <c r="E3746" s="6" t="n">
        <f aca="false">Q!M13</f>
        <v>24.835</v>
      </c>
      <c r="F3746" s="6" t="n">
        <f aca="false">Sens!E3746*(1+Sens!F3747)</f>
        <v>27.6114901218559</v>
      </c>
      <c r="G3746" s="6" t="n">
        <f aca="false">Sens!F3746*(1+Sens!G3747)</f>
        <v>30.4675667338515</v>
      </c>
      <c r="H3746" s="6" t="n">
        <f aca="false">Sens!G3746*(1+Sens!H3747)</f>
        <v>33.3643766955789</v>
      </c>
      <c r="I3746" s="6" t="n">
        <f aca="false">Sens!H3746*(1+Sens!I3747)</f>
        <v>36.2577016533691</v>
      </c>
      <c r="J3746" s="6" t="n">
        <f aca="false">Sens!I3746*(1+Sens!J3747)</f>
        <v>39.0988367952171</v>
      </c>
      <c r="K3746" s="6" t="n">
        <f aca="false">Sens!J3746*(1+Sens!K3747)</f>
        <v>41.8357553708823</v>
      </c>
    </row>
    <row r="3747" customFormat="false" ht="15" hidden="false" customHeight="false" outlineLevel="0" collapsed="false">
      <c r="A3747" s="1" t="s">
        <v>866</v>
      </c>
      <c r="B3747" s="0" t="s">
        <v>129</v>
      </c>
      <c r="E3747" s="7" t="n">
        <f aca="false">Sens!E3746/Sens!D3746-1</f>
        <v>0.120156961796942</v>
      </c>
      <c r="F3747" s="7" t="n">
        <f aca="false">Sens!$E$3747+(glt_srch-Sens!$E$3747)*MIN(1,(Sens!F3692-base_fy)/n_conv)</f>
        <v>0.111797468164118</v>
      </c>
      <c r="G3747" s="7" t="n">
        <f aca="false">Sens!$E$3747+(glt_srch-Sens!$E$3747)*MIN(1,(Sens!G3692-base_fy)/n_conv)</f>
        <v>0.103437974531295</v>
      </c>
      <c r="H3747" s="7" t="n">
        <f aca="false">Sens!$E$3747+(glt_srch-Sens!$E$3747)*MIN(1,(Sens!H3692-base_fy)/n_conv)</f>
        <v>0.095078480898471</v>
      </c>
      <c r="I3747" s="7" t="n">
        <f aca="false">Sens!$E$3747+(glt_srch-Sens!$E$3747)*MIN(1,(Sens!I3692-base_fy)/n_conv)</f>
        <v>0.0867189872656474</v>
      </c>
      <c r="J3747" s="7" t="n">
        <f aca="false">Sens!$E$3747+(glt_srch-Sens!$E$3747)*MIN(1,(Sens!J3692-base_fy)/n_conv)</f>
        <v>0.0783594936328237</v>
      </c>
      <c r="K3747" s="7" t="n">
        <f aca="false">Sens!$E$3747+(glt_srch-Sens!$E$3747)*MIN(1,(Sens!K3692-base_fy)/n_conv)</f>
        <v>0.07</v>
      </c>
    </row>
    <row r="3748" customFormat="false" ht="15" hidden="false" customHeight="false" outlineLevel="0" collapsed="false">
      <c r="A3748" s="0" t="s">
        <v>878</v>
      </c>
      <c r="B3748" s="0" t="s">
        <v>98</v>
      </c>
      <c r="D3748" s="6" t="n">
        <f aca="false">Q!L14</f>
        <v>23.455</v>
      </c>
      <c r="E3748" s="6" t="n">
        <f aca="false">Q!M14</f>
        <v>21.79</v>
      </c>
      <c r="F3748" s="6" t="n">
        <f aca="false">Sens!E3748*(1+Sens!F3749)</f>
        <v>20.5736277908051</v>
      </c>
      <c r="G3748" s="6" t="n">
        <f aca="false">Sens!F3748*(1+Sens!G3749)</f>
        <v>19.7371452817919</v>
      </c>
      <c r="H3748" s="6" t="n">
        <f aca="false">Sens!G3748*(1+Sens!H3749)</f>
        <v>19.2339764043138</v>
      </c>
      <c r="I3748" s="6" t="n">
        <f aca="false">Sens!H3748*(1+Sens!I3749)</f>
        <v>19.0353086852681</v>
      </c>
      <c r="J3748" s="6" t="n">
        <f aca="false">Sens!I3748*(1+Sens!J3749)</f>
        <v>19.1273539319129</v>
      </c>
      <c r="K3748" s="6" t="n">
        <f aca="false">Sens!J3748*(1+Sens!K3749)</f>
        <v>19.5099010105511</v>
      </c>
    </row>
    <row r="3749" customFormat="false" ht="15" hidden="false" customHeight="false" outlineLevel="0" collapsed="false">
      <c r="A3749" s="1" t="s">
        <v>866</v>
      </c>
      <c r="B3749" s="0" t="s">
        <v>129</v>
      </c>
      <c r="E3749" s="7" t="n">
        <f aca="false">Sens!E3748/Sens!D3748-1</f>
        <v>-0.0709869963760392</v>
      </c>
      <c r="F3749" s="7" t="n">
        <f aca="false">Sens!$E$3749+(glt_xbox-Sens!$E$3749)*MIN(1,(Sens!F3692-base_fy)/n_conv)</f>
        <v>-0.0558224969800327</v>
      </c>
      <c r="G3749" s="7" t="n">
        <f aca="false">Sens!$E$3749+(glt_xbox-Sens!$E$3749)*MIN(1,(Sens!G3692-base_fy)/n_conv)</f>
        <v>-0.0406579975840262</v>
      </c>
      <c r="H3749" s="7" t="n">
        <f aca="false">Sens!$E$3749+(glt_xbox-Sens!$E$3749)*MIN(1,(Sens!H3692-base_fy)/n_conv)</f>
        <v>-0.0254934981880196</v>
      </c>
      <c r="I3749" s="7" t="n">
        <f aca="false">Sens!$E$3749+(glt_xbox-Sens!$E$3749)*MIN(1,(Sens!I3692-base_fy)/n_conv)</f>
        <v>-0.0103289987920131</v>
      </c>
      <c r="J3749" s="7" t="n">
        <f aca="false">Sens!$E$3749+(glt_xbox-Sens!$E$3749)*MIN(1,(Sens!J3692-base_fy)/n_conv)</f>
        <v>0.00483550060399347</v>
      </c>
      <c r="K3749" s="7" t="n">
        <f aca="false">Sens!$E$3749+(glt_xbox-Sens!$E$3749)*MIN(1,(Sens!K3692-base_fy)/n_conv)</f>
        <v>0.02</v>
      </c>
    </row>
    <row r="3750" customFormat="false" ht="15" hidden="false" customHeight="false" outlineLevel="0" collapsed="false">
      <c r="A3750" s="0" t="s">
        <v>879</v>
      </c>
      <c r="B3750" s="0" t="s">
        <v>98</v>
      </c>
      <c r="D3750" s="6" t="n">
        <f aca="false">Q!L15</f>
        <v>17.315</v>
      </c>
      <c r="E3750" s="6" t="n">
        <f aca="false">Q!M15</f>
        <v>17.087</v>
      </c>
      <c r="F3750" s="6" t="n">
        <f aca="false">Sens!E3750*(1+Sens!F3751)</f>
        <v>16.9564585436519</v>
      </c>
      <c r="G3750" s="6" t="n">
        <f aca="false">Sens!F3750*(1+Sens!G3751)</f>
        <v>16.9206490624268</v>
      </c>
      <c r="H3750" s="6" t="n">
        <f aca="false">Sens!G3750*(1+Sens!H3751)</f>
        <v>16.9784519149849</v>
      </c>
      <c r="I3750" s="6" t="n">
        <f aca="false">Sens!H3750*(1+Sens!I3751)</f>
        <v>17.1303084701817</v>
      </c>
      <c r="J3750" s="6" t="n">
        <f aca="false">Sens!I3750*(1+Sens!J3751)</f>
        <v>17.3782189407267</v>
      </c>
      <c r="K3750" s="6" t="n">
        <f aca="false">Sens!J3750*(1+Sens!K3751)</f>
        <v>17.7257833195413</v>
      </c>
    </row>
    <row r="3751" customFormat="false" ht="15" hidden="false" customHeight="false" outlineLevel="0" collapsed="false">
      <c r="A3751" s="1" t="s">
        <v>866</v>
      </c>
      <c r="B3751" s="0" t="s">
        <v>129</v>
      </c>
      <c r="E3751" s="7" t="n">
        <f aca="false">Sens!E3750/Sens!D3750-1</f>
        <v>-0.0131677736066995</v>
      </c>
      <c r="F3751" s="7" t="n">
        <f aca="false">Sens!$E$3751+(glt_win-Sens!$E$3751)*MIN(1,(Sens!F3692-base_fy)/n_conv)</f>
        <v>-0.00763981133891627</v>
      </c>
      <c r="G3751" s="7" t="n">
        <f aca="false">Sens!$E$3751+(glt_win-Sens!$E$3751)*MIN(1,(Sens!G3692-base_fy)/n_conv)</f>
        <v>-0.00211184907113301</v>
      </c>
      <c r="H3751" s="7" t="n">
        <f aca="false">Sens!$E$3751+(glt_win-Sens!$E$3751)*MIN(1,(Sens!H3692-base_fy)/n_conv)</f>
        <v>0.00341611319665024</v>
      </c>
      <c r="I3751" s="7" t="n">
        <f aca="false">Sens!$E$3751+(glt_win-Sens!$E$3751)*MIN(1,(Sens!I3692-base_fy)/n_conv)</f>
        <v>0.00894407546443349</v>
      </c>
      <c r="J3751" s="7" t="n">
        <f aca="false">Sens!$E$3751+(glt_win-Sens!$E$3751)*MIN(1,(Sens!J3692-base_fy)/n_conv)</f>
        <v>0.0144720377322168</v>
      </c>
      <c r="K3751" s="7" t="n">
        <f aca="false">Sens!$E$3751+(glt_win-Sens!$E$3751)*MIN(1,(Sens!K3692-base_fy)/n_conv)</f>
        <v>0.02</v>
      </c>
    </row>
    <row r="3752" customFormat="false" ht="15" hidden="false" customHeight="false" outlineLevel="0" collapsed="false">
      <c r="A3752" s="0" t="s">
        <v>718</v>
      </c>
      <c r="B3752" s="0" t="s">
        <v>98</v>
      </c>
      <c r="D3752" s="6" t="n">
        <f aca="false">Sens!D3746+Sens!D3748+Sens!D3750</f>
        <v>62.941</v>
      </c>
      <c r="E3752" s="6" t="n">
        <f aca="false">Sens!E3746+Sens!E3748+Sens!E3750</f>
        <v>63.712</v>
      </c>
      <c r="F3752" s="6" t="n">
        <f aca="false">Sens!F3746+Sens!F3748+Sens!F3750</f>
        <v>65.1415764563129</v>
      </c>
      <c r="G3752" s="6" t="n">
        <f aca="false">Sens!G3746+Sens!G3748+Sens!G3750</f>
        <v>67.1253610780702</v>
      </c>
      <c r="H3752" s="6" t="n">
        <f aca="false">Sens!H3746+Sens!H3748+Sens!H3750</f>
        <v>69.5768050148776</v>
      </c>
      <c r="I3752" s="6" t="n">
        <f aca="false">Sens!I3746+Sens!I3748+Sens!I3750</f>
        <v>72.4233188088189</v>
      </c>
      <c r="J3752" s="6" t="n">
        <f aca="false">Sens!J3746+Sens!J3748+Sens!J3750</f>
        <v>75.6044096678567</v>
      </c>
      <c r="K3752" s="6" t="n">
        <f aca="false">Sens!K3746+Sens!K3748+Sens!K3750</f>
        <v>79.0714397009747</v>
      </c>
    </row>
    <row r="3753" customFormat="false" ht="15" hidden="false" customHeight="false" outlineLevel="0" collapsed="false">
      <c r="A3753" s="1" t="s">
        <v>880</v>
      </c>
      <c r="B3753" s="0" t="s">
        <v>98</v>
      </c>
      <c r="D3753" s="6" t="n">
        <f aca="false">Sens!D3745+Sens!D3752</f>
        <v>281.724</v>
      </c>
      <c r="E3753" s="6" t="n">
        <f aca="false">Sens!E3745+Sens!E3752</f>
        <v>331.839</v>
      </c>
      <c r="F3753" s="6" t="n">
        <f aca="false">Sens!F3745+Sens!F3752</f>
        <v>402.885782464824</v>
      </c>
      <c r="G3753" s="6" t="n">
        <f aca="false">Sens!G3745+Sens!G3752</f>
        <v>485.541006878357</v>
      </c>
      <c r="H3753" s="6" t="n">
        <f aca="false">Sens!H3745+Sens!H3752</f>
        <v>570.20026529449</v>
      </c>
      <c r="I3753" s="6" t="n">
        <f aca="false">Sens!I3745+Sens!I3752</f>
        <v>647.757694343183</v>
      </c>
      <c r="J3753" s="6" t="n">
        <f aca="false">Sens!J3745+Sens!J3752</f>
        <v>710.350521338991</v>
      </c>
      <c r="K3753" s="6" t="n">
        <f aca="false">Sens!K3745+Sens!K3752</f>
        <v>759.306597830179</v>
      </c>
    </row>
    <row r="3754" customFormat="false" ht="15" hidden="false" customHeight="false" outlineLevel="0" collapsed="false">
      <c r="A3754" s="23" t="s">
        <v>881</v>
      </c>
      <c r="B3754" s="30" t="s">
        <v>98</v>
      </c>
      <c r="C3754" s="30"/>
      <c r="D3754" s="24" t="n">
        <f aca="false">(Sens!D3733+Sens!D3738+Sens!D3739+Sens!D3741+Sens!D3743-Sens!D3745)+(Sens!D3746+Sens!D3748+Sens!D3750-Sens!D3752)+(Sens!D3745-Q!L5)+(Sens!D3752-Q!L12)+(Sens!D3733-Q!L6)+(Sens!D3738-Q!L7)</f>
        <v>0</v>
      </c>
      <c r="E3754" s="24" t="n">
        <f aca="false">(Sens!E3733+Sens!E3738+Sens!E3739+Sens!E3741+Sens!E3743-Sens!E3745)+(Sens!E3746+Sens!E3748+Sens!E3750-Sens!E3752)+(Sens!E3745-Q!M5)+(Sens!E3752-Q!M12)+(Sens!E3733-Q!M6)+(Sens!E3738-Q!M7)</f>
        <v>0</v>
      </c>
      <c r="F3754" s="24" t="n">
        <f aca="false">(Sens!F3733+Sens!F3738+Sens!F3739+Sens!F3741+Sens!F3743-Sens!F3745)+(Sens!F3746+Sens!F3748+Sens!F3750-Sens!F3752)</f>
        <v>0</v>
      </c>
      <c r="G3754" s="24" t="n">
        <f aca="false">(Sens!G3733+Sens!G3738+Sens!G3739+Sens!G3741+Sens!G3743-Sens!G3745)+(Sens!G3746+Sens!G3748+Sens!G3750-Sens!G3752)</f>
        <v>0</v>
      </c>
      <c r="H3754" s="24" t="n">
        <f aca="false">(Sens!H3733+Sens!H3738+Sens!H3739+Sens!H3741+Sens!H3743-Sens!H3745)+(Sens!H3746+Sens!H3748+Sens!H3750-Sens!H3752)</f>
        <v>0</v>
      </c>
      <c r="I3754" s="24" t="n">
        <f aca="false">(Sens!I3733+Sens!I3738+Sens!I3739+Sens!I3741+Sens!I3743-Sens!I3745)+(Sens!I3746+Sens!I3748+Sens!I3750-Sens!I3752)</f>
        <v>0</v>
      </c>
      <c r="J3754" s="24" t="n">
        <f aca="false">(Sens!J3733+Sens!J3738+Sens!J3739+Sens!J3741+Sens!J3743-Sens!J3745)+(Sens!J3746+Sens!J3748+Sens!J3750-Sens!J3752)</f>
        <v>0</v>
      </c>
      <c r="K3754" s="24" t="n">
        <f aca="false">(Sens!K3733+Sens!K3738+Sens!K3739+Sens!K3741+Sens!K3743-Sens!K3745)+(Sens!K3746+Sens!K3748+Sens!K3750-Sens!K3752)</f>
        <v>0</v>
      </c>
    </row>
    <row r="3755" customFormat="false" ht="17.15" hidden="false" customHeight="false" outlineLevel="0" collapsed="false">
      <c r="A3755" s="3" t="s">
        <v>1331</v>
      </c>
    </row>
    <row r="3756" customFormat="false" ht="15" hidden="false" customHeight="false" outlineLevel="0" collapsed="false">
      <c r="A3756" s="4" t="s">
        <v>43</v>
      </c>
      <c r="B3756" s="4" t="s">
        <v>65</v>
      </c>
      <c r="C3756" s="20" t="s">
        <v>788</v>
      </c>
      <c r="D3756" s="20" t="s">
        <v>789</v>
      </c>
      <c r="E3756" s="20" t="s">
        <v>790</v>
      </c>
      <c r="F3756" s="20" t="s">
        <v>791</v>
      </c>
      <c r="G3756" s="20" t="s">
        <v>792</v>
      </c>
      <c r="H3756" s="20" t="s">
        <v>793</v>
      </c>
      <c r="I3756" s="20" t="s">
        <v>794</v>
      </c>
      <c r="J3756" s="20" t="s">
        <v>795</v>
      </c>
      <c r="K3756" s="20" t="s">
        <v>796</v>
      </c>
      <c r="L3756" s="4" t="s">
        <v>47</v>
      </c>
    </row>
    <row r="3757" customFormat="false" ht="15" hidden="false" customHeight="false" outlineLevel="0" collapsed="false">
      <c r="A3757" s="0" t="s">
        <v>867</v>
      </c>
      <c r="B3757" s="0" t="s">
        <v>98</v>
      </c>
      <c r="D3757" s="6" t="n">
        <f aca="false">Sens!D3733</f>
        <v>72.61</v>
      </c>
      <c r="E3757" s="6" t="n">
        <f aca="false">Sens!E3733</f>
        <v>101.938</v>
      </c>
      <c r="F3757" s="6" t="n">
        <f aca="false">Sens!F3733</f>
        <v>148.622634069329</v>
      </c>
      <c r="G3757" s="6" t="n">
        <f aca="false">Sens!G3733</f>
        <v>206.822489262858</v>
      </c>
      <c r="H3757" s="6" t="n">
        <f aca="false">Sens!H3733</f>
        <v>266.534777598097</v>
      </c>
      <c r="I3757" s="6" t="n">
        <f aca="false">Sens!I3733</f>
        <v>320.523020554878</v>
      </c>
      <c r="J3757" s="6" t="n">
        <f aca="false">Sens!J3733</f>
        <v>361.305214566966</v>
      </c>
      <c r="K3757" s="6" t="n">
        <f aca="false">Sens!K3733</f>
        <v>389.091088789028</v>
      </c>
    </row>
    <row r="3758" customFormat="false" ht="17.15" hidden="false" customHeight="false" outlineLevel="0" collapsed="false">
      <c r="A3758" s="0" t="s">
        <v>864</v>
      </c>
      <c r="B3758" s="0" t="s">
        <v>98</v>
      </c>
      <c r="D3758" s="6" t="n">
        <f aca="false">Sens!D3730</f>
        <v>12.9359794422418</v>
      </c>
      <c r="E3758" s="6" t="n">
        <f aca="false">Sens!E3730</f>
        <v>27.8095064661409</v>
      </c>
      <c r="F3758" s="6" t="n">
        <f aca="false">Sens!F3730</f>
        <v>58.5426843319625</v>
      </c>
      <c r="G3758" s="6" t="n">
        <f aca="false">Sens!G3730</f>
        <v>99.7940640595479</v>
      </c>
      <c r="H3758" s="6" t="n">
        <f aca="false">Sens!H3730</f>
        <v>142.262795012461</v>
      </c>
      <c r="I3758" s="6" t="n">
        <f aca="false">Sens!I3730</f>
        <v>179.589318173023</v>
      </c>
      <c r="J3758" s="6" t="n">
        <f aca="false">Sens!J3730</f>
        <v>205.286347252634</v>
      </c>
      <c r="K3758" s="6" t="n">
        <f aca="false">Sens!K3730</f>
        <v>220.59071208955</v>
      </c>
    </row>
    <row r="3759" customFormat="false" ht="17.15" hidden="false" customHeight="false" outlineLevel="0" collapsed="false">
      <c r="A3759" s="0" t="s">
        <v>892</v>
      </c>
      <c r="B3759" s="0" t="s">
        <v>98</v>
      </c>
      <c r="D3759" s="6" t="n">
        <f aca="false">Sens!D3731</f>
        <v>59.6740205577583</v>
      </c>
      <c r="E3759" s="6" t="n">
        <f aca="false">Sens!E3731</f>
        <v>74.1284935338591</v>
      </c>
      <c r="F3759" s="6" t="n">
        <f aca="false">Sens!F3731</f>
        <v>90.0799497373663</v>
      </c>
      <c r="G3759" s="6" t="n">
        <f aca="false">Sens!G3731</f>
        <v>107.02842520331</v>
      </c>
      <c r="H3759" s="6" t="n">
        <f aca="false">Sens!H3731</f>
        <v>124.271982585636</v>
      </c>
      <c r="I3759" s="6" t="n">
        <f aca="false">Sens!I3731</f>
        <v>140.933702381855</v>
      </c>
      <c r="J3759" s="6" t="n">
        <f aca="false">Sens!J3731</f>
        <v>156.018867314332</v>
      </c>
      <c r="K3759" s="6" t="n">
        <f aca="false">Sens!K3731</f>
        <v>168.500376699478</v>
      </c>
    </row>
    <row r="3760" customFormat="false" ht="15" hidden="false" customHeight="false" outlineLevel="0" collapsed="false">
      <c r="A3760" s="0" t="s">
        <v>873</v>
      </c>
      <c r="B3760" s="0" t="s">
        <v>98</v>
      </c>
      <c r="D3760" s="6" t="n">
        <f aca="false">Sens!D3738</f>
        <v>84.605</v>
      </c>
      <c r="E3760" s="6" t="n">
        <f aca="false">Sens!E3738</f>
        <v>100.299</v>
      </c>
      <c r="F3760" s="6" t="n">
        <f aca="false">Sens!F3738</f>
        <v>118.89238776686</v>
      </c>
      <c r="G3760" s="6" t="n">
        <f aca="false">Sens!G3738</f>
        <v>137.044168448684</v>
      </c>
      <c r="H3760" s="6" t="n">
        <f aca="false">Sens!H3738</f>
        <v>155.277359388781</v>
      </c>
      <c r="I3760" s="6" t="n">
        <f aca="false">Sens!I3738</f>
        <v>171.834028071957</v>
      </c>
      <c r="J3760" s="6" t="n">
        <f aca="false">Sens!J3738</f>
        <v>186.432702785465</v>
      </c>
      <c r="K3760" s="6" t="n">
        <f aca="false">Sens!K3738</f>
        <v>200.277991980448</v>
      </c>
    </row>
    <row r="3761" customFormat="false" ht="17.15" hidden="false" customHeight="false" outlineLevel="0" collapsed="false">
      <c r="A3761" s="0" t="s">
        <v>893</v>
      </c>
      <c r="B3761" s="0" t="s">
        <v>98</v>
      </c>
      <c r="D3761" s="6" t="n">
        <f aca="false">Sens!D3736</f>
        <v>83.705</v>
      </c>
      <c r="E3761" s="6" t="n">
        <f aca="false">Sens!E3736</f>
        <v>95.049</v>
      </c>
      <c r="F3761" s="6" t="n">
        <f aca="false">Sens!F3736</f>
        <v>106.89238776686</v>
      </c>
      <c r="G3761" s="6" t="n">
        <f aca="false">Sens!G3736</f>
        <v>119.044168448684</v>
      </c>
      <c r="H3761" s="6" t="n">
        <f aca="false">Sens!H3736</f>
        <v>131.277359388781</v>
      </c>
      <c r="I3761" s="6" t="n">
        <f aca="false">Sens!I3736</f>
        <v>143.334028071957</v>
      </c>
      <c r="J3761" s="6" t="n">
        <f aca="false">Sens!J3736</f>
        <v>154.932702785465</v>
      </c>
      <c r="K3761" s="6" t="n">
        <f aca="false">Sens!K3736</f>
        <v>165.777991980448</v>
      </c>
    </row>
    <row r="3762" customFormat="false" ht="17.15" hidden="false" customHeight="false" outlineLevel="0" collapsed="false">
      <c r="A3762" s="0" t="s">
        <v>894</v>
      </c>
      <c r="B3762" s="0" t="s">
        <v>98</v>
      </c>
      <c r="D3762" s="6" t="n">
        <f aca="false">Sens!D3735</f>
        <v>0.9</v>
      </c>
      <c r="E3762" s="6" t="n">
        <f aca="false">Sens!E3735</f>
        <v>5.25</v>
      </c>
      <c r="F3762" s="6" t="n">
        <f aca="false">Sens!F3735</f>
        <v>12</v>
      </c>
      <c r="G3762" s="6" t="n">
        <f aca="false">Sens!G3735</f>
        <v>18</v>
      </c>
      <c r="H3762" s="6" t="n">
        <f aca="false">Sens!H3735</f>
        <v>24</v>
      </c>
      <c r="I3762" s="6" t="n">
        <f aca="false">Sens!I3735</f>
        <v>28.5</v>
      </c>
      <c r="J3762" s="6" t="n">
        <f aca="false">Sens!J3735</f>
        <v>31.5</v>
      </c>
      <c r="K3762" s="6" t="n">
        <f aca="false">Sens!K3735</f>
        <v>34.5</v>
      </c>
    </row>
    <row r="3763" customFormat="false" ht="15" hidden="false" customHeight="false" outlineLevel="0" collapsed="false">
      <c r="A3763" s="0" t="s">
        <v>874</v>
      </c>
      <c r="B3763" s="0" t="s">
        <v>98</v>
      </c>
      <c r="D3763" s="6" t="n">
        <f aca="false">Sens!D3739</f>
        <v>35.391</v>
      </c>
      <c r="E3763" s="6" t="n">
        <f aca="false">Sens!E3739</f>
        <v>37.285</v>
      </c>
      <c r="F3763" s="6" t="n">
        <f aca="false">Sens!F3739</f>
        <v>39.0720834331704</v>
      </c>
      <c r="G3763" s="6" t="n">
        <f aca="false">Sens!G3739</f>
        <v>40.726562953769</v>
      </c>
      <c r="H3763" s="6" t="n">
        <f aca="false">Sens!H3739</f>
        <v>42.2235987259198</v>
      </c>
      <c r="I3763" s="6" t="n">
        <f aca="false">Sens!I3739</f>
        <v>43.5397988077414</v>
      </c>
      <c r="J3763" s="6" t="n">
        <f aca="false">Sens!J3739</f>
        <v>44.653811225693</v>
      </c>
      <c r="K3763" s="6" t="n">
        <f aca="false">Sens!K3739</f>
        <v>45.5468874502068</v>
      </c>
    </row>
    <row r="3764" customFormat="false" ht="15" hidden="false" customHeight="false" outlineLevel="0" collapsed="false">
      <c r="A3764" s="0" t="s">
        <v>875</v>
      </c>
      <c r="B3764" s="0" t="s">
        <v>98</v>
      </c>
      <c r="D3764" s="6" t="n">
        <f aca="false">Sens!D3741</f>
        <v>18.417</v>
      </c>
      <c r="E3764" s="6" t="n">
        <f aca="false">Sens!E3741</f>
        <v>20.345</v>
      </c>
      <c r="F3764" s="6" t="n">
        <f aca="false">Sens!F3741</f>
        <v>22.3572203267814</v>
      </c>
      <c r="G3764" s="6" t="n">
        <f aca="false">Sens!G3741</f>
        <v>24.4392124437232</v>
      </c>
      <c r="H3764" s="6" t="n">
        <f aca="false">Sens!H3741</f>
        <v>26.5738052080665</v>
      </c>
      <c r="I3764" s="6" t="n">
        <f aca="false">Sens!I3741</f>
        <v>28.7412169166967</v>
      </c>
      <c r="J3764" s="6" t="n">
        <f aca="false">Sens!J3741</f>
        <v>30.9192545395413</v>
      </c>
      <c r="K3764" s="6" t="n">
        <f aca="false">Sens!K3741</f>
        <v>33.0836023573092</v>
      </c>
    </row>
    <row r="3765" customFormat="false" ht="15" hidden="false" customHeight="false" outlineLevel="0" collapsed="false">
      <c r="A3765" s="0" t="s">
        <v>876</v>
      </c>
      <c r="B3765" s="0" t="s">
        <v>98</v>
      </c>
      <c r="D3765" s="6" t="n">
        <f aca="false">Sens!D3743</f>
        <v>7.76</v>
      </c>
      <c r="E3765" s="6" t="n">
        <f aca="false">Sens!E3743</f>
        <v>8.26</v>
      </c>
      <c r="F3765" s="6" t="n">
        <f aca="false">Sens!F3743</f>
        <v>8.79988041237113</v>
      </c>
      <c r="G3765" s="6" t="n">
        <f aca="false">Sens!G3743</f>
        <v>9.38321269125306</v>
      </c>
      <c r="H3765" s="6" t="n">
        <f aca="false">Sens!H3743</f>
        <v>10.0139193587476</v>
      </c>
      <c r="I3765" s="6" t="n">
        <f aca="false">Sens!I3743</f>
        <v>10.6963111830911</v>
      </c>
      <c r="J3765" s="6" t="n">
        <f aca="false">Sens!J3743</f>
        <v>11.4351285534696</v>
      </c>
      <c r="K3765" s="6" t="n">
        <f aca="false">Sens!K3743</f>
        <v>12.2355875522124</v>
      </c>
    </row>
    <row r="3766" customFormat="false" ht="15" hidden="false" customHeight="false" outlineLevel="0" collapsed="false">
      <c r="A3766" s="0" t="s">
        <v>704</v>
      </c>
      <c r="B3766" s="0" t="s">
        <v>98</v>
      </c>
      <c r="D3766" s="6" t="n">
        <f aca="false">Sens!D3745</f>
        <v>218.783</v>
      </c>
      <c r="E3766" s="6" t="n">
        <f aca="false">Sens!E3745</f>
        <v>268.127</v>
      </c>
      <c r="F3766" s="6" t="n">
        <f aca="false">Sens!F3745</f>
        <v>337.744206008512</v>
      </c>
      <c r="G3766" s="6" t="n">
        <f aca="false">Sens!G3745</f>
        <v>418.415645800287</v>
      </c>
      <c r="H3766" s="6" t="n">
        <f aca="false">Sens!H3745</f>
        <v>500.623460279612</v>
      </c>
      <c r="I3766" s="6" t="n">
        <f aca="false">Sens!I3745</f>
        <v>575.334375534364</v>
      </c>
      <c r="J3766" s="6" t="n">
        <f aca="false">Sens!J3745</f>
        <v>634.746111671135</v>
      </c>
      <c r="K3766" s="6" t="n">
        <f aca="false">Sens!K3745</f>
        <v>680.235158129205</v>
      </c>
    </row>
    <row r="3767" customFormat="false" ht="15" hidden="false" customHeight="false" outlineLevel="0" collapsed="false">
      <c r="A3767" s="0" t="s">
        <v>877</v>
      </c>
      <c r="B3767" s="0" t="s">
        <v>98</v>
      </c>
      <c r="D3767" s="6" t="n">
        <f aca="false">Sens!D3746</f>
        <v>22.171</v>
      </c>
      <c r="E3767" s="6" t="n">
        <f aca="false">Sens!E3746</f>
        <v>24.835</v>
      </c>
      <c r="F3767" s="6" t="n">
        <f aca="false">Sens!F3746</f>
        <v>27.6114901218559</v>
      </c>
      <c r="G3767" s="6" t="n">
        <f aca="false">Sens!G3746</f>
        <v>30.4675667338515</v>
      </c>
      <c r="H3767" s="6" t="n">
        <f aca="false">Sens!H3746</f>
        <v>33.3643766955789</v>
      </c>
      <c r="I3767" s="6" t="n">
        <f aca="false">Sens!I3746</f>
        <v>36.2577016533691</v>
      </c>
      <c r="J3767" s="6" t="n">
        <f aca="false">Sens!J3746</f>
        <v>39.0988367952171</v>
      </c>
      <c r="K3767" s="6" t="n">
        <f aca="false">Sens!K3746</f>
        <v>41.8357553708823</v>
      </c>
    </row>
    <row r="3768" customFormat="false" ht="15" hidden="false" customHeight="false" outlineLevel="0" collapsed="false">
      <c r="A3768" s="0" t="s">
        <v>878</v>
      </c>
      <c r="B3768" s="0" t="s">
        <v>98</v>
      </c>
      <c r="D3768" s="6" t="n">
        <f aca="false">Sens!D3748</f>
        <v>23.455</v>
      </c>
      <c r="E3768" s="6" t="n">
        <f aca="false">Sens!E3748</f>
        <v>21.79</v>
      </c>
      <c r="F3768" s="6" t="n">
        <f aca="false">Sens!F3748</f>
        <v>20.5736277908051</v>
      </c>
      <c r="G3768" s="6" t="n">
        <f aca="false">Sens!G3748</f>
        <v>19.7371452817919</v>
      </c>
      <c r="H3768" s="6" t="n">
        <f aca="false">Sens!H3748</f>
        <v>19.2339764043138</v>
      </c>
      <c r="I3768" s="6" t="n">
        <f aca="false">Sens!I3748</f>
        <v>19.0353086852681</v>
      </c>
      <c r="J3768" s="6" t="n">
        <f aca="false">Sens!J3748</f>
        <v>19.1273539319129</v>
      </c>
      <c r="K3768" s="6" t="n">
        <f aca="false">Sens!K3748</f>
        <v>19.5099010105511</v>
      </c>
    </row>
    <row r="3769" customFormat="false" ht="15" hidden="false" customHeight="false" outlineLevel="0" collapsed="false">
      <c r="A3769" s="0" t="s">
        <v>879</v>
      </c>
      <c r="B3769" s="0" t="s">
        <v>98</v>
      </c>
      <c r="D3769" s="6" t="n">
        <f aca="false">Sens!D3750</f>
        <v>17.315</v>
      </c>
      <c r="E3769" s="6" t="n">
        <f aca="false">Sens!E3750</f>
        <v>17.087</v>
      </c>
      <c r="F3769" s="6" t="n">
        <f aca="false">Sens!F3750</f>
        <v>16.9564585436519</v>
      </c>
      <c r="G3769" s="6" t="n">
        <f aca="false">Sens!G3750</f>
        <v>16.9206490624268</v>
      </c>
      <c r="H3769" s="6" t="n">
        <f aca="false">Sens!H3750</f>
        <v>16.9784519149849</v>
      </c>
      <c r="I3769" s="6" t="n">
        <f aca="false">Sens!I3750</f>
        <v>17.1303084701817</v>
      </c>
      <c r="J3769" s="6" t="n">
        <f aca="false">Sens!J3750</f>
        <v>17.3782189407267</v>
      </c>
      <c r="K3769" s="6" t="n">
        <f aca="false">Sens!K3750</f>
        <v>17.7257833195413</v>
      </c>
    </row>
    <row r="3770" customFormat="false" ht="15" hidden="false" customHeight="false" outlineLevel="0" collapsed="false">
      <c r="A3770" s="0" t="s">
        <v>718</v>
      </c>
      <c r="B3770" s="0" t="s">
        <v>98</v>
      </c>
      <c r="D3770" s="6" t="n">
        <f aca="false">Sens!D3752</f>
        <v>62.941</v>
      </c>
      <c r="E3770" s="6" t="n">
        <f aca="false">Sens!E3752</f>
        <v>63.712</v>
      </c>
      <c r="F3770" s="6" t="n">
        <f aca="false">Sens!F3752</f>
        <v>65.1415764563129</v>
      </c>
      <c r="G3770" s="6" t="n">
        <f aca="false">Sens!G3752</f>
        <v>67.1253610780702</v>
      </c>
      <c r="H3770" s="6" t="n">
        <f aca="false">Sens!H3752</f>
        <v>69.5768050148776</v>
      </c>
      <c r="I3770" s="6" t="n">
        <f aca="false">Sens!I3752</f>
        <v>72.4233188088189</v>
      </c>
      <c r="J3770" s="6" t="n">
        <f aca="false">Sens!J3752</f>
        <v>75.6044096678567</v>
      </c>
      <c r="K3770" s="6" t="n">
        <f aca="false">Sens!K3752</f>
        <v>79.0714397009747</v>
      </c>
    </row>
    <row r="3771" customFormat="false" ht="15" hidden="false" customHeight="false" outlineLevel="0" collapsed="false">
      <c r="A3771" s="1" t="s">
        <v>895</v>
      </c>
      <c r="B3771" s="0" t="s">
        <v>98</v>
      </c>
      <c r="D3771" s="6" t="n">
        <f aca="false">Sens!D3753</f>
        <v>281.724</v>
      </c>
      <c r="E3771" s="6" t="n">
        <f aca="false">Sens!E3753</f>
        <v>331.839</v>
      </c>
      <c r="F3771" s="6" t="n">
        <f aca="false">Sens!F3753</f>
        <v>402.885782464824</v>
      </c>
      <c r="G3771" s="6" t="n">
        <f aca="false">Sens!G3753</f>
        <v>485.541006878357</v>
      </c>
      <c r="H3771" s="6" t="n">
        <f aca="false">Sens!H3753</f>
        <v>570.20026529449</v>
      </c>
      <c r="I3771" s="6" t="n">
        <f aca="false">Sens!I3753</f>
        <v>647.757694343183</v>
      </c>
      <c r="J3771" s="6" t="n">
        <f aca="false">Sens!J3753</f>
        <v>710.350521338991</v>
      </c>
      <c r="K3771" s="6" t="n">
        <f aca="false">Sens!K3753</f>
        <v>759.306597830179</v>
      </c>
    </row>
    <row r="3772" customFormat="false" ht="15" hidden="false" customHeight="false" outlineLevel="0" collapsed="false">
      <c r="A3772" s="1" t="s">
        <v>896</v>
      </c>
      <c r="B3772" s="0" t="s">
        <v>129</v>
      </c>
      <c r="E3772" s="7" t="n">
        <f aca="false">Sens!E3771/Sens!D3771-1</f>
        <v>0.177886867998467</v>
      </c>
      <c r="F3772" s="7" t="n">
        <f aca="false">Sens!F3771/Sens!E3771-1</f>
        <v>0.214100158404601</v>
      </c>
      <c r="G3772" s="7" t="n">
        <f aca="false">Sens!G3771/Sens!F3771-1</f>
        <v>0.205157957939976</v>
      </c>
      <c r="H3772" s="7" t="n">
        <f aca="false">Sens!H3771/Sens!G3771-1</f>
        <v>0.174360676475968</v>
      </c>
      <c r="I3772" s="7" t="n">
        <f aca="false">Sens!I3771/Sens!H3771-1</f>
        <v>0.136017876120483</v>
      </c>
      <c r="J3772" s="7" t="n">
        <f aca="false">Sens!J3771/Sens!I3771-1</f>
        <v>0.0966300015305524</v>
      </c>
      <c r="K3772" s="7" t="n">
        <f aca="false">Sens!K3771/Sens!J3771-1</f>
        <v>0.0689181960462377</v>
      </c>
    </row>
    <row r="3773" customFormat="false" ht="17.15" hidden="false" customHeight="false" outlineLevel="0" collapsed="false">
      <c r="A3773" s="23" t="s">
        <v>897</v>
      </c>
      <c r="B3773" s="30" t="s">
        <v>98</v>
      </c>
      <c r="C3773" s="30"/>
      <c r="D3773" s="24" t="n">
        <f aca="false">(Sens!D3766+Sens!D3770-Sens!D3771)+(Sens!D3758+Sens!D3759-Sens!D3757)+(Sens!D3761+Sens!D3762-Sens!D3760)+(Sens!D3771-Q!L18)</f>
        <v>0</v>
      </c>
      <c r="E3773" s="24" t="n">
        <f aca="false">(Sens!E3766+Sens!E3770-Sens!E3771)+(Sens!E3758+Sens!E3759-Sens!E3757)+(Sens!E3761+Sens!E3762-Sens!E3760)+(Sens!E3771-Q!M18)</f>
        <v>0</v>
      </c>
      <c r="F3773" s="24" t="n">
        <f aca="false">(Sens!F3766+Sens!F3770-Sens!F3771)+(Sens!F3758+Sens!F3759-Sens!F3757)+(Sens!F3761+Sens!F3762-Sens!F3760)</f>
        <v>0</v>
      </c>
      <c r="G3773" s="24" t="n">
        <f aca="false">(Sens!G3766+Sens!G3770-Sens!G3771)+(Sens!G3758+Sens!G3759-Sens!G3757)+(Sens!G3761+Sens!G3762-Sens!G3760)</f>
        <v>0</v>
      </c>
      <c r="H3773" s="24" t="n">
        <f aca="false">(Sens!H3766+Sens!H3770-Sens!H3771)+(Sens!H3758+Sens!H3759-Sens!H3757)+(Sens!H3761+Sens!H3762-Sens!H3760)</f>
        <v>0</v>
      </c>
      <c r="I3773" s="24" t="n">
        <f aca="false">(Sens!I3766+Sens!I3770-Sens!I3771)+(Sens!I3758+Sens!I3759-Sens!I3757)+(Sens!I3761+Sens!I3762-Sens!I3760)</f>
        <v>0</v>
      </c>
      <c r="J3773" s="24" t="n">
        <f aca="false">(Sens!J3766+Sens!J3770-Sens!J3771)+(Sens!J3758+Sens!J3759-Sens!J3757)+(Sens!J3761+Sens!J3762-Sens!J3760)</f>
        <v>0</v>
      </c>
      <c r="K3773" s="24" t="n">
        <f aca="false">(Sens!K3766+Sens!K3770-Sens!K3771)+(Sens!K3758+Sens!K3759-Sens!K3757)+(Sens!K3761+Sens!K3762-Sens!K3760)</f>
        <v>0</v>
      </c>
    </row>
    <row r="3774" customFormat="false" ht="17.15" hidden="false" customHeight="false" outlineLevel="0" collapsed="false">
      <c r="A3774" s="0" t="s">
        <v>898</v>
      </c>
      <c r="B3774" s="0" t="s">
        <v>129</v>
      </c>
      <c r="E3774" s="7" t="n">
        <f aca="false">(Q!M21+Sens!E3711+Sens!E3712+Sens!E3713+Sens!E3726-Sens!E3709)/(Q!M5-Sens!E3709)</f>
        <v>0.570957350878296</v>
      </c>
      <c r="F3774" s="7" t="n">
        <f aca="false">Sens!$E$3774+dm_seg</f>
        <v>0.570957350878296</v>
      </c>
      <c r="G3774" s="7" t="n">
        <f aca="false">Sens!$E$3774+dm_seg</f>
        <v>0.570957350878296</v>
      </c>
      <c r="H3774" s="7" t="n">
        <f aca="false">Sens!$E$3774+dm_seg</f>
        <v>0.570957350878296</v>
      </c>
      <c r="I3774" s="7" t="n">
        <f aca="false">Sens!$E$3774+dm_seg</f>
        <v>0.570957350878296</v>
      </c>
      <c r="J3774" s="7" t="n">
        <f aca="false">Sens!$E$3774+dm_seg</f>
        <v>0.570957350878296</v>
      </c>
      <c r="K3774" s="7" t="n">
        <f aca="false">Sens!$E$3774+dm_seg</f>
        <v>0.570957350878296</v>
      </c>
      <c r="L3774" s="11" t="s">
        <v>899</v>
      </c>
    </row>
    <row r="3775" customFormat="false" ht="17.15" hidden="false" customHeight="false" outlineLevel="0" collapsed="false">
      <c r="A3775" s="0" t="s">
        <v>732</v>
      </c>
      <c r="B3775" s="0" t="s">
        <v>98</v>
      </c>
      <c r="D3775" s="6" t="n">
        <f aca="false">Q!L21</f>
        <v>110.814</v>
      </c>
      <c r="E3775" s="6" t="n">
        <f aca="false">Q!M21</f>
        <v>136.365</v>
      </c>
      <c r="F3775" s="6" t="n">
        <f aca="false">Sens!F3774*(Sens!F3745-Sens!F3709)+Sens!F3709-(Sens!F3711+Sens!F3712+Sens!F3713)-Sens!F3726</f>
        <v>158.122332500229</v>
      </c>
      <c r="G3775" s="6" t="n">
        <f aca="false">Sens!G3774*(Sens!G3745-Sens!G3709)+Sens!G3709-(Sens!G3711+Sens!G3712+Sens!G3713)-Sens!G3726</f>
        <v>177.81981963313</v>
      </c>
      <c r="H3775" s="6" t="n">
        <f aca="false">Sens!H3774*(Sens!H3745-Sens!H3709)+Sens!H3709-(Sens!H3711+Sens!H3712+Sens!H3713)-Sens!H3726</f>
        <v>196.851508653427</v>
      </c>
      <c r="I3775" s="6" t="n">
        <f aca="false">Sens!I3774*(Sens!I3745-Sens!I3709)+Sens!I3709-(Sens!I3711+Sens!I3712+Sens!I3713)-Sens!I3726</f>
        <v>214.986999876104</v>
      </c>
      <c r="J3775" s="6" t="n">
        <f aca="false">Sens!J3774*(Sens!J3745-Sens!J3709)+Sens!J3709-(Sens!J3711+Sens!J3712+Sens!J3713)-Sens!J3726</f>
        <v>231.964840339595</v>
      </c>
      <c r="K3775" s="6" t="n">
        <f aca="false">Sens!K3774*(Sens!K3745-Sens!K3709)+Sens!K3709-(Sens!K3711+Sens!K3712+Sens!K3713)-Sens!K3726</f>
        <v>248.652008410032</v>
      </c>
      <c r="L3775" s="1" t="s">
        <v>900</v>
      </c>
    </row>
    <row r="3776" customFormat="false" ht="17.15" hidden="false" customHeight="false" outlineLevel="0" collapsed="false">
      <c r="A3776" s="0" t="s">
        <v>901</v>
      </c>
      <c r="B3776" s="0" t="s">
        <v>129</v>
      </c>
      <c r="E3776" s="7" t="n">
        <f aca="false">Q!M22/Q!M12</f>
        <v>0.296207935710698</v>
      </c>
      <c r="F3776" s="7" t="n">
        <f aca="false">Sens!$E$3776+dm_seg</f>
        <v>0.296207935710698</v>
      </c>
      <c r="G3776" s="7" t="n">
        <f aca="false">Sens!$E$3776+dm_seg</f>
        <v>0.296207935710698</v>
      </c>
      <c r="H3776" s="7" t="n">
        <f aca="false">Sens!$E$3776+dm_seg</f>
        <v>0.296207935710698</v>
      </c>
      <c r="I3776" s="7" t="n">
        <f aca="false">Sens!$E$3776+dm_seg</f>
        <v>0.296207935710698</v>
      </c>
      <c r="J3776" s="7" t="n">
        <f aca="false">Sens!$E$3776+dm_seg</f>
        <v>0.296207935710698</v>
      </c>
      <c r="K3776" s="7" t="n">
        <f aca="false">Sens!$E$3776+dm_seg</f>
        <v>0.296207935710698</v>
      </c>
      <c r="L3776" s="11" t="s">
        <v>902</v>
      </c>
    </row>
    <row r="3777" customFormat="false" ht="17.15" hidden="false" customHeight="false" outlineLevel="0" collapsed="false">
      <c r="A3777" s="0" t="s">
        <v>734</v>
      </c>
      <c r="B3777" s="0" t="s">
        <v>98</v>
      </c>
      <c r="D3777" s="6" t="n">
        <f aca="false">Q!L22</f>
        <v>17.714</v>
      </c>
      <c r="E3777" s="6" t="n">
        <f aca="false">Q!M22</f>
        <v>18.872</v>
      </c>
      <c r="F3777" s="6" t="n">
        <f aca="false">Sens!F3752*Sens!F3776</f>
        <v>19.2954518910651</v>
      </c>
      <c r="G3777" s="6" t="n">
        <f aca="false">Sens!G3752*Sens!G3776</f>
        <v>19.8830646387704</v>
      </c>
      <c r="H3777" s="6" t="n">
        <f aca="false">Sens!H3752*Sens!H3776</f>
        <v>20.6092017868026</v>
      </c>
      <c r="I3777" s="6" t="n">
        <f aca="false">Sens!I3752*Sens!I3776</f>
        <v>21.452361761678</v>
      </c>
      <c r="J3777" s="6" t="n">
        <f aca="false">Sens!J3752*Sens!J3776</f>
        <v>22.3946261183418</v>
      </c>
      <c r="K3777" s="6" t="n">
        <f aca="false">Sens!K3752*Sens!K3776</f>
        <v>23.4215879274986</v>
      </c>
    </row>
    <row r="3778" customFormat="false" ht="15" hidden="false" customHeight="false" outlineLevel="0" collapsed="false">
      <c r="A3778" s="1" t="s">
        <v>903</v>
      </c>
      <c r="B3778" s="0" t="s">
        <v>98</v>
      </c>
      <c r="D3778" s="6" t="n">
        <f aca="false">Sens!D3775+Sens!D3777</f>
        <v>128.528</v>
      </c>
      <c r="E3778" s="6" t="n">
        <f aca="false">Sens!E3775+Sens!E3777</f>
        <v>155.237</v>
      </c>
      <c r="F3778" s="6" t="n">
        <f aca="false">Sens!F3775+Sens!F3777</f>
        <v>177.417784391294</v>
      </c>
      <c r="G3778" s="6" t="n">
        <f aca="false">Sens!G3775+Sens!G3777</f>
        <v>197.7028842719</v>
      </c>
      <c r="H3778" s="6" t="n">
        <f aca="false">Sens!H3775+Sens!H3777</f>
        <v>217.46071044023</v>
      </c>
      <c r="I3778" s="6" t="n">
        <f aca="false">Sens!I3775+Sens!I3777</f>
        <v>236.439361637782</v>
      </c>
      <c r="J3778" s="6" t="n">
        <f aca="false">Sens!J3775+Sens!J3777</f>
        <v>254.359466457937</v>
      </c>
      <c r="K3778" s="6" t="n">
        <f aca="false">Sens!K3775+Sens!K3777</f>
        <v>272.07359633753</v>
      </c>
    </row>
    <row r="3779" customFormat="false" ht="15" hidden="false" customHeight="false" outlineLevel="0" collapsed="false">
      <c r="A3779" s="23" t="s">
        <v>904</v>
      </c>
      <c r="B3779" s="30" t="s">
        <v>98</v>
      </c>
      <c r="C3779" s="30"/>
      <c r="D3779" s="24" t="n">
        <f aca="false">Sens!D3778-Q!L23</f>
        <v>0</v>
      </c>
      <c r="E3779" s="24" t="n">
        <f aca="false">Sens!E3778-Q!M23</f>
        <v>0</v>
      </c>
      <c r="F3779" s="30"/>
      <c r="G3779" s="30"/>
      <c r="H3779" s="30"/>
      <c r="I3779" s="30"/>
      <c r="J3779" s="30"/>
      <c r="K3779" s="30"/>
    </row>
    <row r="3780" customFormat="false" ht="15" hidden="false" customHeight="false" outlineLevel="0" collapsed="false">
      <c r="A3780" s="1" t="s">
        <v>905</v>
      </c>
      <c r="B3780" s="0" t="s">
        <v>129</v>
      </c>
      <c r="D3780" s="7" t="n">
        <f aca="false">Sens!D3778/Sens!D3771</f>
        <v>0.456219562408598</v>
      </c>
      <c r="E3780" s="7" t="n">
        <f aca="false">Sens!E3778/Sens!E3771</f>
        <v>0.467808184089272</v>
      </c>
      <c r="F3780" s="7" t="n">
        <f aca="false">Sens!F3778/Sens!F3771</f>
        <v>0.440367449319918</v>
      </c>
      <c r="G3780" s="7" t="n">
        <f aca="false">Sens!G3778/Sens!G3771</f>
        <v>0.40718061187658</v>
      </c>
      <c r="H3780" s="7" t="n">
        <f aca="false">Sens!H3778/Sens!H3771</f>
        <v>0.381376024663753</v>
      </c>
      <c r="I3780" s="7" t="n">
        <f aca="false">Sens!I3778/Sens!I3771</f>
        <v>0.365012046483722</v>
      </c>
      <c r="J3780" s="7" t="n">
        <f aca="false">Sens!J3778/Sens!J3771</f>
        <v>0.358075990397637</v>
      </c>
      <c r="K3780" s="7" t="n">
        <f aca="false">Sens!K3778/Sens!K3771</f>
        <v>0.358318493629605</v>
      </c>
    </row>
    <row r="3781" customFormat="false" ht="17.15" hidden="false" customHeight="false" outlineLevel="0" collapsed="false">
      <c r="A3781" s="1" t="s">
        <v>906</v>
      </c>
      <c r="B3781" s="0" t="s">
        <v>98</v>
      </c>
      <c r="F3781" s="6" t="n">
        <f aca="false">Sens!F3796</f>
        <v>21.8835273450987</v>
      </c>
      <c r="G3781" s="6" t="n">
        <f aca="false">Sens!G3796</f>
        <v>40.9797155459211</v>
      </c>
      <c r="H3781" s="6" t="n">
        <f aca="false">Sens!H3796</f>
        <v>61.5630770972576</v>
      </c>
      <c r="I3781" s="6" t="n">
        <f aca="false">Sens!I3796</f>
        <v>80.1171503395173</v>
      </c>
      <c r="J3781" s="6" t="n">
        <f aca="false">Sens!J3796</f>
        <v>92.936492591854</v>
      </c>
      <c r="K3781" s="6" t="n">
        <f aca="false">Sens!K3796</f>
        <v>99.8134090254205</v>
      </c>
      <c r="L3781" s="1" t="s">
        <v>907</v>
      </c>
    </row>
    <row r="3782" customFormat="false" ht="17.15" hidden="false" customHeight="false" outlineLevel="0" collapsed="false">
      <c r="A3782" s="1" t="s">
        <v>908</v>
      </c>
      <c r="B3782" s="0" t="s">
        <v>98</v>
      </c>
      <c r="D3782" s="6" t="n">
        <f aca="false">Sens!D3778</f>
        <v>128.528</v>
      </c>
      <c r="E3782" s="6" t="n">
        <f aca="false">Sens!E3778</f>
        <v>155.237</v>
      </c>
      <c r="F3782" s="6" t="n">
        <f aca="false">Sens!F3778+Sens!F3781</f>
        <v>199.301311736393</v>
      </c>
      <c r="G3782" s="6" t="n">
        <f aca="false">Sens!G3778+Sens!G3781</f>
        <v>238.682599817821</v>
      </c>
      <c r="H3782" s="6" t="n">
        <f aca="false">Sens!H3778+Sens!H3781</f>
        <v>279.023787537488</v>
      </c>
      <c r="I3782" s="6" t="n">
        <f aca="false">Sens!I3778+Sens!I3781</f>
        <v>316.5565119773</v>
      </c>
      <c r="J3782" s="6" t="n">
        <f aca="false">Sens!J3778+Sens!J3781</f>
        <v>347.295959049791</v>
      </c>
      <c r="K3782" s="6" t="n">
        <f aca="false">Sens!K3778+Sens!K3781</f>
        <v>371.887005362951</v>
      </c>
    </row>
    <row r="3783" customFormat="false" ht="17.15" hidden="false" customHeight="false" outlineLevel="0" collapsed="false">
      <c r="A3783" s="1" t="s">
        <v>909</v>
      </c>
      <c r="B3783" s="0" t="s">
        <v>98</v>
      </c>
      <c r="E3783" s="6" t="n">
        <f aca="false">Sens!E3726</f>
        <v>16.3054059770833</v>
      </c>
      <c r="F3783" s="6" t="n">
        <f aca="false">Sens!F3726</f>
        <v>36.5856912614356</v>
      </c>
      <c r="G3783" s="6" t="n">
        <f aca="false">Sens!G3726</f>
        <v>66.8830522661911</v>
      </c>
      <c r="H3783" s="6" t="n">
        <f aca="false">Sens!H3726</f>
        <v>99.5657515455511</v>
      </c>
      <c r="I3783" s="6" t="n">
        <f aca="false">Sens!I3726</f>
        <v>128.495157395588</v>
      </c>
      <c r="J3783" s="6" t="n">
        <f aca="false">Sens!J3726</f>
        <v>148.701437311538</v>
      </c>
      <c r="K3783" s="6" t="n">
        <f aca="false">Sens!K3726</f>
        <v>160.499909283402</v>
      </c>
    </row>
    <row r="3784" customFormat="false" ht="17.15" hidden="false" customHeight="false" outlineLevel="0" collapsed="false">
      <c r="A3784" s="1" t="s">
        <v>910</v>
      </c>
      <c r="B3784" s="0" t="s">
        <v>98</v>
      </c>
      <c r="E3784" s="6" t="n">
        <f aca="false">Sens!E3808</f>
        <v>22.2285940229167</v>
      </c>
      <c r="F3784" s="6" t="n">
        <f aca="false">Sens!F3808</f>
        <v>23.5636693435813</v>
      </c>
      <c r="G3784" s="6" t="n">
        <f aca="false">Sens!G3808</f>
        <v>25.3225917662621</v>
      </c>
      <c r="H3784" s="6" t="n">
        <f aca="false">Sens!H3808</f>
        <v>27.4714839540448</v>
      </c>
      <c r="I3784" s="6" t="n">
        <f aca="false">Sens!I3808</f>
        <v>29.9441755898047</v>
      </c>
      <c r="J3784" s="6" t="n">
        <f aca="false">Sens!J3808</f>
        <v>32.6578493558616</v>
      </c>
      <c r="K3784" s="6" t="n">
        <f aca="false">Sens!K3808</f>
        <v>35.5289346944749</v>
      </c>
    </row>
    <row r="3785" customFormat="false" ht="17.15" hidden="false" customHeight="false" outlineLevel="0" collapsed="false">
      <c r="A3785" s="1" t="s">
        <v>911</v>
      </c>
      <c r="B3785" s="0" t="s">
        <v>98</v>
      </c>
      <c r="D3785" s="6" t="n">
        <f aca="false">Q!L27</f>
        <v>-4.901</v>
      </c>
      <c r="E3785" s="6" t="n">
        <f aca="false">Q!M27</f>
        <v>10.697</v>
      </c>
      <c r="F3785" s="6" t="n">
        <f aca="false">oie_f</f>
        <v>-0.4</v>
      </c>
      <c r="G3785" s="6" t="n">
        <f aca="false">oie_f</f>
        <v>-0.4</v>
      </c>
      <c r="H3785" s="6" t="n">
        <f aca="false">oie_f</f>
        <v>-0.4</v>
      </c>
      <c r="I3785" s="6" t="n">
        <f aca="false">oie_f</f>
        <v>-0.4</v>
      </c>
      <c r="J3785" s="6" t="n">
        <f aca="false">oie_f</f>
        <v>-0.4</v>
      </c>
      <c r="K3785" s="6" t="n">
        <f aca="false">oie_f</f>
        <v>-0.4</v>
      </c>
      <c r="L3785" s="11" t="s">
        <v>912</v>
      </c>
    </row>
    <row r="3786" customFormat="false" ht="15" hidden="false" customHeight="false" outlineLevel="0" collapsed="false">
      <c r="A3786" s="1" t="s">
        <v>913</v>
      </c>
      <c r="B3786" s="0" t="s">
        <v>98</v>
      </c>
      <c r="D3786" s="6" t="n">
        <f aca="false">Sens!D3778+Sens!D3785</f>
        <v>123.627</v>
      </c>
      <c r="E3786" s="6" t="n">
        <f aca="false">Sens!E3778+Sens!E3785</f>
        <v>165.934</v>
      </c>
      <c r="F3786" s="6" t="n">
        <f aca="false">Sens!F3778+Sens!F3785</f>
        <v>177.017784391294</v>
      </c>
      <c r="G3786" s="6" t="n">
        <f aca="false">Sens!G3778+Sens!G3785</f>
        <v>197.3028842719</v>
      </c>
      <c r="H3786" s="6" t="n">
        <f aca="false">Sens!H3778+Sens!H3785</f>
        <v>217.06071044023</v>
      </c>
      <c r="I3786" s="6" t="n">
        <f aca="false">Sens!I3778+Sens!I3785</f>
        <v>236.039361637782</v>
      </c>
      <c r="J3786" s="6" t="n">
        <f aca="false">Sens!J3778+Sens!J3785</f>
        <v>253.959466457937</v>
      </c>
      <c r="K3786" s="6" t="n">
        <f aca="false">Sens!K3778+Sens!K3785</f>
        <v>271.67359633753</v>
      </c>
    </row>
    <row r="3787" customFormat="false" ht="15" hidden="false" customHeight="false" outlineLevel="0" collapsed="false">
      <c r="A3787" s="1" t="s">
        <v>914</v>
      </c>
      <c r="B3787" s="0" t="s">
        <v>98</v>
      </c>
      <c r="D3787" s="6" t="n">
        <f aca="false">Q!L29</f>
        <v>21.795</v>
      </c>
      <c r="E3787" s="6" t="n">
        <f aca="false">Q!M29</f>
        <v>32.185</v>
      </c>
      <c r="F3787" s="6" t="n">
        <f aca="false">Sens!F3786*tax_f</f>
        <v>35.4035568782588</v>
      </c>
      <c r="G3787" s="6" t="n">
        <f aca="false">Sens!G3786*tax_f</f>
        <v>39.46057685438</v>
      </c>
      <c r="H3787" s="6" t="n">
        <f aca="false">Sens!H3786*tax_f</f>
        <v>43.412142088046</v>
      </c>
      <c r="I3787" s="6" t="n">
        <f aca="false">Sens!I3786*tax_f</f>
        <v>47.2078723275565</v>
      </c>
      <c r="J3787" s="6" t="n">
        <f aca="false">Sens!J3786*tax_f</f>
        <v>50.7918932915874</v>
      </c>
      <c r="K3787" s="6" t="n">
        <f aca="false">Sens!K3786*tax_f</f>
        <v>54.334719267506</v>
      </c>
    </row>
    <row r="3788" customFormat="false" ht="15" hidden="false" customHeight="false" outlineLevel="0" collapsed="false">
      <c r="A3788" s="1" t="s">
        <v>915</v>
      </c>
      <c r="B3788" s="0" t="s">
        <v>98</v>
      </c>
      <c r="D3788" s="6" t="n">
        <f aca="false">Sens!D3786-Sens!D3787</f>
        <v>101.832</v>
      </c>
      <c r="E3788" s="6" t="n">
        <f aca="false">Sens!E3786-Sens!E3787</f>
        <v>133.749</v>
      </c>
      <c r="F3788" s="6" t="n">
        <f aca="false">Sens!F3786-Sens!F3787</f>
        <v>141.614227513035</v>
      </c>
      <c r="G3788" s="6" t="n">
        <f aca="false">Sens!G3786-Sens!G3787</f>
        <v>157.84230741752</v>
      </c>
      <c r="H3788" s="6" t="n">
        <f aca="false">Sens!H3786-Sens!H3787</f>
        <v>173.648568352184</v>
      </c>
      <c r="I3788" s="6" t="n">
        <f aca="false">Sens!I3786-Sens!I3787</f>
        <v>188.831489310226</v>
      </c>
      <c r="J3788" s="6" t="n">
        <f aca="false">Sens!J3786-Sens!J3787</f>
        <v>203.16757316635</v>
      </c>
      <c r="K3788" s="6" t="n">
        <f aca="false">Sens!K3786-Sens!K3787</f>
        <v>217.338877070024</v>
      </c>
    </row>
    <row r="3789" customFormat="false" ht="17.15" hidden="false" customHeight="false" outlineLevel="0" collapsed="false">
      <c r="A3789" s="1" t="s">
        <v>916</v>
      </c>
      <c r="B3789" s="1" t="s">
        <v>81</v>
      </c>
      <c r="D3789" s="14" t="n">
        <f aca="false">Q!L31</f>
        <v>7.465</v>
      </c>
      <c r="E3789" s="14" t="n">
        <f aca="false">Q!M31</f>
        <v>7.453</v>
      </c>
      <c r="F3789" s="14" t="n">
        <f aca="false">Sens!F3830</f>
        <v>7.4735</v>
      </c>
      <c r="G3789" s="14" t="n">
        <f aca="false">Sens!G3830</f>
        <v>7.5185</v>
      </c>
      <c r="H3789" s="14" t="n">
        <f aca="false">Sens!H3830</f>
        <v>7.55600476918945</v>
      </c>
      <c r="I3789" s="14" t="n">
        <f aca="false">Sens!I3830</f>
        <v>7.57753878453626</v>
      </c>
      <c r="J3789" s="14" t="n">
        <f aca="false">Sens!J3830</f>
        <v>7.59178029565414</v>
      </c>
      <c r="K3789" s="14" t="n">
        <f aca="false">Sens!K3830</f>
        <v>7.60830021335588</v>
      </c>
    </row>
    <row r="3790" customFormat="false" ht="17.15" hidden="false" customHeight="false" outlineLevel="0" collapsed="false">
      <c r="A3790" s="0" t="s">
        <v>917</v>
      </c>
      <c r="B3790" s="0" t="s">
        <v>75</v>
      </c>
      <c r="D3790" s="8" t="n">
        <f aca="false">Sens!D3788/Sens!D3789</f>
        <v>13.641259209645</v>
      </c>
      <c r="E3790" s="8" t="n">
        <f aca="false">Sens!E3788/Sens!E3789</f>
        <v>17.9456594659869</v>
      </c>
      <c r="F3790" s="8" t="n">
        <f aca="false">Sens!F3788/Sens!F3789</f>
        <v>18.948849603671</v>
      </c>
      <c r="G3790" s="8" t="n">
        <f aca="false">Sens!G3788/Sens!G3789</f>
        <v>20.9938561438479</v>
      </c>
      <c r="H3790" s="8" t="n">
        <f aca="false">Sens!H3788/Sens!H3789</f>
        <v>22.9815323913317</v>
      </c>
      <c r="I3790" s="8" t="n">
        <f aca="false">Sens!I3788/Sens!I3789</f>
        <v>24.9198974336602</v>
      </c>
      <c r="J3790" s="8" t="n">
        <f aca="false">Sens!J3788/Sens!J3789</f>
        <v>26.7615190711791</v>
      </c>
      <c r="K3790" s="8" t="n">
        <f aca="false">Sens!K3788/Sens!K3789</f>
        <v>28.5660227613652</v>
      </c>
      <c r="L3790" s="1" t="s">
        <v>918</v>
      </c>
    </row>
    <row r="3791" customFormat="false" ht="17.15" hidden="false" customHeight="false" outlineLevel="0" collapsed="false">
      <c r="A3791" s="1" t="s">
        <v>919</v>
      </c>
      <c r="B3791" s="0" t="s">
        <v>98</v>
      </c>
      <c r="D3791" s="6" t="n">
        <f aca="false">Sens!D3788</f>
        <v>101.832</v>
      </c>
      <c r="E3791" s="6" t="n">
        <f aca="false">Sens!E3788</f>
        <v>133.749</v>
      </c>
      <c r="F3791" s="6" t="n">
        <f aca="false">Sens!F3788+Sens!F3781*(1-tax_f)</f>
        <v>159.121049389114</v>
      </c>
      <c r="G3791" s="6" t="n">
        <f aca="false">Sens!G3788+Sens!G3781*(1-tax_f)</f>
        <v>190.626079854257</v>
      </c>
      <c r="H3791" s="6" t="n">
        <f aca="false">Sens!H3788+Sens!H3781*(1-tax_f)</f>
        <v>222.89903002999</v>
      </c>
      <c r="I3791" s="6" t="n">
        <f aca="false">Sens!I3788+Sens!I3781*(1-tax_f)</f>
        <v>252.92520958184</v>
      </c>
      <c r="J3791" s="6" t="n">
        <f aca="false">Sens!J3788+Sens!J3781*(1-tax_f)</f>
        <v>277.516767239833</v>
      </c>
      <c r="K3791" s="6" t="n">
        <f aca="false">Sens!K3788+Sens!K3781*(1-tax_f)</f>
        <v>297.189604290361</v>
      </c>
    </row>
    <row r="3792" customFormat="false" ht="17.15" hidden="false" customHeight="false" outlineLevel="0" collapsed="false">
      <c r="A3792" s="0" t="s">
        <v>920</v>
      </c>
      <c r="B3792" s="0" t="s">
        <v>75</v>
      </c>
      <c r="D3792" s="8" t="n">
        <f aca="false">Sens!D3791/Sens!D3789</f>
        <v>13.641259209645</v>
      </c>
      <c r="E3792" s="8" t="n">
        <f aca="false">Sens!E3791/Sens!E3789</f>
        <v>17.9456594659869</v>
      </c>
      <c r="F3792" s="8" t="n">
        <f aca="false">Sens!F3791/Sens!F3789</f>
        <v>21.2913694238461</v>
      </c>
      <c r="G3792" s="8" t="n">
        <f aca="false">Sens!G3791/Sens!G3789</f>
        <v>25.3542701142857</v>
      </c>
      <c r="H3792" s="8" t="n">
        <f aca="false">Sens!H3791/Sens!H3789</f>
        <v>29.499588319331</v>
      </c>
      <c r="I3792" s="8" t="n">
        <f aca="false">Sens!I3791/Sens!I3789</f>
        <v>33.3782797783883</v>
      </c>
      <c r="J3792" s="8" t="n">
        <f aca="false">Sens!J3791/Sens!J3789</f>
        <v>36.5548996983877</v>
      </c>
      <c r="K3792" s="8" t="n">
        <f aca="false">Sens!K3791/Sens!K3789</f>
        <v>39.0612352242178</v>
      </c>
      <c r="L3792" s="1" t="s">
        <v>921</v>
      </c>
    </row>
    <row r="3793" customFormat="false" ht="17.15" hidden="false" customHeight="false" outlineLevel="0" collapsed="false">
      <c r="A3793" s="0" t="s">
        <v>922</v>
      </c>
      <c r="B3793" s="0" t="s">
        <v>129</v>
      </c>
      <c r="E3793" s="7" t="n">
        <f aca="false">Sens!E3792/Sens!D3792-1</f>
        <v>0.315542736208578</v>
      </c>
      <c r="F3793" s="7" t="n">
        <f aca="false">Sens!F3792/Sens!E3792-1</f>
        <v>0.186435609357269</v>
      </c>
      <c r="G3793" s="7" t="n">
        <f aca="false">Sens!G3792/Sens!F3792-1</f>
        <v>0.190823831457695</v>
      </c>
      <c r="H3793" s="7" t="n">
        <f aca="false">Sens!H3792/Sens!G3792-1</f>
        <v>0.163495860317021</v>
      </c>
      <c r="I3793" s="7" t="n">
        <f aca="false">Sens!I3792/Sens!H3792-1</f>
        <v>0.131482901289022</v>
      </c>
      <c r="J3793" s="7" t="n">
        <f aca="false">Sens!J3792/Sens!I3792-1</f>
        <v>0.0951702706397748</v>
      </c>
      <c r="K3793" s="7" t="n">
        <f aca="false">Sens!K3792/Sens!J3792-1</f>
        <v>0.0685636001332175</v>
      </c>
    </row>
    <row r="3794" customFormat="false" ht="17.15" hidden="false" customHeight="false" outlineLevel="0" collapsed="false">
      <c r="A3794" s="0" t="s">
        <v>846</v>
      </c>
      <c r="B3794" s="0" t="s">
        <v>98</v>
      </c>
      <c r="E3794" s="6" t="n">
        <f aca="false">Sens!E3735</f>
        <v>5.25</v>
      </c>
      <c r="F3794" s="6" t="n">
        <f aca="false">Sens!F3735</f>
        <v>12</v>
      </c>
      <c r="G3794" s="6" t="n">
        <f aca="false">Sens!G3735</f>
        <v>18</v>
      </c>
      <c r="H3794" s="6" t="n">
        <f aca="false">Sens!H3735</f>
        <v>24</v>
      </c>
      <c r="I3794" s="6" t="n">
        <f aca="false">Sens!I3735</f>
        <v>28.5</v>
      </c>
      <c r="J3794" s="6" t="n">
        <f aca="false">Sens!J3735</f>
        <v>31.5</v>
      </c>
      <c r="K3794" s="6" t="n">
        <f aca="false">Sens!K3735</f>
        <v>34.5</v>
      </c>
    </row>
    <row r="3795" customFormat="false" ht="17.15" hidden="false" customHeight="false" outlineLevel="0" collapsed="false">
      <c r="A3795" s="1" t="s">
        <v>847</v>
      </c>
      <c r="B3795" s="0" t="s">
        <v>98</v>
      </c>
      <c r="F3795" s="6" t="n">
        <f aca="false">MAX(0,(Sens!E3698+Sens!F3698)/2*Sens!F3706/1000-Sens!F3794*Sens!F3774)</f>
        <v>21.8835273450987</v>
      </c>
      <c r="G3795" s="6" t="n">
        <f aca="false">MAX(0,(Sens!F3698+Sens!G3698)/2*Sens!G3706/1000-Sens!G3794*Sens!G3774)</f>
        <v>40.9797155459211</v>
      </c>
      <c r="H3795" s="6" t="n">
        <f aca="false">MAX(0,(Sens!G3698+Sens!H3698)/2*Sens!H3706/1000-Sens!H3794*Sens!H3774)</f>
        <v>61.5630770972576</v>
      </c>
      <c r="I3795" s="6" t="n">
        <f aca="false">MAX(0,(Sens!H3698+Sens!I3698)/2*Sens!I3706/1000-Sens!I3794*Sens!I3774)</f>
        <v>80.1171503395173</v>
      </c>
      <c r="J3795" s="6" t="n">
        <f aca="false">MAX(0,(Sens!I3698+Sens!J3698)/2*Sens!J3706/1000-Sens!J3794*Sens!J3774)</f>
        <v>92.936492591854</v>
      </c>
      <c r="K3795" s="6" t="n">
        <f aca="false">MAX(0,(Sens!J3698+Sens!K3698)/2*Sens!K3706/1000-Sens!K3794*Sens!K3774)</f>
        <v>99.8134090254205</v>
      </c>
      <c r="L3795" s="1" t="s">
        <v>848</v>
      </c>
    </row>
    <row r="3796" customFormat="false" ht="17.15" hidden="false" customHeight="false" outlineLevel="0" collapsed="false">
      <c r="A3796" s="1" t="s">
        <v>849</v>
      </c>
      <c r="B3796" s="0" t="s">
        <v>98</v>
      </c>
      <c r="F3796" s="6" t="n">
        <f aca="false">IF(internal_ai_reading=2,1,0)*Sens!F3795</f>
        <v>21.8835273450987</v>
      </c>
      <c r="G3796" s="6" t="n">
        <f aca="false">IF(internal_ai_reading=2,1,0)*Sens!G3795</f>
        <v>40.9797155459211</v>
      </c>
      <c r="H3796" s="6" t="n">
        <f aca="false">IF(internal_ai_reading=2,1,0)*Sens!H3795</f>
        <v>61.5630770972576</v>
      </c>
      <c r="I3796" s="6" t="n">
        <f aca="false">IF(internal_ai_reading=2,1,0)*Sens!I3795</f>
        <v>80.1171503395173</v>
      </c>
      <c r="J3796" s="6" t="n">
        <f aca="false">IF(internal_ai_reading=2,1,0)*Sens!J3795</f>
        <v>92.936492591854</v>
      </c>
      <c r="K3796" s="6" t="n">
        <f aca="false">IF(internal_ai_reading=2,1,0)*Sens!K3795</f>
        <v>99.8134090254205</v>
      </c>
    </row>
    <row r="3797" customFormat="false" ht="17.15" hidden="false" customHeight="false" outlineLevel="0" collapsed="false">
      <c r="A3797" s="0" t="s">
        <v>850</v>
      </c>
      <c r="B3797" s="0" t="s">
        <v>98</v>
      </c>
      <c r="F3797" s="6" t="n">
        <f aca="false">Sens!F3715+Sens!F3794*Sens!F3774+Sens!F3796-Sens!F3716-Sens!F3726</f>
        <v>27.4451868782356</v>
      </c>
      <c r="G3797" s="6" t="n">
        <f aca="false">Sens!G3715+Sens!G3794*Sens!G3774+Sens!G3796-Sens!G3716-Sens!G3726</f>
        <v>47.1574332515152</v>
      </c>
      <c r="H3797" s="6" t="n">
        <f aca="false">Sens!H3715+Sens!H3794*Sens!H3774+Sens!H3796-Sens!H3716-Sens!H3726</f>
        <v>67.5089060718477</v>
      </c>
      <c r="I3797" s="6" t="n">
        <f aca="false">Sens!I3715+Sens!I3794*Sens!I3774+Sens!I3796-Sens!I3716-Sens!I3726</f>
        <v>85.4228851414426</v>
      </c>
      <c r="J3797" s="6" t="n">
        <f aca="false">Sens!J3715+Sens!J3794*Sens!J3774+Sens!J3796-Sens!J3716-Sens!J3726</f>
        <v>97.6832800829117</v>
      </c>
      <c r="K3797" s="6" t="n">
        <f aca="false">Sens!K3715+Sens!K3794*Sens!K3774+Sens!K3796-Sens!K3716-Sens!K3726</f>
        <v>105.72607078403</v>
      </c>
    </row>
    <row r="3798" customFormat="false" ht="17.15" hidden="false" customHeight="false" outlineLevel="0" collapsed="false">
      <c r="A3798" s="0" t="s">
        <v>851</v>
      </c>
      <c r="B3798" s="0" t="s">
        <v>98</v>
      </c>
      <c r="E3798" s="6" t="n">
        <f aca="false">Sens!E3697*(cxit_open+self_build*tk_cxfac)/1000*ai_net_open</f>
        <v>126.6980382</v>
      </c>
      <c r="F3798" s="6" t="n">
        <f aca="false">Sens!E3798+Sens!F3723-Sens!F3726</f>
        <v>285.357616735791</v>
      </c>
      <c r="G3798" s="6" t="n">
        <f aca="false">Sens!F3798+Sens!G3723-Sens!G3726</f>
        <v>438.76358104944</v>
      </c>
      <c r="H3798" s="6" t="n">
        <f aca="false">Sens!G3798+Sens!H3723-Sens!H3726</f>
        <v>564.894172596369</v>
      </c>
      <c r="I3798" s="6" t="n">
        <f aca="false">Sens!H3798+Sens!I3723-Sens!I3726</f>
        <v>626.311537525209</v>
      </c>
      <c r="J3798" s="6" t="n">
        <f aca="false">Sens!I3798+Sens!J3723-Sens!J3726</f>
        <v>616.918226090046</v>
      </c>
      <c r="K3798" s="6" t="n">
        <f aca="false">Sens!J3798+Sens!K3723-Sens!K3726</f>
        <v>574.763197594967</v>
      </c>
      <c r="L3798" s="1" t="s">
        <v>852</v>
      </c>
    </row>
    <row r="3799" customFormat="false" ht="17.15" hidden="false" customHeight="false" outlineLevel="0" collapsed="false">
      <c r="A3799" s="0" t="s">
        <v>853</v>
      </c>
      <c r="B3799" s="0" t="s">
        <v>129</v>
      </c>
      <c r="F3799" s="7" t="n">
        <f aca="false">Sens!F3797*(1-tax_f)/((Sens!E3798+Sens!F3798)/2)</f>
        <v>0.10656885418068</v>
      </c>
      <c r="G3799" s="7" t="n">
        <f aca="false">Sens!G3797*(1-tax_f)/((Sens!F3798+Sens!G3798)/2)</f>
        <v>0.104197879351134</v>
      </c>
      <c r="H3799" s="7" t="n">
        <f aca="false">Sens!H3797*(1-tax_f)/((Sens!G3798+Sens!H3798)/2)</f>
        <v>0.107620600072676</v>
      </c>
      <c r="I3799" s="7" t="n">
        <f aca="false">Sens!I3797*(1-tax_f)/((Sens!H3798+Sens!I3798)/2)</f>
        <v>0.114738046556508</v>
      </c>
      <c r="J3799" s="7" t="n">
        <f aca="false">Sens!J3797*(1-tax_f)/((Sens!I3798+Sens!J3798)/2)</f>
        <v>0.125715497413901</v>
      </c>
      <c r="K3799" s="7" t="n">
        <f aca="false">Sens!K3797*(1-tax_f)/((Sens!J3798+Sens!K3798)/2)</f>
        <v>0.14195212738263</v>
      </c>
    </row>
    <row r="3800" customFormat="false" ht="17.15" hidden="false" customHeight="false" outlineLevel="0" collapsed="false">
      <c r="A3800" s="1" t="s">
        <v>854</v>
      </c>
      <c r="B3800" s="0" t="s">
        <v>129</v>
      </c>
      <c r="F3800" s="7" t="n">
        <f aca="false">(Sens!F3797-Sens!F3796)*(1-tax_f)/((Sens!E3798+Sens!F3798)/2)</f>
        <v>0.0215957605396912</v>
      </c>
      <c r="G3800" s="7" t="n">
        <f aca="false">(Sens!G3797-Sens!G3796)*(1-tax_f)/((Sens!F3798+Sens!G3798)/2)</f>
        <v>0.0136501297837744</v>
      </c>
      <c r="H3800" s="7" t="n">
        <f aca="false">(Sens!H3797-Sens!H3796)*(1-tax_f)/((Sens!G3798+Sens!H3798)/2)</f>
        <v>0.00947865577163806</v>
      </c>
      <c r="I3800" s="7" t="n">
        <f aca="false">(Sens!I3797-Sens!I3796)*(1-tax_f)/((Sens!H3798+Sens!I3798)/2)</f>
        <v>0.00712654045472471</v>
      </c>
      <c r="J3800" s="7" t="n">
        <f aca="false">(Sens!J3797-Sens!J3796)*(1-tax_f)/((Sens!I3798+Sens!J3798)/2)</f>
        <v>0.00610897535432771</v>
      </c>
      <c r="K3800" s="7" t="n">
        <f aca="false">(Sens!K3797-Sens!K3796)*(1-tax_f)/((Sens!J3798+Sens!K3798)/2)</f>
        <v>0.00793858041734147</v>
      </c>
    </row>
    <row r="3801" customFormat="false" ht="17.15" hidden="false" customHeight="false" outlineLevel="0" collapsed="false">
      <c r="A3801" s="1" t="s">
        <v>855</v>
      </c>
      <c r="B3801" s="0" t="s">
        <v>129</v>
      </c>
      <c r="F3801" s="7" t="n">
        <f aca="false">(Sens!F3797-Sens!F3796+Sens!F3795)*(1-tax_f)/((Sens!E3798+Sens!F3798)/2)</f>
        <v>0.10656885418068</v>
      </c>
      <c r="G3801" s="7" t="n">
        <f aca="false">(Sens!G3797-Sens!G3796+Sens!G3795)*(1-tax_f)/((Sens!F3798+Sens!G3798)/2)</f>
        <v>0.104197879351134</v>
      </c>
      <c r="H3801" s="7" t="n">
        <f aca="false">(Sens!H3797-Sens!H3796+Sens!H3795)*(1-tax_f)/((Sens!G3798+Sens!H3798)/2)</f>
        <v>0.107620600072676</v>
      </c>
      <c r="I3801" s="7" t="n">
        <f aca="false">(Sens!I3797-Sens!I3796+Sens!I3795)*(1-tax_f)/((Sens!H3798+Sens!I3798)/2)</f>
        <v>0.114738046556508</v>
      </c>
      <c r="J3801" s="7" t="n">
        <f aca="false">(Sens!J3797-Sens!J3796+Sens!J3795)*(1-tax_f)/((Sens!I3798+Sens!J3798)/2)</f>
        <v>0.125715497413901</v>
      </c>
      <c r="K3801" s="7" t="n">
        <f aca="false">(Sens!K3797-Sens!K3796+Sens!K3795)*(1-tax_f)/((Sens!J3798+Sens!K3798)/2)</f>
        <v>0.14195212738263</v>
      </c>
    </row>
    <row r="3802" customFormat="false" ht="17.15" hidden="false" customHeight="false" outlineLevel="0" collapsed="false">
      <c r="A3802" s="1" t="s">
        <v>856</v>
      </c>
      <c r="B3802" s="0" t="s">
        <v>129</v>
      </c>
      <c r="F3802" s="7" t="n">
        <f aca="false">Sens!F3727*(1-tax_f)/(Sens!F3714*(Sens!E3798+Sens!F3798)/2)</f>
        <v>0.131510445464848</v>
      </c>
      <c r="G3802" s="7" t="n">
        <f aca="false">Sens!G3727*(1-tax_f)/(Sens!G3714*(Sens!F3798+Sens!G3798)/2)</f>
        <v>0.128043320055758</v>
      </c>
      <c r="H3802" s="7" t="n">
        <f aca="false">Sens!H3727*(1-tax_f)/(Sens!H3714*(Sens!G3798+Sens!H3798)/2)</f>
        <v>0.131684978223049</v>
      </c>
      <c r="I3802" s="7" t="n">
        <f aca="false">Sens!I3727*(1-tax_f)/(Sens!I3714*(Sens!H3798+Sens!I3798)/2)</f>
        <v>0.140065282133813</v>
      </c>
      <c r="J3802" s="7" t="n">
        <f aca="false">Sens!J3727*(1-tax_f)/(Sens!J3714*(Sens!I3798+Sens!J3798)/2)</f>
        <v>0.153327906728399</v>
      </c>
      <c r="K3802" s="7" t="n">
        <f aca="false">Sens!K3727*(1-tax_f)/(Sens!K3714*(Sens!J3798+Sens!K3798)/2)</f>
        <v>0.172924803988511</v>
      </c>
    </row>
    <row r="3803" customFormat="false" ht="17.15" hidden="false" customHeight="false" outlineLevel="0" collapsed="false">
      <c r="A3803" s="0" t="s">
        <v>857</v>
      </c>
      <c r="B3803" s="0" t="s">
        <v>209</v>
      </c>
      <c r="F3803" s="7" t="n">
        <f aca="false">Sens!F3799-wacc</f>
        <v>0.00363443408780423</v>
      </c>
      <c r="G3803" s="7" t="n">
        <f aca="false">Sens!G3799-wacc</f>
        <v>0.00126345925825848</v>
      </c>
      <c r="H3803" s="7" t="n">
        <f aca="false">Sens!H3799-wacc</f>
        <v>0.0046861799798006</v>
      </c>
      <c r="I3803" s="7" t="n">
        <f aca="false">Sens!I3799-wacc</f>
        <v>0.0118036264636327</v>
      </c>
      <c r="J3803" s="7" t="n">
        <f aca="false">Sens!J3799-wacc</f>
        <v>0.0227810773210256</v>
      </c>
      <c r="K3803" s="7" t="n">
        <f aca="false">Sens!K3799-wacc</f>
        <v>0.0390177072897538</v>
      </c>
    </row>
    <row r="3804" customFormat="false" ht="17.15" hidden="false" customHeight="false" outlineLevel="0" collapsed="false">
      <c r="A3804" s="0" t="s">
        <v>858</v>
      </c>
      <c r="B3804" s="0" t="s">
        <v>98</v>
      </c>
      <c r="F3804" s="6" t="n">
        <f aca="false">Sens!F3797*(1-tax_f)-wacc*(Sens!E3798+Sens!F3798)/2</f>
        <v>0.748794559185566</v>
      </c>
      <c r="G3804" s="6" t="n">
        <f aca="false">Sens!G3797*(1-tax_f)-wacc*(Sens!F3798+Sens!G3798)/2</f>
        <v>0.457448815721484</v>
      </c>
      <c r="H3804" s="6" t="n">
        <f aca="false">Sens!H3797*(1-tax_f)-wacc*(Sens!G3798+Sens!H3798)/2</f>
        <v>2.35166043585331</v>
      </c>
      <c r="I3804" s="6" t="n">
        <f aca="false">Sens!I3797*(1-tax_f)-wacc*(Sens!H3798+Sens!I3798)/2</f>
        <v>7.03027362181069</v>
      </c>
      <c r="J3804" s="6" t="n">
        <f aca="false">Sens!J3797*(1-tax_f)-wacc*(Sens!I3798+Sens!J3798)/2</f>
        <v>14.1610566863597</v>
      </c>
      <c r="K3804" s="6" t="n">
        <f aca="false">Sens!K3797*(1-tax_f)-wacc*(Sens!J3798+Sens!K3798)/2</f>
        <v>23.2483384859895</v>
      </c>
    </row>
    <row r="3805" customFormat="false" ht="17.15" hidden="false" customHeight="false" outlineLevel="0" collapsed="false">
      <c r="A3805" s="3" t="s">
        <v>1332</v>
      </c>
    </row>
    <row r="3806" customFormat="false" ht="15" hidden="false" customHeight="false" outlineLevel="0" collapsed="false">
      <c r="A3806" s="4" t="s">
        <v>43</v>
      </c>
      <c r="B3806" s="4" t="s">
        <v>65</v>
      </c>
      <c r="C3806" s="20" t="s">
        <v>788</v>
      </c>
      <c r="D3806" s="20" t="s">
        <v>789</v>
      </c>
      <c r="E3806" s="20" t="s">
        <v>790</v>
      </c>
      <c r="F3806" s="20" t="s">
        <v>791</v>
      </c>
      <c r="G3806" s="20" t="s">
        <v>792</v>
      </c>
      <c r="H3806" s="20" t="s">
        <v>793</v>
      </c>
      <c r="I3806" s="20" t="s">
        <v>794</v>
      </c>
      <c r="J3806" s="20" t="s">
        <v>795</v>
      </c>
      <c r="K3806" s="20" t="s">
        <v>796</v>
      </c>
      <c r="L3806" s="4" t="s">
        <v>47</v>
      </c>
    </row>
    <row r="3807" customFormat="false" ht="15" hidden="false" customHeight="false" outlineLevel="0" collapsed="false">
      <c r="A3807" s="1" t="s">
        <v>915</v>
      </c>
      <c r="B3807" s="0" t="s">
        <v>98</v>
      </c>
      <c r="F3807" s="6" t="n">
        <f aca="false">Sens!F3788</f>
        <v>141.614227513035</v>
      </c>
      <c r="G3807" s="6" t="n">
        <f aca="false">Sens!G3788</f>
        <v>157.84230741752</v>
      </c>
      <c r="H3807" s="6" t="n">
        <f aca="false">Sens!H3788</f>
        <v>173.648568352184</v>
      </c>
      <c r="I3807" s="6" t="n">
        <f aca="false">Sens!I3788</f>
        <v>188.831489310226</v>
      </c>
      <c r="J3807" s="6" t="n">
        <f aca="false">Sens!J3788</f>
        <v>203.16757316635</v>
      </c>
      <c r="K3807" s="6" t="n">
        <f aca="false">Sens!K3788</f>
        <v>217.338877070024</v>
      </c>
    </row>
    <row r="3808" customFormat="false" ht="17.15" hidden="false" customHeight="false" outlineLevel="0" collapsed="false">
      <c r="A3808" s="1" t="s">
        <v>937</v>
      </c>
      <c r="B3808" s="0" t="s">
        <v>98</v>
      </c>
      <c r="E3808" s="6" t="n">
        <f aca="false">Q!M38-Sens!E3726</f>
        <v>22.2285940229167</v>
      </c>
      <c r="F3808" s="6" t="n">
        <f aca="false">Sens!E3808*(1-1/life_nonai)+Sens!F3814/life_nonai</f>
        <v>23.5636693435813</v>
      </c>
      <c r="G3808" s="6" t="n">
        <f aca="false">Sens!F3808*(1-1/life_nonai)+Sens!G3814/life_nonai</f>
        <v>25.3225917662621</v>
      </c>
      <c r="H3808" s="6" t="n">
        <f aca="false">Sens!G3808*(1-1/life_nonai)+Sens!H3814/life_nonai</f>
        <v>27.4714839540448</v>
      </c>
      <c r="I3808" s="6" t="n">
        <f aca="false">Sens!H3808*(1-1/life_nonai)+Sens!I3814/life_nonai</f>
        <v>29.9441755898047</v>
      </c>
      <c r="J3808" s="6" t="n">
        <f aca="false">Sens!I3808*(1-1/life_nonai)+Sens!J3814/life_nonai</f>
        <v>32.6578493558616</v>
      </c>
      <c r="K3808" s="6" t="n">
        <f aca="false">Sens!J3808*(1-1/life_nonai)+Sens!K3814/life_nonai</f>
        <v>35.5289346944749</v>
      </c>
      <c r="L3808" s="11" t="s">
        <v>938</v>
      </c>
    </row>
    <row r="3809" customFormat="false" ht="17.15" hidden="false" customHeight="false" outlineLevel="0" collapsed="false">
      <c r="A3809" s="1" t="s">
        <v>939</v>
      </c>
      <c r="B3809" s="0" t="s">
        <v>98</v>
      </c>
      <c r="E3809" s="6" t="n">
        <f aca="false">Sens!E3726+Sens!E3808</f>
        <v>38.534</v>
      </c>
      <c r="F3809" s="6" t="n">
        <f aca="false">Sens!F3726+Sens!F3808</f>
        <v>60.1493606050168</v>
      </c>
      <c r="G3809" s="6" t="n">
        <f aca="false">Sens!G3726+Sens!G3808</f>
        <v>92.2056440324532</v>
      </c>
      <c r="H3809" s="6" t="n">
        <f aca="false">Sens!H3726+Sens!H3808</f>
        <v>127.037235499596</v>
      </c>
      <c r="I3809" s="6" t="n">
        <f aca="false">Sens!I3726+Sens!I3808</f>
        <v>158.439332985393</v>
      </c>
      <c r="J3809" s="6" t="n">
        <f aca="false">Sens!J3726+Sens!J3808</f>
        <v>181.3592866674</v>
      </c>
      <c r="K3809" s="6" t="n">
        <f aca="false">Sens!K3726+Sens!K3808</f>
        <v>196.028843977877</v>
      </c>
    </row>
    <row r="3810" customFormat="false" ht="17.15" hidden="false" customHeight="false" outlineLevel="0" collapsed="false">
      <c r="A3810" s="1" t="s">
        <v>940</v>
      </c>
      <c r="B3810" s="0" t="s">
        <v>98</v>
      </c>
      <c r="F3810" s="6" t="n">
        <f aca="false">Sens!F3753*sbc_r</f>
        <v>15.0609124650091</v>
      </c>
      <c r="G3810" s="6" t="n">
        <f aca="false">Sens!G3753*sbc_r</f>
        <v>18.1507785110431</v>
      </c>
      <c r="H3810" s="6" t="n">
        <f aca="false">Sens!H3753*sbc_r</f>
        <v>21.315560530794</v>
      </c>
      <c r="I3810" s="6" t="n">
        <f aca="false">Sens!I3753*sbc_r</f>
        <v>24.2148578025102</v>
      </c>
      <c r="J3810" s="6" t="n">
        <f aca="false">Sens!J3753*sbc_r</f>
        <v>26.5547395490289</v>
      </c>
      <c r="K3810" s="6" t="n">
        <f aca="false">Sens!K3753*sbc_r</f>
        <v>28.3848442952256</v>
      </c>
    </row>
    <row r="3811" customFormat="false" ht="17.15" hidden="false" customHeight="false" outlineLevel="0" collapsed="false">
      <c r="A3811" s="1" t="s">
        <v>941</v>
      </c>
      <c r="B3811" s="0" t="s">
        <v>98</v>
      </c>
      <c r="F3811" s="6" t="n">
        <f aca="false">wc27</f>
        <v>-4.895</v>
      </c>
      <c r="G3811" s="6" t="n">
        <f aca="false">wc_f</f>
        <v>0</v>
      </c>
      <c r="H3811" s="6" t="n">
        <f aca="false">wc_f</f>
        <v>0</v>
      </c>
      <c r="I3811" s="6" t="n">
        <f aca="false">wc_f</f>
        <v>0</v>
      </c>
      <c r="J3811" s="6" t="n">
        <f aca="false">wc_f</f>
        <v>0</v>
      </c>
      <c r="K3811" s="6" t="n">
        <f aca="false">wc_f</f>
        <v>0</v>
      </c>
      <c r="L3811" s="11" t="s">
        <v>942</v>
      </c>
    </row>
    <row r="3812" customFormat="false" ht="15" hidden="false" customHeight="false" outlineLevel="0" collapsed="false">
      <c r="A3812" s="1" t="s">
        <v>756</v>
      </c>
      <c r="B3812" s="0" t="s">
        <v>98</v>
      </c>
      <c r="E3812" s="6" t="n">
        <f aca="false">Q!M35</f>
        <v>182.935</v>
      </c>
      <c r="F3812" s="6" t="n">
        <f aca="false">Sens!F3807+Sens!F3809+Sens!F3810+Sens!F3811</f>
        <v>211.929500583061</v>
      </c>
      <c r="G3812" s="6" t="n">
        <f aca="false">Sens!G3807+Sens!G3809+Sens!G3810+Sens!G3811</f>
        <v>268.198729961016</v>
      </c>
      <c r="H3812" s="6" t="n">
        <f aca="false">Sens!H3807+Sens!H3809+Sens!H3810+Sens!H3811</f>
        <v>322.001364382574</v>
      </c>
      <c r="I3812" s="6" t="n">
        <f aca="false">Sens!I3807+Sens!I3809+Sens!I3810+Sens!I3811</f>
        <v>371.485680098129</v>
      </c>
      <c r="J3812" s="6" t="n">
        <f aca="false">Sens!J3807+Sens!J3809+Sens!J3810+Sens!J3811</f>
        <v>411.081599382778</v>
      </c>
      <c r="K3812" s="6" t="n">
        <f aca="false">Sens!K3807+Sens!K3809+Sens!K3810+Sens!K3811</f>
        <v>441.752565343127</v>
      </c>
    </row>
    <row r="3813" customFormat="false" ht="17.15" hidden="false" customHeight="false" outlineLevel="0" collapsed="false">
      <c r="A3813" s="0" t="s">
        <v>943</v>
      </c>
      <c r="B3813" s="0" t="s">
        <v>98</v>
      </c>
      <c r="F3813" s="6" t="n">
        <f aca="false">Sens!F3723</f>
        <v>195.245269797227</v>
      </c>
      <c r="G3813" s="6" t="n">
        <f aca="false">Sens!G3723</f>
        <v>220.28901657984</v>
      </c>
      <c r="H3813" s="6" t="n">
        <f aca="false">Sens!H3723</f>
        <v>225.69634309248</v>
      </c>
      <c r="I3813" s="6" t="n">
        <f aca="false">Sens!I3723</f>
        <v>189.912522324428</v>
      </c>
      <c r="J3813" s="6" t="n">
        <f aca="false">Sens!J3723</f>
        <v>139.308125876376</v>
      </c>
      <c r="K3813" s="6" t="n">
        <f aca="false">Sens!K3723</f>
        <v>118.344880788323</v>
      </c>
    </row>
    <row r="3814" customFormat="false" ht="17.15" hidden="false" customHeight="false" outlineLevel="0" collapsed="false">
      <c r="A3814" s="1" t="s">
        <v>944</v>
      </c>
      <c r="B3814" s="0" t="s">
        <v>98</v>
      </c>
      <c r="E3814" s="6" t="n">
        <f aca="false">Sens!E3731*cx_azo+Sens!E3738*cx_m365+Sens!E3739*cx_lic+(Sens!E3741+Sens!E3743)*cx_ind+Sens!E3746*cx_srch+(Sens!E3748+Sens!E3750)*cx_dev</f>
        <v>30.1846587067718</v>
      </c>
      <c r="F3814" s="6" t="n">
        <f aca="false">Sens!F3731*cx_azo+Sens!F3738*cx_m365+Sens!F3739*cx_lic+(Sens!F3741+Sens!F3743)*cx_ind+Sens!F3746*cx_srch+(Sens!F3748+Sens!F3750)*cx_dev</f>
        <v>35.5793472295625</v>
      </c>
      <c r="G3814" s="6" t="n">
        <f aca="false">Sens!G3731*cx_azo+Sens!G3738*cx_m365+Sens!G3739*cx_lic+(Sens!G3741+Sens!G3743)*cx_ind+Sens!G3746*cx_srch+(Sens!G3748+Sens!G3750)*cx_dev</f>
        <v>41.1528935703892</v>
      </c>
      <c r="H3814" s="6" t="n">
        <f aca="false">Sens!H3731*cx_azo+Sens!H3738*cx_m365+Sens!H3739*cx_lic+(Sens!H3741+Sens!H3743)*cx_ind+Sens!H3746*cx_srch+(Sens!H3748+Sens!H3750)*cx_dev</f>
        <v>46.8115136440897</v>
      </c>
      <c r="I3814" s="6" t="n">
        <f aca="false">Sens!I3731*cx_azo+Sens!I3738*cx_m365+Sens!I3739*cx_lic+(Sens!I3741+Sens!I3743)*cx_ind+Sens!I3746*cx_srch+(Sens!I3748+Sens!I3750)*cx_dev</f>
        <v>52.1984003116439</v>
      </c>
      <c r="J3814" s="6" t="n">
        <f aca="false">Sens!J3731*cx_azo+Sens!J3738*cx_m365+Sens!J3739*cx_lic+(Sens!J3741+Sens!J3743)*cx_ind+Sens!J3746*cx_srch+(Sens!J3748+Sens!J3750)*cx_dev</f>
        <v>57.0809132503738</v>
      </c>
      <c r="K3814" s="6" t="n">
        <f aca="false">Sens!K3731*cx_azo+Sens!K3738*cx_m365+Sens!K3739*cx_lic+(Sens!K3741+Sens!K3743)*cx_ind+Sens!K3746*cx_srch+(Sens!K3748+Sens!K3750)*cx_dev</f>
        <v>61.368702741994</v>
      </c>
    </row>
    <row r="3815" customFormat="false" ht="17.15" hidden="false" customHeight="false" outlineLevel="0" collapsed="false">
      <c r="A3815" s="1" t="s">
        <v>945</v>
      </c>
      <c r="B3815" s="0" t="s">
        <v>98</v>
      </c>
      <c r="E3815" s="6" t="n">
        <f aca="false">Q!M42</f>
        <v>145.3</v>
      </c>
      <c r="F3815" s="6" t="n">
        <f aca="false">Sens!F3813+Sens!F3814</f>
        <v>230.824617026789</v>
      </c>
      <c r="G3815" s="6" t="n">
        <f aca="false">Sens!G3813+Sens!G3814</f>
        <v>261.441910150229</v>
      </c>
      <c r="H3815" s="6" t="n">
        <f aca="false">Sens!H3813+Sens!H3814</f>
        <v>272.50785673657</v>
      </c>
      <c r="I3815" s="6" t="n">
        <f aca="false">Sens!I3813+Sens!I3814</f>
        <v>242.110922636072</v>
      </c>
      <c r="J3815" s="6" t="n">
        <f aca="false">Sens!J3813+Sens!J3814</f>
        <v>196.389039126749</v>
      </c>
      <c r="K3815" s="6" t="n">
        <f aca="false">Sens!K3813+Sens!K3814</f>
        <v>179.713583530317</v>
      </c>
      <c r="L3815" s="1" t="s">
        <v>946</v>
      </c>
    </row>
    <row r="3816" customFormat="false" ht="15" hidden="false" customHeight="false" outlineLevel="0" collapsed="false">
      <c r="A3816" s="1" t="s">
        <v>947</v>
      </c>
      <c r="B3816" s="0" t="s">
        <v>98</v>
      </c>
      <c r="E3816" s="6" t="n">
        <f aca="false">fl_liab</f>
        <v>66.594</v>
      </c>
      <c r="F3816" s="6" t="n">
        <f aca="false">Sens!E3816-Sens!F3817</f>
        <v>62.46973</v>
      </c>
      <c r="G3816" s="6" t="n">
        <f aca="false">Sens!F3816-Sens!G3817</f>
        <v>57.98686785</v>
      </c>
      <c r="H3816" s="6" t="n">
        <f aca="false">Sens!G3816-Sens!H3817</f>
        <v>53.92827690325</v>
      </c>
      <c r="I3816" s="6" t="n">
        <f aca="false">Sens!H3816-Sens!I3817</f>
        <v>49.7850493638962</v>
      </c>
      <c r="J3816" s="6" t="n">
        <f aca="false">Sens!I3816-Sens!J3817</f>
        <v>45.4823765852716</v>
      </c>
      <c r="K3816" s="6" t="n">
        <f aca="false">Sens!J3816-Sens!K3817</f>
        <v>40.9860835316088</v>
      </c>
    </row>
    <row r="3817" customFormat="false" ht="15" hidden="false" customHeight="false" outlineLevel="0" collapsed="false">
      <c r="A3817" s="1" t="s">
        <v>948</v>
      </c>
      <c r="B3817" s="0" t="s">
        <v>98</v>
      </c>
      <c r="F3817" s="6" t="n">
        <f aca="false">fl_pay_27-Sens!E3816*fl_rate</f>
        <v>4.12427</v>
      </c>
      <c r="G3817" s="6" t="n">
        <f aca="false">fl_pay_28-Sens!F3816*fl_rate</f>
        <v>4.48286215</v>
      </c>
      <c r="H3817" s="6" t="n">
        <f aca="false">fl_pay_29-Sens!G3816*fl_rate</f>
        <v>4.05859094675</v>
      </c>
      <c r="I3817" s="6" t="n">
        <f aca="false">fl_pay_30-Sens!H3816*fl_rate</f>
        <v>4.14322753935375</v>
      </c>
      <c r="J3817" s="6" t="n">
        <f aca="false">fl_pay_31-Sens!I3816*fl_rate</f>
        <v>4.30267277862467</v>
      </c>
      <c r="K3817" s="6" t="n">
        <f aca="false">fl_pay_32-Sens!J3816*fl_rate</f>
        <v>4.49629305366278</v>
      </c>
    </row>
    <row r="3818" customFormat="false" ht="17.15" hidden="false" customHeight="false" outlineLevel="0" collapsed="false">
      <c r="A3818" s="1" t="s">
        <v>949</v>
      </c>
      <c r="B3818" s="0" t="s">
        <v>98</v>
      </c>
      <c r="E3818" s="6" t="n">
        <f aca="false">Q!M35-Q!M36-Q!M43</f>
        <v>63.886</v>
      </c>
      <c r="F3818" s="6" t="n">
        <f aca="false">Sens!F3812-Sens!F3815-Sens!F3817</f>
        <v>-23.0193864437281</v>
      </c>
      <c r="G3818" s="6" t="n">
        <f aca="false">Sens!G3812-Sens!G3815-Sens!G3817</f>
        <v>2.27395766078708</v>
      </c>
      <c r="H3818" s="6" t="n">
        <f aca="false">Sens!H3812-Sens!H3815-Sens!H3817</f>
        <v>45.4349166992542</v>
      </c>
      <c r="I3818" s="6" t="n">
        <f aca="false">Sens!I3812-Sens!I3815-Sens!I3817</f>
        <v>125.231529922703</v>
      </c>
      <c r="J3818" s="6" t="n">
        <f aca="false">Sens!J3812-Sens!J3815-Sens!J3817</f>
        <v>210.389887477404</v>
      </c>
      <c r="K3818" s="6" t="n">
        <f aca="false">Sens!K3812-Sens!K3815-Sens!K3817</f>
        <v>257.542688759147</v>
      </c>
      <c r="L3818" s="11" t="s">
        <v>950</v>
      </c>
    </row>
    <row r="3819" customFormat="false" ht="15" hidden="false" customHeight="false" outlineLevel="0" collapsed="false">
      <c r="A3819" s="1" t="s">
        <v>951</v>
      </c>
      <c r="B3819" s="0" t="s">
        <v>75</v>
      </c>
      <c r="F3819" s="8" t="n">
        <f aca="false">dps_27</f>
        <v>3.85</v>
      </c>
      <c r="G3819" s="8" t="n">
        <f aca="false">Sens!F3819*(1+dps_g)</f>
        <v>4.158</v>
      </c>
      <c r="H3819" s="8" t="n">
        <f aca="false">Sens!G3819*(1+dps_g)</f>
        <v>4.49064</v>
      </c>
      <c r="I3819" s="8" t="n">
        <f aca="false">Sens!H3819*(1+dps_g)</f>
        <v>4.8498912</v>
      </c>
      <c r="J3819" s="8" t="n">
        <f aca="false">Sens!I3819*(1+dps_g)</f>
        <v>5.237882496</v>
      </c>
      <c r="K3819" s="8" t="n">
        <f aca="false">Sens!J3819*(1+dps_g)</f>
        <v>5.65691309568</v>
      </c>
    </row>
    <row r="3820" customFormat="false" ht="17.15" hidden="false" customHeight="false" outlineLevel="0" collapsed="false">
      <c r="A3820" s="1" t="s">
        <v>952</v>
      </c>
      <c r="B3820" s="0" t="s">
        <v>98</v>
      </c>
      <c r="E3820" s="6" t="n">
        <f aca="false">Q!M41</f>
        <v>26.445</v>
      </c>
      <c r="F3820" s="6" t="n">
        <f aca="false">Sens!F3819*Sens!E3829</f>
        <v>28.59395</v>
      </c>
      <c r="G3820" s="6" t="n">
        <f aca="false">Sens!G3819*Sens!F3829</f>
        <v>31.068576</v>
      </c>
      <c r="H3820" s="6" t="n">
        <f aca="false">Sens!H3819*Sens!G3829</f>
        <v>33.75614088</v>
      </c>
      <c r="I3820" s="6" t="n">
        <f aca="false">Sens!I3819*Sens!H3829</f>
        <v>36.6021751464999</v>
      </c>
      <c r="J3820" s="6" t="n">
        <f aca="false">Sens!J3819*Sens!I3829</f>
        <v>39.5987480065393</v>
      </c>
      <c r="K3820" s="6" t="n">
        <f aca="false">Sens!K3819*Sens!J3829</f>
        <v>42.8539030723675</v>
      </c>
      <c r="L3820" s="1" t="s">
        <v>953</v>
      </c>
    </row>
    <row r="3821" customFormat="false" ht="15" hidden="false" customHeight="false" outlineLevel="0" collapsed="false">
      <c r="A3821" s="1" t="s">
        <v>954</v>
      </c>
      <c r="B3821" s="0" t="s">
        <v>98</v>
      </c>
      <c r="E3821" s="6" t="n">
        <f aca="false">Sens!E3818-Sens!E3820</f>
        <v>37.441</v>
      </c>
      <c r="F3821" s="6" t="n">
        <f aca="false">Sens!F3818-Sens!F3820</f>
        <v>-51.6133364437281</v>
      </c>
      <c r="G3821" s="6" t="n">
        <f aca="false">Sens!G3818-Sens!G3820</f>
        <v>-28.7946183392129</v>
      </c>
      <c r="H3821" s="6" t="n">
        <f aca="false">Sens!H3818-Sens!H3820</f>
        <v>11.6787758192542</v>
      </c>
      <c r="I3821" s="6" t="n">
        <f aca="false">Sens!I3818-Sens!I3820</f>
        <v>88.6293547762034</v>
      </c>
      <c r="J3821" s="6" t="n">
        <f aca="false">Sens!J3818-Sens!J3820</f>
        <v>170.791139470865</v>
      </c>
      <c r="K3821" s="6" t="n">
        <f aca="false">Sens!K3818-Sens!K3820</f>
        <v>214.688785686779</v>
      </c>
    </row>
    <row r="3822" customFormat="false" ht="15" hidden="false" customHeight="false" outlineLevel="0" collapsed="false">
      <c r="A3822" s="1" t="s">
        <v>955</v>
      </c>
      <c r="B3822" s="0" t="s">
        <v>98</v>
      </c>
      <c r="F3822" s="6" t="n">
        <f aca="false">debt_mat_27</f>
        <v>9.25</v>
      </c>
      <c r="G3822" s="6" t="n">
        <f aca="false">debt_mat_28</f>
        <v>0</v>
      </c>
      <c r="H3822" s="6" t="n">
        <f aca="false">debt_mat_29</f>
        <v>2.001</v>
      </c>
      <c r="I3822" s="6" t="n">
        <f aca="false">debt_mat_30</f>
        <v>0</v>
      </c>
      <c r="J3822" s="6" t="n">
        <f aca="false">debt_mat_31</f>
        <v>0.5</v>
      </c>
      <c r="K3822" s="6" t="n">
        <f aca="false">debt_mat_32</f>
        <v>0</v>
      </c>
    </row>
    <row r="3823" customFormat="false" ht="15" hidden="false" customHeight="false" outlineLevel="0" collapsed="false">
      <c r="A3823" s="1" t="s">
        <v>956</v>
      </c>
      <c r="B3823" s="0" t="s">
        <v>98</v>
      </c>
      <c r="E3823" s="6" t="n">
        <f aca="false">Q!M40</f>
        <v>22.271</v>
      </c>
      <c r="F3823" s="6" t="n">
        <f aca="false">MAX(0,MIN(bb_target,Sens!E3825+Sens!F3821-Sens!F3822-min_cash))</f>
        <v>0</v>
      </c>
      <c r="G3823" s="6" t="n">
        <f aca="false">MAX(0,MIN(bb_target,Sens!F3825+Sens!G3821-Sens!G3822-min_cash))</f>
        <v>0</v>
      </c>
      <c r="H3823" s="6" t="n">
        <f aca="false">MAX(0,MIN(bb_target,Sens!G3825+Sens!H3821-Sens!H3822-min_cash))</f>
        <v>9.67777581925422</v>
      </c>
      <c r="I3823" s="6" t="n">
        <f aca="false">MAX(0,MIN(bb_target,Sens!H3825+Sens!I3821-Sens!I3822-min_cash))</f>
        <v>22.271</v>
      </c>
      <c r="J3823" s="6" t="n">
        <f aca="false">MAX(0,MIN(bb_target,Sens!I3825+Sens!J3821-Sens!J3822-min_cash))</f>
        <v>22.271</v>
      </c>
      <c r="K3823" s="6" t="n">
        <f aca="false">MAX(0,MIN(bb_target,Sens!J3825+Sens!K3821-Sens!K3822-min_cash))</f>
        <v>22.271</v>
      </c>
    </row>
    <row r="3824" customFormat="false" ht="15" hidden="false" customHeight="false" outlineLevel="0" collapsed="false">
      <c r="A3824" s="1" t="s">
        <v>957</v>
      </c>
      <c r="B3824" s="0" t="s">
        <v>98</v>
      </c>
      <c r="F3824" s="6" t="n">
        <f aca="false">MAX(0,min_cash-(Sens!E3825+Sens!F3821-Sens!F3822-Sens!F3823))</f>
        <v>34.0203364437281</v>
      </c>
      <c r="G3824" s="6" t="n">
        <f aca="false">MAX(0,min_cash-(Sens!F3825+Sens!G3821-Sens!G3822-Sens!G3823))</f>
        <v>28.7946183392129</v>
      </c>
      <c r="H3824" s="6" t="n">
        <f aca="false">MAX(0,min_cash-(Sens!G3825+Sens!H3821-Sens!H3822-Sens!H3823))</f>
        <v>0</v>
      </c>
      <c r="I3824" s="6" t="n">
        <f aca="false">MAX(0,min_cash-(Sens!H3825+Sens!I3821-Sens!I3822-Sens!I3823))</f>
        <v>0</v>
      </c>
      <c r="J3824" s="6" t="n">
        <f aca="false">MAX(0,min_cash-(Sens!I3825+Sens!J3821-Sens!J3822-Sens!J3823))</f>
        <v>0</v>
      </c>
      <c r="K3824" s="6" t="n">
        <f aca="false">MAX(0,min_cash-(Sens!J3825+Sens!K3821-Sens!K3822-Sens!K3823))</f>
        <v>0</v>
      </c>
    </row>
    <row r="3825" customFormat="false" ht="15" hidden="false" customHeight="false" outlineLevel="0" collapsed="false">
      <c r="A3825" s="1" t="s">
        <v>958</v>
      </c>
      <c r="B3825" s="0" t="s">
        <v>98</v>
      </c>
      <c r="E3825" s="6" t="n">
        <f aca="false">cash_open</f>
        <v>76.843</v>
      </c>
      <c r="F3825" s="6" t="n">
        <f aca="false">Sens!E3825+Sens!F3821-Sens!F3822-Sens!F3823+Sens!F3824</f>
        <v>50</v>
      </c>
      <c r="G3825" s="6" t="n">
        <f aca="false">Sens!F3825+Sens!G3821-Sens!G3822-Sens!G3823+Sens!G3824</f>
        <v>50</v>
      </c>
      <c r="H3825" s="6" t="n">
        <f aca="false">Sens!G3825+Sens!H3821-Sens!H3822-Sens!H3823+Sens!H3824</f>
        <v>50</v>
      </c>
      <c r="I3825" s="6" t="n">
        <f aca="false">Sens!H3825+Sens!I3821-Sens!I3822-Sens!I3823+Sens!I3824</f>
        <v>116.358354776203</v>
      </c>
      <c r="J3825" s="6" t="n">
        <f aca="false">Sens!I3825+Sens!J3821-Sens!J3822-Sens!J3823+Sens!J3824</f>
        <v>264.378494247069</v>
      </c>
      <c r="K3825" s="6" t="n">
        <f aca="false">Sens!J3825+Sens!K3821-Sens!K3822-Sens!K3823+Sens!K3824</f>
        <v>456.796279933848</v>
      </c>
    </row>
    <row r="3826" customFormat="false" ht="15" hidden="false" customHeight="false" outlineLevel="0" collapsed="false">
      <c r="A3826" s="1" t="s">
        <v>959</v>
      </c>
      <c r="B3826" s="0" t="s">
        <v>98</v>
      </c>
      <c r="E3826" s="6" t="n">
        <f aca="false">debt_face</f>
        <v>46.136</v>
      </c>
      <c r="F3826" s="6" t="n">
        <f aca="false">Sens!E3826-Sens!F3822+Sens!F3824</f>
        <v>70.9063364437281</v>
      </c>
      <c r="G3826" s="6" t="n">
        <f aca="false">Sens!F3826-Sens!G3822+Sens!G3824</f>
        <v>99.700954782941</v>
      </c>
      <c r="H3826" s="6" t="n">
        <f aca="false">Sens!G3826-Sens!H3822+Sens!H3824</f>
        <v>97.699954782941</v>
      </c>
      <c r="I3826" s="6" t="n">
        <f aca="false">Sens!H3826-Sens!I3822+Sens!I3824</f>
        <v>97.699954782941</v>
      </c>
      <c r="J3826" s="6" t="n">
        <f aca="false">Sens!I3826-Sens!J3822+Sens!J3824</f>
        <v>97.199954782941</v>
      </c>
      <c r="K3826" s="6" t="n">
        <f aca="false">Sens!J3826-Sens!K3822+Sens!K3824</f>
        <v>97.199954782941</v>
      </c>
    </row>
    <row r="3827" customFormat="false" ht="15" hidden="false" customHeight="false" outlineLevel="0" collapsed="false">
      <c r="A3827" s="1" t="s">
        <v>960</v>
      </c>
      <c r="B3827" s="0" t="s">
        <v>98</v>
      </c>
      <c r="E3827" s="6" t="n">
        <f aca="false">Sens!E3825-Sens!E3826</f>
        <v>30.707</v>
      </c>
      <c r="F3827" s="6" t="n">
        <f aca="false">Sens!F3825-Sens!F3826</f>
        <v>-20.9063364437281</v>
      </c>
      <c r="G3827" s="6" t="n">
        <f aca="false">Sens!G3825-Sens!G3826</f>
        <v>-49.700954782941</v>
      </c>
      <c r="H3827" s="6" t="n">
        <f aca="false">Sens!H3825-Sens!H3826</f>
        <v>-47.699954782941</v>
      </c>
      <c r="I3827" s="6" t="n">
        <f aca="false">Sens!I3825-Sens!I3826</f>
        <v>18.6583999932624</v>
      </c>
      <c r="J3827" s="6" t="n">
        <f aca="false">Sens!J3825-Sens!J3826</f>
        <v>167.178539464128</v>
      </c>
      <c r="K3827" s="6" t="n">
        <f aca="false">Sens!K3825-Sens!K3826</f>
        <v>359.596325150907</v>
      </c>
    </row>
    <row r="3828" customFormat="false" ht="15" hidden="false" customHeight="false" outlineLevel="0" collapsed="false">
      <c r="A3828" s="1" t="s">
        <v>961</v>
      </c>
      <c r="B3828" s="0" t="s">
        <v>75</v>
      </c>
      <c r="F3828" s="29" t="n">
        <f aca="false">px*(1+bb_g)^(Sens!F3692-base_fy-mid_yr)</f>
        <v>553.494156066711</v>
      </c>
      <c r="G3828" s="29" t="n">
        <f aca="false">px*(1+bb_g)^(Sens!G3692-base_fy-mid_yr)</f>
        <v>597.773688552047</v>
      </c>
      <c r="H3828" s="29" t="n">
        <f aca="false">px*(1+bb_g)^(Sens!H3692-base_fy-mid_yr)</f>
        <v>645.595583636211</v>
      </c>
      <c r="I3828" s="29" t="n">
        <f aca="false">px*(1+bb_g)^(Sens!I3692-base_fy-mid_yr)</f>
        <v>697.243230327108</v>
      </c>
      <c r="J3828" s="29" t="n">
        <f aca="false">px*(1+bb_g)^(Sens!J3692-base_fy-mid_yr)</f>
        <v>753.022688753277</v>
      </c>
      <c r="K3828" s="29" t="n">
        <f aca="false">px*(1+bb_g)^(Sens!K3692-base_fy-mid_yr)</f>
        <v>813.264503853539</v>
      </c>
    </row>
    <row r="3829" customFormat="false" ht="15" hidden="false" customHeight="false" outlineLevel="0" collapsed="false">
      <c r="A3829" s="1" t="s">
        <v>962</v>
      </c>
      <c r="B3829" s="1" t="s">
        <v>81</v>
      </c>
      <c r="E3829" s="14" t="n">
        <f aca="false">sh_out26</f>
        <v>7.427</v>
      </c>
      <c r="F3829" s="14" t="n">
        <f aca="false">Sens!E3829+sh_iss-Sens!F3823/Sens!F3828</f>
        <v>7.472</v>
      </c>
      <c r="G3829" s="14" t="n">
        <f aca="false">Sens!F3829+sh_iss-Sens!G3823/Sens!G3828</f>
        <v>7.517</v>
      </c>
      <c r="H3829" s="14" t="n">
        <f aca="false">Sens!G3829+sh_iss-Sens!H3823/Sens!H3828</f>
        <v>7.54700953837889</v>
      </c>
      <c r="I3829" s="14" t="n">
        <f aca="false">Sens!H3829+sh_iss-Sens!I3823/Sens!I3828</f>
        <v>7.56006803069362</v>
      </c>
      <c r="J3829" s="14" t="n">
        <f aca="false">Sens!I3829+sh_iss-Sens!J3823/Sens!J3828</f>
        <v>7.57549256061466</v>
      </c>
      <c r="K3829" s="14" t="n">
        <f aca="false">Sens!J3829+sh_iss-Sens!K3823/Sens!K3828</f>
        <v>7.5931078660971</v>
      </c>
    </row>
    <row r="3830" customFormat="false" ht="15" hidden="false" customHeight="false" outlineLevel="0" collapsed="false">
      <c r="A3830" s="1" t="s">
        <v>963</v>
      </c>
      <c r="B3830" s="1" t="s">
        <v>81</v>
      </c>
      <c r="E3830" s="14" t="n">
        <f aca="false">sh_dil26</f>
        <v>7.453</v>
      </c>
      <c r="F3830" s="14" t="n">
        <f aca="false">(Sens!E3829+Sens!F3829)/2+dil_gap</f>
        <v>7.4735</v>
      </c>
      <c r="G3830" s="14" t="n">
        <f aca="false">(Sens!F3829+Sens!G3829)/2+dil_gap</f>
        <v>7.5185</v>
      </c>
      <c r="H3830" s="14" t="n">
        <f aca="false">(Sens!G3829+Sens!H3829)/2+dil_gap</f>
        <v>7.55600476918945</v>
      </c>
      <c r="I3830" s="14" t="n">
        <f aca="false">(Sens!H3829+Sens!I3829)/2+dil_gap</f>
        <v>7.57753878453626</v>
      </c>
      <c r="J3830" s="14" t="n">
        <f aca="false">(Sens!I3829+Sens!J3829)/2+dil_gap</f>
        <v>7.59178029565414</v>
      </c>
      <c r="K3830" s="14" t="n">
        <f aca="false">(Sens!J3829+Sens!K3829)/2+dil_gap</f>
        <v>7.60830021335588</v>
      </c>
    </row>
    <row r="3831" customFormat="false" ht="17.15" hidden="false" customHeight="false" outlineLevel="0" collapsed="false">
      <c r="A3831" s="1" t="s">
        <v>964</v>
      </c>
      <c r="B3831" s="0" t="s">
        <v>98</v>
      </c>
      <c r="C3831" s="6" t="n">
        <f aca="false">SUM(Sens!F3821:J3821)</f>
        <v>190.691315283382</v>
      </c>
    </row>
    <row r="3832" customFormat="false" ht="15" hidden="false" customHeight="false" outlineLevel="0" collapsed="false">
      <c r="A3832" s="23" t="s">
        <v>935</v>
      </c>
      <c r="B3832" s="30" t="s">
        <v>98</v>
      </c>
      <c r="C3832" s="24" t="n">
        <f aca="false">Sens!$C$3831-(Sens!F3821+Sens!G3821+Sens!H3821+Sens!I3821+Sens!J3821)</f>
        <v>0</v>
      </c>
      <c r="D3832" s="30"/>
      <c r="E3832" s="30"/>
      <c r="F3832" s="30"/>
      <c r="G3832" s="30"/>
      <c r="H3832" s="30"/>
      <c r="I3832" s="30"/>
      <c r="J3832" s="30"/>
      <c r="K3832" s="30"/>
    </row>
    <row r="3833" customFormat="false" ht="17.15" hidden="false" customHeight="false" outlineLevel="0" collapsed="false">
      <c r="A3833" s="1" t="s">
        <v>929</v>
      </c>
      <c r="B3833" s="1" t="s">
        <v>965</v>
      </c>
      <c r="C3833" s="32" t="str">
        <f aca="false">IF(SUM(Sens!F3824:J3824)&gt;0.05,"需要舉債 "&amp;TEXT(SUM(Sens!F3824:J3824),"0.0")&amp;" 十億美元","不需舉債")&amp;"；"&amp;IF(SUM(Sens!F3823:J3823)&lt;COUNT(Sens!F3823:J3823)*bb_target-0.05,"回購較每年 "&amp;TEXT(bb_target,"0.0")&amp;" 的目標少 "&amp;TEXT(COUNT(Sens!F3823:J3823)*bb_target-SUM(Sens!F3823:J3823),"0.0")&amp;" 十億美元（"&amp;TEXT(COUNTIF(Sens!F3823:J3823,"&lt;"&amp;(bb_target-0.05)),"0")&amp;" 年減少）","回購不減")</f>
        <v>需要舉債 62.8 十億美元；回購較每年 22.3 的目標少 57.1 十億美元（3 年減少）</v>
      </c>
    </row>
    <row r="3834" customFormat="false" ht="17.15" hidden="false" customHeight="false" outlineLevel="0" collapsed="false">
      <c r="A3834" s="3" t="s">
        <v>1333</v>
      </c>
    </row>
    <row r="3835" customFormat="false" ht="15" hidden="false" customHeight="false" outlineLevel="0" collapsed="false">
      <c r="A3835" s="4" t="s">
        <v>43</v>
      </c>
      <c r="B3835" s="4" t="s">
        <v>65</v>
      </c>
      <c r="C3835" s="20" t="s">
        <v>788</v>
      </c>
      <c r="D3835" s="20" t="s">
        <v>789</v>
      </c>
      <c r="E3835" s="20" t="s">
        <v>790</v>
      </c>
      <c r="F3835" s="20" t="s">
        <v>791</v>
      </c>
      <c r="G3835" s="20" t="s">
        <v>792</v>
      </c>
      <c r="H3835" s="20" t="s">
        <v>793</v>
      </c>
      <c r="I3835" s="20" t="s">
        <v>794</v>
      </c>
      <c r="J3835" s="20" t="s">
        <v>795</v>
      </c>
      <c r="K3835" s="20" t="s">
        <v>796</v>
      </c>
      <c r="L3835" s="4" t="s">
        <v>47</v>
      </c>
    </row>
    <row r="3836" customFormat="false" ht="15" hidden="false" customHeight="false" outlineLevel="0" collapsed="false">
      <c r="A3836" s="1" t="s">
        <v>1042</v>
      </c>
      <c r="B3836" s="1" t="s">
        <v>235</v>
      </c>
      <c r="F3836" s="36" t="n">
        <f aca="false">Sens!F3692-base_fy-mid_yr</f>
        <v>0.5</v>
      </c>
      <c r="G3836" s="36" t="n">
        <f aca="false">Sens!G3692-base_fy-mid_yr</f>
        <v>1.5</v>
      </c>
      <c r="H3836" s="36" t="n">
        <f aca="false">Sens!H3692-base_fy-mid_yr</f>
        <v>2.5</v>
      </c>
      <c r="I3836" s="36" t="n">
        <f aca="false">Sens!I3692-base_fy-mid_yr</f>
        <v>3.5</v>
      </c>
      <c r="J3836" s="36" t="n">
        <f aca="false">Sens!J3692-base_fy-mid_yr</f>
        <v>4.5</v>
      </c>
      <c r="K3836" s="36" t="n">
        <f aca="false">Sens!K3692-base_fy-mid_yr</f>
        <v>5.5</v>
      </c>
    </row>
    <row r="3837" customFormat="false" ht="15" hidden="false" customHeight="false" outlineLevel="0" collapsed="false">
      <c r="A3837" s="1" t="s">
        <v>1043</v>
      </c>
      <c r="B3837" s="0" t="s">
        <v>185</v>
      </c>
      <c r="F3837" s="14" t="n">
        <f aca="false">1/(1+wacc)^Sens!F3836</f>
        <v>0.952193373608246</v>
      </c>
      <c r="G3837" s="14" t="n">
        <f aca="false">1/(1+wacc)^Sens!G3836</f>
        <v>0.863327280626589</v>
      </c>
      <c r="H3837" s="14" t="n">
        <f aca="false">1/(1+wacc)^Sens!H3836</f>
        <v>0.782754862754115</v>
      </c>
      <c r="I3837" s="14" t="n">
        <f aca="false">1/(1+wacc)^Sens!I3836</f>
        <v>0.709702089711011</v>
      </c>
      <c r="J3837" s="14" t="n">
        <f aca="false">1/(1+wacc)^Sens!J3836</f>
        <v>0.643467169744551</v>
      </c>
      <c r="K3837" s="14" t="n">
        <f aca="false">1/(1+wacc)^Sens!K3836</f>
        <v>0.583413807767797</v>
      </c>
    </row>
    <row r="3838" customFormat="false" ht="17.15" hidden="false" customHeight="false" outlineLevel="0" collapsed="false">
      <c r="A3838" s="1" t="s">
        <v>1044</v>
      </c>
      <c r="B3838" s="0" t="s">
        <v>98</v>
      </c>
      <c r="F3838" s="6" t="n">
        <f aca="false">Sens!F3812-Sens!F3810-Sens!F3815+Sens!F3796*(1-tax_f)</f>
        <v>-16.4492070326582</v>
      </c>
      <c r="G3838" s="6" t="n">
        <f aca="false">Sens!G3812-Sens!G3810-Sens!G3815+Sens!G3796*(1-tax_f)</f>
        <v>21.3898137364809</v>
      </c>
      <c r="H3838" s="6" t="n">
        <f aca="false">Sens!H3812-Sens!H3810-Sens!H3815+Sens!H3796*(1-tax_f)</f>
        <v>77.4284087930163</v>
      </c>
      <c r="I3838" s="6" t="n">
        <f aca="false">Sens!I3812-Sens!I3810-Sens!I3815+Sens!I3796*(1-tax_f)</f>
        <v>169.253619931161</v>
      </c>
      <c r="J3838" s="6" t="n">
        <f aca="false">Sens!J3812-Sens!J3810-Sens!J3815+Sens!J3796*(1-tax_f)</f>
        <v>262.487014780484</v>
      </c>
      <c r="K3838" s="6" t="n">
        <f aca="false">Sens!K3812-Sens!K3810-Sens!K3815+Sens!K3796*(1-tax_f)</f>
        <v>313.50486473792</v>
      </c>
      <c r="L3838" s="1" t="s">
        <v>1045</v>
      </c>
    </row>
    <row r="3839" customFormat="false" ht="15" hidden="false" customHeight="false" outlineLevel="0" collapsed="false">
      <c r="A3839" s="1" t="s">
        <v>1046</v>
      </c>
      <c r="B3839" s="0" t="s">
        <v>98</v>
      </c>
      <c r="F3839" s="6" t="n">
        <f aca="false">Sens!F3838*Sens!F3837</f>
        <v>-15.6628259376073</v>
      </c>
      <c r="G3839" s="6" t="n">
        <f aca="false">Sens!G3838*Sens!G3837</f>
        <v>18.4664097262253</v>
      </c>
      <c r="H3839" s="6" t="n">
        <f aca="false">Sens!H3838*Sens!H3837</f>
        <v>60.607463498047</v>
      </c>
      <c r="I3839" s="6" t="n">
        <f aca="false">Sens!I3838*Sens!I3837</f>
        <v>120.119647756298</v>
      </c>
      <c r="J3839" s="6" t="n">
        <f aca="false">Sens!J3838*Sens!J3837</f>
        <v>168.901776495494</v>
      </c>
      <c r="K3839" s="6" t="n">
        <f aca="false">Sens!K3838*Sens!K3837</f>
        <v>182.903066890478</v>
      </c>
    </row>
    <row r="3840" customFormat="false" ht="17.15" hidden="false" customHeight="false" outlineLevel="0" collapsed="false">
      <c r="A3840" s="1" t="s">
        <v>1047</v>
      </c>
      <c r="B3840" s="0" t="s">
        <v>98</v>
      </c>
      <c r="C3840" s="6" t="n">
        <f aca="false">SUM(Sens!F3839:K3839)</f>
        <v>535.335538428935</v>
      </c>
    </row>
    <row r="3841" customFormat="false" ht="17.15" hidden="false" customHeight="false" outlineLevel="0" collapsed="false">
      <c r="A3841" s="1" t="s">
        <v>1048</v>
      </c>
      <c r="B3841" s="0" t="s">
        <v>98</v>
      </c>
      <c r="C3841" s="6" t="n">
        <f aca="false">Sens!K3782*(1+g_tv)*(1-tax_f)</f>
        <v>306.434892419071</v>
      </c>
    </row>
    <row r="3842" customFormat="false" ht="17.15" hidden="false" customHeight="false" outlineLevel="0" collapsed="false">
      <c r="A3842" s="1" t="s">
        <v>1049</v>
      </c>
      <c r="B3842" s="0" t="s">
        <v>98</v>
      </c>
      <c r="C3842" s="6" t="n">
        <f aca="false">Sens!$C$3841*(1-g_tv/(wacc+ronic_prem))</f>
        <v>217.125147784794</v>
      </c>
    </row>
    <row r="3843" customFormat="false" ht="17.15" hidden="false" customHeight="false" outlineLevel="0" collapsed="false">
      <c r="A3843" s="1" t="s">
        <v>1050</v>
      </c>
      <c r="B3843" s="0" t="s">
        <v>98</v>
      </c>
      <c r="C3843" s="6" t="n">
        <f aca="false">Sens!$C$3842/(wacc-g_tv)</f>
        <v>2976.99148780924</v>
      </c>
    </row>
    <row r="3844" customFormat="false" ht="15" hidden="false" customHeight="false" outlineLevel="0" collapsed="false">
      <c r="A3844" s="1" t="s">
        <v>1051</v>
      </c>
      <c r="B3844" s="0" t="s">
        <v>98</v>
      </c>
      <c r="C3844" s="6" t="n">
        <f aca="false">Sens!$C$3843/(1+wacc)^(Sens!K3836+mid_yr)</f>
        <v>1653.78653324639</v>
      </c>
    </row>
    <row r="3845" customFormat="false" ht="17.15" hidden="false" customHeight="false" outlineLevel="0" collapsed="false">
      <c r="A3845" s="0" t="s">
        <v>972</v>
      </c>
      <c r="B3845" s="0" t="s">
        <v>98</v>
      </c>
      <c r="C3845" s="6" t="n">
        <f aca="false">Sens!$C$3840+Sens!$C$3844</f>
        <v>2189.12207167532</v>
      </c>
    </row>
    <row r="3846" customFormat="false" ht="15" hidden="false" customHeight="false" outlineLevel="0" collapsed="false">
      <c r="A3846" s="1" t="s">
        <v>973</v>
      </c>
      <c r="B3846" s="0" t="s">
        <v>129</v>
      </c>
      <c r="C3846" s="7" t="n">
        <f aca="false">Sens!$C$3844/Sens!$C$3845</f>
        <v>0.755456515945113</v>
      </c>
    </row>
    <row r="3847" customFormat="false" ht="17.15" hidden="false" customHeight="false" outlineLevel="0" collapsed="false">
      <c r="A3847" s="1" t="s">
        <v>1052</v>
      </c>
      <c r="B3847" s="0" t="s">
        <v>98</v>
      </c>
      <c r="C3847" s="6" t="n">
        <f aca="false">Sens!$C$3845+Sens!E3827-Sens!E3816+oai_v</f>
        <v>2323.63507167532</v>
      </c>
    </row>
    <row r="3848" customFormat="false" ht="17.15" hidden="false" customHeight="false" outlineLevel="0" collapsed="false">
      <c r="A3848" s="0" t="s">
        <v>980</v>
      </c>
      <c r="B3848" s="0" t="s">
        <v>75</v>
      </c>
      <c r="C3848" s="5" t="n">
        <f aca="false">Sens!$C$3847/sh_dil26</f>
        <v>311.771779374121</v>
      </c>
    </row>
    <row r="3849" customFormat="false" ht="15" hidden="false" customHeight="false" outlineLevel="0" collapsed="false">
      <c r="A3849" s="1" t="s">
        <v>1053</v>
      </c>
      <c r="B3849" s="0" t="s">
        <v>75</v>
      </c>
      <c r="C3849" s="8" t="n">
        <f aca="false">dps_27+Sens!G3819*roll_div_q/q_per_yr</f>
        <v>4.8895</v>
      </c>
    </row>
    <row r="3850" customFormat="false" ht="17.15" hidden="false" customHeight="false" outlineLevel="0" collapsed="false">
      <c r="A3850" s="0" t="s">
        <v>1054</v>
      </c>
      <c r="B3850" s="0" t="s">
        <v>75</v>
      </c>
      <c r="C3850" s="5" t="n">
        <f aca="false">Sens!$C$3848*(1+wacc)^t_roll-Sens!$C$3849</f>
        <v>350.135435085165</v>
      </c>
    </row>
    <row r="3851" customFormat="false" ht="17.15" hidden="false" customHeight="false" outlineLevel="0" collapsed="false">
      <c r="A3851" s="1" t="s">
        <v>1055</v>
      </c>
      <c r="B3851" s="0" t="s">
        <v>129</v>
      </c>
      <c r="F3851" s="7" t="n">
        <f aca="false">Sens!F3808/(Sens!F3753-Sens!F3709)</f>
        <v>0.0684307874075333</v>
      </c>
      <c r="G3851" s="7" t="n">
        <f aca="false">Sens!G3808/(Sens!G3753-Sens!G3709)</f>
        <v>0.0656456058503526</v>
      </c>
      <c r="H3851" s="7" t="n">
        <f aca="false">Sens!H3808/(Sens!H3753-Sens!H3709)</f>
        <v>0.0641950889132003</v>
      </c>
      <c r="I3851" s="7" t="n">
        <f aca="false">Sens!I3808/(Sens!I3753-Sens!I3709)</f>
        <v>0.063960269667854</v>
      </c>
      <c r="J3851" s="7" t="n">
        <f aca="false">Sens!J3808/(Sens!J3753-Sens!J3709)</f>
        <v>0.0646607917002597</v>
      </c>
      <c r="K3851" s="7" t="n">
        <f aca="false">Sens!K3808/(Sens!K3753-Sens!K3709)</f>
        <v>0.0659511546529383</v>
      </c>
    </row>
    <row r="3852" customFormat="false" ht="17.15" hidden="false" customHeight="false" outlineLevel="0" collapsed="false">
      <c r="A3852" s="0" t="s">
        <v>1056</v>
      </c>
      <c r="B3852" s="0" t="s">
        <v>98</v>
      </c>
      <c r="F3852" s="6" t="n">
        <f aca="false">Sens!F3738*(al_m365+Sens!F3851+sbc_r)</f>
        <v>83.9158372980923</v>
      </c>
      <c r="G3852" s="6" t="n">
        <f aca="false">Sens!G3738*(al_m365+Sens!G3851+sbc_r)</f>
        <v>96.3459139664276</v>
      </c>
      <c r="H3852" s="6" t="n">
        <f aca="false">Sens!H3738*(al_m365+Sens!H3851+sbc_r)</f>
        <v>108.939128787393</v>
      </c>
      <c r="I3852" s="6" t="n">
        <f aca="false">Sens!I3738*(al_m365+Sens!I3851+sbc_r)</f>
        <v>120.51456797186</v>
      </c>
      <c r="J3852" s="6" t="n">
        <f aca="false">Sens!J3738*(al_m365+Sens!J3851+sbc_r)</f>
        <v>130.883844402211</v>
      </c>
      <c r="K3852" s="6" t="n">
        <f aca="false">Sens!K3738*(al_m365+Sens!K3851+sbc_r)</f>
        <v>140.862269296832</v>
      </c>
      <c r="L3852" s="11" t="s">
        <v>1057</v>
      </c>
    </row>
    <row r="3853" customFormat="false" ht="17.15" hidden="false" customHeight="false" outlineLevel="0" collapsed="false">
      <c r="A3853" s="0" t="s">
        <v>1058</v>
      </c>
      <c r="B3853" s="0" t="s">
        <v>98</v>
      </c>
      <c r="F3853" s="6" t="n">
        <f aca="false">Sens!F3739*(al_lic+Sens!F3851+sbc_r)</f>
        <v>33.4384115342236</v>
      </c>
      <c r="G3853" s="6" t="n">
        <f aca="false">Sens!G3739*(al_lic+Sens!G3851+sbc_r)</f>
        <v>34.7409063621757</v>
      </c>
      <c r="H3853" s="6" t="n">
        <f aca="false">Sens!H3739*(al_lic+Sens!H3851+sbc_r)</f>
        <v>35.9566740351293</v>
      </c>
      <c r="I3853" s="6" t="n">
        <f aca="false">Sens!I3739*(al_lic+Sens!I3851+sbc_r)</f>
        <v>37.0672966580049</v>
      </c>
      <c r="J3853" s="6" t="n">
        <f aca="false">Sens!J3739*(al_lic+Sens!J3851+sbc_r)</f>
        <v>38.0469841498966</v>
      </c>
      <c r="K3853" s="6" t="n">
        <f aca="false">Sens!K3739*(al_lic+Sens!K3851+sbc_r)</f>
        <v>38.8666958490701</v>
      </c>
    </row>
    <row r="3854" customFormat="false" ht="17.15" hidden="false" customHeight="false" outlineLevel="0" collapsed="false">
      <c r="A3854" s="0" t="s">
        <v>1059</v>
      </c>
      <c r="B3854" s="0" t="s">
        <v>98</v>
      </c>
      <c r="F3854" s="6" t="n">
        <f aca="false">Sens!F3741*(al_ind+Sens!F3851+sbc_r)</f>
        <v>9.07285900381439</v>
      </c>
      <c r="G3854" s="6" t="n">
        <f aca="false">Sens!G3741*(al_ind+Sens!G3851+sbc_r)</f>
        <v>9.84969160470639</v>
      </c>
      <c r="H3854" s="6" t="n">
        <f aca="false">Sens!H3741*(al_ind+Sens!H3851+sbc_r)</f>
        <v>10.6714469126029</v>
      </c>
      <c r="I3854" s="6" t="n">
        <f aca="false">Sens!I3741*(al_ind+Sens!I3851+sbc_r)</f>
        <v>11.5350820765572</v>
      </c>
      <c r="J3854" s="6" t="n">
        <f aca="false">Sens!J3741*(al_ind+Sens!J3851+sbc_r)</f>
        <v>12.4308815351832</v>
      </c>
      <c r="K3854" s="6" t="n">
        <f aca="false">Sens!K3741*(al_ind+Sens!K3851+sbc_r)</f>
        <v>13.3437330974691</v>
      </c>
    </row>
    <row r="3855" customFormat="false" ht="17.15" hidden="false" customHeight="false" outlineLevel="0" collapsed="false">
      <c r="A3855" s="0" t="s">
        <v>1060</v>
      </c>
      <c r="B3855" s="0" t="s">
        <v>98</v>
      </c>
      <c r="F3855" s="6" t="n">
        <f aca="false">Sens!F3743*(al_fro+Sens!F3851+sbc_r)</f>
        <v>3.5711091569032</v>
      </c>
      <c r="G3855" s="6" t="n">
        <f aca="false">Sens!G3743*(al_fro+Sens!G3851+sbc_r)</f>
        <v>3.78169924595694</v>
      </c>
      <c r="H3855" s="6" t="n">
        <f aca="false">Sens!H3743*(al_fro+Sens!H3851+sbc_r)</f>
        <v>4.02136645419237</v>
      </c>
      <c r="I3855" s="6" t="n">
        <f aca="false">Sens!I3743*(al_fro+Sens!I3851+sbc_r)</f>
        <v>4.29288807676321</v>
      </c>
      <c r="J3855" s="6" t="n">
        <f aca="false">Sens!J3743*(al_fro+Sens!J3851+sbc_r)</f>
        <v>4.59741770960175</v>
      </c>
      <c r="K3855" s="6" t="n">
        <f aca="false">Sens!K3743*(al_fro+Sens!K3851+sbc_r)</f>
        <v>4.9350252981555</v>
      </c>
    </row>
    <row r="3856" customFormat="false" ht="17.15" hidden="false" customHeight="false" outlineLevel="0" collapsed="false">
      <c r="A3856" s="0" t="s">
        <v>1061</v>
      </c>
      <c r="B3856" s="0" t="s">
        <v>98</v>
      </c>
      <c r="F3856" s="6" t="n">
        <f aca="false">Sens!F3746*(al_srch+Sens!F3851+sbc_r)</f>
        <v>11.205111954849</v>
      </c>
      <c r="G3856" s="6" t="n">
        <f aca="false">Sens!G3746*(al_srch+Sens!G3851+sbc_r)</f>
        <v>12.2792883348957</v>
      </c>
      <c r="H3856" s="6" t="n">
        <f aca="false">Sens!H3746*(al_srch+Sens!H3851+sbc_r)</f>
        <v>13.3983888227975</v>
      </c>
      <c r="I3856" s="6" t="n">
        <f aca="false">Sens!I3746*(al_srch+Sens!I3851+sbc_r)</f>
        <v>14.5517695263616</v>
      </c>
      <c r="J3856" s="6" t="n">
        <f aca="false">Sens!J3746*(al_srch+Sens!J3851+sbc_r)</f>
        <v>15.7194284145253</v>
      </c>
      <c r="K3856" s="6" t="n">
        <f aca="false">Sens!K3746*(al_srch+Sens!K3851+sbc_r)</f>
        <v>16.87377171237</v>
      </c>
    </row>
    <row r="3857" customFormat="false" ht="17.15" hidden="false" customHeight="false" outlineLevel="0" collapsed="false">
      <c r="A3857" s="0" t="s">
        <v>1062</v>
      </c>
      <c r="B3857" s="0" t="s">
        <v>98</v>
      </c>
      <c r="F3857" s="6" t="n">
        <f aca="false">Sens!F3715-Sens!F3716+Sens!F3796</f>
        <v>57.1793899291316</v>
      </c>
      <c r="G3857" s="6" t="n">
        <f aca="false">Sens!G3715-Sens!G3716+Sens!G3796</f>
        <v>103.763253201897</v>
      </c>
      <c r="H3857" s="6" t="n">
        <f aca="false">Sens!H3715-Sens!H3716+Sens!H3796</f>
        <v>153.37168119632</v>
      </c>
      <c r="I3857" s="6" t="n">
        <f aca="false">Sens!I3715-Sens!I3716+Sens!I3796</f>
        <v>197.645758036999</v>
      </c>
      <c r="J3857" s="6" t="n">
        <f aca="false">Sens!J3715-Sens!J3716+Sens!J3796</f>
        <v>228.399560841783</v>
      </c>
      <c r="K3857" s="6" t="n">
        <f aca="false">Sens!K3715-Sens!K3716+Sens!K3796</f>
        <v>246.527951462131</v>
      </c>
    </row>
    <row r="3858" customFormat="false" ht="17.15" hidden="false" customHeight="false" outlineLevel="0" collapsed="false">
      <c r="A3858" s="0" t="s">
        <v>1063</v>
      </c>
      <c r="B3858" s="0" t="s">
        <v>98</v>
      </c>
      <c r="F3858" s="6" t="n">
        <f aca="false">Sens!F3775+Sens!F3796+Sens!F3726+Sens!F3851*(Sens!F3745-Sens!F3709)+sbc_r*Sens!F3745</f>
        <v>248.323282952721</v>
      </c>
      <c r="G3858" s="6" t="n">
        <f aca="false">Sens!G3775+Sens!G3796+Sens!G3726+Sens!G3851*(Sens!G3745-Sens!G3709)+sbc_r*Sens!G3745</f>
        <v>322.240153134401</v>
      </c>
      <c r="H3858" s="6" t="n">
        <f aca="false">Sens!H3775+Sens!H3796+Sens!H3726+Sens!H3851*(Sens!H3745-Sens!H3709)+sbc_r*Sens!H3745</f>
        <v>399.699931690476</v>
      </c>
      <c r="I3858" s="6" t="n">
        <f aca="false">Sens!I3775+Sens!I3796+Sens!I3726+Sens!I3851*(Sens!I3745-Sens!I3709)+sbc_r*Sens!I3745</f>
        <v>470.418755048817</v>
      </c>
      <c r="J3858" s="6" t="n">
        <f aca="false">Sens!J3775+Sens!J3796+Sens!J3726+Sens!J3851*(Sens!J3745-Sens!J3709)+sbc_r*Sens!J3745</f>
        <v>525.100429806232</v>
      </c>
      <c r="K3858" s="6" t="n">
        <f aca="false">Sens!K3775+Sens!K3796+Sens!K3726+Sens!K3851*(Sens!K3745-Sens!K3709)+sbc_r*Sens!K3745</f>
        <v>564.708358054873</v>
      </c>
    </row>
    <row r="3859" customFormat="false" ht="17.15" hidden="false" customHeight="false" outlineLevel="0" collapsed="false">
      <c r="A3859" s="0" t="s">
        <v>1064</v>
      </c>
      <c r="B3859" s="0" t="s">
        <v>98</v>
      </c>
      <c r="F3859" s="6" t="n">
        <f aca="false">Sens!F3858-Sens!F3852-Sens!F3853-Sens!F3854-Sens!F3855-Sens!F3857</f>
        <v>61.1456760305559</v>
      </c>
      <c r="G3859" s="6" t="n">
        <f aca="false">Sens!G3858-Sens!G3852-Sens!G3853-Sens!G3854-Sens!G3855-Sens!G3857</f>
        <v>73.7586887532373</v>
      </c>
      <c r="H3859" s="6" t="n">
        <f aca="false">Sens!H3858-Sens!H3852-Sens!H3853-Sens!H3854-Sens!H3855-Sens!H3857</f>
        <v>86.7396343048388</v>
      </c>
      <c r="I3859" s="6" t="n">
        <f aca="false">Sens!I3858-Sens!I3852-Sens!I3853-Sens!I3854-Sens!I3855-Sens!I3857</f>
        <v>99.3631622286328</v>
      </c>
      <c r="J3859" s="6" t="n">
        <f aca="false">Sens!J3858-Sens!J3852-Sens!J3853-Sens!J3854-Sens!J3855-Sens!J3857</f>
        <v>110.741741167556</v>
      </c>
      <c r="K3859" s="6" t="n">
        <f aca="false">Sens!K3858-Sens!K3852-Sens!K3853-Sens!K3854-Sens!K3855-Sens!K3857</f>
        <v>120.172683051215</v>
      </c>
    </row>
    <row r="3860" customFormat="false" ht="17.15" hidden="false" customHeight="false" outlineLevel="0" collapsed="false">
      <c r="A3860" s="0" t="s">
        <v>1065</v>
      </c>
      <c r="B3860" s="0" t="s">
        <v>98</v>
      </c>
      <c r="F3860" s="6" t="n">
        <f aca="false">Sens!F3777+Sens!F3851*Sens!F3752+sbc_r*Sens!F3752</f>
        <v>26.1883018536976</v>
      </c>
      <c r="G3860" s="6" t="n">
        <f aca="false">Sens!G3777+Sens!G3851*Sens!G3752+sbc_r*Sens!G3752</f>
        <v>26.7988692269165</v>
      </c>
      <c r="H3860" s="6" t="n">
        <f aca="false">Sens!H3777+Sens!H3851*Sens!H3752+sbc_r*Sens!H3752</f>
        <v>27.676651877401</v>
      </c>
      <c r="I3860" s="6" t="n">
        <f aca="false">Sens!I3777+Sens!I3851*Sens!I3752+sbc_r*Sens!I3752</f>
        <v>28.7919477163856</v>
      </c>
      <c r="J3860" s="6" t="n">
        <f aca="false">Sens!J3777+Sens!J3851*Sens!J3752+sbc_r*Sens!J3752</f>
        <v>30.1095554599876</v>
      </c>
      <c r="K3860" s="6" t="n">
        <f aca="false">Sens!K3777+Sens!K3851*Sens!K3752+sbc_r*Sens!K3752</f>
        <v>31.5923355811805</v>
      </c>
    </row>
    <row r="3861" customFormat="false" ht="17.15" hidden="false" customHeight="false" outlineLevel="0" collapsed="false">
      <c r="A3861" s="0" t="s">
        <v>1066</v>
      </c>
      <c r="B3861" s="0" t="s">
        <v>98</v>
      </c>
      <c r="F3861" s="6" t="n">
        <f aca="false">(Sens!F3860-Sens!F3856)*Sens!F3748/(Sens!F3748+Sens!F3750)</f>
        <v>8.21363876839376</v>
      </c>
      <c r="G3861" s="6" t="n">
        <f aca="false">(Sens!G3860-Sens!G3856)*Sens!G3748/(Sens!G3748+Sens!G3750)</f>
        <v>7.81757556948427</v>
      </c>
      <c r="H3861" s="6" t="n">
        <f aca="false">(Sens!H3860-Sens!H3856)*Sens!H3748/(Sens!H3748+Sens!H3750)</f>
        <v>7.58379891746928</v>
      </c>
      <c r="I3861" s="6" t="n">
        <f aca="false">(Sens!I3860-Sens!I3856)*Sens!I3748/(Sens!I3748+Sens!I3750)</f>
        <v>7.49513512835163</v>
      </c>
      <c r="J3861" s="6" t="n">
        <f aca="false">(Sens!J3860-Sens!J3856)*Sens!J3748/(Sens!J3748+Sens!J3750)</f>
        <v>7.53980917061682</v>
      </c>
      <c r="K3861" s="6" t="n">
        <f aca="false">(Sens!K3860-Sens!K3856)*Sens!K3748/(Sens!K3748+Sens!K3750)</f>
        <v>7.71189597463361</v>
      </c>
    </row>
    <row r="3862" customFormat="false" ht="17.15" hidden="false" customHeight="false" outlineLevel="0" collapsed="false">
      <c r="A3862" s="0" t="s">
        <v>1067</v>
      </c>
      <c r="B3862" s="0" t="s">
        <v>98</v>
      </c>
      <c r="F3862" s="6" t="n">
        <f aca="false">Sens!F3860-Sens!F3856-Sens!F3861</f>
        <v>6.76955113045481</v>
      </c>
      <c r="G3862" s="6" t="n">
        <f aca="false">Sens!G3860-Sens!G3856-Sens!G3861</f>
        <v>6.70200532253647</v>
      </c>
      <c r="H3862" s="6" t="n">
        <f aca="false">Sens!H3860-Sens!H3856-Sens!H3861</f>
        <v>6.69446413713431</v>
      </c>
      <c r="I3862" s="6" t="n">
        <f aca="false">Sens!I3860-Sens!I3856-Sens!I3861</f>
        <v>6.74504306167234</v>
      </c>
      <c r="J3862" s="6" t="n">
        <f aca="false">Sens!J3860-Sens!J3856-Sens!J3861</f>
        <v>6.85031787484545</v>
      </c>
      <c r="K3862" s="6" t="n">
        <f aca="false">Sens!K3860-Sens!K3856-Sens!K3861</f>
        <v>7.00666789417688</v>
      </c>
    </row>
    <row r="3863" customFormat="false" ht="17.15" hidden="false" customHeight="false" outlineLevel="0" collapsed="false">
      <c r="A3863" s="0" t="s">
        <v>1068</v>
      </c>
      <c r="B3863" s="0" t="s">
        <v>98</v>
      </c>
      <c r="F3863" s="6" t="n">
        <f aca="false">Sens!F3857-tax_f*(Sens!F3857-Sens!F3726)-Sens!F3723</f>
        <v>-142.184619601634</v>
      </c>
      <c r="G3863" s="6" t="n">
        <f aca="false">Sens!G3857-tax_f*(Sens!G3857-Sens!G3726)-Sens!G3723</f>
        <v>-123.901803565084</v>
      </c>
      <c r="H3863" s="6" t="n">
        <f aca="false">Sens!H3857-tax_f*(Sens!H3857-Sens!H3726)-Sens!H3723</f>
        <v>-83.085847826314</v>
      </c>
      <c r="I3863" s="6" t="n">
        <f aca="false">Sens!I3857-tax_f*(Sens!I3857-Sens!I3726)-Sens!I3723</f>
        <v>-6.09688441571097</v>
      </c>
      <c r="J3863" s="6" t="n">
        <f aca="false">Sens!J3857-tax_f*(Sens!J3857-Sens!J3726)-Sens!J3723</f>
        <v>73.1518102593589</v>
      </c>
      <c r="K3863" s="6" t="n">
        <f aca="false">Sens!K3857-tax_f*(Sens!K3857-Sens!K3726)-Sens!K3723</f>
        <v>110.977462238062</v>
      </c>
    </row>
    <row r="3864" customFormat="false" ht="17.15" hidden="false" customHeight="false" outlineLevel="0" collapsed="false">
      <c r="A3864" s="0" t="s">
        <v>1069</v>
      </c>
      <c r="B3864" s="0" t="s">
        <v>98</v>
      </c>
      <c r="F3864" s="6" t="n">
        <f aca="false">Sens!F3863*Sens!F3837</f>
        <v>-135.387252613685</v>
      </c>
      <c r="G3864" s="6" t="n">
        <f aca="false">Sens!G3863*Sens!G3837</f>
        <v>-106.967807136574</v>
      </c>
      <c r="H3864" s="6" t="n">
        <f aca="false">Sens!H3863*Sens!H3837</f>
        <v>-65.0358514120958</v>
      </c>
      <c r="I3864" s="6" t="n">
        <f aca="false">Sens!I3863*Sens!I3837</f>
        <v>-4.32697161055657</v>
      </c>
      <c r="J3864" s="6" t="n">
        <f aca="false">Sens!J3863*Sens!J3837</f>
        <v>47.0707883092801</v>
      </c>
      <c r="K3864" s="6" t="n">
        <f aca="false">Sens!K3863*Sens!K3837</f>
        <v>64.7457838207146</v>
      </c>
    </row>
    <row r="3865" customFormat="false" ht="17.15" hidden="false" customHeight="false" outlineLevel="0" collapsed="false">
      <c r="A3865" s="0" t="s">
        <v>1070</v>
      </c>
      <c r="B3865" s="0" t="s">
        <v>98</v>
      </c>
      <c r="C3865" s="6" t="n">
        <f aca="false">(Sens!K3857-Sens!K3726)*(1-tax_f)*(1+g_tv)*(1-g_tv/(wacc+ronic_prem))/(wacc-g_tv)/(1+wacc)^(Sens!K3836+mid_yr)</f>
        <v>382.567864929513</v>
      </c>
    </row>
    <row r="3866" customFormat="false" ht="17.15" hidden="false" customHeight="false" outlineLevel="0" collapsed="false">
      <c r="A3866" s="1" t="s">
        <v>1071</v>
      </c>
      <c r="B3866" s="0" t="s">
        <v>98</v>
      </c>
      <c r="C3866" s="6" t="n">
        <f aca="false">(SUM(Sens!F3864:K3864)+Sens!$C$3865)*(1+wacc)^t_roll</f>
        <v>208.008504515763</v>
      </c>
      <c r="L3866" s="11" t="s">
        <v>1072</v>
      </c>
    </row>
    <row r="3867" customFormat="false" ht="17.15" hidden="false" customHeight="false" outlineLevel="0" collapsed="false">
      <c r="A3867" s="1" t="s">
        <v>1073</v>
      </c>
      <c r="B3867" s="0" t="s">
        <v>98</v>
      </c>
      <c r="C3867" s="6" t="n">
        <f aca="false">(w_ntm28*Sens!G3715+(1-w_ntm28)*Sens!H3715)*m_ai</f>
        <v>516.127960512341</v>
      </c>
    </row>
    <row r="3868" customFormat="false" ht="17.15" hidden="false" customHeight="false" outlineLevel="0" collapsed="false">
      <c r="A3868" s="1" t="s">
        <v>1074</v>
      </c>
      <c r="B3868" s="0" t="s">
        <v>98</v>
      </c>
      <c r="C3868" s="6" t="n">
        <f aca="false">(w_ntm28*Sens!G3859+(1-w_ntm28)*Sens!H3859)*m_cloud</f>
        <v>1077.34180944023</v>
      </c>
    </row>
    <row r="3869" customFormat="false" ht="17.15" hidden="false" customHeight="false" outlineLevel="0" collapsed="false">
      <c r="A3869" s="1" t="s">
        <v>1075</v>
      </c>
      <c r="B3869" s="0" t="s">
        <v>98</v>
      </c>
      <c r="C3869" s="6" t="n">
        <f aca="false">(w_ntm28*Sens!G3852+(1-w_ntm28)*Sens!H3852)*m_sw</f>
        <v>1084.50516663972</v>
      </c>
    </row>
    <row r="3870" customFormat="false" ht="17.15" hidden="false" customHeight="false" outlineLevel="0" collapsed="false">
      <c r="A3870" s="1" t="s">
        <v>1076</v>
      </c>
      <c r="B3870" s="0" t="s">
        <v>98</v>
      </c>
      <c r="C3870" s="6" t="n">
        <f aca="false">(w_ntm28*Sens!G3853+(1-w_ntm28)*Sens!H3853)*m_sw</f>
        <v>379.446649868791</v>
      </c>
    </row>
    <row r="3871" customFormat="false" ht="17.15" hidden="false" customHeight="false" outlineLevel="0" collapsed="false">
      <c r="A3871" s="1" t="s">
        <v>1077</v>
      </c>
      <c r="B3871" s="0" t="s">
        <v>98</v>
      </c>
      <c r="C3871" s="6" t="n">
        <f aca="false">(w_ntm28*Sens!G3854+(1-w_ntm28)*Sens!H3854)*m_sw</f>
        <v>109.245833616811</v>
      </c>
    </row>
    <row r="3872" customFormat="false" ht="17.15" hidden="false" customHeight="false" outlineLevel="0" collapsed="false">
      <c r="A3872" s="1" t="s">
        <v>1078</v>
      </c>
      <c r="B3872" s="0" t="s">
        <v>98</v>
      </c>
      <c r="C3872" s="6" t="n">
        <f aca="false">(w_ntm28*Sens!G3855+(1-w_ntm28)*Sens!H3855)*m_sw</f>
        <v>41.6791515554452</v>
      </c>
    </row>
    <row r="3873" customFormat="false" ht="17.15" hidden="false" customHeight="false" outlineLevel="0" collapsed="false">
      <c r="A3873" s="1" t="s">
        <v>1079</v>
      </c>
      <c r="B3873" s="0" t="s">
        <v>98</v>
      </c>
      <c r="C3873" s="6" t="n">
        <f aca="false">(w_ntm28*Sens!G3856+(1-w_ntm28)*Sens!H3856)*m_ads</f>
        <v>115.160236299351</v>
      </c>
    </row>
    <row r="3874" customFormat="false" ht="17.15" hidden="false" customHeight="false" outlineLevel="0" collapsed="false">
      <c r="A3874" s="1" t="s">
        <v>1080</v>
      </c>
      <c r="B3874" s="0" t="s">
        <v>98</v>
      </c>
      <c r="C3874" s="6" t="n">
        <f aca="false">(w_ntm28*Sens!G3861+(1-w_ntm28)*Sens!H3861)*m_game</f>
        <v>97.7814405506301</v>
      </c>
    </row>
    <row r="3875" customFormat="false" ht="17.15" hidden="false" customHeight="false" outlineLevel="0" collapsed="false">
      <c r="A3875" s="1" t="s">
        <v>1081</v>
      </c>
      <c r="B3875" s="0" t="s">
        <v>98</v>
      </c>
      <c r="C3875" s="6" t="n">
        <f aca="false">(w_ntm28*Sens!G3862+(1-w_ntm28)*Sens!H3862)*m_pc</f>
        <v>96.9427395583992</v>
      </c>
    </row>
    <row r="3876" customFormat="false" ht="17.15" hidden="false" customHeight="false" outlineLevel="0" collapsed="false">
      <c r="A3876" s="1" t="s">
        <v>1082</v>
      </c>
      <c r="B3876" s="0" t="s">
        <v>98</v>
      </c>
      <c r="C3876" s="6" t="n">
        <f aca="false">Sens!$C$3866+Sens!$C$3868+Sens!$C$3869+Sens!$C$3870+Sens!$C$3871+Sens!$C$3872+Sens!$C$3873+Sens!$C$3874+Sens!$C$3875</f>
        <v>3210.11153204514</v>
      </c>
    </row>
    <row r="3877" customFormat="false" ht="17.15" hidden="false" customHeight="false" outlineLevel="0" collapsed="false">
      <c r="A3877" s="1" t="s">
        <v>1000</v>
      </c>
      <c r="B3877" s="0" t="s">
        <v>98</v>
      </c>
      <c r="C3877" s="6" t="n">
        <f aca="false">Sens!F3827+oai_v-Sens!F3816</f>
        <v>87.0239335562719</v>
      </c>
      <c r="L3877" s="1" t="s">
        <v>1083</v>
      </c>
    </row>
    <row r="3878" customFormat="false" ht="15" hidden="false" customHeight="false" outlineLevel="0" collapsed="false">
      <c r="A3878" s="1" t="s">
        <v>1001</v>
      </c>
      <c r="B3878" s="0" t="s">
        <v>75</v>
      </c>
      <c r="C3878" s="5" t="n">
        <f aca="false">(Sens!$C$3876+Sens!$C$3877)/Sens!F3829</f>
        <v>441.265453105114</v>
      </c>
    </row>
    <row r="3879" customFormat="false" ht="17.15" hidden="false" customHeight="false" outlineLevel="0" collapsed="false">
      <c r="A3879" s="1" t="s">
        <v>1084</v>
      </c>
      <c r="B3879" s="0" t="s">
        <v>75</v>
      </c>
      <c r="C3879" s="5" t="n">
        <f aca="false">w_dcf*Sens!$C$3850+(1-w_dcf)*Sens!$C$3878</f>
        <v>395.700444095139</v>
      </c>
    </row>
    <row r="3880" customFormat="false" ht="17.15" hidden="false" customHeight="false" outlineLevel="0" collapsed="false">
      <c r="A3880" s="3" t="s">
        <v>1334</v>
      </c>
    </row>
    <row r="3881" customFormat="false" ht="15" hidden="false" customHeight="false" outlineLevel="0" collapsed="false">
      <c r="A3881" s="4" t="s">
        <v>43</v>
      </c>
      <c r="B3881" s="4" t="s">
        <v>65</v>
      </c>
      <c r="C3881" s="20" t="s">
        <v>788</v>
      </c>
      <c r="D3881" s="20" t="s">
        <v>789</v>
      </c>
      <c r="E3881" s="20" t="s">
        <v>790</v>
      </c>
      <c r="F3881" s="20" t="s">
        <v>791</v>
      </c>
      <c r="G3881" s="20" t="s">
        <v>792</v>
      </c>
      <c r="H3881" s="20" t="s">
        <v>793</v>
      </c>
      <c r="I3881" s="20" t="s">
        <v>794</v>
      </c>
      <c r="J3881" s="20" t="s">
        <v>795</v>
      </c>
      <c r="K3881" s="20" t="s">
        <v>796</v>
      </c>
      <c r="L3881" s="4" t="s">
        <v>47</v>
      </c>
    </row>
    <row r="3882" customFormat="false" ht="17.15" hidden="false" customHeight="false" outlineLevel="0" collapsed="false">
      <c r="A3882" s="1" t="s">
        <v>797</v>
      </c>
      <c r="B3882" s="1" t="s">
        <v>235</v>
      </c>
      <c r="C3882" s="28" t="n">
        <v>2024</v>
      </c>
      <c r="D3882" s="28" t="n">
        <v>2025</v>
      </c>
      <c r="E3882" s="28" t="n">
        <v>2026</v>
      </c>
      <c r="F3882" s="28" t="n">
        <v>2027</v>
      </c>
      <c r="G3882" s="28" t="n">
        <v>2028</v>
      </c>
      <c r="H3882" s="28" t="n">
        <v>2029</v>
      </c>
      <c r="I3882" s="28" t="n">
        <v>2030</v>
      </c>
      <c r="J3882" s="28" t="n">
        <v>2031</v>
      </c>
      <c r="K3882" s="28" t="n">
        <v>2032</v>
      </c>
    </row>
    <row r="3883" customFormat="false" ht="17.15" hidden="false" customHeight="false" outlineLevel="0" collapsed="false">
      <c r="A3883" s="1" t="s">
        <v>798</v>
      </c>
      <c r="B3883" s="0" t="s">
        <v>392</v>
      </c>
      <c r="F3883" s="29" t="n">
        <f aca="false">pace*1.2</f>
        <v>3032.64</v>
      </c>
      <c r="G3883" s="29" t="n">
        <f aca="false">pace*1.2</f>
        <v>3032.64</v>
      </c>
      <c r="H3883" s="29" t="n">
        <f aca="false">pace*1.2</f>
        <v>3032.64</v>
      </c>
      <c r="I3883" s="29" t="n">
        <f aca="false">pace*1.2+(g_tv*Sens!H3884-pace*1.2)*MIN(1,(Sens!I3882-pace_y0)/(pace_y1-pace_y0))</f>
        <v>2145.2392</v>
      </c>
      <c r="J3883" s="29" t="n">
        <f aca="false">pace*1.2+(g_tv*Sens!H3884-pace*1.2)*MIN(1,(Sens!J3882-pace_y0)/(pace_y1-pace_y0))</f>
        <v>1257.8384</v>
      </c>
      <c r="K3883" s="29" t="n">
        <f aca="false">pace*1.2+(g_tv*Sens!H3884-pace*1.2)*MIN(1,(Sens!K3882-pace_y0)/(pace_y1-pace_y0))</f>
        <v>370.4376</v>
      </c>
      <c r="L3883" s="11" t="s">
        <v>799</v>
      </c>
    </row>
    <row r="3884" customFormat="false" ht="17.15" hidden="false" customHeight="false" outlineLevel="0" collapsed="false">
      <c r="A3884" s="1" t="s">
        <v>800</v>
      </c>
      <c r="B3884" s="0" t="s">
        <v>392</v>
      </c>
      <c r="C3884" s="29" t="n">
        <f aca="false">mw_ext_24</f>
        <v>640</v>
      </c>
      <c r="D3884" s="29" t="n">
        <f aca="false">mw_ext_25</f>
        <v>1630</v>
      </c>
      <c r="E3884" s="29" t="n">
        <f aca="false">mw_ext_26</f>
        <v>3250</v>
      </c>
      <c r="F3884" s="29" t="n">
        <f aca="false">Sens!E3884+Sens!F3883</f>
        <v>6282.64</v>
      </c>
      <c r="G3884" s="29" t="n">
        <f aca="false">Sens!F3884+Sens!G3883</f>
        <v>9315.28</v>
      </c>
      <c r="H3884" s="29" t="n">
        <f aca="false">Sens!G3884+Sens!H3883</f>
        <v>12347.92</v>
      </c>
      <c r="I3884" s="29" t="n">
        <f aca="false">Sens!H3884+Sens!I3883</f>
        <v>14493.1592</v>
      </c>
      <c r="J3884" s="29" t="n">
        <f aca="false">Sens!I3884+Sens!J3883</f>
        <v>15750.9976</v>
      </c>
      <c r="K3884" s="29" t="n">
        <f aca="false">Sens!J3884+Sens!K3883</f>
        <v>16121.4352</v>
      </c>
      <c r="L3884" s="1" t="s">
        <v>801</v>
      </c>
    </row>
    <row r="3885" customFormat="false" ht="17.15" hidden="false" customHeight="false" outlineLevel="0" collapsed="false">
      <c r="A3885" s="1" t="s">
        <v>802</v>
      </c>
      <c r="B3885" s="0" t="s">
        <v>392</v>
      </c>
      <c r="C3885" s="29" t="n">
        <f aca="false">rent_ext_24</f>
        <v>150</v>
      </c>
      <c r="D3885" s="29" t="n">
        <f aca="false">rent_ext_25</f>
        <v>400</v>
      </c>
      <c r="E3885" s="29" t="n">
        <f aca="false">rent_ext_26</f>
        <v>550</v>
      </c>
      <c r="F3885" s="29" t="n">
        <f aca="false">rent_ext_f</f>
        <v>756</v>
      </c>
      <c r="G3885" s="29" t="n">
        <f aca="false">rent_ext_f</f>
        <v>756</v>
      </c>
      <c r="H3885" s="29" t="n">
        <f aca="false">rent_ext_f</f>
        <v>756</v>
      </c>
      <c r="I3885" s="29" t="n">
        <f aca="false">rent_ext_f</f>
        <v>756</v>
      </c>
      <c r="J3885" s="29" t="n">
        <f aca="false">rent_ext_f</f>
        <v>756</v>
      </c>
      <c r="K3885" s="29" t="n">
        <f aca="false">rent_ext_f</f>
        <v>756</v>
      </c>
      <c r="L3885" s="1" t="s">
        <v>803</v>
      </c>
    </row>
    <row r="3886" customFormat="false" ht="17.15" hidden="false" customHeight="false" outlineLevel="0" collapsed="false">
      <c r="A3886" s="1" t="s">
        <v>804</v>
      </c>
      <c r="B3886" s="0" t="s">
        <v>392</v>
      </c>
      <c r="C3886" s="29" t="n">
        <f aca="false">Sens!C3884-Sens!C3885</f>
        <v>490</v>
      </c>
      <c r="D3886" s="29" t="n">
        <f aca="false">Sens!D3884-Sens!D3885</f>
        <v>1230</v>
      </c>
      <c r="E3886" s="29" t="n">
        <f aca="false">Sens!E3884-Sens!E3885</f>
        <v>2700</v>
      </c>
      <c r="F3886" s="29" t="n">
        <f aca="false">Sens!F3884-Sens!F3885</f>
        <v>5526.64</v>
      </c>
      <c r="G3886" s="29" t="n">
        <f aca="false">Sens!G3884-Sens!G3885</f>
        <v>8559.28</v>
      </c>
      <c r="H3886" s="29" t="n">
        <f aca="false">Sens!H3884-Sens!H3885</f>
        <v>11591.92</v>
      </c>
      <c r="I3886" s="29" t="n">
        <f aca="false">Sens!I3884-Sens!I3885</f>
        <v>13737.1592</v>
      </c>
      <c r="J3886" s="29" t="n">
        <f aca="false">Sens!J3884-Sens!J3885</f>
        <v>14994.9976</v>
      </c>
      <c r="K3886" s="29" t="n">
        <f aca="false">Sens!K3884-Sens!K3885</f>
        <v>15365.4352</v>
      </c>
    </row>
    <row r="3887" customFormat="false" ht="17.15" hidden="false" customHeight="false" outlineLevel="0" collapsed="false">
      <c r="A3887" s="1" t="s">
        <v>805</v>
      </c>
      <c r="B3887" s="0" t="s">
        <v>392</v>
      </c>
      <c r="C3887" s="29" t="n">
        <f aca="false">Sens!C3886/ext_sh</f>
        <v>816.666666666667</v>
      </c>
      <c r="D3887" s="29" t="n">
        <f aca="false">Sens!D3886/ext_sh</f>
        <v>2050</v>
      </c>
      <c r="E3887" s="29" t="n">
        <f aca="false">Sens!E3886/ext_sh</f>
        <v>4500</v>
      </c>
      <c r="F3887" s="29" t="n">
        <f aca="false">Sens!F3886/ext_sh</f>
        <v>9211.06666666667</v>
      </c>
      <c r="G3887" s="29" t="n">
        <f aca="false">Sens!G3886/ext_sh</f>
        <v>14265.4666666667</v>
      </c>
      <c r="H3887" s="29" t="n">
        <f aca="false">Sens!H3886/ext_sh</f>
        <v>19319.8666666667</v>
      </c>
      <c r="I3887" s="29" t="n">
        <f aca="false">Sens!I3886/ext_sh</f>
        <v>22895.2653333333</v>
      </c>
      <c r="J3887" s="29" t="n">
        <f aca="false">Sens!J3886/ext_sh</f>
        <v>24991.6626666667</v>
      </c>
      <c r="K3887" s="29" t="n">
        <f aca="false">Sens!K3886/ext_sh</f>
        <v>25609.0586666667</v>
      </c>
      <c r="L3887" s="1" t="s">
        <v>806</v>
      </c>
    </row>
    <row r="3888" customFormat="false" ht="17.15" hidden="false" customHeight="false" outlineLevel="0" collapsed="false">
      <c r="A3888" s="1" t="s">
        <v>807</v>
      </c>
      <c r="B3888" s="0" t="s">
        <v>392</v>
      </c>
      <c r="C3888" s="29" t="n">
        <f aca="false">Sens!C3887-Sens!C3886</f>
        <v>326.666666666667</v>
      </c>
      <c r="D3888" s="29" t="n">
        <f aca="false">Sens!D3887-Sens!D3886</f>
        <v>820</v>
      </c>
      <c r="E3888" s="29" t="n">
        <f aca="false">Sens!E3887-Sens!E3886</f>
        <v>1800</v>
      </c>
      <c r="F3888" s="29" t="n">
        <f aca="false">Sens!F3887-Sens!F3886</f>
        <v>3684.42666666667</v>
      </c>
      <c r="G3888" s="29" t="n">
        <f aca="false">Sens!G3887-Sens!G3886</f>
        <v>5706.18666666667</v>
      </c>
      <c r="H3888" s="29" t="n">
        <f aca="false">Sens!H3887-Sens!H3886</f>
        <v>7727.94666666667</v>
      </c>
      <c r="I3888" s="29" t="n">
        <f aca="false">Sens!I3887-Sens!I3886</f>
        <v>9158.10613333334</v>
      </c>
      <c r="J3888" s="29" t="n">
        <f aca="false">Sens!J3887-Sens!J3886</f>
        <v>9996.66506666667</v>
      </c>
      <c r="K3888" s="29" t="n">
        <f aca="false">Sens!K3887-Sens!K3886</f>
        <v>10243.6234666667</v>
      </c>
    </row>
    <row r="3889" customFormat="false" ht="17.15" hidden="false" customHeight="false" outlineLevel="0" collapsed="false">
      <c r="A3889" s="1" t="s">
        <v>808</v>
      </c>
      <c r="B3889" s="0" t="s">
        <v>392</v>
      </c>
      <c r="C3889" s="29" t="n">
        <f aca="false">Sens!C3887</f>
        <v>816.666666666667</v>
      </c>
      <c r="D3889" s="29" t="n">
        <f aca="false">Sens!D3887-Sens!C3887</f>
        <v>1233.33333333333</v>
      </c>
      <c r="E3889" s="29" t="n">
        <f aca="false">Sens!E3887-Sens!D3887</f>
        <v>2450</v>
      </c>
      <c r="F3889" s="29" t="n">
        <f aca="false">Sens!F3887-Sens!E3887</f>
        <v>4711.06666666667</v>
      </c>
      <c r="G3889" s="29" t="n">
        <f aca="false">Sens!G3887-Sens!F3887</f>
        <v>5054.4</v>
      </c>
      <c r="H3889" s="29" t="n">
        <f aca="false">Sens!H3887-Sens!G3887</f>
        <v>5054.4</v>
      </c>
      <c r="I3889" s="29" t="n">
        <f aca="false">Sens!I3887-Sens!H3887</f>
        <v>3575.39866666667</v>
      </c>
      <c r="J3889" s="29" t="n">
        <f aca="false">Sens!J3887-Sens!I3887</f>
        <v>2096.39733333333</v>
      </c>
      <c r="K3889" s="29" t="n">
        <f aca="false">Sens!K3887-Sens!J3887</f>
        <v>617.395999999997</v>
      </c>
    </row>
    <row r="3890" customFormat="false" ht="17.15" hidden="false" customHeight="false" outlineLevel="0" collapsed="false">
      <c r="A3890" s="1" t="s">
        <v>809</v>
      </c>
      <c r="B3890" s="0" t="s">
        <v>392</v>
      </c>
      <c r="D3890" s="29" t="n">
        <f aca="false">Sens!D3884-Sens!C3884</f>
        <v>990</v>
      </c>
      <c r="E3890" s="29" t="n">
        <f aca="false">Sens!E3884-Sens!D3884</f>
        <v>1620</v>
      </c>
      <c r="F3890" s="29" t="n">
        <f aca="false">Sens!F3884-Sens!E3884</f>
        <v>3032.64</v>
      </c>
      <c r="G3890" s="29" t="n">
        <f aca="false">Sens!G3884-Sens!F3884</f>
        <v>3032.64</v>
      </c>
      <c r="H3890" s="29" t="n">
        <f aca="false">Sens!H3884-Sens!G3884</f>
        <v>3032.64</v>
      </c>
      <c r="I3890" s="29" t="n">
        <f aca="false">Sens!I3884-Sens!H3884</f>
        <v>2145.2392</v>
      </c>
      <c r="J3890" s="29" t="n">
        <f aca="false">Sens!J3884-Sens!I3884</f>
        <v>1257.8384</v>
      </c>
      <c r="K3890" s="29" t="n">
        <f aca="false">Sens!K3884-Sens!J3884</f>
        <v>370.437599999999</v>
      </c>
    </row>
    <row r="3891" customFormat="false" ht="17.15" hidden="false" customHeight="false" outlineLevel="0" collapsed="false">
      <c r="A3891" s="1" t="s">
        <v>810</v>
      </c>
      <c r="B3891" s="0" t="s">
        <v>392</v>
      </c>
      <c r="F3891" s="29" t="n">
        <f aca="false">Sens!F3908*ext_sh</f>
        <v>0</v>
      </c>
      <c r="G3891" s="29" t="n">
        <f aca="false">Sens!G3908*ext_sh</f>
        <v>0</v>
      </c>
      <c r="H3891" s="29" t="n">
        <f aca="false">Sens!H3908*ext_sh</f>
        <v>0</v>
      </c>
      <c r="I3891" s="29" t="n">
        <f aca="false">Sens!I3908*ext_sh</f>
        <v>490</v>
      </c>
      <c r="J3891" s="29" t="n">
        <f aca="false">Sens!J3908*ext_sh</f>
        <v>740</v>
      </c>
      <c r="K3891" s="29" t="n">
        <f aca="false">Sens!K3908*ext_sh</f>
        <v>1470</v>
      </c>
      <c r="L3891" s="1" t="s">
        <v>811</v>
      </c>
    </row>
    <row r="3892" customFormat="false" ht="17.15" hidden="false" customHeight="false" outlineLevel="0" collapsed="false">
      <c r="A3892" s="1" t="s">
        <v>812</v>
      </c>
      <c r="B3892" s="0" t="s">
        <v>392</v>
      </c>
      <c r="C3892" s="29" t="n">
        <f aca="false">mix_h*Sens!C3884</f>
        <v>128</v>
      </c>
      <c r="D3892" s="29" t="n">
        <f aca="false">mix_h*Sens!D3884</f>
        <v>326</v>
      </c>
      <c r="E3892" s="29" t="n">
        <f aca="false">mix_h*Sens!E3884</f>
        <v>650</v>
      </c>
      <c r="F3892" s="29" t="n">
        <f aca="false">Sens!E3892-Sens!F3891*mix_h</f>
        <v>650</v>
      </c>
      <c r="G3892" s="29" t="n">
        <f aca="false">Sens!F3892-Sens!G3891*mix_h</f>
        <v>650</v>
      </c>
      <c r="H3892" s="29" t="n">
        <f aca="false">Sens!G3892-Sens!H3891*mix_h</f>
        <v>650</v>
      </c>
      <c r="I3892" s="29" t="n">
        <f aca="false">Sens!H3892-Sens!I3891*mix_h</f>
        <v>552</v>
      </c>
      <c r="J3892" s="29" t="n">
        <f aca="false">Sens!I3892-Sens!J3891*mix_h</f>
        <v>404</v>
      </c>
      <c r="K3892" s="29" t="n">
        <f aca="false">Sens!J3892-Sens!K3891*mix_h</f>
        <v>110</v>
      </c>
    </row>
    <row r="3893" customFormat="false" ht="17.15" hidden="false" customHeight="false" outlineLevel="0" collapsed="false">
      <c r="A3893" s="1" t="s">
        <v>813</v>
      </c>
      <c r="B3893" s="0" t="s">
        <v>392</v>
      </c>
      <c r="C3893" s="29" t="n">
        <f aca="false">mix_g2*Sens!C3884</f>
        <v>288</v>
      </c>
      <c r="D3893" s="29" t="n">
        <f aca="false">mix_g2*Sens!D3884</f>
        <v>733.5</v>
      </c>
      <c r="E3893" s="29" t="n">
        <f aca="false">mix_g2*Sens!E3884</f>
        <v>1462.5</v>
      </c>
      <c r="F3893" s="29" t="n">
        <f aca="false">Sens!E3893-Sens!F3891*mix_g2</f>
        <v>1462.5</v>
      </c>
      <c r="G3893" s="29" t="n">
        <f aca="false">Sens!F3893-Sens!G3891*mix_g2</f>
        <v>1462.5</v>
      </c>
      <c r="H3893" s="29" t="n">
        <f aca="false">Sens!G3893-Sens!H3891*mix_g2</f>
        <v>1462.5</v>
      </c>
      <c r="I3893" s="29" t="n">
        <f aca="false">Sens!H3893-Sens!I3891*mix_g2</f>
        <v>1242</v>
      </c>
      <c r="J3893" s="29" t="n">
        <f aca="false">Sens!I3893-Sens!J3891*mix_g2</f>
        <v>909</v>
      </c>
      <c r="K3893" s="29" t="n">
        <f aca="false">Sens!J3893-Sens!K3891*mix_g2</f>
        <v>247.5</v>
      </c>
    </row>
    <row r="3894" customFormat="false" ht="17.15" hidden="false" customHeight="false" outlineLevel="0" collapsed="false">
      <c r="A3894" s="1" t="s">
        <v>814</v>
      </c>
      <c r="B3894" s="0" t="s">
        <v>392</v>
      </c>
      <c r="C3894" s="29" t="n">
        <f aca="false">mix_g3*Sens!C3884</f>
        <v>224</v>
      </c>
      <c r="D3894" s="29" t="n">
        <f aca="false">mix_g3*Sens!D3884</f>
        <v>570.5</v>
      </c>
      <c r="E3894" s="29" t="n">
        <f aca="false">mix_g3*Sens!E3884</f>
        <v>1137.5</v>
      </c>
      <c r="F3894" s="29" t="n">
        <f aca="false">Sens!E3894+(Sens!F3890+Sens!F3891)*a_g3_27-Sens!F3891*mix_g3</f>
        <v>3260.348</v>
      </c>
      <c r="G3894" s="29" t="n">
        <f aca="false">Sens!F3894+(Sens!G3890+Sens!G3891)*a_g3_28-Sens!G3891*mix_g3</f>
        <v>4170.14</v>
      </c>
      <c r="H3894" s="29" t="n">
        <f aca="false">Sens!G3894+(Sens!H3890+Sens!H3891)*a_g3_29-Sens!H3891*mix_g3</f>
        <v>4473.404</v>
      </c>
      <c r="I3894" s="29" t="n">
        <f aca="false">Sens!H3894+(Sens!I3890+Sens!I3891)*a_g3_29-Sens!I3891*mix_g3</f>
        <v>4565.42792</v>
      </c>
      <c r="J3894" s="29" t="n">
        <f aca="false">Sens!I3894+(Sens!J3890+Sens!J3891)*a_g3_29-Sens!J3891*mix_g3</f>
        <v>4506.21176</v>
      </c>
      <c r="K3894" s="29" t="n">
        <f aca="false">Sens!J3894+(Sens!K3890+Sens!K3891)*a_g3_29-Sens!K3891*mix_g3</f>
        <v>4175.75552</v>
      </c>
    </row>
    <row r="3895" customFormat="false" ht="17.15" hidden="false" customHeight="false" outlineLevel="0" collapsed="false">
      <c r="A3895" s="1" t="s">
        <v>815</v>
      </c>
      <c r="B3895" s="0" t="s">
        <v>392</v>
      </c>
      <c r="C3895" s="29" t="n">
        <v>0</v>
      </c>
      <c r="D3895" s="29" t="n">
        <v>0</v>
      </c>
      <c r="E3895" s="29" t="n">
        <v>0</v>
      </c>
      <c r="F3895" s="29" t="n">
        <f aca="false">Sens!E3895+(Sens!F3890+Sens!F3891)*(1-a_g3_27)</f>
        <v>909.792</v>
      </c>
      <c r="G3895" s="29" t="n">
        <f aca="false">Sens!F3895+(Sens!G3890+Sens!G3891)*(1-a_g3_28)</f>
        <v>3032.64</v>
      </c>
      <c r="H3895" s="29" t="n">
        <f aca="false">Sens!G3895+(Sens!H3890+Sens!H3891)*(1-a_g3_29)</f>
        <v>5762.016</v>
      </c>
      <c r="I3895" s="29" t="n">
        <f aca="false">Sens!H3895+(Sens!I3890+Sens!I3891)*(1-a_g3_29)</f>
        <v>8133.73128</v>
      </c>
      <c r="J3895" s="29" t="n">
        <f aca="false">Sens!I3895+(Sens!J3890+Sens!J3891)*(1-a_g3_29)</f>
        <v>9931.78584</v>
      </c>
      <c r="K3895" s="29" t="n">
        <f aca="false">Sens!J3895+(Sens!K3890+Sens!K3891)*(1-a_g3_29)</f>
        <v>11588.17968</v>
      </c>
    </row>
    <row r="3896" customFormat="false" ht="17.15" hidden="false" customHeight="false" outlineLevel="0" collapsed="false">
      <c r="A3896" s="1" t="s">
        <v>816</v>
      </c>
      <c r="B3896" s="0" t="s">
        <v>339</v>
      </c>
      <c r="C3896" s="14" t="n">
        <f aca="false">(Sens!C3892*tk_hold_h100+Sens!C3893*tk_hold_gb200+Sens!C3894*tk_hold_gb300+Sens!C3895*tk_hold_vr200)/Sens!C3884</f>
        <v>9.7235358126469</v>
      </c>
      <c r="D3896" s="14" t="n">
        <f aca="false">(Sens!D3892*tk_hold_h100+Sens!D3893*tk_hold_gb200+Sens!D3894*tk_hold_gb300+Sens!D3895*tk_hold_vr200)/Sens!D3884</f>
        <v>9.7235358126469</v>
      </c>
      <c r="E3896" s="14" t="n">
        <f aca="false">(Sens!E3892*tk_hold_h100+Sens!E3893*tk_hold_gb200+Sens!E3894*tk_hold_gb300+Sens!E3895*tk_hold_vr200)/Sens!E3884</f>
        <v>9.7235358126469</v>
      </c>
      <c r="F3896" s="14" t="n">
        <f aca="false">(Sens!F3892*tk_hold_h100+Sens!F3893*tk_hold_gb200+Sens!F3894*tk_hold_gb300+Sens!F3895*tk_hold_vr200)/Sens!F3884</f>
        <v>10.4787673542193</v>
      </c>
      <c r="G3896" s="14" t="n">
        <f aca="false">(Sens!G3892*tk_hold_h100+Sens!G3893*tk_hold_gb200+Sens!G3894*tk_hold_gb300+Sens!G3895*tk_hold_vr200)/Sens!G3884</f>
        <v>10.9166347377517</v>
      </c>
      <c r="H3896" s="14" t="n">
        <f aca="false">(Sens!H3892*tk_hold_h100+Sens!H3893*tk_hold_gb200+Sens!H3894*tk_hold_gb300+Sens!H3895*tk_hold_vr200)/Sens!H3884</f>
        <v>11.2051967403931</v>
      </c>
      <c r="I3896" s="14" t="n">
        <f aca="false">(Sens!I3892*tk_hold_h100+Sens!I3893*tk_hold_gb200+Sens!I3894*tk_hold_gb300+Sens!I3895*tk_hold_vr200)/Sens!I3884</f>
        <v>11.4164554595671</v>
      </c>
      <c r="J3896" s="14" t="n">
        <f aca="false">(Sens!J3892*tk_hold_h100+Sens!J3893*tk_hold_gb200+Sens!J3894*tk_hold_gb300+Sens!J3895*tk_hold_vr200)/Sens!J3884</f>
        <v>11.5816208908327</v>
      </c>
      <c r="K3896" s="14" t="n">
        <f aca="false">(Sens!K3892*tk_hold_h100+Sens!K3893*tk_hold_gb200+Sens!K3894*tk_hold_gb300+Sens!K3895*tk_hold_vr200)/Sens!K3884</f>
        <v>11.8092622478084</v>
      </c>
    </row>
    <row r="3897" customFormat="false" ht="17.15" hidden="false" customHeight="false" outlineLevel="0" collapsed="false">
      <c r="A3897" s="0" t="s">
        <v>817</v>
      </c>
      <c r="B3897" s="0" t="s">
        <v>185</v>
      </c>
      <c r="C3897" s="14" t="n">
        <f aca="false">k_B</f>
        <v>1.17213932619116</v>
      </c>
      <c r="D3897" s="14" t="n">
        <f aca="false">k_B</f>
        <v>1.17213932619116</v>
      </c>
      <c r="E3897" s="14" t="n">
        <f aca="false">k_B</f>
        <v>1.17213932619116</v>
      </c>
      <c r="F3897" s="14" t="n">
        <f aca="false">(k_B+((ls_C*k_long+(1-ls_C)*k_spot)-k_B)*MIN(1,(Sens!F3882-base_fy)/k_ramp))</f>
        <v>1.07843258004497</v>
      </c>
      <c r="G3897" s="14" t="n">
        <f aca="false">(k_B+((ls_C*k_long+(1-ls_C)*k_spot)-k_B)*MIN(1,(Sens!G3882-base_fy)/k_ramp))</f>
        <v>0.984725833898784</v>
      </c>
      <c r="H3897" s="14" t="n">
        <f aca="false">(k_B+((ls_C*k_long+(1-ls_C)*k_spot)-k_B)*MIN(1,(Sens!H3882-base_fy)/k_ramp))</f>
        <v>0.891019087752599</v>
      </c>
      <c r="I3897" s="14" t="n">
        <f aca="false">(k_B+((ls_C*k_long+(1-ls_C)*k_spot)-k_B)*MIN(1,(Sens!I3882-base_fy)/k_ramp))</f>
        <v>0.891019087752599</v>
      </c>
      <c r="J3897" s="14" t="n">
        <f aca="false">(k_B+((ls_C*k_long+(1-ls_C)*k_spot)-k_B)*MIN(1,(Sens!J3882-base_fy)/k_ramp))</f>
        <v>0.891019087752599</v>
      </c>
      <c r="K3897" s="14" t="n">
        <f aca="false">(k_B+((ls_C*k_long+(1-ls_C)*k_spot)-k_B)*MIN(1,(Sens!K3882-base_fy)/k_ramp))</f>
        <v>0.891019087752599</v>
      </c>
      <c r="L3897" s="1" t="s">
        <v>818</v>
      </c>
    </row>
    <row r="3898" customFormat="false" ht="17.15" hidden="false" customHeight="false" outlineLevel="0" collapsed="false">
      <c r="A3898" s="1" t="s">
        <v>819</v>
      </c>
      <c r="B3898" s="0" t="s">
        <v>339</v>
      </c>
      <c r="C3898" s="14" t="n">
        <f aca="false">Sens!C3896*Sens!C3897*chip_f</f>
        <v>11.3973387156315</v>
      </c>
      <c r="D3898" s="14" t="n">
        <f aca="false">Sens!D3896*Sens!D3897*chip_f</f>
        <v>11.3973387156315</v>
      </c>
      <c r="E3898" s="14" t="n">
        <f aca="false">Sens!E3896*Sens!E3897*chip_f</f>
        <v>11.3973387156315</v>
      </c>
      <c r="F3898" s="14" t="n">
        <f aca="false">Sens!F3896*Sens!F3897*chip_f</f>
        <v>11.3006441135017</v>
      </c>
      <c r="G3898" s="14" t="n">
        <f aca="false">Sens!G3896*Sens!G3897*chip_f</f>
        <v>10.749892245501</v>
      </c>
      <c r="H3898" s="14" t="n">
        <f aca="false">Sens!H3896*Sens!H3897*chip_f</f>
        <v>9.98404417771349</v>
      </c>
      <c r="I3898" s="14" t="n">
        <f aca="false">Sens!I3896*Sens!I3897*chip_f</f>
        <v>10.1722797289516</v>
      </c>
      <c r="J3898" s="14" t="n">
        <f aca="false">Sens!J3896*Sens!J3897*chip_f</f>
        <v>10.3194452808462</v>
      </c>
      <c r="K3898" s="14" t="n">
        <f aca="false">Sens!K3896*Sens!K3897*chip_f</f>
        <v>10.5222780750735</v>
      </c>
      <c r="L3898" s="1" t="s">
        <v>820</v>
      </c>
    </row>
    <row r="3899" customFormat="false" ht="17.15" hidden="false" customHeight="false" outlineLevel="0" collapsed="false">
      <c r="A3899" s="0" t="s">
        <v>821</v>
      </c>
      <c r="B3899" s="0" t="s">
        <v>98</v>
      </c>
      <c r="D3899" s="6" t="n">
        <f aca="false">(Sens!C3884+Sens!D3884)/2*Sens!D3898/1000</f>
        <v>12.9359794422418</v>
      </c>
      <c r="E3899" s="6" t="n">
        <f aca="false">(Sens!D3884+Sens!E3884)/2*Sens!E3898/1000</f>
        <v>27.8095064661409</v>
      </c>
      <c r="F3899" s="6" t="n">
        <f aca="false">(Sens!E3884+Sens!F3884)/2*Sens!F3898/1000</f>
        <v>53.8624860510656</v>
      </c>
      <c r="G3899" s="6" t="n">
        <f aca="false">(Sens!F3884+Sens!G3884)/2*Sens!G3898/1000</f>
        <v>83.8379796269722</v>
      </c>
      <c r="H3899" s="6" t="n">
        <f aca="false">(Sens!G3884+Sens!H3884)/2*Sens!H3898/1000</f>
        <v>108.143172915321</v>
      </c>
      <c r="I3899" s="6" t="n">
        <f aca="false">(Sens!H3884+Sens!I3884)/2*Sens!I3898/1000</f>
        <v>136.517482924672</v>
      </c>
      <c r="J3899" s="6" t="n">
        <f aca="false">(Sens!I3884+Sens!J3884)/2*Sens!J3898/1000</f>
        <v>156.051460581466</v>
      </c>
      <c r="K3899" s="6" t="n">
        <f aca="false">(Sens!J3884+Sens!K3884)/2*Sens!K3898/1000</f>
        <v>167.685300425347</v>
      </c>
      <c r="L3899" s="11" t="s">
        <v>822</v>
      </c>
    </row>
    <row r="3900" customFormat="false" ht="17.15" hidden="false" customHeight="false" outlineLevel="0" collapsed="false">
      <c r="A3900" s="1" t="s">
        <v>823</v>
      </c>
      <c r="B3900" s="0" t="s">
        <v>339</v>
      </c>
      <c r="C3900" s="14" t="n">
        <f aca="false">(Sens!C3892*tk_opex_h100+Sens!C3893*tk_opex_gb200+Sens!C3894*tk_opex_gb300+Sens!C3895*tk_opex_vr200)/Sens!C3884</f>
        <v>1.88636041306092</v>
      </c>
      <c r="D3900" s="14" t="n">
        <f aca="false">(Sens!D3892*tk_opex_h100+Sens!D3893*tk_opex_gb200+Sens!D3894*tk_opex_gb300+Sens!D3895*tk_opex_vr200)/Sens!D3884</f>
        <v>1.88636041306092</v>
      </c>
      <c r="E3900" s="14" t="n">
        <f aca="false">(Sens!E3892*tk_opex_h100+Sens!E3893*tk_opex_gb200+Sens!E3894*tk_opex_gb300+Sens!E3895*tk_opex_vr200)/Sens!E3884</f>
        <v>1.88636041306092</v>
      </c>
      <c r="F3900" s="14" t="n">
        <f aca="false">(Sens!F3892*tk_opex_h100+Sens!F3893*tk_opex_gb200+Sens!F3894*tk_opex_gb300+Sens!F3895*tk_opex_vr200)/Sens!F3884</f>
        <v>1.94888600845409</v>
      </c>
      <c r="G3900" s="14" t="n">
        <f aca="false">(Sens!G3892*tk_opex_h100+Sens!G3893*tk_opex_gb200+Sens!G3894*tk_opex_gb300+Sens!G3895*tk_opex_vr200)/Sens!G3884</f>
        <v>1.98513703526054</v>
      </c>
      <c r="H3900" s="14" t="n">
        <f aca="false">(Sens!H3892*tk_opex_h100+Sens!H3893*tk_opex_gb200+Sens!H3894*tk_opex_gb300+Sens!H3895*tk_opex_vr200)/Sens!H3884</f>
        <v>2.00902707431457</v>
      </c>
      <c r="I3900" s="14" t="n">
        <f aca="false">(Sens!I3892*tk_opex_h100+Sens!I3893*tk_opex_gb200+Sens!I3894*tk_opex_gb300+Sens!I3895*tk_opex_vr200)/Sens!I3884</f>
        <v>2.02651717698011</v>
      </c>
      <c r="J3900" s="14" t="n">
        <f aca="false">(Sens!J3892*tk_opex_h100+Sens!J3893*tk_opex_gb200+Sens!J3894*tk_opex_gb300+Sens!J3895*tk_opex_vr200)/Sens!J3884</f>
        <v>2.04019121780043</v>
      </c>
      <c r="K3900" s="14" t="n">
        <f aca="false">(Sens!K3892*tk_opex_h100+Sens!K3893*tk_opex_gb200+Sens!K3894*tk_opex_gb300+Sens!K3895*tk_opex_vr200)/Sens!K3884</f>
        <v>2.0590376385304</v>
      </c>
    </row>
    <row r="3901" customFormat="false" ht="17.15" hidden="false" customHeight="false" outlineLevel="0" collapsed="false">
      <c r="A3901" s="0" t="s">
        <v>824</v>
      </c>
      <c r="B3901" s="0" t="s">
        <v>98</v>
      </c>
      <c r="D3901" s="6" t="n">
        <f aca="false">(Sens!C3887+Sens!D3887)/2*Sens!D3900/1000</f>
        <v>2.70378325872065</v>
      </c>
      <c r="E3901" s="6" t="n">
        <f aca="false">(Sens!D3887+Sens!E3887)/2*Sens!E3900/1000</f>
        <v>6.17783035277451</v>
      </c>
      <c r="F3901" s="6" t="n">
        <f aca="false">(Sens!E3887+Sens!F3887)/2*Sens!F3900/1000</f>
        <v>13.360652993824</v>
      </c>
      <c r="G3901" s="6" t="n">
        <f aca="false">(Sens!F3887+Sens!G3887)/2*Sens!G3900/1000</f>
        <v>23.3020678897643</v>
      </c>
      <c r="H3901" s="6" t="n">
        <f aca="false">(Sens!G3887+Sens!H3887)/2*Sens!H3900/1000</f>
        <v>33.7369219832732</v>
      </c>
      <c r="I3901" s="6" t="n">
        <f aca="false">(Sens!H3887+Sens!I3887)/2*Sens!I3900/1000</f>
        <v>42.7748450632413</v>
      </c>
      <c r="J3901" s="6" t="n">
        <f aca="false">(Sens!I3887+Sens!J3887)/2*Sens!J3900/1000</f>
        <v>48.8492449765207</v>
      </c>
      <c r="K3901" s="6" t="n">
        <f aca="false">(Sens!J3887+Sens!K3887)/2*Sens!K3900/1000</f>
        <v>52.0943948810608</v>
      </c>
    </row>
    <row r="3902" customFormat="false" ht="17.15" hidden="false" customHeight="false" outlineLevel="0" collapsed="false">
      <c r="A3902" s="0" t="s">
        <v>825</v>
      </c>
      <c r="B3902" s="0" t="s">
        <v>98</v>
      </c>
      <c r="D3902" s="6" t="n">
        <f aca="false">(Sens!C3885+Sens!D3885)/2*rent_mw/1000</f>
        <v>2.44475</v>
      </c>
      <c r="E3902" s="6" t="n">
        <f aca="false">(Sens!D3885+Sens!E3885)/2*rent_mw/1000</f>
        <v>4.22275</v>
      </c>
      <c r="F3902" s="6" t="n">
        <f aca="false">(Sens!E3885+Sens!F3885)/2*rent_mw/1000</f>
        <v>5.80517</v>
      </c>
      <c r="G3902" s="6" t="n">
        <f aca="false">(Sens!F3885+Sens!G3885)/2*rent_mw/1000</f>
        <v>6.72084</v>
      </c>
      <c r="H3902" s="6" t="n">
        <f aca="false">(Sens!G3885+Sens!H3885)/2*rent_mw/1000</f>
        <v>6.72084</v>
      </c>
      <c r="I3902" s="6" t="n">
        <f aca="false">(Sens!H3885+Sens!I3885)/2*rent_mw/1000</f>
        <v>6.72084</v>
      </c>
      <c r="J3902" s="6" t="n">
        <f aca="false">(Sens!I3885+Sens!J3885)/2*rent_mw/1000</f>
        <v>6.72084</v>
      </c>
      <c r="K3902" s="6" t="n">
        <f aca="false">(Sens!J3885+Sens!K3885)/2*rent_mw/1000</f>
        <v>6.72084</v>
      </c>
    </row>
    <row r="3903" customFormat="false" ht="17.15" hidden="false" customHeight="false" outlineLevel="0" collapsed="false">
      <c r="A3903" s="0" t="s">
        <v>826</v>
      </c>
      <c r="B3903" s="0" t="s">
        <v>98</v>
      </c>
      <c r="D3903" s="6" t="n">
        <f aca="false">(Sens!C3887+Sens!D3887)/2*(1-self_build)*fac_rent/1000</f>
        <v>0.853242375631075</v>
      </c>
      <c r="E3903" s="6" t="n">
        <f aca="false">(Sens!D3887+Sens!E3887)/2*(1-self_build)*fac_rent/1000</f>
        <v>1.94955961408728</v>
      </c>
      <c r="F3903" s="6" t="n">
        <f aca="false">(Sens!E3887+Sens!F3887)/2*(1-self_build)*fac_rent/1000</f>
        <v>4.0809987541056</v>
      </c>
      <c r="G3903" s="6" t="n">
        <f aca="false">(Sens!F3887+Sens!G3887)/2*(1-self_build)*fac_rent/1000</f>
        <v>6.98761851380772</v>
      </c>
      <c r="H3903" s="6" t="n">
        <f aca="false">(Sens!G3887+Sens!H3887)/2*(1-self_build)*fac_rent/1000</f>
        <v>9.99642893012612</v>
      </c>
      <c r="I3903" s="6" t="n">
        <f aca="false">(Sens!H3887+Sens!I3887)/2*(1-self_build)*fac_rent/1000</f>
        <v>12.5650254122998</v>
      </c>
      <c r="J3903" s="6" t="n">
        <f aca="false">(Sens!I3887+Sens!J3887)/2*(1-self_build)*fac_rent/1000</f>
        <v>14.253194026184</v>
      </c>
      <c r="K3903" s="6" t="n">
        <f aca="false">(Sens!J3887+Sens!K3887)/2*(1-self_build)*fac_rent/1000</f>
        <v>15.0609347717789</v>
      </c>
      <c r="L3903" s="11" t="s">
        <v>827</v>
      </c>
    </row>
    <row r="3904" customFormat="false" ht="17.15" hidden="false" customHeight="false" outlineLevel="0" collapsed="false">
      <c r="A3904" s="1" t="s">
        <v>828</v>
      </c>
      <c r="B3904" s="0" t="s">
        <v>129</v>
      </c>
      <c r="D3904" s="7" t="n">
        <f aca="false">(Sens!C3886+Sens!D3886)/(Sens!C3887+Sens!D3887)</f>
        <v>0.6</v>
      </c>
      <c r="E3904" s="7" t="n">
        <f aca="false">(Sens!D3886+Sens!E3886)/(Sens!D3887+Sens!E3887)</f>
        <v>0.6</v>
      </c>
      <c r="F3904" s="7" t="n">
        <f aca="false">(Sens!E3886+Sens!F3886)/(Sens!E3887+Sens!F3887)</f>
        <v>0.6</v>
      </c>
      <c r="G3904" s="7" t="n">
        <f aca="false">(Sens!F3886+Sens!G3886)/(Sens!F3887+Sens!G3887)</f>
        <v>0.6</v>
      </c>
      <c r="H3904" s="7" t="n">
        <f aca="false">(Sens!G3886+Sens!H3886)/(Sens!G3887+Sens!H3887)</f>
        <v>0.6</v>
      </c>
      <c r="I3904" s="7" t="n">
        <f aca="false">(Sens!H3886+Sens!I3886)/(Sens!H3887+Sens!I3887)</f>
        <v>0.6</v>
      </c>
      <c r="J3904" s="7" t="n">
        <f aca="false">(Sens!I3886+Sens!J3886)/(Sens!I3887+Sens!J3887)</f>
        <v>0.6</v>
      </c>
      <c r="K3904" s="7" t="n">
        <f aca="false">(Sens!J3886+Sens!K3886)/(Sens!J3887+Sens!K3887)</f>
        <v>0.6</v>
      </c>
    </row>
    <row r="3905" customFormat="false" ht="17.15" hidden="false" customHeight="false" outlineLevel="0" collapsed="false">
      <c r="A3905" s="0" t="s">
        <v>829</v>
      </c>
      <c r="B3905" s="0" t="s">
        <v>98</v>
      </c>
      <c r="D3905" s="6" t="n">
        <f aca="false">Sens!D3899-Sens!D3904*(Sens!D3901+Sens!D3903)-Sens!D3902</f>
        <v>8.35701406163072</v>
      </c>
      <c r="E3905" s="6" t="n">
        <f aca="false">Sens!E3899-Sens!E3904*(Sens!E3901+Sens!E3903)-Sens!E3902</f>
        <v>18.7103224860238</v>
      </c>
      <c r="F3905" s="6" t="n">
        <f aca="false">Sens!F3899-Sens!F3904*(Sens!F3901+Sens!F3903)-Sens!F3902</f>
        <v>37.5923250023078</v>
      </c>
      <c r="G3905" s="6" t="n">
        <f aca="false">Sens!G3899-Sens!G3904*(Sens!G3901+Sens!G3903)-Sens!G3902</f>
        <v>58.943327784829</v>
      </c>
      <c r="H3905" s="6" t="n">
        <f aca="false">Sens!H3899-Sens!H3904*(Sens!H3901+Sens!H3903)-Sens!H3902</f>
        <v>75.1823223672818</v>
      </c>
      <c r="I3905" s="6" t="n">
        <f aca="false">Sens!I3899-Sens!I3904*(Sens!I3901+Sens!I3903)-Sens!I3902</f>
        <v>96.5927206393478</v>
      </c>
      <c r="J3905" s="6" t="n">
        <f aca="false">Sens!J3899-Sens!J3904*(Sens!J3901+Sens!J3903)-Sens!J3902</f>
        <v>111.469157179843</v>
      </c>
      <c r="K3905" s="6" t="n">
        <f aca="false">Sens!K3899-Sens!K3904*(Sens!K3901+Sens!K3903)-Sens!K3902</f>
        <v>120.671262633643</v>
      </c>
    </row>
    <row r="3906" customFormat="false" ht="17.15" hidden="false" customHeight="false" outlineLevel="0" collapsed="false">
      <c r="A3906" s="1" t="s">
        <v>830</v>
      </c>
      <c r="B3906" s="0" t="s">
        <v>98</v>
      </c>
      <c r="D3906" s="6" t="n">
        <f aca="false">(1-Sens!D3904)*(Sens!D3901+Sens!D3903)</f>
        <v>1.42281025374069</v>
      </c>
      <c r="E3906" s="6" t="n">
        <f aca="false">(1-Sens!E3904)*(Sens!E3901+Sens!E3903)</f>
        <v>3.25095598674472</v>
      </c>
      <c r="F3906" s="6" t="n">
        <f aca="false">(1-Sens!F3904)*(Sens!F3901+Sens!F3903)</f>
        <v>6.97666069917183</v>
      </c>
      <c r="G3906" s="6" t="n">
        <f aca="false">(1-Sens!G3904)*(Sens!G3901+Sens!G3903)</f>
        <v>12.1158745614288</v>
      </c>
      <c r="H3906" s="6" t="n">
        <f aca="false">(1-Sens!H3904)*(Sens!H3901+Sens!H3903)</f>
        <v>17.4933403653597</v>
      </c>
      <c r="I3906" s="6" t="n">
        <f aca="false">(1-Sens!I3904)*(Sens!I3901+Sens!I3903)</f>
        <v>22.1359481902164</v>
      </c>
      <c r="J3906" s="6" t="n">
        <f aca="false">(1-Sens!J3904)*(Sens!J3901+Sens!J3903)</f>
        <v>25.2409756010819</v>
      </c>
      <c r="K3906" s="6" t="n">
        <f aca="false">(1-Sens!K3904)*(Sens!K3901+Sens!K3903)</f>
        <v>26.8621318611359</v>
      </c>
    </row>
    <row r="3907" customFormat="false" ht="17.15" hidden="false" customHeight="false" outlineLevel="0" collapsed="false">
      <c r="A3907" s="1" t="s">
        <v>831</v>
      </c>
      <c r="B3907" s="0" t="s">
        <v>350</v>
      </c>
      <c r="C3907" s="8" t="n">
        <f aca="false">cxit_open</f>
        <v>27.5918995</v>
      </c>
      <c r="D3907" s="8" t="n">
        <f aca="false">cxit_open</f>
        <v>27.5918995</v>
      </c>
      <c r="E3907" s="8" t="n">
        <f aca="false">cxit_open</f>
        <v>27.5918995</v>
      </c>
      <c r="F3907" s="8" t="n">
        <f aca="false">(a_g3_27*tk_cxit_gb300+(1-a_g3_27)*tk_cxit_vr200)</f>
        <v>33.8419624</v>
      </c>
      <c r="G3907" s="8" t="n">
        <f aca="false">(a_g3_28*tk_cxit_gb300+(1-a_g3_28)*tk_cxit_vr200)</f>
        <v>35.9816136</v>
      </c>
      <c r="H3907" s="8" t="n">
        <f aca="false">(a_g3_29*tk_cxit_gb300+(1-a_g3_29)*tk_cxit_vr200)</f>
        <v>37.0514392</v>
      </c>
      <c r="I3907" s="8" t="n">
        <f aca="false">(a_g3_29*tk_cxit_gb300+(1-a_g3_29)*tk_cxit_vr200)</f>
        <v>37.0514392</v>
      </c>
      <c r="J3907" s="8" t="n">
        <f aca="false">(a_g3_29*tk_cxit_gb300+(1-a_g3_29)*tk_cxit_vr200)</f>
        <v>37.0514392</v>
      </c>
      <c r="K3907" s="8" t="n">
        <f aca="false">(a_g3_29*tk_cxit_gb300+(1-a_g3_29)*tk_cxit_vr200)</f>
        <v>37.0514392</v>
      </c>
      <c r="L3907" s="11" t="s">
        <v>832</v>
      </c>
    </row>
    <row r="3908" customFormat="false" ht="17.15" hidden="false" customHeight="false" outlineLevel="0" collapsed="false">
      <c r="A3908" s="0" t="s">
        <v>833</v>
      </c>
      <c r="B3908" s="0" t="s">
        <v>392</v>
      </c>
      <c r="F3908" s="29" t="n">
        <f aca="false">Sens!C3889*IF(Sens!F3882-Sens!C3882=life_it,1,0)+Sens!D3889*IF(Sens!F3882-Sens!D3882=life_it,1,0)+Sens!E3889*IF(Sens!F3882-Sens!E3882=life_it,1,0)</f>
        <v>0</v>
      </c>
      <c r="G3908" s="29" t="n">
        <f aca="false">Sens!C3889*IF(Sens!G3882-Sens!C3882=life_it,1,0)+Sens!D3889*IF(Sens!G3882-Sens!D3882=life_it,1,0)+Sens!E3889*IF(Sens!G3882-Sens!E3882=life_it,1,0)+Sens!F3889*IF(Sens!G3882-Sens!F3882=life_it,1,0)</f>
        <v>0</v>
      </c>
      <c r="H3908" s="29" t="n">
        <f aca="false">Sens!C3889*IF(Sens!H3882-Sens!C3882=life_it,1,0)+Sens!D3889*IF(Sens!H3882-Sens!D3882=life_it,1,0)+Sens!E3889*IF(Sens!H3882-Sens!E3882=life_it,1,0)+Sens!F3889*IF(Sens!H3882-Sens!F3882=life_it,1,0)+Sens!G3889*IF(Sens!H3882-Sens!G3882=life_it,1,0)</f>
        <v>0</v>
      </c>
      <c r="I3908" s="29" t="n">
        <f aca="false">Sens!C3889*IF(Sens!I3882-Sens!C3882=life_it,1,0)+Sens!D3889*IF(Sens!I3882-Sens!D3882=life_it,1,0)+Sens!E3889*IF(Sens!I3882-Sens!E3882=life_it,1,0)+Sens!F3889*IF(Sens!I3882-Sens!F3882=life_it,1,0)+Sens!G3889*IF(Sens!I3882-Sens!G3882=life_it,1,0)+Sens!H3889*IF(Sens!I3882-Sens!H3882=life_it,1,0)</f>
        <v>816.666666666667</v>
      </c>
      <c r="J3908" s="29" t="n">
        <f aca="false">Sens!C3889*IF(Sens!J3882-Sens!C3882=life_it,1,0)+Sens!D3889*IF(Sens!J3882-Sens!D3882=life_it,1,0)+Sens!E3889*IF(Sens!J3882-Sens!E3882=life_it,1,0)+Sens!F3889*IF(Sens!J3882-Sens!F3882=life_it,1,0)+Sens!G3889*IF(Sens!J3882-Sens!G3882=life_it,1,0)+Sens!H3889*IF(Sens!J3882-Sens!H3882=life_it,1,0)+Sens!I3889*IF(Sens!J3882-Sens!I3882=life_it,1,0)</f>
        <v>1233.33333333333</v>
      </c>
      <c r="K3908" s="29" t="n">
        <f aca="false">Sens!C3889*IF(Sens!K3882-Sens!C3882=life_it,1,0)+Sens!D3889*IF(Sens!K3882-Sens!D3882=life_it,1,0)+Sens!E3889*IF(Sens!K3882-Sens!E3882=life_it,1,0)+Sens!F3889*IF(Sens!K3882-Sens!F3882=life_it,1,0)+Sens!G3889*IF(Sens!K3882-Sens!G3882=life_it,1,0)+Sens!H3889*IF(Sens!K3882-Sens!H3882=life_it,1,0)+Sens!I3889*IF(Sens!K3882-Sens!I3882=life_it,1,0)+Sens!J3889*IF(Sens!K3882-Sens!J3882=life_it,1,0)</f>
        <v>2450</v>
      </c>
      <c r="L3908" s="1" t="s">
        <v>834</v>
      </c>
    </row>
    <row r="3909" customFormat="false" ht="17.15" hidden="false" customHeight="false" outlineLevel="0" collapsed="false">
      <c r="A3909" s="0" t="s">
        <v>835</v>
      </c>
      <c r="B3909" s="0" t="s">
        <v>98</v>
      </c>
      <c r="C3909" s="6" t="n">
        <f aca="false">Sens!C3889*Sens!C3907/1000</f>
        <v>22.5333845916667</v>
      </c>
      <c r="D3909" s="6" t="n">
        <f aca="false">Sens!D3889*Sens!D3907/1000</f>
        <v>34.0300093833333</v>
      </c>
      <c r="E3909" s="6" t="n">
        <f aca="false">Sens!E3889*Sens!E3907/1000</f>
        <v>67.600153775</v>
      </c>
      <c r="F3909" s="6" t="n">
        <f aca="false">(Sens!F3889+Sens!F3908)*Sens!F3907/1000</f>
        <v>159.431740997227</v>
      </c>
      <c r="G3909" s="6" t="n">
        <f aca="false">(Sens!G3889+Sens!G3908)*Sens!G3907/1000</f>
        <v>181.86546777984</v>
      </c>
      <c r="H3909" s="6" t="n">
        <f aca="false">(Sens!H3889+Sens!H3908)*Sens!H3907/1000</f>
        <v>187.27279429248</v>
      </c>
      <c r="I3909" s="6" t="n">
        <f aca="false">(Sens!I3889+Sens!I3908)*Sens!I3907/1000</f>
        <v>162.732341660428</v>
      </c>
      <c r="J3909" s="6" t="n">
        <f aca="false">(Sens!J3889+Sens!J3908)*Sens!J3907/1000</f>
        <v>123.371313348375</v>
      </c>
      <c r="K3909" s="6" t="n">
        <f aca="false">(Sens!K3889+Sens!K3908)*Sens!K3907/1000</f>
        <v>113.651436396323</v>
      </c>
    </row>
    <row r="3910" customFormat="false" ht="17.15" hidden="false" customHeight="false" outlineLevel="0" collapsed="false">
      <c r="A3910" s="0" t="s">
        <v>836</v>
      </c>
      <c r="B3910" s="0" t="s">
        <v>98</v>
      </c>
      <c r="C3910" s="6" t="n">
        <f aca="false">Sens!C3889*self_build*tk_cxfac/1000</f>
        <v>6.2083</v>
      </c>
      <c r="D3910" s="6" t="n">
        <f aca="false">Sens!D3889*self_build*tk_cxfac/1000</f>
        <v>9.3758</v>
      </c>
      <c r="E3910" s="6" t="n">
        <f aca="false">Sens!E3889*self_build*tk_cxfac/1000</f>
        <v>18.6249</v>
      </c>
      <c r="F3910" s="6" t="n">
        <f aca="false">Sens!F3889*self_build*tk_cxfac/1000</f>
        <v>35.8135288</v>
      </c>
      <c r="G3910" s="6" t="n">
        <f aca="false">Sens!G3889*self_build*tk_cxfac/1000</f>
        <v>38.4235488</v>
      </c>
      <c r="H3910" s="6" t="n">
        <f aca="false">Sens!H3889*self_build*tk_cxfac/1000</f>
        <v>38.4235488</v>
      </c>
      <c r="I3910" s="6" t="n">
        <f aca="false">Sens!I3889*self_build*tk_cxfac/1000</f>
        <v>27.180180664</v>
      </c>
      <c r="J3910" s="6" t="n">
        <f aca="false">Sens!J3889*self_build*tk_cxfac/1000</f>
        <v>15.936812528</v>
      </c>
      <c r="K3910" s="6" t="n">
        <f aca="false">Sens!K3889*self_build*tk_cxfac/1000</f>
        <v>4.69344439199998</v>
      </c>
    </row>
    <row r="3911" customFormat="false" ht="17.15" hidden="false" customHeight="false" outlineLevel="0" collapsed="false">
      <c r="A3911" s="0" t="s">
        <v>837</v>
      </c>
      <c r="B3911" s="0" t="s">
        <v>98</v>
      </c>
      <c r="F3911" s="6" t="n">
        <f aca="false">MAX(0,capex_floor27-Sens!F3909-Sens!F3910-Sens!F4004)</f>
        <v>0</v>
      </c>
      <c r="L3911" s="1" t="s">
        <v>838</v>
      </c>
    </row>
    <row r="3912" customFormat="false" ht="17.15" hidden="false" customHeight="false" outlineLevel="0" collapsed="false">
      <c r="A3912" s="0" t="s">
        <v>839</v>
      </c>
      <c r="B3912" s="0" t="s">
        <v>98</v>
      </c>
      <c r="C3912" s="6" t="n">
        <f aca="false">Sens!C3909</f>
        <v>22.5333845916667</v>
      </c>
      <c r="D3912" s="6" t="n">
        <f aca="false">Sens!D3909</f>
        <v>34.0300093833333</v>
      </c>
      <c r="E3912" s="6" t="n">
        <f aca="false">Sens!E3909</f>
        <v>67.600153775</v>
      </c>
      <c r="F3912" s="6" t="n">
        <f aca="false">Sens!F3909+Sens!F3911</f>
        <v>159.431740997227</v>
      </c>
      <c r="G3912" s="6" t="n">
        <f aca="false">Sens!G3909</f>
        <v>181.86546777984</v>
      </c>
      <c r="H3912" s="6" t="n">
        <f aca="false">Sens!H3909</f>
        <v>187.27279429248</v>
      </c>
      <c r="I3912" s="6" t="n">
        <f aca="false">Sens!I3909</f>
        <v>162.732341660428</v>
      </c>
      <c r="J3912" s="6" t="n">
        <f aca="false">Sens!J3909</f>
        <v>123.371313348375</v>
      </c>
      <c r="K3912" s="6" t="n">
        <f aca="false">Sens!K3909</f>
        <v>113.651436396323</v>
      </c>
    </row>
    <row r="3913" customFormat="false" ht="17.15" hidden="false" customHeight="false" outlineLevel="0" collapsed="false">
      <c r="A3913" s="0" t="s">
        <v>840</v>
      </c>
      <c r="B3913" s="0" t="s">
        <v>98</v>
      </c>
      <c r="C3913" s="6" t="n">
        <f aca="false">Sens!C3912+Sens!C3910</f>
        <v>28.7416845916667</v>
      </c>
      <c r="D3913" s="6" t="n">
        <f aca="false">Sens!D3912+Sens!D3910</f>
        <v>43.4058093833333</v>
      </c>
      <c r="E3913" s="6" t="n">
        <f aca="false">Sens!E3912+Sens!E3910</f>
        <v>86.225053775</v>
      </c>
      <c r="F3913" s="6" t="n">
        <f aca="false">Sens!F3912+Sens!F3910</f>
        <v>195.245269797227</v>
      </c>
      <c r="G3913" s="6" t="n">
        <f aca="false">Sens!G3912+Sens!G3910</f>
        <v>220.28901657984</v>
      </c>
      <c r="H3913" s="6" t="n">
        <f aca="false">Sens!H3912+Sens!H3910</f>
        <v>225.69634309248</v>
      </c>
      <c r="I3913" s="6" t="n">
        <f aca="false">Sens!I3912+Sens!I3910</f>
        <v>189.912522324428</v>
      </c>
      <c r="J3913" s="6" t="n">
        <f aca="false">Sens!J3912+Sens!J3910</f>
        <v>139.308125876376</v>
      </c>
      <c r="K3913" s="6" t="n">
        <f aca="false">Sens!K3912+Sens!K3910</f>
        <v>118.344880788323</v>
      </c>
      <c r="L3913" s="11" t="s">
        <v>841</v>
      </c>
    </row>
    <row r="3914" customFormat="false" ht="17.15" hidden="false" customHeight="false" outlineLevel="0" collapsed="false">
      <c r="A3914" s="0" t="s">
        <v>842</v>
      </c>
      <c r="B3914" s="0" t="s">
        <v>98</v>
      </c>
      <c r="E3914" s="6" t="n">
        <f aca="false">(Sens!C3912*IF(2&lt;life_it,1,IF(2=life_it,0.5,0))+Sens!D3912*IF(1&lt;life_it,1,IF(1=life_it,0.5,0))+Sens!E3912*0.5)/life_it</f>
        <v>15.0605784770833</v>
      </c>
      <c r="F3914" s="6" t="n">
        <f aca="false">(Sens!C3912*IF(3&lt;life_it,1,IF(3=life_it,0.5,0))+Sens!D3912*IF(2&lt;life_it,1,IF(2=life_it,0.5,0))+Sens!E3912*IF(1&lt;life_it,1,IF(1=life_it,0.5,0))+Sens!F3912*0.5)/life_it</f>
        <v>33.9799030414356</v>
      </c>
      <c r="G3914" s="6" t="n">
        <f aca="false">(Sens!C3912*IF(4&lt;life_it,1,IF(4=life_it,0.5,0))+Sens!D3912*IF(3&lt;life_it,1,IF(3=life_it,0.5,0))+Sens!E3912*IF(2&lt;life_it,1,IF(2=life_it,0.5,0))+Sens!F3912*IF(1&lt;life_it,1,IF(1=life_it,0.5,0))+Sens!G3912*0.5)/life_it</f>
        <v>62.4213371061911</v>
      </c>
      <c r="H3914" s="6" t="n">
        <f aca="false">(Sens!C3912*IF(5&lt;life_it,1,IF(5=life_it,0.5,0))+Sens!D3912*IF(4&lt;life_it,1,IF(4=life_it,0.5,0))+Sens!E3912*IF(3&lt;life_it,1,IF(3=life_it,0.5,0))+Sens!F3912*IF(2&lt;life_it,1,IF(2=life_it,0.5,0))+Sens!G3912*IF(1&lt;life_it,1,IF(1=life_it,0.5,0))+Sens!H3912*0.5)/life_it</f>
        <v>93.1828589455511</v>
      </c>
      <c r="I3914" s="6" t="n">
        <f aca="false">(Sens!C3912*IF(6&lt;life_it,1,IF(6=life_it,0.5,0))+Sens!D3912*IF(5&lt;life_it,1,IF(5=life_it,0.5,0))+Sens!E3912*IF(4&lt;life_it,1,IF(4=life_it,0.5,0))+Sens!F3912*IF(3&lt;life_it,1,IF(3=life_it,0.5,0))+Sens!G3912*IF(2&lt;life_it,1,IF(2=life_it,0.5,0))+Sens!H3912*IF(1&lt;life_it,1,IF(1=life_it,0.5,0))+Sens!I3912*0.5)/life_it</f>
        <v>120.472171558988</v>
      </c>
      <c r="J3914" s="6" t="n">
        <f aca="false">(Sens!C3912*IF(7&lt;life_it,1,IF(7=life_it,0.5,0))+Sens!D3912*IF(6&lt;life_it,1,IF(6=life_it,0.5,0))+Sens!E3912*IF(5&lt;life_it,1,IF(5=life_it,0.5,0))+Sens!F3912*IF(4&lt;life_it,1,IF(4=life_it,0.5,0))+Sens!G3912*IF(3&lt;life_it,1,IF(3=life_it,0.5,0))+Sens!H3912*IF(2&lt;life_it,1,IF(2=life_it,0.5,0))+Sens!I3912*IF(1&lt;life_it,1,IF(1=life_it,0.5,0))+Sens!J3912*0.5)/life_it</f>
        <v>139.600526645138</v>
      </c>
      <c r="K3914" s="6" t="n">
        <f aca="false">(Sens!C3912*IF(8&lt;life_it,1,IF(8=life_it,0.5,0))+Sens!D3912*IF(7&lt;life_it,1,IF(7=life_it,0.5,0))+Sens!E3912*IF(6&lt;life_it,1,IF(6=life_it,0.5,0))+Sens!F3912*IF(5&lt;life_it,1,IF(5=life_it,0.5,0))+Sens!G3912*IF(4&lt;life_it,1,IF(4=life_it,0.5,0))+Sens!H3912*IF(3&lt;life_it,1,IF(3=life_it,0.5,0))+Sens!I3912*IF(2&lt;life_it,1,IF(2=life_it,0.5,0))+Sens!J3912*IF(1&lt;life_it,1,IF(1=life_it,0.5,0))+Sens!K3912*0.5)/life_it</f>
        <v>150.883242194002</v>
      </c>
    </row>
    <row r="3915" customFormat="false" ht="17.15" hidden="false" customHeight="false" outlineLevel="0" collapsed="false">
      <c r="A3915" s="0" t="s">
        <v>843</v>
      </c>
      <c r="B3915" s="0" t="s">
        <v>98</v>
      </c>
      <c r="E3915" s="6" t="n">
        <f aca="false">(Sens!C3910*IF(2&lt;life_fac,1,IF(2=life_fac,0.5,0))+Sens!D3910*IF(1&lt;life_fac,1,IF(1=life_fac,0.5,0))+Sens!E3910*0.5)/life_fac</f>
        <v>1.2448275</v>
      </c>
      <c r="F3915" s="6" t="n">
        <f aca="false">(Sens!C3910*IF(3&lt;life_fac,1,IF(3=life_fac,0.5,0))+Sens!D3910*IF(2&lt;life_fac,1,IF(2=life_fac,0.5,0))+Sens!E3910*IF(1&lt;life_fac,1,IF(1=life_fac,0.5,0))+Sens!F3910*0.5)/life_fac</f>
        <v>2.60578822</v>
      </c>
      <c r="G3915" s="6" t="n">
        <f aca="false">(Sens!C3910*IF(4&lt;life_fac,1,IF(4=life_fac,0.5,0))+Sens!D3910*IF(3&lt;life_fac,1,IF(3=life_fac,0.5,0))+Sens!E3910*IF(2&lt;life_fac,1,IF(2=life_fac,0.5,0))+Sens!F3910*IF(1&lt;life_fac,1,IF(1=life_fac,0.5,0))+Sens!G3910*0.5)/life_fac</f>
        <v>4.46171516</v>
      </c>
      <c r="H3915" s="6" t="n">
        <f aca="false">(Sens!C3910*IF(5&lt;life_fac,1,IF(5=life_fac,0.5,0))+Sens!D3910*IF(4&lt;life_fac,1,IF(4=life_fac,0.5,0))+Sens!E3910*IF(3&lt;life_fac,1,IF(3=life_fac,0.5,0))+Sens!F3910*IF(2&lt;life_fac,1,IF(2=life_fac,0.5,0))+Sens!G3910*IF(1&lt;life_fac,1,IF(1=life_fac,0.5,0))+Sens!H3910*0.5)/life_fac</f>
        <v>6.3828926</v>
      </c>
      <c r="I3915" s="6" t="n">
        <f aca="false">(Sens!C3910*IF(6&lt;life_fac,1,IF(6=life_fac,0.5,0))+Sens!D3910*IF(5&lt;life_fac,1,IF(5=life_fac,0.5,0))+Sens!E3910*IF(4&lt;life_fac,1,IF(4=life_fac,0.5,0))+Sens!F3910*IF(3&lt;life_fac,1,IF(3=life_fac,0.5,0))+Sens!G3910*IF(2&lt;life_fac,1,IF(2=life_fac,0.5,0))+Sens!H3910*IF(1&lt;life_fac,1,IF(1=life_fac,0.5,0))+Sens!I3910*0.5)/life_fac</f>
        <v>8.0229858366</v>
      </c>
      <c r="J3915" s="6" t="n">
        <f aca="false">(Sens!C3910*IF(7&lt;life_fac,1,IF(7=life_fac,0.5,0))+Sens!D3910*IF(6&lt;life_fac,1,IF(6=life_fac,0.5,0))+Sens!E3910*IF(5&lt;life_fac,1,IF(5=life_fac,0.5,0))+Sens!F3910*IF(4&lt;life_fac,1,IF(4=life_fac,0.5,0))+Sens!G3910*IF(3&lt;life_fac,1,IF(3=life_fac,0.5,0))+Sens!H3910*IF(2&lt;life_fac,1,IF(2=life_fac,0.5,0))+Sens!I3910*IF(1&lt;life_fac,1,IF(1=life_fac,0.5,0))+Sens!J3910*0.5)/life_fac</f>
        <v>9.1009106664</v>
      </c>
      <c r="K3915" s="6" t="n">
        <f aca="false">(Sens!C3910*IF(8&lt;life_fac,1,IF(8=life_fac,0.5,0))+Sens!D3910*IF(7&lt;life_fac,1,IF(7=life_fac,0.5,0))+Sens!E3910*IF(6&lt;life_fac,1,IF(6=life_fac,0.5,0))+Sens!F3910*IF(5&lt;life_fac,1,IF(5=life_fac,0.5,0))+Sens!G3910*IF(4&lt;life_fac,1,IF(4=life_fac,0.5,0))+Sens!H3910*IF(3&lt;life_fac,1,IF(3=life_fac,0.5,0))+Sens!I3910*IF(2&lt;life_fac,1,IF(2=life_fac,0.5,0))+Sens!J3910*IF(1&lt;life_fac,1,IF(1=life_fac,0.5,0))+Sens!K3910*0.5)/life_fac</f>
        <v>9.6166670894</v>
      </c>
    </row>
    <row r="3916" customFormat="false" ht="17.15" hidden="false" customHeight="false" outlineLevel="0" collapsed="false">
      <c r="A3916" s="0" t="s">
        <v>844</v>
      </c>
      <c r="B3916" s="0" t="s">
        <v>98</v>
      </c>
      <c r="E3916" s="6" t="n">
        <f aca="false">Sens!E3914+Sens!E3915</f>
        <v>16.3054059770833</v>
      </c>
      <c r="F3916" s="6" t="n">
        <f aca="false">Sens!F3914+Sens!F3915</f>
        <v>36.5856912614356</v>
      </c>
      <c r="G3916" s="6" t="n">
        <f aca="false">Sens!G3914+Sens!G3915</f>
        <v>66.8830522661911</v>
      </c>
      <c r="H3916" s="6" t="n">
        <f aca="false">Sens!H3914+Sens!H3915</f>
        <v>99.5657515455511</v>
      </c>
      <c r="I3916" s="6" t="n">
        <f aca="false">Sens!I3914+Sens!I3915</f>
        <v>128.495157395588</v>
      </c>
      <c r="J3916" s="6" t="n">
        <f aca="false">Sens!J3914+Sens!J3915</f>
        <v>148.701437311538</v>
      </c>
      <c r="K3916" s="6" t="n">
        <f aca="false">Sens!K3914+Sens!K3915</f>
        <v>160.499909283402</v>
      </c>
    </row>
    <row r="3917" customFormat="false" ht="17.15" hidden="false" customHeight="false" outlineLevel="0" collapsed="false">
      <c r="A3917" s="0" t="s">
        <v>845</v>
      </c>
      <c r="B3917" s="0" t="s">
        <v>98</v>
      </c>
      <c r="E3917" s="6" t="n">
        <f aca="false">Sens!E3905-Sens!E3904*Sens!E3916</f>
        <v>8.92707889977379</v>
      </c>
      <c r="F3917" s="6" t="n">
        <f aca="false">Sens!F3905-Sens!F3904*Sens!F3916</f>
        <v>15.6409102454465</v>
      </c>
      <c r="G3917" s="6" t="n">
        <f aca="false">Sens!G3905-Sens!G3904*Sens!G3916</f>
        <v>18.8134964251143</v>
      </c>
      <c r="H3917" s="6" t="n">
        <f aca="false">Sens!H3905-Sens!H3904*Sens!H3916</f>
        <v>15.4428714399511</v>
      </c>
      <c r="I3917" s="6" t="n">
        <f aca="false">Sens!I3905-Sens!I3904*Sens!I3916</f>
        <v>19.495626201995</v>
      </c>
      <c r="J3917" s="6" t="n">
        <f aca="false">Sens!J3905-Sens!J3904*Sens!J3916</f>
        <v>22.2482947929205</v>
      </c>
      <c r="K3917" s="6" t="n">
        <f aca="false">Sens!K3905-Sens!K3904*Sens!K3916</f>
        <v>24.3713170636016</v>
      </c>
    </row>
    <row r="3918" customFormat="false" ht="17.15" hidden="false" customHeight="false" outlineLevel="0" collapsed="false">
      <c r="A3918" s="3" t="s">
        <v>1335</v>
      </c>
    </row>
    <row r="3919" customFormat="false" ht="15" hidden="false" customHeight="false" outlineLevel="0" collapsed="false">
      <c r="A3919" s="4" t="s">
        <v>43</v>
      </c>
      <c r="B3919" s="4" t="s">
        <v>65</v>
      </c>
      <c r="C3919" s="20" t="s">
        <v>788</v>
      </c>
      <c r="D3919" s="20" t="s">
        <v>789</v>
      </c>
      <c r="E3919" s="20" t="s">
        <v>790</v>
      </c>
      <c r="F3919" s="20" t="s">
        <v>791</v>
      </c>
      <c r="G3919" s="20" t="s">
        <v>792</v>
      </c>
      <c r="H3919" s="20" t="s">
        <v>793</v>
      </c>
      <c r="I3919" s="20" t="s">
        <v>794</v>
      </c>
      <c r="J3919" s="20" t="s">
        <v>795</v>
      </c>
      <c r="K3919" s="20" t="s">
        <v>796</v>
      </c>
      <c r="L3919" s="4" t="s">
        <v>47</v>
      </c>
    </row>
    <row r="3920" customFormat="false" ht="17.15" hidden="false" customHeight="false" outlineLevel="0" collapsed="false">
      <c r="A3920" s="0" t="s">
        <v>864</v>
      </c>
      <c r="B3920" s="0" t="s">
        <v>98</v>
      </c>
      <c r="D3920" s="6" t="n">
        <f aca="false">Sens!D3899</f>
        <v>12.9359794422418</v>
      </c>
      <c r="E3920" s="6" t="n">
        <f aca="false">Sens!E3899</f>
        <v>27.8095064661409</v>
      </c>
      <c r="F3920" s="6" t="n">
        <f aca="false">Sens!F3899</f>
        <v>53.8624860510656</v>
      </c>
      <c r="G3920" s="6" t="n">
        <f aca="false">Sens!G3899</f>
        <v>83.8379796269722</v>
      </c>
      <c r="H3920" s="6" t="n">
        <f aca="false">Sens!H3899</f>
        <v>108.143172915321</v>
      </c>
      <c r="I3920" s="6" t="n">
        <f aca="false">Sens!I3899</f>
        <v>136.517482924672</v>
      </c>
      <c r="J3920" s="6" t="n">
        <f aca="false">Sens!J3899</f>
        <v>156.051460581466</v>
      </c>
      <c r="K3920" s="6" t="n">
        <f aca="false">Sens!K3899</f>
        <v>167.685300425347</v>
      </c>
    </row>
    <row r="3921" customFormat="false" ht="17.15" hidden="false" customHeight="false" outlineLevel="0" collapsed="false">
      <c r="A3921" s="0" t="s">
        <v>865</v>
      </c>
      <c r="B3921" s="0" t="s">
        <v>98</v>
      </c>
      <c r="D3921" s="6" t="n">
        <f aca="false">Q!L6-Sens!D3920</f>
        <v>59.6740205577583</v>
      </c>
      <c r="E3921" s="6" t="n">
        <f aca="false">Q!M6-Sens!E3920</f>
        <v>74.1284935338591</v>
      </c>
      <c r="F3921" s="6" t="n">
        <f aca="false">Sens!E3921*(1+Sens!F3922)</f>
        <v>90.0799497373663</v>
      </c>
      <c r="G3921" s="6" t="n">
        <f aca="false">Sens!F3921*(1+Sens!G3922)</f>
        <v>107.02842520331</v>
      </c>
      <c r="H3921" s="6" t="n">
        <f aca="false">Sens!G3921*(1+Sens!H3922)</f>
        <v>124.271982585636</v>
      </c>
      <c r="I3921" s="6" t="n">
        <f aca="false">Sens!H3921*(1+Sens!I3922)</f>
        <v>140.933702381855</v>
      </c>
      <c r="J3921" s="6" t="n">
        <f aca="false">Sens!I3921*(1+Sens!J3922)</f>
        <v>156.018867314332</v>
      </c>
      <c r="K3921" s="6" t="n">
        <f aca="false">Sens!J3921*(1+Sens!K3922)</f>
        <v>168.500376699478</v>
      </c>
    </row>
    <row r="3922" customFormat="false" ht="15" hidden="false" customHeight="false" outlineLevel="0" collapsed="false">
      <c r="A3922" s="1" t="s">
        <v>866</v>
      </c>
      <c r="B3922" s="0" t="s">
        <v>129</v>
      </c>
      <c r="E3922" s="7" t="n">
        <f aca="false">Sens!E3921/Sens!D3921-1</f>
        <v>0.242223883039864</v>
      </c>
      <c r="F3922" s="7" t="n">
        <f aca="false">Sens!$E$3922+(glt_azo-Sens!$E$3922)*MIN(1,(Sens!F3882-base_fy)/n_conv)</f>
        <v>0.215186569199887</v>
      </c>
      <c r="G3922" s="7" t="n">
        <f aca="false">Sens!$E$3922+(glt_azo-Sens!$E$3922)*MIN(1,(Sens!G3882-base_fy)/n_conv)</f>
        <v>0.18814925535991</v>
      </c>
      <c r="H3922" s="7" t="n">
        <f aca="false">Sens!$E$3922+(glt_azo-Sens!$E$3922)*MIN(1,(Sens!H3882-base_fy)/n_conv)</f>
        <v>0.161111941519932</v>
      </c>
      <c r="I3922" s="7" t="n">
        <f aca="false">Sens!$E$3922+(glt_azo-Sens!$E$3922)*MIN(1,(Sens!I3882-base_fy)/n_conv)</f>
        <v>0.134074627679955</v>
      </c>
      <c r="J3922" s="7" t="n">
        <f aca="false">Sens!$E$3922+(glt_azo-Sens!$E$3922)*MIN(1,(Sens!J3882-base_fy)/n_conv)</f>
        <v>0.107037313839977</v>
      </c>
      <c r="K3922" s="7" t="n">
        <f aca="false">Sens!$E$3922+(glt_azo-Sens!$E$3922)*MIN(1,(Sens!K3882-base_fy)/n_conv)</f>
        <v>0.08</v>
      </c>
    </row>
    <row r="3923" customFormat="false" ht="15" hidden="false" customHeight="false" outlineLevel="0" collapsed="false">
      <c r="A3923" s="0" t="s">
        <v>867</v>
      </c>
      <c r="B3923" s="0" t="s">
        <v>98</v>
      </c>
      <c r="D3923" s="6" t="n">
        <f aca="false">Sens!D3920+Sens!D3921</f>
        <v>72.61</v>
      </c>
      <c r="E3923" s="6" t="n">
        <f aca="false">Sens!E3920+Sens!E3921</f>
        <v>101.938</v>
      </c>
      <c r="F3923" s="6" t="n">
        <f aca="false">Sens!F3920+Sens!F3921</f>
        <v>143.942435788432</v>
      </c>
      <c r="G3923" s="6" t="n">
        <f aca="false">Sens!G3920+Sens!G3921</f>
        <v>190.866404830282</v>
      </c>
      <c r="H3923" s="6" t="n">
        <f aca="false">Sens!H3920+Sens!H3921</f>
        <v>232.415155500957</v>
      </c>
      <c r="I3923" s="6" t="n">
        <f aca="false">Sens!I3920+Sens!I3921</f>
        <v>277.451185306527</v>
      </c>
      <c r="J3923" s="6" t="n">
        <f aca="false">Sens!J3920+Sens!J3921</f>
        <v>312.070327895798</v>
      </c>
      <c r="K3923" s="6" t="n">
        <f aca="false">Sens!K3920+Sens!K3921</f>
        <v>336.185677124825</v>
      </c>
    </row>
    <row r="3924" customFormat="false" ht="17.15" hidden="false" customHeight="false" outlineLevel="0" collapsed="false">
      <c r="A3924" s="0" t="s">
        <v>868</v>
      </c>
      <c r="B3924" s="1" t="s">
        <v>521</v>
      </c>
      <c r="C3924" s="29" t="n">
        <f aca="false">cop_s24</f>
        <v>1</v>
      </c>
      <c r="D3924" s="29" t="n">
        <f aca="false">cop_s25</f>
        <v>5</v>
      </c>
      <c r="E3924" s="29" t="n">
        <f aca="false">cop_s26</f>
        <v>30</v>
      </c>
      <c r="F3924" s="29" t="n">
        <f aca="false">Sens!E3924+cop_add_C</f>
        <v>40</v>
      </c>
      <c r="G3924" s="29" t="n">
        <f aca="false">Sens!F3924+cop_add_C</f>
        <v>50</v>
      </c>
      <c r="H3924" s="29" t="n">
        <f aca="false">Sens!G3924+cop_add_C</f>
        <v>60</v>
      </c>
      <c r="I3924" s="29" t="n">
        <f aca="false">Sens!H3924+cop_add_C*cop_tail</f>
        <v>65</v>
      </c>
      <c r="J3924" s="29" t="n">
        <f aca="false">Sens!I3924+cop_add_C*cop_tail</f>
        <v>70</v>
      </c>
      <c r="K3924" s="29" t="n">
        <f aca="false">Sens!J3924+cop_add_C*cop_tail</f>
        <v>75</v>
      </c>
      <c r="L3924" s="11" t="s">
        <v>869</v>
      </c>
    </row>
    <row r="3925" customFormat="false" ht="17.15" hidden="false" customHeight="false" outlineLevel="0" collapsed="false">
      <c r="A3925" s="0" t="s">
        <v>870</v>
      </c>
      <c r="B3925" s="0" t="s">
        <v>98</v>
      </c>
      <c r="D3925" s="6" t="n">
        <f aca="false">(Sens!C3924+Sens!D3924)/2*cop_px*12/1000</f>
        <v>0.9</v>
      </c>
      <c r="E3925" s="6" t="n">
        <f aca="false">(Sens!D3924+Sens!E3924)/2*cop_px*12/1000</f>
        <v>5.25</v>
      </c>
      <c r="F3925" s="6" t="n">
        <f aca="false">(Sens!E3924+Sens!F3924)/2*cop_px*12/1000</f>
        <v>10.5</v>
      </c>
      <c r="G3925" s="6" t="n">
        <f aca="false">(Sens!F3924+Sens!G3924)/2*cop_px*12/1000</f>
        <v>13.5</v>
      </c>
      <c r="H3925" s="6" t="n">
        <f aca="false">(Sens!G3924+Sens!H3924)/2*cop_px*12/1000</f>
        <v>16.5</v>
      </c>
      <c r="I3925" s="6" t="n">
        <f aca="false">(Sens!H3924+Sens!I3924)/2*cop_px*12/1000</f>
        <v>18.75</v>
      </c>
      <c r="J3925" s="6" t="n">
        <f aca="false">(Sens!I3924+Sens!J3924)/2*cop_px*12/1000</f>
        <v>20.25</v>
      </c>
      <c r="K3925" s="6" t="n">
        <f aca="false">(Sens!J3924+Sens!K3924)/2*cop_px*12/1000</f>
        <v>21.75</v>
      </c>
      <c r="L3925" s="1" t="s">
        <v>871</v>
      </c>
    </row>
    <row r="3926" customFormat="false" ht="17.15" hidden="false" customHeight="false" outlineLevel="0" collapsed="false">
      <c r="A3926" s="0" t="s">
        <v>872</v>
      </c>
      <c r="B3926" s="0" t="s">
        <v>98</v>
      </c>
      <c r="D3926" s="6" t="n">
        <f aca="false">Q!L7-Sens!D3925</f>
        <v>83.705</v>
      </c>
      <c r="E3926" s="6" t="n">
        <f aca="false">Q!M7-Sens!E3925</f>
        <v>95.049</v>
      </c>
      <c r="F3926" s="6" t="n">
        <f aca="false">Sens!E3926*(1+Sens!F3927)</f>
        <v>106.89238776686</v>
      </c>
      <c r="G3926" s="6" t="n">
        <f aca="false">Sens!F3926*(1+Sens!G3927)</f>
        <v>119.044168448684</v>
      </c>
      <c r="H3926" s="6" t="n">
        <f aca="false">Sens!G3926*(1+Sens!H3927)</f>
        <v>131.277359388781</v>
      </c>
      <c r="I3926" s="6" t="n">
        <f aca="false">Sens!H3926*(1+Sens!I3927)</f>
        <v>143.334028071957</v>
      </c>
      <c r="J3926" s="6" t="n">
        <f aca="false">Sens!I3926*(1+Sens!J3927)</f>
        <v>154.932702785465</v>
      </c>
      <c r="K3926" s="6" t="n">
        <f aca="false">Sens!J3926*(1+Sens!K3927)</f>
        <v>165.777991980448</v>
      </c>
    </row>
    <row r="3927" customFormat="false" ht="15" hidden="false" customHeight="false" outlineLevel="0" collapsed="false">
      <c r="A3927" s="1" t="s">
        <v>866</v>
      </c>
      <c r="B3927" s="0" t="s">
        <v>129</v>
      </c>
      <c r="E3927" s="7" t="n">
        <f aca="false">Sens!E3926/Sens!D3926-1</f>
        <v>0.135523564900544</v>
      </c>
      <c r="F3927" s="7" t="n">
        <f aca="false">Sens!$E$3927+(glt_m365b-Sens!$E$3927)*MIN(1,(Sens!F3882-base_fy)/n_conv)</f>
        <v>0.124602970750453</v>
      </c>
      <c r="G3927" s="7" t="n">
        <f aca="false">Sens!$E$3927+(glt_m365b-Sens!$E$3927)*MIN(1,(Sens!G3882-base_fy)/n_conv)</f>
        <v>0.113682376600363</v>
      </c>
      <c r="H3927" s="7" t="n">
        <f aca="false">Sens!$E$3927+(glt_m365b-Sens!$E$3927)*MIN(1,(Sens!H3882-base_fy)/n_conv)</f>
        <v>0.102761782450272</v>
      </c>
      <c r="I3927" s="7" t="n">
        <f aca="false">Sens!$E$3927+(glt_m365b-Sens!$E$3927)*MIN(1,(Sens!I3882-base_fy)/n_conv)</f>
        <v>0.0918411883001813</v>
      </c>
      <c r="J3927" s="7" t="n">
        <f aca="false">Sens!$E$3927+(glt_m365b-Sens!$E$3927)*MIN(1,(Sens!J3882-base_fy)/n_conv)</f>
        <v>0.0809205941500906</v>
      </c>
      <c r="K3927" s="7" t="n">
        <f aca="false">Sens!$E$3927+(glt_m365b-Sens!$E$3927)*MIN(1,(Sens!K3882-base_fy)/n_conv)</f>
        <v>0.07</v>
      </c>
    </row>
    <row r="3928" customFormat="false" ht="15" hidden="false" customHeight="false" outlineLevel="0" collapsed="false">
      <c r="A3928" s="0" t="s">
        <v>873</v>
      </c>
      <c r="B3928" s="0" t="s">
        <v>98</v>
      </c>
      <c r="D3928" s="6" t="n">
        <f aca="false">Sens!D3926+Sens!D3925</f>
        <v>84.605</v>
      </c>
      <c r="E3928" s="6" t="n">
        <f aca="false">Sens!E3926+Sens!E3925</f>
        <v>100.299</v>
      </c>
      <c r="F3928" s="6" t="n">
        <f aca="false">Sens!F3926+Sens!F3925</f>
        <v>117.39238776686</v>
      </c>
      <c r="G3928" s="6" t="n">
        <f aca="false">Sens!G3926+Sens!G3925</f>
        <v>132.544168448684</v>
      </c>
      <c r="H3928" s="6" t="n">
        <f aca="false">Sens!H3926+Sens!H3925</f>
        <v>147.777359388781</v>
      </c>
      <c r="I3928" s="6" t="n">
        <f aca="false">Sens!I3926+Sens!I3925</f>
        <v>162.084028071957</v>
      </c>
      <c r="J3928" s="6" t="n">
        <f aca="false">Sens!J3926+Sens!J3925</f>
        <v>175.182702785465</v>
      </c>
      <c r="K3928" s="6" t="n">
        <f aca="false">Sens!K3926+Sens!K3925</f>
        <v>187.527991980448</v>
      </c>
    </row>
    <row r="3929" customFormat="false" ht="15" hidden="false" customHeight="false" outlineLevel="0" collapsed="false">
      <c r="A3929" s="0" t="s">
        <v>874</v>
      </c>
      <c r="B3929" s="0" t="s">
        <v>98</v>
      </c>
      <c r="D3929" s="6" t="n">
        <f aca="false">Q!L8</f>
        <v>35.391</v>
      </c>
      <c r="E3929" s="6" t="n">
        <f aca="false">Q!M8</f>
        <v>37.285</v>
      </c>
      <c r="F3929" s="6" t="n">
        <f aca="false">Sens!E3929*(1+Sens!F3930)</f>
        <v>39.0720834331704</v>
      </c>
      <c r="G3929" s="6" t="n">
        <f aca="false">Sens!F3929*(1+Sens!G3930)</f>
        <v>40.726562953769</v>
      </c>
      <c r="H3929" s="6" t="n">
        <f aca="false">Sens!G3929*(1+Sens!H3930)</f>
        <v>42.2235987259198</v>
      </c>
      <c r="I3929" s="6" t="n">
        <f aca="false">Sens!H3929*(1+Sens!I3930)</f>
        <v>43.5397988077414</v>
      </c>
      <c r="J3929" s="6" t="n">
        <f aca="false">Sens!I3929*(1+Sens!J3930)</f>
        <v>44.653811225693</v>
      </c>
      <c r="K3929" s="6" t="n">
        <f aca="false">Sens!J3929*(1+Sens!K3930)</f>
        <v>45.5468874502068</v>
      </c>
    </row>
    <row r="3930" customFormat="false" ht="15" hidden="false" customHeight="false" outlineLevel="0" collapsed="false">
      <c r="A3930" s="1" t="s">
        <v>866</v>
      </c>
      <c r="B3930" s="0" t="s">
        <v>129</v>
      </c>
      <c r="E3930" s="7" t="n">
        <f aca="false">Sens!E3929/Sens!D3929-1</f>
        <v>0.0535164307309768</v>
      </c>
      <c r="F3930" s="7" t="n">
        <f aca="false">Sens!$E$3930+(glt_lic-Sens!$E$3930)*MIN(1,(Sens!F3882-base_fy)/n_conv)</f>
        <v>0.0479303589424807</v>
      </c>
      <c r="G3930" s="7" t="n">
        <f aca="false">Sens!$E$3930+(glt_lic-Sens!$E$3930)*MIN(1,(Sens!G3882-base_fy)/n_conv)</f>
        <v>0.0423442871539845</v>
      </c>
      <c r="H3930" s="7" t="n">
        <f aca="false">Sens!$E$3930+(glt_lic-Sens!$E$3930)*MIN(1,(Sens!H3882-base_fy)/n_conv)</f>
        <v>0.0367582153654884</v>
      </c>
      <c r="I3930" s="7" t="n">
        <f aca="false">Sens!$E$3930+(glt_lic-Sens!$E$3930)*MIN(1,(Sens!I3882-base_fy)/n_conv)</f>
        <v>0.0311721435769923</v>
      </c>
      <c r="J3930" s="7" t="n">
        <f aca="false">Sens!$E$3930+(glt_lic-Sens!$E$3930)*MIN(1,(Sens!J3882-base_fy)/n_conv)</f>
        <v>0.0255860717884961</v>
      </c>
      <c r="K3930" s="7" t="n">
        <f aca="false">Sens!$E$3930+(glt_lic-Sens!$E$3930)*MIN(1,(Sens!K3882-base_fy)/n_conv)</f>
        <v>0.02</v>
      </c>
    </row>
    <row r="3931" customFormat="false" ht="15" hidden="false" customHeight="false" outlineLevel="0" collapsed="false">
      <c r="A3931" s="0" t="s">
        <v>875</v>
      </c>
      <c r="B3931" s="0" t="s">
        <v>98</v>
      </c>
      <c r="D3931" s="6" t="n">
        <f aca="false">Q!L9</f>
        <v>18.417</v>
      </c>
      <c r="E3931" s="6" t="n">
        <f aca="false">Q!M9</f>
        <v>20.345</v>
      </c>
      <c r="F3931" s="6" t="n">
        <f aca="false">Sens!E3931*(1+Sens!F3932)</f>
        <v>22.3572203267814</v>
      </c>
      <c r="G3931" s="6" t="n">
        <f aca="false">Sens!F3931*(1+Sens!G3932)</f>
        <v>24.4392124437232</v>
      </c>
      <c r="H3931" s="6" t="n">
        <f aca="false">Sens!G3931*(1+Sens!H3932)</f>
        <v>26.5738052080665</v>
      </c>
      <c r="I3931" s="6" t="n">
        <f aca="false">Sens!H3931*(1+Sens!I3932)</f>
        <v>28.7412169166967</v>
      </c>
      <c r="J3931" s="6" t="n">
        <f aca="false">Sens!I3931*(1+Sens!J3932)</f>
        <v>30.9192545395413</v>
      </c>
      <c r="K3931" s="6" t="n">
        <f aca="false">Sens!J3931*(1+Sens!K3932)</f>
        <v>33.0836023573092</v>
      </c>
    </row>
    <row r="3932" customFormat="false" ht="15" hidden="false" customHeight="false" outlineLevel="0" collapsed="false">
      <c r="A3932" s="1" t="s">
        <v>866</v>
      </c>
      <c r="B3932" s="0" t="s">
        <v>129</v>
      </c>
      <c r="E3932" s="7" t="n">
        <f aca="false">Sens!E3931/Sens!D3931-1</f>
        <v>0.104685888038225</v>
      </c>
      <c r="F3932" s="7" t="n">
        <f aca="false">Sens!$E$3932+(glt_ind-Sens!$E$3932)*MIN(1,(Sens!F3882-base_fy)/n_conv)</f>
        <v>0.0989049066985211</v>
      </c>
      <c r="G3932" s="7" t="n">
        <f aca="false">Sens!$E$3932+(glt_ind-Sens!$E$3932)*MIN(1,(Sens!G3882-base_fy)/n_conv)</f>
        <v>0.0931239253588169</v>
      </c>
      <c r="H3932" s="7" t="n">
        <f aca="false">Sens!$E$3932+(glt_ind-Sens!$E$3932)*MIN(1,(Sens!H3882-base_fy)/n_conv)</f>
        <v>0.0873429440191127</v>
      </c>
      <c r="I3932" s="7" t="n">
        <f aca="false">Sens!$E$3932+(glt_ind-Sens!$E$3932)*MIN(1,(Sens!I3882-base_fy)/n_conv)</f>
        <v>0.0815619626794085</v>
      </c>
      <c r="J3932" s="7" t="n">
        <f aca="false">Sens!$E$3932+(glt_ind-Sens!$E$3932)*MIN(1,(Sens!J3882-base_fy)/n_conv)</f>
        <v>0.0757809813397042</v>
      </c>
      <c r="K3932" s="7" t="n">
        <f aca="false">Sens!$E$3932+(glt_ind-Sens!$E$3932)*MIN(1,(Sens!K3882-base_fy)/n_conv)</f>
        <v>0.07</v>
      </c>
    </row>
    <row r="3933" customFormat="false" ht="15" hidden="false" customHeight="false" outlineLevel="0" collapsed="false">
      <c r="A3933" s="0" t="s">
        <v>876</v>
      </c>
      <c r="B3933" s="0" t="s">
        <v>98</v>
      </c>
      <c r="D3933" s="6" t="n">
        <f aca="false">Q!L10</f>
        <v>7.76</v>
      </c>
      <c r="E3933" s="6" t="n">
        <f aca="false">Q!M10</f>
        <v>8.26</v>
      </c>
      <c r="F3933" s="6" t="n">
        <f aca="false">Sens!E3933*(1+Sens!F3934)</f>
        <v>8.79988041237113</v>
      </c>
      <c r="G3933" s="6" t="n">
        <f aca="false">Sens!F3933*(1+Sens!G3934)</f>
        <v>9.38321269125306</v>
      </c>
      <c r="H3933" s="6" t="n">
        <f aca="false">Sens!G3933*(1+Sens!H3934)</f>
        <v>10.0139193587476</v>
      </c>
      <c r="I3933" s="6" t="n">
        <f aca="false">Sens!H3933*(1+Sens!I3934)</f>
        <v>10.6963111830911</v>
      </c>
      <c r="J3933" s="6" t="n">
        <f aca="false">Sens!I3933*(1+Sens!J3934)</f>
        <v>11.4351285534696</v>
      </c>
      <c r="K3933" s="6" t="n">
        <f aca="false">Sens!J3933*(1+Sens!K3934)</f>
        <v>12.2355875522124</v>
      </c>
    </row>
    <row r="3934" customFormat="false" ht="15" hidden="false" customHeight="false" outlineLevel="0" collapsed="false">
      <c r="A3934" s="1" t="s">
        <v>866</v>
      </c>
      <c r="B3934" s="0" t="s">
        <v>129</v>
      </c>
      <c r="E3934" s="7" t="n">
        <f aca="false">Sens!E3933/Sens!D3933-1</f>
        <v>0.0644329896907216</v>
      </c>
      <c r="F3934" s="7" t="n">
        <f aca="false">Sens!$E$3934+(glt_fro-Sens!$E$3934)*MIN(1,(Sens!F3882-base_fy)/n_conv)</f>
        <v>0.065360824742268</v>
      </c>
      <c r="G3934" s="7" t="n">
        <f aca="false">Sens!$E$3934+(glt_fro-Sens!$E$3934)*MIN(1,(Sens!G3882-base_fy)/n_conv)</f>
        <v>0.0662886597938144</v>
      </c>
      <c r="H3934" s="7" t="n">
        <f aca="false">Sens!$E$3934+(glt_fro-Sens!$E$3934)*MIN(1,(Sens!H3882-base_fy)/n_conv)</f>
        <v>0.0672164948453608</v>
      </c>
      <c r="I3934" s="7" t="n">
        <f aca="false">Sens!$E$3934+(glt_fro-Sens!$E$3934)*MIN(1,(Sens!I3882-base_fy)/n_conv)</f>
        <v>0.0681443298969072</v>
      </c>
      <c r="J3934" s="7" t="n">
        <f aca="false">Sens!$E$3934+(glt_fro-Sens!$E$3934)*MIN(1,(Sens!J3882-base_fy)/n_conv)</f>
        <v>0.0690721649484536</v>
      </c>
      <c r="K3934" s="7" t="n">
        <f aca="false">Sens!$E$3934+(glt_fro-Sens!$E$3934)*MIN(1,(Sens!K3882-base_fy)/n_conv)</f>
        <v>0.07</v>
      </c>
    </row>
    <row r="3935" customFormat="false" ht="15" hidden="false" customHeight="false" outlineLevel="0" collapsed="false">
      <c r="A3935" s="0" t="s">
        <v>704</v>
      </c>
      <c r="B3935" s="0" t="s">
        <v>98</v>
      </c>
      <c r="D3935" s="6" t="n">
        <f aca="false">Sens!D3923+Sens!D3928+Sens!D3929+Sens!D3931+Sens!D3933</f>
        <v>218.783</v>
      </c>
      <c r="E3935" s="6" t="n">
        <f aca="false">Sens!E3923+Sens!E3928+Sens!E3929+Sens!E3931+Sens!E3933</f>
        <v>268.127</v>
      </c>
      <c r="F3935" s="6" t="n">
        <f aca="false">Sens!F3923+Sens!F3928+Sens!F3929+Sens!F3931+Sens!F3933</f>
        <v>331.564007727615</v>
      </c>
      <c r="G3935" s="6" t="n">
        <f aca="false">Sens!G3923+Sens!G3928+Sens!G3929+Sens!G3931+Sens!G3933</f>
        <v>397.959561367711</v>
      </c>
      <c r="H3935" s="6" t="n">
        <f aca="false">Sens!H3923+Sens!H3928+Sens!H3929+Sens!H3931+Sens!H3933</f>
        <v>459.003838182472</v>
      </c>
      <c r="I3935" s="6" t="n">
        <f aca="false">Sens!I3923+Sens!I3928+Sens!I3929+Sens!I3931+Sens!I3933</f>
        <v>522.512540286013</v>
      </c>
      <c r="J3935" s="6" t="n">
        <f aca="false">Sens!J3923+Sens!J3928+Sens!J3929+Sens!J3931+Sens!J3933</f>
        <v>574.261224999967</v>
      </c>
      <c r="K3935" s="6" t="n">
        <f aca="false">Sens!K3923+Sens!K3928+Sens!K3929+Sens!K3931+Sens!K3933</f>
        <v>614.579746465001</v>
      </c>
    </row>
    <row r="3936" customFormat="false" ht="15" hidden="false" customHeight="false" outlineLevel="0" collapsed="false">
      <c r="A3936" s="0" t="s">
        <v>877</v>
      </c>
      <c r="B3936" s="0" t="s">
        <v>98</v>
      </c>
      <c r="D3936" s="6" t="n">
        <f aca="false">Q!L13</f>
        <v>22.171</v>
      </c>
      <c r="E3936" s="6" t="n">
        <f aca="false">Q!M13</f>
        <v>24.835</v>
      </c>
      <c r="F3936" s="6" t="n">
        <f aca="false">Sens!E3936*(1+Sens!F3937)</f>
        <v>27.6114901218559</v>
      </c>
      <c r="G3936" s="6" t="n">
        <f aca="false">Sens!F3936*(1+Sens!G3937)</f>
        <v>30.4675667338515</v>
      </c>
      <c r="H3936" s="6" t="n">
        <f aca="false">Sens!G3936*(1+Sens!H3937)</f>
        <v>33.3643766955789</v>
      </c>
      <c r="I3936" s="6" t="n">
        <f aca="false">Sens!H3936*(1+Sens!I3937)</f>
        <v>36.2577016533691</v>
      </c>
      <c r="J3936" s="6" t="n">
        <f aca="false">Sens!I3936*(1+Sens!J3937)</f>
        <v>39.0988367952171</v>
      </c>
      <c r="K3936" s="6" t="n">
        <f aca="false">Sens!J3936*(1+Sens!K3937)</f>
        <v>41.8357553708823</v>
      </c>
    </row>
    <row r="3937" customFormat="false" ht="15" hidden="false" customHeight="false" outlineLevel="0" collapsed="false">
      <c r="A3937" s="1" t="s">
        <v>866</v>
      </c>
      <c r="B3937" s="0" t="s">
        <v>129</v>
      </c>
      <c r="E3937" s="7" t="n">
        <f aca="false">Sens!E3936/Sens!D3936-1</f>
        <v>0.120156961796942</v>
      </c>
      <c r="F3937" s="7" t="n">
        <f aca="false">Sens!$E$3937+(glt_srch-Sens!$E$3937)*MIN(1,(Sens!F3882-base_fy)/n_conv)</f>
        <v>0.111797468164118</v>
      </c>
      <c r="G3937" s="7" t="n">
        <f aca="false">Sens!$E$3937+(glt_srch-Sens!$E$3937)*MIN(1,(Sens!G3882-base_fy)/n_conv)</f>
        <v>0.103437974531295</v>
      </c>
      <c r="H3937" s="7" t="n">
        <f aca="false">Sens!$E$3937+(glt_srch-Sens!$E$3937)*MIN(1,(Sens!H3882-base_fy)/n_conv)</f>
        <v>0.095078480898471</v>
      </c>
      <c r="I3937" s="7" t="n">
        <f aca="false">Sens!$E$3937+(glt_srch-Sens!$E$3937)*MIN(1,(Sens!I3882-base_fy)/n_conv)</f>
        <v>0.0867189872656474</v>
      </c>
      <c r="J3937" s="7" t="n">
        <f aca="false">Sens!$E$3937+(glt_srch-Sens!$E$3937)*MIN(1,(Sens!J3882-base_fy)/n_conv)</f>
        <v>0.0783594936328237</v>
      </c>
      <c r="K3937" s="7" t="n">
        <f aca="false">Sens!$E$3937+(glt_srch-Sens!$E$3937)*MIN(1,(Sens!K3882-base_fy)/n_conv)</f>
        <v>0.07</v>
      </c>
    </row>
    <row r="3938" customFormat="false" ht="15" hidden="false" customHeight="false" outlineLevel="0" collapsed="false">
      <c r="A3938" s="0" t="s">
        <v>878</v>
      </c>
      <c r="B3938" s="0" t="s">
        <v>98</v>
      </c>
      <c r="D3938" s="6" t="n">
        <f aca="false">Q!L14</f>
        <v>23.455</v>
      </c>
      <c r="E3938" s="6" t="n">
        <f aca="false">Q!M14</f>
        <v>21.79</v>
      </c>
      <c r="F3938" s="6" t="n">
        <f aca="false">Sens!E3938*(1+Sens!F3939)</f>
        <v>20.5736277908051</v>
      </c>
      <c r="G3938" s="6" t="n">
        <f aca="false">Sens!F3938*(1+Sens!G3939)</f>
        <v>19.7371452817919</v>
      </c>
      <c r="H3938" s="6" t="n">
        <f aca="false">Sens!G3938*(1+Sens!H3939)</f>
        <v>19.2339764043138</v>
      </c>
      <c r="I3938" s="6" t="n">
        <f aca="false">Sens!H3938*(1+Sens!I3939)</f>
        <v>19.0353086852681</v>
      </c>
      <c r="J3938" s="6" t="n">
        <f aca="false">Sens!I3938*(1+Sens!J3939)</f>
        <v>19.1273539319129</v>
      </c>
      <c r="K3938" s="6" t="n">
        <f aca="false">Sens!J3938*(1+Sens!K3939)</f>
        <v>19.5099010105511</v>
      </c>
    </row>
    <row r="3939" customFormat="false" ht="15" hidden="false" customHeight="false" outlineLevel="0" collapsed="false">
      <c r="A3939" s="1" t="s">
        <v>866</v>
      </c>
      <c r="B3939" s="0" t="s">
        <v>129</v>
      </c>
      <c r="E3939" s="7" t="n">
        <f aca="false">Sens!E3938/Sens!D3938-1</f>
        <v>-0.0709869963760392</v>
      </c>
      <c r="F3939" s="7" t="n">
        <f aca="false">Sens!$E$3939+(glt_xbox-Sens!$E$3939)*MIN(1,(Sens!F3882-base_fy)/n_conv)</f>
        <v>-0.0558224969800327</v>
      </c>
      <c r="G3939" s="7" t="n">
        <f aca="false">Sens!$E$3939+(glt_xbox-Sens!$E$3939)*MIN(1,(Sens!G3882-base_fy)/n_conv)</f>
        <v>-0.0406579975840262</v>
      </c>
      <c r="H3939" s="7" t="n">
        <f aca="false">Sens!$E$3939+(glt_xbox-Sens!$E$3939)*MIN(1,(Sens!H3882-base_fy)/n_conv)</f>
        <v>-0.0254934981880196</v>
      </c>
      <c r="I3939" s="7" t="n">
        <f aca="false">Sens!$E$3939+(glt_xbox-Sens!$E$3939)*MIN(1,(Sens!I3882-base_fy)/n_conv)</f>
        <v>-0.0103289987920131</v>
      </c>
      <c r="J3939" s="7" t="n">
        <f aca="false">Sens!$E$3939+(glt_xbox-Sens!$E$3939)*MIN(1,(Sens!J3882-base_fy)/n_conv)</f>
        <v>0.00483550060399347</v>
      </c>
      <c r="K3939" s="7" t="n">
        <f aca="false">Sens!$E$3939+(glt_xbox-Sens!$E$3939)*MIN(1,(Sens!K3882-base_fy)/n_conv)</f>
        <v>0.02</v>
      </c>
    </row>
    <row r="3940" customFormat="false" ht="15" hidden="false" customHeight="false" outlineLevel="0" collapsed="false">
      <c r="A3940" s="0" t="s">
        <v>879</v>
      </c>
      <c r="B3940" s="0" t="s">
        <v>98</v>
      </c>
      <c r="D3940" s="6" t="n">
        <f aca="false">Q!L15</f>
        <v>17.315</v>
      </c>
      <c r="E3940" s="6" t="n">
        <f aca="false">Q!M15</f>
        <v>17.087</v>
      </c>
      <c r="F3940" s="6" t="n">
        <f aca="false">Sens!E3940*(1+Sens!F3941)</f>
        <v>16.9564585436519</v>
      </c>
      <c r="G3940" s="6" t="n">
        <f aca="false">Sens!F3940*(1+Sens!G3941)</f>
        <v>16.9206490624268</v>
      </c>
      <c r="H3940" s="6" t="n">
        <f aca="false">Sens!G3940*(1+Sens!H3941)</f>
        <v>16.9784519149849</v>
      </c>
      <c r="I3940" s="6" t="n">
        <f aca="false">Sens!H3940*(1+Sens!I3941)</f>
        <v>17.1303084701817</v>
      </c>
      <c r="J3940" s="6" t="n">
        <f aca="false">Sens!I3940*(1+Sens!J3941)</f>
        <v>17.3782189407267</v>
      </c>
      <c r="K3940" s="6" t="n">
        <f aca="false">Sens!J3940*(1+Sens!K3941)</f>
        <v>17.7257833195413</v>
      </c>
    </row>
    <row r="3941" customFormat="false" ht="15" hidden="false" customHeight="false" outlineLevel="0" collapsed="false">
      <c r="A3941" s="1" t="s">
        <v>866</v>
      </c>
      <c r="B3941" s="0" t="s">
        <v>129</v>
      </c>
      <c r="E3941" s="7" t="n">
        <f aca="false">Sens!E3940/Sens!D3940-1</f>
        <v>-0.0131677736066995</v>
      </c>
      <c r="F3941" s="7" t="n">
        <f aca="false">Sens!$E$3941+(glt_win-Sens!$E$3941)*MIN(1,(Sens!F3882-base_fy)/n_conv)</f>
        <v>-0.00763981133891627</v>
      </c>
      <c r="G3941" s="7" t="n">
        <f aca="false">Sens!$E$3941+(glt_win-Sens!$E$3941)*MIN(1,(Sens!G3882-base_fy)/n_conv)</f>
        <v>-0.00211184907113301</v>
      </c>
      <c r="H3941" s="7" t="n">
        <f aca="false">Sens!$E$3941+(glt_win-Sens!$E$3941)*MIN(1,(Sens!H3882-base_fy)/n_conv)</f>
        <v>0.00341611319665024</v>
      </c>
      <c r="I3941" s="7" t="n">
        <f aca="false">Sens!$E$3941+(glt_win-Sens!$E$3941)*MIN(1,(Sens!I3882-base_fy)/n_conv)</f>
        <v>0.00894407546443349</v>
      </c>
      <c r="J3941" s="7" t="n">
        <f aca="false">Sens!$E$3941+(glt_win-Sens!$E$3941)*MIN(1,(Sens!J3882-base_fy)/n_conv)</f>
        <v>0.0144720377322168</v>
      </c>
      <c r="K3941" s="7" t="n">
        <f aca="false">Sens!$E$3941+(glt_win-Sens!$E$3941)*MIN(1,(Sens!K3882-base_fy)/n_conv)</f>
        <v>0.02</v>
      </c>
    </row>
    <row r="3942" customFormat="false" ht="15" hidden="false" customHeight="false" outlineLevel="0" collapsed="false">
      <c r="A3942" s="0" t="s">
        <v>718</v>
      </c>
      <c r="B3942" s="0" t="s">
        <v>98</v>
      </c>
      <c r="D3942" s="6" t="n">
        <f aca="false">Sens!D3936+Sens!D3938+Sens!D3940</f>
        <v>62.941</v>
      </c>
      <c r="E3942" s="6" t="n">
        <f aca="false">Sens!E3936+Sens!E3938+Sens!E3940</f>
        <v>63.712</v>
      </c>
      <c r="F3942" s="6" t="n">
        <f aca="false">Sens!F3936+Sens!F3938+Sens!F3940</f>
        <v>65.1415764563129</v>
      </c>
      <c r="G3942" s="6" t="n">
        <f aca="false">Sens!G3936+Sens!G3938+Sens!G3940</f>
        <v>67.1253610780702</v>
      </c>
      <c r="H3942" s="6" t="n">
        <f aca="false">Sens!H3936+Sens!H3938+Sens!H3940</f>
        <v>69.5768050148776</v>
      </c>
      <c r="I3942" s="6" t="n">
        <f aca="false">Sens!I3936+Sens!I3938+Sens!I3940</f>
        <v>72.4233188088189</v>
      </c>
      <c r="J3942" s="6" t="n">
        <f aca="false">Sens!J3936+Sens!J3938+Sens!J3940</f>
        <v>75.6044096678567</v>
      </c>
      <c r="K3942" s="6" t="n">
        <f aca="false">Sens!K3936+Sens!K3938+Sens!K3940</f>
        <v>79.0714397009747</v>
      </c>
    </row>
    <row r="3943" customFormat="false" ht="15" hidden="false" customHeight="false" outlineLevel="0" collapsed="false">
      <c r="A3943" s="1" t="s">
        <v>880</v>
      </c>
      <c r="B3943" s="0" t="s">
        <v>98</v>
      </c>
      <c r="D3943" s="6" t="n">
        <f aca="false">Sens!D3935+Sens!D3942</f>
        <v>281.724</v>
      </c>
      <c r="E3943" s="6" t="n">
        <f aca="false">Sens!E3935+Sens!E3942</f>
        <v>331.839</v>
      </c>
      <c r="F3943" s="6" t="n">
        <f aca="false">Sens!F3935+Sens!F3942</f>
        <v>396.705584183928</v>
      </c>
      <c r="G3943" s="6" t="n">
        <f aca="false">Sens!G3935+Sens!G3942</f>
        <v>465.084922445781</v>
      </c>
      <c r="H3943" s="6" t="n">
        <f aca="false">Sens!H3935+Sens!H3942</f>
        <v>528.58064319735</v>
      </c>
      <c r="I3943" s="6" t="n">
        <f aca="false">Sens!I3935+Sens!I3942</f>
        <v>594.935859094832</v>
      </c>
      <c r="J3943" s="6" t="n">
        <f aca="false">Sens!J3935+Sens!J3942</f>
        <v>649.865634667823</v>
      </c>
      <c r="K3943" s="6" t="n">
        <f aca="false">Sens!K3935+Sens!K3942</f>
        <v>693.651186165976</v>
      </c>
    </row>
    <row r="3944" customFormat="false" ht="15" hidden="false" customHeight="false" outlineLevel="0" collapsed="false">
      <c r="A3944" s="23" t="s">
        <v>881</v>
      </c>
      <c r="B3944" s="30" t="s">
        <v>98</v>
      </c>
      <c r="C3944" s="30"/>
      <c r="D3944" s="24" t="n">
        <f aca="false">(Sens!D3923+Sens!D3928+Sens!D3929+Sens!D3931+Sens!D3933-Sens!D3935)+(Sens!D3936+Sens!D3938+Sens!D3940-Sens!D3942)+(Sens!D3935-Q!L5)+(Sens!D3942-Q!L12)+(Sens!D3923-Q!L6)+(Sens!D3928-Q!L7)</f>
        <v>0</v>
      </c>
      <c r="E3944" s="24" t="n">
        <f aca="false">(Sens!E3923+Sens!E3928+Sens!E3929+Sens!E3931+Sens!E3933-Sens!E3935)+(Sens!E3936+Sens!E3938+Sens!E3940-Sens!E3942)+(Sens!E3935-Q!M5)+(Sens!E3942-Q!M12)+(Sens!E3923-Q!M6)+(Sens!E3928-Q!M7)</f>
        <v>0</v>
      </c>
      <c r="F3944" s="24" t="n">
        <f aca="false">(Sens!F3923+Sens!F3928+Sens!F3929+Sens!F3931+Sens!F3933-Sens!F3935)+(Sens!F3936+Sens!F3938+Sens!F3940-Sens!F3942)</f>
        <v>0</v>
      </c>
      <c r="G3944" s="24" t="n">
        <f aca="false">(Sens!G3923+Sens!G3928+Sens!G3929+Sens!G3931+Sens!G3933-Sens!G3935)+(Sens!G3936+Sens!G3938+Sens!G3940-Sens!G3942)</f>
        <v>0</v>
      </c>
      <c r="H3944" s="24" t="n">
        <f aca="false">(Sens!H3923+Sens!H3928+Sens!H3929+Sens!H3931+Sens!H3933-Sens!H3935)+(Sens!H3936+Sens!H3938+Sens!H3940-Sens!H3942)</f>
        <v>0</v>
      </c>
      <c r="I3944" s="24" t="n">
        <f aca="false">(Sens!I3923+Sens!I3928+Sens!I3929+Sens!I3931+Sens!I3933-Sens!I3935)+(Sens!I3936+Sens!I3938+Sens!I3940-Sens!I3942)</f>
        <v>0</v>
      </c>
      <c r="J3944" s="24" t="n">
        <f aca="false">(Sens!J3923+Sens!J3928+Sens!J3929+Sens!J3931+Sens!J3933-Sens!J3935)+(Sens!J3936+Sens!J3938+Sens!J3940-Sens!J3942)</f>
        <v>0</v>
      </c>
      <c r="K3944" s="24" t="n">
        <f aca="false">(Sens!K3923+Sens!K3928+Sens!K3929+Sens!K3931+Sens!K3933-Sens!K3935)+(Sens!K3936+Sens!K3938+Sens!K3940-Sens!K3942)</f>
        <v>0</v>
      </c>
    </row>
    <row r="3945" customFormat="false" ht="17.15" hidden="false" customHeight="false" outlineLevel="0" collapsed="false">
      <c r="A3945" s="3" t="s">
        <v>1336</v>
      </c>
    </row>
    <row r="3946" customFormat="false" ht="15" hidden="false" customHeight="false" outlineLevel="0" collapsed="false">
      <c r="A3946" s="4" t="s">
        <v>43</v>
      </c>
      <c r="B3946" s="4" t="s">
        <v>65</v>
      </c>
      <c r="C3946" s="20" t="s">
        <v>788</v>
      </c>
      <c r="D3946" s="20" t="s">
        <v>789</v>
      </c>
      <c r="E3946" s="20" t="s">
        <v>790</v>
      </c>
      <c r="F3946" s="20" t="s">
        <v>791</v>
      </c>
      <c r="G3946" s="20" t="s">
        <v>792</v>
      </c>
      <c r="H3946" s="20" t="s">
        <v>793</v>
      </c>
      <c r="I3946" s="20" t="s">
        <v>794</v>
      </c>
      <c r="J3946" s="20" t="s">
        <v>795</v>
      </c>
      <c r="K3946" s="20" t="s">
        <v>796</v>
      </c>
      <c r="L3946" s="4" t="s">
        <v>47</v>
      </c>
    </row>
    <row r="3947" customFormat="false" ht="15" hidden="false" customHeight="false" outlineLevel="0" collapsed="false">
      <c r="A3947" s="0" t="s">
        <v>867</v>
      </c>
      <c r="B3947" s="0" t="s">
        <v>98</v>
      </c>
      <c r="D3947" s="6" t="n">
        <f aca="false">Sens!D3923</f>
        <v>72.61</v>
      </c>
      <c r="E3947" s="6" t="n">
        <f aca="false">Sens!E3923</f>
        <v>101.938</v>
      </c>
      <c r="F3947" s="6" t="n">
        <f aca="false">Sens!F3923</f>
        <v>143.942435788432</v>
      </c>
      <c r="G3947" s="6" t="n">
        <f aca="false">Sens!G3923</f>
        <v>190.866404830282</v>
      </c>
      <c r="H3947" s="6" t="n">
        <f aca="false">Sens!H3923</f>
        <v>232.415155500957</v>
      </c>
      <c r="I3947" s="6" t="n">
        <f aca="false">Sens!I3923</f>
        <v>277.451185306527</v>
      </c>
      <c r="J3947" s="6" t="n">
        <f aca="false">Sens!J3923</f>
        <v>312.070327895798</v>
      </c>
      <c r="K3947" s="6" t="n">
        <f aca="false">Sens!K3923</f>
        <v>336.185677124825</v>
      </c>
    </row>
    <row r="3948" customFormat="false" ht="17.15" hidden="false" customHeight="false" outlineLevel="0" collapsed="false">
      <c r="A3948" s="0" t="s">
        <v>864</v>
      </c>
      <c r="B3948" s="0" t="s">
        <v>98</v>
      </c>
      <c r="D3948" s="6" t="n">
        <f aca="false">Sens!D3920</f>
        <v>12.9359794422418</v>
      </c>
      <c r="E3948" s="6" t="n">
        <f aca="false">Sens!E3920</f>
        <v>27.8095064661409</v>
      </c>
      <c r="F3948" s="6" t="n">
        <f aca="false">Sens!F3920</f>
        <v>53.8624860510656</v>
      </c>
      <c r="G3948" s="6" t="n">
        <f aca="false">Sens!G3920</f>
        <v>83.8379796269722</v>
      </c>
      <c r="H3948" s="6" t="n">
        <f aca="false">Sens!H3920</f>
        <v>108.143172915321</v>
      </c>
      <c r="I3948" s="6" t="n">
        <f aca="false">Sens!I3920</f>
        <v>136.517482924672</v>
      </c>
      <c r="J3948" s="6" t="n">
        <f aca="false">Sens!J3920</f>
        <v>156.051460581466</v>
      </c>
      <c r="K3948" s="6" t="n">
        <f aca="false">Sens!K3920</f>
        <v>167.685300425347</v>
      </c>
    </row>
    <row r="3949" customFormat="false" ht="17.15" hidden="false" customHeight="false" outlineLevel="0" collapsed="false">
      <c r="A3949" s="0" t="s">
        <v>892</v>
      </c>
      <c r="B3949" s="0" t="s">
        <v>98</v>
      </c>
      <c r="D3949" s="6" t="n">
        <f aca="false">Sens!D3921</f>
        <v>59.6740205577583</v>
      </c>
      <c r="E3949" s="6" t="n">
        <f aca="false">Sens!E3921</f>
        <v>74.1284935338591</v>
      </c>
      <c r="F3949" s="6" t="n">
        <f aca="false">Sens!F3921</f>
        <v>90.0799497373663</v>
      </c>
      <c r="G3949" s="6" t="n">
        <f aca="false">Sens!G3921</f>
        <v>107.02842520331</v>
      </c>
      <c r="H3949" s="6" t="n">
        <f aca="false">Sens!H3921</f>
        <v>124.271982585636</v>
      </c>
      <c r="I3949" s="6" t="n">
        <f aca="false">Sens!I3921</f>
        <v>140.933702381855</v>
      </c>
      <c r="J3949" s="6" t="n">
        <f aca="false">Sens!J3921</f>
        <v>156.018867314332</v>
      </c>
      <c r="K3949" s="6" t="n">
        <f aca="false">Sens!K3921</f>
        <v>168.500376699478</v>
      </c>
    </row>
    <row r="3950" customFormat="false" ht="15" hidden="false" customHeight="false" outlineLevel="0" collapsed="false">
      <c r="A3950" s="0" t="s">
        <v>873</v>
      </c>
      <c r="B3950" s="0" t="s">
        <v>98</v>
      </c>
      <c r="D3950" s="6" t="n">
        <f aca="false">Sens!D3928</f>
        <v>84.605</v>
      </c>
      <c r="E3950" s="6" t="n">
        <f aca="false">Sens!E3928</f>
        <v>100.299</v>
      </c>
      <c r="F3950" s="6" t="n">
        <f aca="false">Sens!F3928</f>
        <v>117.39238776686</v>
      </c>
      <c r="G3950" s="6" t="n">
        <f aca="false">Sens!G3928</f>
        <v>132.544168448684</v>
      </c>
      <c r="H3950" s="6" t="n">
        <f aca="false">Sens!H3928</f>
        <v>147.777359388781</v>
      </c>
      <c r="I3950" s="6" t="n">
        <f aca="false">Sens!I3928</f>
        <v>162.084028071957</v>
      </c>
      <c r="J3950" s="6" t="n">
        <f aca="false">Sens!J3928</f>
        <v>175.182702785465</v>
      </c>
      <c r="K3950" s="6" t="n">
        <f aca="false">Sens!K3928</f>
        <v>187.527991980448</v>
      </c>
    </row>
    <row r="3951" customFormat="false" ht="17.15" hidden="false" customHeight="false" outlineLevel="0" collapsed="false">
      <c r="A3951" s="0" t="s">
        <v>893</v>
      </c>
      <c r="B3951" s="0" t="s">
        <v>98</v>
      </c>
      <c r="D3951" s="6" t="n">
        <f aca="false">Sens!D3926</f>
        <v>83.705</v>
      </c>
      <c r="E3951" s="6" t="n">
        <f aca="false">Sens!E3926</f>
        <v>95.049</v>
      </c>
      <c r="F3951" s="6" t="n">
        <f aca="false">Sens!F3926</f>
        <v>106.89238776686</v>
      </c>
      <c r="G3951" s="6" t="n">
        <f aca="false">Sens!G3926</f>
        <v>119.044168448684</v>
      </c>
      <c r="H3951" s="6" t="n">
        <f aca="false">Sens!H3926</f>
        <v>131.277359388781</v>
      </c>
      <c r="I3951" s="6" t="n">
        <f aca="false">Sens!I3926</f>
        <v>143.334028071957</v>
      </c>
      <c r="J3951" s="6" t="n">
        <f aca="false">Sens!J3926</f>
        <v>154.932702785465</v>
      </c>
      <c r="K3951" s="6" t="n">
        <f aca="false">Sens!K3926</f>
        <v>165.777991980448</v>
      </c>
    </row>
    <row r="3952" customFormat="false" ht="17.15" hidden="false" customHeight="false" outlineLevel="0" collapsed="false">
      <c r="A3952" s="0" t="s">
        <v>894</v>
      </c>
      <c r="B3952" s="0" t="s">
        <v>98</v>
      </c>
      <c r="D3952" s="6" t="n">
        <f aca="false">Sens!D3925</f>
        <v>0.9</v>
      </c>
      <c r="E3952" s="6" t="n">
        <f aca="false">Sens!E3925</f>
        <v>5.25</v>
      </c>
      <c r="F3952" s="6" t="n">
        <f aca="false">Sens!F3925</f>
        <v>10.5</v>
      </c>
      <c r="G3952" s="6" t="n">
        <f aca="false">Sens!G3925</f>
        <v>13.5</v>
      </c>
      <c r="H3952" s="6" t="n">
        <f aca="false">Sens!H3925</f>
        <v>16.5</v>
      </c>
      <c r="I3952" s="6" t="n">
        <f aca="false">Sens!I3925</f>
        <v>18.75</v>
      </c>
      <c r="J3952" s="6" t="n">
        <f aca="false">Sens!J3925</f>
        <v>20.25</v>
      </c>
      <c r="K3952" s="6" t="n">
        <f aca="false">Sens!K3925</f>
        <v>21.75</v>
      </c>
    </row>
    <row r="3953" customFormat="false" ht="15" hidden="false" customHeight="false" outlineLevel="0" collapsed="false">
      <c r="A3953" s="0" t="s">
        <v>874</v>
      </c>
      <c r="B3953" s="0" t="s">
        <v>98</v>
      </c>
      <c r="D3953" s="6" t="n">
        <f aca="false">Sens!D3929</f>
        <v>35.391</v>
      </c>
      <c r="E3953" s="6" t="n">
        <f aca="false">Sens!E3929</f>
        <v>37.285</v>
      </c>
      <c r="F3953" s="6" t="n">
        <f aca="false">Sens!F3929</f>
        <v>39.0720834331704</v>
      </c>
      <c r="G3953" s="6" t="n">
        <f aca="false">Sens!G3929</f>
        <v>40.726562953769</v>
      </c>
      <c r="H3953" s="6" t="n">
        <f aca="false">Sens!H3929</f>
        <v>42.2235987259198</v>
      </c>
      <c r="I3953" s="6" t="n">
        <f aca="false">Sens!I3929</f>
        <v>43.5397988077414</v>
      </c>
      <c r="J3953" s="6" t="n">
        <f aca="false">Sens!J3929</f>
        <v>44.653811225693</v>
      </c>
      <c r="K3953" s="6" t="n">
        <f aca="false">Sens!K3929</f>
        <v>45.5468874502068</v>
      </c>
    </row>
    <row r="3954" customFormat="false" ht="15" hidden="false" customHeight="false" outlineLevel="0" collapsed="false">
      <c r="A3954" s="0" t="s">
        <v>875</v>
      </c>
      <c r="B3954" s="0" t="s">
        <v>98</v>
      </c>
      <c r="D3954" s="6" t="n">
        <f aca="false">Sens!D3931</f>
        <v>18.417</v>
      </c>
      <c r="E3954" s="6" t="n">
        <f aca="false">Sens!E3931</f>
        <v>20.345</v>
      </c>
      <c r="F3954" s="6" t="n">
        <f aca="false">Sens!F3931</f>
        <v>22.3572203267814</v>
      </c>
      <c r="G3954" s="6" t="n">
        <f aca="false">Sens!G3931</f>
        <v>24.4392124437232</v>
      </c>
      <c r="H3954" s="6" t="n">
        <f aca="false">Sens!H3931</f>
        <v>26.5738052080665</v>
      </c>
      <c r="I3954" s="6" t="n">
        <f aca="false">Sens!I3931</f>
        <v>28.7412169166967</v>
      </c>
      <c r="J3954" s="6" t="n">
        <f aca="false">Sens!J3931</f>
        <v>30.9192545395413</v>
      </c>
      <c r="K3954" s="6" t="n">
        <f aca="false">Sens!K3931</f>
        <v>33.0836023573092</v>
      </c>
    </row>
    <row r="3955" customFormat="false" ht="15" hidden="false" customHeight="false" outlineLevel="0" collapsed="false">
      <c r="A3955" s="0" t="s">
        <v>876</v>
      </c>
      <c r="B3955" s="0" t="s">
        <v>98</v>
      </c>
      <c r="D3955" s="6" t="n">
        <f aca="false">Sens!D3933</f>
        <v>7.76</v>
      </c>
      <c r="E3955" s="6" t="n">
        <f aca="false">Sens!E3933</f>
        <v>8.26</v>
      </c>
      <c r="F3955" s="6" t="n">
        <f aca="false">Sens!F3933</f>
        <v>8.79988041237113</v>
      </c>
      <c r="G3955" s="6" t="n">
        <f aca="false">Sens!G3933</f>
        <v>9.38321269125306</v>
      </c>
      <c r="H3955" s="6" t="n">
        <f aca="false">Sens!H3933</f>
        <v>10.0139193587476</v>
      </c>
      <c r="I3955" s="6" t="n">
        <f aca="false">Sens!I3933</f>
        <v>10.6963111830911</v>
      </c>
      <c r="J3955" s="6" t="n">
        <f aca="false">Sens!J3933</f>
        <v>11.4351285534696</v>
      </c>
      <c r="K3955" s="6" t="n">
        <f aca="false">Sens!K3933</f>
        <v>12.2355875522124</v>
      </c>
    </row>
    <row r="3956" customFormat="false" ht="15" hidden="false" customHeight="false" outlineLevel="0" collapsed="false">
      <c r="A3956" s="0" t="s">
        <v>704</v>
      </c>
      <c r="B3956" s="0" t="s">
        <v>98</v>
      </c>
      <c r="D3956" s="6" t="n">
        <f aca="false">Sens!D3935</f>
        <v>218.783</v>
      </c>
      <c r="E3956" s="6" t="n">
        <f aca="false">Sens!E3935</f>
        <v>268.127</v>
      </c>
      <c r="F3956" s="6" t="n">
        <f aca="false">Sens!F3935</f>
        <v>331.564007727615</v>
      </c>
      <c r="G3956" s="6" t="n">
        <f aca="false">Sens!G3935</f>
        <v>397.959561367711</v>
      </c>
      <c r="H3956" s="6" t="n">
        <f aca="false">Sens!H3935</f>
        <v>459.003838182472</v>
      </c>
      <c r="I3956" s="6" t="n">
        <f aca="false">Sens!I3935</f>
        <v>522.512540286013</v>
      </c>
      <c r="J3956" s="6" t="n">
        <f aca="false">Sens!J3935</f>
        <v>574.261224999967</v>
      </c>
      <c r="K3956" s="6" t="n">
        <f aca="false">Sens!K3935</f>
        <v>614.579746465001</v>
      </c>
    </row>
    <row r="3957" customFormat="false" ht="15" hidden="false" customHeight="false" outlineLevel="0" collapsed="false">
      <c r="A3957" s="0" t="s">
        <v>877</v>
      </c>
      <c r="B3957" s="0" t="s">
        <v>98</v>
      </c>
      <c r="D3957" s="6" t="n">
        <f aca="false">Sens!D3936</f>
        <v>22.171</v>
      </c>
      <c r="E3957" s="6" t="n">
        <f aca="false">Sens!E3936</f>
        <v>24.835</v>
      </c>
      <c r="F3957" s="6" t="n">
        <f aca="false">Sens!F3936</f>
        <v>27.6114901218559</v>
      </c>
      <c r="G3957" s="6" t="n">
        <f aca="false">Sens!G3936</f>
        <v>30.4675667338515</v>
      </c>
      <c r="H3957" s="6" t="n">
        <f aca="false">Sens!H3936</f>
        <v>33.3643766955789</v>
      </c>
      <c r="I3957" s="6" t="n">
        <f aca="false">Sens!I3936</f>
        <v>36.2577016533691</v>
      </c>
      <c r="J3957" s="6" t="n">
        <f aca="false">Sens!J3936</f>
        <v>39.0988367952171</v>
      </c>
      <c r="K3957" s="6" t="n">
        <f aca="false">Sens!K3936</f>
        <v>41.8357553708823</v>
      </c>
    </row>
    <row r="3958" customFormat="false" ht="15" hidden="false" customHeight="false" outlineLevel="0" collapsed="false">
      <c r="A3958" s="0" t="s">
        <v>878</v>
      </c>
      <c r="B3958" s="0" t="s">
        <v>98</v>
      </c>
      <c r="D3958" s="6" t="n">
        <f aca="false">Sens!D3938</f>
        <v>23.455</v>
      </c>
      <c r="E3958" s="6" t="n">
        <f aca="false">Sens!E3938</f>
        <v>21.79</v>
      </c>
      <c r="F3958" s="6" t="n">
        <f aca="false">Sens!F3938</f>
        <v>20.5736277908051</v>
      </c>
      <c r="G3958" s="6" t="n">
        <f aca="false">Sens!G3938</f>
        <v>19.7371452817919</v>
      </c>
      <c r="H3958" s="6" t="n">
        <f aca="false">Sens!H3938</f>
        <v>19.2339764043138</v>
      </c>
      <c r="I3958" s="6" t="n">
        <f aca="false">Sens!I3938</f>
        <v>19.0353086852681</v>
      </c>
      <c r="J3958" s="6" t="n">
        <f aca="false">Sens!J3938</f>
        <v>19.1273539319129</v>
      </c>
      <c r="K3958" s="6" t="n">
        <f aca="false">Sens!K3938</f>
        <v>19.5099010105511</v>
      </c>
    </row>
    <row r="3959" customFormat="false" ht="15" hidden="false" customHeight="false" outlineLevel="0" collapsed="false">
      <c r="A3959" s="0" t="s">
        <v>879</v>
      </c>
      <c r="B3959" s="0" t="s">
        <v>98</v>
      </c>
      <c r="D3959" s="6" t="n">
        <f aca="false">Sens!D3940</f>
        <v>17.315</v>
      </c>
      <c r="E3959" s="6" t="n">
        <f aca="false">Sens!E3940</f>
        <v>17.087</v>
      </c>
      <c r="F3959" s="6" t="n">
        <f aca="false">Sens!F3940</f>
        <v>16.9564585436519</v>
      </c>
      <c r="G3959" s="6" t="n">
        <f aca="false">Sens!G3940</f>
        <v>16.9206490624268</v>
      </c>
      <c r="H3959" s="6" t="n">
        <f aca="false">Sens!H3940</f>
        <v>16.9784519149849</v>
      </c>
      <c r="I3959" s="6" t="n">
        <f aca="false">Sens!I3940</f>
        <v>17.1303084701817</v>
      </c>
      <c r="J3959" s="6" t="n">
        <f aca="false">Sens!J3940</f>
        <v>17.3782189407267</v>
      </c>
      <c r="K3959" s="6" t="n">
        <f aca="false">Sens!K3940</f>
        <v>17.7257833195413</v>
      </c>
    </row>
    <row r="3960" customFormat="false" ht="15" hidden="false" customHeight="false" outlineLevel="0" collapsed="false">
      <c r="A3960" s="0" t="s">
        <v>718</v>
      </c>
      <c r="B3960" s="0" t="s">
        <v>98</v>
      </c>
      <c r="D3960" s="6" t="n">
        <f aca="false">Sens!D3942</f>
        <v>62.941</v>
      </c>
      <c r="E3960" s="6" t="n">
        <f aca="false">Sens!E3942</f>
        <v>63.712</v>
      </c>
      <c r="F3960" s="6" t="n">
        <f aca="false">Sens!F3942</f>
        <v>65.1415764563129</v>
      </c>
      <c r="G3960" s="6" t="n">
        <f aca="false">Sens!G3942</f>
        <v>67.1253610780702</v>
      </c>
      <c r="H3960" s="6" t="n">
        <f aca="false">Sens!H3942</f>
        <v>69.5768050148776</v>
      </c>
      <c r="I3960" s="6" t="n">
        <f aca="false">Sens!I3942</f>
        <v>72.4233188088189</v>
      </c>
      <c r="J3960" s="6" t="n">
        <f aca="false">Sens!J3942</f>
        <v>75.6044096678567</v>
      </c>
      <c r="K3960" s="6" t="n">
        <f aca="false">Sens!K3942</f>
        <v>79.0714397009747</v>
      </c>
    </row>
    <row r="3961" customFormat="false" ht="15" hidden="false" customHeight="false" outlineLevel="0" collapsed="false">
      <c r="A3961" s="1" t="s">
        <v>895</v>
      </c>
      <c r="B3961" s="0" t="s">
        <v>98</v>
      </c>
      <c r="D3961" s="6" t="n">
        <f aca="false">Sens!D3943</f>
        <v>281.724</v>
      </c>
      <c r="E3961" s="6" t="n">
        <f aca="false">Sens!E3943</f>
        <v>331.839</v>
      </c>
      <c r="F3961" s="6" t="n">
        <f aca="false">Sens!F3943</f>
        <v>396.705584183928</v>
      </c>
      <c r="G3961" s="6" t="n">
        <f aca="false">Sens!G3943</f>
        <v>465.084922445781</v>
      </c>
      <c r="H3961" s="6" t="n">
        <f aca="false">Sens!H3943</f>
        <v>528.58064319735</v>
      </c>
      <c r="I3961" s="6" t="n">
        <f aca="false">Sens!I3943</f>
        <v>594.935859094832</v>
      </c>
      <c r="J3961" s="6" t="n">
        <f aca="false">Sens!J3943</f>
        <v>649.865634667823</v>
      </c>
      <c r="K3961" s="6" t="n">
        <f aca="false">Sens!K3943</f>
        <v>693.651186165976</v>
      </c>
    </row>
    <row r="3962" customFormat="false" ht="15" hidden="false" customHeight="false" outlineLevel="0" collapsed="false">
      <c r="A3962" s="1" t="s">
        <v>896</v>
      </c>
      <c r="B3962" s="0" t="s">
        <v>129</v>
      </c>
      <c r="E3962" s="7" t="n">
        <f aca="false">Sens!E3961/Sens!D3961-1</f>
        <v>0.177886867998467</v>
      </c>
      <c r="F3962" s="7" t="n">
        <f aca="false">Sens!F3961/Sens!E3961-1</f>
        <v>0.19547607178158</v>
      </c>
      <c r="G3962" s="7" t="n">
        <f aca="false">Sens!G3961/Sens!F3961-1</f>
        <v>0.172367975113127</v>
      </c>
      <c r="H3962" s="7" t="n">
        <f aca="false">Sens!H3961/Sens!G3961-1</f>
        <v>0.136525003686764</v>
      </c>
      <c r="I3962" s="7" t="n">
        <f aca="false">Sens!I3961/Sens!H3961-1</f>
        <v>0.125534706485095</v>
      </c>
      <c r="J3962" s="7" t="n">
        <f aca="false">Sens!J3961/Sens!I3961-1</f>
        <v>0.0923289035839332</v>
      </c>
      <c r="K3962" s="7" t="n">
        <f aca="false">Sens!K3961/Sens!J3961-1</f>
        <v>0.0673763146754685</v>
      </c>
    </row>
    <row r="3963" customFormat="false" ht="17.15" hidden="false" customHeight="false" outlineLevel="0" collapsed="false">
      <c r="A3963" s="23" t="s">
        <v>897</v>
      </c>
      <c r="B3963" s="30" t="s">
        <v>98</v>
      </c>
      <c r="C3963" s="30"/>
      <c r="D3963" s="24" t="n">
        <f aca="false">(Sens!D3956+Sens!D3960-Sens!D3961)+(Sens!D3948+Sens!D3949-Sens!D3947)+(Sens!D3951+Sens!D3952-Sens!D3950)+(Sens!D3961-Q!L18)</f>
        <v>0</v>
      </c>
      <c r="E3963" s="24" t="n">
        <f aca="false">(Sens!E3956+Sens!E3960-Sens!E3961)+(Sens!E3948+Sens!E3949-Sens!E3947)+(Sens!E3951+Sens!E3952-Sens!E3950)+(Sens!E3961-Q!M18)</f>
        <v>0</v>
      </c>
      <c r="F3963" s="24" t="n">
        <f aca="false">(Sens!F3956+Sens!F3960-Sens!F3961)+(Sens!F3948+Sens!F3949-Sens!F3947)+(Sens!F3951+Sens!F3952-Sens!F3950)</f>
        <v>0</v>
      </c>
      <c r="G3963" s="24" t="n">
        <f aca="false">(Sens!G3956+Sens!G3960-Sens!G3961)+(Sens!G3948+Sens!G3949-Sens!G3947)+(Sens!G3951+Sens!G3952-Sens!G3950)</f>
        <v>0</v>
      </c>
      <c r="H3963" s="24" t="n">
        <f aca="false">(Sens!H3956+Sens!H3960-Sens!H3961)+(Sens!H3948+Sens!H3949-Sens!H3947)+(Sens!H3951+Sens!H3952-Sens!H3950)</f>
        <v>0</v>
      </c>
      <c r="I3963" s="24" t="n">
        <f aca="false">(Sens!I3956+Sens!I3960-Sens!I3961)+(Sens!I3948+Sens!I3949-Sens!I3947)+(Sens!I3951+Sens!I3952-Sens!I3950)</f>
        <v>0</v>
      </c>
      <c r="J3963" s="24" t="n">
        <f aca="false">(Sens!J3956+Sens!J3960-Sens!J3961)+(Sens!J3948+Sens!J3949-Sens!J3947)+(Sens!J3951+Sens!J3952-Sens!J3950)</f>
        <v>0</v>
      </c>
      <c r="K3963" s="24" t="n">
        <f aca="false">(Sens!K3956+Sens!K3960-Sens!K3961)+(Sens!K3948+Sens!K3949-Sens!K3947)+(Sens!K3951+Sens!K3952-Sens!K3950)</f>
        <v>0</v>
      </c>
    </row>
    <row r="3964" customFormat="false" ht="17.15" hidden="false" customHeight="false" outlineLevel="0" collapsed="false">
      <c r="A3964" s="0" t="s">
        <v>898</v>
      </c>
      <c r="B3964" s="0" t="s">
        <v>129</v>
      </c>
      <c r="E3964" s="7" t="n">
        <f aca="false">(Q!M21+Sens!E3901+Sens!E3902+Sens!E3903+Sens!E3916-Sens!E3899)/(Q!M5-Sens!E3899)</f>
        <v>0.570957350878296</v>
      </c>
      <c r="F3964" s="7" t="n">
        <f aca="false">Sens!$E$3964+dm_seg</f>
        <v>0.570957350878296</v>
      </c>
      <c r="G3964" s="7" t="n">
        <f aca="false">Sens!$E$3964+dm_seg</f>
        <v>0.570957350878296</v>
      </c>
      <c r="H3964" s="7" t="n">
        <f aca="false">Sens!$E$3964+dm_seg</f>
        <v>0.570957350878296</v>
      </c>
      <c r="I3964" s="7" t="n">
        <f aca="false">Sens!$E$3964+dm_seg</f>
        <v>0.570957350878296</v>
      </c>
      <c r="J3964" s="7" t="n">
        <f aca="false">Sens!$E$3964+dm_seg</f>
        <v>0.570957350878296</v>
      </c>
      <c r="K3964" s="7" t="n">
        <f aca="false">Sens!$E$3964+dm_seg</f>
        <v>0.570957350878296</v>
      </c>
      <c r="L3964" s="11" t="s">
        <v>899</v>
      </c>
    </row>
    <row r="3965" customFormat="false" ht="17.15" hidden="false" customHeight="false" outlineLevel="0" collapsed="false">
      <c r="A3965" s="0" t="s">
        <v>732</v>
      </c>
      <c r="B3965" s="0" t="s">
        <v>98</v>
      </c>
      <c r="D3965" s="6" t="n">
        <f aca="false">Q!L21</f>
        <v>110.814</v>
      </c>
      <c r="E3965" s="6" t="n">
        <f aca="false">Q!M21</f>
        <v>136.365</v>
      </c>
      <c r="F3965" s="6" t="n">
        <f aca="false">Sens!F3964*(Sens!F3935-Sens!F3899)+Sens!F3899-(Sens!F3901+Sens!F3902+Sens!F3903)-Sens!F3916</f>
        <v>152.585698193015</v>
      </c>
      <c r="G3965" s="6" t="n">
        <f aca="false">Sens!G3964*(Sens!G3935-Sens!G3899)+Sens!G3899-(Sens!G3901+Sens!G3902+Sens!G3903)-Sens!G3916</f>
        <v>159.294427121602</v>
      </c>
      <c r="H3965" s="6" t="n">
        <f aca="false">Sens!H3964*(Sens!H3935-Sens!H3899)+Sens!H3899-(Sens!H3901+Sens!H3902+Sens!H3903)-Sens!H3916</f>
        <v>158.4497064247</v>
      </c>
      <c r="I3965" s="6" t="n">
        <f aca="false">Sens!I3964*(Sens!I3935-Sens!I3899)+Sens!I3899-(Sens!I3901+Sens!I3902+Sens!I3903)-Sens!I3916</f>
        <v>166.348330456691</v>
      </c>
      <c r="J3965" s="6" t="n">
        <f aca="false">Sens!J3964*(Sens!J3935-Sens!J3899)+Sens!J3899-(Sens!J3901+Sens!J3902+Sens!J3903)-Sens!J3916</f>
        <v>176.306683471047</v>
      </c>
      <c r="K3965" s="6" t="n">
        <f aca="false">Sens!K3964*(Sens!K3935-Sens!K3899)+Sens!K3899-(Sens!K3901+Sens!K3902+Sens!K3903)-Sens!K3916</f>
        <v>188.46689052213</v>
      </c>
      <c r="L3965" s="1" t="s">
        <v>900</v>
      </c>
    </row>
    <row r="3966" customFormat="false" ht="17.15" hidden="false" customHeight="false" outlineLevel="0" collapsed="false">
      <c r="A3966" s="0" t="s">
        <v>901</v>
      </c>
      <c r="B3966" s="0" t="s">
        <v>129</v>
      </c>
      <c r="E3966" s="7" t="n">
        <f aca="false">Q!M22/Q!M12</f>
        <v>0.296207935710698</v>
      </c>
      <c r="F3966" s="7" t="n">
        <f aca="false">Sens!$E$3966+dm_seg</f>
        <v>0.296207935710698</v>
      </c>
      <c r="G3966" s="7" t="n">
        <f aca="false">Sens!$E$3966+dm_seg</f>
        <v>0.296207935710698</v>
      </c>
      <c r="H3966" s="7" t="n">
        <f aca="false">Sens!$E$3966+dm_seg</f>
        <v>0.296207935710698</v>
      </c>
      <c r="I3966" s="7" t="n">
        <f aca="false">Sens!$E$3966+dm_seg</f>
        <v>0.296207935710698</v>
      </c>
      <c r="J3966" s="7" t="n">
        <f aca="false">Sens!$E$3966+dm_seg</f>
        <v>0.296207935710698</v>
      </c>
      <c r="K3966" s="7" t="n">
        <f aca="false">Sens!$E$3966+dm_seg</f>
        <v>0.296207935710698</v>
      </c>
      <c r="L3966" s="11" t="s">
        <v>902</v>
      </c>
    </row>
    <row r="3967" customFormat="false" ht="17.15" hidden="false" customHeight="false" outlineLevel="0" collapsed="false">
      <c r="A3967" s="0" t="s">
        <v>734</v>
      </c>
      <c r="B3967" s="0" t="s">
        <v>98</v>
      </c>
      <c r="D3967" s="6" t="n">
        <f aca="false">Q!L22</f>
        <v>17.714</v>
      </c>
      <c r="E3967" s="6" t="n">
        <f aca="false">Q!M22</f>
        <v>18.872</v>
      </c>
      <c r="F3967" s="6" t="n">
        <f aca="false">Sens!F3942*Sens!F3966</f>
        <v>19.2954518910651</v>
      </c>
      <c r="G3967" s="6" t="n">
        <f aca="false">Sens!G3942*Sens!G3966</f>
        <v>19.8830646387704</v>
      </c>
      <c r="H3967" s="6" t="n">
        <f aca="false">Sens!H3942*Sens!H3966</f>
        <v>20.6092017868026</v>
      </c>
      <c r="I3967" s="6" t="n">
        <f aca="false">Sens!I3942*Sens!I3966</f>
        <v>21.452361761678</v>
      </c>
      <c r="J3967" s="6" t="n">
        <f aca="false">Sens!J3942*Sens!J3966</f>
        <v>22.3946261183418</v>
      </c>
      <c r="K3967" s="6" t="n">
        <f aca="false">Sens!K3942*Sens!K3966</f>
        <v>23.4215879274986</v>
      </c>
    </row>
    <row r="3968" customFormat="false" ht="15" hidden="false" customHeight="false" outlineLevel="0" collapsed="false">
      <c r="A3968" s="1" t="s">
        <v>903</v>
      </c>
      <c r="B3968" s="0" t="s">
        <v>98</v>
      </c>
      <c r="D3968" s="6" t="n">
        <f aca="false">Sens!D3965+Sens!D3967</f>
        <v>128.528</v>
      </c>
      <c r="E3968" s="6" t="n">
        <f aca="false">Sens!E3965+Sens!E3967</f>
        <v>155.237</v>
      </c>
      <c r="F3968" s="6" t="n">
        <f aca="false">Sens!F3965+Sens!F3967</f>
        <v>171.88115008408</v>
      </c>
      <c r="G3968" s="6" t="n">
        <f aca="false">Sens!G3965+Sens!G3967</f>
        <v>179.177491760372</v>
      </c>
      <c r="H3968" s="6" t="n">
        <f aca="false">Sens!H3965+Sens!H3967</f>
        <v>179.058908211503</v>
      </c>
      <c r="I3968" s="6" t="n">
        <f aca="false">Sens!I3965+Sens!I3967</f>
        <v>187.800692218369</v>
      </c>
      <c r="J3968" s="6" t="n">
        <f aca="false">Sens!J3965+Sens!J3967</f>
        <v>198.701309589388</v>
      </c>
      <c r="K3968" s="6" t="n">
        <f aca="false">Sens!K3965+Sens!K3967</f>
        <v>211.888478449628</v>
      </c>
    </row>
    <row r="3969" customFormat="false" ht="15" hidden="false" customHeight="false" outlineLevel="0" collapsed="false">
      <c r="A3969" s="23" t="s">
        <v>904</v>
      </c>
      <c r="B3969" s="30" t="s">
        <v>98</v>
      </c>
      <c r="C3969" s="30"/>
      <c r="D3969" s="24" t="n">
        <f aca="false">Sens!D3968-Q!L23</f>
        <v>0</v>
      </c>
      <c r="E3969" s="24" t="n">
        <f aca="false">Sens!E3968-Q!M23</f>
        <v>0</v>
      </c>
      <c r="F3969" s="30"/>
      <c r="G3969" s="30"/>
      <c r="H3969" s="30"/>
      <c r="I3969" s="30"/>
      <c r="J3969" s="30"/>
      <c r="K3969" s="30"/>
    </row>
    <row r="3970" customFormat="false" ht="15" hidden="false" customHeight="false" outlineLevel="0" collapsed="false">
      <c r="A3970" s="1" t="s">
        <v>905</v>
      </c>
      <c r="B3970" s="0" t="s">
        <v>129</v>
      </c>
      <c r="D3970" s="7" t="n">
        <f aca="false">Sens!D3968/Sens!D3961</f>
        <v>0.456219562408598</v>
      </c>
      <c r="E3970" s="7" t="n">
        <f aca="false">Sens!E3968/Sens!E3961</f>
        <v>0.467808184089272</v>
      </c>
      <c r="F3970" s="7" t="n">
        <f aca="false">Sens!F3968/Sens!F3961</f>
        <v>0.43327131489127</v>
      </c>
      <c r="G3970" s="7" t="n">
        <f aca="false">Sens!G3968/Sens!G3961</f>
        <v>0.385257580095515</v>
      </c>
      <c r="H3970" s="7" t="n">
        <f aca="false">Sens!H3968/Sens!H3961</f>
        <v>0.338754191088775</v>
      </c>
      <c r="I3970" s="7" t="n">
        <f aca="false">Sens!I3968/Sens!I3961</f>
        <v>0.315665444177627</v>
      </c>
      <c r="J3970" s="7" t="n">
        <f aca="false">Sens!J3968/Sens!J3961</f>
        <v>0.30575752738634</v>
      </c>
      <c r="K3970" s="7" t="n">
        <f aca="false">Sens!K3968/Sens!K3961</f>
        <v>0.30546834298778</v>
      </c>
    </row>
    <row r="3971" customFormat="false" ht="17.15" hidden="false" customHeight="false" outlineLevel="0" collapsed="false">
      <c r="A3971" s="1" t="s">
        <v>906</v>
      </c>
      <c r="B3971" s="0" t="s">
        <v>98</v>
      </c>
      <c r="F3971" s="6" t="n">
        <f aca="false">Sens!F3986</f>
        <v>22.7399633714161</v>
      </c>
      <c r="G3971" s="6" t="n">
        <f aca="false">Sens!G3986</f>
        <v>43.5490236248734</v>
      </c>
      <c r="H3971" s="6" t="n">
        <f aca="false">Sens!H3986</f>
        <v>65.8452572288448</v>
      </c>
      <c r="I3971" s="6" t="n">
        <f aca="false">Sens!I3986</f>
        <v>85.6839845105807</v>
      </c>
      <c r="J3971" s="6" t="n">
        <f aca="false">Sens!J3986</f>
        <v>99.3597627892348</v>
      </c>
      <c r="K3971" s="6" t="n">
        <f aca="false">Sens!K3986</f>
        <v>107.093115249119</v>
      </c>
      <c r="L3971" s="1" t="s">
        <v>907</v>
      </c>
    </row>
    <row r="3972" customFormat="false" ht="17.15" hidden="false" customHeight="false" outlineLevel="0" collapsed="false">
      <c r="A3972" s="1" t="s">
        <v>908</v>
      </c>
      <c r="B3972" s="0" t="s">
        <v>98</v>
      </c>
      <c r="D3972" s="6" t="n">
        <f aca="false">Sens!D3968</f>
        <v>128.528</v>
      </c>
      <c r="E3972" s="6" t="n">
        <f aca="false">Sens!E3968</f>
        <v>155.237</v>
      </c>
      <c r="F3972" s="6" t="n">
        <f aca="false">Sens!F3968+Sens!F3971</f>
        <v>194.621113455496</v>
      </c>
      <c r="G3972" s="6" t="n">
        <f aca="false">Sens!G3968+Sens!G3971</f>
        <v>222.726515385245</v>
      </c>
      <c r="H3972" s="6" t="n">
        <f aca="false">Sens!H3968+Sens!H3971</f>
        <v>244.904165440348</v>
      </c>
      <c r="I3972" s="6" t="n">
        <f aca="false">Sens!I3968+Sens!I3971</f>
        <v>273.484676728949</v>
      </c>
      <c r="J3972" s="6" t="n">
        <f aca="false">Sens!J3968+Sens!J3971</f>
        <v>298.061072378623</v>
      </c>
      <c r="K3972" s="6" t="n">
        <f aca="false">Sens!K3968+Sens!K3971</f>
        <v>318.981593698747</v>
      </c>
    </row>
    <row r="3973" customFormat="false" ht="17.15" hidden="false" customHeight="false" outlineLevel="0" collapsed="false">
      <c r="A3973" s="1" t="s">
        <v>909</v>
      </c>
      <c r="B3973" s="0" t="s">
        <v>98</v>
      </c>
      <c r="E3973" s="6" t="n">
        <f aca="false">Sens!E3916</f>
        <v>16.3054059770833</v>
      </c>
      <c r="F3973" s="6" t="n">
        <f aca="false">Sens!F3916</f>
        <v>36.5856912614356</v>
      </c>
      <c r="G3973" s="6" t="n">
        <f aca="false">Sens!G3916</f>
        <v>66.8830522661911</v>
      </c>
      <c r="H3973" s="6" t="n">
        <f aca="false">Sens!H3916</f>
        <v>99.5657515455511</v>
      </c>
      <c r="I3973" s="6" t="n">
        <f aca="false">Sens!I3916</f>
        <v>128.495157395588</v>
      </c>
      <c r="J3973" s="6" t="n">
        <f aca="false">Sens!J3916</f>
        <v>148.701437311538</v>
      </c>
      <c r="K3973" s="6" t="n">
        <f aca="false">Sens!K3916</f>
        <v>160.499909283402</v>
      </c>
    </row>
    <row r="3974" customFormat="false" ht="17.15" hidden="false" customHeight="false" outlineLevel="0" collapsed="false">
      <c r="A3974" s="1" t="s">
        <v>910</v>
      </c>
      <c r="B3974" s="0" t="s">
        <v>98</v>
      </c>
      <c r="E3974" s="6" t="n">
        <f aca="false">Sens!E3998</f>
        <v>22.2285940229167</v>
      </c>
      <c r="F3974" s="6" t="n">
        <f aca="false">Sens!F3998</f>
        <v>23.5486693435813</v>
      </c>
      <c r="G3974" s="6" t="n">
        <f aca="false">Sens!G3998</f>
        <v>25.264091766262</v>
      </c>
      <c r="H3974" s="6" t="n">
        <f aca="false">Sens!H3998</f>
        <v>27.3438339540448</v>
      </c>
      <c r="I3974" s="6" t="n">
        <f aca="false">Sens!I3998</f>
        <v>29.7317905898047</v>
      </c>
      <c r="J3974" s="6" t="n">
        <f aca="false">Sens!J3998</f>
        <v>32.3542028558616</v>
      </c>
      <c r="K3974" s="6" t="n">
        <f aca="false">Sens!K3998</f>
        <v>35.1281528444749</v>
      </c>
    </row>
    <row r="3975" customFormat="false" ht="17.15" hidden="false" customHeight="false" outlineLevel="0" collapsed="false">
      <c r="A3975" s="1" t="s">
        <v>911</v>
      </c>
      <c r="B3975" s="0" t="s">
        <v>98</v>
      </c>
      <c r="D3975" s="6" t="n">
        <f aca="false">Q!L27</f>
        <v>-4.901</v>
      </c>
      <c r="E3975" s="6" t="n">
        <f aca="false">Q!M27</f>
        <v>10.697</v>
      </c>
      <c r="F3975" s="6" t="n">
        <f aca="false">oie_f</f>
        <v>-0.4</v>
      </c>
      <c r="G3975" s="6" t="n">
        <f aca="false">oie_f</f>
        <v>-0.4</v>
      </c>
      <c r="H3975" s="6" t="n">
        <f aca="false">oie_f</f>
        <v>-0.4</v>
      </c>
      <c r="I3975" s="6" t="n">
        <f aca="false">oie_f</f>
        <v>-0.4</v>
      </c>
      <c r="J3975" s="6" t="n">
        <f aca="false">oie_f</f>
        <v>-0.4</v>
      </c>
      <c r="K3975" s="6" t="n">
        <f aca="false">oie_f</f>
        <v>-0.4</v>
      </c>
      <c r="L3975" s="11" t="s">
        <v>912</v>
      </c>
    </row>
    <row r="3976" customFormat="false" ht="15" hidden="false" customHeight="false" outlineLevel="0" collapsed="false">
      <c r="A3976" s="1" t="s">
        <v>913</v>
      </c>
      <c r="B3976" s="0" t="s">
        <v>98</v>
      </c>
      <c r="D3976" s="6" t="n">
        <f aca="false">Sens!D3968+Sens!D3975</f>
        <v>123.627</v>
      </c>
      <c r="E3976" s="6" t="n">
        <f aca="false">Sens!E3968+Sens!E3975</f>
        <v>165.934</v>
      </c>
      <c r="F3976" s="6" t="n">
        <f aca="false">Sens!F3968+Sens!F3975</f>
        <v>171.48115008408</v>
      </c>
      <c r="G3976" s="6" t="n">
        <f aca="false">Sens!G3968+Sens!G3975</f>
        <v>178.777491760372</v>
      </c>
      <c r="H3976" s="6" t="n">
        <f aca="false">Sens!H3968+Sens!H3975</f>
        <v>178.658908211503</v>
      </c>
      <c r="I3976" s="6" t="n">
        <f aca="false">Sens!I3968+Sens!I3975</f>
        <v>187.400692218369</v>
      </c>
      <c r="J3976" s="6" t="n">
        <f aca="false">Sens!J3968+Sens!J3975</f>
        <v>198.301309589388</v>
      </c>
      <c r="K3976" s="6" t="n">
        <f aca="false">Sens!K3968+Sens!K3975</f>
        <v>211.488478449628</v>
      </c>
    </row>
    <row r="3977" customFormat="false" ht="15" hidden="false" customHeight="false" outlineLevel="0" collapsed="false">
      <c r="A3977" s="1" t="s">
        <v>914</v>
      </c>
      <c r="B3977" s="0" t="s">
        <v>98</v>
      </c>
      <c r="D3977" s="6" t="n">
        <f aca="false">Q!L29</f>
        <v>21.795</v>
      </c>
      <c r="E3977" s="6" t="n">
        <f aca="false">Q!M29</f>
        <v>32.185</v>
      </c>
      <c r="F3977" s="6" t="n">
        <f aca="false">Sens!F3976*tax_f</f>
        <v>34.2962300168159</v>
      </c>
      <c r="G3977" s="6" t="n">
        <f aca="false">Sens!G3976*tax_f</f>
        <v>35.7554983520744</v>
      </c>
      <c r="H3977" s="6" t="n">
        <f aca="false">Sens!H3976*tax_f</f>
        <v>35.7317816423006</v>
      </c>
      <c r="I3977" s="6" t="n">
        <f aca="false">Sens!I3976*tax_f</f>
        <v>37.4801384436737</v>
      </c>
      <c r="J3977" s="6" t="n">
        <f aca="false">Sens!J3976*tax_f</f>
        <v>39.6602619178777</v>
      </c>
      <c r="K3977" s="6" t="n">
        <f aca="false">Sens!K3976*tax_f</f>
        <v>42.2976956899257</v>
      </c>
    </row>
    <row r="3978" customFormat="false" ht="15" hidden="false" customHeight="false" outlineLevel="0" collapsed="false">
      <c r="A3978" s="1" t="s">
        <v>915</v>
      </c>
      <c r="B3978" s="0" t="s">
        <v>98</v>
      </c>
      <c r="D3978" s="6" t="n">
        <f aca="false">Sens!D3976-Sens!D3977</f>
        <v>101.832</v>
      </c>
      <c r="E3978" s="6" t="n">
        <f aca="false">Sens!E3976-Sens!E3977</f>
        <v>133.749</v>
      </c>
      <c r="F3978" s="6" t="n">
        <f aca="false">Sens!F3976-Sens!F3977</f>
        <v>137.184920067264</v>
      </c>
      <c r="G3978" s="6" t="n">
        <f aca="false">Sens!G3976-Sens!G3977</f>
        <v>143.021993408298</v>
      </c>
      <c r="H3978" s="6" t="n">
        <f aca="false">Sens!H3976-Sens!H3977</f>
        <v>142.927126569202</v>
      </c>
      <c r="I3978" s="6" t="n">
        <f aca="false">Sens!I3976-Sens!I3977</f>
        <v>149.920553774695</v>
      </c>
      <c r="J3978" s="6" t="n">
        <f aca="false">Sens!J3976-Sens!J3977</f>
        <v>158.641047671511</v>
      </c>
      <c r="K3978" s="6" t="n">
        <f aca="false">Sens!K3976-Sens!K3977</f>
        <v>169.190782759703</v>
      </c>
    </row>
    <row r="3979" customFormat="false" ht="17.15" hidden="false" customHeight="false" outlineLevel="0" collapsed="false">
      <c r="A3979" s="1" t="s">
        <v>916</v>
      </c>
      <c r="B3979" s="1" t="s">
        <v>81</v>
      </c>
      <c r="D3979" s="14" t="n">
        <f aca="false">Q!L31</f>
        <v>7.465</v>
      </c>
      <c r="E3979" s="14" t="n">
        <f aca="false">Q!M31</f>
        <v>7.453</v>
      </c>
      <c r="F3979" s="14" t="n">
        <f aca="false">Sens!F4020</f>
        <v>7.4735</v>
      </c>
      <c r="G3979" s="14" t="n">
        <f aca="false">Sens!G4020</f>
        <v>7.5185</v>
      </c>
      <c r="H3979" s="14" t="n">
        <f aca="false">Sens!H4020</f>
        <v>7.5635</v>
      </c>
      <c r="I3979" s="14" t="n">
        <f aca="false">Sens!I4020</f>
        <v>7.59252924615736</v>
      </c>
      <c r="J3979" s="14" t="n">
        <f aca="false">Sens!J4020</f>
        <v>7.60677075727524</v>
      </c>
      <c r="K3979" s="14" t="n">
        <f aca="false">Sens!K4020</f>
        <v>7.62329067497699</v>
      </c>
    </row>
    <row r="3980" customFormat="false" ht="17.15" hidden="false" customHeight="false" outlineLevel="0" collapsed="false">
      <c r="A3980" s="0" t="s">
        <v>917</v>
      </c>
      <c r="B3980" s="0" t="s">
        <v>75</v>
      </c>
      <c r="D3980" s="8" t="n">
        <f aca="false">Sens!D3978/Sens!D3979</f>
        <v>13.641259209645</v>
      </c>
      <c r="E3980" s="8" t="n">
        <f aca="false">Sens!E3978/Sens!E3979</f>
        <v>17.9456594659869</v>
      </c>
      <c r="F3980" s="8" t="n">
        <f aca="false">Sens!F3978/Sens!F3979</f>
        <v>18.3561811824799</v>
      </c>
      <c r="G3980" s="8" t="n">
        <f aca="false">Sens!G3978/Sens!G3979</f>
        <v>19.0226765190261</v>
      </c>
      <c r="H3980" s="8" t="n">
        <f aca="false">Sens!H3978/Sens!H3979</f>
        <v>18.8969559819134</v>
      </c>
      <c r="I3980" s="8" t="n">
        <f aca="false">Sens!I3978/Sens!I3979</f>
        <v>19.7457986547198</v>
      </c>
      <c r="J3980" s="8" t="n">
        <f aca="false">Sens!J3978/Sens!J3979</f>
        <v>20.8552423536339</v>
      </c>
      <c r="K3980" s="8" t="n">
        <f aca="false">Sens!K3978/Sens!K3979</f>
        <v>22.1939304131563</v>
      </c>
      <c r="L3980" s="1" t="s">
        <v>918</v>
      </c>
    </row>
    <row r="3981" customFormat="false" ht="17.15" hidden="false" customHeight="false" outlineLevel="0" collapsed="false">
      <c r="A3981" s="1" t="s">
        <v>919</v>
      </c>
      <c r="B3981" s="0" t="s">
        <v>98</v>
      </c>
      <c r="D3981" s="6" t="n">
        <f aca="false">Sens!D3978</f>
        <v>101.832</v>
      </c>
      <c r="E3981" s="6" t="n">
        <f aca="false">Sens!E3978</f>
        <v>133.749</v>
      </c>
      <c r="F3981" s="6" t="n">
        <f aca="false">Sens!F3978+Sens!F3971*(1-tax_f)</f>
        <v>155.376890764397</v>
      </c>
      <c r="G3981" s="6" t="n">
        <f aca="false">Sens!G3978+Sens!G3971*(1-tax_f)</f>
        <v>177.861212308196</v>
      </c>
      <c r="H3981" s="6" t="n">
        <f aca="false">Sens!H3978+Sens!H3971*(1-tax_f)</f>
        <v>195.603332352278</v>
      </c>
      <c r="I3981" s="6" t="n">
        <f aca="false">Sens!I3978+Sens!I3971*(1-tax_f)</f>
        <v>218.467741383159</v>
      </c>
      <c r="J3981" s="6" t="n">
        <f aca="false">Sens!J3978+Sens!J3971*(1-tax_f)</f>
        <v>238.128857902899</v>
      </c>
      <c r="K3981" s="6" t="n">
        <f aca="false">Sens!K3978+Sens!K3971*(1-tax_f)</f>
        <v>254.865274958998</v>
      </c>
    </row>
    <row r="3982" customFormat="false" ht="17.15" hidden="false" customHeight="false" outlineLevel="0" collapsed="false">
      <c r="A3982" s="0" t="s">
        <v>920</v>
      </c>
      <c r="B3982" s="0" t="s">
        <v>75</v>
      </c>
      <c r="D3982" s="8" t="n">
        <f aca="false">Sens!D3981/Sens!D3979</f>
        <v>13.641259209645</v>
      </c>
      <c r="E3982" s="8" t="n">
        <f aca="false">Sens!E3981/Sens!E3979</f>
        <v>17.9456594659869</v>
      </c>
      <c r="F3982" s="8" t="n">
        <f aca="false">Sens!F3981/Sens!F3979</f>
        <v>20.7903781045557</v>
      </c>
      <c r="G3982" s="8" t="n">
        <f aca="false">Sens!G3981/Sens!G3979</f>
        <v>23.656475667779</v>
      </c>
      <c r="H3982" s="8" t="n">
        <f aca="false">Sens!H3981/Sens!H3979</f>
        <v>25.8614837512102</v>
      </c>
      <c r="I3982" s="8" t="n">
        <f aca="false">Sens!I3981/Sens!I3979</f>
        <v>28.7740401518674</v>
      </c>
      <c r="J3982" s="8" t="n">
        <f aca="false">Sens!J3981/Sens!J3979</f>
        <v>31.3048553060638</v>
      </c>
      <c r="K3982" s="8" t="n">
        <f aca="false">Sens!K3981/Sens!K3979</f>
        <v>33.432448771182</v>
      </c>
      <c r="L3982" s="1" t="s">
        <v>921</v>
      </c>
    </row>
    <row r="3983" customFormat="false" ht="17.15" hidden="false" customHeight="false" outlineLevel="0" collapsed="false">
      <c r="A3983" s="0" t="s">
        <v>922</v>
      </c>
      <c r="B3983" s="0" t="s">
        <v>129</v>
      </c>
      <c r="E3983" s="7" t="n">
        <f aca="false">Sens!E3982/Sens!D3982-1</f>
        <v>0.315542736208578</v>
      </c>
      <c r="F3983" s="7" t="n">
        <f aca="false">Sens!F3982/Sens!E3982-1</f>
        <v>0.158518478741921</v>
      </c>
      <c r="G3983" s="7" t="n">
        <f aca="false">Sens!G3982/Sens!F3982-1</f>
        <v>0.137856923467655</v>
      </c>
      <c r="H3983" s="7" t="n">
        <f aca="false">Sens!H3982/Sens!G3982-1</f>
        <v>0.0932094921660065</v>
      </c>
      <c r="I3983" s="7" t="n">
        <f aca="false">Sens!I3982/Sens!H3982-1</f>
        <v>0.112621395921297</v>
      </c>
      <c r="J3983" s="7" t="n">
        <f aca="false">Sens!J3982/Sens!I3982-1</f>
        <v>0.087954807209516</v>
      </c>
      <c r="K3983" s="7" t="n">
        <f aca="false">Sens!K3982/Sens!J3982-1</f>
        <v>0.0679636894761864</v>
      </c>
    </row>
    <row r="3984" customFormat="false" ht="17.15" hidden="false" customHeight="false" outlineLevel="0" collapsed="false">
      <c r="A3984" s="0" t="s">
        <v>846</v>
      </c>
      <c r="B3984" s="0" t="s">
        <v>98</v>
      </c>
      <c r="E3984" s="6" t="n">
        <f aca="false">Sens!E3925</f>
        <v>5.25</v>
      </c>
      <c r="F3984" s="6" t="n">
        <f aca="false">Sens!F3925</f>
        <v>10.5</v>
      </c>
      <c r="G3984" s="6" t="n">
        <f aca="false">Sens!G3925</f>
        <v>13.5</v>
      </c>
      <c r="H3984" s="6" t="n">
        <f aca="false">Sens!H3925</f>
        <v>16.5</v>
      </c>
      <c r="I3984" s="6" t="n">
        <f aca="false">Sens!I3925</f>
        <v>18.75</v>
      </c>
      <c r="J3984" s="6" t="n">
        <f aca="false">Sens!J3925</f>
        <v>20.25</v>
      </c>
      <c r="K3984" s="6" t="n">
        <f aca="false">Sens!K3925</f>
        <v>21.75</v>
      </c>
    </row>
    <row r="3985" customFormat="false" ht="17.15" hidden="false" customHeight="false" outlineLevel="0" collapsed="false">
      <c r="A3985" s="1" t="s">
        <v>847</v>
      </c>
      <c r="B3985" s="0" t="s">
        <v>98</v>
      </c>
      <c r="F3985" s="6" t="n">
        <f aca="false">MAX(0,(Sens!E3888+Sens!F3888)/2*Sens!F3896/1000-Sens!F3984*Sens!F3964)</f>
        <v>22.7399633714161</v>
      </c>
      <c r="G3985" s="6" t="n">
        <f aca="false">MAX(0,(Sens!F3888+Sens!G3888)/2*Sens!G3896/1000-Sens!G3984*Sens!G3964)</f>
        <v>43.5490236248734</v>
      </c>
      <c r="H3985" s="6" t="n">
        <f aca="false">MAX(0,(Sens!G3888+Sens!H3888)/2*Sens!H3896/1000-Sens!H3984*Sens!H3964)</f>
        <v>65.8452572288448</v>
      </c>
      <c r="I3985" s="6" t="n">
        <f aca="false">MAX(0,(Sens!H3888+Sens!I3888)/2*Sens!I3896/1000-Sens!I3984*Sens!I3964)</f>
        <v>85.6839845105807</v>
      </c>
      <c r="J3985" s="6" t="n">
        <f aca="false">MAX(0,(Sens!I3888+Sens!J3888)/2*Sens!J3896/1000-Sens!J3984*Sens!J3964)</f>
        <v>99.3597627892348</v>
      </c>
      <c r="K3985" s="6" t="n">
        <f aca="false">MAX(0,(Sens!J3888+Sens!K3888)/2*Sens!K3896/1000-Sens!K3984*Sens!K3964)</f>
        <v>107.093115249119</v>
      </c>
      <c r="L3985" s="1" t="s">
        <v>848</v>
      </c>
    </row>
    <row r="3986" customFormat="false" ht="17.15" hidden="false" customHeight="false" outlineLevel="0" collapsed="false">
      <c r="A3986" s="1" t="s">
        <v>849</v>
      </c>
      <c r="B3986" s="0" t="s">
        <v>98</v>
      </c>
      <c r="F3986" s="6" t="n">
        <f aca="false">IF(internal_ai_reading=2,1,0)*Sens!F3985</f>
        <v>22.7399633714161</v>
      </c>
      <c r="G3986" s="6" t="n">
        <f aca="false">IF(internal_ai_reading=2,1,0)*Sens!G3985</f>
        <v>43.5490236248734</v>
      </c>
      <c r="H3986" s="6" t="n">
        <f aca="false">IF(internal_ai_reading=2,1,0)*Sens!H3985</f>
        <v>65.8452572288448</v>
      </c>
      <c r="I3986" s="6" t="n">
        <f aca="false">IF(internal_ai_reading=2,1,0)*Sens!I3985</f>
        <v>85.6839845105807</v>
      </c>
      <c r="J3986" s="6" t="n">
        <f aca="false">IF(internal_ai_reading=2,1,0)*Sens!J3985</f>
        <v>99.3597627892348</v>
      </c>
      <c r="K3986" s="6" t="n">
        <f aca="false">IF(internal_ai_reading=2,1,0)*Sens!K3985</f>
        <v>107.093115249119</v>
      </c>
    </row>
    <row r="3987" customFormat="false" ht="17.15" hidden="false" customHeight="false" outlineLevel="0" collapsed="false">
      <c r="A3987" s="0" t="s">
        <v>850</v>
      </c>
      <c r="B3987" s="0" t="s">
        <v>98</v>
      </c>
      <c r="F3987" s="6" t="n">
        <f aca="false">Sens!F3905+Sens!F3984*Sens!F3964+Sens!F3986-Sens!F3906-Sens!F3916</f>
        <v>22.7649885973387</v>
      </c>
      <c r="G3987" s="6" t="n">
        <f aca="false">Sens!G3905+Sens!G3984*Sens!G3964+Sens!G3986-Sens!G3906-Sens!G3916</f>
        <v>31.2013488189395</v>
      </c>
      <c r="H3987" s="6" t="n">
        <f aca="false">Sens!H3905+Sens!H3984*Sens!H3964+Sens!H3986-Sens!H3906-Sens!H3916</f>
        <v>33.3892839747077</v>
      </c>
      <c r="I3987" s="6" t="n">
        <f aca="false">Sens!I3905+Sens!I3984*Sens!I3964+Sens!I3986-Sens!I3906-Sens!I3916</f>
        <v>42.3510498930922</v>
      </c>
      <c r="J3987" s="6" t="n">
        <f aca="false">Sens!J3905+Sens!J3984*Sens!J3964+Sens!J3986-Sens!J3906-Sens!J3916</f>
        <v>48.4483934117437</v>
      </c>
      <c r="K3987" s="6" t="n">
        <f aca="false">Sens!K3905+Sens!K3984*Sens!K3964+Sens!K3986-Sens!K3906-Sens!K3916</f>
        <v>52.8206591198267</v>
      </c>
    </row>
    <row r="3988" customFormat="false" ht="17.15" hidden="false" customHeight="false" outlineLevel="0" collapsed="false">
      <c r="A3988" s="0" t="s">
        <v>851</v>
      </c>
      <c r="B3988" s="0" t="s">
        <v>98</v>
      </c>
      <c r="E3988" s="6" t="n">
        <f aca="false">Sens!E3887*(cxit_open+self_build*tk_cxfac)/1000*ai_net_open</f>
        <v>126.6980382</v>
      </c>
      <c r="F3988" s="6" t="n">
        <f aca="false">Sens!E3988+Sens!F3913-Sens!F3916</f>
        <v>285.357616735791</v>
      </c>
      <c r="G3988" s="6" t="n">
        <f aca="false">Sens!F3988+Sens!G3913-Sens!G3916</f>
        <v>438.76358104944</v>
      </c>
      <c r="H3988" s="6" t="n">
        <f aca="false">Sens!G3988+Sens!H3913-Sens!H3916</f>
        <v>564.894172596369</v>
      </c>
      <c r="I3988" s="6" t="n">
        <f aca="false">Sens!H3988+Sens!I3913-Sens!I3916</f>
        <v>626.311537525209</v>
      </c>
      <c r="J3988" s="6" t="n">
        <f aca="false">Sens!I3988+Sens!J3913-Sens!J3916</f>
        <v>616.918226090046</v>
      </c>
      <c r="K3988" s="6" t="n">
        <f aca="false">Sens!J3988+Sens!K3913-Sens!K3916</f>
        <v>574.763197594967</v>
      </c>
      <c r="L3988" s="1" t="s">
        <v>852</v>
      </c>
    </row>
    <row r="3989" customFormat="false" ht="17.15" hidden="false" customHeight="false" outlineLevel="0" collapsed="false">
      <c r="A3989" s="0" t="s">
        <v>853</v>
      </c>
      <c r="B3989" s="0" t="s">
        <v>129</v>
      </c>
      <c r="F3989" s="7" t="n">
        <f aca="false">Sens!F3987*(1-tax_f)/((Sens!E3988+Sens!F3988)/2)</f>
        <v>0.0883957817819967</v>
      </c>
      <c r="G3989" s="7" t="n">
        <f aca="false">Sens!G3987*(1-tax_f)/((Sens!F3988+Sens!G3988)/2)</f>
        <v>0.0689417161975</v>
      </c>
      <c r="H3989" s="7" t="n">
        <f aca="false">Sens!H3987*(1-tax_f)/((Sens!G3988+Sens!H3988)/2)</f>
        <v>0.0532281588673754</v>
      </c>
      <c r="I3989" s="7" t="n">
        <f aca="false">Sens!I3987*(1-tax_f)/((Sens!H3988+Sens!I3988)/2)</f>
        <v>0.0568849521566108</v>
      </c>
      <c r="J3989" s="7" t="n">
        <f aca="false">Sens!J3987*(1-tax_f)/((Sens!I3988+Sens!J3988)/2)</f>
        <v>0.0623516519049325</v>
      </c>
      <c r="K3989" s="7" t="n">
        <f aca="false">Sens!K3987*(1-tax_f)/((Sens!J3988+Sens!K3988)/2)</f>
        <v>0.0709191675828802</v>
      </c>
    </row>
    <row r="3990" customFormat="false" ht="17.15" hidden="false" customHeight="false" outlineLevel="0" collapsed="false">
      <c r="A3990" s="1" t="s">
        <v>854</v>
      </c>
      <c r="B3990" s="0" t="s">
        <v>129</v>
      </c>
      <c r="F3990" s="7" t="n">
        <f aca="false">(Sens!F3987-Sens!F3986)*(1-tax_f)/((Sens!E3988+Sens!F3988)/2)</f>
        <v>9.71722168995171E-005</v>
      </c>
      <c r="G3990" s="7" t="n">
        <f aca="false">(Sens!G3987-Sens!G3986)*(1-tax_f)/((Sens!F3988+Sens!G3988)/2)</f>
        <v>-0.0272831119292186</v>
      </c>
      <c r="H3990" s="7" t="n">
        <f aca="false">(Sens!H3987-Sens!H3986)*(1-tax_f)/((Sens!G3988+Sens!H3988)/2)</f>
        <v>-0.051740303921316</v>
      </c>
      <c r="I3990" s="7" t="n">
        <f aca="false">(Sens!I3987-Sens!I3986)*(1-tax_f)/((Sens!H3988+Sens!I3988)/2)</f>
        <v>-0.0582037970426663</v>
      </c>
      <c r="J3990" s="7" t="n">
        <f aca="false">(Sens!J3987-Sens!J3986)*(1-tax_f)/((Sens!I3988+Sens!J3988)/2)</f>
        <v>-0.065521429254645</v>
      </c>
      <c r="K3990" s="7" t="n">
        <f aca="false">(Sens!K3987-Sens!K3986)*(1-tax_f)/((Sens!J3988+Sens!K3988)/2)</f>
        <v>-0.0728684093592282</v>
      </c>
    </row>
    <row r="3991" customFormat="false" ht="17.15" hidden="false" customHeight="false" outlineLevel="0" collapsed="false">
      <c r="A3991" s="1" t="s">
        <v>855</v>
      </c>
      <c r="B3991" s="0" t="s">
        <v>129</v>
      </c>
      <c r="F3991" s="7" t="n">
        <f aca="false">(Sens!F3987-Sens!F3986+Sens!F3985)*(1-tax_f)/((Sens!E3988+Sens!F3988)/2)</f>
        <v>0.0883957817819967</v>
      </c>
      <c r="G3991" s="7" t="n">
        <f aca="false">(Sens!G3987-Sens!G3986+Sens!G3985)*(1-tax_f)/((Sens!F3988+Sens!G3988)/2)</f>
        <v>0.0689417161975</v>
      </c>
      <c r="H3991" s="7" t="n">
        <f aca="false">(Sens!H3987-Sens!H3986+Sens!H3985)*(1-tax_f)/((Sens!G3988+Sens!H3988)/2)</f>
        <v>0.0532281588673754</v>
      </c>
      <c r="I3991" s="7" t="n">
        <f aca="false">(Sens!I3987-Sens!I3986+Sens!I3985)*(1-tax_f)/((Sens!H3988+Sens!I3988)/2)</f>
        <v>0.0568849521566108</v>
      </c>
      <c r="J3991" s="7" t="n">
        <f aca="false">(Sens!J3987-Sens!J3986+Sens!J3985)*(1-tax_f)/((Sens!I3988+Sens!J3988)/2)</f>
        <v>0.0623516519049325</v>
      </c>
      <c r="K3991" s="7" t="n">
        <f aca="false">(Sens!K3987-Sens!K3986+Sens!K3985)*(1-tax_f)/((Sens!J3988+Sens!K3988)/2)</f>
        <v>0.0709191675828802</v>
      </c>
    </row>
    <row r="3992" customFormat="false" ht="17.15" hidden="false" customHeight="false" outlineLevel="0" collapsed="false">
      <c r="A3992" s="1" t="s">
        <v>856</v>
      </c>
      <c r="B3992" s="0" t="s">
        <v>129</v>
      </c>
      <c r="F3992" s="7" t="n">
        <f aca="false">Sens!F3917*(1-tax_f)/(Sens!F3904*(Sens!E3988+Sens!F3988)/2)</f>
        <v>0.101221991467043</v>
      </c>
      <c r="G3992" s="7" t="n">
        <f aca="false">Sens!G3917*(1-tax_f)/(Sens!G3904*(Sens!F3988+Sens!G3988)/2)</f>
        <v>0.0692830481330347</v>
      </c>
      <c r="H3992" s="7" t="n">
        <f aca="false">Sens!H3917*(1-tax_f)/(Sens!H3904*(Sens!G3988+Sens!H3988)/2)</f>
        <v>0.041030909547548</v>
      </c>
      <c r="I3992" s="7" t="n">
        <f aca="false">Sens!I3917*(1-tax_f)/(Sens!I3904*(Sens!H3988+Sens!I3988)/2)</f>
        <v>0.0436434581339837</v>
      </c>
      <c r="J3992" s="7" t="n">
        <f aca="false">Sens!J3917*(1-tax_f)/(Sens!J3904*(Sens!I3988+Sens!J3988)/2)</f>
        <v>0.0477214975467843</v>
      </c>
      <c r="K3992" s="7" t="n">
        <f aca="false">Sens!K3917*(1-tax_f)/(Sens!K3904*(Sens!J3988+Sens!K3988)/2)</f>
        <v>0.0545365376555952</v>
      </c>
    </row>
    <row r="3993" customFormat="false" ht="17.15" hidden="false" customHeight="false" outlineLevel="0" collapsed="false">
      <c r="A3993" s="0" t="s">
        <v>857</v>
      </c>
      <c r="B3993" s="0" t="s">
        <v>209</v>
      </c>
      <c r="F3993" s="7" t="n">
        <f aca="false">Sens!F3989-wacc</f>
        <v>-0.014538638310879</v>
      </c>
      <c r="G3993" s="7" t="n">
        <f aca="false">Sens!G3989-wacc</f>
        <v>-0.0339927038953757</v>
      </c>
      <c r="H3993" s="7" t="n">
        <f aca="false">Sens!H3989-wacc</f>
        <v>-0.0497062612255003</v>
      </c>
      <c r="I3993" s="7" t="n">
        <f aca="false">Sens!I3989-wacc</f>
        <v>-0.0460494679362649</v>
      </c>
      <c r="J3993" s="7" t="n">
        <f aca="false">Sens!J3989-wacc</f>
        <v>-0.0405827681879432</v>
      </c>
      <c r="K3993" s="7" t="n">
        <f aca="false">Sens!K3989-wacc</f>
        <v>-0.0320152525099955</v>
      </c>
    </row>
    <row r="3994" customFormat="false" ht="17.15" hidden="false" customHeight="false" outlineLevel="0" collapsed="false">
      <c r="A3994" s="0" t="s">
        <v>858</v>
      </c>
      <c r="B3994" s="0" t="s">
        <v>98</v>
      </c>
      <c r="F3994" s="6" t="n">
        <f aca="false">Sens!F3987*(1-tax_f)-wacc*(Sens!E3988+Sens!F3988)/2</f>
        <v>-2.99536406553192</v>
      </c>
      <c r="G3994" s="6" t="n">
        <f aca="false">Sens!G3987*(1-tax_f)-wacc*(Sens!F3988+Sens!G3988)/2</f>
        <v>-12.3074187303391</v>
      </c>
      <c r="H3994" s="6" t="n">
        <f aca="false">Sens!H3987*(1-tax_f)-wacc*(Sens!G3988+Sens!H3988)/2</f>
        <v>-24.9440372418587</v>
      </c>
      <c r="I3994" s="6" t="n">
        <f aca="false">Sens!I3987*(1-tax_f)-wacc*(Sens!H3988+Sens!I3988)/2</f>
        <v>-27.4271945768696</v>
      </c>
      <c r="J3994" s="6" t="n">
        <f aca="false">Sens!J3987*(1-tax_f)-wacc*(Sens!I3988+Sens!J3988)/2</f>
        <v>-25.2268526505747</v>
      </c>
      <c r="K3994" s="6" t="n">
        <f aca="false">Sens!K3987*(1-tax_f)-wacc*(Sens!J3988+Sens!K3988)/2</f>
        <v>-19.0759908453733</v>
      </c>
    </row>
    <row r="3995" customFormat="false" ht="17.15" hidden="false" customHeight="false" outlineLevel="0" collapsed="false">
      <c r="A3995" s="3" t="s">
        <v>1337</v>
      </c>
    </row>
    <row r="3996" customFormat="false" ht="15" hidden="false" customHeight="false" outlineLevel="0" collapsed="false">
      <c r="A3996" s="4" t="s">
        <v>43</v>
      </c>
      <c r="B3996" s="4" t="s">
        <v>65</v>
      </c>
      <c r="C3996" s="20" t="s">
        <v>788</v>
      </c>
      <c r="D3996" s="20" t="s">
        <v>789</v>
      </c>
      <c r="E3996" s="20" t="s">
        <v>790</v>
      </c>
      <c r="F3996" s="20" t="s">
        <v>791</v>
      </c>
      <c r="G3996" s="20" t="s">
        <v>792</v>
      </c>
      <c r="H3996" s="20" t="s">
        <v>793</v>
      </c>
      <c r="I3996" s="20" t="s">
        <v>794</v>
      </c>
      <c r="J3996" s="20" t="s">
        <v>795</v>
      </c>
      <c r="K3996" s="20" t="s">
        <v>796</v>
      </c>
      <c r="L3996" s="4" t="s">
        <v>47</v>
      </c>
    </row>
    <row r="3997" customFormat="false" ht="15" hidden="false" customHeight="false" outlineLevel="0" collapsed="false">
      <c r="A3997" s="1" t="s">
        <v>915</v>
      </c>
      <c r="B3997" s="0" t="s">
        <v>98</v>
      </c>
      <c r="F3997" s="6" t="n">
        <f aca="false">Sens!F3978</f>
        <v>137.184920067264</v>
      </c>
      <c r="G3997" s="6" t="n">
        <f aca="false">Sens!G3978</f>
        <v>143.021993408298</v>
      </c>
      <c r="H3997" s="6" t="n">
        <f aca="false">Sens!H3978</f>
        <v>142.927126569202</v>
      </c>
      <c r="I3997" s="6" t="n">
        <f aca="false">Sens!I3978</f>
        <v>149.920553774695</v>
      </c>
      <c r="J3997" s="6" t="n">
        <f aca="false">Sens!J3978</f>
        <v>158.641047671511</v>
      </c>
      <c r="K3997" s="6" t="n">
        <f aca="false">Sens!K3978</f>
        <v>169.190782759703</v>
      </c>
    </row>
    <row r="3998" customFormat="false" ht="17.15" hidden="false" customHeight="false" outlineLevel="0" collapsed="false">
      <c r="A3998" s="1" t="s">
        <v>937</v>
      </c>
      <c r="B3998" s="0" t="s">
        <v>98</v>
      </c>
      <c r="E3998" s="6" t="n">
        <f aca="false">Q!M38-Sens!E3916</f>
        <v>22.2285940229167</v>
      </c>
      <c r="F3998" s="6" t="n">
        <f aca="false">Sens!E3998*(1-1/life_nonai)+Sens!F4004/life_nonai</f>
        <v>23.5486693435813</v>
      </c>
      <c r="G3998" s="6" t="n">
        <f aca="false">Sens!F3998*(1-1/life_nonai)+Sens!G4004/life_nonai</f>
        <v>25.264091766262</v>
      </c>
      <c r="H3998" s="6" t="n">
        <f aca="false">Sens!G3998*(1-1/life_nonai)+Sens!H4004/life_nonai</f>
        <v>27.3438339540448</v>
      </c>
      <c r="I3998" s="6" t="n">
        <f aca="false">Sens!H3998*(1-1/life_nonai)+Sens!I4004/life_nonai</f>
        <v>29.7317905898047</v>
      </c>
      <c r="J3998" s="6" t="n">
        <f aca="false">Sens!I3998*(1-1/life_nonai)+Sens!J4004/life_nonai</f>
        <v>32.3542028558616</v>
      </c>
      <c r="K3998" s="6" t="n">
        <f aca="false">Sens!J3998*(1-1/life_nonai)+Sens!K4004/life_nonai</f>
        <v>35.1281528444749</v>
      </c>
      <c r="L3998" s="11" t="s">
        <v>938</v>
      </c>
    </row>
    <row r="3999" customFormat="false" ht="17.15" hidden="false" customHeight="false" outlineLevel="0" collapsed="false">
      <c r="A3999" s="1" t="s">
        <v>939</v>
      </c>
      <c r="B3999" s="0" t="s">
        <v>98</v>
      </c>
      <c r="E3999" s="6" t="n">
        <f aca="false">Sens!E3916+Sens!E3998</f>
        <v>38.534</v>
      </c>
      <c r="F3999" s="6" t="n">
        <f aca="false">Sens!F3916+Sens!F3998</f>
        <v>60.1343606050168</v>
      </c>
      <c r="G3999" s="6" t="n">
        <f aca="false">Sens!G3916+Sens!G3998</f>
        <v>92.1471440324532</v>
      </c>
      <c r="H3999" s="6" t="n">
        <f aca="false">Sens!H3916+Sens!H3998</f>
        <v>126.909585499596</v>
      </c>
      <c r="I3999" s="6" t="n">
        <f aca="false">Sens!I3916+Sens!I3998</f>
        <v>158.226947985393</v>
      </c>
      <c r="J3999" s="6" t="n">
        <f aca="false">Sens!J3916+Sens!J3998</f>
        <v>181.0556401674</v>
      </c>
      <c r="K3999" s="6" t="n">
        <f aca="false">Sens!K3916+Sens!K3998</f>
        <v>195.628062127877</v>
      </c>
    </row>
    <row r="4000" customFormat="false" ht="17.15" hidden="false" customHeight="false" outlineLevel="0" collapsed="false">
      <c r="A4000" s="1" t="s">
        <v>940</v>
      </c>
      <c r="B4000" s="0" t="s">
        <v>98</v>
      </c>
      <c r="F4000" s="6" t="n">
        <f aca="false">Sens!F3943*sbc_r</f>
        <v>14.8298806704505</v>
      </c>
      <c r="G4000" s="6" t="n">
        <f aca="false">Sens!G3943*sbc_r</f>
        <v>17.3860771727854</v>
      </c>
      <c r="H4000" s="6" t="n">
        <f aca="false">Sens!H3943*sbc_r</f>
        <v>19.7597114228982</v>
      </c>
      <c r="I4000" s="6" t="n">
        <f aca="false">Sens!I3943*sbc_r</f>
        <v>22.2402409966019</v>
      </c>
      <c r="J4000" s="6" t="n">
        <f aca="false">Sens!J3943*sbc_r</f>
        <v>24.2936580632606</v>
      </c>
      <c r="K4000" s="6" t="n">
        <f aca="false">Sens!K3943*sbc_r</f>
        <v>25.9304752135491</v>
      </c>
    </row>
    <row r="4001" customFormat="false" ht="17.15" hidden="false" customHeight="false" outlineLevel="0" collapsed="false">
      <c r="A4001" s="1" t="s">
        <v>941</v>
      </c>
      <c r="B4001" s="0" t="s">
        <v>98</v>
      </c>
      <c r="F4001" s="6" t="n">
        <f aca="false">wc27</f>
        <v>-4.895</v>
      </c>
      <c r="G4001" s="6" t="n">
        <f aca="false">wc_f</f>
        <v>0</v>
      </c>
      <c r="H4001" s="6" t="n">
        <f aca="false">wc_f</f>
        <v>0</v>
      </c>
      <c r="I4001" s="6" t="n">
        <f aca="false">wc_f</f>
        <v>0</v>
      </c>
      <c r="J4001" s="6" t="n">
        <f aca="false">wc_f</f>
        <v>0</v>
      </c>
      <c r="K4001" s="6" t="n">
        <f aca="false">wc_f</f>
        <v>0</v>
      </c>
      <c r="L4001" s="11" t="s">
        <v>942</v>
      </c>
    </row>
    <row r="4002" customFormat="false" ht="15" hidden="false" customHeight="false" outlineLevel="0" collapsed="false">
      <c r="A4002" s="1" t="s">
        <v>756</v>
      </c>
      <c r="B4002" s="0" t="s">
        <v>98</v>
      </c>
      <c r="E4002" s="6" t="n">
        <f aca="false">Q!M35</f>
        <v>182.935</v>
      </c>
      <c r="F4002" s="6" t="n">
        <f aca="false">Sens!F3997+Sens!F3999+Sens!F4000+Sens!F4001</f>
        <v>207.254161342731</v>
      </c>
      <c r="G4002" s="6" t="n">
        <f aca="false">Sens!G3997+Sens!G3999+Sens!G4000+Sens!G4001</f>
        <v>252.555214613536</v>
      </c>
      <c r="H4002" s="6" t="n">
        <f aca="false">Sens!H3997+Sens!H3999+Sens!H4000+Sens!H4001</f>
        <v>289.596423491696</v>
      </c>
      <c r="I4002" s="6" t="n">
        <f aca="false">Sens!I3997+Sens!I3999+Sens!I4000+Sens!I4001</f>
        <v>330.387742756689</v>
      </c>
      <c r="J4002" s="6" t="n">
        <f aca="false">Sens!J3997+Sens!J3999+Sens!J4000+Sens!J4001</f>
        <v>363.990345902171</v>
      </c>
      <c r="K4002" s="6" t="n">
        <f aca="false">Sens!K3997+Sens!K3999+Sens!K4000+Sens!K4001</f>
        <v>390.749320101129</v>
      </c>
    </row>
    <row r="4003" customFormat="false" ht="17.15" hidden="false" customHeight="false" outlineLevel="0" collapsed="false">
      <c r="A4003" s="0" t="s">
        <v>943</v>
      </c>
      <c r="B4003" s="0" t="s">
        <v>98</v>
      </c>
      <c r="F4003" s="6" t="n">
        <f aca="false">Sens!F3913</f>
        <v>195.245269797227</v>
      </c>
      <c r="G4003" s="6" t="n">
        <f aca="false">Sens!G3913</f>
        <v>220.28901657984</v>
      </c>
      <c r="H4003" s="6" t="n">
        <f aca="false">Sens!H3913</f>
        <v>225.69634309248</v>
      </c>
      <c r="I4003" s="6" t="n">
        <f aca="false">Sens!I3913</f>
        <v>189.912522324428</v>
      </c>
      <c r="J4003" s="6" t="n">
        <f aca="false">Sens!J3913</f>
        <v>139.308125876376</v>
      </c>
      <c r="K4003" s="6" t="n">
        <f aca="false">Sens!K3913</f>
        <v>118.344880788323</v>
      </c>
    </row>
    <row r="4004" customFormat="false" ht="17.15" hidden="false" customHeight="false" outlineLevel="0" collapsed="false">
      <c r="A4004" s="1" t="s">
        <v>944</v>
      </c>
      <c r="B4004" s="0" t="s">
        <v>98</v>
      </c>
      <c r="E4004" s="6" t="n">
        <f aca="false">Sens!E3921*cx_azo+Sens!E3928*cx_m365+Sens!E3929*cx_lic+(Sens!E3931+Sens!E3933)*cx_ind+Sens!E3936*cx_srch+(Sens!E3938+Sens!E3940)*cx_dev</f>
        <v>30.1846587067718</v>
      </c>
      <c r="F4004" s="6" t="n">
        <f aca="false">Sens!F3921*cx_azo+Sens!F3928*cx_m365+Sens!F3929*cx_lic+(Sens!F3931+Sens!F3933)*cx_ind+Sens!F3936*cx_srch+(Sens!F3938+Sens!F3940)*cx_dev</f>
        <v>35.4293472295625</v>
      </c>
      <c r="G4004" s="6" t="n">
        <f aca="false">Sens!G3921*cx_azo+Sens!G3928*cx_m365+Sens!G3929*cx_lic+(Sens!G3931+Sens!G3933)*cx_ind+Sens!G3936*cx_srch+(Sens!G3938+Sens!G3940)*cx_dev</f>
        <v>40.7028935703892</v>
      </c>
      <c r="H4004" s="6" t="n">
        <f aca="false">Sens!H3921*cx_azo+Sens!H3928*cx_m365+Sens!H3929*cx_lic+(Sens!H3931+Sens!H3933)*cx_ind+Sens!H3936*cx_srch+(Sens!H3938+Sens!H3940)*cx_dev</f>
        <v>46.0615136440897</v>
      </c>
      <c r="I4004" s="6" t="n">
        <f aca="false">Sens!I3921*cx_azo+Sens!I3928*cx_m365+Sens!I3929*cx_lic+(Sens!I3931+Sens!I3933)*cx_ind+Sens!I3936*cx_srch+(Sens!I3938+Sens!I3940)*cx_dev</f>
        <v>51.2234003116439</v>
      </c>
      <c r="J4004" s="6" t="n">
        <f aca="false">Sens!J3921*cx_azo+Sens!J3928*cx_m365+Sens!J3929*cx_lic+(Sens!J3931+Sens!J3933)*cx_ind+Sens!J3936*cx_srch+(Sens!J3938+Sens!J3940)*cx_dev</f>
        <v>55.9559132503738</v>
      </c>
      <c r="K4004" s="6" t="n">
        <f aca="false">Sens!K3921*cx_azo+Sens!K3928*cx_m365+Sens!K3929*cx_lic+(Sens!K3931+Sens!K3933)*cx_ind+Sens!K3936*cx_srch+(Sens!K3938+Sens!K3940)*cx_dev</f>
        <v>60.093702741994</v>
      </c>
    </row>
    <row r="4005" customFormat="false" ht="17.15" hidden="false" customHeight="false" outlineLevel="0" collapsed="false">
      <c r="A4005" s="1" t="s">
        <v>945</v>
      </c>
      <c r="B4005" s="0" t="s">
        <v>98</v>
      </c>
      <c r="E4005" s="6" t="n">
        <f aca="false">Q!M42</f>
        <v>145.3</v>
      </c>
      <c r="F4005" s="6" t="n">
        <f aca="false">Sens!F4003+Sens!F4004</f>
        <v>230.674617026789</v>
      </c>
      <c r="G4005" s="6" t="n">
        <f aca="false">Sens!G4003+Sens!G4004</f>
        <v>260.991910150229</v>
      </c>
      <c r="H4005" s="6" t="n">
        <f aca="false">Sens!H4003+Sens!H4004</f>
        <v>271.75785673657</v>
      </c>
      <c r="I4005" s="6" t="n">
        <f aca="false">Sens!I4003+Sens!I4004</f>
        <v>241.135922636072</v>
      </c>
      <c r="J4005" s="6" t="n">
        <f aca="false">Sens!J4003+Sens!J4004</f>
        <v>195.264039126749</v>
      </c>
      <c r="K4005" s="6" t="n">
        <f aca="false">Sens!K4003+Sens!K4004</f>
        <v>178.438583530317</v>
      </c>
      <c r="L4005" s="1" t="s">
        <v>946</v>
      </c>
    </row>
    <row r="4006" customFormat="false" ht="15" hidden="false" customHeight="false" outlineLevel="0" collapsed="false">
      <c r="A4006" s="1" t="s">
        <v>947</v>
      </c>
      <c r="B4006" s="0" t="s">
        <v>98</v>
      </c>
      <c r="E4006" s="6" t="n">
        <f aca="false">fl_liab</f>
        <v>66.594</v>
      </c>
      <c r="F4006" s="6" t="n">
        <f aca="false">Sens!E4006-Sens!F4007</f>
        <v>62.46973</v>
      </c>
      <c r="G4006" s="6" t="n">
        <f aca="false">Sens!F4006-Sens!G4007</f>
        <v>57.98686785</v>
      </c>
      <c r="H4006" s="6" t="n">
        <f aca="false">Sens!G4006-Sens!H4007</f>
        <v>53.92827690325</v>
      </c>
      <c r="I4006" s="6" t="n">
        <f aca="false">Sens!H4006-Sens!I4007</f>
        <v>49.7850493638962</v>
      </c>
      <c r="J4006" s="6" t="n">
        <f aca="false">Sens!I4006-Sens!J4007</f>
        <v>45.4823765852716</v>
      </c>
      <c r="K4006" s="6" t="n">
        <f aca="false">Sens!J4006-Sens!K4007</f>
        <v>40.9860835316088</v>
      </c>
    </row>
    <row r="4007" customFormat="false" ht="15" hidden="false" customHeight="false" outlineLevel="0" collapsed="false">
      <c r="A4007" s="1" t="s">
        <v>948</v>
      </c>
      <c r="B4007" s="0" t="s">
        <v>98</v>
      </c>
      <c r="F4007" s="6" t="n">
        <f aca="false">fl_pay_27-Sens!E4006*fl_rate</f>
        <v>4.12427</v>
      </c>
      <c r="G4007" s="6" t="n">
        <f aca="false">fl_pay_28-Sens!F4006*fl_rate</f>
        <v>4.48286215</v>
      </c>
      <c r="H4007" s="6" t="n">
        <f aca="false">fl_pay_29-Sens!G4006*fl_rate</f>
        <v>4.05859094675</v>
      </c>
      <c r="I4007" s="6" t="n">
        <f aca="false">fl_pay_30-Sens!H4006*fl_rate</f>
        <v>4.14322753935375</v>
      </c>
      <c r="J4007" s="6" t="n">
        <f aca="false">fl_pay_31-Sens!I4006*fl_rate</f>
        <v>4.30267277862467</v>
      </c>
      <c r="K4007" s="6" t="n">
        <f aca="false">fl_pay_32-Sens!J4006*fl_rate</f>
        <v>4.49629305366278</v>
      </c>
    </row>
    <row r="4008" customFormat="false" ht="17.15" hidden="false" customHeight="false" outlineLevel="0" collapsed="false">
      <c r="A4008" s="1" t="s">
        <v>949</v>
      </c>
      <c r="B4008" s="0" t="s">
        <v>98</v>
      </c>
      <c r="E4008" s="6" t="n">
        <f aca="false">Q!M35-Q!M36-Q!M43</f>
        <v>63.886</v>
      </c>
      <c r="F4008" s="6" t="n">
        <f aca="false">Sens!F4002-Sens!F4005-Sens!F4007</f>
        <v>-27.5447256840581</v>
      </c>
      <c r="G4008" s="6" t="n">
        <f aca="false">Sens!G4002-Sens!G4005-Sens!G4007</f>
        <v>-12.9195576866931</v>
      </c>
      <c r="H4008" s="6" t="n">
        <f aca="false">Sens!H4002-Sens!H4005-Sens!H4007</f>
        <v>13.7799758083766</v>
      </c>
      <c r="I4008" s="6" t="n">
        <f aca="false">Sens!I4002-Sens!I4005-Sens!I4007</f>
        <v>85.1085925812639</v>
      </c>
      <c r="J4008" s="6" t="n">
        <f aca="false">Sens!J4002-Sens!J4005-Sens!J4007</f>
        <v>164.423633996797</v>
      </c>
      <c r="K4008" s="6" t="n">
        <f aca="false">Sens!K4002-Sens!K4005-Sens!K4007</f>
        <v>207.814443517149</v>
      </c>
      <c r="L4008" s="11" t="s">
        <v>950</v>
      </c>
    </row>
    <row r="4009" customFormat="false" ht="15" hidden="false" customHeight="false" outlineLevel="0" collapsed="false">
      <c r="A4009" s="1" t="s">
        <v>951</v>
      </c>
      <c r="B4009" s="0" t="s">
        <v>75</v>
      </c>
      <c r="F4009" s="8" t="n">
        <f aca="false">dps_27</f>
        <v>3.85</v>
      </c>
      <c r="G4009" s="8" t="n">
        <f aca="false">Sens!F4009*(1+dps_g)</f>
        <v>4.158</v>
      </c>
      <c r="H4009" s="8" t="n">
        <f aca="false">Sens!G4009*(1+dps_g)</f>
        <v>4.49064</v>
      </c>
      <c r="I4009" s="8" t="n">
        <f aca="false">Sens!H4009*(1+dps_g)</f>
        <v>4.8498912</v>
      </c>
      <c r="J4009" s="8" t="n">
        <f aca="false">Sens!I4009*(1+dps_g)</f>
        <v>5.237882496</v>
      </c>
      <c r="K4009" s="8" t="n">
        <f aca="false">Sens!J4009*(1+dps_g)</f>
        <v>5.65691309568</v>
      </c>
    </row>
    <row r="4010" customFormat="false" ht="17.15" hidden="false" customHeight="false" outlineLevel="0" collapsed="false">
      <c r="A4010" s="1" t="s">
        <v>952</v>
      </c>
      <c r="B4010" s="0" t="s">
        <v>98</v>
      </c>
      <c r="E4010" s="6" t="n">
        <f aca="false">Q!M41</f>
        <v>26.445</v>
      </c>
      <c r="F4010" s="6" t="n">
        <f aca="false">Sens!F4009*Sens!E4019</f>
        <v>28.59395</v>
      </c>
      <c r="G4010" s="6" t="n">
        <f aca="false">Sens!G4009*Sens!F4019</f>
        <v>31.068576</v>
      </c>
      <c r="H4010" s="6" t="n">
        <f aca="false">Sens!H4009*Sens!G4019</f>
        <v>33.75614088</v>
      </c>
      <c r="I4010" s="6" t="n">
        <f aca="false">Sens!I4009*Sens!H4019</f>
        <v>36.6748772544</v>
      </c>
      <c r="J4010" s="6" t="n">
        <f aca="false">Sens!J4009*Sens!I4019</f>
        <v>39.6772662830715</v>
      </c>
      <c r="K4010" s="6" t="n">
        <f aca="false">Sens!K4009*Sens!J4019</f>
        <v>42.9387028110222</v>
      </c>
      <c r="L4010" s="1" t="s">
        <v>953</v>
      </c>
    </row>
    <row r="4011" customFormat="false" ht="15" hidden="false" customHeight="false" outlineLevel="0" collapsed="false">
      <c r="A4011" s="1" t="s">
        <v>954</v>
      </c>
      <c r="B4011" s="0" t="s">
        <v>98</v>
      </c>
      <c r="E4011" s="6" t="n">
        <f aca="false">Sens!E4008-Sens!E4010</f>
        <v>37.441</v>
      </c>
      <c r="F4011" s="6" t="n">
        <f aca="false">Sens!F4008-Sens!F4010</f>
        <v>-56.1386756840581</v>
      </c>
      <c r="G4011" s="6" t="n">
        <f aca="false">Sens!G4008-Sens!G4010</f>
        <v>-43.9881336866931</v>
      </c>
      <c r="H4011" s="6" t="n">
        <f aca="false">Sens!H4008-Sens!H4010</f>
        <v>-19.9761650716234</v>
      </c>
      <c r="I4011" s="6" t="n">
        <f aca="false">Sens!I4008-Sens!I4010</f>
        <v>48.4337153268639</v>
      </c>
      <c r="J4011" s="6" t="n">
        <f aca="false">Sens!J4008-Sens!J4010</f>
        <v>124.746367713726</v>
      </c>
      <c r="K4011" s="6" t="n">
        <f aca="false">Sens!K4008-Sens!K4010</f>
        <v>164.875740706127</v>
      </c>
    </row>
    <row r="4012" customFormat="false" ht="15" hidden="false" customHeight="false" outlineLevel="0" collapsed="false">
      <c r="A4012" s="1" t="s">
        <v>955</v>
      </c>
      <c r="B4012" s="0" t="s">
        <v>98</v>
      </c>
      <c r="F4012" s="6" t="n">
        <f aca="false">debt_mat_27</f>
        <v>9.25</v>
      </c>
      <c r="G4012" s="6" t="n">
        <f aca="false">debt_mat_28</f>
        <v>0</v>
      </c>
      <c r="H4012" s="6" t="n">
        <f aca="false">debt_mat_29</f>
        <v>2.001</v>
      </c>
      <c r="I4012" s="6" t="n">
        <f aca="false">debt_mat_30</f>
        <v>0</v>
      </c>
      <c r="J4012" s="6" t="n">
        <f aca="false">debt_mat_31</f>
        <v>0.5</v>
      </c>
      <c r="K4012" s="6" t="n">
        <f aca="false">debt_mat_32</f>
        <v>0</v>
      </c>
    </row>
    <row r="4013" customFormat="false" ht="15" hidden="false" customHeight="false" outlineLevel="0" collapsed="false">
      <c r="A4013" s="1" t="s">
        <v>956</v>
      </c>
      <c r="B4013" s="0" t="s">
        <v>98</v>
      </c>
      <c r="E4013" s="6" t="n">
        <f aca="false">Q!M40</f>
        <v>22.271</v>
      </c>
      <c r="F4013" s="6" t="n">
        <f aca="false">MAX(0,MIN(bb_target,Sens!E4015+Sens!F4011-Sens!F4012-min_cash))</f>
        <v>0</v>
      </c>
      <c r="G4013" s="6" t="n">
        <f aca="false">MAX(0,MIN(bb_target,Sens!F4015+Sens!G4011-Sens!G4012-min_cash))</f>
        <v>0</v>
      </c>
      <c r="H4013" s="6" t="n">
        <f aca="false">MAX(0,MIN(bb_target,Sens!G4015+Sens!H4011-Sens!H4012-min_cash))</f>
        <v>0</v>
      </c>
      <c r="I4013" s="6" t="n">
        <f aca="false">MAX(0,MIN(bb_target,Sens!H4015+Sens!I4011-Sens!I4012-min_cash))</f>
        <v>22.271</v>
      </c>
      <c r="J4013" s="6" t="n">
        <f aca="false">MAX(0,MIN(bb_target,Sens!I4015+Sens!J4011-Sens!J4012-min_cash))</f>
        <v>22.271</v>
      </c>
      <c r="K4013" s="6" t="n">
        <f aca="false">MAX(0,MIN(bb_target,Sens!J4015+Sens!K4011-Sens!K4012-min_cash))</f>
        <v>22.271</v>
      </c>
    </row>
    <row r="4014" customFormat="false" ht="15" hidden="false" customHeight="false" outlineLevel="0" collapsed="false">
      <c r="A4014" s="1" t="s">
        <v>957</v>
      </c>
      <c r="B4014" s="0" t="s">
        <v>98</v>
      </c>
      <c r="F4014" s="6" t="n">
        <f aca="false">MAX(0,min_cash-(Sens!E4015+Sens!F4011-Sens!F4012-Sens!F4013))</f>
        <v>38.5456756840581</v>
      </c>
      <c r="G4014" s="6" t="n">
        <f aca="false">MAX(0,min_cash-(Sens!F4015+Sens!G4011-Sens!G4012-Sens!G4013))</f>
        <v>43.9881336866931</v>
      </c>
      <c r="H4014" s="6" t="n">
        <f aca="false">MAX(0,min_cash-(Sens!G4015+Sens!H4011-Sens!H4012-Sens!H4013))</f>
        <v>21.9771650716234</v>
      </c>
      <c r="I4014" s="6" t="n">
        <f aca="false">MAX(0,min_cash-(Sens!H4015+Sens!I4011-Sens!I4012-Sens!I4013))</f>
        <v>0</v>
      </c>
      <c r="J4014" s="6" t="n">
        <f aca="false">MAX(0,min_cash-(Sens!I4015+Sens!J4011-Sens!J4012-Sens!J4013))</f>
        <v>0</v>
      </c>
      <c r="K4014" s="6" t="n">
        <f aca="false">MAX(0,min_cash-(Sens!J4015+Sens!K4011-Sens!K4012-Sens!K4013))</f>
        <v>0</v>
      </c>
    </row>
    <row r="4015" customFormat="false" ht="15" hidden="false" customHeight="false" outlineLevel="0" collapsed="false">
      <c r="A4015" s="1" t="s">
        <v>958</v>
      </c>
      <c r="B4015" s="0" t="s">
        <v>98</v>
      </c>
      <c r="E4015" s="6" t="n">
        <f aca="false">cash_open</f>
        <v>76.843</v>
      </c>
      <c r="F4015" s="6" t="n">
        <f aca="false">Sens!E4015+Sens!F4011-Sens!F4012-Sens!F4013+Sens!F4014</f>
        <v>50</v>
      </c>
      <c r="G4015" s="6" t="n">
        <f aca="false">Sens!F4015+Sens!G4011-Sens!G4012-Sens!G4013+Sens!G4014</f>
        <v>50</v>
      </c>
      <c r="H4015" s="6" t="n">
        <f aca="false">Sens!G4015+Sens!H4011-Sens!H4012-Sens!H4013+Sens!H4014</f>
        <v>50</v>
      </c>
      <c r="I4015" s="6" t="n">
        <f aca="false">Sens!H4015+Sens!I4011-Sens!I4012-Sens!I4013+Sens!I4014</f>
        <v>76.1627153268639</v>
      </c>
      <c r="J4015" s="6" t="n">
        <f aca="false">Sens!I4015+Sens!J4011-Sens!J4012-Sens!J4013+Sens!J4014</f>
        <v>178.13808304059</v>
      </c>
      <c r="K4015" s="6" t="n">
        <f aca="false">Sens!J4015+Sens!K4011-Sens!K4012-Sens!K4013+Sens!K4014</f>
        <v>320.742823746716</v>
      </c>
    </row>
    <row r="4016" customFormat="false" ht="15" hidden="false" customHeight="false" outlineLevel="0" collapsed="false">
      <c r="A4016" s="1" t="s">
        <v>959</v>
      </c>
      <c r="B4016" s="0" t="s">
        <v>98</v>
      </c>
      <c r="E4016" s="6" t="n">
        <f aca="false">debt_face</f>
        <v>46.136</v>
      </c>
      <c r="F4016" s="6" t="n">
        <f aca="false">Sens!E4016-Sens!F4012+Sens!F4014</f>
        <v>75.4316756840581</v>
      </c>
      <c r="G4016" s="6" t="n">
        <f aca="false">Sens!F4016-Sens!G4012+Sens!G4014</f>
        <v>119.419809370751</v>
      </c>
      <c r="H4016" s="6" t="n">
        <f aca="false">Sens!G4016-Sens!H4012+Sens!H4014</f>
        <v>139.395974442375</v>
      </c>
      <c r="I4016" s="6" t="n">
        <f aca="false">Sens!H4016-Sens!I4012+Sens!I4014</f>
        <v>139.395974442375</v>
      </c>
      <c r="J4016" s="6" t="n">
        <f aca="false">Sens!I4016-Sens!J4012+Sens!J4014</f>
        <v>138.895974442375</v>
      </c>
      <c r="K4016" s="6" t="n">
        <f aca="false">Sens!J4016-Sens!K4012+Sens!K4014</f>
        <v>138.895974442375</v>
      </c>
    </row>
    <row r="4017" customFormat="false" ht="15" hidden="false" customHeight="false" outlineLevel="0" collapsed="false">
      <c r="A4017" s="1" t="s">
        <v>960</v>
      </c>
      <c r="B4017" s="0" t="s">
        <v>98</v>
      </c>
      <c r="E4017" s="6" t="n">
        <f aca="false">Sens!E4015-Sens!E4016</f>
        <v>30.707</v>
      </c>
      <c r="F4017" s="6" t="n">
        <f aca="false">Sens!F4015-Sens!F4016</f>
        <v>-25.4316756840581</v>
      </c>
      <c r="G4017" s="6" t="n">
        <f aca="false">Sens!G4015-Sens!G4016</f>
        <v>-69.4198093707512</v>
      </c>
      <c r="H4017" s="6" t="n">
        <f aca="false">Sens!H4015-Sens!H4016</f>
        <v>-89.3959744423746</v>
      </c>
      <c r="I4017" s="6" t="n">
        <f aca="false">Sens!I4015-Sens!I4016</f>
        <v>-63.2332591155107</v>
      </c>
      <c r="J4017" s="6" t="n">
        <f aca="false">Sens!J4015-Sens!J4016</f>
        <v>39.2421085982151</v>
      </c>
      <c r="K4017" s="6" t="n">
        <f aca="false">Sens!K4015-Sens!K4016</f>
        <v>181.846849304342</v>
      </c>
    </row>
    <row r="4018" customFormat="false" ht="15" hidden="false" customHeight="false" outlineLevel="0" collapsed="false">
      <c r="A4018" s="1" t="s">
        <v>961</v>
      </c>
      <c r="B4018" s="0" t="s">
        <v>75</v>
      </c>
      <c r="F4018" s="29" t="n">
        <f aca="false">px*(1+bb_g)^(Sens!F3882-base_fy-mid_yr)</f>
        <v>553.494156066711</v>
      </c>
      <c r="G4018" s="29" t="n">
        <f aca="false">px*(1+bb_g)^(Sens!G3882-base_fy-mid_yr)</f>
        <v>597.773688552047</v>
      </c>
      <c r="H4018" s="29" t="n">
        <f aca="false">px*(1+bb_g)^(Sens!H3882-base_fy-mid_yr)</f>
        <v>645.595583636211</v>
      </c>
      <c r="I4018" s="29" t="n">
        <f aca="false">px*(1+bb_g)^(Sens!I3882-base_fy-mid_yr)</f>
        <v>697.243230327108</v>
      </c>
      <c r="J4018" s="29" t="n">
        <f aca="false">px*(1+bb_g)^(Sens!J3882-base_fy-mid_yr)</f>
        <v>753.022688753277</v>
      </c>
      <c r="K4018" s="29" t="n">
        <f aca="false">px*(1+bb_g)^(Sens!K3882-base_fy-mid_yr)</f>
        <v>813.264503853539</v>
      </c>
    </row>
    <row r="4019" customFormat="false" ht="15" hidden="false" customHeight="false" outlineLevel="0" collapsed="false">
      <c r="A4019" s="1" t="s">
        <v>962</v>
      </c>
      <c r="B4019" s="1" t="s">
        <v>81</v>
      </c>
      <c r="E4019" s="14" t="n">
        <f aca="false">sh_out26</f>
        <v>7.427</v>
      </c>
      <c r="F4019" s="14" t="n">
        <f aca="false">Sens!E4019+sh_iss-Sens!F4013/Sens!F4018</f>
        <v>7.472</v>
      </c>
      <c r="G4019" s="14" t="n">
        <f aca="false">Sens!F4019+sh_iss-Sens!G4013/Sens!G4018</f>
        <v>7.517</v>
      </c>
      <c r="H4019" s="14" t="n">
        <f aca="false">Sens!G4019+sh_iss-Sens!H4013/Sens!H4018</f>
        <v>7.562</v>
      </c>
      <c r="I4019" s="14" t="n">
        <f aca="false">Sens!H4019+sh_iss-Sens!I4013/Sens!I4018</f>
        <v>7.57505849231472</v>
      </c>
      <c r="J4019" s="14" t="n">
        <f aca="false">Sens!I4019+sh_iss-Sens!J4013/Sens!J4018</f>
        <v>7.59048302223576</v>
      </c>
      <c r="K4019" s="14" t="n">
        <f aca="false">Sens!J4019+sh_iss-Sens!K4013/Sens!K4018</f>
        <v>7.60809832771821</v>
      </c>
    </row>
    <row r="4020" customFormat="false" ht="15" hidden="false" customHeight="false" outlineLevel="0" collapsed="false">
      <c r="A4020" s="1" t="s">
        <v>963</v>
      </c>
      <c r="B4020" s="1" t="s">
        <v>81</v>
      </c>
      <c r="E4020" s="14" t="n">
        <f aca="false">sh_dil26</f>
        <v>7.453</v>
      </c>
      <c r="F4020" s="14" t="n">
        <f aca="false">(Sens!E4019+Sens!F4019)/2+dil_gap</f>
        <v>7.4735</v>
      </c>
      <c r="G4020" s="14" t="n">
        <f aca="false">(Sens!F4019+Sens!G4019)/2+dil_gap</f>
        <v>7.5185</v>
      </c>
      <c r="H4020" s="14" t="n">
        <f aca="false">(Sens!G4019+Sens!H4019)/2+dil_gap</f>
        <v>7.5635</v>
      </c>
      <c r="I4020" s="14" t="n">
        <f aca="false">(Sens!H4019+Sens!I4019)/2+dil_gap</f>
        <v>7.59252924615736</v>
      </c>
      <c r="J4020" s="14" t="n">
        <f aca="false">(Sens!I4019+Sens!J4019)/2+dil_gap</f>
        <v>7.60677075727524</v>
      </c>
      <c r="K4020" s="14" t="n">
        <f aca="false">(Sens!J4019+Sens!K4019)/2+dil_gap</f>
        <v>7.62329067497699</v>
      </c>
    </row>
    <row r="4021" customFormat="false" ht="17.15" hidden="false" customHeight="false" outlineLevel="0" collapsed="false">
      <c r="A4021" s="1" t="s">
        <v>964</v>
      </c>
      <c r="B4021" s="0" t="s">
        <v>98</v>
      </c>
      <c r="C4021" s="6" t="n">
        <f aca="false">SUM(Sens!F4011:J4011)</f>
        <v>53.0771085982151</v>
      </c>
    </row>
    <row r="4022" customFormat="false" ht="15" hidden="false" customHeight="false" outlineLevel="0" collapsed="false">
      <c r="A4022" s="23" t="s">
        <v>935</v>
      </c>
      <c r="B4022" s="30" t="s">
        <v>98</v>
      </c>
      <c r="C4022" s="24" t="n">
        <f aca="false">Sens!$C$4021-(Sens!F4011+Sens!G4011+Sens!H4011+Sens!I4011+Sens!J4011)</f>
        <v>0</v>
      </c>
      <c r="D4022" s="30"/>
      <c r="E4022" s="30"/>
      <c r="F4022" s="30"/>
      <c r="G4022" s="30"/>
      <c r="H4022" s="30"/>
      <c r="I4022" s="30"/>
      <c r="J4022" s="30"/>
      <c r="K4022" s="30"/>
    </row>
    <row r="4023" customFormat="false" ht="17.15" hidden="false" customHeight="false" outlineLevel="0" collapsed="false">
      <c r="A4023" s="1" t="s">
        <v>929</v>
      </c>
      <c r="B4023" s="1" t="s">
        <v>965</v>
      </c>
      <c r="C4023" s="32" t="str">
        <f aca="false">IF(SUM(Sens!F4014:J4014)&gt;0.05,"需要舉債 "&amp;TEXT(SUM(Sens!F4014:J4014),"0.0")&amp;" 十億美元","不需舉債")&amp;"；"&amp;IF(SUM(Sens!F4013:J4013)&lt;COUNT(Sens!F4013:J4013)*bb_target-0.05,"回購較每年 "&amp;TEXT(bb_target,"0.0")&amp;" 的目標少 "&amp;TEXT(COUNT(Sens!F4013:J4013)*bb_target-SUM(Sens!F4013:J4013),"0.0")&amp;" 十億美元（"&amp;TEXT(COUNTIF(Sens!F4013:J4013,"&lt;"&amp;(bb_target-0.05)),"0")&amp;" 年減少）","回購不減")</f>
        <v>需要舉債 104.5 十億美元；回購較每年 22.3 的目標少 66.8 十億美元（3 年減少）</v>
      </c>
    </row>
    <row r="4024" customFormat="false" ht="17.15" hidden="false" customHeight="false" outlineLevel="0" collapsed="false">
      <c r="A4024" s="3" t="s">
        <v>1338</v>
      </c>
    </row>
    <row r="4025" customFormat="false" ht="15" hidden="false" customHeight="false" outlineLevel="0" collapsed="false">
      <c r="A4025" s="4" t="s">
        <v>43</v>
      </c>
      <c r="B4025" s="4" t="s">
        <v>65</v>
      </c>
      <c r="C4025" s="20" t="s">
        <v>788</v>
      </c>
      <c r="D4025" s="20" t="s">
        <v>789</v>
      </c>
      <c r="E4025" s="20" t="s">
        <v>790</v>
      </c>
      <c r="F4025" s="20" t="s">
        <v>791</v>
      </c>
      <c r="G4025" s="20" t="s">
        <v>792</v>
      </c>
      <c r="H4025" s="20" t="s">
        <v>793</v>
      </c>
      <c r="I4025" s="20" t="s">
        <v>794</v>
      </c>
      <c r="J4025" s="20" t="s">
        <v>795</v>
      </c>
      <c r="K4025" s="20" t="s">
        <v>796</v>
      </c>
      <c r="L4025" s="4" t="s">
        <v>47</v>
      </c>
    </row>
    <row r="4026" customFormat="false" ht="15" hidden="false" customHeight="false" outlineLevel="0" collapsed="false">
      <c r="A4026" s="1" t="s">
        <v>1042</v>
      </c>
      <c r="B4026" s="1" t="s">
        <v>235</v>
      </c>
      <c r="F4026" s="36" t="n">
        <f aca="false">Sens!F3882-base_fy-mid_yr</f>
        <v>0.5</v>
      </c>
      <c r="G4026" s="36" t="n">
        <f aca="false">Sens!G3882-base_fy-mid_yr</f>
        <v>1.5</v>
      </c>
      <c r="H4026" s="36" t="n">
        <f aca="false">Sens!H3882-base_fy-mid_yr</f>
        <v>2.5</v>
      </c>
      <c r="I4026" s="36" t="n">
        <f aca="false">Sens!I3882-base_fy-mid_yr</f>
        <v>3.5</v>
      </c>
      <c r="J4026" s="36" t="n">
        <f aca="false">Sens!J3882-base_fy-mid_yr</f>
        <v>4.5</v>
      </c>
      <c r="K4026" s="36" t="n">
        <f aca="false">Sens!K3882-base_fy-mid_yr</f>
        <v>5.5</v>
      </c>
    </row>
    <row r="4027" customFormat="false" ht="15" hidden="false" customHeight="false" outlineLevel="0" collapsed="false">
      <c r="A4027" s="1" t="s">
        <v>1043</v>
      </c>
      <c r="B4027" s="0" t="s">
        <v>185</v>
      </c>
      <c r="F4027" s="14" t="n">
        <f aca="false">1/(1+wacc)^Sens!F4026</f>
        <v>0.952193373608246</v>
      </c>
      <c r="G4027" s="14" t="n">
        <f aca="false">1/(1+wacc)^Sens!G4026</f>
        <v>0.863327280626589</v>
      </c>
      <c r="H4027" s="14" t="n">
        <f aca="false">1/(1+wacc)^Sens!H4026</f>
        <v>0.782754862754115</v>
      </c>
      <c r="I4027" s="14" t="n">
        <f aca="false">1/(1+wacc)^Sens!I4026</f>
        <v>0.709702089711011</v>
      </c>
      <c r="J4027" s="14" t="n">
        <f aca="false">1/(1+wacc)^Sens!J4026</f>
        <v>0.643467169744551</v>
      </c>
      <c r="K4027" s="14" t="n">
        <f aca="false">1/(1+wacc)^Sens!K4026</f>
        <v>0.583413807767797</v>
      </c>
    </row>
    <row r="4028" customFormat="false" ht="17.15" hidden="false" customHeight="false" outlineLevel="0" collapsed="false">
      <c r="A4028" s="1" t="s">
        <v>1044</v>
      </c>
      <c r="B4028" s="0" t="s">
        <v>98</v>
      </c>
      <c r="F4028" s="6" t="n">
        <f aca="false">Sens!F4002-Sens!F4000-Sens!F4005+Sens!F3986*(1-tax_f)</f>
        <v>-20.0583656573757</v>
      </c>
      <c r="G4028" s="6" t="n">
        <f aca="false">Sens!G4002-Sens!G4000-Sens!G4005+Sens!G3986*(1-tax_f)</f>
        <v>9.01644619042031</v>
      </c>
      <c r="H4028" s="6" t="n">
        <f aca="false">Sens!H4002-Sens!H4000-Sens!H4005+Sens!H3986*(1-tax_f)</f>
        <v>50.7550611153042</v>
      </c>
      <c r="I4028" s="6" t="n">
        <f aca="false">Sens!I4002-Sens!I4000-Sens!I4005+Sens!I3986*(1-tax_f)</f>
        <v>135.55876673248</v>
      </c>
      <c r="J4028" s="6" t="n">
        <f aca="false">Sens!J4002-Sens!J4000-Sens!J4005+Sens!J3986*(1-tax_f)</f>
        <v>223.920458943549</v>
      </c>
      <c r="K4028" s="6" t="n">
        <f aca="false">Sens!K4002-Sens!K4000-Sens!K4005+Sens!K3986*(1-tax_f)</f>
        <v>272.054753556558</v>
      </c>
      <c r="L4028" s="1" t="s">
        <v>1045</v>
      </c>
    </row>
    <row r="4029" customFormat="false" ht="15" hidden="false" customHeight="false" outlineLevel="0" collapsed="false">
      <c r="A4029" s="1" t="s">
        <v>1046</v>
      </c>
      <c r="B4029" s="0" t="s">
        <v>98</v>
      </c>
      <c r="F4029" s="6" t="n">
        <f aca="false">Sens!F4028*Sens!F4027</f>
        <v>-19.0994428643643</v>
      </c>
      <c r="G4029" s="6" t="n">
        <f aca="false">Sens!G4028*Sens!G4027</f>
        <v>7.78414397049153</v>
      </c>
      <c r="H4029" s="6" t="n">
        <f aca="false">Sens!H4028*Sens!H4027</f>
        <v>39.7287708973867</v>
      </c>
      <c r="I4029" s="6" t="n">
        <f aca="false">Sens!I4028*Sens!I4027</f>
        <v>96.2063400286887</v>
      </c>
      <c r="J4029" s="6" t="n">
        <f aca="false">Sens!J4028*Sens!J4027</f>
        <v>144.085463964307</v>
      </c>
      <c r="K4029" s="6" t="n">
        <f aca="false">Sens!K4028*Sens!K4027</f>
        <v>158.720499693761</v>
      </c>
    </row>
    <row r="4030" customFormat="false" ht="17.15" hidden="false" customHeight="false" outlineLevel="0" collapsed="false">
      <c r="A4030" s="1" t="s">
        <v>1047</v>
      </c>
      <c r="B4030" s="0" t="s">
        <v>98</v>
      </c>
      <c r="C4030" s="6" t="n">
        <f aca="false">SUM(Sens!F4029:K4029)</f>
        <v>427.42577569027</v>
      </c>
    </row>
    <row r="4031" customFormat="false" ht="17.15" hidden="false" customHeight="false" outlineLevel="0" collapsed="false">
      <c r="A4031" s="1" t="s">
        <v>1048</v>
      </c>
      <c r="B4031" s="0" t="s">
        <v>98</v>
      </c>
      <c r="C4031" s="6" t="n">
        <f aca="false">Sens!K3972*(1+g_tv)*(1-tax_f)</f>
        <v>262.840833207768</v>
      </c>
    </row>
    <row r="4032" customFormat="false" ht="17.15" hidden="false" customHeight="false" outlineLevel="0" collapsed="false">
      <c r="A4032" s="1" t="s">
        <v>1049</v>
      </c>
      <c r="B4032" s="0" t="s">
        <v>98</v>
      </c>
      <c r="C4032" s="6" t="n">
        <f aca="false">Sens!$C$4031*(1-g_tv/(wacc+ronic_prem))</f>
        <v>186.236476869836</v>
      </c>
    </row>
    <row r="4033" customFormat="false" ht="17.15" hidden="false" customHeight="false" outlineLevel="0" collapsed="false">
      <c r="A4033" s="1" t="s">
        <v>1050</v>
      </c>
      <c r="B4033" s="0" t="s">
        <v>98</v>
      </c>
      <c r="C4033" s="6" t="n">
        <f aca="false">Sens!$C$4032/(wacc-g_tv)</f>
        <v>2553.47854459773</v>
      </c>
    </row>
    <row r="4034" customFormat="false" ht="15" hidden="false" customHeight="false" outlineLevel="0" collapsed="false">
      <c r="A4034" s="1" t="s">
        <v>1051</v>
      </c>
      <c r="B4034" s="0" t="s">
        <v>98</v>
      </c>
      <c r="C4034" s="6" t="n">
        <f aca="false">Sens!$C$4033/(1+wacc)^(Sens!K4026+mid_yr)</f>
        <v>1418.5154533636</v>
      </c>
    </row>
    <row r="4035" customFormat="false" ht="17.15" hidden="false" customHeight="false" outlineLevel="0" collapsed="false">
      <c r="A4035" s="0" t="s">
        <v>972</v>
      </c>
      <c r="B4035" s="0" t="s">
        <v>98</v>
      </c>
      <c r="C4035" s="6" t="n">
        <f aca="false">Sens!$C$4030+Sens!$C$4034</f>
        <v>1845.94122905387</v>
      </c>
    </row>
    <row r="4036" customFormat="false" ht="15" hidden="false" customHeight="false" outlineLevel="0" collapsed="false">
      <c r="A4036" s="1" t="s">
        <v>973</v>
      </c>
      <c r="B4036" s="0" t="s">
        <v>129</v>
      </c>
      <c r="C4036" s="7" t="n">
        <f aca="false">Sens!$C$4034/Sens!$C$4035</f>
        <v>0.768451037897158</v>
      </c>
    </row>
    <row r="4037" customFormat="false" ht="17.15" hidden="false" customHeight="false" outlineLevel="0" collapsed="false">
      <c r="A4037" s="1" t="s">
        <v>1052</v>
      </c>
      <c r="B4037" s="0" t="s">
        <v>98</v>
      </c>
      <c r="C4037" s="6" t="n">
        <f aca="false">Sens!$C$4035+Sens!E4017-Sens!E4006+oai_v</f>
        <v>1980.45422905387</v>
      </c>
    </row>
    <row r="4038" customFormat="false" ht="17.15" hidden="false" customHeight="false" outlineLevel="0" collapsed="false">
      <c r="A4038" s="0" t="s">
        <v>980</v>
      </c>
      <c r="B4038" s="0" t="s">
        <v>75</v>
      </c>
      <c r="C4038" s="5" t="n">
        <f aca="false">Sens!$C$4037/sh_dil26</f>
        <v>265.725778754042</v>
      </c>
    </row>
    <row r="4039" customFormat="false" ht="15" hidden="false" customHeight="false" outlineLevel="0" collapsed="false">
      <c r="A4039" s="1" t="s">
        <v>1053</v>
      </c>
      <c r="B4039" s="0" t="s">
        <v>75</v>
      </c>
      <c r="C4039" s="8" t="n">
        <f aca="false">dps_27+Sens!G4009*roll_div_q/q_per_yr</f>
        <v>4.8895</v>
      </c>
    </row>
    <row r="4040" customFormat="false" ht="17.15" hidden="false" customHeight="false" outlineLevel="0" collapsed="false">
      <c r="A4040" s="0" t="s">
        <v>1054</v>
      </c>
      <c r="B4040" s="0" t="s">
        <v>75</v>
      </c>
      <c r="C4040" s="5" t="n">
        <f aca="false">Sens!$C$4038*(1+wacc)^t_roll-Sens!$C$4039</f>
        <v>297.701316724958</v>
      </c>
    </row>
    <row r="4041" customFormat="false" ht="17.15" hidden="false" customHeight="false" outlineLevel="0" collapsed="false">
      <c r="A4041" s="1" t="s">
        <v>1055</v>
      </c>
      <c r="B4041" s="0" t="s">
        <v>129</v>
      </c>
      <c r="F4041" s="7" t="n">
        <f aca="false">Sens!F3998/(Sens!F3943-Sens!F3899)</f>
        <v>0.0686864325746334</v>
      </c>
      <c r="G4041" s="7" t="n">
        <f aca="false">Sens!G3998/(Sens!G3943-Sens!G3899)</f>
        <v>0.066267001590801</v>
      </c>
      <c r="H4041" s="7" t="n">
        <f aca="false">Sens!H3998/(Sens!H3943-Sens!H3899)</f>
        <v>0.0650366246750144</v>
      </c>
      <c r="I4041" s="7" t="n">
        <f aca="false">Sens!I3998/(Sens!I3943-Sens!I3899)</f>
        <v>0.0648573271390164</v>
      </c>
      <c r="J4041" s="7" t="n">
        <f aca="false">Sens!J3998/(Sens!J3943-Sens!J3899)</f>
        <v>0.0655189837669657</v>
      </c>
      <c r="K4041" s="7" t="n">
        <f aca="false">Sens!K3998/(Sens!K3943-Sens!K3899)</f>
        <v>0.0667878921367872</v>
      </c>
    </row>
    <row r="4042" customFormat="false" ht="17.15" hidden="false" customHeight="false" outlineLevel="0" collapsed="false">
      <c r="A4042" s="0" t="s">
        <v>1056</v>
      </c>
      <c r="B4042" s="0" t="s">
        <v>98</v>
      </c>
      <c r="F4042" s="6" t="n">
        <f aca="false">Sens!F3928*(al_m365+Sens!F4041+sbc_r)</f>
        <v>82.8871280343675</v>
      </c>
      <c r="G4042" s="6" t="n">
        <f aca="false">Sens!G3928*(al_m365+Sens!G4041+sbc_r)</f>
        <v>93.2646494841949</v>
      </c>
      <c r="H4042" s="6" t="n">
        <f aca="false">Sens!H3928*(al_m365+Sens!H4041+sbc_r)</f>
        <v>103.801656157254</v>
      </c>
      <c r="I4042" s="6" t="n">
        <f aca="false">Sens!I3928*(al_m365+Sens!I4041+sbc_r)</f>
        <v>113.821873816133</v>
      </c>
      <c r="J4042" s="6" t="n">
        <f aca="false">Sens!J3928*(al_m365+Sens!J4041+sbc_r)</f>
        <v>123.136196807334</v>
      </c>
      <c r="K4042" s="6" t="n">
        <f aca="false">Sens!K3928*(al_m365+Sens!K4041+sbc_r)</f>
        <v>132.051675801964</v>
      </c>
      <c r="L4042" s="11" t="s">
        <v>1057</v>
      </c>
    </row>
    <row r="4043" customFormat="false" ht="17.15" hidden="false" customHeight="false" outlineLevel="0" collapsed="false">
      <c r="A4043" s="0" t="s">
        <v>1058</v>
      </c>
      <c r="B4043" s="0" t="s">
        <v>98</v>
      </c>
      <c r="F4043" s="6" t="n">
        <f aca="false">Sens!F3929*(al_lic+Sens!F4041+sbc_r)</f>
        <v>33.4484001235218</v>
      </c>
      <c r="G4043" s="6" t="n">
        <f aca="false">Sens!G3929*(al_lic+Sens!G4041+sbc_r)</f>
        <v>34.7662136749183</v>
      </c>
      <c r="H4043" s="6" t="n">
        <f aca="false">Sens!H3929*(al_lic+Sens!H4041+sbc_r)</f>
        <v>35.9922067034497</v>
      </c>
      <c r="I4043" s="6" t="n">
        <f aca="false">Sens!I3929*(al_lic+Sens!I4041+sbc_r)</f>
        <v>37.1063543598183</v>
      </c>
      <c r="J4043" s="6" t="n">
        <f aca="false">Sens!J3929*(al_lic+Sens!J4041+sbc_r)</f>
        <v>38.0853056964387</v>
      </c>
      <c r="K4043" s="6" t="n">
        <f aca="false">Sens!K3929*(al_lic+Sens!K4041+sbc_r)</f>
        <v>38.9048066370724</v>
      </c>
    </row>
    <row r="4044" customFormat="false" ht="17.15" hidden="false" customHeight="false" outlineLevel="0" collapsed="false">
      <c r="A4044" s="0" t="s">
        <v>1059</v>
      </c>
      <c r="B4044" s="0" t="s">
        <v>98</v>
      </c>
      <c r="F4044" s="6" t="n">
        <f aca="false">Sens!F3931*(al_ind+Sens!F4041+sbc_r)</f>
        <v>9.07857451914073</v>
      </c>
      <c r="G4044" s="6" t="n">
        <f aca="false">Sens!G3931*(al_ind+Sens!G4041+sbc_r)</f>
        <v>9.86487802721884</v>
      </c>
      <c r="H4044" s="6" t="n">
        <f aca="false">Sens!H3931*(al_ind+Sens!H4041+sbc_r)</f>
        <v>10.693809720013</v>
      </c>
      <c r="I4044" s="6" t="n">
        <f aca="false">Sens!I3931*(al_ind+Sens!I4041+sbc_r)</f>
        <v>11.5608645999226</v>
      </c>
      <c r="J4044" s="6" t="n">
        <f aca="false">Sens!J3931*(al_ind+Sens!J4041+sbc_r)</f>
        <v>12.4574161941375</v>
      </c>
      <c r="K4044" s="6" t="n">
        <f aca="false">Sens!K3931*(al_ind+Sens!K4041+sbc_r)</f>
        <v>13.3714153876622</v>
      </c>
    </row>
    <row r="4045" customFormat="false" ht="17.15" hidden="false" customHeight="false" outlineLevel="0" collapsed="false">
      <c r="A4045" s="0" t="s">
        <v>1060</v>
      </c>
      <c r="B4045" s="0" t="s">
        <v>98</v>
      </c>
      <c r="F4045" s="6" t="n">
        <f aca="false">Sens!F3933*(al_fro+Sens!F4041+sbc_r)</f>
        <v>3.57335880380168</v>
      </c>
      <c r="G4045" s="6" t="n">
        <f aca="false">Sens!G3933*(al_fro+Sens!G4041+sbc_r)</f>
        <v>3.78752993435501</v>
      </c>
      <c r="H4045" s="6" t="n">
        <f aca="false">Sens!H3933*(al_fro+Sens!H4041+sbc_r)</f>
        <v>4.02979352544868</v>
      </c>
      <c r="I4045" s="6" t="n">
        <f aca="false">Sens!I3933*(al_fro+Sens!I4041+sbc_r)</f>
        <v>4.30248328262388</v>
      </c>
      <c r="J4045" s="6" t="n">
        <f aca="false">Sens!J3933*(al_fro+Sens!J4041+sbc_r)</f>
        <v>4.6072312462081</v>
      </c>
      <c r="K4045" s="6" t="n">
        <f aca="false">Sens!K3933*(al_fro+Sens!K4041+sbc_r)</f>
        <v>4.94526327289735</v>
      </c>
    </row>
    <row r="4046" customFormat="false" ht="17.15" hidden="false" customHeight="false" outlineLevel="0" collapsed="false">
      <c r="A4046" s="0" t="s">
        <v>1061</v>
      </c>
      <c r="B4046" s="0" t="s">
        <v>98</v>
      </c>
      <c r="F4046" s="6" t="n">
        <f aca="false">Sens!F3936*(al_srch+Sens!F4041+sbc_r)</f>
        <v>11.2121706988551</v>
      </c>
      <c r="G4046" s="6" t="n">
        <f aca="false">Sens!G3936*(al_srch+Sens!G4041+sbc_r)</f>
        <v>12.298220751086</v>
      </c>
      <c r="H4046" s="6" t="n">
        <f aca="false">Sens!H3936*(al_srch+Sens!H4041+sbc_r)</f>
        <v>13.4264661389574</v>
      </c>
      <c r="I4046" s="6" t="n">
        <f aca="false">Sens!I3936*(al_srch+Sens!I4041+sbc_r)</f>
        <v>14.5842947685169</v>
      </c>
      <c r="J4046" s="6" t="n">
        <f aca="false">Sens!J3936*(al_srch+Sens!J4041+sbc_r)</f>
        <v>15.7529827260804</v>
      </c>
      <c r="K4046" s="6" t="n">
        <f aca="false">Sens!K3936*(al_srch+Sens!K4041+sbc_r)</f>
        <v>16.908777257054</v>
      </c>
    </row>
    <row r="4047" customFormat="false" ht="17.15" hidden="false" customHeight="false" outlineLevel="0" collapsed="false">
      <c r="A4047" s="0" t="s">
        <v>1062</v>
      </c>
      <c r="B4047" s="0" t="s">
        <v>98</v>
      </c>
      <c r="F4047" s="6" t="n">
        <f aca="false">Sens!F3905-Sens!F3906+Sens!F3986</f>
        <v>53.3556276745521</v>
      </c>
      <c r="G4047" s="6" t="n">
        <f aca="false">Sens!G3905-Sens!G3906+Sens!G3986</f>
        <v>90.3764768482736</v>
      </c>
      <c r="H4047" s="6" t="n">
        <f aca="false">Sens!H3905-Sens!H3906+Sens!H3986</f>
        <v>123.534239230767</v>
      </c>
      <c r="I4047" s="6" t="n">
        <f aca="false">Sens!I3905-Sens!I3906+Sens!I3986</f>
        <v>160.140756959712</v>
      </c>
      <c r="J4047" s="6" t="n">
        <f aca="false">Sens!J3905-Sens!J3906+Sens!J3986</f>
        <v>185.587944367996</v>
      </c>
      <c r="K4047" s="6" t="n">
        <f aca="false">Sens!K3905-Sens!K3906+Sens!K3986</f>
        <v>200.902246021626</v>
      </c>
    </row>
    <row r="4048" customFormat="false" ht="17.15" hidden="false" customHeight="false" outlineLevel="0" collapsed="false">
      <c r="A4048" s="0" t="s">
        <v>1063</v>
      </c>
      <c r="B4048" s="0" t="s">
        <v>98</v>
      </c>
      <c r="F4048" s="6" t="n">
        <f aca="false">Sens!F3965+Sens!F3986+Sens!F3916+Sens!F4041*(Sens!F3935-Sens!F3899)+sbc_r*Sens!F3935</f>
        <v>243.380399748067</v>
      </c>
      <c r="G4048" s="6" t="n">
        <f aca="false">Sens!G3965+Sens!G3986+Sens!G3916+Sens!G4041*(Sens!G3935-Sens!G3899)+sbc_r*Sens!G3935</f>
        <v>305.419155950118</v>
      </c>
      <c r="H4048" s="6" t="n">
        <f aca="false">Sens!H3965+Sens!H3986+Sens!H3916+Sens!H4041*(Sens!H3935-Sens!H3899)+sbc_r*Sens!H3935</f>
        <v>363.838259115828</v>
      </c>
      <c r="I4048" s="6" t="n">
        <f aca="false">Sens!I3965+Sens!I3986+Sens!I3916+Sens!I4041*(Sens!I3935-Sens!I3899)+sbc_r*Sens!I3935</f>
        <v>425.094950115334</v>
      </c>
      <c r="J4048" s="6" t="n">
        <f aca="false">Sens!J3965+Sens!J3986+Sens!J3916+Sens!J4041*(Sens!J3935-Sens!J3899)+sbc_r*Sens!J3935</f>
        <v>473.235932044711</v>
      </c>
      <c r="K4048" s="6" t="n">
        <f aca="false">Sens!K3965+Sens!K3986+Sens!K3916+Sens!K4041*(Sens!K3935-Sens!K3899)+sbc_r*Sens!K3935</f>
        <v>508.881633421493</v>
      </c>
    </row>
    <row r="4049" customFormat="false" ht="17.15" hidden="false" customHeight="false" outlineLevel="0" collapsed="false">
      <c r="A4049" s="0" t="s">
        <v>1064</v>
      </c>
      <c r="B4049" s="0" t="s">
        <v>98</v>
      </c>
      <c r="F4049" s="6" t="n">
        <f aca="false">Sens!F4048-Sens!F4042-Sens!F4043-Sens!F4044-Sens!F4045-Sens!F4047</f>
        <v>61.0373105926833</v>
      </c>
      <c r="G4049" s="6" t="n">
        <f aca="false">Sens!G4048-Sens!G4042-Sens!G4043-Sens!G4044-Sens!G4045-Sens!G4047</f>
        <v>73.3594079811569</v>
      </c>
      <c r="H4049" s="6" t="n">
        <f aca="false">Sens!H4048-Sens!H4042-Sens!H4043-Sens!H4044-Sens!H4045-Sens!H4047</f>
        <v>85.7865537788955</v>
      </c>
      <c r="I4049" s="6" t="n">
        <f aca="false">Sens!I4048-Sens!I4042-Sens!I4043-Sens!I4044-Sens!I4045-Sens!I4047</f>
        <v>98.1626170971242</v>
      </c>
      <c r="J4049" s="6" t="n">
        <f aca="false">Sens!J4048-Sens!J4042-Sens!J4043-Sens!J4044-Sens!J4045-Sens!J4047</f>
        <v>109.361837732596</v>
      </c>
      <c r="K4049" s="6" t="n">
        <f aca="false">Sens!K4048-Sens!K4042-Sens!K4043-Sens!K4044-Sens!K4045-Sens!K4047</f>
        <v>118.706226300271</v>
      </c>
    </row>
    <row r="4050" customFormat="false" ht="17.15" hidden="false" customHeight="false" outlineLevel="0" collapsed="false">
      <c r="A4050" s="0" t="s">
        <v>1065</v>
      </c>
      <c r="B4050" s="0" t="s">
        <v>98</v>
      </c>
      <c r="F4050" s="6" t="n">
        <f aca="false">Sens!F3967+Sens!F4041*Sens!F3942+sbc_r*Sens!F3942</f>
        <v>26.2049549828959</v>
      </c>
      <c r="G4050" s="6" t="n">
        <f aca="false">Sens!G3967+Sens!G4041*Sens!G3942+sbc_r*Sens!G3942</f>
        <v>26.8405806403664</v>
      </c>
      <c r="H4050" s="6" t="n">
        <f aca="false">Sens!H3967+Sens!H4041*Sens!H3942+sbc_r*Sens!H3942</f>
        <v>27.7352032470138</v>
      </c>
      <c r="I4050" s="6" t="n">
        <f aca="false">Sens!I3967+Sens!I4041*Sens!I3942+sbc_r*Sens!I3942</f>
        <v>28.8569155956094</v>
      </c>
      <c r="J4050" s="6" t="n">
        <f aca="false">Sens!J3967+Sens!J4041*Sens!J3942+sbc_r*Sens!J3942</f>
        <v>30.1744385645725</v>
      </c>
      <c r="K4050" s="6" t="n">
        <f aca="false">Sens!K3967+Sens!K4041*Sens!K3942+sbc_r*Sens!K3942</f>
        <v>31.6584976186802</v>
      </c>
    </row>
    <row r="4051" customFormat="false" ht="17.15" hidden="false" customHeight="false" outlineLevel="0" collapsed="false">
      <c r="A4051" s="0" t="s">
        <v>1066</v>
      </c>
      <c r="B4051" s="0" t="s">
        <v>98</v>
      </c>
      <c r="F4051" s="6" t="n">
        <f aca="false">(Sens!F4050-Sens!F4046)*Sens!F3938/(Sens!F3938+Sens!F3940)</f>
        <v>8.21889831690819</v>
      </c>
      <c r="G4051" s="6" t="n">
        <f aca="false">(Sens!G4050-Sens!G4046)*Sens!G3938/(Sens!G3938+Sens!G3940)</f>
        <v>7.82984014749099</v>
      </c>
      <c r="H4051" s="6" t="n">
        <f aca="false">(Sens!H4050-Sens!H4046)*Sens!H3938/(Sens!H3938+Sens!H3940)</f>
        <v>7.5999849964554</v>
      </c>
      <c r="I4051" s="6" t="n">
        <f aca="false">(Sens!I4050-Sens!I4046)*Sens!I3938/(Sens!I3938+Sens!I3940)</f>
        <v>7.51221089422364</v>
      </c>
      <c r="J4051" s="6" t="n">
        <f aca="false">(Sens!J4050-Sens!J4046)*Sens!J3938/(Sens!J3938+Sens!J3940)</f>
        <v>7.55622411401827</v>
      </c>
      <c r="K4051" s="6" t="n">
        <f aca="false">(Sens!K4050-Sens!K4046)*Sens!K3938/(Sens!K3938+Sens!K3940)</f>
        <v>7.72822064011532</v>
      </c>
    </row>
    <row r="4052" customFormat="false" ht="17.15" hidden="false" customHeight="false" outlineLevel="0" collapsed="false">
      <c r="A4052" s="0" t="s">
        <v>1067</v>
      </c>
      <c r="B4052" s="0" t="s">
        <v>98</v>
      </c>
      <c r="F4052" s="6" t="n">
        <f aca="false">Sens!F4050-Sens!F4046-Sens!F4051</f>
        <v>6.77388596713263</v>
      </c>
      <c r="G4052" s="6" t="n">
        <f aca="false">Sens!G4050-Sens!G4046-Sens!G4051</f>
        <v>6.71251974178949</v>
      </c>
      <c r="H4052" s="6" t="n">
        <f aca="false">Sens!H4050-Sens!H4046-Sens!H4051</f>
        <v>6.70875211160101</v>
      </c>
      <c r="I4052" s="6" t="n">
        <f aca="false">Sens!I4050-Sens!I4046-Sens!I4051</f>
        <v>6.76040993286883</v>
      </c>
      <c r="J4052" s="6" t="n">
        <f aca="false">Sens!J4050-Sens!J4046-Sens!J4051</f>
        <v>6.86523172447386</v>
      </c>
      <c r="K4052" s="6" t="n">
        <f aca="false">Sens!K4050-Sens!K4046-Sens!K4051</f>
        <v>7.02149972151092</v>
      </c>
    </row>
    <row r="4053" customFormat="false" ht="17.15" hidden="false" customHeight="false" outlineLevel="0" collapsed="false">
      <c r="A4053" s="0" t="s">
        <v>1068</v>
      </c>
      <c r="B4053" s="0" t="s">
        <v>98</v>
      </c>
      <c r="F4053" s="6" t="n">
        <f aca="false">Sens!F4047-tax_f*(Sens!F4047-Sens!F3916)-Sens!F3913</f>
        <v>-145.243629405298</v>
      </c>
      <c r="G4053" s="6" t="n">
        <f aca="false">Sens!G4047-tax_f*(Sens!G4047-Sens!G3916)-Sens!G3913</f>
        <v>-134.611224647983</v>
      </c>
      <c r="H4053" s="6" t="n">
        <f aca="false">Sens!H4047-tax_f*(Sens!H4047-Sens!H3916)-Sens!H3913</f>
        <v>-106.955801398756</v>
      </c>
      <c r="I4053" s="6" t="n">
        <f aca="false">Sens!I4047-tax_f*(Sens!I4047-Sens!I3916)-Sens!I3913</f>
        <v>-36.1008852775406</v>
      </c>
      <c r="J4053" s="6" t="n">
        <f aca="false">Sens!J4047-tax_f*(Sens!J4047-Sens!J3916)-Sens!J3913</f>
        <v>38.9025170803292</v>
      </c>
      <c r="K4053" s="6" t="n">
        <f aca="false">Sens!K4047-tax_f*(Sens!K4047-Sens!K3916)-Sens!K3913</f>
        <v>74.4768978856579</v>
      </c>
    </row>
    <row r="4054" customFormat="false" ht="17.15" hidden="false" customHeight="false" outlineLevel="0" collapsed="false">
      <c r="A4054" s="0" t="s">
        <v>1069</v>
      </c>
      <c r="B4054" s="0" t="s">
        <v>98</v>
      </c>
      <c r="F4054" s="6" t="n">
        <f aca="false">Sens!F4053*Sens!F4027</f>
        <v>-138.300021478536</v>
      </c>
      <c r="G4054" s="6" t="n">
        <f aca="false">Sens!G4053*Sens!G4027</f>
        <v>-116.213542517158</v>
      </c>
      <c r="H4054" s="6" t="n">
        <f aca="false">Sens!H4053*Sens!H4027</f>
        <v>-83.7201736446399</v>
      </c>
      <c r="I4054" s="6" t="n">
        <f aca="false">Sens!I4053*Sens!I4027</f>
        <v>-25.620873721888</v>
      </c>
      <c r="J4054" s="6" t="n">
        <f aca="false">Sens!J4053*Sens!J4027</f>
        <v>25.0324925616185</v>
      </c>
      <c r="K4054" s="6" t="n">
        <f aca="false">Sens!K4053*Sens!K4027</f>
        <v>43.450850586205</v>
      </c>
    </row>
    <row r="4055" customFormat="false" ht="17.15" hidden="false" customHeight="false" outlineLevel="0" collapsed="false">
      <c r="A4055" s="0" t="s">
        <v>1070</v>
      </c>
      <c r="B4055" s="0" t="s">
        <v>98</v>
      </c>
      <c r="C4055" s="6" t="n">
        <f aca="false">(Sens!K4047-Sens!K3916)*(1-tax_f)*(1+g_tv)*(1-g_tv/(wacc+ronic_prem))/(wacc-g_tv)/(1+wacc)^(Sens!K4026+mid_yr)</f>
        <v>179.669736898037</v>
      </c>
    </row>
    <row r="4056" customFormat="false" ht="17.15" hidden="false" customHeight="false" outlineLevel="0" collapsed="false">
      <c r="A4056" s="1" t="s">
        <v>1071</v>
      </c>
      <c r="B4056" s="0" t="s">
        <v>98</v>
      </c>
      <c r="C4056" s="6" t="n">
        <f aca="false">(SUM(Sens!F4054:K4054)+Sens!$C$4055)*(1+wacc)^t_roll</f>
        <v>-131.753196929199</v>
      </c>
      <c r="L4056" s="11" t="s">
        <v>1072</v>
      </c>
    </row>
    <row r="4057" customFormat="false" ht="17.15" hidden="false" customHeight="false" outlineLevel="0" collapsed="false">
      <c r="A4057" s="1" t="s">
        <v>1073</v>
      </c>
      <c r="B4057" s="0" t="s">
        <v>98</v>
      </c>
      <c r="C4057" s="6" t="n">
        <f aca="false">(w_ntm28*Sens!G3905+(1-w_ntm28)*Sens!H3905)*m_ai</f>
        <v>385.159167159321</v>
      </c>
    </row>
    <row r="4058" customFormat="false" ht="17.15" hidden="false" customHeight="false" outlineLevel="0" collapsed="false">
      <c r="A4058" s="1" t="s">
        <v>1074</v>
      </c>
      <c r="B4058" s="0" t="s">
        <v>98</v>
      </c>
      <c r="C4058" s="6" t="n">
        <f aca="false">(w_ntm28*Sens!G4049+(1-w_ntm28)*Sens!H4049)*m_cloud</f>
        <v>1069.3494629054</v>
      </c>
    </row>
    <row r="4059" customFormat="false" ht="17.15" hidden="false" customHeight="false" outlineLevel="0" collapsed="false">
      <c r="A4059" s="1" t="s">
        <v>1075</v>
      </c>
      <c r="B4059" s="0" t="s">
        <v>98</v>
      </c>
      <c r="C4059" s="6" t="n">
        <f aca="false">(w_ntm28*Sens!G4042+(1-w_ntm28)*Sens!H4042)*m_sw</f>
        <v>1044.04824539957</v>
      </c>
    </row>
    <row r="4060" customFormat="false" ht="17.15" hidden="false" customHeight="false" outlineLevel="0" collapsed="false">
      <c r="A4060" s="1" t="s">
        <v>1076</v>
      </c>
      <c r="B4060" s="0" t="s">
        <v>98</v>
      </c>
      <c r="C4060" s="6" t="n">
        <f aca="false">(w_ntm28*Sens!G4043+(1-w_ntm28)*Sens!H4043)*m_sw</f>
        <v>379.755670745447</v>
      </c>
    </row>
    <row r="4061" customFormat="false" ht="17.15" hidden="false" customHeight="false" outlineLevel="0" collapsed="false">
      <c r="A4061" s="1" t="s">
        <v>1077</v>
      </c>
      <c r="B4061" s="0" t="s">
        <v>98</v>
      </c>
      <c r="C4061" s="6" t="n">
        <f aca="false">(w_ntm28*Sens!G4044+(1-w_ntm28)*Sens!H4044)*m_sw</f>
        <v>109.434903376969</v>
      </c>
    </row>
    <row r="4062" customFormat="false" ht="17.15" hidden="false" customHeight="false" outlineLevel="0" collapsed="false">
      <c r="A4062" s="1" t="s">
        <v>1078</v>
      </c>
      <c r="B4062" s="0" t="s">
        <v>98</v>
      </c>
      <c r="C4062" s="6" t="n">
        <f aca="false">(w_ntm28*Sens!G4045+(1-w_ntm28)*Sens!H4045)*m_sw</f>
        <v>41.7511882786773</v>
      </c>
    </row>
    <row r="4063" customFormat="false" ht="17.15" hidden="false" customHeight="false" outlineLevel="0" collapsed="false">
      <c r="A4063" s="1" t="s">
        <v>1079</v>
      </c>
      <c r="B4063" s="0" t="s">
        <v>98</v>
      </c>
      <c r="C4063" s="6" t="n">
        <f aca="false">(w_ntm28*Sens!G4046+(1-w_ntm28)*Sens!H4046)*m_ads</f>
        <v>115.359643719254</v>
      </c>
    </row>
    <row r="4064" customFormat="false" ht="17.15" hidden="false" customHeight="false" outlineLevel="0" collapsed="false">
      <c r="A4064" s="1" t="s">
        <v>1080</v>
      </c>
      <c r="B4064" s="0" t="s">
        <v>98</v>
      </c>
      <c r="C4064" s="6" t="n">
        <f aca="false">(w_ntm28*Sens!G4051+(1-w_ntm28)*Sens!H4051)*m_game</f>
        <v>97.9523541428266</v>
      </c>
    </row>
    <row r="4065" customFormat="false" ht="17.15" hidden="false" customHeight="false" outlineLevel="0" collapsed="false">
      <c r="A4065" s="1" t="s">
        <v>1081</v>
      </c>
      <c r="B4065" s="0" t="s">
        <v>98</v>
      </c>
      <c r="C4065" s="6" t="n">
        <f aca="false">(w_ntm28*Sens!G4052+(1-w_ntm28)*Sens!H4052)*m_pc</f>
        <v>97.1125357928949</v>
      </c>
    </row>
    <row r="4066" customFormat="false" ht="17.15" hidden="false" customHeight="false" outlineLevel="0" collapsed="false">
      <c r="A4066" s="1" t="s">
        <v>1082</v>
      </c>
      <c r="B4066" s="0" t="s">
        <v>98</v>
      </c>
      <c r="C4066" s="6" t="n">
        <f aca="false">Sens!$C$4056+Sens!$C$4058+Sens!$C$4059+Sens!$C$4060+Sens!$C$4061+Sens!$C$4062+Sens!$C$4063+Sens!$C$4064+Sens!$C$4065</f>
        <v>2823.01080743184</v>
      </c>
    </row>
    <row r="4067" customFormat="false" ht="17.15" hidden="false" customHeight="false" outlineLevel="0" collapsed="false">
      <c r="A4067" s="1" t="s">
        <v>1000</v>
      </c>
      <c r="B4067" s="0" t="s">
        <v>98</v>
      </c>
      <c r="C4067" s="6" t="n">
        <f aca="false">Sens!F4017+oai_v-Sens!F4006</f>
        <v>82.4985943159419</v>
      </c>
      <c r="L4067" s="1" t="s">
        <v>1083</v>
      </c>
    </row>
    <row r="4068" customFormat="false" ht="15" hidden="false" customHeight="false" outlineLevel="0" collapsed="false">
      <c r="A4068" s="1" t="s">
        <v>1001</v>
      </c>
      <c r="B4068" s="0" t="s">
        <v>75</v>
      </c>
      <c r="C4068" s="5" t="n">
        <f aca="false">(Sens!$C$4066+Sens!$C$4067)/Sens!F4019</f>
        <v>388.852971325988</v>
      </c>
    </row>
    <row r="4069" customFormat="false" ht="17.15" hidden="false" customHeight="false" outlineLevel="0" collapsed="false">
      <c r="A4069" s="1" t="s">
        <v>1084</v>
      </c>
      <c r="B4069" s="0" t="s">
        <v>75</v>
      </c>
      <c r="C4069" s="5" t="n">
        <f aca="false">w_dcf*Sens!$C$4040+(1-w_dcf)*Sens!$C$4068</f>
        <v>343.277144025473</v>
      </c>
    </row>
    <row r="4070" customFormat="false" ht="17.15" hidden="false" customHeight="false" outlineLevel="0" collapsed="false">
      <c r="A4070" s="3" t="s">
        <v>1339</v>
      </c>
    </row>
    <row r="4071" customFormat="false" ht="15" hidden="false" customHeight="false" outlineLevel="0" collapsed="false">
      <c r="A4071" s="4" t="s">
        <v>43</v>
      </c>
      <c r="B4071" s="4" t="s">
        <v>65</v>
      </c>
      <c r="C4071" s="20" t="s">
        <v>788</v>
      </c>
      <c r="D4071" s="20" t="s">
        <v>789</v>
      </c>
      <c r="E4071" s="20" t="s">
        <v>790</v>
      </c>
      <c r="F4071" s="20" t="s">
        <v>791</v>
      </c>
      <c r="G4071" s="20" t="s">
        <v>792</v>
      </c>
      <c r="H4071" s="20" t="s">
        <v>793</v>
      </c>
      <c r="I4071" s="20" t="s">
        <v>794</v>
      </c>
      <c r="J4071" s="20" t="s">
        <v>795</v>
      </c>
      <c r="K4071" s="20" t="s">
        <v>796</v>
      </c>
      <c r="L4071" s="4" t="s">
        <v>47</v>
      </c>
    </row>
    <row r="4072" customFormat="false" ht="17.15" hidden="false" customHeight="false" outlineLevel="0" collapsed="false">
      <c r="A4072" s="1" t="s">
        <v>797</v>
      </c>
      <c r="B4072" s="1" t="s">
        <v>235</v>
      </c>
      <c r="C4072" s="28" t="n">
        <v>2024</v>
      </c>
      <c r="D4072" s="28" t="n">
        <v>2025</v>
      </c>
      <c r="E4072" s="28" t="n">
        <v>2026</v>
      </c>
      <c r="F4072" s="28" t="n">
        <v>2027</v>
      </c>
      <c r="G4072" s="28" t="n">
        <v>2028</v>
      </c>
      <c r="H4072" s="28" t="n">
        <v>2029</v>
      </c>
      <c r="I4072" s="28" t="n">
        <v>2030</v>
      </c>
      <c r="J4072" s="28" t="n">
        <v>2031</v>
      </c>
      <c r="K4072" s="28" t="n">
        <v>2032</v>
      </c>
    </row>
    <row r="4073" customFormat="false" ht="17.15" hidden="false" customHeight="false" outlineLevel="0" collapsed="false">
      <c r="A4073" s="1" t="s">
        <v>798</v>
      </c>
      <c r="B4073" s="0" t="s">
        <v>392</v>
      </c>
      <c r="F4073" s="29" t="n">
        <f aca="false">pace</f>
        <v>2527.2</v>
      </c>
      <c r="G4073" s="29" t="n">
        <f aca="false">pace</f>
        <v>2527.2</v>
      </c>
      <c r="H4073" s="29" t="n">
        <f aca="false">pace</f>
        <v>2527.2</v>
      </c>
      <c r="I4073" s="29" t="n">
        <f aca="false">pace+(g_tv*Sens!H4074-pace)*MIN(1,(Sens!I4072-pace_y0)/(pace_y1-pace_y0))</f>
        <v>1793.116</v>
      </c>
      <c r="J4073" s="29" t="n">
        <f aca="false">pace+(g_tv*Sens!H4074-pace)*MIN(1,(Sens!J4072-pace_y0)/(pace_y1-pace_y0))</f>
        <v>1059.032</v>
      </c>
      <c r="K4073" s="29" t="n">
        <f aca="false">pace+(g_tv*Sens!H4074-pace)*MIN(1,(Sens!K4072-pace_y0)/(pace_y1-pace_y0))</f>
        <v>324.948</v>
      </c>
      <c r="L4073" s="11" t="s">
        <v>799</v>
      </c>
    </row>
    <row r="4074" customFormat="false" ht="17.15" hidden="false" customHeight="false" outlineLevel="0" collapsed="false">
      <c r="A4074" s="1" t="s">
        <v>800</v>
      </c>
      <c r="B4074" s="0" t="s">
        <v>392</v>
      </c>
      <c r="C4074" s="29" t="n">
        <f aca="false">mw_ext_24</f>
        <v>640</v>
      </c>
      <c r="D4074" s="29" t="n">
        <f aca="false">mw_ext_25</f>
        <v>1630</v>
      </c>
      <c r="E4074" s="29" t="n">
        <f aca="false">mw_ext_26</f>
        <v>3250</v>
      </c>
      <c r="F4074" s="29" t="n">
        <f aca="false">Sens!E4074+Sens!F4073</f>
        <v>5777.2</v>
      </c>
      <c r="G4074" s="29" t="n">
        <f aca="false">Sens!F4074+Sens!G4073</f>
        <v>8304.4</v>
      </c>
      <c r="H4074" s="29" t="n">
        <f aca="false">Sens!G4074+Sens!H4073</f>
        <v>10831.6</v>
      </c>
      <c r="I4074" s="29" t="n">
        <f aca="false">Sens!H4074+Sens!I4073</f>
        <v>12624.716</v>
      </c>
      <c r="J4074" s="29" t="n">
        <f aca="false">Sens!I4074+Sens!J4073</f>
        <v>13683.748</v>
      </c>
      <c r="K4074" s="29" t="n">
        <f aca="false">Sens!J4074+Sens!K4073</f>
        <v>14008.696</v>
      </c>
      <c r="L4074" s="1" t="s">
        <v>801</v>
      </c>
    </row>
    <row r="4075" customFormat="false" ht="17.15" hidden="false" customHeight="false" outlineLevel="0" collapsed="false">
      <c r="A4075" s="1" t="s">
        <v>802</v>
      </c>
      <c r="B4075" s="0" t="s">
        <v>392</v>
      </c>
      <c r="C4075" s="29" t="n">
        <f aca="false">rent_ext_24</f>
        <v>150</v>
      </c>
      <c r="D4075" s="29" t="n">
        <f aca="false">rent_ext_25</f>
        <v>400</v>
      </c>
      <c r="E4075" s="29" t="n">
        <f aca="false">rent_ext_26</f>
        <v>550</v>
      </c>
      <c r="F4075" s="29" t="n">
        <f aca="false">rent_ext_f</f>
        <v>756</v>
      </c>
      <c r="G4075" s="29" t="n">
        <f aca="false">rent_ext_f</f>
        <v>756</v>
      </c>
      <c r="H4075" s="29" t="n">
        <f aca="false">rent_ext_f</f>
        <v>756</v>
      </c>
      <c r="I4075" s="29" t="n">
        <f aca="false">rent_ext_f</f>
        <v>756</v>
      </c>
      <c r="J4075" s="29" t="n">
        <f aca="false">rent_ext_f</f>
        <v>756</v>
      </c>
      <c r="K4075" s="29" t="n">
        <f aca="false">rent_ext_f</f>
        <v>756</v>
      </c>
      <c r="L4075" s="1" t="s">
        <v>803</v>
      </c>
    </row>
    <row r="4076" customFormat="false" ht="17.15" hidden="false" customHeight="false" outlineLevel="0" collapsed="false">
      <c r="A4076" s="1" t="s">
        <v>804</v>
      </c>
      <c r="B4076" s="0" t="s">
        <v>392</v>
      </c>
      <c r="C4076" s="29" t="n">
        <f aca="false">Sens!C4074-Sens!C4075</f>
        <v>490</v>
      </c>
      <c r="D4076" s="29" t="n">
        <f aca="false">Sens!D4074-Sens!D4075</f>
        <v>1230</v>
      </c>
      <c r="E4076" s="29" t="n">
        <f aca="false">Sens!E4074-Sens!E4075</f>
        <v>2700</v>
      </c>
      <c r="F4076" s="29" t="n">
        <f aca="false">Sens!F4074-Sens!F4075</f>
        <v>5021.2</v>
      </c>
      <c r="G4076" s="29" t="n">
        <f aca="false">Sens!G4074-Sens!G4075</f>
        <v>7548.4</v>
      </c>
      <c r="H4076" s="29" t="n">
        <f aca="false">Sens!H4074-Sens!H4075</f>
        <v>10075.6</v>
      </c>
      <c r="I4076" s="29" t="n">
        <f aca="false">Sens!I4074-Sens!I4075</f>
        <v>11868.716</v>
      </c>
      <c r="J4076" s="29" t="n">
        <f aca="false">Sens!J4074-Sens!J4075</f>
        <v>12927.748</v>
      </c>
      <c r="K4076" s="29" t="n">
        <f aca="false">Sens!K4074-Sens!K4075</f>
        <v>13252.696</v>
      </c>
    </row>
    <row r="4077" customFormat="false" ht="17.15" hidden="false" customHeight="false" outlineLevel="0" collapsed="false">
      <c r="A4077" s="1" t="s">
        <v>805</v>
      </c>
      <c r="B4077" s="0" t="s">
        <v>392</v>
      </c>
      <c r="C4077" s="29" t="n">
        <f aca="false">Sens!C4076/ext_sh</f>
        <v>816.666666666667</v>
      </c>
      <c r="D4077" s="29" t="n">
        <f aca="false">Sens!D4076/ext_sh</f>
        <v>2050</v>
      </c>
      <c r="E4077" s="29" t="n">
        <f aca="false">Sens!E4076/ext_sh</f>
        <v>4500</v>
      </c>
      <c r="F4077" s="29" t="n">
        <f aca="false">Sens!F4076/ext_sh</f>
        <v>8368.66666666667</v>
      </c>
      <c r="G4077" s="29" t="n">
        <f aca="false">Sens!G4076/ext_sh</f>
        <v>12580.6666666667</v>
      </c>
      <c r="H4077" s="29" t="n">
        <f aca="false">Sens!H4076/ext_sh</f>
        <v>16792.6666666667</v>
      </c>
      <c r="I4077" s="29" t="n">
        <f aca="false">Sens!I4076/ext_sh</f>
        <v>19781.1933333333</v>
      </c>
      <c r="J4077" s="29" t="n">
        <f aca="false">Sens!J4076/ext_sh</f>
        <v>21546.2466666667</v>
      </c>
      <c r="K4077" s="29" t="n">
        <f aca="false">Sens!K4076/ext_sh</f>
        <v>22087.8266666667</v>
      </c>
      <c r="L4077" s="1" t="s">
        <v>806</v>
      </c>
    </row>
    <row r="4078" customFormat="false" ht="17.15" hidden="false" customHeight="false" outlineLevel="0" collapsed="false">
      <c r="A4078" s="1" t="s">
        <v>807</v>
      </c>
      <c r="B4078" s="0" t="s">
        <v>392</v>
      </c>
      <c r="C4078" s="29" t="n">
        <f aca="false">Sens!C4077-Sens!C4076</f>
        <v>326.666666666667</v>
      </c>
      <c r="D4078" s="29" t="n">
        <f aca="false">Sens!D4077-Sens!D4076</f>
        <v>820</v>
      </c>
      <c r="E4078" s="29" t="n">
        <f aca="false">Sens!E4077-Sens!E4076</f>
        <v>1800</v>
      </c>
      <c r="F4078" s="29" t="n">
        <f aca="false">Sens!F4077-Sens!F4076</f>
        <v>3347.46666666667</v>
      </c>
      <c r="G4078" s="29" t="n">
        <f aca="false">Sens!G4077-Sens!G4076</f>
        <v>5032.26666666667</v>
      </c>
      <c r="H4078" s="29" t="n">
        <f aca="false">Sens!H4077-Sens!H4076</f>
        <v>6717.06666666667</v>
      </c>
      <c r="I4078" s="29" t="n">
        <f aca="false">Sens!I4077-Sens!I4076</f>
        <v>7912.47733333333</v>
      </c>
      <c r="J4078" s="29" t="n">
        <f aca="false">Sens!J4077-Sens!J4076</f>
        <v>8618.49866666667</v>
      </c>
      <c r="K4078" s="29" t="n">
        <f aca="false">Sens!K4077-Sens!K4076</f>
        <v>8835.13066666667</v>
      </c>
    </row>
    <row r="4079" customFormat="false" ht="17.15" hidden="false" customHeight="false" outlineLevel="0" collapsed="false">
      <c r="A4079" s="1" t="s">
        <v>808</v>
      </c>
      <c r="B4079" s="0" t="s">
        <v>392</v>
      </c>
      <c r="C4079" s="29" t="n">
        <f aca="false">Sens!C4077</f>
        <v>816.666666666667</v>
      </c>
      <c r="D4079" s="29" t="n">
        <f aca="false">Sens!D4077-Sens!C4077</f>
        <v>1233.33333333333</v>
      </c>
      <c r="E4079" s="29" t="n">
        <f aca="false">Sens!E4077-Sens!D4077</f>
        <v>2450</v>
      </c>
      <c r="F4079" s="29" t="n">
        <f aca="false">Sens!F4077-Sens!E4077</f>
        <v>3868.66666666667</v>
      </c>
      <c r="G4079" s="29" t="n">
        <f aca="false">Sens!G4077-Sens!F4077</f>
        <v>4212</v>
      </c>
      <c r="H4079" s="29" t="n">
        <f aca="false">Sens!H4077-Sens!G4077</f>
        <v>4212</v>
      </c>
      <c r="I4079" s="29" t="n">
        <f aca="false">Sens!I4077-Sens!H4077</f>
        <v>2988.52666666667</v>
      </c>
      <c r="J4079" s="29" t="n">
        <f aca="false">Sens!J4077-Sens!I4077</f>
        <v>1765.05333333333</v>
      </c>
      <c r="K4079" s="29" t="n">
        <f aca="false">Sens!K4077-Sens!J4077</f>
        <v>541.580000000002</v>
      </c>
    </row>
    <row r="4080" customFormat="false" ht="17.15" hidden="false" customHeight="false" outlineLevel="0" collapsed="false">
      <c r="A4080" s="1" t="s">
        <v>809</v>
      </c>
      <c r="B4080" s="0" t="s">
        <v>392</v>
      </c>
      <c r="D4080" s="29" t="n">
        <f aca="false">Sens!D4074-Sens!C4074</f>
        <v>990</v>
      </c>
      <c r="E4080" s="29" t="n">
        <f aca="false">Sens!E4074-Sens!D4074</f>
        <v>1620</v>
      </c>
      <c r="F4080" s="29" t="n">
        <f aca="false">Sens!F4074-Sens!E4074</f>
        <v>2527.2</v>
      </c>
      <c r="G4080" s="29" t="n">
        <f aca="false">Sens!G4074-Sens!F4074</f>
        <v>2527.2</v>
      </c>
      <c r="H4080" s="29" t="n">
        <f aca="false">Sens!H4074-Sens!G4074</f>
        <v>2527.2</v>
      </c>
      <c r="I4080" s="29" t="n">
        <f aca="false">Sens!I4074-Sens!H4074</f>
        <v>1793.116</v>
      </c>
      <c r="J4080" s="29" t="n">
        <f aca="false">Sens!J4074-Sens!I4074</f>
        <v>1059.032</v>
      </c>
      <c r="K4080" s="29" t="n">
        <f aca="false">Sens!K4074-Sens!J4074</f>
        <v>324.948</v>
      </c>
    </row>
    <row r="4081" customFormat="false" ht="17.15" hidden="false" customHeight="false" outlineLevel="0" collapsed="false">
      <c r="A4081" s="1" t="s">
        <v>810</v>
      </c>
      <c r="B4081" s="0" t="s">
        <v>392</v>
      </c>
      <c r="F4081" s="29" t="n">
        <f aca="false">Sens!F4098*ext_sh</f>
        <v>0</v>
      </c>
      <c r="G4081" s="29" t="n">
        <f aca="false">Sens!G4098*ext_sh</f>
        <v>0</v>
      </c>
      <c r="H4081" s="29" t="n">
        <f aca="false">Sens!H4098*ext_sh</f>
        <v>490</v>
      </c>
      <c r="I4081" s="29" t="n">
        <f aca="false">Sens!I4098*ext_sh</f>
        <v>740</v>
      </c>
      <c r="J4081" s="29" t="n">
        <f aca="false">Sens!J4098*ext_sh</f>
        <v>1470</v>
      </c>
      <c r="K4081" s="29" t="n">
        <f aca="false">Sens!K4098*ext_sh</f>
        <v>2321.2</v>
      </c>
      <c r="L4081" s="1" t="s">
        <v>811</v>
      </c>
    </row>
    <row r="4082" customFormat="false" ht="17.15" hidden="false" customHeight="false" outlineLevel="0" collapsed="false">
      <c r="A4082" s="1" t="s">
        <v>812</v>
      </c>
      <c r="B4082" s="0" t="s">
        <v>392</v>
      </c>
      <c r="C4082" s="29" t="n">
        <f aca="false">mix_h*Sens!C4074</f>
        <v>128</v>
      </c>
      <c r="D4082" s="29" t="n">
        <f aca="false">mix_h*Sens!D4074</f>
        <v>326</v>
      </c>
      <c r="E4082" s="29" t="n">
        <f aca="false">mix_h*Sens!E4074</f>
        <v>650</v>
      </c>
      <c r="F4082" s="29" t="n">
        <f aca="false">Sens!E4082-Sens!F4081*mix_h</f>
        <v>650</v>
      </c>
      <c r="G4082" s="29" t="n">
        <f aca="false">Sens!F4082-Sens!G4081*mix_h</f>
        <v>650</v>
      </c>
      <c r="H4082" s="29" t="n">
        <f aca="false">Sens!G4082-Sens!H4081*mix_h</f>
        <v>552</v>
      </c>
      <c r="I4082" s="29" t="n">
        <f aca="false">Sens!H4082-Sens!I4081*mix_h</f>
        <v>404</v>
      </c>
      <c r="J4082" s="29" t="n">
        <f aca="false">Sens!I4082-Sens!J4081*mix_h</f>
        <v>110</v>
      </c>
      <c r="K4082" s="29" t="n">
        <f aca="false">Sens!J4082-Sens!K4081*mix_h</f>
        <v>-354.24</v>
      </c>
    </row>
    <row r="4083" customFormat="false" ht="17.15" hidden="false" customHeight="false" outlineLevel="0" collapsed="false">
      <c r="A4083" s="1" t="s">
        <v>813</v>
      </c>
      <c r="B4083" s="0" t="s">
        <v>392</v>
      </c>
      <c r="C4083" s="29" t="n">
        <f aca="false">mix_g2*Sens!C4074</f>
        <v>288</v>
      </c>
      <c r="D4083" s="29" t="n">
        <f aca="false">mix_g2*Sens!D4074</f>
        <v>733.5</v>
      </c>
      <c r="E4083" s="29" t="n">
        <f aca="false">mix_g2*Sens!E4074</f>
        <v>1462.5</v>
      </c>
      <c r="F4083" s="29" t="n">
        <f aca="false">Sens!E4083-Sens!F4081*mix_g2</f>
        <v>1462.5</v>
      </c>
      <c r="G4083" s="29" t="n">
        <f aca="false">Sens!F4083-Sens!G4081*mix_g2</f>
        <v>1462.5</v>
      </c>
      <c r="H4083" s="29" t="n">
        <f aca="false">Sens!G4083-Sens!H4081*mix_g2</f>
        <v>1242</v>
      </c>
      <c r="I4083" s="29" t="n">
        <f aca="false">Sens!H4083-Sens!I4081*mix_g2</f>
        <v>909</v>
      </c>
      <c r="J4083" s="29" t="n">
        <f aca="false">Sens!I4083-Sens!J4081*mix_g2</f>
        <v>247.5</v>
      </c>
      <c r="K4083" s="29" t="n">
        <f aca="false">Sens!J4083-Sens!K4081*mix_g2</f>
        <v>-797.04</v>
      </c>
    </row>
    <row r="4084" customFormat="false" ht="17.15" hidden="false" customHeight="false" outlineLevel="0" collapsed="false">
      <c r="A4084" s="1" t="s">
        <v>814</v>
      </c>
      <c r="B4084" s="0" t="s">
        <v>392</v>
      </c>
      <c r="C4084" s="29" t="n">
        <f aca="false">mix_g3*Sens!C4074</f>
        <v>224</v>
      </c>
      <c r="D4084" s="29" t="n">
        <f aca="false">mix_g3*Sens!D4074</f>
        <v>570.5</v>
      </c>
      <c r="E4084" s="29" t="n">
        <f aca="false">mix_g3*Sens!E4074</f>
        <v>1137.5</v>
      </c>
      <c r="F4084" s="29" t="n">
        <f aca="false">Sens!E4084+(Sens!F4080+Sens!F4081)*a_g3_27-Sens!F4081*mix_g3</f>
        <v>2906.54</v>
      </c>
      <c r="G4084" s="29" t="n">
        <f aca="false">Sens!F4084+(Sens!G4080+Sens!G4081)*a_g3_28-Sens!G4081*mix_g3</f>
        <v>3664.7</v>
      </c>
      <c r="H4084" s="29" t="n">
        <f aca="false">Sens!G4084+(Sens!H4080+Sens!H4081)*a_g3_29-Sens!H4081*mix_g3</f>
        <v>3794.92</v>
      </c>
      <c r="I4084" s="29" t="n">
        <f aca="false">Sens!H4084+(Sens!I4080+Sens!I4081)*a_g3_29-Sens!I4081*mix_g3</f>
        <v>3789.2316</v>
      </c>
      <c r="J4084" s="29" t="n">
        <f aca="false">Sens!I4084+(Sens!J4080+Sens!J4081)*a_g3_29-Sens!J4081*mix_g3</f>
        <v>3527.6348</v>
      </c>
      <c r="K4084" s="29" t="n">
        <f aca="false">Sens!J4084+(Sens!K4080+Sens!K4081)*a_g3_29-Sens!K4081*mix_g3</f>
        <v>2979.8296</v>
      </c>
    </row>
    <row r="4085" customFormat="false" ht="17.15" hidden="false" customHeight="false" outlineLevel="0" collapsed="false">
      <c r="A4085" s="1" t="s">
        <v>815</v>
      </c>
      <c r="B4085" s="0" t="s">
        <v>392</v>
      </c>
      <c r="C4085" s="29" t="n">
        <v>0</v>
      </c>
      <c r="D4085" s="29" t="n">
        <v>0</v>
      </c>
      <c r="E4085" s="29" t="n">
        <v>0</v>
      </c>
      <c r="F4085" s="29" t="n">
        <f aca="false">Sens!E4085+(Sens!F4080+Sens!F4081)*(1-a_g3_27)</f>
        <v>758.16</v>
      </c>
      <c r="G4085" s="29" t="n">
        <f aca="false">Sens!F4085+(Sens!G4080+Sens!G4081)*(1-a_g3_28)</f>
        <v>2527.2</v>
      </c>
      <c r="H4085" s="29" t="n">
        <f aca="false">Sens!G4085+(Sens!H4080+Sens!H4081)*(1-a_g3_29)</f>
        <v>5242.68</v>
      </c>
      <c r="I4085" s="29" t="n">
        <f aca="false">Sens!H4085+(Sens!I4080+Sens!I4081)*(1-a_g3_29)</f>
        <v>7522.4844</v>
      </c>
      <c r="J4085" s="29" t="n">
        <f aca="false">Sens!I4085+(Sens!J4080+Sens!J4081)*(1-a_g3_29)</f>
        <v>9798.6132</v>
      </c>
      <c r="K4085" s="29" t="n">
        <f aca="false">Sens!J4085+(Sens!K4080+Sens!K4081)*(1-a_g3_29)</f>
        <v>12180.1464</v>
      </c>
    </row>
    <row r="4086" customFormat="false" ht="17.15" hidden="false" customHeight="false" outlineLevel="0" collapsed="false">
      <c r="A4086" s="1" t="s">
        <v>816</v>
      </c>
      <c r="B4086" s="0" t="s">
        <v>339</v>
      </c>
      <c r="C4086" s="14" t="n">
        <f aca="false">(Sens!C4082*tk_hold_h100+Sens!C4083*tk_hold_gb200+Sens!C4084*tk_hold_gb300+Sens!C4085*tk_hold_vr200)/Sens!C4074</f>
        <v>9.7235358126469</v>
      </c>
      <c r="D4086" s="14" t="n">
        <f aca="false">(Sens!D4082*tk_hold_h100+Sens!D4083*tk_hold_gb200+Sens!D4084*tk_hold_gb300+Sens!D4085*tk_hold_vr200)/Sens!D4074</f>
        <v>9.7235358126469</v>
      </c>
      <c r="E4086" s="14" t="n">
        <f aca="false">(Sens!E4082*tk_hold_h100+Sens!E4083*tk_hold_gb200+Sens!E4084*tk_hold_gb300+Sens!E4085*tk_hold_vr200)/Sens!E4074</f>
        <v>9.7235358126469</v>
      </c>
      <c r="F4086" s="14" t="n">
        <f aca="false">(Sens!F4082*tk_hold_h100+Sens!F4083*tk_hold_gb200+Sens!F4084*tk_hold_gb300+Sens!F4085*tk_hold_vr200)/Sens!F4074</f>
        <v>10.4079573161931</v>
      </c>
      <c r="G4086" s="14" t="n">
        <f aca="false">(Sens!G4082*tk_hold_h100+Sens!G4083*tk_hold_gb200+Sens!G4084*tk_hold_gb300+Sens!G4085*tk_hold_vr200)/Sens!G4074</f>
        <v>10.8388131109316</v>
      </c>
      <c r="H4086" s="14" t="n">
        <f aca="false">(Sens!H4082*tk_hold_h100+Sens!H4083*tk_hold_gb200+Sens!H4084*tk_hold_gb300+Sens!H4085*tk_hold_vr200)/Sens!H4074</f>
        <v>11.2382267607101</v>
      </c>
      <c r="I4086" s="14" t="n">
        <f aca="false">(Sens!I4082*tk_hold_h100+Sens!I4083*tk_hold_gb200+Sens!I4084*tk_hold_gb300+Sens!I4085*tk_hold_vr200)/Sens!I4074</f>
        <v>11.4982307132671</v>
      </c>
      <c r="J4086" s="14" t="n">
        <f aca="false">(Sens!J4082*tk_hold_h100+Sens!J4083*tk_hold_gb200+Sens!J4084*tk_hold_gb300+Sens!J4085*tk_hold_vr200)/Sens!J4074</f>
        <v>11.7985404612049</v>
      </c>
      <c r="K4086" s="14" t="n">
        <f aca="false">(Sens!K4082*tk_hold_h100+Sens!K4083*tk_hold_gb200+Sens!K4084*tk_hold_gb300+Sens!K4085*tk_hold_vr200)/Sens!K4074</f>
        <v>12.1977130250889</v>
      </c>
    </row>
    <row r="4087" customFormat="false" ht="17.15" hidden="false" customHeight="false" outlineLevel="0" collapsed="false">
      <c r="A4087" s="0" t="s">
        <v>817</v>
      </c>
      <c r="B4087" s="0" t="s">
        <v>185</v>
      </c>
      <c r="C4087" s="14" t="n">
        <f aca="false">k_B</f>
        <v>1.17213932619116</v>
      </c>
      <c r="D4087" s="14" t="n">
        <f aca="false">k_B</f>
        <v>1.17213932619116</v>
      </c>
      <c r="E4087" s="14" t="n">
        <f aca="false">k_B</f>
        <v>1.17213932619116</v>
      </c>
      <c r="F4087" s="14" t="n">
        <f aca="false">(k_B+((ls_A*k_long+(1-ls_A)*k_spot)-k_B)*MIN(1,(Sens!F4072-base_fy)/k_ramp))</f>
        <v>1.25022828131298</v>
      </c>
      <c r="G4087" s="14" t="n">
        <f aca="false">(k_B+((ls_A*k_long+(1-ls_A)*k_spot)-k_B)*MIN(1,(Sens!G4072-base_fy)/k_ramp))</f>
        <v>1.3283172364348</v>
      </c>
      <c r="H4087" s="14" t="n">
        <f aca="false">(k_B+((ls_A*k_long+(1-ls_A)*k_spot)-k_B)*MIN(1,(Sens!H4072-base_fy)/k_ramp))</f>
        <v>1.40640619155662</v>
      </c>
      <c r="I4087" s="14" t="n">
        <f aca="false">(k_B+((ls_A*k_long+(1-ls_A)*k_spot)-k_B)*MIN(1,(Sens!I4072-base_fy)/k_ramp))</f>
        <v>1.40640619155662</v>
      </c>
      <c r="J4087" s="14" t="n">
        <f aca="false">(k_B+((ls_A*k_long+(1-ls_A)*k_spot)-k_B)*MIN(1,(Sens!J4072-base_fy)/k_ramp))</f>
        <v>1.40640619155662</v>
      </c>
      <c r="K4087" s="14" t="n">
        <f aca="false">(k_B+((ls_A*k_long+(1-ls_A)*k_spot)-k_B)*MIN(1,(Sens!K4072-base_fy)/k_ramp))</f>
        <v>1.40640619155662</v>
      </c>
      <c r="L4087" s="1" t="s">
        <v>818</v>
      </c>
    </row>
    <row r="4088" customFormat="false" ht="17.15" hidden="false" customHeight="false" outlineLevel="0" collapsed="false">
      <c r="A4088" s="1" t="s">
        <v>819</v>
      </c>
      <c r="B4088" s="0" t="s">
        <v>339</v>
      </c>
      <c r="C4088" s="14" t="n">
        <f aca="false">Sens!C4086*Sens!C4087*chip_f</f>
        <v>11.3973387156315</v>
      </c>
      <c r="D4088" s="14" t="n">
        <f aca="false">Sens!D4086*Sens!D4087*chip_f</f>
        <v>11.3973387156315</v>
      </c>
      <c r="E4088" s="14" t="n">
        <f aca="false">Sens!E4086*Sens!E4087*chip_f</f>
        <v>11.3973387156315</v>
      </c>
      <c r="F4088" s="14" t="n">
        <f aca="false">Sens!F4086*Sens!F4087*chip_f</f>
        <v>13.0123225874029</v>
      </c>
      <c r="G4088" s="14" t="n">
        <f aca="false">Sens!G4086*Sens!G4087*chip_f</f>
        <v>14.3973822777458</v>
      </c>
      <c r="H4088" s="14" t="n">
        <f aca="false">Sens!H4086*Sens!H4087*chip_f</f>
        <v>15.80551169838</v>
      </c>
      <c r="I4088" s="14" t="n">
        <f aca="false">Sens!I4086*Sens!I4087*chip_f</f>
        <v>16.1711828670853</v>
      </c>
      <c r="J4088" s="14" t="n">
        <f aca="false">Sens!J4086*Sens!J4087*chip_f</f>
        <v>16.5935403559698</v>
      </c>
      <c r="K4088" s="14" t="n">
        <f aca="false">Sens!K4086*Sens!K4087*chip_f</f>
        <v>17.1549391213158</v>
      </c>
      <c r="L4088" s="1" t="s">
        <v>820</v>
      </c>
    </row>
    <row r="4089" customFormat="false" ht="17.15" hidden="false" customHeight="false" outlineLevel="0" collapsed="false">
      <c r="A4089" s="0" t="s">
        <v>821</v>
      </c>
      <c r="B4089" s="0" t="s">
        <v>98</v>
      </c>
      <c r="D4089" s="6" t="n">
        <f aca="false">(Sens!C4074+Sens!D4074)/2*Sens!D4088/1000</f>
        <v>12.9359794422418</v>
      </c>
      <c r="E4089" s="6" t="n">
        <f aca="false">(Sens!D4074+Sens!E4074)/2*Sens!E4088/1000</f>
        <v>27.8095064661409</v>
      </c>
      <c r="F4089" s="6" t="n">
        <f aca="false">(Sens!E4074+Sens!F4074)/2*Sens!F4088/1000</f>
        <v>58.7324192305018</v>
      </c>
      <c r="G4089" s="6" t="n">
        <f aca="false">(Sens!F4074+Sens!G4074)/2*Sens!G4088/1000</f>
        <v>101.369089141153</v>
      </c>
      <c r="H4089" s="6" t="n">
        <f aca="false">(Sens!G4074+Sens!H4074)/2*Sens!H4088/1000</f>
        <v>151.2271359301</v>
      </c>
      <c r="I4089" s="6" t="n">
        <f aca="false">(Sens!H4074+Sens!I4074)/2*Sens!I4088/1000</f>
        <v>189.658187712069</v>
      </c>
      <c r="J4089" s="6" t="n">
        <f aca="false">(Sens!I4074+Sens!J4074)/2*Sens!J4088/1000</f>
        <v>218.275279543789</v>
      </c>
      <c r="K4089" s="6" t="n">
        <f aca="false">(Sens!J4074+Sens!K4074)/2*Sens!K4088/1000</f>
        <v>237.531095470224</v>
      </c>
      <c r="L4089" s="11" t="s">
        <v>822</v>
      </c>
    </row>
    <row r="4090" customFormat="false" ht="17.15" hidden="false" customHeight="false" outlineLevel="0" collapsed="false">
      <c r="A4090" s="1" t="s">
        <v>823</v>
      </c>
      <c r="B4090" s="0" t="s">
        <v>339</v>
      </c>
      <c r="C4090" s="14" t="n">
        <f aca="false">(Sens!C4082*tk_opex_h100+Sens!C4083*tk_opex_gb200+Sens!C4084*tk_opex_gb300+Sens!C4085*tk_opex_vr200)/Sens!C4074</f>
        <v>1.88636041306092</v>
      </c>
      <c r="D4090" s="14" t="n">
        <f aca="false">(Sens!D4082*tk_opex_h100+Sens!D4083*tk_opex_gb200+Sens!D4084*tk_opex_gb300+Sens!D4085*tk_opex_vr200)/Sens!D4074</f>
        <v>1.88636041306092</v>
      </c>
      <c r="E4090" s="14" t="n">
        <f aca="false">(Sens!E4082*tk_opex_h100+Sens!E4083*tk_opex_gb200+Sens!E4084*tk_opex_gb300+Sens!E4085*tk_opex_vr200)/Sens!E4074</f>
        <v>1.88636041306092</v>
      </c>
      <c r="F4090" s="14" t="n">
        <f aca="false">(Sens!F4082*tk_opex_h100+Sens!F4083*tk_opex_gb200+Sens!F4084*tk_opex_gb300+Sens!F4085*tk_opex_vr200)/Sens!F4074</f>
        <v>1.9430236476499</v>
      </c>
      <c r="G4090" s="14" t="n">
        <f aca="false">(Sens!G4082*tk_opex_h100+Sens!G4083*tk_opex_gb200+Sens!G4084*tk_opex_gb300+Sens!G4085*tk_opex_vr200)/Sens!G4074</f>
        <v>1.9786941852423</v>
      </c>
      <c r="H4090" s="14" t="n">
        <f aca="false">(Sens!H4082*tk_opex_h100+Sens!H4083*tk_opex_gb200+Sens!H4084*tk_opex_gb300+Sens!H4085*tk_opex_vr200)/Sens!H4074</f>
        <v>2.01176162864988</v>
      </c>
      <c r="I4090" s="14" t="n">
        <f aca="false">(Sens!I4082*tk_opex_h100+Sens!I4083*tk_opex_gb200+Sens!I4084*tk_opex_gb300+Sens!I4085*tk_opex_vr200)/Sens!I4074</f>
        <v>2.03328734764244</v>
      </c>
      <c r="J4090" s="14" t="n">
        <f aca="false">(Sens!J4082*tk_opex_h100+Sens!J4083*tk_opex_gb200+Sens!J4084*tk_opex_gb300+Sens!J4085*tk_opex_vr200)/Sens!J4074</f>
        <v>2.05814998215727</v>
      </c>
      <c r="K4090" s="14" t="n">
        <f aca="false">(Sens!K4082*tk_opex_h100+Sens!K4083*tk_opex_gb200+Sens!K4084*tk_opex_gb300+Sens!K4085*tk_opex_vr200)/Sens!K4074</f>
        <v>2.09119746607128</v>
      </c>
    </row>
    <row r="4091" customFormat="false" ht="17.15" hidden="false" customHeight="false" outlineLevel="0" collapsed="false">
      <c r="A4091" s="0" t="s">
        <v>824</v>
      </c>
      <c r="B4091" s="0" t="s">
        <v>98</v>
      </c>
      <c r="D4091" s="6" t="n">
        <f aca="false">(Sens!C4077+Sens!D4077)/2*Sens!D4090/1000</f>
        <v>2.70378325872065</v>
      </c>
      <c r="E4091" s="6" t="n">
        <f aca="false">(Sens!D4077+Sens!E4077)/2*Sens!E4090/1000</f>
        <v>6.17783035277451</v>
      </c>
      <c r="F4091" s="6" t="n">
        <f aca="false">(Sens!E4077+Sens!F4077)/2*Sens!F4090/1000</f>
        <v>12.5020618235287</v>
      </c>
      <c r="G4091" s="6" t="n">
        <f aca="false">(Sens!F4077+Sens!G4077)/2*Sens!G4090/1000</f>
        <v>20.7261620256847</v>
      </c>
      <c r="H4091" s="6" t="n">
        <f aca="false">(Sens!G4077+Sens!H4077)/2*Sens!H4090/1000</f>
        <v>29.5460724527713</v>
      </c>
      <c r="I4091" s="6" t="n">
        <f aca="false">(Sens!H4077+Sens!I4077)/2*Sens!I4090/1000</f>
        <v>37.182583396223</v>
      </c>
      <c r="J4091" s="6" t="n">
        <f aca="false">(Sens!I4077+Sens!J4077)/2*Sens!J4090/1000</f>
        <v>42.5290349493028</v>
      </c>
      <c r="K4091" s="6" t="n">
        <f aca="false">(Sens!J4077+Sens!K4077)/2*Sens!K4090/1000</f>
        <v>45.6237317945176</v>
      </c>
    </row>
    <row r="4092" customFormat="false" ht="17.15" hidden="false" customHeight="false" outlineLevel="0" collapsed="false">
      <c r="A4092" s="0" t="s">
        <v>825</v>
      </c>
      <c r="B4092" s="0" t="s">
        <v>98</v>
      </c>
      <c r="D4092" s="6" t="n">
        <f aca="false">(Sens!C4075+Sens!D4075)/2*rent_mw/1000</f>
        <v>2.44475</v>
      </c>
      <c r="E4092" s="6" t="n">
        <f aca="false">(Sens!D4075+Sens!E4075)/2*rent_mw/1000</f>
        <v>4.22275</v>
      </c>
      <c r="F4092" s="6" t="n">
        <f aca="false">(Sens!E4075+Sens!F4075)/2*rent_mw/1000</f>
        <v>5.80517</v>
      </c>
      <c r="G4092" s="6" t="n">
        <f aca="false">(Sens!F4075+Sens!G4075)/2*rent_mw/1000</f>
        <v>6.72084</v>
      </c>
      <c r="H4092" s="6" t="n">
        <f aca="false">(Sens!G4075+Sens!H4075)/2*rent_mw/1000</f>
        <v>6.72084</v>
      </c>
      <c r="I4092" s="6" t="n">
        <f aca="false">(Sens!H4075+Sens!I4075)/2*rent_mw/1000</f>
        <v>6.72084</v>
      </c>
      <c r="J4092" s="6" t="n">
        <f aca="false">(Sens!I4075+Sens!J4075)/2*rent_mw/1000</f>
        <v>6.72084</v>
      </c>
      <c r="K4092" s="6" t="n">
        <f aca="false">(Sens!J4075+Sens!K4075)/2*rent_mw/1000</f>
        <v>6.72084</v>
      </c>
    </row>
    <row r="4093" customFormat="false" ht="17.15" hidden="false" customHeight="false" outlineLevel="0" collapsed="false">
      <c r="A4093" s="0" t="s">
        <v>826</v>
      </c>
      <c r="B4093" s="0" t="s">
        <v>98</v>
      </c>
      <c r="D4093" s="6" t="n">
        <f aca="false">(Sens!C4077+Sens!D4077)/2*(1-self_build)*fac_rent/1000</f>
        <v>0.853242375631075</v>
      </c>
      <c r="E4093" s="6" t="n">
        <f aca="false">(Sens!D4077+Sens!E4077)/2*(1-self_build)*fac_rent/1000</f>
        <v>1.94955961408728</v>
      </c>
      <c r="F4093" s="6" t="n">
        <f aca="false">(Sens!E4077+Sens!F4077)/2*(1-self_build)*fac_rent/1000</f>
        <v>3.83026455274573</v>
      </c>
      <c r="G4093" s="6" t="n">
        <f aca="false">(Sens!F4077+Sens!G4077)/2*(1-self_build)*fac_rent/1000</f>
        <v>6.23541590972812</v>
      </c>
      <c r="H4093" s="6" t="n">
        <f aca="false">(Sens!G4077+Sens!H4077)/2*(1-self_build)*fac_rent/1000</f>
        <v>8.74275792332679</v>
      </c>
      <c r="I4093" s="6" t="n">
        <f aca="false">(Sens!H4077+Sens!I4077)/2*(1-self_build)*fac_rent/1000</f>
        <v>10.8859420438599</v>
      </c>
      <c r="J4093" s="6" t="n">
        <f aca="false">(Sens!I4077+Sens!J4077)/2*(1-self_build)*fac_rent/1000</f>
        <v>12.3008103782619</v>
      </c>
      <c r="K4093" s="6" t="n">
        <f aca="false">(Sens!J4077+Sens!K4077)/2*(1-self_build)*fac_rent/1000</f>
        <v>12.9873629265328</v>
      </c>
      <c r="L4093" s="11" t="s">
        <v>827</v>
      </c>
    </row>
    <row r="4094" customFormat="false" ht="17.15" hidden="false" customHeight="false" outlineLevel="0" collapsed="false">
      <c r="A4094" s="1" t="s">
        <v>828</v>
      </c>
      <c r="B4094" s="0" t="s">
        <v>129</v>
      </c>
      <c r="D4094" s="7" t="n">
        <f aca="false">(Sens!C4076+Sens!D4076)/(Sens!C4077+Sens!D4077)</f>
        <v>0.6</v>
      </c>
      <c r="E4094" s="7" t="n">
        <f aca="false">(Sens!D4076+Sens!E4076)/(Sens!D4077+Sens!E4077)</f>
        <v>0.6</v>
      </c>
      <c r="F4094" s="7" t="n">
        <f aca="false">(Sens!E4076+Sens!F4076)/(Sens!E4077+Sens!F4077)</f>
        <v>0.6</v>
      </c>
      <c r="G4094" s="7" t="n">
        <f aca="false">(Sens!F4076+Sens!G4076)/(Sens!F4077+Sens!G4077)</f>
        <v>0.6</v>
      </c>
      <c r="H4094" s="7" t="n">
        <f aca="false">(Sens!G4076+Sens!H4076)/(Sens!G4077+Sens!H4077)</f>
        <v>0.6</v>
      </c>
      <c r="I4094" s="7" t="n">
        <f aca="false">(Sens!H4076+Sens!I4076)/(Sens!H4077+Sens!I4077)</f>
        <v>0.6</v>
      </c>
      <c r="J4094" s="7" t="n">
        <f aca="false">(Sens!I4076+Sens!J4076)/(Sens!I4077+Sens!J4077)</f>
        <v>0.6</v>
      </c>
      <c r="K4094" s="7" t="n">
        <f aca="false">(Sens!J4076+Sens!K4076)/(Sens!J4077+Sens!K4077)</f>
        <v>0.6</v>
      </c>
    </row>
    <row r="4095" customFormat="false" ht="17.15" hidden="false" customHeight="false" outlineLevel="0" collapsed="false">
      <c r="A4095" s="0" t="s">
        <v>829</v>
      </c>
      <c r="B4095" s="0" t="s">
        <v>98</v>
      </c>
      <c r="D4095" s="6" t="n">
        <f aca="false">Sens!D4089-Sens!D4094*(Sens!D4091+Sens!D4093)-Sens!D4092</f>
        <v>8.35701406163072</v>
      </c>
      <c r="E4095" s="6" t="n">
        <f aca="false">Sens!E4089-Sens!E4094*(Sens!E4091+Sens!E4093)-Sens!E4092</f>
        <v>18.7103224860238</v>
      </c>
      <c r="F4095" s="6" t="n">
        <f aca="false">Sens!F4089-Sens!F4094*(Sens!F4091+Sens!F4093)-Sens!F4092</f>
        <v>43.1278534047371</v>
      </c>
      <c r="G4095" s="6" t="n">
        <f aca="false">Sens!G4089-Sens!G4094*(Sens!G4091+Sens!G4093)-Sens!G4092</f>
        <v>78.4713023799053</v>
      </c>
      <c r="H4095" s="6" t="n">
        <f aca="false">Sens!H4089-Sens!H4094*(Sens!H4091+Sens!H4093)-Sens!H4092</f>
        <v>121.532997704441</v>
      </c>
      <c r="I4095" s="6" t="n">
        <f aca="false">Sens!I4089-Sens!I4094*(Sens!I4091+Sens!I4093)-Sens!I4092</f>
        <v>154.09623244802</v>
      </c>
      <c r="J4095" s="6" t="n">
        <f aca="false">Sens!J4089-Sens!J4094*(Sens!J4091+Sens!J4093)-Sens!J4092</f>
        <v>178.65653234725</v>
      </c>
      <c r="K4095" s="6" t="n">
        <f aca="false">Sens!K4089-Sens!K4094*(Sens!K4091+Sens!K4093)-Sens!K4092</f>
        <v>195.643598637594</v>
      </c>
    </row>
    <row r="4096" customFormat="false" ht="17.15" hidden="false" customHeight="false" outlineLevel="0" collapsed="false">
      <c r="A4096" s="1" t="s">
        <v>830</v>
      </c>
      <c r="B4096" s="0" t="s">
        <v>98</v>
      </c>
      <c r="D4096" s="6" t="n">
        <f aca="false">(1-Sens!D4094)*(Sens!D4091+Sens!D4093)</f>
        <v>1.42281025374069</v>
      </c>
      <c r="E4096" s="6" t="n">
        <f aca="false">(1-Sens!E4094)*(Sens!E4091+Sens!E4093)</f>
        <v>3.25095598674472</v>
      </c>
      <c r="F4096" s="6" t="n">
        <f aca="false">(1-Sens!F4094)*(Sens!F4091+Sens!F4093)</f>
        <v>6.53293055050977</v>
      </c>
      <c r="G4096" s="6" t="n">
        <f aca="false">(1-Sens!G4094)*(Sens!G4091+Sens!G4093)</f>
        <v>10.7846311741651</v>
      </c>
      <c r="H4096" s="6" t="n">
        <f aca="false">(1-Sens!H4094)*(Sens!H4091+Sens!H4093)</f>
        <v>15.3155321504392</v>
      </c>
      <c r="I4096" s="6" t="n">
        <f aca="false">(1-Sens!I4094)*(Sens!I4091+Sens!I4093)</f>
        <v>19.2274101760331</v>
      </c>
      <c r="J4096" s="6" t="n">
        <f aca="false">(1-Sens!J4094)*(Sens!J4091+Sens!J4093)</f>
        <v>21.9319381310259</v>
      </c>
      <c r="K4096" s="6" t="n">
        <f aca="false">(1-Sens!K4094)*(Sens!K4091+Sens!K4093)</f>
        <v>23.4444378884201</v>
      </c>
    </row>
    <row r="4097" customFormat="false" ht="17.15" hidden="false" customHeight="false" outlineLevel="0" collapsed="false">
      <c r="A4097" s="1" t="s">
        <v>831</v>
      </c>
      <c r="B4097" s="0" t="s">
        <v>350</v>
      </c>
      <c r="C4097" s="8" t="n">
        <f aca="false">cxit_open</f>
        <v>27.5918995</v>
      </c>
      <c r="D4097" s="8" t="n">
        <f aca="false">cxit_open</f>
        <v>27.5918995</v>
      </c>
      <c r="E4097" s="8" t="n">
        <f aca="false">cxit_open</f>
        <v>27.5918995</v>
      </c>
      <c r="F4097" s="8" t="n">
        <f aca="false">(a_g3_27*tk_cxit_gb300+(1-a_g3_27)*tk_cxit_vr200)</f>
        <v>33.8419624</v>
      </c>
      <c r="G4097" s="8" t="n">
        <f aca="false">(a_g3_28*tk_cxit_gb300+(1-a_g3_28)*tk_cxit_vr200)</f>
        <v>35.9816136</v>
      </c>
      <c r="H4097" s="8" t="n">
        <f aca="false">(a_g3_29*tk_cxit_gb300+(1-a_g3_29)*tk_cxit_vr200)</f>
        <v>37.0514392</v>
      </c>
      <c r="I4097" s="8" t="n">
        <f aca="false">(a_g3_29*tk_cxit_gb300+(1-a_g3_29)*tk_cxit_vr200)</f>
        <v>37.0514392</v>
      </c>
      <c r="J4097" s="8" t="n">
        <f aca="false">(a_g3_29*tk_cxit_gb300+(1-a_g3_29)*tk_cxit_vr200)</f>
        <v>37.0514392</v>
      </c>
      <c r="K4097" s="8" t="n">
        <f aca="false">(a_g3_29*tk_cxit_gb300+(1-a_g3_29)*tk_cxit_vr200)</f>
        <v>37.0514392</v>
      </c>
      <c r="L4097" s="11" t="s">
        <v>832</v>
      </c>
    </row>
    <row r="4098" customFormat="false" ht="17.15" hidden="false" customHeight="false" outlineLevel="0" collapsed="false">
      <c r="A4098" s="0" t="s">
        <v>833</v>
      </c>
      <c r="B4098" s="0" t="s">
        <v>392</v>
      </c>
      <c r="F4098" s="29" t="n">
        <f aca="false">Sens!C4079*IF(Sens!F4072-Sens!C4072=life_it_lo,1,0)+Sens!D4079*IF(Sens!F4072-Sens!D4072=life_it_lo,1,0)+Sens!E4079*IF(Sens!F4072-Sens!E4072=life_it_lo,1,0)</f>
        <v>0</v>
      </c>
      <c r="G4098" s="29" t="n">
        <f aca="false">Sens!C4079*IF(Sens!G4072-Sens!C4072=life_it_lo,1,0)+Sens!D4079*IF(Sens!G4072-Sens!D4072=life_it_lo,1,0)+Sens!E4079*IF(Sens!G4072-Sens!E4072=life_it_lo,1,0)+Sens!F4079*IF(Sens!G4072-Sens!F4072=life_it_lo,1,0)</f>
        <v>0</v>
      </c>
      <c r="H4098" s="29" t="n">
        <f aca="false">Sens!C4079*IF(Sens!H4072-Sens!C4072=life_it_lo,1,0)+Sens!D4079*IF(Sens!H4072-Sens!D4072=life_it_lo,1,0)+Sens!E4079*IF(Sens!H4072-Sens!E4072=life_it_lo,1,0)+Sens!F4079*IF(Sens!H4072-Sens!F4072=life_it_lo,1,0)+Sens!G4079*IF(Sens!H4072-Sens!G4072=life_it_lo,1,0)</f>
        <v>816.666666666667</v>
      </c>
      <c r="I4098" s="29" t="n">
        <f aca="false">Sens!C4079*IF(Sens!I4072-Sens!C4072=life_it_lo,1,0)+Sens!D4079*IF(Sens!I4072-Sens!D4072=life_it_lo,1,0)+Sens!E4079*IF(Sens!I4072-Sens!E4072=life_it_lo,1,0)+Sens!F4079*IF(Sens!I4072-Sens!F4072=life_it_lo,1,0)+Sens!G4079*IF(Sens!I4072-Sens!G4072=life_it_lo,1,0)+Sens!H4079*IF(Sens!I4072-Sens!H4072=life_it_lo,1,0)</f>
        <v>1233.33333333333</v>
      </c>
      <c r="J4098" s="29" t="n">
        <f aca="false">Sens!C4079*IF(Sens!J4072-Sens!C4072=life_it_lo,1,0)+Sens!D4079*IF(Sens!J4072-Sens!D4072=life_it_lo,1,0)+Sens!E4079*IF(Sens!J4072-Sens!E4072=life_it_lo,1,0)+Sens!F4079*IF(Sens!J4072-Sens!F4072=life_it_lo,1,0)+Sens!G4079*IF(Sens!J4072-Sens!G4072=life_it_lo,1,0)+Sens!H4079*IF(Sens!J4072-Sens!H4072=life_it_lo,1,0)+Sens!I4079*IF(Sens!J4072-Sens!I4072=life_it_lo,1,0)</f>
        <v>2450</v>
      </c>
      <c r="K4098" s="29" t="n">
        <f aca="false">Sens!C4079*IF(Sens!K4072-Sens!C4072=life_it_lo,1,0)+Sens!D4079*IF(Sens!K4072-Sens!D4072=life_it_lo,1,0)+Sens!E4079*IF(Sens!K4072-Sens!E4072=life_it_lo,1,0)+Sens!F4079*IF(Sens!K4072-Sens!F4072=life_it_lo,1,0)+Sens!G4079*IF(Sens!K4072-Sens!G4072=life_it_lo,1,0)+Sens!H4079*IF(Sens!K4072-Sens!H4072=life_it_lo,1,0)+Sens!I4079*IF(Sens!K4072-Sens!I4072=life_it_lo,1,0)+Sens!J4079*IF(Sens!K4072-Sens!J4072=life_it_lo,1,0)</f>
        <v>3868.66666666667</v>
      </c>
      <c r="L4098" s="1" t="s">
        <v>834</v>
      </c>
    </row>
    <row r="4099" customFormat="false" ht="17.15" hidden="false" customHeight="false" outlineLevel="0" collapsed="false">
      <c r="A4099" s="0" t="s">
        <v>835</v>
      </c>
      <c r="B4099" s="0" t="s">
        <v>98</v>
      </c>
      <c r="C4099" s="6" t="n">
        <f aca="false">Sens!C4079*Sens!C4097/1000</f>
        <v>22.5333845916667</v>
      </c>
      <c r="D4099" s="6" t="n">
        <f aca="false">Sens!D4079*Sens!D4097/1000</f>
        <v>34.0300093833333</v>
      </c>
      <c r="E4099" s="6" t="n">
        <f aca="false">Sens!E4079*Sens!E4097/1000</f>
        <v>67.600153775</v>
      </c>
      <c r="F4099" s="6" t="n">
        <f aca="false">(Sens!F4079+Sens!F4098)*Sens!F4097/1000</f>
        <v>130.923271871467</v>
      </c>
      <c r="G4099" s="6" t="n">
        <f aca="false">(Sens!G4079+Sens!G4098)*Sens!G4097/1000</f>
        <v>151.5545564832</v>
      </c>
      <c r="H4099" s="6" t="n">
        <f aca="false">(Sens!H4079+Sens!H4098)*Sens!H4097/1000</f>
        <v>186.319337257067</v>
      </c>
      <c r="I4099" s="6" t="n">
        <f aca="false">(Sens!I4079+Sens!I4098)*Sens!I4097/1000</f>
        <v>156.425989100912</v>
      </c>
      <c r="J4099" s="6" t="n">
        <f aca="false">(Sens!J4079+Sens!J4098)*Sens!J4097/1000</f>
        <v>156.173792304757</v>
      </c>
      <c r="K4099" s="6" t="n">
        <f aca="false">(Sens!K4079+Sens!K4098)*Sens!K4097/1000</f>
        <v>163.405986227003</v>
      </c>
    </row>
    <row r="4100" customFormat="false" ht="17.15" hidden="false" customHeight="false" outlineLevel="0" collapsed="false">
      <c r="A4100" s="0" t="s">
        <v>836</v>
      </c>
      <c r="B4100" s="0" t="s">
        <v>98</v>
      </c>
      <c r="C4100" s="6" t="n">
        <f aca="false">Sens!C4079*self_build*tk_cxfac/1000</f>
        <v>6.2083</v>
      </c>
      <c r="D4100" s="6" t="n">
        <f aca="false">Sens!D4079*self_build*tk_cxfac/1000</f>
        <v>9.3758</v>
      </c>
      <c r="E4100" s="6" t="n">
        <f aca="false">Sens!E4079*self_build*tk_cxfac/1000</f>
        <v>18.6249</v>
      </c>
      <c r="F4100" s="6" t="n">
        <f aca="false">Sens!F4079*self_build*tk_cxfac/1000</f>
        <v>29.409604</v>
      </c>
      <c r="G4100" s="6" t="n">
        <f aca="false">Sens!G4079*self_build*tk_cxfac/1000</f>
        <v>32.019624</v>
      </c>
      <c r="H4100" s="6" t="n">
        <f aca="false">Sens!H4079*self_build*tk_cxfac/1000</f>
        <v>32.019624</v>
      </c>
      <c r="I4100" s="6" t="n">
        <f aca="false">Sens!I4079*self_build*tk_cxfac/1000</f>
        <v>22.71877972</v>
      </c>
      <c r="J4100" s="6" t="n">
        <f aca="false">Sens!J4079*self_build*tk_cxfac/1000</f>
        <v>13.41793544</v>
      </c>
      <c r="K4100" s="6" t="n">
        <f aca="false">Sens!K4079*self_build*tk_cxfac/1000</f>
        <v>4.11709116000001</v>
      </c>
    </row>
    <row r="4101" customFormat="false" ht="17.15" hidden="false" customHeight="false" outlineLevel="0" collapsed="false">
      <c r="A4101" s="0" t="s">
        <v>837</v>
      </c>
      <c r="B4101" s="0" t="s">
        <v>98</v>
      </c>
      <c r="F4101" s="6" t="n">
        <f aca="false">MAX(0,capex_floor27-Sens!F4099-Sens!F4100-Sens!F4194)</f>
        <v>8.13777689897088</v>
      </c>
      <c r="L4101" s="1" t="s">
        <v>838</v>
      </c>
    </row>
    <row r="4102" customFormat="false" ht="17.15" hidden="false" customHeight="false" outlineLevel="0" collapsed="false">
      <c r="A4102" s="0" t="s">
        <v>839</v>
      </c>
      <c r="B4102" s="0" t="s">
        <v>98</v>
      </c>
      <c r="C4102" s="6" t="n">
        <f aca="false">Sens!C4099</f>
        <v>22.5333845916667</v>
      </c>
      <c r="D4102" s="6" t="n">
        <f aca="false">Sens!D4099</f>
        <v>34.0300093833333</v>
      </c>
      <c r="E4102" s="6" t="n">
        <f aca="false">Sens!E4099</f>
        <v>67.600153775</v>
      </c>
      <c r="F4102" s="6" t="n">
        <f aca="false">Sens!F4099+Sens!F4101</f>
        <v>139.061048770438</v>
      </c>
      <c r="G4102" s="6" t="n">
        <f aca="false">Sens!G4099</f>
        <v>151.5545564832</v>
      </c>
      <c r="H4102" s="6" t="n">
        <f aca="false">Sens!H4099</f>
        <v>186.319337257067</v>
      </c>
      <c r="I4102" s="6" t="n">
        <f aca="false">Sens!I4099</f>
        <v>156.425989100912</v>
      </c>
      <c r="J4102" s="6" t="n">
        <f aca="false">Sens!J4099</f>
        <v>156.173792304757</v>
      </c>
      <c r="K4102" s="6" t="n">
        <f aca="false">Sens!K4099</f>
        <v>163.405986227003</v>
      </c>
    </row>
    <row r="4103" customFormat="false" ht="17.15" hidden="false" customHeight="false" outlineLevel="0" collapsed="false">
      <c r="A4103" s="0" t="s">
        <v>840</v>
      </c>
      <c r="B4103" s="0" t="s">
        <v>98</v>
      </c>
      <c r="C4103" s="6" t="n">
        <f aca="false">Sens!C4102+Sens!C4100</f>
        <v>28.7416845916667</v>
      </c>
      <c r="D4103" s="6" t="n">
        <f aca="false">Sens!D4102+Sens!D4100</f>
        <v>43.4058093833333</v>
      </c>
      <c r="E4103" s="6" t="n">
        <f aca="false">Sens!E4102+Sens!E4100</f>
        <v>86.225053775</v>
      </c>
      <c r="F4103" s="6" t="n">
        <f aca="false">Sens!F4102+Sens!F4100</f>
        <v>168.470652770438</v>
      </c>
      <c r="G4103" s="6" t="n">
        <f aca="false">Sens!G4102+Sens!G4100</f>
        <v>183.5741804832</v>
      </c>
      <c r="H4103" s="6" t="n">
        <f aca="false">Sens!H4102+Sens!H4100</f>
        <v>218.338961257067</v>
      </c>
      <c r="I4103" s="6" t="n">
        <f aca="false">Sens!I4102+Sens!I4100</f>
        <v>179.144768820912</v>
      </c>
      <c r="J4103" s="6" t="n">
        <f aca="false">Sens!J4102+Sens!J4100</f>
        <v>169.591727744757</v>
      </c>
      <c r="K4103" s="6" t="n">
        <f aca="false">Sens!K4102+Sens!K4100</f>
        <v>167.523077387003</v>
      </c>
      <c r="L4103" s="11" t="s">
        <v>841</v>
      </c>
    </row>
    <row r="4104" customFormat="false" ht="17.15" hidden="false" customHeight="false" outlineLevel="0" collapsed="false">
      <c r="A4104" s="0" t="s">
        <v>842</v>
      </c>
      <c r="B4104" s="0" t="s">
        <v>98</v>
      </c>
      <c r="E4104" s="6" t="n">
        <f aca="false">(Sens!C4102*IF(2&lt;life_it_lo,1,IF(2=life_it_lo,0.5,0))+Sens!D4102*IF(1&lt;life_it_lo,1,IF(1=life_it_lo,0.5,0))+Sens!E4102*0.5)/life_it_lo</f>
        <v>18.0726941725</v>
      </c>
      <c r="F4104" s="6" t="n">
        <f aca="false">(Sens!C4102*IF(3&lt;life_it_lo,1,IF(3=life_it_lo,0.5,0))+Sens!D4102*IF(2&lt;life_it_lo,1,IF(2=life_it_lo,0.5,0))+Sens!E4102*IF(1&lt;life_it_lo,1,IF(1=life_it_lo,0.5,0))+Sens!F4102*0.5)/life_it_lo</f>
        <v>38.7388144270438</v>
      </c>
      <c r="G4104" s="6" t="n">
        <f aca="false">(Sens!C4102*IF(4&lt;life_it_lo,1,IF(4=life_it_lo,0.5,0))+Sens!D4102*IF(3&lt;life_it_lo,1,IF(3=life_it_lo,0.5,0))+Sens!E4102*IF(2&lt;life_it_lo,1,IF(2=life_it_lo,0.5,0))+Sens!F4102*IF(1&lt;life_it_lo,1,IF(1=life_it_lo,0.5,0))+Sens!G4102*0.5)/life_it_lo</f>
        <v>67.8003749524075</v>
      </c>
      <c r="H4104" s="6" t="n">
        <f aca="false">(Sens!C4102*IF(5&lt;life_it_lo,1,IF(5=life_it_lo,0.5,0))+Sens!D4102*IF(4&lt;life_it_lo,1,IF(4=life_it_lo,0.5,0))+Sens!E4102*IF(3&lt;life_it_lo,1,IF(3=life_it_lo,0.5,0))+Sens!F4102*IF(2&lt;life_it_lo,1,IF(2=life_it_lo,0.5,0))+Sens!G4102*IF(1&lt;life_it_lo,1,IF(1=life_it_lo,0.5,0))+Sens!H4102*0.5)/life_it_lo</f>
        <v>99.3344258672675</v>
      </c>
      <c r="I4104" s="6" t="n">
        <f aca="false">(Sens!C4102*IF(6&lt;life_it_lo,1,IF(6=life_it_lo,0.5,0))+Sens!D4102*IF(5&lt;life_it_lo,1,IF(5=life_it_lo,0.5,0))+Sens!E4102*IF(4&lt;life_it_lo,1,IF(4=life_it_lo,0.5,0))+Sens!F4102*IF(3&lt;life_it_lo,1,IF(3=life_it_lo,0.5,0))+Sens!G4102*IF(2&lt;life_it_lo,1,IF(2=life_it_lo,0.5,0))+Sens!H4102*IF(1&lt;life_it_lo,1,IF(1=life_it_lo,0.5,0))+Sens!I4102*0.5)/life_it_lo</f>
        <v>127.952619105565</v>
      </c>
      <c r="J4104" s="6" t="n">
        <f aca="false">(Sens!C4102*IF(7&lt;life_it_lo,1,IF(7=life_it_lo,0.5,0))+Sens!D4102*IF(6&lt;life_it_lo,1,IF(6=life_it_lo,0.5,0))+Sens!E4102*IF(5&lt;life_it_lo,1,IF(5=life_it_lo,0.5,0))+Sens!F4102*IF(4&lt;life_it_lo,1,IF(4=life_it_lo,0.5,0))+Sens!G4102*IF(3&lt;life_it_lo,1,IF(3=life_it_lo,0.5,0))+Sens!H4102*IF(2&lt;life_it_lo,1,IF(2=life_it_lo,0.5,0))+Sens!I4102*IF(1&lt;life_it_lo,1,IF(1=life_it_lo,0.5,0))+Sens!J4102*0.5)/life_it_lo</f>
        <v>149.049580930299</v>
      </c>
      <c r="K4104" s="6" t="n">
        <f aca="false">(Sens!C4102*IF(8&lt;life_it_lo,1,IF(8=life_it_lo,0.5,0))+Sens!D4102*IF(7&lt;life_it_lo,1,IF(7=life_it_lo,0.5,0))+Sens!E4102*IF(6&lt;life_it_lo,1,IF(6=life_it_lo,0.5,0))+Sens!F4102*IF(5&lt;life_it_lo,1,IF(5=life_it_lo,0.5,0))+Sens!G4102*IF(4&lt;life_it_lo,1,IF(4=life_it_lo,0.5,0))+Sens!H4102*IF(3&lt;life_it_lo,1,IF(3=life_it_lo,0.5,0))+Sens!I4102*IF(2&lt;life_it_lo,1,IF(2=life_it_lo,0.5,0))+Sens!J4102*IF(1&lt;life_it_lo,1,IF(1=life_it_lo,0.5,0))+Sens!K4102*0.5)/life_it_lo</f>
        <v>160.341438528931</v>
      </c>
    </row>
    <row r="4105" customFormat="false" ht="17.15" hidden="false" customHeight="false" outlineLevel="0" collapsed="false">
      <c r="A4105" s="0" t="s">
        <v>843</v>
      </c>
      <c r="B4105" s="0" t="s">
        <v>98</v>
      </c>
      <c r="E4105" s="6" t="n">
        <f aca="false">(Sens!C4100*IF(2&lt;life_fac,1,IF(2=life_fac,0.5,0))+Sens!D4100*IF(1&lt;life_fac,1,IF(1=life_fac,0.5,0))+Sens!E4100*0.5)/life_fac</f>
        <v>1.2448275</v>
      </c>
      <c r="F4105" s="6" t="n">
        <f aca="false">(Sens!C4100*IF(3&lt;life_fac,1,IF(3=life_fac,0.5,0))+Sens!D4100*IF(2&lt;life_fac,1,IF(2=life_fac,0.5,0))+Sens!E4100*IF(1&lt;life_fac,1,IF(1=life_fac,0.5,0))+Sens!F4100*0.5)/life_fac</f>
        <v>2.4456901</v>
      </c>
      <c r="G4105" s="6" t="n">
        <f aca="false">(Sens!C4100*IF(4&lt;life_fac,1,IF(4=life_fac,0.5,0))+Sens!D4100*IF(3&lt;life_fac,1,IF(3=life_fac,0.5,0))+Sens!E4100*IF(2&lt;life_fac,1,IF(2=life_fac,0.5,0))+Sens!F4100*IF(1&lt;life_fac,1,IF(1=life_fac,0.5,0))+Sens!G4100*0.5)/life_fac</f>
        <v>3.9814208</v>
      </c>
      <c r="H4105" s="6" t="n">
        <f aca="false">(Sens!C4100*IF(5&lt;life_fac,1,IF(5=life_fac,0.5,0))+Sens!D4100*IF(4&lt;life_fac,1,IF(4=life_fac,0.5,0))+Sens!E4100*IF(3&lt;life_fac,1,IF(3=life_fac,0.5,0))+Sens!F4100*IF(2&lt;life_fac,1,IF(2=life_fac,0.5,0))+Sens!G4100*IF(1&lt;life_fac,1,IF(1=life_fac,0.5,0))+Sens!H4100*0.5)/life_fac</f>
        <v>5.582402</v>
      </c>
      <c r="I4105" s="6" t="n">
        <f aca="false">(Sens!C4100*IF(6&lt;life_fac,1,IF(6=life_fac,0.5,0))+Sens!D4100*IF(5&lt;life_fac,1,IF(5=life_fac,0.5,0))+Sens!E4100*IF(4&lt;life_fac,1,IF(4=life_fac,0.5,0))+Sens!F4100*IF(3&lt;life_fac,1,IF(3=life_fac,0.5,0))+Sens!G4100*IF(2&lt;life_fac,1,IF(2=life_fac,0.5,0))+Sens!H4100*IF(1&lt;life_fac,1,IF(1=life_fac,0.5,0))+Sens!I4100*0.5)/life_fac</f>
        <v>6.950862093</v>
      </c>
      <c r="J4105" s="6" t="n">
        <f aca="false">(Sens!C4100*IF(7&lt;life_fac,1,IF(7=life_fac,0.5,0))+Sens!D4100*IF(6&lt;life_fac,1,IF(6=life_fac,0.5,0))+Sens!E4100*IF(5&lt;life_fac,1,IF(5=life_fac,0.5,0))+Sens!F4100*IF(4&lt;life_fac,1,IF(4=life_fac,0.5,0))+Sens!G4100*IF(3&lt;life_fac,1,IF(3=life_fac,0.5,0))+Sens!H4100*IF(2&lt;life_fac,1,IF(2=life_fac,0.5,0))+Sens!I4100*IF(1&lt;life_fac,1,IF(1=life_fac,0.5,0))+Sens!J4100*0.5)/life_fac</f>
        <v>7.854279972</v>
      </c>
      <c r="K4105" s="6" t="n">
        <f aca="false">(Sens!C4100*IF(8&lt;life_fac,1,IF(8=life_fac,0.5,0))+Sens!D4100*IF(7&lt;life_fac,1,IF(7=life_fac,0.5,0))+Sens!E4100*IF(6&lt;life_fac,1,IF(6=life_fac,0.5,0))+Sens!F4100*IF(5&lt;life_fac,1,IF(5=life_fac,0.5,0))+Sens!G4100*IF(4&lt;life_fac,1,IF(4=life_fac,0.5,0))+Sens!H4100*IF(3&lt;life_fac,1,IF(3=life_fac,0.5,0))+Sens!I4100*IF(2&lt;life_fac,1,IF(2=life_fac,0.5,0))+Sens!J4100*IF(1&lt;life_fac,1,IF(1=life_fac,0.5,0))+Sens!K4100*0.5)/life_fac</f>
        <v>8.292655637</v>
      </c>
    </row>
    <row r="4106" customFormat="false" ht="17.15" hidden="false" customHeight="false" outlineLevel="0" collapsed="false">
      <c r="A4106" s="0" t="s">
        <v>844</v>
      </c>
      <c r="B4106" s="0" t="s">
        <v>98</v>
      </c>
      <c r="E4106" s="6" t="n">
        <f aca="false">Sens!E4104+Sens!E4105</f>
        <v>19.3175216725</v>
      </c>
      <c r="F4106" s="6" t="n">
        <f aca="false">Sens!F4104+Sens!F4105</f>
        <v>41.1845045270438</v>
      </c>
      <c r="G4106" s="6" t="n">
        <f aca="false">Sens!G4104+Sens!G4105</f>
        <v>71.7817957524075</v>
      </c>
      <c r="H4106" s="6" t="n">
        <f aca="false">Sens!H4104+Sens!H4105</f>
        <v>104.916827867267</v>
      </c>
      <c r="I4106" s="6" t="n">
        <f aca="false">Sens!I4104+Sens!I4105</f>
        <v>134.903481198565</v>
      </c>
      <c r="J4106" s="6" t="n">
        <f aca="false">Sens!J4104+Sens!J4105</f>
        <v>156.903860902299</v>
      </c>
      <c r="K4106" s="6" t="n">
        <f aca="false">Sens!K4104+Sens!K4105</f>
        <v>168.634094165931</v>
      </c>
    </row>
    <row r="4107" customFormat="false" ht="17.15" hidden="false" customHeight="false" outlineLevel="0" collapsed="false">
      <c r="A4107" s="0" t="s">
        <v>845</v>
      </c>
      <c r="B4107" s="0" t="s">
        <v>98</v>
      </c>
      <c r="E4107" s="6" t="n">
        <f aca="false">Sens!E4095-Sens!E4094*Sens!E4106</f>
        <v>7.11980948252379</v>
      </c>
      <c r="F4107" s="6" t="n">
        <f aca="false">Sens!F4095-Sens!F4094*Sens!F4106</f>
        <v>18.4171506885109</v>
      </c>
      <c r="G4107" s="6" t="n">
        <f aca="false">Sens!G4095-Sens!G4094*Sens!G4106</f>
        <v>35.4022249284608</v>
      </c>
      <c r="H4107" s="6" t="n">
        <f aca="false">Sens!H4095-Sens!H4094*Sens!H4106</f>
        <v>58.5829009840804</v>
      </c>
      <c r="I4107" s="6" t="n">
        <f aca="false">Sens!I4095-Sens!I4094*Sens!I4106</f>
        <v>73.1541437288804</v>
      </c>
      <c r="J4107" s="6" t="n">
        <f aca="false">Sens!J4095-Sens!J4094*Sens!J4106</f>
        <v>84.514215805871</v>
      </c>
      <c r="K4107" s="6" t="n">
        <f aca="false">Sens!K4095-Sens!K4094*Sens!K4106</f>
        <v>94.4631421380349</v>
      </c>
    </row>
    <row r="4108" customFormat="false" ht="17.15" hidden="false" customHeight="false" outlineLevel="0" collapsed="false">
      <c r="A4108" s="3" t="s">
        <v>1340</v>
      </c>
    </row>
    <row r="4109" customFormat="false" ht="15" hidden="false" customHeight="false" outlineLevel="0" collapsed="false">
      <c r="A4109" s="4" t="s">
        <v>43</v>
      </c>
      <c r="B4109" s="4" t="s">
        <v>65</v>
      </c>
      <c r="C4109" s="20" t="s">
        <v>788</v>
      </c>
      <c r="D4109" s="20" t="s">
        <v>789</v>
      </c>
      <c r="E4109" s="20" t="s">
        <v>790</v>
      </c>
      <c r="F4109" s="20" t="s">
        <v>791</v>
      </c>
      <c r="G4109" s="20" t="s">
        <v>792</v>
      </c>
      <c r="H4109" s="20" t="s">
        <v>793</v>
      </c>
      <c r="I4109" s="20" t="s">
        <v>794</v>
      </c>
      <c r="J4109" s="20" t="s">
        <v>795</v>
      </c>
      <c r="K4109" s="20" t="s">
        <v>796</v>
      </c>
      <c r="L4109" s="4" t="s">
        <v>47</v>
      </c>
    </row>
    <row r="4110" customFormat="false" ht="17.15" hidden="false" customHeight="false" outlineLevel="0" collapsed="false">
      <c r="A4110" s="0" t="s">
        <v>864</v>
      </c>
      <c r="B4110" s="0" t="s">
        <v>98</v>
      </c>
      <c r="D4110" s="6" t="n">
        <f aca="false">Sens!D4089</f>
        <v>12.9359794422418</v>
      </c>
      <c r="E4110" s="6" t="n">
        <f aca="false">Sens!E4089</f>
        <v>27.8095064661409</v>
      </c>
      <c r="F4110" s="6" t="n">
        <f aca="false">Sens!F4089</f>
        <v>58.7324192305018</v>
      </c>
      <c r="G4110" s="6" t="n">
        <f aca="false">Sens!G4089</f>
        <v>101.369089141153</v>
      </c>
      <c r="H4110" s="6" t="n">
        <f aca="false">Sens!H4089</f>
        <v>151.2271359301</v>
      </c>
      <c r="I4110" s="6" t="n">
        <f aca="false">Sens!I4089</f>
        <v>189.658187712069</v>
      </c>
      <c r="J4110" s="6" t="n">
        <f aca="false">Sens!J4089</f>
        <v>218.275279543789</v>
      </c>
      <c r="K4110" s="6" t="n">
        <f aca="false">Sens!K4089</f>
        <v>237.531095470224</v>
      </c>
    </row>
    <row r="4111" customFormat="false" ht="17.15" hidden="false" customHeight="false" outlineLevel="0" collapsed="false">
      <c r="A4111" s="0" t="s">
        <v>865</v>
      </c>
      <c r="B4111" s="0" t="s">
        <v>98</v>
      </c>
      <c r="D4111" s="6" t="n">
        <f aca="false">Q!L6-Sens!D4110</f>
        <v>59.6740205577583</v>
      </c>
      <c r="E4111" s="6" t="n">
        <f aca="false">Q!M6-Sens!E4110</f>
        <v>74.1284935338591</v>
      </c>
      <c r="F4111" s="6" t="n">
        <f aca="false">Sens!E4111*(1+Sens!F4112)</f>
        <v>90.0799497373663</v>
      </c>
      <c r="G4111" s="6" t="n">
        <f aca="false">Sens!F4111*(1+Sens!G4112)</f>
        <v>107.02842520331</v>
      </c>
      <c r="H4111" s="6" t="n">
        <f aca="false">Sens!G4111*(1+Sens!H4112)</f>
        <v>124.271982585636</v>
      </c>
      <c r="I4111" s="6" t="n">
        <f aca="false">Sens!H4111*(1+Sens!I4112)</f>
        <v>140.933702381855</v>
      </c>
      <c r="J4111" s="6" t="n">
        <f aca="false">Sens!I4111*(1+Sens!J4112)</f>
        <v>156.018867314332</v>
      </c>
      <c r="K4111" s="6" t="n">
        <f aca="false">Sens!J4111*(1+Sens!K4112)</f>
        <v>168.500376699478</v>
      </c>
    </row>
    <row r="4112" customFormat="false" ht="15" hidden="false" customHeight="false" outlineLevel="0" collapsed="false">
      <c r="A4112" s="1" t="s">
        <v>866</v>
      </c>
      <c r="B4112" s="0" t="s">
        <v>129</v>
      </c>
      <c r="E4112" s="7" t="n">
        <f aca="false">Sens!E4111/Sens!D4111-1</f>
        <v>0.242223883039864</v>
      </c>
      <c r="F4112" s="7" t="n">
        <f aca="false">Sens!$E$4112+(glt_azo-Sens!$E$4112)*MIN(1,(Sens!F4072-base_fy)/n_conv)</f>
        <v>0.215186569199887</v>
      </c>
      <c r="G4112" s="7" t="n">
        <f aca="false">Sens!$E$4112+(glt_azo-Sens!$E$4112)*MIN(1,(Sens!G4072-base_fy)/n_conv)</f>
        <v>0.18814925535991</v>
      </c>
      <c r="H4112" s="7" t="n">
        <f aca="false">Sens!$E$4112+(glt_azo-Sens!$E$4112)*MIN(1,(Sens!H4072-base_fy)/n_conv)</f>
        <v>0.161111941519932</v>
      </c>
      <c r="I4112" s="7" t="n">
        <f aca="false">Sens!$E$4112+(glt_azo-Sens!$E$4112)*MIN(1,(Sens!I4072-base_fy)/n_conv)</f>
        <v>0.134074627679955</v>
      </c>
      <c r="J4112" s="7" t="n">
        <f aca="false">Sens!$E$4112+(glt_azo-Sens!$E$4112)*MIN(1,(Sens!J4072-base_fy)/n_conv)</f>
        <v>0.107037313839977</v>
      </c>
      <c r="K4112" s="7" t="n">
        <f aca="false">Sens!$E$4112+(glt_azo-Sens!$E$4112)*MIN(1,(Sens!K4072-base_fy)/n_conv)</f>
        <v>0.08</v>
      </c>
    </row>
    <row r="4113" customFormat="false" ht="15" hidden="false" customHeight="false" outlineLevel="0" collapsed="false">
      <c r="A4113" s="0" t="s">
        <v>867</v>
      </c>
      <c r="B4113" s="0" t="s">
        <v>98</v>
      </c>
      <c r="D4113" s="6" t="n">
        <f aca="false">Sens!D4110+Sens!D4111</f>
        <v>72.61</v>
      </c>
      <c r="E4113" s="6" t="n">
        <f aca="false">Sens!E4110+Sens!E4111</f>
        <v>101.938</v>
      </c>
      <c r="F4113" s="6" t="n">
        <f aca="false">Sens!F4110+Sens!F4111</f>
        <v>148.812368967868</v>
      </c>
      <c r="G4113" s="6" t="n">
        <f aca="false">Sens!G4110+Sens!G4111</f>
        <v>208.397514344463</v>
      </c>
      <c r="H4113" s="6" t="n">
        <f aca="false">Sens!H4110+Sens!H4111</f>
        <v>275.499118515736</v>
      </c>
      <c r="I4113" s="6" t="n">
        <f aca="false">Sens!I4110+Sens!I4111</f>
        <v>330.591890093924</v>
      </c>
      <c r="J4113" s="6" t="n">
        <f aca="false">Sens!J4110+Sens!J4111</f>
        <v>374.294146858121</v>
      </c>
      <c r="K4113" s="6" t="n">
        <f aca="false">Sens!K4110+Sens!K4111</f>
        <v>406.031472169702</v>
      </c>
    </row>
    <row r="4114" customFormat="false" ht="17.15" hidden="false" customHeight="false" outlineLevel="0" collapsed="false">
      <c r="A4114" s="0" t="s">
        <v>868</v>
      </c>
      <c r="B4114" s="1" t="s">
        <v>521</v>
      </c>
      <c r="C4114" s="29" t="n">
        <f aca="false">cop_s24</f>
        <v>1</v>
      </c>
      <c r="D4114" s="29" t="n">
        <f aca="false">cop_s25</f>
        <v>5</v>
      </c>
      <c r="E4114" s="29" t="n">
        <f aca="false">cop_s26</f>
        <v>30</v>
      </c>
      <c r="F4114" s="29" t="n">
        <f aca="false">Sens!E4114+cop_add_A</f>
        <v>60</v>
      </c>
      <c r="G4114" s="29" t="n">
        <f aca="false">Sens!F4114+cop_add_A</f>
        <v>90</v>
      </c>
      <c r="H4114" s="29" t="n">
        <f aca="false">Sens!G4114+cop_add_A</f>
        <v>120</v>
      </c>
      <c r="I4114" s="29" t="n">
        <f aca="false">Sens!H4114+cop_add_A*cop_tail</f>
        <v>135</v>
      </c>
      <c r="J4114" s="29" t="n">
        <f aca="false">Sens!I4114+cop_add_A*cop_tail</f>
        <v>150</v>
      </c>
      <c r="K4114" s="29" t="n">
        <f aca="false">Sens!J4114+cop_add_A*cop_tail</f>
        <v>165</v>
      </c>
      <c r="L4114" s="11" t="s">
        <v>869</v>
      </c>
    </row>
    <row r="4115" customFormat="false" ht="17.15" hidden="false" customHeight="false" outlineLevel="0" collapsed="false">
      <c r="A4115" s="0" t="s">
        <v>870</v>
      </c>
      <c r="B4115" s="0" t="s">
        <v>98</v>
      </c>
      <c r="D4115" s="6" t="n">
        <f aca="false">(Sens!C4114+Sens!D4114)/2*cop_px*12/1000</f>
        <v>0.9</v>
      </c>
      <c r="E4115" s="6" t="n">
        <f aca="false">(Sens!D4114+Sens!E4114)/2*cop_px*12/1000</f>
        <v>5.25</v>
      </c>
      <c r="F4115" s="6" t="n">
        <f aca="false">(Sens!E4114+Sens!F4114)/2*cop_px*12/1000</f>
        <v>13.5</v>
      </c>
      <c r="G4115" s="6" t="n">
        <f aca="false">(Sens!F4114+Sens!G4114)/2*cop_px*12/1000</f>
        <v>22.5</v>
      </c>
      <c r="H4115" s="6" t="n">
        <f aca="false">(Sens!G4114+Sens!H4114)/2*cop_px*12/1000</f>
        <v>31.5</v>
      </c>
      <c r="I4115" s="6" t="n">
        <f aca="false">(Sens!H4114+Sens!I4114)/2*cop_px*12/1000</f>
        <v>38.25</v>
      </c>
      <c r="J4115" s="6" t="n">
        <f aca="false">(Sens!I4114+Sens!J4114)/2*cop_px*12/1000</f>
        <v>42.75</v>
      </c>
      <c r="K4115" s="6" t="n">
        <f aca="false">(Sens!J4114+Sens!K4114)/2*cop_px*12/1000</f>
        <v>47.25</v>
      </c>
      <c r="L4115" s="1" t="s">
        <v>871</v>
      </c>
    </row>
    <row r="4116" customFormat="false" ht="17.15" hidden="false" customHeight="false" outlineLevel="0" collapsed="false">
      <c r="A4116" s="0" t="s">
        <v>872</v>
      </c>
      <c r="B4116" s="0" t="s">
        <v>98</v>
      </c>
      <c r="D4116" s="6" t="n">
        <f aca="false">Q!L7-Sens!D4115</f>
        <v>83.705</v>
      </c>
      <c r="E4116" s="6" t="n">
        <f aca="false">Q!M7-Sens!E4115</f>
        <v>95.049</v>
      </c>
      <c r="F4116" s="6" t="n">
        <f aca="false">Sens!E4116*(1+Sens!F4117)</f>
        <v>106.89238776686</v>
      </c>
      <c r="G4116" s="6" t="n">
        <f aca="false">Sens!F4116*(1+Sens!G4117)</f>
        <v>119.044168448684</v>
      </c>
      <c r="H4116" s="6" t="n">
        <f aca="false">Sens!G4116*(1+Sens!H4117)</f>
        <v>131.277359388781</v>
      </c>
      <c r="I4116" s="6" t="n">
        <f aca="false">Sens!H4116*(1+Sens!I4117)</f>
        <v>143.334028071957</v>
      </c>
      <c r="J4116" s="6" t="n">
        <f aca="false">Sens!I4116*(1+Sens!J4117)</f>
        <v>154.932702785465</v>
      </c>
      <c r="K4116" s="6" t="n">
        <f aca="false">Sens!J4116*(1+Sens!K4117)</f>
        <v>165.777991980448</v>
      </c>
    </row>
    <row r="4117" customFormat="false" ht="15" hidden="false" customHeight="false" outlineLevel="0" collapsed="false">
      <c r="A4117" s="1" t="s">
        <v>866</v>
      </c>
      <c r="B4117" s="0" t="s">
        <v>129</v>
      </c>
      <c r="E4117" s="7" t="n">
        <f aca="false">Sens!E4116/Sens!D4116-1</f>
        <v>0.135523564900544</v>
      </c>
      <c r="F4117" s="7" t="n">
        <f aca="false">Sens!$E$4117+(glt_m365b-Sens!$E$4117)*MIN(1,(Sens!F4072-base_fy)/n_conv)</f>
        <v>0.124602970750453</v>
      </c>
      <c r="G4117" s="7" t="n">
        <f aca="false">Sens!$E$4117+(glt_m365b-Sens!$E$4117)*MIN(1,(Sens!G4072-base_fy)/n_conv)</f>
        <v>0.113682376600363</v>
      </c>
      <c r="H4117" s="7" t="n">
        <f aca="false">Sens!$E$4117+(glt_m365b-Sens!$E$4117)*MIN(1,(Sens!H4072-base_fy)/n_conv)</f>
        <v>0.102761782450272</v>
      </c>
      <c r="I4117" s="7" t="n">
        <f aca="false">Sens!$E$4117+(glt_m365b-Sens!$E$4117)*MIN(1,(Sens!I4072-base_fy)/n_conv)</f>
        <v>0.0918411883001813</v>
      </c>
      <c r="J4117" s="7" t="n">
        <f aca="false">Sens!$E$4117+(glt_m365b-Sens!$E$4117)*MIN(1,(Sens!J4072-base_fy)/n_conv)</f>
        <v>0.0809205941500906</v>
      </c>
      <c r="K4117" s="7" t="n">
        <f aca="false">Sens!$E$4117+(glt_m365b-Sens!$E$4117)*MIN(1,(Sens!K4072-base_fy)/n_conv)</f>
        <v>0.07</v>
      </c>
    </row>
    <row r="4118" customFormat="false" ht="15" hidden="false" customHeight="false" outlineLevel="0" collapsed="false">
      <c r="A4118" s="0" t="s">
        <v>873</v>
      </c>
      <c r="B4118" s="0" t="s">
        <v>98</v>
      </c>
      <c r="D4118" s="6" t="n">
        <f aca="false">Sens!D4116+Sens!D4115</f>
        <v>84.605</v>
      </c>
      <c r="E4118" s="6" t="n">
        <f aca="false">Sens!E4116+Sens!E4115</f>
        <v>100.299</v>
      </c>
      <c r="F4118" s="6" t="n">
        <f aca="false">Sens!F4116+Sens!F4115</f>
        <v>120.39238776686</v>
      </c>
      <c r="G4118" s="6" t="n">
        <f aca="false">Sens!G4116+Sens!G4115</f>
        <v>141.544168448684</v>
      </c>
      <c r="H4118" s="6" t="n">
        <f aca="false">Sens!H4116+Sens!H4115</f>
        <v>162.777359388781</v>
      </c>
      <c r="I4118" s="6" t="n">
        <f aca="false">Sens!I4116+Sens!I4115</f>
        <v>181.584028071957</v>
      </c>
      <c r="J4118" s="6" t="n">
        <f aca="false">Sens!J4116+Sens!J4115</f>
        <v>197.682702785465</v>
      </c>
      <c r="K4118" s="6" t="n">
        <f aca="false">Sens!K4116+Sens!K4115</f>
        <v>213.027991980448</v>
      </c>
    </row>
    <row r="4119" customFormat="false" ht="15" hidden="false" customHeight="false" outlineLevel="0" collapsed="false">
      <c r="A4119" s="0" t="s">
        <v>874</v>
      </c>
      <c r="B4119" s="0" t="s">
        <v>98</v>
      </c>
      <c r="D4119" s="6" t="n">
        <f aca="false">Q!L8</f>
        <v>35.391</v>
      </c>
      <c r="E4119" s="6" t="n">
        <f aca="false">Q!M8</f>
        <v>37.285</v>
      </c>
      <c r="F4119" s="6" t="n">
        <f aca="false">Sens!E4119*(1+Sens!F4120)</f>
        <v>39.0720834331704</v>
      </c>
      <c r="G4119" s="6" t="n">
        <f aca="false">Sens!F4119*(1+Sens!G4120)</f>
        <v>40.726562953769</v>
      </c>
      <c r="H4119" s="6" t="n">
        <f aca="false">Sens!G4119*(1+Sens!H4120)</f>
        <v>42.2235987259198</v>
      </c>
      <c r="I4119" s="6" t="n">
        <f aca="false">Sens!H4119*(1+Sens!I4120)</f>
        <v>43.5397988077414</v>
      </c>
      <c r="J4119" s="6" t="n">
        <f aca="false">Sens!I4119*(1+Sens!J4120)</f>
        <v>44.653811225693</v>
      </c>
      <c r="K4119" s="6" t="n">
        <f aca="false">Sens!J4119*(1+Sens!K4120)</f>
        <v>45.5468874502068</v>
      </c>
    </row>
    <row r="4120" customFormat="false" ht="15" hidden="false" customHeight="false" outlineLevel="0" collapsed="false">
      <c r="A4120" s="1" t="s">
        <v>866</v>
      </c>
      <c r="B4120" s="0" t="s">
        <v>129</v>
      </c>
      <c r="E4120" s="7" t="n">
        <f aca="false">Sens!E4119/Sens!D4119-1</f>
        <v>0.0535164307309768</v>
      </c>
      <c r="F4120" s="7" t="n">
        <f aca="false">Sens!$E$4120+(glt_lic-Sens!$E$4120)*MIN(1,(Sens!F4072-base_fy)/n_conv)</f>
        <v>0.0479303589424807</v>
      </c>
      <c r="G4120" s="7" t="n">
        <f aca="false">Sens!$E$4120+(glt_lic-Sens!$E$4120)*MIN(1,(Sens!G4072-base_fy)/n_conv)</f>
        <v>0.0423442871539845</v>
      </c>
      <c r="H4120" s="7" t="n">
        <f aca="false">Sens!$E$4120+(glt_lic-Sens!$E$4120)*MIN(1,(Sens!H4072-base_fy)/n_conv)</f>
        <v>0.0367582153654884</v>
      </c>
      <c r="I4120" s="7" t="n">
        <f aca="false">Sens!$E$4120+(glt_lic-Sens!$E$4120)*MIN(1,(Sens!I4072-base_fy)/n_conv)</f>
        <v>0.0311721435769923</v>
      </c>
      <c r="J4120" s="7" t="n">
        <f aca="false">Sens!$E$4120+(glt_lic-Sens!$E$4120)*MIN(1,(Sens!J4072-base_fy)/n_conv)</f>
        <v>0.0255860717884961</v>
      </c>
      <c r="K4120" s="7" t="n">
        <f aca="false">Sens!$E$4120+(glt_lic-Sens!$E$4120)*MIN(1,(Sens!K4072-base_fy)/n_conv)</f>
        <v>0.02</v>
      </c>
    </row>
    <row r="4121" customFormat="false" ht="15" hidden="false" customHeight="false" outlineLevel="0" collapsed="false">
      <c r="A4121" s="0" t="s">
        <v>875</v>
      </c>
      <c r="B4121" s="0" t="s">
        <v>98</v>
      </c>
      <c r="D4121" s="6" t="n">
        <f aca="false">Q!L9</f>
        <v>18.417</v>
      </c>
      <c r="E4121" s="6" t="n">
        <f aca="false">Q!M9</f>
        <v>20.345</v>
      </c>
      <c r="F4121" s="6" t="n">
        <f aca="false">Sens!E4121*(1+Sens!F4122)</f>
        <v>22.3572203267814</v>
      </c>
      <c r="G4121" s="6" t="n">
        <f aca="false">Sens!F4121*(1+Sens!G4122)</f>
        <v>24.4392124437232</v>
      </c>
      <c r="H4121" s="6" t="n">
        <f aca="false">Sens!G4121*(1+Sens!H4122)</f>
        <v>26.5738052080665</v>
      </c>
      <c r="I4121" s="6" t="n">
        <f aca="false">Sens!H4121*(1+Sens!I4122)</f>
        <v>28.7412169166967</v>
      </c>
      <c r="J4121" s="6" t="n">
        <f aca="false">Sens!I4121*(1+Sens!J4122)</f>
        <v>30.9192545395413</v>
      </c>
      <c r="K4121" s="6" t="n">
        <f aca="false">Sens!J4121*(1+Sens!K4122)</f>
        <v>33.0836023573092</v>
      </c>
    </row>
    <row r="4122" customFormat="false" ht="15" hidden="false" customHeight="false" outlineLevel="0" collapsed="false">
      <c r="A4122" s="1" t="s">
        <v>866</v>
      </c>
      <c r="B4122" s="0" t="s">
        <v>129</v>
      </c>
      <c r="E4122" s="7" t="n">
        <f aca="false">Sens!E4121/Sens!D4121-1</f>
        <v>0.104685888038225</v>
      </c>
      <c r="F4122" s="7" t="n">
        <f aca="false">Sens!$E$4122+(glt_ind-Sens!$E$4122)*MIN(1,(Sens!F4072-base_fy)/n_conv)</f>
        <v>0.0989049066985211</v>
      </c>
      <c r="G4122" s="7" t="n">
        <f aca="false">Sens!$E$4122+(glt_ind-Sens!$E$4122)*MIN(1,(Sens!G4072-base_fy)/n_conv)</f>
        <v>0.0931239253588169</v>
      </c>
      <c r="H4122" s="7" t="n">
        <f aca="false">Sens!$E$4122+(glt_ind-Sens!$E$4122)*MIN(1,(Sens!H4072-base_fy)/n_conv)</f>
        <v>0.0873429440191127</v>
      </c>
      <c r="I4122" s="7" t="n">
        <f aca="false">Sens!$E$4122+(glt_ind-Sens!$E$4122)*MIN(1,(Sens!I4072-base_fy)/n_conv)</f>
        <v>0.0815619626794085</v>
      </c>
      <c r="J4122" s="7" t="n">
        <f aca="false">Sens!$E$4122+(glt_ind-Sens!$E$4122)*MIN(1,(Sens!J4072-base_fy)/n_conv)</f>
        <v>0.0757809813397042</v>
      </c>
      <c r="K4122" s="7" t="n">
        <f aca="false">Sens!$E$4122+(glt_ind-Sens!$E$4122)*MIN(1,(Sens!K4072-base_fy)/n_conv)</f>
        <v>0.07</v>
      </c>
    </row>
    <row r="4123" customFormat="false" ht="15" hidden="false" customHeight="false" outlineLevel="0" collapsed="false">
      <c r="A4123" s="0" t="s">
        <v>876</v>
      </c>
      <c r="B4123" s="0" t="s">
        <v>98</v>
      </c>
      <c r="D4123" s="6" t="n">
        <f aca="false">Q!L10</f>
        <v>7.76</v>
      </c>
      <c r="E4123" s="6" t="n">
        <f aca="false">Q!M10</f>
        <v>8.26</v>
      </c>
      <c r="F4123" s="6" t="n">
        <f aca="false">Sens!E4123*(1+Sens!F4124)</f>
        <v>8.79988041237113</v>
      </c>
      <c r="G4123" s="6" t="n">
        <f aca="false">Sens!F4123*(1+Sens!G4124)</f>
        <v>9.38321269125306</v>
      </c>
      <c r="H4123" s="6" t="n">
        <f aca="false">Sens!G4123*(1+Sens!H4124)</f>
        <v>10.0139193587476</v>
      </c>
      <c r="I4123" s="6" t="n">
        <f aca="false">Sens!H4123*(1+Sens!I4124)</f>
        <v>10.6963111830911</v>
      </c>
      <c r="J4123" s="6" t="n">
        <f aca="false">Sens!I4123*(1+Sens!J4124)</f>
        <v>11.4351285534696</v>
      </c>
      <c r="K4123" s="6" t="n">
        <f aca="false">Sens!J4123*(1+Sens!K4124)</f>
        <v>12.2355875522124</v>
      </c>
    </row>
    <row r="4124" customFormat="false" ht="15" hidden="false" customHeight="false" outlineLevel="0" collapsed="false">
      <c r="A4124" s="1" t="s">
        <v>866</v>
      </c>
      <c r="B4124" s="0" t="s">
        <v>129</v>
      </c>
      <c r="E4124" s="7" t="n">
        <f aca="false">Sens!E4123/Sens!D4123-1</f>
        <v>0.0644329896907216</v>
      </c>
      <c r="F4124" s="7" t="n">
        <f aca="false">Sens!$E$4124+(glt_fro-Sens!$E$4124)*MIN(1,(Sens!F4072-base_fy)/n_conv)</f>
        <v>0.065360824742268</v>
      </c>
      <c r="G4124" s="7" t="n">
        <f aca="false">Sens!$E$4124+(glt_fro-Sens!$E$4124)*MIN(1,(Sens!G4072-base_fy)/n_conv)</f>
        <v>0.0662886597938144</v>
      </c>
      <c r="H4124" s="7" t="n">
        <f aca="false">Sens!$E$4124+(glt_fro-Sens!$E$4124)*MIN(1,(Sens!H4072-base_fy)/n_conv)</f>
        <v>0.0672164948453608</v>
      </c>
      <c r="I4124" s="7" t="n">
        <f aca="false">Sens!$E$4124+(glt_fro-Sens!$E$4124)*MIN(1,(Sens!I4072-base_fy)/n_conv)</f>
        <v>0.0681443298969072</v>
      </c>
      <c r="J4124" s="7" t="n">
        <f aca="false">Sens!$E$4124+(glt_fro-Sens!$E$4124)*MIN(1,(Sens!J4072-base_fy)/n_conv)</f>
        <v>0.0690721649484536</v>
      </c>
      <c r="K4124" s="7" t="n">
        <f aca="false">Sens!$E$4124+(glt_fro-Sens!$E$4124)*MIN(1,(Sens!K4072-base_fy)/n_conv)</f>
        <v>0.07</v>
      </c>
    </row>
    <row r="4125" customFormat="false" ht="15" hidden="false" customHeight="false" outlineLevel="0" collapsed="false">
      <c r="A4125" s="0" t="s">
        <v>704</v>
      </c>
      <c r="B4125" s="0" t="s">
        <v>98</v>
      </c>
      <c r="D4125" s="6" t="n">
        <f aca="false">Sens!D4113+Sens!D4118+Sens!D4119+Sens!D4121+Sens!D4123</f>
        <v>218.783</v>
      </c>
      <c r="E4125" s="6" t="n">
        <f aca="false">Sens!E4113+Sens!E4118+Sens!E4119+Sens!E4121+Sens!E4123</f>
        <v>268.127</v>
      </c>
      <c r="F4125" s="6" t="n">
        <f aca="false">Sens!F4113+Sens!F4118+Sens!F4119+Sens!F4121+Sens!F4123</f>
        <v>339.433940907051</v>
      </c>
      <c r="G4125" s="6" t="n">
        <f aca="false">Sens!G4113+Sens!G4118+Sens!G4119+Sens!G4121+Sens!G4123</f>
        <v>424.490670881892</v>
      </c>
      <c r="H4125" s="6" t="n">
        <f aca="false">Sens!H4113+Sens!H4118+Sens!H4119+Sens!H4121+Sens!H4123</f>
        <v>517.087801197251</v>
      </c>
      <c r="I4125" s="6" t="n">
        <f aca="false">Sens!I4113+Sens!I4118+Sens!I4119+Sens!I4121+Sens!I4123</f>
        <v>595.15324507341</v>
      </c>
      <c r="J4125" s="6" t="n">
        <f aca="false">Sens!J4113+Sens!J4118+Sens!J4119+Sens!J4121+Sens!J4123</f>
        <v>658.98504396229</v>
      </c>
      <c r="K4125" s="6" t="n">
        <f aca="false">Sens!K4113+Sens!K4118+Sens!K4119+Sens!K4121+Sens!K4123</f>
        <v>709.925541509878</v>
      </c>
    </row>
    <row r="4126" customFormat="false" ht="15" hidden="false" customHeight="false" outlineLevel="0" collapsed="false">
      <c r="A4126" s="0" t="s">
        <v>877</v>
      </c>
      <c r="B4126" s="0" t="s">
        <v>98</v>
      </c>
      <c r="D4126" s="6" t="n">
        <f aca="false">Q!L13</f>
        <v>22.171</v>
      </c>
      <c r="E4126" s="6" t="n">
        <f aca="false">Q!M13</f>
        <v>24.835</v>
      </c>
      <c r="F4126" s="6" t="n">
        <f aca="false">Sens!E4126*(1+Sens!F4127)</f>
        <v>27.6114901218559</v>
      </c>
      <c r="G4126" s="6" t="n">
        <f aca="false">Sens!F4126*(1+Sens!G4127)</f>
        <v>30.4675667338515</v>
      </c>
      <c r="H4126" s="6" t="n">
        <f aca="false">Sens!G4126*(1+Sens!H4127)</f>
        <v>33.3643766955789</v>
      </c>
      <c r="I4126" s="6" t="n">
        <f aca="false">Sens!H4126*(1+Sens!I4127)</f>
        <v>36.2577016533691</v>
      </c>
      <c r="J4126" s="6" t="n">
        <f aca="false">Sens!I4126*(1+Sens!J4127)</f>
        <v>39.0988367952171</v>
      </c>
      <c r="K4126" s="6" t="n">
        <f aca="false">Sens!J4126*(1+Sens!K4127)</f>
        <v>41.8357553708823</v>
      </c>
    </row>
    <row r="4127" customFormat="false" ht="15" hidden="false" customHeight="false" outlineLevel="0" collapsed="false">
      <c r="A4127" s="1" t="s">
        <v>866</v>
      </c>
      <c r="B4127" s="0" t="s">
        <v>129</v>
      </c>
      <c r="E4127" s="7" t="n">
        <f aca="false">Sens!E4126/Sens!D4126-1</f>
        <v>0.120156961796942</v>
      </c>
      <c r="F4127" s="7" t="n">
        <f aca="false">Sens!$E$4127+(glt_srch-Sens!$E$4127)*MIN(1,(Sens!F4072-base_fy)/n_conv)</f>
        <v>0.111797468164118</v>
      </c>
      <c r="G4127" s="7" t="n">
        <f aca="false">Sens!$E$4127+(glt_srch-Sens!$E$4127)*MIN(1,(Sens!G4072-base_fy)/n_conv)</f>
        <v>0.103437974531295</v>
      </c>
      <c r="H4127" s="7" t="n">
        <f aca="false">Sens!$E$4127+(glt_srch-Sens!$E$4127)*MIN(1,(Sens!H4072-base_fy)/n_conv)</f>
        <v>0.095078480898471</v>
      </c>
      <c r="I4127" s="7" t="n">
        <f aca="false">Sens!$E$4127+(glt_srch-Sens!$E$4127)*MIN(1,(Sens!I4072-base_fy)/n_conv)</f>
        <v>0.0867189872656474</v>
      </c>
      <c r="J4127" s="7" t="n">
        <f aca="false">Sens!$E$4127+(glt_srch-Sens!$E$4127)*MIN(1,(Sens!J4072-base_fy)/n_conv)</f>
        <v>0.0783594936328237</v>
      </c>
      <c r="K4127" s="7" t="n">
        <f aca="false">Sens!$E$4127+(glt_srch-Sens!$E$4127)*MIN(1,(Sens!K4072-base_fy)/n_conv)</f>
        <v>0.07</v>
      </c>
    </row>
    <row r="4128" customFormat="false" ht="15" hidden="false" customHeight="false" outlineLevel="0" collapsed="false">
      <c r="A4128" s="0" t="s">
        <v>878</v>
      </c>
      <c r="B4128" s="0" t="s">
        <v>98</v>
      </c>
      <c r="D4128" s="6" t="n">
        <f aca="false">Q!L14</f>
        <v>23.455</v>
      </c>
      <c r="E4128" s="6" t="n">
        <f aca="false">Q!M14</f>
        <v>21.79</v>
      </c>
      <c r="F4128" s="6" t="n">
        <f aca="false">Sens!E4128*(1+Sens!F4129)</f>
        <v>20.5736277908051</v>
      </c>
      <c r="G4128" s="6" t="n">
        <f aca="false">Sens!F4128*(1+Sens!G4129)</f>
        <v>19.7371452817919</v>
      </c>
      <c r="H4128" s="6" t="n">
        <f aca="false">Sens!G4128*(1+Sens!H4129)</f>
        <v>19.2339764043138</v>
      </c>
      <c r="I4128" s="6" t="n">
        <f aca="false">Sens!H4128*(1+Sens!I4129)</f>
        <v>19.0353086852681</v>
      </c>
      <c r="J4128" s="6" t="n">
        <f aca="false">Sens!I4128*(1+Sens!J4129)</f>
        <v>19.1273539319129</v>
      </c>
      <c r="K4128" s="6" t="n">
        <f aca="false">Sens!J4128*(1+Sens!K4129)</f>
        <v>19.5099010105511</v>
      </c>
    </row>
    <row r="4129" customFormat="false" ht="15" hidden="false" customHeight="false" outlineLevel="0" collapsed="false">
      <c r="A4129" s="1" t="s">
        <v>866</v>
      </c>
      <c r="B4129" s="0" t="s">
        <v>129</v>
      </c>
      <c r="E4129" s="7" t="n">
        <f aca="false">Sens!E4128/Sens!D4128-1</f>
        <v>-0.0709869963760392</v>
      </c>
      <c r="F4129" s="7" t="n">
        <f aca="false">Sens!$E$4129+(glt_xbox-Sens!$E$4129)*MIN(1,(Sens!F4072-base_fy)/n_conv)</f>
        <v>-0.0558224969800327</v>
      </c>
      <c r="G4129" s="7" t="n">
        <f aca="false">Sens!$E$4129+(glt_xbox-Sens!$E$4129)*MIN(1,(Sens!G4072-base_fy)/n_conv)</f>
        <v>-0.0406579975840262</v>
      </c>
      <c r="H4129" s="7" t="n">
        <f aca="false">Sens!$E$4129+(glt_xbox-Sens!$E$4129)*MIN(1,(Sens!H4072-base_fy)/n_conv)</f>
        <v>-0.0254934981880196</v>
      </c>
      <c r="I4129" s="7" t="n">
        <f aca="false">Sens!$E$4129+(glt_xbox-Sens!$E$4129)*MIN(1,(Sens!I4072-base_fy)/n_conv)</f>
        <v>-0.0103289987920131</v>
      </c>
      <c r="J4129" s="7" t="n">
        <f aca="false">Sens!$E$4129+(glt_xbox-Sens!$E$4129)*MIN(1,(Sens!J4072-base_fy)/n_conv)</f>
        <v>0.00483550060399347</v>
      </c>
      <c r="K4129" s="7" t="n">
        <f aca="false">Sens!$E$4129+(glt_xbox-Sens!$E$4129)*MIN(1,(Sens!K4072-base_fy)/n_conv)</f>
        <v>0.02</v>
      </c>
    </row>
    <row r="4130" customFormat="false" ht="15" hidden="false" customHeight="false" outlineLevel="0" collapsed="false">
      <c r="A4130" s="0" t="s">
        <v>879</v>
      </c>
      <c r="B4130" s="0" t="s">
        <v>98</v>
      </c>
      <c r="D4130" s="6" t="n">
        <f aca="false">Q!L15</f>
        <v>17.315</v>
      </c>
      <c r="E4130" s="6" t="n">
        <f aca="false">Q!M15</f>
        <v>17.087</v>
      </c>
      <c r="F4130" s="6" t="n">
        <f aca="false">Sens!E4130*(1+Sens!F4131)</f>
        <v>16.9564585436519</v>
      </c>
      <c r="G4130" s="6" t="n">
        <f aca="false">Sens!F4130*(1+Sens!G4131)</f>
        <v>16.9206490624268</v>
      </c>
      <c r="H4130" s="6" t="n">
        <f aca="false">Sens!G4130*(1+Sens!H4131)</f>
        <v>16.9784519149849</v>
      </c>
      <c r="I4130" s="6" t="n">
        <f aca="false">Sens!H4130*(1+Sens!I4131)</f>
        <v>17.1303084701817</v>
      </c>
      <c r="J4130" s="6" t="n">
        <f aca="false">Sens!I4130*(1+Sens!J4131)</f>
        <v>17.3782189407267</v>
      </c>
      <c r="K4130" s="6" t="n">
        <f aca="false">Sens!J4130*(1+Sens!K4131)</f>
        <v>17.7257833195413</v>
      </c>
    </row>
    <row r="4131" customFormat="false" ht="15" hidden="false" customHeight="false" outlineLevel="0" collapsed="false">
      <c r="A4131" s="1" t="s">
        <v>866</v>
      </c>
      <c r="B4131" s="0" t="s">
        <v>129</v>
      </c>
      <c r="E4131" s="7" t="n">
        <f aca="false">Sens!E4130/Sens!D4130-1</f>
        <v>-0.0131677736066995</v>
      </c>
      <c r="F4131" s="7" t="n">
        <f aca="false">Sens!$E$4131+(glt_win-Sens!$E$4131)*MIN(1,(Sens!F4072-base_fy)/n_conv)</f>
        <v>-0.00763981133891627</v>
      </c>
      <c r="G4131" s="7" t="n">
        <f aca="false">Sens!$E$4131+(glt_win-Sens!$E$4131)*MIN(1,(Sens!G4072-base_fy)/n_conv)</f>
        <v>-0.00211184907113301</v>
      </c>
      <c r="H4131" s="7" t="n">
        <f aca="false">Sens!$E$4131+(glt_win-Sens!$E$4131)*MIN(1,(Sens!H4072-base_fy)/n_conv)</f>
        <v>0.00341611319665024</v>
      </c>
      <c r="I4131" s="7" t="n">
        <f aca="false">Sens!$E$4131+(glt_win-Sens!$E$4131)*MIN(1,(Sens!I4072-base_fy)/n_conv)</f>
        <v>0.00894407546443349</v>
      </c>
      <c r="J4131" s="7" t="n">
        <f aca="false">Sens!$E$4131+(glt_win-Sens!$E$4131)*MIN(1,(Sens!J4072-base_fy)/n_conv)</f>
        <v>0.0144720377322168</v>
      </c>
      <c r="K4131" s="7" t="n">
        <f aca="false">Sens!$E$4131+(glt_win-Sens!$E$4131)*MIN(1,(Sens!K4072-base_fy)/n_conv)</f>
        <v>0.02</v>
      </c>
    </row>
    <row r="4132" customFormat="false" ht="15" hidden="false" customHeight="false" outlineLevel="0" collapsed="false">
      <c r="A4132" s="0" t="s">
        <v>718</v>
      </c>
      <c r="B4132" s="0" t="s">
        <v>98</v>
      </c>
      <c r="D4132" s="6" t="n">
        <f aca="false">Sens!D4126+Sens!D4128+Sens!D4130</f>
        <v>62.941</v>
      </c>
      <c r="E4132" s="6" t="n">
        <f aca="false">Sens!E4126+Sens!E4128+Sens!E4130</f>
        <v>63.712</v>
      </c>
      <c r="F4132" s="6" t="n">
        <f aca="false">Sens!F4126+Sens!F4128+Sens!F4130</f>
        <v>65.1415764563129</v>
      </c>
      <c r="G4132" s="6" t="n">
        <f aca="false">Sens!G4126+Sens!G4128+Sens!G4130</f>
        <v>67.1253610780702</v>
      </c>
      <c r="H4132" s="6" t="n">
        <f aca="false">Sens!H4126+Sens!H4128+Sens!H4130</f>
        <v>69.5768050148776</v>
      </c>
      <c r="I4132" s="6" t="n">
        <f aca="false">Sens!I4126+Sens!I4128+Sens!I4130</f>
        <v>72.4233188088189</v>
      </c>
      <c r="J4132" s="6" t="n">
        <f aca="false">Sens!J4126+Sens!J4128+Sens!J4130</f>
        <v>75.6044096678567</v>
      </c>
      <c r="K4132" s="6" t="n">
        <f aca="false">Sens!K4126+Sens!K4128+Sens!K4130</f>
        <v>79.0714397009747</v>
      </c>
    </row>
    <row r="4133" customFormat="false" ht="15" hidden="false" customHeight="false" outlineLevel="0" collapsed="false">
      <c r="A4133" s="1" t="s">
        <v>880</v>
      </c>
      <c r="B4133" s="0" t="s">
        <v>98</v>
      </c>
      <c r="D4133" s="6" t="n">
        <f aca="false">Sens!D4125+Sens!D4132</f>
        <v>281.724</v>
      </c>
      <c r="E4133" s="6" t="n">
        <f aca="false">Sens!E4125+Sens!E4132</f>
        <v>331.839</v>
      </c>
      <c r="F4133" s="6" t="n">
        <f aca="false">Sens!F4125+Sens!F4132</f>
        <v>404.575517363364</v>
      </c>
      <c r="G4133" s="6" t="n">
        <f aca="false">Sens!G4125+Sens!G4132</f>
        <v>491.616031959962</v>
      </c>
      <c r="H4133" s="6" t="n">
        <f aca="false">Sens!H4125+Sens!H4132</f>
        <v>586.664606212128</v>
      </c>
      <c r="I4133" s="6" t="n">
        <f aca="false">Sens!I4125+Sens!I4132</f>
        <v>667.576563882229</v>
      </c>
      <c r="J4133" s="6" t="n">
        <f aca="false">Sens!J4125+Sens!J4132</f>
        <v>734.589453630146</v>
      </c>
      <c r="K4133" s="6" t="n">
        <f aca="false">Sens!K4125+Sens!K4132</f>
        <v>788.996981210853</v>
      </c>
    </row>
    <row r="4134" customFormat="false" ht="15" hidden="false" customHeight="false" outlineLevel="0" collapsed="false">
      <c r="A4134" s="23" t="s">
        <v>881</v>
      </c>
      <c r="B4134" s="30" t="s">
        <v>98</v>
      </c>
      <c r="C4134" s="30"/>
      <c r="D4134" s="24" t="n">
        <f aca="false">(Sens!D4113+Sens!D4118+Sens!D4119+Sens!D4121+Sens!D4123-Sens!D4125)+(Sens!D4126+Sens!D4128+Sens!D4130-Sens!D4132)+(Sens!D4125-Q!L5)+(Sens!D4132-Q!L12)+(Sens!D4113-Q!L6)+(Sens!D4118-Q!L7)</f>
        <v>0</v>
      </c>
      <c r="E4134" s="24" t="n">
        <f aca="false">(Sens!E4113+Sens!E4118+Sens!E4119+Sens!E4121+Sens!E4123-Sens!E4125)+(Sens!E4126+Sens!E4128+Sens!E4130-Sens!E4132)+(Sens!E4125-Q!M5)+(Sens!E4132-Q!M12)+(Sens!E4113-Q!M6)+(Sens!E4118-Q!M7)</f>
        <v>0</v>
      </c>
      <c r="F4134" s="24" t="n">
        <f aca="false">(Sens!F4113+Sens!F4118+Sens!F4119+Sens!F4121+Sens!F4123-Sens!F4125)+(Sens!F4126+Sens!F4128+Sens!F4130-Sens!F4132)</f>
        <v>0</v>
      </c>
      <c r="G4134" s="24" t="n">
        <f aca="false">(Sens!G4113+Sens!G4118+Sens!G4119+Sens!G4121+Sens!G4123-Sens!G4125)+(Sens!G4126+Sens!G4128+Sens!G4130-Sens!G4132)</f>
        <v>0</v>
      </c>
      <c r="H4134" s="24" t="n">
        <f aca="false">(Sens!H4113+Sens!H4118+Sens!H4119+Sens!H4121+Sens!H4123-Sens!H4125)+(Sens!H4126+Sens!H4128+Sens!H4130-Sens!H4132)</f>
        <v>0</v>
      </c>
      <c r="I4134" s="24" t="n">
        <f aca="false">(Sens!I4113+Sens!I4118+Sens!I4119+Sens!I4121+Sens!I4123-Sens!I4125)+(Sens!I4126+Sens!I4128+Sens!I4130-Sens!I4132)</f>
        <v>0</v>
      </c>
      <c r="J4134" s="24" t="n">
        <f aca="false">(Sens!J4113+Sens!J4118+Sens!J4119+Sens!J4121+Sens!J4123-Sens!J4125)+(Sens!J4126+Sens!J4128+Sens!J4130-Sens!J4132)</f>
        <v>0</v>
      </c>
      <c r="K4134" s="24" t="n">
        <f aca="false">(Sens!K4113+Sens!K4118+Sens!K4119+Sens!K4121+Sens!K4123-Sens!K4125)+(Sens!K4126+Sens!K4128+Sens!K4130-Sens!K4132)</f>
        <v>0</v>
      </c>
    </row>
    <row r="4135" customFormat="false" ht="17.15" hidden="false" customHeight="false" outlineLevel="0" collapsed="false">
      <c r="A4135" s="3" t="s">
        <v>1341</v>
      </c>
    </row>
    <row r="4136" customFormat="false" ht="15" hidden="false" customHeight="false" outlineLevel="0" collapsed="false">
      <c r="A4136" s="4" t="s">
        <v>43</v>
      </c>
      <c r="B4136" s="4" t="s">
        <v>65</v>
      </c>
      <c r="C4136" s="20" t="s">
        <v>788</v>
      </c>
      <c r="D4136" s="20" t="s">
        <v>789</v>
      </c>
      <c r="E4136" s="20" t="s">
        <v>790</v>
      </c>
      <c r="F4136" s="20" t="s">
        <v>791</v>
      </c>
      <c r="G4136" s="20" t="s">
        <v>792</v>
      </c>
      <c r="H4136" s="20" t="s">
        <v>793</v>
      </c>
      <c r="I4136" s="20" t="s">
        <v>794</v>
      </c>
      <c r="J4136" s="20" t="s">
        <v>795</v>
      </c>
      <c r="K4136" s="20" t="s">
        <v>796</v>
      </c>
      <c r="L4136" s="4" t="s">
        <v>47</v>
      </c>
    </row>
    <row r="4137" customFormat="false" ht="15" hidden="false" customHeight="false" outlineLevel="0" collapsed="false">
      <c r="A4137" s="0" t="s">
        <v>867</v>
      </c>
      <c r="B4137" s="0" t="s">
        <v>98</v>
      </c>
      <c r="D4137" s="6" t="n">
        <f aca="false">Sens!D4113</f>
        <v>72.61</v>
      </c>
      <c r="E4137" s="6" t="n">
        <f aca="false">Sens!E4113</f>
        <v>101.938</v>
      </c>
      <c r="F4137" s="6" t="n">
        <f aca="false">Sens!F4113</f>
        <v>148.812368967868</v>
      </c>
      <c r="G4137" s="6" t="n">
        <f aca="false">Sens!G4113</f>
        <v>208.397514344463</v>
      </c>
      <c r="H4137" s="6" t="n">
        <f aca="false">Sens!H4113</f>
        <v>275.499118515736</v>
      </c>
      <c r="I4137" s="6" t="n">
        <f aca="false">Sens!I4113</f>
        <v>330.591890093924</v>
      </c>
      <c r="J4137" s="6" t="n">
        <f aca="false">Sens!J4113</f>
        <v>374.294146858121</v>
      </c>
      <c r="K4137" s="6" t="n">
        <f aca="false">Sens!K4113</f>
        <v>406.031472169702</v>
      </c>
    </row>
    <row r="4138" customFormat="false" ht="17.15" hidden="false" customHeight="false" outlineLevel="0" collapsed="false">
      <c r="A4138" s="0" t="s">
        <v>864</v>
      </c>
      <c r="B4138" s="0" t="s">
        <v>98</v>
      </c>
      <c r="D4138" s="6" t="n">
        <f aca="false">Sens!D4110</f>
        <v>12.9359794422418</v>
      </c>
      <c r="E4138" s="6" t="n">
        <f aca="false">Sens!E4110</f>
        <v>27.8095064661409</v>
      </c>
      <c r="F4138" s="6" t="n">
        <f aca="false">Sens!F4110</f>
        <v>58.7324192305018</v>
      </c>
      <c r="G4138" s="6" t="n">
        <f aca="false">Sens!G4110</f>
        <v>101.369089141153</v>
      </c>
      <c r="H4138" s="6" t="n">
        <f aca="false">Sens!H4110</f>
        <v>151.2271359301</v>
      </c>
      <c r="I4138" s="6" t="n">
        <f aca="false">Sens!I4110</f>
        <v>189.658187712069</v>
      </c>
      <c r="J4138" s="6" t="n">
        <f aca="false">Sens!J4110</f>
        <v>218.275279543789</v>
      </c>
      <c r="K4138" s="6" t="n">
        <f aca="false">Sens!K4110</f>
        <v>237.531095470224</v>
      </c>
    </row>
    <row r="4139" customFormat="false" ht="17.15" hidden="false" customHeight="false" outlineLevel="0" collapsed="false">
      <c r="A4139" s="0" t="s">
        <v>892</v>
      </c>
      <c r="B4139" s="0" t="s">
        <v>98</v>
      </c>
      <c r="D4139" s="6" t="n">
        <f aca="false">Sens!D4111</f>
        <v>59.6740205577583</v>
      </c>
      <c r="E4139" s="6" t="n">
        <f aca="false">Sens!E4111</f>
        <v>74.1284935338591</v>
      </c>
      <c r="F4139" s="6" t="n">
        <f aca="false">Sens!F4111</f>
        <v>90.0799497373663</v>
      </c>
      <c r="G4139" s="6" t="n">
        <f aca="false">Sens!G4111</f>
        <v>107.02842520331</v>
      </c>
      <c r="H4139" s="6" t="n">
        <f aca="false">Sens!H4111</f>
        <v>124.271982585636</v>
      </c>
      <c r="I4139" s="6" t="n">
        <f aca="false">Sens!I4111</f>
        <v>140.933702381855</v>
      </c>
      <c r="J4139" s="6" t="n">
        <f aca="false">Sens!J4111</f>
        <v>156.018867314332</v>
      </c>
      <c r="K4139" s="6" t="n">
        <f aca="false">Sens!K4111</f>
        <v>168.500376699478</v>
      </c>
    </row>
    <row r="4140" customFormat="false" ht="15" hidden="false" customHeight="false" outlineLevel="0" collapsed="false">
      <c r="A4140" s="0" t="s">
        <v>873</v>
      </c>
      <c r="B4140" s="0" t="s">
        <v>98</v>
      </c>
      <c r="D4140" s="6" t="n">
        <f aca="false">Sens!D4118</f>
        <v>84.605</v>
      </c>
      <c r="E4140" s="6" t="n">
        <f aca="false">Sens!E4118</f>
        <v>100.299</v>
      </c>
      <c r="F4140" s="6" t="n">
        <f aca="false">Sens!F4118</f>
        <v>120.39238776686</v>
      </c>
      <c r="G4140" s="6" t="n">
        <f aca="false">Sens!G4118</f>
        <v>141.544168448684</v>
      </c>
      <c r="H4140" s="6" t="n">
        <f aca="false">Sens!H4118</f>
        <v>162.777359388781</v>
      </c>
      <c r="I4140" s="6" t="n">
        <f aca="false">Sens!I4118</f>
        <v>181.584028071957</v>
      </c>
      <c r="J4140" s="6" t="n">
        <f aca="false">Sens!J4118</f>
        <v>197.682702785465</v>
      </c>
      <c r="K4140" s="6" t="n">
        <f aca="false">Sens!K4118</f>
        <v>213.027991980448</v>
      </c>
    </row>
    <row r="4141" customFormat="false" ht="17.15" hidden="false" customHeight="false" outlineLevel="0" collapsed="false">
      <c r="A4141" s="0" t="s">
        <v>893</v>
      </c>
      <c r="B4141" s="0" t="s">
        <v>98</v>
      </c>
      <c r="D4141" s="6" t="n">
        <f aca="false">Sens!D4116</f>
        <v>83.705</v>
      </c>
      <c r="E4141" s="6" t="n">
        <f aca="false">Sens!E4116</f>
        <v>95.049</v>
      </c>
      <c r="F4141" s="6" t="n">
        <f aca="false">Sens!F4116</f>
        <v>106.89238776686</v>
      </c>
      <c r="G4141" s="6" t="n">
        <f aca="false">Sens!G4116</f>
        <v>119.044168448684</v>
      </c>
      <c r="H4141" s="6" t="n">
        <f aca="false">Sens!H4116</f>
        <v>131.277359388781</v>
      </c>
      <c r="I4141" s="6" t="n">
        <f aca="false">Sens!I4116</f>
        <v>143.334028071957</v>
      </c>
      <c r="J4141" s="6" t="n">
        <f aca="false">Sens!J4116</f>
        <v>154.932702785465</v>
      </c>
      <c r="K4141" s="6" t="n">
        <f aca="false">Sens!K4116</f>
        <v>165.777991980448</v>
      </c>
    </row>
    <row r="4142" customFormat="false" ht="17.15" hidden="false" customHeight="false" outlineLevel="0" collapsed="false">
      <c r="A4142" s="0" t="s">
        <v>894</v>
      </c>
      <c r="B4142" s="0" t="s">
        <v>98</v>
      </c>
      <c r="D4142" s="6" t="n">
        <f aca="false">Sens!D4115</f>
        <v>0.9</v>
      </c>
      <c r="E4142" s="6" t="n">
        <f aca="false">Sens!E4115</f>
        <v>5.25</v>
      </c>
      <c r="F4142" s="6" t="n">
        <f aca="false">Sens!F4115</f>
        <v>13.5</v>
      </c>
      <c r="G4142" s="6" t="n">
        <f aca="false">Sens!G4115</f>
        <v>22.5</v>
      </c>
      <c r="H4142" s="6" t="n">
        <f aca="false">Sens!H4115</f>
        <v>31.5</v>
      </c>
      <c r="I4142" s="6" t="n">
        <f aca="false">Sens!I4115</f>
        <v>38.25</v>
      </c>
      <c r="J4142" s="6" t="n">
        <f aca="false">Sens!J4115</f>
        <v>42.75</v>
      </c>
      <c r="K4142" s="6" t="n">
        <f aca="false">Sens!K4115</f>
        <v>47.25</v>
      </c>
    </row>
    <row r="4143" customFormat="false" ht="15" hidden="false" customHeight="false" outlineLevel="0" collapsed="false">
      <c r="A4143" s="0" t="s">
        <v>874</v>
      </c>
      <c r="B4143" s="0" t="s">
        <v>98</v>
      </c>
      <c r="D4143" s="6" t="n">
        <f aca="false">Sens!D4119</f>
        <v>35.391</v>
      </c>
      <c r="E4143" s="6" t="n">
        <f aca="false">Sens!E4119</f>
        <v>37.285</v>
      </c>
      <c r="F4143" s="6" t="n">
        <f aca="false">Sens!F4119</f>
        <v>39.0720834331704</v>
      </c>
      <c r="G4143" s="6" t="n">
        <f aca="false">Sens!G4119</f>
        <v>40.726562953769</v>
      </c>
      <c r="H4143" s="6" t="n">
        <f aca="false">Sens!H4119</f>
        <v>42.2235987259198</v>
      </c>
      <c r="I4143" s="6" t="n">
        <f aca="false">Sens!I4119</f>
        <v>43.5397988077414</v>
      </c>
      <c r="J4143" s="6" t="n">
        <f aca="false">Sens!J4119</f>
        <v>44.653811225693</v>
      </c>
      <c r="K4143" s="6" t="n">
        <f aca="false">Sens!K4119</f>
        <v>45.5468874502068</v>
      </c>
    </row>
    <row r="4144" customFormat="false" ht="15" hidden="false" customHeight="false" outlineLevel="0" collapsed="false">
      <c r="A4144" s="0" t="s">
        <v>875</v>
      </c>
      <c r="B4144" s="0" t="s">
        <v>98</v>
      </c>
      <c r="D4144" s="6" t="n">
        <f aca="false">Sens!D4121</f>
        <v>18.417</v>
      </c>
      <c r="E4144" s="6" t="n">
        <f aca="false">Sens!E4121</f>
        <v>20.345</v>
      </c>
      <c r="F4144" s="6" t="n">
        <f aca="false">Sens!F4121</f>
        <v>22.3572203267814</v>
      </c>
      <c r="G4144" s="6" t="n">
        <f aca="false">Sens!G4121</f>
        <v>24.4392124437232</v>
      </c>
      <c r="H4144" s="6" t="n">
        <f aca="false">Sens!H4121</f>
        <v>26.5738052080665</v>
      </c>
      <c r="I4144" s="6" t="n">
        <f aca="false">Sens!I4121</f>
        <v>28.7412169166967</v>
      </c>
      <c r="J4144" s="6" t="n">
        <f aca="false">Sens!J4121</f>
        <v>30.9192545395413</v>
      </c>
      <c r="K4144" s="6" t="n">
        <f aca="false">Sens!K4121</f>
        <v>33.0836023573092</v>
      </c>
    </row>
    <row r="4145" customFormat="false" ht="15" hidden="false" customHeight="false" outlineLevel="0" collapsed="false">
      <c r="A4145" s="0" t="s">
        <v>876</v>
      </c>
      <c r="B4145" s="0" t="s">
        <v>98</v>
      </c>
      <c r="D4145" s="6" t="n">
        <f aca="false">Sens!D4123</f>
        <v>7.76</v>
      </c>
      <c r="E4145" s="6" t="n">
        <f aca="false">Sens!E4123</f>
        <v>8.26</v>
      </c>
      <c r="F4145" s="6" t="n">
        <f aca="false">Sens!F4123</f>
        <v>8.79988041237113</v>
      </c>
      <c r="G4145" s="6" t="n">
        <f aca="false">Sens!G4123</f>
        <v>9.38321269125306</v>
      </c>
      <c r="H4145" s="6" t="n">
        <f aca="false">Sens!H4123</f>
        <v>10.0139193587476</v>
      </c>
      <c r="I4145" s="6" t="n">
        <f aca="false">Sens!I4123</f>
        <v>10.6963111830911</v>
      </c>
      <c r="J4145" s="6" t="n">
        <f aca="false">Sens!J4123</f>
        <v>11.4351285534696</v>
      </c>
      <c r="K4145" s="6" t="n">
        <f aca="false">Sens!K4123</f>
        <v>12.2355875522124</v>
      </c>
    </row>
    <row r="4146" customFormat="false" ht="15" hidden="false" customHeight="false" outlineLevel="0" collapsed="false">
      <c r="A4146" s="0" t="s">
        <v>704</v>
      </c>
      <c r="B4146" s="0" t="s">
        <v>98</v>
      </c>
      <c r="D4146" s="6" t="n">
        <f aca="false">Sens!D4125</f>
        <v>218.783</v>
      </c>
      <c r="E4146" s="6" t="n">
        <f aca="false">Sens!E4125</f>
        <v>268.127</v>
      </c>
      <c r="F4146" s="6" t="n">
        <f aca="false">Sens!F4125</f>
        <v>339.433940907051</v>
      </c>
      <c r="G4146" s="6" t="n">
        <f aca="false">Sens!G4125</f>
        <v>424.490670881892</v>
      </c>
      <c r="H4146" s="6" t="n">
        <f aca="false">Sens!H4125</f>
        <v>517.087801197251</v>
      </c>
      <c r="I4146" s="6" t="n">
        <f aca="false">Sens!I4125</f>
        <v>595.15324507341</v>
      </c>
      <c r="J4146" s="6" t="n">
        <f aca="false">Sens!J4125</f>
        <v>658.98504396229</v>
      </c>
      <c r="K4146" s="6" t="n">
        <f aca="false">Sens!K4125</f>
        <v>709.925541509878</v>
      </c>
    </row>
    <row r="4147" customFormat="false" ht="15" hidden="false" customHeight="false" outlineLevel="0" collapsed="false">
      <c r="A4147" s="0" t="s">
        <v>877</v>
      </c>
      <c r="B4147" s="0" t="s">
        <v>98</v>
      </c>
      <c r="D4147" s="6" t="n">
        <f aca="false">Sens!D4126</f>
        <v>22.171</v>
      </c>
      <c r="E4147" s="6" t="n">
        <f aca="false">Sens!E4126</f>
        <v>24.835</v>
      </c>
      <c r="F4147" s="6" t="n">
        <f aca="false">Sens!F4126</f>
        <v>27.6114901218559</v>
      </c>
      <c r="G4147" s="6" t="n">
        <f aca="false">Sens!G4126</f>
        <v>30.4675667338515</v>
      </c>
      <c r="H4147" s="6" t="n">
        <f aca="false">Sens!H4126</f>
        <v>33.3643766955789</v>
      </c>
      <c r="I4147" s="6" t="n">
        <f aca="false">Sens!I4126</f>
        <v>36.2577016533691</v>
      </c>
      <c r="J4147" s="6" t="n">
        <f aca="false">Sens!J4126</f>
        <v>39.0988367952171</v>
      </c>
      <c r="K4147" s="6" t="n">
        <f aca="false">Sens!K4126</f>
        <v>41.8357553708823</v>
      </c>
    </row>
    <row r="4148" customFormat="false" ht="15" hidden="false" customHeight="false" outlineLevel="0" collapsed="false">
      <c r="A4148" s="0" t="s">
        <v>878</v>
      </c>
      <c r="B4148" s="0" t="s">
        <v>98</v>
      </c>
      <c r="D4148" s="6" t="n">
        <f aca="false">Sens!D4128</f>
        <v>23.455</v>
      </c>
      <c r="E4148" s="6" t="n">
        <f aca="false">Sens!E4128</f>
        <v>21.79</v>
      </c>
      <c r="F4148" s="6" t="n">
        <f aca="false">Sens!F4128</f>
        <v>20.5736277908051</v>
      </c>
      <c r="G4148" s="6" t="n">
        <f aca="false">Sens!G4128</f>
        <v>19.7371452817919</v>
      </c>
      <c r="H4148" s="6" t="n">
        <f aca="false">Sens!H4128</f>
        <v>19.2339764043138</v>
      </c>
      <c r="I4148" s="6" t="n">
        <f aca="false">Sens!I4128</f>
        <v>19.0353086852681</v>
      </c>
      <c r="J4148" s="6" t="n">
        <f aca="false">Sens!J4128</f>
        <v>19.1273539319129</v>
      </c>
      <c r="K4148" s="6" t="n">
        <f aca="false">Sens!K4128</f>
        <v>19.5099010105511</v>
      </c>
    </row>
    <row r="4149" customFormat="false" ht="15" hidden="false" customHeight="false" outlineLevel="0" collapsed="false">
      <c r="A4149" s="0" t="s">
        <v>879</v>
      </c>
      <c r="B4149" s="0" t="s">
        <v>98</v>
      </c>
      <c r="D4149" s="6" t="n">
        <f aca="false">Sens!D4130</f>
        <v>17.315</v>
      </c>
      <c r="E4149" s="6" t="n">
        <f aca="false">Sens!E4130</f>
        <v>17.087</v>
      </c>
      <c r="F4149" s="6" t="n">
        <f aca="false">Sens!F4130</f>
        <v>16.9564585436519</v>
      </c>
      <c r="G4149" s="6" t="n">
        <f aca="false">Sens!G4130</f>
        <v>16.9206490624268</v>
      </c>
      <c r="H4149" s="6" t="n">
        <f aca="false">Sens!H4130</f>
        <v>16.9784519149849</v>
      </c>
      <c r="I4149" s="6" t="n">
        <f aca="false">Sens!I4130</f>
        <v>17.1303084701817</v>
      </c>
      <c r="J4149" s="6" t="n">
        <f aca="false">Sens!J4130</f>
        <v>17.3782189407267</v>
      </c>
      <c r="K4149" s="6" t="n">
        <f aca="false">Sens!K4130</f>
        <v>17.7257833195413</v>
      </c>
    </row>
    <row r="4150" customFormat="false" ht="15" hidden="false" customHeight="false" outlineLevel="0" collapsed="false">
      <c r="A4150" s="0" t="s">
        <v>718</v>
      </c>
      <c r="B4150" s="0" t="s">
        <v>98</v>
      </c>
      <c r="D4150" s="6" t="n">
        <f aca="false">Sens!D4132</f>
        <v>62.941</v>
      </c>
      <c r="E4150" s="6" t="n">
        <f aca="false">Sens!E4132</f>
        <v>63.712</v>
      </c>
      <c r="F4150" s="6" t="n">
        <f aca="false">Sens!F4132</f>
        <v>65.1415764563129</v>
      </c>
      <c r="G4150" s="6" t="n">
        <f aca="false">Sens!G4132</f>
        <v>67.1253610780702</v>
      </c>
      <c r="H4150" s="6" t="n">
        <f aca="false">Sens!H4132</f>
        <v>69.5768050148776</v>
      </c>
      <c r="I4150" s="6" t="n">
        <f aca="false">Sens!I4132</f>
        <v>72.4233188088189</v>
      </c>
      <c r="J4150" s="6" t="n">
        <f aca="false">Sens!J4132</f>
        <v>75.6044096678567</v>
      </c>
      <c r="K4150" s="6" t="n">
        <f aca="false">Sens!K4132</f>
        <v>79.0714397009747</v>
      </c>
    </row>
    <row r="4151" customFormat="false" ht="15" hidden="false" customHeight="false" outlineLevel="0" collapsed="false">
      <c r="A4151" s="1" t="s">
        <v>895</v>
      </c>
      <c r="B4151" s="0" t="s">
        <v>98</v>
      </c>
      <c r="D4151" s="6" t="n">
        <f aca="false">Sens!D4133</f>
        <v>281.724</v>
      </c>
      <c r="E4151" s="6" t="n">
        <f aca="false">Sens!E4133</f>
        <v>331.839</v>
      </c>
      <c r="F4151" s="6" t="n">
        <f aca="false">Sens!F4133</f>
        <v>404.575517363364</v>
      </c>
      <c r="G4151" s="6" t="n">
        <f aca="false">Sens!G4133</f>
        <v>491.616031959962</v>
      </c>
      <c r="H4151" s="6" t="n">
        <f aca="false">Sens!H4133</f>
        <v>586.664606212128</v>
      </c>
      <c r="I4151" s="6" t="n">
        <f aca="false">Sens!I4133</f>
        <v>667.576563882229</v>
      </c>
      <c r="J4151" s="6" t="n">
        <f aca="false">Sens!J4133</f>
        <v>734.589453630146</v>
      </c>
      <c r="K4151" s="6" t="n">
        <f aca="false">Sens!K4133</f>
        <v>788.996981210853</v>
      </c>
    </row>
    <row r="4152" customFormat="false" ht="15" hidden="false" customHeight="false" outlineLevel="0" collapsed="false">
      <c r="A4152" s="1" t="s">
        <v>896</v>
      </c>
      <c r="B4152" s="0" t="s">
        <v>129</v>
      </c>
      <c r="E4152" s="7" t="n">
        <f aca="false">Sens!E4151/Sens!D4151-1</f>
        <v>0.177886867998467</v>
      </c>
      <c r="F4152" s="7" t="n">
        <f aca="false">Sens!F4151/Sens!E4151-1</f>
        <v>0.219192190680914</v>
      </c>
      <c r="G4152" s="7" t="n">
        <f aca="false">Sens!G4151/Sens!F4151-1</f>
        <v>0.215140340581766</v>
      </c>
      <c r="H4152" s="7" t="n">
        <f aca="false">Sens!H4151/Sens!G4151-1</f>
        <v>0.193339045256984</v>
      </c>
      <c r="I4152" s="7" t="n">
        <f aca="false">Sens!I4151/Sens!H4151-1</f>
        <v>0.137918594054137</v>
      </c>
      <c r="J4152" s="7" t="n">
        <f aca="false">Sens!J4151/Sens!I4151-1</f>
        <v>0.100382328220467</v>
      </c>
      <c r="K4152" s="7" t="n">
        <f aca="false">Sens!K4151/Sens!J4151-1</f>
        <v>0.0740652173970631</v>
      </c>
    </row>
    <row r="4153" customFormat="false" ht="17.15" hidden="false" customHeight="false" outlineLevel="0" collapsed="false">
      <c r="A4153" s="23" t="s">
        <v>897</v>
      </c>
      <c r="B4153" s="30" t="s">
        <v>98</v>
      </c>
      <c r="C4153" s="30"/>
      <c r="D4153" s="24" t="n">
        <f aca="false">(Sens!D4146+Sens!D4150-Sens!D4151)+(Sens!D4138+Sens!D4139-Sens!D4137)+(Sens!D4141+Sens!D4142-Sens!D4140)+(Sens!D4151-Q!L18)</f>
        <v>0</v>
      </c>
      <c r="E4153" s="24" t="n">
        <f aca="false">(Sens!E4146+Sens!E4150-Sens!E4151)+(Sens!E4138+Sens!E4139-Sens!E4137)+(Sens!E4141+Sens!E4142-Sens!E4140)+(Sens!E4151-Q!M18)</f>
        <v>0</v>
      </c>
      <c r="F4153" s="24" t="n">
        <f aca="false">(Sens!F4146+Sens!F4150-Sens!F4151)+(Sens!F4138+Sens!F4139-Sens!F4137)+(Sens!F4141+Sens!F4142-Sens!F4140)</f>
        <v>0</v>
      </c>
      <c r="G4153" s="24" t="n">
        <f aca="false">(Sens!G4146+Sens!G4150-Sens!G4151)+(Sens!G4138+Sens!G4139-Sens!G4137)+(Sens!G4141+Sens!G4142-Sens!G4140)</f>
        <v>0</v>
      </c>
      <c r="H4153" s="24" t="n">
        <f aca="false">(Sens!H4146+Sens!H4150-Sens!H4151)+(Sens!H4138+Sens!H4139-Sens!H4137)+(Sens!H4141+Sens!H4142-Sens!H4140)</f>
        <v>0</v>
      </c>
      <c r="I4153" s="24" t="n">
        <f aca="false">(Sens!I4146+Sens!I4150-Sens!I4151)+(Sens!I4138+Sens!I4139-Sens!I4137)+(Sens!I4141+Sens!I4142-Sens!I4140)</f>
        <v>0</v>
      </c>
      <c r="J4153" s="24" t="n">
        <f aca="false">(Sens!J4146+Sens!J4150-Sens!J4151)+(Sens!J4138+Sens!J4139-Sens!J4137)+(Sens!J4141+Sens!J4142-Sens!J4140)</f>
        <v>0</v>
      </c>
      <c r="K4153" s="24" t="n">
        <f aca="false">(Sens!K4146+Sens!K4150-Sens!K4151)+(Sens!K4138+Sens!K4139-Sens!K4137)+(Sens!K4141+Sens!K4142-Sens!K4140)</f>
        <v>0</v>
      </c>
    </row>
    <row r="4154" customFormat="false" ht="17.15" hidden="false" customHeight="false" outlineLevel="0" collapsed="false">
      <c r="A4154" s="0" t="s">
        <v>898</v>
      </c>
      <c r="B4154" s="0" t="s">
        <v>129</v>
      </c>
      <c r="E4154" s="7" t="n">
        <f aca="false">(Q!M21+Sens!E4091+Sens!E4092+Sens!E4093+Sens!E4106-Sens!E4089)/(Q!M5-Sens!E4089)</f>
        <v>0.583491251973566</v>
      </c>
      <c r="F4154" s="7" t="n">
        <f aca="false">Sens!$E$4154+dm_seg</f>
        <v>0.583491251973566</v>
      </c>
      <c r="G4154" s="7" t="n">
        <f aca="false">Sens!$E$4154+dm_seg</f>
        <v>0.583491251973566</v>
      </c>
      <c r="H4154" s="7" t="n">
        <f aca="false">Sens!$E$4154+dm_seg</f>
        <v>0.583491251973566</v>
      </c>
      <c r="I4154" s="7" t="n">
        <f aca="false">Sens!$E$4154+dm_seg</f>
        <v>0.583491251973566</v>
      </c>
      <c r="J4154" s="7" t="n">
        <f aca="false">Sens!$E$4154+dm_seg</f>
        <v>0.583491251973566</v>
      </c>
      <c r="K4154" s="7" t="n">
        <f aca="false">Sens!$E$4154+dm_seg</f>
        <v>0.583491251973566</v>
      </c>
      <c r="L4154" s="11" t="s">
        <v>899</v>
      </c>
    </row>
    <row r="4155" customFormat="false" ht="17.15" hidden="false" customHeight="false" outlineLevel="0" collapsed="false">
      <c r="A4155" s="0" t="s">
        <v>732</v>
      </c>
      <c r="B4155" s="0" t="s">
        <v>98</v>
      </c>
      <c r="D4155" s="6" t="n">
        <f aca="false">Q!L21</f>
        <v>110.814</v>
      </c>
      <c r="E4155" s="6" t="n">
        <f aca="false">Q!M21</f>
        <v>136.365</v>
      </c>
      <c r="F4155" s="6" t="n">
        <f aca="false">Sens!F4154*(Sens!F4125-Sens!F4089)+Sens!F4089-(Sens!F4091+Sens!F4092+Sens!F4093)-Sens!F4106</f>
        <v>159.197300641118</v>
      </c>
      <c r="G4155" s="6" t="n">
        <f aca="false">Sens!G4154*(Sens!G4125-Sens!G4089)+Sens!G4089-(Sens!G4091+Sens!G4092+Sens!G4093)-Sens!G4106</f>
        <v>184.443491722916</v>
      </c>
      <c r="H4155" s="6" t="n">
        <f aca="false">Sens!H4154*(Sens!H4125-Sens!H4089)+Sens!H4089-(Sens!H4091+Sens!H4092+Sens!H4093)-Sens!H4106</f>
        <v>214.777135311346</v>
      </c>
      <c r="I4155" s="6" t="n">
        <f aca="false">Sens!I4154*(Sens!I4125-Sens!I4089)+Sens!I4089-(Sens!I4091+Sens!I4092+Sens!I4093)-Sens!I4106</f>
        <v>236.568159762283</v>
      </c>
      <c r="J4155" s="6" t="n">
        <f aca="false">Sens!J4154*(Sens!J4125-Sens!J4089)+Sens!J4089-(Sens!J4091+Sens!J4092+Sens!J4093)-Sens!J4106</f>
        <v>256.971025511452</v>
      </c>
      <c r="K4155" s="6" t="n">
        <f aca="false">Sens!K4154*(Sens!K4125-Sens!K4089)+Sens!K4089-(Sens!K4091+Sens!K4092+Sens!K4093)-Sens!K4106</f>
        <v>279.20309332828</v>
      </c>
      <c r="L4155" s="1" t="s">
        <v>900</v>
      </c>
    </row>
    <row r="4156" customFormat="false" ht="17.15" hidden="false" customHeight="false" outlineLevel="0" collapsed="false">
      <c r="A4156" s="0" t="s">
        <v>901</v>
      </c>
      <c r="B4156" s="0" t="s">
        <v>129</v>
      </c>
      <c r="E4156" s="7" t="n">
        <f aca="false">Q!M22/Q!M12</f>
        <v>0.296207935710698</v>
      </c>
      <c r="F4156" s="7" t="n">
        <f aca="false">Sens!$E$4156+dm_seg</f>
        <v>0.296207935710698</v>
      </c>
      <c r="G4156" s="7" t="n">
        <f aca="false">Sens!$E$4156+dm_seg</f>
        <v>0.296207935710698</v>
      </c>
      <c r="H4156" s="7" t="n">
        <f aca="false">Sens!$E$4156+dm_seg</f>
        <v>0.296207935710698</v>
      </c>
      <c r="I4156" s="7" t="n">
        <f aca="false">Sens!$E$4156+dm_seg</f>
        <v>0.296207935710698</v>
      </c>
      <c r="J4156" s="7" t="n">
        <f aca="false">Sens!$E$4156+dm_seg</f>
        <v>0.296207935710698</v>
      </c>
      <c r="K4156" s="7" t="n">
        <f aca="false">Sens!$E$4156+dm_seg</f>
        <v>0.296207935710698</v>
      </c>
      <c r="L4156" s="11" t="s">
        <v>902</v>
      </c>
    </row>
    <row r="4157" customFormat="false" ht="17.15" hidden="false" customHeight="false" outlineLevel="0" collapsed="false">
      <c r="A4157" s="0" t="s">
        <v>734</v>
      </c>
      <c r="B4157" s="0" t="s">
        <v>98</v>
      </c>
      <c r="D4157" s="6" t="n">
        <f aca="false">Q!L22</f>
        <v>17.714</v>
      </c>
      <c r="E4157" s="6" t="n">
        <f aca="false">Q!M22</f>
        <v>18.872</v>
      </c>
      <c r="F4157" s="6" t="n">
        <f aca="false">Sens!F4132*Sens!F4156</f>
        <v>19.2954518910651</v>
      </c>
      <c r="G4157" s="6" t="n">
        <f aca="false">Sens!G4132*Sens!G4156</f>
        <v>19.8830646387704</v>
      </c>
      <c r="H4157" s="6" t="n">
        <f aca="false">Sens!H4132*Sens!H4156</f>
        <v>20.6092017868026</v>
      </c>
      <c r="I4157" s="6" t="n">
        <f aca="false">Sens!I4132*Sens!I4156</f>
        <v>21.452361761678</v>
      </c>
      <c r="J4157" s="6" t="n">
        <f aca="false">Sens!J4132*Sens!J4156</f>
        <v>22.3946261183418</v>
      </c>
      <c r="K4157" s="6" t="n">
        <f aca="false">Sens!K4132*Sens!K4156</f>
        <v>23.4215879274986</v>
      </c>
    </row>
    <row r="4158" customFormat="false" ht="15" hidden="false" customHeight="false" outlineLevel="0" collapsed="false">
      <c r="A4158" s="1" t="s">
        <v>903</v>
      </c>
      <c r="B4158" s="0" t="s">
        <v>98</v>
      </c>
      <c r="D4158" s="6" t="n">
        <f aca="false">Sens!D4155+Sens!D4157</f>
        <v>128.528</v>
      </c>
      <c r="E4158" s="6" t="n">
        <f aca="false">Sens!E4155+Sens!E4157</f>
        <v>155.237</v>
      </c>
      <c r="F4158" s="6" t="n">
        <f aca="false">Sens!F4155+Sens!F4157</f>
        <v>178.492752532183</v>
      </c>
      <c r="G4158" s="6" t="n">
        <f aca="false">Sens!G4155+Sens!G4157</f>
        <v>204.326556361686</v>
      </c>
      <c r="H4158" s="6" t="n">
        <f aca="false">Sens!H4155+Sens!H4157</f>
        <v>235.386337098149</v>
      </c>
      <c r="I4158" s="6" t="n">
        <f aca="false">Sens!I4155+Sens!I4157</f>
        <v>258.020521523961</v>
      </c>
      <c r="J4158" s="6" t="n">
        <f aca="false">Sens!J4155+Sens!J4157</f>
        <v>279.365651629794</v>
      </c>
      <c r="K4158" s="6" t="n">
        <f aca="false">Sens!K4155+Sens!K4157</f>
        <v>302.624681255778</v>
      </c>
    </row>
    <row r="4159" customFormat="false" ht="15" hidden="false" customHeight="false" outlineLevel="0" collapsed="false">
      <c r="A4159" s="23" t="s">
        <v>904</v>
      </c>
      <c r="B4159" s="30" t="s">
        <v>98</v>
      </c>
      <c r="C4159" s="30"/>
      <c r="D4159" s="24" t="n">
        <f aca="false">Sens!D4158-Q!L23</f>
        <v>0</v>
      </c>
      <c r="E4159" s="24" t="n">
        <f aca="false">Sens!E4158-Q!M23</f>
        <v>0</v>
      </c>
      <c r="F4159" s="30"/>
      <c r="G4159" s="30"/>
      <c r="H4159" s="30"/>
      <c r="I4159" s="30"/>
      <c r="J4159" s="30"/>
      <c r="K4159" s="30"/>
    </row>
    <row r="4160" customFormat="false" ht="15" hidden="false" customHeight="false" outlineLevel="0" collapsed="false">
      <c r="A4160" s="1" t="s">
        <v>905</v>
      </c>
      <c r="B4160" s="0" t="s">
        <v>129</v>
      </c>
      <c r="D4160" s="7" t="n">
        <f aca="false">Sens!D4158/Sens!D4151</f>
        <v>0.456219562408598</v>
      </c>
      <c r="E4160" s="7" t="n">
        <f aca="false">Sens!E4158/Sens!E4151</f>
        <v>0.467808184089272</v>
      </c>
      <c r="F4160" s="7" t="n">
        <f aca="false">Sens!F4158/Sens!F4151</f>
        <v>0.4411852543511</v>
      </c>
      <c r="G4160" s="7" t="n">
        <f aca="false">Sens!G4158/Sens!G4151</f>
        <v>0.415622239875055</v>
      </c>
      <c r="H4160" s="7" t="n">
        <f aca="false">Sens!H4158/Sens!H4151</f>
        <v>0.401228120131448</v>
      </c>
      <c r="I4160" s="7" t="n">
        <f aca="false">Sens!I4158/Sens!I4151</f>
        <v>0.386503264919108</v>
      </c>
      <c r="J4160" s="7" t="n">
        <f aca="false">Sens!J4158/Sens!J4151</f>
        <v>0.380301745756412</v>
      </c>
      <c r="K4160" s="7" t="n">
        <f aca="false">Sens!K4158/Sens!K4151</f>
        <v>0.383556196617316</v>
      </c>
    </row>
    <row r="4161" customFormat="false" ht="17.15" hidden="false" customHeight="false" outlineLevel="0" collapsed="false">
      <c r="A4161" s="1" t="s">
        <v>906</v>
      </c>
      <c r="B4161" s="0" t="s">
        <v>98</v>
      </c>
      <c r="F4161" s="6" t="n">
        <f aca="false">Sens!F4176</f>
        <v>18.9101747749536</v>
      </c>
      <c r="G4161" s="6" t="n">
        <f aca="false">Sens!G4176</f>
        <v>32.2846285903165</v>
      </c>
      <c r="H4161" s="6" t="n">
        <f aca="false">Sens!H4176</f>
        <v>47.6408617064177</v>
      </c>
      <c r="I4161" s="6" t="n">
        <f aca="false">Sens!I4176</f>
        <v>61.7883956829572</v>
      </c>
      <c r="J4161" s="6" t="n">
        <f aca="false">Sens!J4176</f>
        <v>72.5764435777333</v>
      </c>
      <c r="K4161" s="6" t="n">
        <f aca="false">Sens!K4176</f>
        <v>78.8772192713857</v>
      </c>
      <c r="L4161" s="1" t="s">
        <v>907</v>
      </c>
    </row>
    <row r="4162" customFormat="false" ht="17.15" hidden="false" customHeight="false" outlineLevel="0" collapsed="false">
      <c r="A4162" s="1" t="s">
        <v>908</v>
      </c>
      <c r="B4162" s="0" t="s">
        <v>98</v>
      </c>
      <c r="D4162" s="6" t="n">
        <f aca="false">Sens!D4158</f>
        <v>128.528</v>
      </c>
      <c r="E4162" s="6" t="n">
        <f aca="false">Sens!E4158</f>
        <v>155.237</v>
      </c>
      <c r="F4162" s="6" t="n">
        <f aca="false">Sens!F4158+Sens!F4161</f>
        <v>197.402927307137</v>
      </c>
      <c r="G4162" s="6" t="n">
        <f aca="false">Sens!G4158+Sens!G4161</f>
        <v>236.611184952002</v>
      </c>
      <c r="H4162" s="6" t="n">
        <f aca="false">Sens!H4158+Sens!H4161</f>
        <v>283.027198804566</v>
      </c>
      <c r="I4162" s="6" t="n">
        <f aca="false">Sens!I4158+Sens!I4161</f>
        <v>319.808917206918</v>
      </c>
      <c r="J4162" s="6" t="n">
        <f aca="false">Sens!J4158+Sens!J4161</f>
        <v>351.942095207527</v>
      </c>
      <c r="K4162" s="6" t="n">
        <f aca="false">Sens!K4158+Sens!K4161</f>
        <v>381.501900527164</v>
      </c>
    </row>
    <row r="4163" customFormat="false" ht="17.15" hidden="false" customHeight="false" outlineLevel="0" collapsed="false">
      <c r="A4163" s="1" t="s">
        <v>909</v>
      </c>
      <c r="B4163" s="0" t="s">
        <v>98</v>
      </c>
      <c r="E4163" s="6" t="n">
        <f aca="false">Sens!E4106</f>
        <v>19.3175216725</v>
      </c>
      <c r="F4163" s="6" t="n">
        <f aca="false">Sens!F4106</f>
        <v>41.1845045270438</v>
      </c>
      <c r="G4163" s="6" t="n">
        <f aca="false">Sens!G4106</f>
        <v>71.7817957524075</v>
      </c>
      <c r="H4163" s="6" t="n">
        <f aca="false">Sens!H4106</f>
        <v>104.916827867267</v>
      </c>
      <c r="I4163" s="6" t="n">
        <f aca="false">Sens!I4106</f>
        <v>134.903481198565</v>
      </c>
      <c r="J4163" s="6" t="n">
        <f aca="false">Sens!J4106</f>
        <v>156.903860902299</v>
      </c>
      <c r="K4163" s="6" t="n">
        <f aca="false">Sens!K4106</f>
        <v>168.634094165931</v>
      </c>
    </row>
    <row r="4164" customFormat="false" ht="17.15" hidden="false" customHeight="false" outlineLevel="0" collapsed="false">
      <c r="A4164" s="1" t="s">
        <v>910</v>
      </c>
      <c r="B4164" s="0" t="s">
        <v>98</v>
      </c>
      <c r="E4164" s="6" t="n">
        <f aca="false">Sens!E4188</f>
        <v>19.2164783275</v>
      </c>
      <c r="F4164" s="6" t="n">
        <f aca="false">Sens!F4188</f>
        <v>20.8677652177062</v>
      </c>
      <c r="G4164" s="6" t="n">
        <f aca="false">Sens!G4188</f>
        <v>22.9412780529745</v>
      </c>
      <c r="H4164" s="6" t="n">
        <f aca="false">Sens!H4188</f>
        <v>25.4033016120861</v>
      </c>
      <c r="I4164" s="6" t="n">
        <f aca="false">Sens!I4188</f>
        <v>28.1803114820418</v>
      </c>
      <c r="J4164" s="6" t="n">
        <f aca="false">Sens!J4188</f>
        <v>31.182871658875</v>
      </c>
      <c r="K4164" s="6" t="n">
        <f aca="false">Sens!K4188</f>
        <v>34.3289547671869</v>
      </c>
    </row>
    <row r="4165" customFormat="false" ht="17.15" hidden="false" customHeight="false" outlineLevel="0" collapsed="false">
      <c r="A4165" s="1" t="s">
        <v>911</v>
      </c>
      <c r="B4165" s="0" t="s">
        <v>98</v>
      </c>
      <c r="D4165" s="6" t="n">
        <f aca="false">Q!L27</f>
        <v>-4.901</v>
      </c>
      <c r="E4165" s="6" t="n">
        <f aca="false">Q!M27</f>
        <v>10.697</v>
      </c>
      <c r="F4165" s="6" t="n">
        <f aca="false">oie_f</f>
        <v>-0.4</v>
      </c>
      <c r="G4165" s="6" t="n">
        <f aca="false">oie_f</f>
        <v>-0.4</v>
      </c>
      <c r="H4165" s="6" t="n">
        <f aca="false">oie_f</f>
        <v>-0.4</v>
      </c>
      <c r="I4165" s="6" t="n">
        <f aca="false">oie_f</f>
        <v>-0.4</v>
      </c>
      <c r="J4165" s="6" t="n">
        <f aca="false">oie_f</f>
        <v>-0.4</v>
      </c>
      <c r="K4165" s="6" t="n">
        <f aca="false">oie_f</f>
        <v>-0.4</v>
      </c>
      <c r="L4165" s="11" t="s">
        <v>912</v>
      </c>
    </row>
    <row r="4166" customFormat="false" ht="15" hidden="false" customHeight="false" outlineLevel="0" collapsed="false">
      <c r="A4166" s="1" t="s">
        <v>913</v>
      </c>
      <c r="B4166" s="0" t="s">
        <v>98</v>
      </c>
      <c r="D4166" s="6" t="n">
        <f aca="false">Sens!D4158+Sens!D4165</f>
        <v>123.627</v>
      </c>
      <c r="E4166" s="6" t="n">
        <f aca="false">Sens!E4158+Sens!E4165</f>
        <v>165.934</v>
      </c>
      <c r="F4166" s="6" t="n">
        <f aca="false">Sens!F4158+Sens!F4165</f>
        <v>178.092752532183</v>
      </c>
      <c r="G4166" s="6" t="n">
        <f aca="false">Sens!G4158+Sens!G4165</f>
        <v>203.926556361686</v>
      </c>
      <c r="H4166" s="6" t="n">
        <f aca="false">Sens!H4158+Sens!H4165</f>
        <v>234.986337098149</v>
      </c>
      <c r="I4166" s="6" t="n">
        <f aca="false">Sens!I4158+Sens!I4165</f>
        <v>257.620521523961</v>
      </c>
      <c r="J4166" s="6" t="n">
        <f aca="false">Sens!J4158+Sens!J4165</f>
        <v>278.965651629794</v>
      </c>
      <c r="K4166" s="6" t="n">
        <f aca="false">Sens!K4158+Sens!K4165</f>
        <v>302.224681255778</v>
      </c>
    </row>
    <row r="4167" customFormat="false" ht="15" hidden="false" customHeight="false" outlineLevel="0" collapsed="false">
      <c r="A4167" s="1" t="s">
        <v>914</v>
      </c>
      <c r="B4167" s="0" t="s">
        <v>98</v>
      </c>
      <c r="D4167" s="6" t="n">
        <f aca="false">Q!L29</f>
        <v>21.795</v>
      </c>
      <c r="E4167" s="6" t="n">
        <f aca="false">Q!M29</f>
        <v>32.185</v>
      </c>
      <c r="F4167" s="6" t="n">
        <f aca="false">Sens!F4166*tax_f</f>
        <v>35.6185505064367</v>
      </c>
      <c r="G4167" s="6" t="n">
        <f aca="false">Sens!G4166*tax_f</f>
        <v>40.7853112723372</v>
      </c>
      <c r="H4167" s="6" t="n">
        <f aca="false">Sens!H4166*tax_f</f>
        <v>46.9972674196297</v>
      </c>
      <c r="I4167" s="6" t="n">
        <f aca="false">Sens!I4166*tax_f</f>
        <v>51.5241043047922</v>
      </c>
      <c r="J4167" s="6" t="n">
        <f aca="false">Sens!J4166*tax_f</f>
        <v>55.7931303259587</v>
      </c>
      <c r="K4167" s="6" t="n">
        <f aca="false">Sens!K4166*tax_f</f>
        <v>60.4449362511557</v>
      </c>
    </row>
    <row r="4168" customFormat="false" ht="15" hidden="false" customHeight="false" outlineLevel="0" collapsed="false">
      <c r="A4168" s="1" t="s">
        <v>915</v>
      </c>
      <c r="B4168" s="0" t="s">
        <v>98</v>
      </c>
      <c r="D4168" s="6" t="n">
        <f aca="false">Sens!D4166-Sens!D4167</f>
        <v>101.832</v>
      </c>
      <c r="E4168" s="6" t="n">
        <f aca="false">Sens!E4166-Sens!E4167</f>
        <v>133.749</v>
      </c>
      <c r="F4168" s="6" t="n">
        <f aca="false">Sens!F4166-Sens!F4167</f>
        <v>142.474202025747</v>
      </c>
      <c r="G4168" s="6" t="n">
        <f aca="false">Sens!G4166-Sens!G4167</f>
        <v>163.141245089349</v>
      </c>
      <c r="H4168" s="6" t="n">
        <f aca="false">Sens!H4166-Sens!H4167</f>
        <v>187.989069678519</v>
      </c>
      <c r="I4168" s="6" t="n">
        <f aca="false">Sens!I4166-Sens!I4167</f>
        <v>206.096417219169</v>
      </c>
      <c r="J4168" s="6" t="n">
        <f aca="false">Sens!J4166-Sens!J4167</f>
        <v>223.172521303835</v>
      </c>
      <c r="K4168" s="6" t="n">
        <f aca="false">Sens!K4166-Sens!K4167</f>
        <v>241.779745004623</v>
      </c>
    </row>
    <row r="4169" customFormat="false" ht="17.15" hidden="false" customHeight="false" outlineLevel="0" collapsed="false">
      <c r="A4169" s="1" t="s">
        <v>916</v>
      </c>
      <c r="B4169" s="1" t="s">
        <v>81</v>
      </c>
      <c r="D4169" s="14" t="n">
        <f aca="false">Q!L31</f>
        <v>7.465</v>
      </c>
      <c r="E4169" s="14" t="n">
        <f aca="false">Q!M31</f>
        <v>7.453</v>
      </c>
      <c r="F4169" s="14" t="n">
        <f aca="false">Sens!F4210</f>
        <v>7.4735</v>
      </c>
      <c r="G4169" s="14" t="n">
        <f aca="false">Sens!G4210</f>
        <v>7.50552378036399</v>
      </c>
      <c r="H4169" s="14" t="n">
        <f aca="false">Sens!H4210</f>
        <v>7.52029914657793</v>
      </c>
      <c r="I4169" s="14" t="n">
        <f aca="false">Sens!I4210</f>
        <v>7.53207997858524</v>
      </c>
      <c r="J4169" s="14" t="n">
        <f aca="false">Sens!J4210</f>
        <v>7.54632148970312</v>
      </c>
      <c r="K4169" s="14" t="n">
        <f aca="false">Sens!K4210</f>
        <v>7.56284140740486</v>
      </c>
    </row>
    <row r="4170" customFormat="false" ht="17.15" hidden="false" customHeight="false" outlineLevel="0" collapsed="false">
      <c r="A4170" s="0" t="s">
        <v>917</v>
      </c>
      <c r="B4170" s="0" t="s">
        <v>75</v>
      </c>
      <c r="D4170" s="8" t="n">
        <f aca="false">Sens!D4168/Sens!D4169</f>
        <v>13.641259209645</v>
      </c>
      <c r="E4170" s="8" t="n">
        <f aca="false">Sens!E4168/Sens!E4169</f>
        <v>17.9456594659869</v>
      </c>
      <c r="F4170" s="8" t="n">
        <f aca="false">Sens!F4168/Sens!F4169</f>
        <v>19.0639194521639</v>
      </c>
      <c r="G4170" s="8" t="n">
        <f aca="false">Sens!G4168/Sens!G4169</f>
        <v>21.7361572441034</v>
      </c>
      <c r="H4170" s="8" t="n">
        <f aca="false">Sens!H4168/Sens!H4169</f>
        <v>24.99755209393</v>
      </c>
      <c r="I4170" s="8" t="n">
        <f aca="false">Sens!I4168/Sens!I4169</f>
        <v>27.3624839095084</v>
      </c>
      <c r="J4170" s="8" t="n">
        <f aca="false">Sens!J4168/Sens!J4169</f>
        <v>29.573683232069</v>
      </c>
      <c r="K4170" s="8" t="n">
        <f aca="false">Sens!K4168/Sens!K4169</f>
        <v>31.9694321195065</v>
      </c>
      <c r="L4170" s="1" t="s">
        <v>918</v>
      </c>
    </row>
    <row r="4171" customFormat="false" ht="17.15" hidden="false" customHeight="false" outlineLevel="0" collapsed="false">
      <c r="A4171" s="1" t="s">
        <v>919</v>
      </c>
      <c r="B4171" s="0" t="s">
        <v>98</v>
      </c>
      <c r="D4171" s="6" t="n">
        <f aca="false">Sens!D4168</f>
        <v>101.832</v>
      </c>
      <c r="E4171" s="6" t="n">
        <f aca="false">Sens!E4168</f>
        <v>133.749</v>
      </c>
      <c r="F4171" s="6" t="n">
        <f aca="false">Sens!F4168+Sens!F4161*(1-tax_f)</f>
        <v>157.60234184571</v>
      </c>
      <c r="G4171" s="6" t="n">
        <f aca="false">Sens!G4168+Sens!G4161*(1-tax_f)</f>
        <v>188.968947961602</v>
      </c>
      <c r="H4171" s="6" t="n">
        <f aca="false">Sens!H4168+Sens!H4161*(1-tax_f)</f>
        <v>226.101759043653</v>
      </c>
      <c r="I4171" s="6" t="n">
        <f aca="false">Sens!I4168+Sens!I4161*(1-tax_f)</f>
        <v>255.527133765535</v>
      </c>
      <c r="J4171" s="6" t="n">
        <f aca="false">Sens!J4168+Sens!J4161*(1-tax_f)</f>
        <v>281.233676166022</v>
      </c>
      <c r="K4171" s="6" t="n">
        <f aca="false">Sens!K4168+Sens!K4161*(1-tax_f)</f>
        <v>304.881520421731</v>
      </c>
    </row>
    <row r="4172" customFormat="false" ht="17.15" hidden="false" customHeight="false" outlineLevel="0" collapsed="false">
      <c r="A4172" s="0" t="s">
        <v>920</v>
      </c>
      <c r="B4172" s="0" t="s">
        <v>75</v>
      </c>
      <c r="D4172" s="8" t="n">
        <f aca="false">Sens!D4171/Sens!D4169</f>
        <v>13.641259209645</v>
      </c>
      <c r="E4172" s="8" t="n">
        <f aca="false">Sens!E4171/Sens!E4169</f>
        <v>17.9456594659869</v>
      </c>
      <c r="F4172" s="8" t="n">
        <f aca="false">Sens!F4171/Sens!F4169</f>
        <v>21.0881570677339</v>
      </c>
      <c r="G4172" s="8" t="n">
        <f aca="false">Sens!G4171/Sens!G4169</f>
        <v>25.1773165326561</v>
      </c>
      <c r="H4172" s="8" t="n">
        <f aca="false">Sens!H4171/Sens!H4169</f>
        <v>30.065527266497</v>
      </c>
      <c r="I4172" s="8" t="n">
        <f aca="false">Sens!I4171/Sens!I4169</f>
        <v>33.9251753157208</v>
      </c>
      <c r="J4172" s="8" t="n">
        <f aca="false">Sens!J4171/Sens!J4169</f>
        <v>37.2676510734087</v>
      </c>
      <c r="K4172" s="8" t="n">
        <f aca="false">Sens!K4171/Sens!K4169</f>
        <v>40.3130918656073</v>
      </c>
      <c r="L4172" s="1" t="s">
        <v>921</v>
      </c>
    </row>
    <row r="4173" customFormat="false" ht="17.15" hidden="false" customHeight="false" outlineLevel="0" collapsed="false">
      <c r="A4173" s="0" t="s">
        <v>922</v>
      </c>
      <c r="B4173" s="0" t="s">
        <v>129</v>
      </c>
      <c r="E4173" s="7" t="n">
        <f aca="false">Sens!E4172/Sens!D4172-1</f>
        <v>0.315542736208578</v>
      </c>
      <c r="F4173" s="7" t="n">
        <f aca="false">Sens!F4172/Sens!E4172-1</f>
        <v>0.175111848505941</v>
      </c>
      <c r="G4173" s="7" t="n">
        <f aca="false">Sens!G4172/Sens!F4172-1</f>
        <v>0.193907862682739</v>
      </c>
      <c r="H4173" s="7" t="n">
        <f aca="false">Sens!H4172/Sens!G4172-1</f>
        <v>0.194151379377571</v>
      </c>
      <c r="I4173" s="7" t="n">
        <f aca="false">Sens!I4172/Sens!H4172-1</f>
        <v>0.128374533897653</v>
      </c>
      <c r="J4173" s="7" t="n">
        <f aca="false">Sens!J4172/Sens!I4172-1</f>
        <v>0.0985249369113508</v>
      </c>
      <c r="K4173" s="7" t="n">
        <f aca="false">Sens!K4172/Sens!J4172-1</f>
        <v>0.0817180773266291</v>
      </c>
    </row>
    <row r="4174" customFormat="false" ht="17.15" hidden="false" customHeight="false" outlineLevel="0" collapsed="false">
      <c r="A4174" s="0" t="s">
        <v>846</v>
      </c>
      <c r="B4174" s="0" t="s">
        <v>98</v>
      </c>
      <c r="E4174" s="6" t="n">
        <f aca="false">Sens!E4115</f>
        <v>5.25</v>
      </c>
      <c r="F4174" s="6" t="n">
        <f aca="false">Sens!F4115</f>
        <v>13.5</v>
      </c>
      <c r="G4174" s="6" t="n">
        <f aca="false">Sens!G4115</f>
        <v>22.5</v>
      </c>
      <c r="H4174" s="6" t="n">
        <f aca="false">Sens!H4115</f>
        <v>31.5</v>
      </c>
      <c r="I4174" s="6" t="n">
        <f aca="false">Sens!I4115</f>
        <v>38.25</v>
      </c>
      <c r="J4174" s="6" t="n">
        <f aca="false">Sens!J4115</f>
        <v>42.75</v>
      </c>
      <c r="K4174" s="6" t="n">
        <f aca="false">Sens!K4115</f>
        <v>47.25</v>
      </c>
    </row>
    <row r="4175" customFormat="false" ht="17.15" hidden="false" customHeight="false" outlineLevel="0" collapsed="false">
      <c r="A4175" s="1" t="s">
        <v>847</v>
      </c>
      <c r="B4175" s="0" t="s">
        <v>98</v>
      </c>
      <c r="F4175" s="6" t="n">
        <f aca="false">MAX(0,(Sens!E4078+Sens!F4078)/2*Sens!F4086/1000-Sens!F4174*Sens!F4154)</f>
        <v>18.9101747749536</v>
      </c>
      <c r="G4175" s="6" t="n">
        <f aca="false">MAX(0,(Sens!F4078+Sens!G4078)/2*Sens!G4086/1000-Sens!G4174*Sens!G4154)</f>
        <v>32.2846285903165</v>
      </c>
      <c r="H4175" s="6" t="n">
        <f aca="false">MAX(0,(Sens!G4078+Sens!H4078)/2*Sens!H4086/1000-Sens!H4174*Sens!H4154)</f>
        <v>47.6408617064177</v>
      </c>
      <c r="I4175" s="6" t="n">
        <f aca="false">MAX(0,(Sens!H4078+Sens!I4078)/2*Sens!I4086/1000-Sens!I4174*Sens!I4154)</f>
        <v>61.7883956829572</v>
      </c>
      <c r="J4175" s="6" t="n">
        <f aca="false">MAX(0,(Sens!I4078+Sens!J4078)/2*Sens!J4086/1000-Sens!J4174*Sens!J4154)</f>
        <v>72.5764435777333</v>
      </c>
      <c r="K4175" s="6" t="n">
        <f aca="false">MAX(0,(Sens!J4078+Sens!K4078)/2*Sens!K4086/1000-Sens!K4174*Sens!K4154)</f>
        <v>78.8772192713857</v>
      </c>
      <c r="L4175" s="1" t="s">
        <v>848</v>
      </c>
    </row>
    <row r="4176" customFormat="false" ht="17.15" hidden="false" customHeight="false" outlineLevel="0" collapsed="false">
      <c r="A4176" s="1" t="s">
        <v>849</v>
      </c>
      <c r="B4176" s="0" t="s">
        <v>98</v>
      </c>
      <c r="F4176" s="6" t="n">
        <f aca="false">IF(internal_ai_reading=2,1,0)*Sens!F4175</f>
        <v>18.9101747749536</v>
      </c>
      <c r="G4176" s="6" t="n">
        <f aca="false">IF(internal_ai_reading=2,1,0)*Sens!G4175</f>
        <v>32.2846285903165</v>
      </c>
      <c r="H4176" s="6" t="n">
        <f aca="false">IF(internal_ai_reading=2,1,0)*Sens!H4175</f>
        <v>47.6408617064177</v>
      </c>
      <c r="I4176" s="6" t="n">
        <f aca="false">IF(internal_ai_reading=2,1,0)*Sens!I4175</f>
        <v>61.7883956829572</v>
      </c>
      <c r="J4176" s="6" t="n">
        <f aca="false">IF(internal_ai_reading=2,1,0)*Sens!J4175</f>
        <v>72.5764435777333</v>
      </c>
      <c r="K4176" s="6" t="n">
        <f aca="false">IF(internal_ai_reading=2,1,0)*Sens!K4175</f>
        <v>78.8772192713857</v>
      </c>
    </row>
    <row r="4177" customFormat="false" ht="17.15" hidden="false" customHeight="false" outlineLevel="0" collapsed="false">
      <c r="A4177" s="0" t="s">
        <v>850</v>
      </c>
      <c r="B4177" s="0" t="s">
        <v>98</v>
      </c>
      <c r="F4177" s="6" t="n">
        <f aca="false">Sens!F4095+Sens!F4174*Sens!F4154+Sens!F4176-Sens!F4096-Sens!F4106</f>
        <v>22.1977250037803</v>
      </c>
      <c r="G4177" s="6" t="n">
        <f aca="false">Sens!G4095+Sens!G4174*Sens!G4154+Sens!G4176-Sens!G4096-Sens!G4106</f>
        <v>41.3180572130544</v>
      </c>
      <c r="H4177" s="6" t="n">
        <f aca="false">Sens!H4095+Sens!H4174*Sens!H4154+Sens!H4176-Sens!H4096-Sens!H4106</f>
        <v>67.3214738303192</v>
      </c>
      <c r="I4177" s="6" t="n">
        <f aca="false">Sens!I4095+Sens!I4174*Sens!I4154+Sens!I4176-Sens!I4096-Sens!I4106</f>
        <v>84.0722771443672</v>
      </c>
      <c r="J4177" s="6" t="n">
        <f aca="false">Sens!J4095+Sens!J4174*Sens!J4154+Sens!J4176-Sens!J4096-Sens!J4106</f>
        <v>97.3414279135288</v>
      </c>
      <c r="K4177" s="6" t="n">
        <f aca="false">Sens!K4095+Sens!K4174*Sens!K4154+Sens!K4176-Sens!K4096-Sens!K4106</f>
        <v>110.012247510379</v>
      </c>
    </row>
    <row r="4178" customFormat="false" ht="17.15" hidden="false" customHeight="false" outlineLevel="0" collapsed="false">
      <c r="A4178" s="0" t="s">
        <v>851</v>
      </c>
      <c r="B4178" s="0" t="s">
        <v>98</v>
      </c>
      <c r="E4178" s="6" t="n">
        <f aca="false">Sens!E4077*(cxit_open+self_build*tk_cxfac)/1000*ai_net_open</f>
        <v>126.6980382</v>
      </c>
      <c r="F4178" s="6" t="n">
        <f aca="false">Sens!E4178+Sens!F4103-Sens!F4106</f>
        <v>253.984186443394</v>
      </c>
      <c r="G4178" s="6" t="n">
        <f aca="false">Sens!F4178+Sens!G4103-Sens!G4106</f>
        <v>365.776571174186</v>
      </c>
      <c r="H4178" s="6" t="n">
        <f aca="false">Sens!G4178+Sens!H4103-Sens!H4106</f>
        <v>479.198704563985</v>
      </c>
      <c r="I4178" s="6" t="n">
        <f aca="false">Sens!H4178+Sens!I4103-Sens!I4106</f>
        <v>523.439992186332</v>
      </c>
      <c r="J4178" s="6" t="n">
        <f aca="false">Sens!I4178+Sens!J4103-Sens!J4106</f>
        <v>536.12785902879</v>
      </c>
      <c r="K4178" s="6" t="n">
        <f aca="false">Sens!J4178+Sens!K4103-Sens!K4106</f>
        <v>535.016842249862</v>
      </c>
      <c r="L4178" s="1" t="s">
        <v>852</v>
      </c>
    </row>
    <row r="4179" customFormat="false" ht="17.15" hidden="false" customHeight="false" outlineLevel="0" collapsed="false">
      <c r="A4179" s="0" t="s">
        <v>853</v>
      </c>
      <c r="B4179" s="0" t="s">
        <v>129</v>
      </c>
      <c r="F4179" s="7" t="n">
        <f aca="false">Sens!F4177*(1-tax_f)/((Sens!E4178+Sens!F4178)/2)</f>
        <v>0.0932966072669105</v>
      </c>
      <c r="G4179" s="7" t="n">
        <f aca="false">Sens!G4177*(1-tax_f)/((Sens!F4178+Sens!G4178)/2)</f>
        <v>0.106668405071363</v>
      </c>
      <c r="H4179" s="7" t="n">
        <f aca="false">Sens!H4177*(1-tax_f)/((Sens!G4178+Sens!H4178)/2)</f>
        <v>0.127476343061531</v>
      </c>
      <c r="I4179" s="7" t="n">
        <f aca="false">Sens!I4177*(1-tax_f)/((Sens!H4178+Sens!I4178)/2)</f>
        <v>0.134161631569747</v>
      </c>
      <c r="J4179" s="7" t="n">
        <f aca="false">Sens!J4177*(1-tax_f)/((Sens!I4178+Sens!J4178)/2)</f>
        <v>0.146990383374727</v>
      </c>
      <c r="K4179" s="7" t="n">
        <f aca="false">Sens!K4177*(1-tax_f)/((Sens!J4178+Sens!K4178)/2)</f>
        <v>0.164328494372877</v>
      </c>
    </row>
    <row r="4180" customFormat="false" ht="17.15" hidden="false" customHeight="false" outlineLevel="0" collapsed="false">
      <c r="A4180" s="1" t="s">
        <v>854</v>
      </c>
      <c r="B4180" s="0" t="s">
        <v>129</v>
      </c>
      <c r="F4180" s="7" t="n">
        <f aca="false">(Sens!F4177-Sens!F4176)*(1-tax_f)/((Sens!E4178+Sens!F4178)/2)</f>
        <v>0.0138175097906139</v>
      </c>
      <c r="G4180" s="7" t="n">
        <f aca="false">(Sens!G4177-Sens!G4176)*(1-tax_f)/((Sens!F4178+Sens!G4178)/2)</f>
        <v>0.0233210728797047</v>
      </c>
      <c r="H4180" s="7" t="n">
        <f aca="false">(Sens!H4177-Sens!H4176)*(1-tax_f)/((Sens!G4178+Sens!H4178)/2)</f>
        <v>0.0372661547649825</v>
      </c>
      <c r="I4180" s="7" t="n">
        <f aca="false">(Sens!I4177-Sens!I4176)*(1-tax_f)/((Sens!H4178+Sens!I4178)/2)</f>
        <v>0.0355603772862707</v>
      </c>
      <c r="J4180" s="7" t="n">
        <f aca="false">(Sens!J4177-Sens!J4176)*(1-tax_f)/((Sens!I4178+Sens!J4178)/2)</f>
        <v>0.0373963544588783</v>
      </c>
      <c r="K4180" s="7" t="n">
        <f aca="false">(Sens!K4177-Sens!K4176)*(1-tax_f)/((Sens!J4178+Sens!K4178)/2)</f>
        <v>0.0465072974014832</v>
      </c>
    </row>
    <row r="4181" customFormat="false" ht="17.15" hidden="false" customHeight="false" outlineLevel="0" collapsed="false">
      <c r="A4181" s="1" t="s">
        <v>855</v>
      </c>
      <c r="B4181" s="0" t="s">
        <v>129</v>
      </c>
      <c r="F4181" s="7" t="n">
        <f aca="false">(Sens!F4177-Sens!F4176+Sens!F4175)*(1-tax_f)/((Sens!E4178+Sens!F4178)/2)</f>
        <v>0.0932966072669105</v>
      </c>
      <c r="G4181" s="7" t="n">
        <f aca="false">(Sens!G4177-Sens!G4176+Sens!G4175)*(1-tax_f)/((Sens!F4178+Sens!G4178)/2)</f>
        <v>0.106668405071363</v>
      </c>
      <c r="H4181" s="7" t="n">
        <f aca="false">(Sens!H4177-Sens!H4176+Sens!H4175)*(1-tax_f)/((Sens!G4178+Sens!H4178)/2)</f>
        <v>0.127476343061531</v>
      </c>
      <c r="I4181" s="7" t="n">
        <f aca="false">(Sens!I4177-Sens!I4176+Sens!I4175)*(1-tax_f)/((Sens!H4178+Sens!I4178)/2)</f>
        <v>0.134161631569747</v>
      </c>
      <c r="J4181" s="7" t="n">
        <f aca="false">(Sens!J4177-Sens!J4176+Sens!J4175)*(1-tax_f)/((Sens!I4178+Sens!J4178)/2)</f>
        <v>0.146990383374727</v>
      </c>
      <c r="K4181" s="7" t="n">
        <f aca="false">(Sens!K4177-Sens!K4176+Sens!K4175)*(1-tax_f)/((Sens!J4178+Sens!K4178)/2)</f>
        <v>0.164328494372877</v>
      </c>
    </row>
    <row r="4182" customFormat="false" ht="17.15" hidden="false" customHeight="false" outlineLevel="0" collapsed="false">
      <c r="A4182" s="1" t="s">
        <v>856</v>
      </c>
      <c r="B4182" s="0" t="s">
        <v>129</v>
      </c>
      <c r="F4182" s="7" t="n">
        <f aca="false">Sens!F4107*(1-tax_f)/(Sens!F4094*(Sens!E4178+Sens!F4178)/2)</f>
        <v>0.12901154468674</v>
      </c>
      <c r="G4182" s="7" t="n">
        <f aca="false">Sens!G4107*(1-tax_f)/(Sens!G4094*(Sens!F4178+Sens!G4178)/2)</f>
        <v>0.152326413026645</v>
      </c>
      <c r="H4182" s="7" t="n">
        <f aca="false">Sens!H4107*(1-tax_f)/(Sens!H4094*(Sens!G4178+Sens!H4178)/2)</f>
        <v>0.184882414641548</v>
      </c>
      <c r="I4182" s="7" t="n">
        <f aca="false">Sens!I4107*(1-tax_f)/(Sens!I4094*(Sens!H4178+Sens!I4178)/2)</f>
        <v>0.194564320370459</v>
      </c>
      <c r="J4182" s="7" t="n">
        <f aca="false">Sens!J4107*(1-tax_f)/(Sens!J4094*(Sens!I4178+Sens!J4178)/2)</f>
        <v>0.212701094970493</v>
      </c>
      <c r="K4182" s="7" t="n">
        <f aca="false">Sens!K4107*(1-tax_f)/(Sens!K4094*(Sens!J4178+Sens!K4178)/2)</f>
        <v>0.235170572255449</v>
      </c>
    </row>
    <row r="4183" customFormat="false" ht="17.15" hidden="false" customHeight="false" outlineLevel="0" collapsed="false">
      <c r="A4183" s="0" t="s">
        <v>857</v>
      </c>
      <c r="B4183" s="0" t="s">
        <v>209</v>
      </c>
      <c r="F4183" s="7" t="n">
        <f aca="false">Sens!F4179-wacc</f>
        <v>-0.00963781282596528</v>
      </c>
      <c r="G4183" s="7" t="n">
        <f aca="false">Sens!G4179-wacc</f>
        <v>0.00373398497848752</v>
      </c>
      <c r="H4183" s="7" t="n">
        <f aca="false">Sens!H4179-wacc</f>
        <v>0.0245419229686551</v>
      </c>
      <c r="I4183" s="7" t="n">
        <f aca="false">Sens!I4179-wacc</f>
        <v>0.0312272114768715</v>
      </c>
      <c r="J4183" s="7" t="n">
        <f aca="false">Sens!J4179-wacc</f>
        <v>0.0440559632818508</v>
      </c>
      <c r="K4183" s="7" t="n">
        <f aca="false">Sens!K4179-wacc</f>
        <v>0.0613940742800016</v>
      </c>
    </row>
    <row r="4184" customFormat="false" ht="17.15" hidden="false" customHeight="false" outlineLevel="0" collapsed="false">
      <c r="A4184" s="0" t="s">
        <v>858</v>
      </c>
      <c r="B4184" s="0" t="s">
        <v>98</v>
      </c>
      <c r="F4184" s="6" t="n">
        <f aca="false">Sens!F4177*(1-tax_f)-wacc*(Sens!E4178+Sens!F4178)/2</f>
        <v>-1.83447201364255</v>
      </c>
      <c r="G4184" s="6" t="n">
        <f aca="false">Sens!G4177*(1-tax_f)-wacc*(Sens!F4178+Sens!G4178)/2</f>
        <v>1.15708867960004</v>
      </c>
      <c r="H4184" s="6" t="n">
        <f aca="false">Sens!H4177*(1-tax_f)-wacc*(Sens!G4178+Sens!H4178)/2</f>
        <v>10.3686590637921</v>
      </c>
      <c r="I4184" s="6" t="n">
        <f aca="false">Sens!I4177*(1-tax_f)-wacc*(Sens!H4178+Sens!I4178)/2</f>
        <v>15.6548053091585</v>
      </c>
      <c r="J4184" s="6" t="n">
        <f aca="false">Sens!J4177*(1-tax_f)-wacc*(Sens!I4178+Sens!J4178)/2</f>
        <v>23.3401411738815</v>
      </c>
      <c r="K4184" s="6" t="n">
        <f aca="false">Sens!K4177*(1-tax_f)-wacc*(Sens!J4178+Sens!K4178)/2</f>
        <v>32.8809686774659</v>
      </c>
    </row>
    <row r="4185" customFormat="false" ht="17.15" hidden="false" customHeight="false" outlineLevel="0" collapsed="false">
      <c r="A4185" s="3" t="s">
        <v>1342</v>
      </c>
    </row>
    <row r="4186" customFormat="false" ht="15" hidden="false" customHeight="false" outlineLevel="0" collapsed="false">
      <c r="A4186" s="4" t="s">
        <v>43</v>
      </c>
      <c r="B4186" s="4" t="s">
        <v>65</v>
      </c>
      <c r="C4186" s="20" t="s">
        <v>788</v>
      </c>
      <c r="D4186" s="20" t="s">
        <v>789</v>
      </c>
      <c r="E4186" s="20" t="s">
        <v>790</v>
      </c>
      <c r="F4186" s="20" t="s">
        <v>791</v>
      </c>
      <c r="G4186" s="20" t="s">
        <v>792</v>
      </c>
      <c r="H4186" s="20" t="s">
        <v>793</v>
      </c>
      <c r="I4186" s="20" t="s">
        <v>794</v>
      </c>
      <c r="J4186" s="20" t="s">
        <v>795</v>
      </c>
      <c r="K4186" s="20" t="s">
        <v>796</v>
      </c>
      <c r="L4186" s="4" t="s">
        <v>47</v>
      </c>
    </row>
    <row r="4187" customFormat="false" ht="15" hidden="false" customHeight="false" outlineLevel="0" collapsed="false">
      <c r="A4187" s="1" t="s">
        <v>915</v>
      </c>
      <c r="B4187" s="0" t="s">
        <v>98</v>
      </c>
      <c r="F4187" s="6" t="n">
        <f aca="false">Sens!F4168</f>
        <v>142.474202025747</v>
      </c>
      <c r="G4187" s="6" t="n">
        <f aca="false">Sens!G4168</f>
        <v>163.141245089349</v>
      </c>
      <c r="H4187" s="6" t="n">
        <f aca="false">Sens!H4168</f>
        <v>187.989069678519</v>
      </c>
      <c r="I4187" s="6" t="n">
        <f aca="false">Sens!I4168</f>
        <v>206.096417219169</v>
      </c>
      <c r="J4187" s="6" t="n">
        <f aca="false">Sens!J4168</f>
        <v>223.172521303835</v>
      </c>
      <c r="K4187" s="6" t="n">
        <f aca="false">Sens!K4168</f>
        <v>241.779745004623</v>
      </c>
    </row>
    <row r="4188" customFormat="false" ht="17.15" hidden="false" customHeight="false" outlineLevel="0" collapsed="false">
      <c r="A4188" s="1" t="s">
        <v>937</v>
      </c>
      <c r="B4188" s="0" t="s">
        <v>98</v>
      </c>
      <c r="E4188" s="6" t="n">
        <f aca="false">Q!M38-Sens!E4106</f>
        <v>19.2164783275</v>
      </c>
      <c r="F4188" s="6" t="n">
        <f aca="false">Sens!E4188*(1-1/life_nonai)+Sens!F4194/life_nonai</f>
        <v>20.8677652177062</v>
      </c>
      <c r="G4188" s="6" t="n">
        <f aca="false">Sens!F4188*(1-1/life_nonai)+Sens!G4194/life_nonai</f>
        <v>22.9412780529745</v>
      </c>
      <c r="H4188" s="6" t="n">
        <f aca="false">Sens!G4188*(1-1/life_nonai)+Sens!H4194/life_nonai</f>
        <v>25.4033016120861</v>
      </c>
      <c r="I4188" s="6" t="n">
        <f aca="false">Sens!H4188*(1-1/life_nonai)+Sens!I4194/life_nonai</f>
        <v>28.1803114820418</v>
      </c>
      <c r="J4188" s="6" t="n">
        <f aca="false">Sens!I4188*(1-1/life_nonai)+Sens!J4194/life_nonai</f>
        <v>31.182871658875</v>
      </c>
      <c r="K4188" s="6" t="n">
        <f aca="false">Sens!J4188*(1-1/life_nonai)+Sens!K4194/life_nonai</f>
        <v>34.3289547671869</v>
      </c>
      <c r="L4188" s="11" t="s">
        <v>938</v>
      </c>
    </row>
    <row r="4189" customFormat="false" ht="17.15" hidden="false" customHeight="false" outlineLevel="0" collapsed="false">
      <c r="A4189" s="1" t="s">
        <v>939</v>
      </c>
      <c r="B4189" s="0" t="s">
        <v>98</v>
      </c>
      <c r="E4189" s="6" t="n">
        <f aca="false">Sens!E4106+Sens!E4188</f>
        <v>38.534</v>
      </c>
      <c r="F4189" s="6" t="n">
        <f aca="false">Sens!F4106+Sens!F4188</f>
        <v>62.05226974475</v>
      </c>
      <c r="G4189" s="6" t="n">
        <f aca="false">Sens!G4106+Sens!G4188</f>
        <v>94.7230738053821</v>
      </c>
      <c r="H4189" s="6" t="n">
        <f aca="false">Sens!H4106+Sens!H4188</f>
        <v>130.320129479354</v>
      </c>
      <c r="I4189" s="6" t="n">
        <f aca="false">Sens!I4106+Sens!I4188</f>
        <v>163.083792680607</v>
      </c>
      <c r="J4189" s="6" t="n">
        <f aca="false">Sens!J4106+Sens!J4188</f>
        <v>188.086732561174</v>
      </c>
      <c r="K4189" s="6" t="n">
        <f aca="false">Sens!K4106+Sens!K4188</f>
        <v>202.963048933118</v>
      </c>
    </row>
    <row r="4190" customFormat="false" ht="17.15" hidden="false" customHeight="false" outlineLevel="0" collapsed="false">
      <c r="A4190" s="1" t="s">
        <v>940</v>
      </c>
      <c r="B4190" s="0" t="s">
        <v>98</v>
      </c>
      <c r="F4190" s="6" t="n">
        <f aca="false">Sens!F4133*sbc_r</f>
        <v>15.1240791253967</v>
      </c>
      <c r="G4190" s="6" t="n">
        <f aca="false">Sens!G4133*sbc_r</f>
        <v>18.3778786594202</v>
      </c>
      <c r="H4190" s="6" t="n">
        <f aca="false">Sens!H4133*sbc_r</f>
        <v>21.9310401732812</v>
      </c>
      <c r="I4190" s="6" t="n">
        <f aca="false">Sens!I4133*sbc_r</f>
        <v>24.9557384001249</v>
      </c>
      <c r="J4190" s="6" t="n">
        <f aca="false">Sens!J4133*sbc_r</f>
        <v>27.4608535231904</v>
      </c>
      <c r="K4190" s="6" t="n">
        <f aca="false">Sens!K4133*sbc_r</f>
        <v>29.4947476092944</v>
      </c>
    </row>
    <row r="4191" customFormat="false" ht="17.15" hidden="false" customHeight="false" outlineLevel="0" collapsed="false">
      <c r="A4191" s="1" t="s">
        <v>941</v>
      </c>
      <c r="B4191" s="0" t="s">
        <v>98</v>
      </c>
      <c r="F4191" s="6" t="n">
        <f aca="false">wc27</f>
        <v>-4.895</v>
      </c>
      <c r="G4191" s="6" t="n">
        <f aca="false">wc_f</f>
        <v>0</v>
      </c>
      <c r="H4191" s="6" t="n">
        <f aca="false">wc_f</f>
        <v>0</v>
      </c>
      <c r="I4191" s="6" t="n">
        <f aca="false">wc_f</f>
        <v>0</v>
      </c>
      <c r="J4191" s="6" t="n">
        <f aca="false">wc_f</f>
        <v>0</v>
      </c>
      <c r="K4191" s="6" t="n">
        <f aca="false">wc_f</f>
        <v>0</v>
      </c>
      <c r="L4191" s="11" t="s">
        <v>942</v>
      </c>
    </row>
    <row r="4192" customFormat="false" ht="15" hidden="false" customHeight="false" outlineLevel="0" collapsed="false">
      <c r="A4192" s="1" t="s">
        <v>756</v>
      </c>
      <c r="B4192" s="0" t="s">
        <v>98</v>
      </c>
      <c r="E4192" s="6" t="n">
        <f aca="false">Q!M35</f>
        <v>182.935</v>
      </c>
      <c r="F4192" s="6" t="n">
        <f aca="false">Sens!F4187+Sens!F4189+Sens!F4190+Sens!F4191</f>
        <v>214.755550895894</v>
      </c>
      <c r="G4192" s="6" t="n">
        <f aca="false">Sens!G4187+Sens!G4189+Sens!G4190+Sens!G4191</f>
        <v>276.242197554151</v>
      </c>
      <c r="H4192" s="6" t="n">
        <f aca="false">Sens!H4187+Sens!H4189+Sens!H4190+Sens!H4191</f>
        <v>340.240239331154</v>
      </c>
      <c r="I4192" s="6" t="n">
        <f aca="false">Sens!I4187+Sens!I4189+Sens!I4190+Sens!I4191</f>
        <v>394.135948299901</v>
      </c>
      <c r="J4192" s="6" t="n">
        <f aca="false">Sens!J4187+Sens!J4189+Sens!J4190+Sens!J4191</f>
        <v>438.720107388199</v>
      </c>
      <c r="K4192" s="6" t="n">
        <f aca="false">Sens!K4187+Sens!K4189+Sens!K4190+Sens!K4191</f>
        <v>474.237541547035</v>
      </c>
    </row>
    <row r="4193" customFormat="false" ht="17.15" hidden="false" customHeight="false" outlineLevel="0" collapsed="false">
      <c r="A4193" s="0" t="s">
        <v>943</v>
      </c>
      <c r="B4193" s="0" t="s">
        <v>98</v>
      </c>
      <c r="F4193" s="6" t="n">
        <f aca="false">Sens!F4103</f>
        <v>168.470652770438</v>
      </c>
      <c r="G4193" s="6" t="n">
        <f aca="false">Sens!G4103</f>
        <v>183.5741804832</v>
      </c>
      <c r="H4193" s="6" t="n">
        <f aca="false">Sens!H4103</f>
        <v>218.338961257067</v>
      </c>
      <c r="I4193" s="6" t="n">
        <f aca="false">Sens!I4103</f>
        <v>179.144768820912</v>
      </c>
      <c r="J4193" s="6" t="n">
        <f aca="false">Sens!J4103</f>
        <v>169.591727744757</v>
      </c>
      <c r="K4193" s="6" t="n">
        <f aca="false">Sens!K4103</f>
        <v>167.523077387003</v>
      </c>
    </row>
    <row r="4194" customFormat="false" ht="17.15" hidden="false" customHeight="false" outlineLevel="0" collapsed="false">
      <c r="A4194" s="1" t="s">
        <v>944</v>
      </c>
      <c r="B4194" s="0" t="s">
        <v>98</v>
      </c>
      <c r="E4194" s="6" t="n">
        <f aca="false">Sens!E4111*cx_azo+Sens!E4118*cx_m365+Sens!E4119*cx_lic+(Sens!E4121+Sens!E4123)*cx_ind+Sens!E4126*cx_srch+(Sens!E4128+Sens!E4130)*cx_dev</f>
        <v>30.1846587067718</v>
      </c>
      <c r="F4194" s="6" t="n">
        <f aca="false">Sens!F4111*cx_azo+Sens!F4118*cx_m365+Sens!F4119*cx_lic+(Sens!F4121+Sens!F4123)*cx_ind+Sens!F4126*cx_srch+(Sens!F4128+Sens!F4130)*cx_dev</f>
        <v>35.7293472295625</v>
      </c>
      <c r="G4194" s="6" t="n">
        <f aca="false">Sens!G4111*cx_azo+Sens!G4118*cx_m365+Sens!G4119*cx_lic+(Sens!G4121+Sens!G4123)*cx_ind+Sens!G4126*cx_srch+(Sens!G4128+Sens!G4130)*cx_dev</f>
        <v>41.6028935703892</v>
      </c>
      <c r="H4194" s="6" t="n">
        <f aca="false">Sens!H4111*cx_azo+Sens!H4118*cx_m365+Sens!H4119*cx_lic+(Sens!H4121+Sens!H4123)*cx_ind+Sens!H4126*cx_srch+(Sens!H4128+Sens!H4130)*cx_dev</f>
        <v>47.5615136440897</v>
      </c>
      <c r="I4194" s="6" t="n">
        <f aca="false">Sens!I4111*cx_azo+Sens!I4118*cx_m365+Sens!I4119*cx_lic+(Sens!I4121+Sens!I4123)*cx_ind+Sens!I4126*cx_srch+(Sens!I4128+Sens!I4130)*cx_dev</f>
        <v>53.1734003116439</v>
      </c>
      <c r="J4194" s="6" t="n">
        <f aca="false">Sens!J4111*cx_azo+Sens!J4118*cx_m365+Sens!J4119*cx_lic+(Sens!J4121+Sens!J4123)*cx_ind+Sens!J4126*cx_srch+(Sens!J4128+Sens!J4130)*cx_dev</f>
        <v>58.2059132503738</v>
      </c>
      <c r="K4194" s="6" t="n">
        <f aca="false">Sens!K4111*cx_azo+Sens!K4118*cx_m365+Sens!K4119*cx_lic+(Sens!K4121+Sens!K4123)*cx_ind+Sens!K4126*cx_srch+(Sens!K4128+Sens!K4130)*cx_dev</f>
        <v>62.643702741994</v>
      </c>
    </row>
    <row r="4195" customFormat="false" ht="17.15" hidden="false" customHeight="false" outlineLevel="0" collapsed="false">
      <c r="A4195" s="1" t="s">
        <v>945</v>
      </c>
      <c r="B4195" s="0" t="s">
        <v>98</v>
      </c>
      <c r="E4195" s="6" t="n">
        <f aca="false">Q!M42</f>
        <v>145.3</v>
      </c>
      <c r="F4195" s="6" t="n">
        <f aca="false">Sens!F4193+Sens!F4194</f>
        <v>204.2</v>
      </c>
      <c r="G4195" s="6" t="n">
        <f aca="false">Sens!G4193+Sens!G4194</f>
        <v>225.177074053589</v>
      </c>
      <c r="H4195" s="6" t="n">
        <f aca="false">Sens!H4193+Sens!H4194</f>
        <v>265.900474901156</v>
      </c>
      <c r="I4195" s="6" t="n">
        <f aca="false">Sens!I4193+Sens!I4194</f>
        <v>232.318169132556</v>
      </c>
      <c r="J4195" s="6" t="n">
        <f aca="false">Sens!J4193+Sens!J4194</f>
        <v>227.797640995131</v>
      </c>
      <c r="K4195" s="6" t="n">
        <f aca="false">Sens!K4193+Sens!K4194</f>
        <v>230.166780128997</v>
      </c>
      <c r="L4195" s="1" t="s">
        <v>946</v>
      </c>
    </row>
    <row r="4196" customFormat="false" ht="15" hidden="false" customHeight="false" outlineLevel="0" collapsed="false">
      <c r="A4196" s="1" t="s">
        <v>947</v>
      </c>
      <c r="B4196" s="0" t="s">
        <v>98</v>
      </c>
      <c r="E4196" s="6" t="n">
        <f aca="false">fl_liab</f>
        <v>66.594</v>
      </c>
      <c r="F4196" s="6" t="n">
        <f aca="false">Sens!E4196-Sens!F4197</f>
        <v>62.46973</v>
      </c>
      <c r="G4196" s="6" t="n">
        <f aca="false">Sens!F4196-Sens!G4197</f>
        <v>57.98686785</v>
      </c>
      <c r="H4196" s="6" t="n">
        <f aca="false">Sens!G4196-Sens!H4197</f>
        <v>53.92827690325</v>
      </c>
      <c r="I4196" s="6" t="n">
        <f aca="false">Sens!H4196-Sens!I4197</f>
        <v>49.7850493638962</v>
      </c>
      <c r="J4196" s="6" t="n">
        <f aca="false">Sens!I4196-Sens!J4197</f>
        <v>45.4823765852716</v>
      </c>
      <c r="K4196" s="6" t="n">
        <f aca="false">Sens!J4196-Sens!K4197</f>
        <v>40.9860835316088</v>
      </c>
    </row>
    <row r="4197" customFormat="false" ht="15" hidden="false" customHeight="false" outlineLevel="0" collapsed="false">
      <c r="A4197" s="1" t="s">
        <v>948</v>
      </c>
      <c r="B4197" s="0" t="s">
        <v>98</v>
      </c>
      <c r="F4197" s="6" t="n">
        <f aca="false">fl_pay_27-Sens!E4196*fl_rate</f>
        <v>4.12427</v>
      </c>
      <c r="G4197" s="6" t="n">
        <f aca="false">fl_pay_28-Sens!F4196*fl_rate</f>
        <v>4.48286215</v>
      </c>
      <c r="H4197" s="6" t="n">
        <f aca="false">fl_pay_29-Sens!G4196*fl_rate</f>
        <v>4.05859094675</v>
      </c>
      <c r="I4197" s="6" t="n">
        <f aca="false">fl_pay_30-Sens!H4196*fl_rate</f>
        <v>4.14322753935375</v>
      </c>
      <c r="J4197" s="6" t="n">
        <f aca="false">fl_pay_31-Sens!I4196*fl_rate</f>
        <v>4.30267277862467</v>
      </c>
      <c r="K4197" s="6" t="n">
        <f aca="false">fl_pay_32-Sens!J4196*fl_rate</f>
        <v>4.49629305366278</v>
      </c>
    </row>
    <row r="4198" customFormat="false" ht="17.15" hidden="false" customHeight="false" outlineLevel="0" collapsed="false">
      <c r="A4198" s="1" t="s">
        <v>949</v>
      </c>
      <c r="B4198" s="0" t="s">
        <v>98</v>
      </c>
      <c r="E4198" s="6" t="n">
        <f aca="false">Q!M35-Q!M36-Q!M43</f>
        <v>63.886</v>
      </c>
      <c r="F4198" s="6" t="n">
        <f aca="false">Sens!F4192-Sens!F4195-Sens!F4197</f>
        <v>6.4312808958935</v>
      </c>
      <c r="G4198" s="6" t="n">
        <f aca="false">Sens!G4192-Sens!G4195-Sens!G4197</f>
        <v>46.5822613505617</v>
      </c>
      <c r="H4198" s="6" t="n">
        <f aca="false">Sens!H4192-Sens!H4195-Sens!H4197</f>
        <v>70.2811734832473</v>
      </c>
      <c r="I4198" s="6" t="n">
        <f aca="false">Sens!I4192-Sens!I4195-Sens!I4197</f>
        <v>157.674551627991</v>
      </c>
      <c r="J4198" s="6" t="n">
        <f aca="false">Sens!J4192-Sens!J4195-Sens!J4197</f>
        <v>206.619793614444</v>
      </c>
      <c r="K4198" s="6" t="n">
        <f aca="false">Sens!K4192-Sens!K4195-Sens!K4197</f>
        <v>239.574468364376</v>
      </c>
      <c r="L4198" s="11" t="s">
        <v>950</v>
      </c>
    </row>
    <row r="4199" customFormat="false" ht="15" hidden="false" customHeight="false" outlineLevel="0" collapsed="false">
      <c r="A4199" s="1" t="s">
        <v>951</v>
      </c>
      <c r="B4199" s="0" t="s">
        <v>75</v>
      </c>
      <c r="F4199" s="8" t="n">
        <f aca="false">dps_27</f>
        <v>3.85</v>
      </c>
      <c r="G4199" s="8" t="n">
        <f aca="false">Sens!F4199*(1+dps_g)</f>
        <v>4.158</v>
      </c>
      <c r="H4199" s="8" t="n">
        <f aca="false">Sens!G4199*(1+dps_g)</f>
        <v>4.49064</v>
      </c>
      <c r="I4199" s="8" t="n">
        <f aca="false">Sens!H4199*(1+dps_g)</f>
        <v>4.8498912</v>
      </c>
      <c r="J4199" s="8" t="n">
        <f aca="false">Sens!I4199*(1+dps_g)</f>
        <v>5.237882496</v>
      </c>
      <c r="K4199" s="8" t="n">
        <f aca="false">Sens!J4199*(1+dps_g)</f>
        <v>5.65691309568</v>
      </c>
    </row>
    <row r="4200" customFormat="false" ht="17.15" hidden="false" customHeight="false" outlineLevel="0" collapsed="false">
      <c r="A4200" s="1" t="s">
        <v>952</v>
      </c>
      <c r="B4200" s="0" t="s">
        <v>98</v>
      </c>
      <c r="E4200" s="6" t="n">
        <f aca="false">Q!M41</f>
        <v>26.445</v>
      </c>
      <c r="F4200" s="6" t="n">
        <f aca="false">Sens!F4199*Sens!E4209</f>
        <v>28.59395</v>
      </c>
      <c r="G4200" s="6" t="n">
        <f aca="false">Sens!G4199*Sens!F4209</f>
        <v>31.068576</v>
      </c>
      <c r="H4200" s="6" t="n">
        <f aca="false">Sens!H4199*Sens!G4209</f>
        <v>33.6395978181075</v>
      </c>
      <c r="I4200" s="6" t="n">
        <f aca="false">Sens!I4199*Sens!H4209</f>
        <v>36.3817048835555</v>
      </c>
      <c r="J4200" s="6" t="n">
        <f aca="false">Sens!J4199*Sens!I4209</f>
        <v>39.3606401225594</v>
      </c>
      <c r="K4200" s="6" t="n">
        <f aca="false">Sens!K4199*Sens!J4209</f>
        <v>42.5967465576692</v>
      </c>
      <c r="L4200" s="1" t="s">
        <v>953</v>
      </c>
    </row>
    <row r="4201" customFormat="false" ht="15" hidden="false" customHeight="false" outlineLevel="0" collapsed="false">
      <c r="A4201" s="1" t="s">
        <v>954</v>
      </c>
      <c r="B4201" s="0" t="s">
        <v>98</v>
      </c>
      <c r="E4201" s="6" t="n">
        <f aca="false">Sens!E4198-Sens!E4200</f>
        <v>37.441</v>
      </c>
      <c r="F4201" s="6" t="n">
        <f aca="false">Sens!F4198-Sens!F4200</f>
        <v>-22.1626691041065</v>
      </c>
      <c r="G4201" s="6" t="n">
        <f aca="false">Sens!G4198-Sens!G4200</f>
        <v>15.5136853505617</v>
      </c>
      <c r="H4201" s="6" t="n">
        <f aca="false">Sens!H4198-Sens!H4200</f>
        <v>36.6415756651399</v>
      </c>
      <c r="I4201" s="6" t="n">
        <f aca="false">Sens!I4198-Sens!I4200</f>
        <v>121.292846744436</v>
      </c>
      <c r="J4201" s="6" t="n">
        <f aca="false">Sens!J4198-Sens!J4200</f>
        <v>167.259153491884</v>
      </c>
      <c r="K4201" s="6" t="n">
        <f aca="false">Sens!K4198-Sens!K4200</f>
        <v>196.977721806706</v>
      </c>
    </row>
    <row r="4202" customFormat="false" ht="15" hidden="false" customHeight="false" outlineLevel="0" collapsed="false">
      <c r="A4202" s="1" t="s">
        <v>955</v>
      </c>
      <c r="B4202" s="0" t="s">
        <v>98</v>
      </c>
      <c r="F4202" s="6" t="n">
        <f aca="false">debt_mat_27</f>
        <v>9.25</v>
      </c>
      <c r="G4202" s="6" t="n">
        <f aca="false">debt_mat_28</f>
        <v>0</v>
      </c>
      <c r="H4202" s="6" t="n">
        <f aca="false">debt_mat_29</f>
        <v>2.001</v>
      </c>
      <c r="I4202" s="6" t="n">
        <f aca="false">debt_mat_30</f>
        <v>0</v>
      </c>
      <c r="J4202" s="6" t="n">
        <f aca="false">debt_mat_31</f>
        <v>0.5</v>
      </c>
      <c r="K4202" s="6" t="n">
        <f aca="false">debt_mat_32</f>
        <v>0</v>
      </c>
    </row>
    <row r="4203" customFormat="false" ht="15" hidden="false" customHeight="false" outlineLevel="0" collapsed="false">
      <c r="A4203" s="1" t="s">
        <v>956</v>
      </c>
      <c r="B4203" s="0" t="s">
        <v>98</v>
      </c>
      <c r="E4203" s="6" t="n">
        <f aca="false">Q!M40</f>
        <v>22.271</v>
      </c>
      <c r="F4203" s="6" t="n">
        <f aca="false">MAX(0,MIN(bb_target,Sens!E4205+Sens!F4201-Sens!F4202-min_cash))</f>
        <v>0</v>
      </c>
      <c r="G4203" s="6" t="n">
        <f aca="false">MAX(0,MIN(bb_target,Sens!F4205+Sens!G4201-Sens!G4202-min_cash))</f>
        <v>15.5136853505617</v>
      </c>
      <c r="H4203" s="6" t="n">
        <f aca="false">MAX(0,MIN(bb_target,Sens!G4205+Sens!H4201-Sens!H4202-min_cash))</f>
        <v>22.271</v>
      </c>
      <c r="I4203" s="6" t="n">
        <f aca="false">MAX(0,MIN(bb_target,Sens!H4205+Sens!I4201-Sens!I4202-min_cash))</f>
        <v>22.271</v>
      </c>
      <c r="J4203" s="6" t="n">
        <f aca="false">MAX(0,MIN(bb_target,Sens!I4205+Sens!J4201-Sens!J4202-min_cash))</f>
        <v>22.271</v>
      </c>
      <c r="K4203" s="6" t="n">
        <f aca="false">MAX(0,MIN(bb_target,Sens!J4205+Sens!K4201-Sens!K4202-min_cash))</f>
        <v>22.271</v>
      </c>
    </row>
    <row r="4204" customFormat="false" ht="15" hidden="false" customHeight="false" outlineLevel="0" collapsed="false">
      <c r="A4204" s="1" t="s">
        <v>957</v>
      </c>
      <c r="B4204" s="0" t="s">
        <v>98</v>
      </c>
      <c r="F4204" s="6" t="n">
        <f aca="false">MAX(0,min_cash-(Sens!E4205+Sens!F4201-Sens!F4202-Sens!F4203))</f>
        <v>4.5696691041065</v>
      </c>
      <c r="G4204" s="6" t="n">
        <f aca="false">MAX(0,min_cash-(Sens!F4205+Sens!G4201-Sens!G4202-Sens!G4203))</f>
        <v>0</v>
      </c>
      <c r="H4204" s="6" t="n">
        <f aca="false">MAX(0,min_cash-(Sens!G4205+Sens!H4201-Sens!H4202-Sens!H4203))</f>
        <v>0</v>
      </c>
      <c r="I4204" s="6" t="n">
        <f aca="false">MAX(0,min_cash-(Sens!H4205+Sens!I4201-Sens!I4202-Sens!I4203))</f>
        <v>0</v>
      </c>
      <c r="J4204" s="6" t="n">
        <f aca="false">MAX(0,min_cash-(Sens!I4205+Sens!J4201-Sens!J4202-Sens!J4203))</f>
        <v>0</v>
      </c>
      <c r="K4204" s="6" t="n">
        <f aca="false">MAX(0,min_cash-(Sens!J4205+Sens!K4201-Sens!K4202-Sens!K4203))</f>
        <v>0</v>
      </c>
    </row>
    <row r="4205" customFormat="false" ht="15" hidden="false" customHeight="false" outlineLevel="0" collapsed="false">
      <c r="A4205" s="1" t="s">
        <v>958</v>
      </c>
      <c r="B4205" s="0" t="s">
        <v>98</v>
      </c>
      <c r="E4205" s="6" t="n">
        <f aca="false">cash_open</f>
        <v>76.843</v>
      </c>
      <c r="F4205" s="6" t="n">
        <f aca="false">Sens!E4205+Sens!F4201-Sens!F4202-Sens!F4203+Sens!F4204</f>
        <v>50</v>
      </c>
      <c r="G4205" s="6" t="n">
        <f aca="false">Sens!F4205+Sens!G4201-Sens!G4202-Sens!G4203+Sens!G4204</f>
        <v>50</v>
      </c>
      <c r="H4205" s="6" t="n">
        <f aca="false">Sens!G4205+Sens!H4201-Sens!H4202-Sens!H4203+Sens!H4204</f>
        <v>62.3695756651399</v>
      </c>
      <c r="I4205" s="6" t="n">
        <f aca="false">Sens!H4205+Sens!I4201-Sens!I4202-Sens!I4203+Sens!I4204</f>
        <v>161.391422409576</v>
      </c>
      <c r="J4205" s="6" t="n">
        <f aca="false">Sens!I4205+Sens!J4201-Sens!J4202-Sens!J4203+Sens!J4204</f>
        <v>305.87957590146</v>
      </c>
      <c r="K4205" s="6" t="n">
        <f aca="false">Sens!J4205+Sens!K4201-Sens!K4202-Sens!K4203+Sens!K4204</f>
        <v>480.586297708166</v>
      </c>
    </row>
    <row r="4206" customFormat="false" ht="15" hidden="false" customHeight="false" outlineLevel="0" collapsed="false">
      <c r="A4206" s="1" t="s">
        <v>959</v>
      </c>
      <c r="B4206" s="0" t="s">
        <v>98</v>
      </c>
      <c r="E4206" s="6" t="n">
        <f aca="false">debt_face</f>
        <v>46.136</v>
      </c>
      <c r="F4206" s="6" t="n">
        <f aca="false">Sens!E4206-Sens!F4202+Sens!F4204</f>
        <v>41.4556691041065</v>
      </c>
      <c r="G4206" s="6" t="n">
        <f aca="false">Sens!F4206-Sens!G4202+Sens!G4204</f>
        <v>41.4556691041065</v>
      </c>
      <c r="H4206" s="6" t="n">
        <f aca="false">Sens!G4206-Sens!H4202+Sens!H4204</f>
        <v>39.4546691041065</v>
      </c>
      <c r="I4206" s="6" t="n">
        <f aca="false">Sens!H4206-Sens!I4202+Sens!I4204</f>
        <v>39.4546691041065</v>
      </c>
      <c r="J4206" s="6" t="n">
        <f aca="false">Sens!I4206-Sens!J4202+Sens!J4204</f>
        <v>38.9546691041065</v>
      </c>
      <c r="K4206" s="6" t="n">
        <f aca="false">Sens!J4206-Sens!K4202+Sens!K4204</f>
        <v>38.9546691041065</v>
      </c>
    </row>
    <row r="4207" customFormat="false" ht="15" hidden="false" customHeight="false" outlineLevel="0" collapsed="false">
      <c r="A4207" s="1" t="s">
        <v>960</v>
      </c>
      <c r="B4207" s="0" t="s">
        <v>98</v>
      </c>
      <c r="E4207" s="6" t="n">
        <f aca="false">Sens!E4205-Sens!E4206</f>
        <v>30.707</v>
      </c>
      <c r="F4207" s="6" t="n">
        <f aca="false">Sens!F4205-Sens!F4206</f>
        <v>8.5443308958935</v>
      </c>
      <c r="G4207" s="6" t="n">
        <f aca="false">Sens!G4205-Sens!G4206</f>
        <v>8.5443308958935</v>
      </c>
      <c r="H4207" s="6" t="n">
        <f aca="false">Sens!H4205-Sens!H4206</f>
        <v>22.9149065610333</v>
      </c>
      <c r="I4207" s="6" t="n">
        <f aca="false">Sens!I4205-Sens!I4206</f>
        <v>121.936753305469</v>
      </c>
      <c r="J4207" s="6" t="n">
        <f aca="false">Sens!J4205-Sens!J4206</f>
        <v>266.924906797353</v>
      </c>
      <c r="K4207" s="6" t="n">
        <f aca="false">Sens!K4205-Sens!K4206</f>
        <v>441.63162860406</v>
      </c>
    </row>
    <row r="4208" customFormat="false" ht="15" hidden="false" customHeight="false" outlineLevel="0" collapsed="false">
      <c r="A4208" s="1" t="s">
        <v>961</v>
      </c>
      <c r="B4208" s="0" t="s">
        <v>75</v>
      </c>
      <c r="F4208" s="29" t="n">
        <f aca="false">px*(1+bb_g)^(Sens!F4072-base_fy-mid_yr)</f>
        <v>553.494156066711</v>
      </c>
      <c r="G4208" s="29" t="n">
        <f aca="false">px*(1+bb_g)^(Sens!G4072-base_fy-mid_yr)</f>
        <v>597.773688552047</v>
      </c>
      <c r="H4208" s="29" t="n">
        <f aca="false">px*(1+bb_g)^(Sens!H4072-base_fy-mid_yr)</f>
        <v>645.595583636211</v>
      </c>
      <c r="I4208" s="29" t="n">
        <f aca="false">px*(1+bb_g)^(Sens!I4072-base_fy-mid_yr)</f>
        <v>697.243230327108</v>
      </c>
      <c r="J4208" s="29" t="n">
        <f aca="false">px*(1+bb_g)^(Sens!J4072-base_fy-mid_yr)</f>
        <v>753.022688753277</v>
      </c>
      <c r="K4208" s="29" t="n">
        <f aca="false">px*(1+bb_g)^(Sens!K4072-base_fy-mid_yr)</f>
        <v>813.264503853539</v>
      </c>
    </row>
    <row r="4209" customFormat="false" ht="15" hidden="false" customHeight="false" outlineLevel="0" collapsed="false">
      <c r="A4209" s="1" t="s">
        <v>962</v>
      </c>
      <c r="B4209" s="1" t="s">
        <v>81</v>
      </c>
      <c r="E4209" s="14" t="n">
        <f aca="false">sh_out26</f>
        <v>7.427</v>
      </c>
      <c r="F4209" s="14" t="n">
        <f aca="false">Sens!E4209+sh_iss-Sens!F4203/Sens!F4208</f>
        <v>7.472</v>
      </c>
      <c r="G4209" s="14" t="n">
        <f aca="false">Sens!F4209+sh_iss-Sens!G4203/Sens!G4208</f>
        <v>7.49104756072797</v>
      </c>
      <c r="H4209" s="14" t="n">
        <f aca="false">Sens!G4209+sh_iss-Sens!H4203/Sens!H4208</f>
        <v>7.50155073242788</v>
      </c>
      <c r="I4209" s="14" t="n">
        <f aca="false">Sens!H4209+sh_iss-Sens!I4203/Sens!I4208</f>
        <v>7.5146092247426</v>
      </c>
      <c r="J4209" s="14" t="n">
        <f aca="false">Sens!I4209+sh_iss-Sens!J4203/Sens!J4208</f>
        <v>7.53003375466364</v>
      </c>
      <c r="K4209" s="14" t="n">
        <f aca="false">Sens!J4209+sh_iss-Sens!K4203/Sens!K4208</f>
        <v>7.54764906014609</v>
      </c>
    </row>
    <row r="4210" customFormat="false" ht="15" hidden="false" customHeight="false" outlineLevel="0" collapsed="false">
      <c r="A4210" s="1" t="s">
        <v>963</v>
      </c>
      <c r="B4210" s="1" t="s">
        <v>81</v>
      </c>
      <c r="E4210" s="14" t="n">
        <f aca="false">sh_dil26</f>
        <v>7.453</v>
      </c>
      <c r="F4210" s="14" t="n">
        <f aca="false">(Sens!E4209+Sens!F4209)/2+dil_gap</f>
        <v>7.4735</v>
      </c>
      <c r="G4210" s="14" t="n">
        <f aca="false">(Sens!F4209+Sens!G4209)/2+dil_gap</f>
        <v>7.50552378036399</v>
      </c>
      <c r="H4210" s="14" t="n">
        <f aca="false">(Sens!G4209+Sens!H4209)/2+dil_gap</f>
        <v>7.52029914657793</v>
      </c>
      <c r="I4210" s="14" t="n">
        <f aca="false">(Sens!H4209+Sens!I4209)/2+dil_gap</f>
        <v>7.53207997858524</v>
      </c>
      <c r="J4210" s="14" t="n">
        <f aca="false">(Sens!I4209+Sens!J4209)/2+dil_gap</f>
        <v>7.54632148970312</v>
      </c>
      <c r="K4210" s="14" t="n">
        <f aca="false">(Sens!J4209+Sens!K4209)/2+dil_gap</f>
        <v>7.56284140740486</v>
      </c>
    </row>
    <row r="4211" customFormat="false" ht="17.15" hidden="false" customHeight="false" outlineLevel="0" collapsed="false">
      <c r="A4211" s="1" t="s">
        <v>964</v>
      </c>
      <c r="B4211" s="0" t="s">
        <v>98</v>
      </c>
      <c r="C4211" s="6" t="n">
        <f aca="false">SUM(Sens!F4201:J4201)</f>
        <v>318.544592147915</v>
      </c>
    </row>
    <row r="4212" customFormat="false" ht="15" hidden="false" customHeight="false" outlineLevel="0" collapsed="false">
      <c r="A4212" s="23" t="s">
        <v>935</v>
      </c>
      <c r="B4212" s="30" t="s">
        <v>98</v>
      </c>
      <c r="C4212" s="24" t="n">
        <f aca="false">Sens!$C$4211-(Sens!F4201+Sens!G4201+Sens!H4201+Sens!I4201+Sens!J4201)</f>
        <v>0</v>
      </c>
      <c r="D4212" s="30"/>
      <c r="E4212" s="30"/>
      <c r="F4212" s="30"/>
      <c r="G4212" s="30"/>
      <c r="H4212" s="30"/>
      <c r="I4212" s="30"/>
      <c r="J4212" s="30"/>
      <c r="K4212" s="30"/>
    </row>
    <row r="4213" customFormat="false" ht="17.15" hidden="false" customHeight="false" outlineLevel="0" collapsed="false">
      <c r="A4213" s="1" t="s">
        <v>929</v>
      </c>
      <c r="B4213" s="1" t="s">
        <v>965</v>
      </c>
      <c r="C4213" s="32" t="str">
        <f aca="false">IF(SUM(Sens!F4204:J4204)&gt;0.05,"需要舉債 "&amp;TEXT(SUM(Sens!F4204:J4204),"0.0")&amp;" 十億美元","不需舉債")&amp;"；"&amp;IF(SUM(Sens!F4203:J4203)&lt;COUNT(Sens!F4203:J4203)*bb_target-0.05,"回購較每年 "&amp;TEXT(bb_target,"0.0")&amp;" 的目標少 "&amp;TEXT(COUNT(Sens!F4203:J4203)*bb_target-SUM(Sens!F4203:J4203),"0.0")&amp;" 十億美元（"&amp;TEXT(COUNTIF(Sens!F4203:J4203,"&lt;"&amp;(bb_target-0.05)),"0")&amp;" 年減少）","回購不減")</f>
        <v>需要舉債 4.6 十億美元；回購較每年 22.3 的目標少 29.0 十億美元（2 年減少）</v>
      </c>
    </row>
    <row r="4214" customFormat="false" ht="17.15" hidden="false" customHeight="false" outlineLevel="0" collapsed="false">
      <c r="A4214" s="3" t="s">
        <v>1343</v>
      </c>
    </row>
    <row r="4215" customFormat="false" ht="15" hidden="false" customHeight="false" outlineLevel="0" collapsed="false">
      <c r="A4215" s="4" t="s">
        <v>43</v>
      </c>
      <c r="B4215" s="4" t="s">
        <v>65</v>
      </c>
      <c r="C4215" s="20" t="s">
        <v>788</v>
      </c>
      <c r="D4215" s="20" t="s">
        <v>789</v>
      </c>
      <c r="E4215" s="20" t="s">
        <v>790</v>
      </c>
      <c r="F4215" s="20" t="s">
        <v>791</v>
      </c>
      <c r="G4215" s="20" t="s">
        <v>792</v>
      </c>
      <c r="H4215" s="20" t="s">
        <v>793</v>
      </c>
      <c r="I4215" s="20" t="s">
        <v>794</v>
      </c>
      <c r="J4215" s="20" t="s">
        <v>795</v>
      </c>
      <c r="K4215" s="20" t="s">
        <v>796</v>
      </c>
      <c r="L4215" s="4" t="s">
        <v>47</v>
      </c>
    </row>
    <row r="4216" customFormat="false" ht="15" hidden="false" customHeight="false" outlineLevel="0" collapsed="false">
      <c r="A4216" s="1" t="s">
        <v>1042</v>
      </c>
      <c r="B4216" s="1" t="s">
        <v>235</v>
      </c>
      <c r="F4216" s="36" t="n">
        <f aca="false">Sens!F4072-base_fy-mid_yr</f>
        <v>0.5</v>
      </c>
      <c r="G4216" s="36" t="n">
        <f aca="false">Sens!G4072-base_fy-mid_yr</f>
        <v>1.5</v>
      </c>
      <c r="H4216" s="36" t="n">
        <f aca="false">Sens!H4072-base_fy-mid_yr</f>
        <v>2.5</v>
      </c>
      <c r="I4216" s="36" t="n">
        <f aca="false">Sens!I4072-base_fy-mid_yr</f>
        <v>3.5</v>
      </c>
      <c r="J4216" s="36" t="n">
        <f aca="false">Sens!J4072-base_fy-mid_yr</f>
        <v>4.5</v>
      </c>
      <c r="K4216" s="36" t="n">
        <f aca="false">Sens!K4072-base_fy-mid_yr</f>
        <v>5.5</v>
      </c>
    </row>
    <row r="4217" customFormat="false" ht="15" hidden="false" customHeight="false" outlineLevel="0" collapsed="false">
      <c r="A4217" s="1" t="s">
        <v>1043</v>
      </c>
      <c r="B4217" s="0" t="s">
        <v>185</v>
      </c>
      <c r="F4217" s="14" t="n">
        <f aca="false">1/(1+wacc)^Sens!F4216</f>
        <v>0.952193373608246</v>
      </c>
      <c r="G4217" s="14" t="n">
        <f aca="false">1/(1+wacc)^Sens!G4216</f>
        <v>0.863327280626589</v>
      </c>
      <c r="H4217" s="14" t="n">
        <f aca="false">1/(1+wacc)^Sens!H4216</f>
        <v>0.782754862754115</v>
      </c>
      <c r="I4217" s="14" t="n">
        <f aca="false">1/(1+wacc)^Sens!I4216</f>
        <v>0.709702089711011</v>
      </c>
      <c r="J4217" s="14" t="n">
        <f aca="false">1/(1+wacc)^Sens!J4216</f>
        <v>0.643467169744551</v>
      </c>
      <c r="K4217" s="14" t="n">
        <f aca="false">1/(1+wacc)^Sens!K4216</f>
        <v>0.583413807767797</v>
      </c>
    </row>
    <row r="4218" customFormat="false" ht="17.15" hidden="false" customHeight="false" outlineLevel="0" collapsed="false">
      <c r="A4218" s="1" t="s">
        <v>1044</v>
      </c>
      <c r="B4218" s="0" t="s">
        <v>98</v>
      </c>
      <c r="F4218" s="6" t="n">
        <f aca="false">Sens!F4192-Sens!F4190-Sens!F4195+Sens!F4176*(1-tax_f)</f>
        <v>10.5596115904596</v>
      </c>
      <c r="G4218" s="6" t="n">
        <f aca="false">Sens!G4192-Sens!G4190-Sens!G4195+Sens!G4176*(1-tax_f)</f>
        <v>58.5149477133948</v>
      </c>
      <c r="H4218" s="6" t="n">
        <f aca="false">Sens!H4192-Sens!H4190-Sens!H4195+Sens!H4176*(1-tax_f)</f>
        <v>90.5214136218503</v>
      </c>
      <c r="I4218" s="6" t="n">
        <f aca="false">Sens!I4192-Sens!I4190-Sens!I4195+Sens!I4176*(1-tax_f)</f>
        <v>186.292757313586</v>
      </c>
      <c r="J4218" s="6" t="n">
        <f aca="false">Sens!J4192-Sens!J4190-Sens!J4195+Sens!J4176*(1-tax_f)</f>
        <v>241.522767732065</v>
      </c>
      <c r="K4218" s="6" t="n">
        <f aca="false">Sens!K4192-Sens!K4190-Sens!K4195+Sens!K4176*(1-tax_f)</f>
        <v>277.677789225853</v>
      </c>
      <c r="L4218" s="1" t="s">
        <v>1045</v>
      </c>
    </row>
    <row r="4219" customFormat="false" ht="15" hidden="false" customHeight="false" outlineLevel="0" collapsed="false">
      <c r="A4219" s="1" t="s">
        <v>1046</v>
      </c>
      <c r="B4219" s="0" t="s">
        <v>98</v>
      </c>
      <c r="F4219" s="6" t="n">
        <f aca="false">Sens!F4218*Sens!F4217</f>
        <v>10.0547921843125</v>
      </c>
      <c r="G4219" s="6" t="n">
        <f aca="false">Sens!G4218*Sens!G4217</f>
        <v>50.5175506854121</v>
      </c>
      <c r="H4219" s="6" t="n">
        <f aca="false">Sens!H4218*Sens!H4217</f>
        <v>70.85607669588</v>
      </c>
      <c r="I4219" s="6" t="n">
        <f aca="false">Sens!I4218*Sens!I4217</f>
        <v>132.212359163478</v>
      </c>
      <c r="J4219" s="6" t="n">
        <f aca="false">Sens!J4218*Sens!J4217</f>
        <v>155.411971781422</v>
      </c>
      <c r="K4219" s="6" t="n">
        <f aca="false">Sens!K4218*Sens!K4217</f>
        <v>162.001056344798</v>
      </c>
    </row>
    <row r="4220" customFormat="false" ht="17.15" hidden="false" customHeight="false" outlineLevel="0" collapsed="false">
      <c r="A4220" s="1" t="s">
        <v>1047</v>
      </c>
      <c r="B4220" s="0" t="s">
        <v>98</v>
      </c>
      <c r="C4220" s="6" t="n">
        <f aca="false">SUM(Sens!F4219:K4219)</f>
        <v>581.053806855303</v>
      </c>
    </row>
    <row r="4221" customFormat="false" ht="17.15" hidden="false" customHeight="false" outlineLevel="0" collapsed="false">
      <c r="A4221" s="1" t="s">
        <v>1048</v>
      </c>
      <c r="B4221" s="0" t="s">
        <v>98</v>
      </c>
      <c r="C4221" s="6" t="n">
        <f aca="false">Sens!K4162*(1+g_tv)*(1-tax_f)</f>
        <v>314.357566034383</v>
      </c>
    </row>
    <row r="4222" customFormat="false" ht="17.15" hidden="false" customHeight="false" outlineLevel="0" collapsed="false">
      <c r="A4222" s="1" t="s">
        <v>1049</v>
      </c>
      <c r="B4222" s="0" t="s">
        <v>98</v>
      </c>
      <c r="C4222" s="6" t="n">
        <f aca="false">Sens!$C$4221*(1-g_tv/(wacc+ronic_prem))</f>
        <v>222.738776396065</v>
      </c>
    </row>
    <row r="4223" customFormat="false" ht="17.15" hidden="false" customHeight="false" outlineLevel="0" collapsed="false">
      <c r="A4223" s="1" t="s">
        <v>1050</v>
      </c>
      <c r="B4223" s="0" t="s">
        <v>98</v>
      </c>
      <c r="C4223" s="6" t="n">
        <f aca="false">Sens!$C$4222/(wacc-g_tv)</f>
        <v>3053.95965461062</v>
      </c>
    </row>
    <row r="4224" customFormat="false" ht="15" hidden="false" customHeight="false" outlineLevel="0" collapsed="false">
      <c r="A4224" s="1" t="s">
        <v>1051</v>
      </c>
      <c r="B4224" s="0" t="s">
        <v>98</v>
      </c>
      <c r="C4224" s="6" t="n">
        <f aca="false">Sens!$C$4223/(1+wacc)^(Sens!K4216+mid_yr)</f>
        <v>1696.54410184073</v>
      </c>
    </row>
    <row r="4225" customFormat="false" ht="17.15" hidden="false" customHeight="false" outlineLevel="0" collapsed="false">
      <c r="A4225" s="0" t="s">
        <v>972</v>
      </c>
      <c r="B4225" s="0" t="s">
        <v>98</v>
      </c>
      <c r="C4225" s="6" t="n">
        <f aca="false">Sens!$C$4220+Sens!$C$4224</f>
        <v>2277.59790869604</v>
      </c>
    </row>
    <row r="4226" customFormat="false" ht="15" hidden="false" customHeight="false" outlineLevel="0" collapsed="false">
      <c r="A4226" s="1" t="s">
        <v>973</v>
      </c>
      <c r="B4226" s="0" t="s">
        <v>129</v>
      </c>
      <c r="C4226" s="7" t="n">
        <f aca="false">Sens!$C$4224/Sens!$C$4225</f>
        <v>0.744883060949083</v>
      </c>
    </row>
    <row r="4227" customFormat="false" ht="17.15" hidden="false" customHeight="false" outlineLevel="0" collapsed="false">
      <c r="A4227" s="1" t="s">
        <v>1052</v>
      </c>
      <c r="B4227" s="0" t="s">
        <v>98</v>
      </c>
      <c r="C4227" s="6" t="n">
        <f aca="false">Sens!$C$4225+Sens!E4207-Sens!E4196+oai_v</f>
        <v>2412.11090869604</v>
      </c>
    </row>
    <row r="4228" customFormat="false" ht="17.15" hidden="false" customHeight="false" outlineLevel="0" collapsed="false">
      <c r="A4228" s="0" t="s">
        <v>980</v>
      </c>
      <c r="B4228" s="0" t="s">
        <v>75</v>
      </c>
      <c r="C4228" s="5" t="n">
        <f aca="false">Sens!$C$4227/sh_dil26</f>
        <v>323.642950314777</v>
      </c>
    </row>
    <row r="4229" customFormat="false" ht="15" hidden="false" customHeight="false" outlineLevel="0" collapsed="false">
      <c r="A4229" s="1" t="s">
        <v>1053</v>
      </c>
      <c r="B4229" s="0" t="s">
        <v>75</v>
      </c>
      <c r="C4229" s="8" t="n">
        <f aca="false">dps_27+Sens!G4199*roll_div_q/q_per_yr</f>
        <v>4.8895</v>
      </c>
    </row>
    <row r="4230" customFormat="false" ht="17.15" hidden="false" customHeight="false" outlineLevel="0" collapsed="false">
      <c r="A4230" s="0" t="s">
        <v>1054</v>
      </c>
      <c r="B4230" s="0" t="s">
        <v>75</v>
      </c>
      <c r="C4230" s="5" t="n">
        <f aca="false">Sens!$C$4228*(1+wacc)^t_roll-Sens!$C$4229</f>
        <v>363.653533808058</v>
      </c>
    </row>
    <row r="4231" customFormat="false" ht="17.15" hidden="false" customHeight="false" outlineLevel="0" collapsed="false">
      <c r="A4231" s="1" t="s">
        <v>1055</v>
      </c>
      <c r="B4231" s="0" t="s">
        <v>129</v>
      </c>
      <c r="F4231" s="7" t="n">
        <f aca="false">Sens!F4188/(Sens!F4133-Sens!F4089)</f>
        <v>0.0603388222299857</v>
      </c>
      <c r="G4231" s="7" t="n">
        <f aca="false">Sens!G4188/(Sens!G4133-Sens!G4089)</f>
        <v>0.0587865670061793</v>
      </c>
      <c r="H4231" s="7" t="n">
        <f aca="false">Sens!H4188/(Sens!H4133-Sens!H4089)</f>
        <v>0.0583397234868938</v>
      </c>
      <c r="I4231" s="7" t="n">
        <f aca="false">Sens!I4188/(Sens!I4133-Sens!I4089)</f>
        <v>0.0589646954106833</v>
      </c>
      <c r="J4231" s="7" t="n">
        <f aca="false">Sens!J4188/(Sens!J4133-Sens!J4089)</f>
        <v>0.0603951493565999</v>
      </c>
      <c r="K4231" s="7" t="n">
        <f aca="false">Sens!K4188/(Sens!K4133-Sens!K4089)</f>
        <v>0.0622503687985749</v>
      </c>
    </row>
    <row r="4232" customFormat="false" ht="17.15" hidden="false" customHeight="false" outlineLevel="0" collapsed="false">
      <c r="A4232" s="0" t="s">
        <v>1056</v>
      </c>
      <c r="B4232" s="0" t="s">
        <v>98</v>
      </c>
      <c r="F4232" s="6" t="n">
        <f aca="false">Sens!F4118*(al_m365+Sens!F4231+sbc_r)</f>
        <v>84.0003463489528</v>
      </c>
      <c r="G4232" s="6" t="n">
        <f aca="false">Sens!G4118*(al_m365+Sens!G4231+sbc_r)</f>
        <v>98.5386838807998</v>
      </c>
      <c r="H4232" s="6" t="n">
        <f aca="false">Sens!H4118*(al_m365+Sens!H4231+sbc_r)</f>
        <v>113.247840427894</v>
      </c>
      <c r="I4232" s="6" t="n">
        <f aca="false">Sens!I4118*(al_m365+Sens!I4231+sbc_r)</f>
        <v>126.445544319775</v>
      </c>
      <c r="J4232" s="6" t="n">
        <f aca="false">Sens!J4118*(al_m365+Sens!J4231+sbc_r)</f>
        <v>137.938588695232</v>
      </c>
      <c r="K4232" s="6" t="n">
        <f aca="false">Sens!K4118*(al_m365+Sens!K4231+sbc_r)</f>
        <v>149.041403512556</v>
      </c>
      <c r="L4232" s="11" t="s">
        <v>1057</v>
      </c>
    </row>
    <row r="4233" customFormat="false" ht="17.15" hidden="false" customHeight="false" outlineLevel="0" collapsed="false">
      <c r="A4233" s="0" t="s">
        <v>1058</v>
      </c>
      <c r="B4233" s="0" t="s">
        <v>98</v>
      </c>
      <c r="F4233" s="6" t="n">
        <f aca="false">Sens!F4119*(al_lic+Sens!F4231+sbc_r)</f>
        <v>33.1222415956682</v>
      </c>
      <c r="G4233" s="6" t="n">
        <f aca="false">Sens!G4119*(al_lic+Sens!G4231+sbc_r)</f>
        <v>34.4615612848861</v>
      </c>
      <c r="H4233" s="6" t="n">
        <f aca="false">Sens!H4119*(al_lic+Sens!H4231+sbc_r)</f>
        <v>35.7094394349754</v>
      </c>
      <c r="I4233" s="6" t="n">
        <f aca="false">Sens!I4119*(al_lic+Sens!I4231+sbc_r)</f>
        <v>36.8497903599186</v>
      </c>
      <c r="J4233" s="6" t="n">
        <f aca="false">Sens!J4119*(al_lic+Sens!J4231+sbc_r)</f>
        <v>37.8565069619265</v>
      </c>
      <c r="K4233" s="6" t="n">
        <f aca="false">Sens!K4119*(al_lic+Sens!K4231+sbc_r)</f>
        <v>38.6981365722841</v>
      </c>
    </row>
    <row r="4234" customFormat="false" ht="17.15" hidden="false" customHeight="false" outlineLevel="0" collapsed="false">
      <c r="A4234" s="0" t="s">
        <v>1059</v>
      </c>
      <c r="B4234" s="0" t="s">
        <v>98</v>
      </c>
      <c r="F4234" s="6" t="n">
        <f aca="false">Sens!F4121*(al_ind+Sens!F4231+sbc_r)</f>
        <v>8.89194515546332</v>
      </c>
      <c r="G4234" s="6" t="n">
        <f aca="false">Sens!G4121*(al_ind+Sens!G4231+sbc_r)</f>
        <v>9.68206209723389</v>
      </c>
      <c r="H4234" s="6" t="n">
        <f aca="false">Sens!H4121*(al_ind+Sens!H4231+sbc_r)</f>
        <v>10.5158475723422</v>
      </c>
      <c r="I4234" s="6" t="n">
        <f aca="false">Sens!I4121*(al_ind+Sens!I4231+sbc_r)</f>
        <v>11.3915031932084</v>
      </c>
      <c r="J4234" s="6" t="n">
        <f aca="false">Sens!J4121*(al_ind+Sens!J4231+sbc_r)</f>
        <v>12.298991053785</v>
      </c>
      <c r="K4234" s="6" t="n">
        <f aca="false">Sens!K4121*(al_ind+Sens!K4231+sbc_r)</f>
        <v>13.2212977698538</v>
      </c>
    </row>
    <row r="4235" customFormat="false" ht="17.15" hidden="false" customHeight="false" outlineLevel="0" collapsed="false">
      <c r="A4235" s="0" t="s">
        <v>1060</v>
      </c>
      <c r="B4235" s="0" t="s">
        <v>98</v>
      </c>
      <c r="F4235" s="6" t="n">
        <f aca="false">Sens!F4123*(al_fro+Sens!F4231+sbc_r)</f>
        <v>3.49990083103971</v>
      </c>
      <c r="G4235" s="6" t="n">
        <f aca="false">Sens!G4123*(al_fro+Sens!G4231+sbc_r)</f>
        <v>3.7173394256245</v>
      </c>
      <c r="H4235" s="6" t="n">
        <f aca="false">Sens!H4123*(al_fro+Sens!H4231+sbc_r)</f>
        <v>3.96273129699734</v>
      </c>
      <c r="I4235" s="6" t="n">
        <f aca="false">Sens!I4123*(al_fro+Sens!I4231+sbc_r)</f>
        <v>4.23945385997028</v>
      </c>
      <c r="J4235" s="6" t="n">
        <f aca="false">Sens!J4123*(al_fro+Sens!J4231+sbc_r)</f>
        <v>4.54863954103888</v>
      </c>
      <c r="K4235" s="6" t="n">
        <f aca="false">Sens!K4123*(al_fro+Sens!K4231+sbc_r)</f>
        <v>4.88974400882245</v>
      </c>
    </row>
    <row r="4236" customFormat="false" ht="17.15" hidden="false" customHeight="false" outlineLevel="0" collapsed="false">
      <c r="A4236" s="0" t="s">
        <v>1061</v>
      </c>
      <c r="B4236" s="0" t="s">
        <v>98</v>
      </c>
      <c r="F4236" s="6" t="n">
        <f aca="false">Sens!F4126*(al_srch+Sens!F4231+sbc_r)</f>
        <v>10.9816807382828</v>
      </c>
      <c r="G4236" s="6" t="n">
        <f aca="false">Sens!G4126*(al_srch+Sens!G4231+sbc_r)</f>
        <v>12.0703101111808</v>
      </c>
      <c r="H4236" s="6" t="n">
        <f aca="false">Sens!H4126*(al_srch+Sens!H4231+sbc_r)</f>
        <v>13.2030282050239</v>
      </c>
      <c r="I4236" s="6" t="n">
        <f aca="false">Sens!I4126*(al_srch+Sens!I4231+sbc_r)</f>
        <v>14.3706414853578</v>
      </c>
      <c r="J4236" s="6" t="n">
        <f aca="false">Sens!J4126*(al_srch+Sens!J4231+sbc_r)</f>
        <v>15.5526467607038</v>
      </c>
      <c r="K4236" s="6" t="n">
        <f aca="false">Sens!K4126*(al_srch+Sens!K4231+sbc_r)</f>
        <v>16.7189465406868</v>
      </c>
    </row>
    <row r="4237" customFormat="false" ht="17.15" hidden="false" customHeight="false" outlineLevel="0" collapsed="false">
      <c r="A4237" s="0" t="s">
        <v>1062</v>
      </c>
      <c r="B4237" s="0" t="s">
        <v>98</v>
      </c>
      <c r="F4237" s="6" t="n">
        <f aca="false">Sens!F4095-Sens!F4096+Sens!F4176</f>
        <v>55.5050976291809</v>
      </c>
      <c r="G4237" s="6" t="n">
        <f aca="false">Sens!G4095-Sens!G4096+Sens!G4176</f>
        <v>99.9712997960567</v>
      </c>
      <c r="H4237" s="6" t="n">
        <f aca="false">Sens!H4095-Sens!H4096+Sens!H4176</f>
        <v>153.858327260419</v>
      </c>
      <c r="I4237" s="6" t="n">
        <f aca="false">Sens!I4095-Sens!I4096+Sens!I4176</f>
        <v>196.657217954944</v>
      </c>
      <c r="J4237" s="6" t="n">
        <f aca="false">Sens!J4095-Sens!J4096+Sens!J4176</f>
        <v>229.301037793958</v>
      </c>
      <c r="K4237" s="6" t="n">
        <f aca="false">Sens!K4095-Sens!K4096+Sens!K4176</f>
        <v>251.076380020559</v>
      </c>
    </row>
    <row r="4238" customFormat="false" ht="17.15" hidden="false" customHeight="false" outlineLevel="0" collapsed="false">
      <c r="A4238" s="0" t="s">
        <v>1063</v>
      </c>
      <c r="B4238" s="0" t="s">
        <v>98</v>
      </c>
      <c r="F4238" s="6" t="n">
        <f aca="false">Sens!F4155+Sens!F4176+Sens!F4106+Sens!F4231*(Sens!F4125-Sens!F4089)+sbc_r*Sens!F4125</f>
        <v>248.918097691881</v>
      </c>
      <c r="G4238" s="6" t="n">
        <f aca="false">Sens!G4155+Sens!G4176+Sens!G4106+Sens!G4231*(Sens!G4125-Sens!G4089)+sbc_r*Sens!G4125</f>
        <v>323.373683648952</v>
      </c>
      <c r="H4238" s="6" t="n">
        <f aca="false">Sens!H4155+Sens!H4176+Sens!H4106+Sens!H4231*(Sens!H4125-Sens!H4089)+sbc_r*Sens!H4125</f>
        <v>408.009114198357</v>
      </c>
      <c r="I4238" s="6" t="n">
        <f aca="false">Sens!I4155+Sens!I4176+Sens!I4106+Sens!I4231*(Sens!I4125-Sens!I4089)+sbc_r*Sens!I4125</f>
        <v>479.418296638325</v>
      </c>
      <c r="J4238" s="6" t="n">
        <f aca="false">Sens!J4155+Sens!J4176+Sens!J4106+Sens!J4231*(Sens!J4125-Sens!J4089)+sbc_r*Sens!J4125</f>
        <v>537.70262720315</v>
      </c>
      <c r="K4238" s="6" t="n">
        <f aca="false">Sens!K4155+Sens!K4176+Sens!K4106+Sens!K4231*(Sens!K4125-Sens!K4089)+sbc_r*Sens!K4125</f>
        <v>582.659987953926</v>
      </c>
    </row>
    <row r="4239" customFormat="false" ht="17.15" hidden="false" customHeight="false" outlineLevel="0" collapsed="false">
      <c r="A4239" s="0" t="s">
        <v>1064</v>
      </c>
      <c r="B4239" s="0" t="s">
        <v>98</v>
      </c>
      <c r="F4239" s="6" t="n">
        <f aca="false">Sens!F4238-Sens!F4232-Sens!F4233-Sens!F4234-Sens!F4235-Sens!F4237</f>
        <v>63.8985661315762</v>
      </c>
      <c r="G4239" s="6" t="n">
        <f aca="false">Sens!G4238-Sens!G4232-Sens!G4233-Sens!G4234-Sens!G4235-Sens!G4237</f>
        <v>77.0027371643509</v>
      </c>
      <c r="H4239" s="6" t="n">
        <f aca="false">Sens!H4238-Sens!H4232-Sens!H4233-Sens!H4234-Sens!H4235-Sens!H4237</f>
        <v>90.7149282057288</v>
      </c>
      <c r="I4239" s="6" t="n">
        <f aca="false">Sens!I4238-Sens!I4232-Sens!I4233-Sens!I4234-Sens!I4235-Sens!I4237</f>
        <v>103.834786950509</v>
      </c>
      <c r="J4239" s="6" t="n">
        <f aca="false">Sens!J4238-Sens!J4232-Sens!J4233-Sens!J4234-Sens!J4235-Sens!J4237</f>
        <v>115.758863157211</v>
      </c>
      <c r="K4239" s="6" t="n">
        <f aca="false">Sens!K4238-Sens!K4232-Sens!K4233-Sens!K4234-Sens!K4235-Sens!K4237</f>
        <v>125.73302606985</v>
      </c>
    </row>
    <row r="4240" customFormat="false" ht="17.15" hidden="false" customHeight="false" outlineLevel="0" collapsed="false">
      <c r="A4240" s="0" t="s">
        <v>1065</v>
      </c>
      <c r="B4240" s="0" t="s">
        <v>98</v>
      </c>
      <c r="F4240" s="6" t="n">
        <f aca="false">Sens!F4157+Sens!F4231*Sens!F4132+sbc_r*Sens!F4132</f>
        <v>25.6611784854026</v>
      </c>
      <c r="G4240" s="6" t="n">
        <f aca="false">Sens!G4157+Sens!G4231*Sens!G4132+sbc_r*Sens!G4132</f>
        <v>26.3384537678528</v>
      </c>
      <c r="H4240" s="6" t="n">
        <f aca="false">Sens!H4157+Sens!H4231*Sens!H4132+sbc_r*Sens!H4132</f>
        <v>27.2692542588441</v>
      </c>
      <c r="I4240" s="6" t="n">
        <f aca="false">Sens!I4157+Sens!I4231*Sens!I4132+sbc_r*Sens!I4132</f>
        <v>28.4301516493254</v>
      </c>
      <c r="J4240" s="6" t="n">
        <f aca="false">Sens!J4157+Sens!J4231*Sens!J4132+sbc_r*Sens!J4132</f>
        <v>29.787054088741</v>
      </c>
      <c r="K4240" s="6" t="n">
        <f aca="false">Sens!K4157+Sens!K4231*Sens!K4132+sbc_r*Sens!K4132</f>
        <v>31.299709115651</v>
      </c>
    </row>
    <row r="4241" customFormat="false" ht="17.15" hidden="false" customHeight="false" outlineLevel="0" collapsed="false">
      <c r="A4241" s="0" t="s">
        <v>1066</v>
      </c>
      <c r="B4241" s="0" t="s">
        <v>98</v>
      </c>
      <c r="F4241" s="6" t="n">
        <f aca="false">(Sens!F4240-Sens!F4236)*Sens!F4128/(Sens!F4128+Sens!F4130)</f>
        <v>8.04715768873474</v>
      </c>
      <c r="G4241" s="6" t="n">
        <f aca="false">(Sens!G4240-Sens!G4236)*Sens!G4128/(Sens!G4128+Sens!G4130)</f>
        <v>7.68219772332337</v>
      </c>
      <c r="H4241" s="6" t="n">
        <f aca="false">(Sens!H4240-Sens!H4236)*Sens!H4128/(Sens!H4128+Sens!H4130)</f>
        <v>7.47117695702107</v>
      </c>
      <c r="I4241" s="6" t="n">
        <f aca="false">(Sens!I4240-Sens!I4236)*Sens!I4128/(Sens!I4128+Sens!I4130)</f>
        <v>7.40004283030621</v>
      </c>
      <c r="J4241" s="6" t="n">
        <f aca="false">(Sens!J4240-Sens!J4236)*Sens!J4128/(Sens!J4128+Sens!J4130)</f>
        <v>7.45821871976269</v>
      </c>
      <c r="K4241" s="6" t="n">
        <f aca="false">(Sens!K4240-Sens!K4236)*Sens!K4128/(Sens!K4128+Sens!K4130)</f>
        <v>7.63969400895373</v>
      </c>
    </row>
    <row r="4242" customFormat="false" ht="17.15" hidden="false" customHeight="false" outlineLevel="0" collapsed="false">
      <c r="A4242" s="0" t="s">
        <v>1067</v>
      </c>
      <c r="B4242" s="0" t="s">
        <v>98</v>
      </c>
      <c r="F4242" s="6" t="n">
        <f aca="false">Sens!F4240-Sens!F4236-Sens!F4241</f>
        <v>6.63234005838505</v>
      </c>
      <c r="G4242" s="6" t="n">
        <f aca="false">Sens!G4240-Sens!G4236-Sens!G4241</f>
        <v>6.58594593334866</v>
      </c>
      <c r="H4242" s="6" t="n">
        <f aca="false">Sens!H4240-Sens!H4236-Sens!H4241</f>
        <v>6.5950490967991</v>
      </c>
      <c r="I4242" s="6" t="n">
        <f aca="false">Sens!I4240-Sens!I4236-Sens!I4241</f>
        <v>6.65946733366131</v>
      </c>
      <c r="J4242" s="6" t="n">
        <f aca="false">Sens!J4240-Sens!J4236-Sens!J4241</f>
        <v>6.7761886082745</v>
      </c>
      <c r="K4242" s="6" t="n">
        <f aca="false">Sens!K4240-Sens!K4236-Sens!K4241</f>
        <v>6.94106856601041</v>
      </c>
    </row>
    <row r="4243" customFormat="false" ht="17.15" hidden="false" customHeight="false" outlineLevel="0" collapsed="false">
      <c r="A4243" s="0" t="s">
        <v>1068</v>
      </c>
      <c r="B4243" s="0" t="s">
        <v>98</v>
      </c>
      <c r="F4243" s="6" t="n">
        <f aca="false">Sens!F4237-tax_f*(Sens!F4237-Sens!F4106)-Sens!F4103</f>
        <v>-115.829673761684</v>
      </c>
      <c r="G4243" s="6" t="n">
        <f aca="false">Sens!G4237-tax_f*(Sens!G4237-Sens!G4106)-Sens!G4103</f>
        <v>-89.2407814958732</v>
      </c>
      <c r="H4243" s="6" t="n">
        <f aca="false">Sens!H4237-tax_f*(Sens!H4237-Sens!H4106)-Sens!H4103</f>
        <v>-74.2689338752776</v>
      </c>
      <c r="I4243" s="6" t="n">
        <f aca="false">Sens!I4237-tax_f*(Sens!I4237-Sens!I4106)-Sens!I4103</f>
        <v>5.16170178275598</v>
      </c>
      <c r="J4243" s="6" t="n">
        <f aca="false">Sens!J4237-tax_f*(Sens!J4237-Sens!J4106)-Sens!J4103</f>
        <v>45.2298746708688</v>
      </c>
      <c r="K4243" s="6" t="n">
        <f aca="false">Sens!K4237-tax_f*(Sens!K4237-Sens!K4106)-Sens!K4103</f>
        <v>67.0648454626309</v>
      </c>
    </row>
    <row r="4244" customFormat="false" ht="17.15" hidden="false" customHeight="false" outlineLevel="0" collapsed="false">
      <c r="A4244" s="0" t="s">
        <v>1069</v>
      </c>
      <c r="B4244" s="0" t="s">
        <v>98</v>
      </c>
      <c r="F4244" s="6" t="n">
        <f aca="false">Sens!F4243*Sens!F4217</f>
        <v>-110.29224782308</v>
      </c>
      <c r="G4244" s="6" t="n">
        <f aca="false">Sens!G4243*Sens!G4217</f>
        <v>-77.0440012098238</v>
      </c>
      <c r="H4244" s="6" t="n">
        <f aca="false">Sens!H4243*Sens!H4217</f>
        <v>-58.1343691424374</v>
      </c>
      <c r="I4244" s="6" t="n">
        <f aca="false">Sens!I4243*Sens!I4217</f>
        <v>3.66327054168697</v>
      </c>
      <c r="J4244" s="6" t="n">
        <f aca="false">Sens!J4243*Sens!J4217</f>
        <v>29.1039394423647</v>
      </c>
      <c r="K4244" s="6" t="n">
        <f aca="false">Sens!K4243*Sens!K4217</f>
        <v>39.1265568587123</v>
      </c>
    </row>
    <row r="4245" customFormat="false" ht="17.15" hidden="false" customHeight="false" outlineLevel="0" collapsed="false">
      <c r="A4245" s="0" t="s">
        <v>1070</v>
      </c>
      <c r="B4245" s="0" t="s">
        <v>98</v>
      </c>
      <c r="C4245" s="6" t="n">
        <f aca="false">(Sens!K4237-Sens!K4106)*(1-tax_f)*(1+g_tv)*(1-g_tv/(wacc+ronic_prem))/(wacc-g_tv)/(1+wacc)^(Sens!K4216+mid_yr)</f>
        <v>366.62195814927</v>
      </c>
    </row>
    <row r="4246" customFormat="false" ht="17.15" hidden="false" customHeight="false" outlineLevel="0" collapsed="false">
      <c r="A4246" s="1" t="s">
        <v>1071</v>
      </c>
      <c r="B4246" s="0" t="s">
        <v>98</v>
      </c>
      <c r="C4246" s="6" t="n">
        <f aca="false">(SUM(Sens!F4244:K4244)+Sens!$C$4245)*(1+wacc)^t_roll</f>
        <v>219.826908816731</v>
      </c>
      <c r="L4246" s="11" t="s">
        <v>1072</v>
      </c>
    </row>
    <row r="4247" customFormat="false" ht="17.15" hidden="false" customHeight="false" outlineLevel="0" collapsed="false">
      <c r="A4247" s="1" t="s">
        <v>1073</v>
      </c>
      <c r="B4247" s="0" t="s">
        <v>98</v>
      </c>
      <c r="C4247" s="6" t="n">
        <f aca="false">(w_ntm28*Sens!G4095+(1-w_ntm28)*Sens!H4095)*m_ai</f>
        <v>554.355705484284</v>
      </c>
    </row>
    <row r="4248" customFormat="false" ht="17.15" hidden="false" customHeight="false" outlineLevel="0" collapsed="false">
      <c r="A4248" s="1" t="s">
        <v>1074</v>
      </c>
      <c r="B4248" s="0" t="s">
        <v>98</v>
      </c>
      <c r="C4248" s="6" t="n">
        <f aca="false">(w_ntm28*Sens!G4239+(1-w_ntm28)*Sens!H4239)*m_cloud</f>
        <v>1125.4416431254</v>
      </c>
    </row>
    <row r="4249" customFormat="false" ht="17.15" hidden="false" customHeight="false" outlineLevel="0" collapsed="false">
      <c r="A4249" s="1" t="s">
        <v>1075</v>
      </c>
      <c r="B4249" s="0" t="s">
        <v>98</v>
      </c>
      <c r="C4249" s="6" t="n">
        <f aca="false">(w_ntm28*Sens!G4232+(1-w_ntm28)*Sens!H4232)*m_sw</f>
        <v>1115.57490674446</v>
      </c>
    </row>
    <row r="4250" customFormat="false" ht="17.15" hidden="false" customHeight="false" outlineLevel="0" collapsed="false">
      <c r="A4250" s="1" t="s">
        <v>1076</v>
      </c>
      <c r="B4250" s="0" t="s">
        <v>98</v>
      </c>
      <c r="C4250" s="6" t="n">
        <f aca="false">(w_ntm28*Sens!G4233+(1-w_ntm28)*Sens!H4233)*m_sw</f>
        <v>376.541836984917</v>
      </c>
    </row>
    <row r="4251" customFormat="false" ht="17.15" hidden="false" customHeight="false" outlineLevel="0" collapsed="false">
      <c r="A4251" s="1" t="s">
        <v>1077</v>
      </c>
      <c r="B4251" s="0" t="s">
        <v>98</v>
      </c>
      <c r="C4251" s="6" t="n">
        <f aca="false">(w_ntm28*Sens!G4234+(1-w_ntm28)*Sens!H4234)*m_sw</f>
        <v>107.477438347326</v>
      </c>
    </row>
    <row r="4252" customFormat="false" ht="17.15" hidden="false" customHeight="false" outlineLevel="0" collapsed="false">
      <c r="A4252" s="1" t="s">
        <v>1078</v>
      </c>
      <c r="B4252" s="0" t="s">
        <v>98</v>
      </c>
      <c r="C4252" s="6" t="n">
        <f aca="false">(w_ntm28*Sens!G4235+(1-w_ntm28)*Sens!H4235)*m_sw</f>
        <v>41.0040531964091</v>
      </c>
    </row>
    <row r="4253" customFormat="false" ht="17.15" hidden="false" customHeight="false" outlineLevel="0" collapsed="false">
      <c r="A4253" s="1" t="s">
        <v>1079</v>
      </c>
      <c r="B4253" s="0" t="s">
        <v>98</v>
      </c>
      <c r="C4253" s="6" t="n">
        <f aca="false">(w_ntm28*Sens!G4236+(1-w_ntm28)*Sens!H4236)*m_ads</f>
        <v>113.296550582773</v>
      </c>
    </row>
    <row r="4254" customFormat="false" ht="17.15" hidden="false" customHeight="false" outlineLevel="0" collapsed="false">
      <c r="A4254" s="1" t="s">
        <v>1080</v>
      </c>
      <c r="B4254" s="0" t="s">
        <v>98</v>
      </c>
      <c r="C4254" s="6" t="n">
        <f aca="false">(w_ntm28*Sens!G4241+(1-w_ntm28)*Sens!H4241)*m_game</f>
        <v>96.164533440503</v>
      </c>
    </row>
    <row r="4255" customFormat="false" ht="17.15" hidden="false" customHeight="false" outlineLevel="0" collapsed="false">
      <c r="A4255" s="1" t="s">
        <v>1081</v>
      </c>
      <c r="B4255" s="0" t="s">
        <v>98</v>
      </c>
      <c r="C4255" s="6" t="n">
        <f aca="false">(w_ntm28*Sens!G4242+(1-w_ntm28)*Sens!H4242)*m_pc</f>
        <v>95.3412220047745</v>
      </c>
    </row>
    <row r="4256" customFormat="false" ht="17.15" hidden="false" customHeight="false" outlineLevel="0" collapsed="false">
      <c r="A4256" s="1" t="s">
        <v>1082</v>
      </c>
      <c r="B4256" s="0" t="s">
        <v>98</v>
      </c>
      <c r="C4256" s="6" t="n">
        <f aca="false">Sens!$C$4246+Sens!$C$4248+Sens!$C$4249+Sens!$C$4250+Sens!$C$4251+Sens!$C$4252+Sens!$C$4253+Sens!$C$4254+Sens!$C$4255</f>
        <v>3290.6690932433</v>
      </c>
    </row>
    <row r="4257" customFormat="false" ht="17.15" hidden="false" customHeight="false" outlineLevel="0" collapsed="false">
      <c r="A4257" s="1" t="s">
        <v>1000</v>
      </c>
      <c r="B4257" s="0" t="s">
        <v>98</v>
      </c>
      <c r="C4257" s="6" t="n">
        <f aca="false">Sens!F4207+oai_v-Sens!F4196</f>
        <v>116.474600895894</v>
      </c>
      <c r="L4257" s="1" t="s">
        <v>1083</v>
      </c>
    </row>
    <row r="4258" customFormat="false" ht="15" hidden="false" customHeight="false" outlineLevel="0" collapsed="false">
      <c r="A4258" s="1" t="s">
        <v>1001</v>
      </c>
      <c r="B4258" s="0" t="s">
        <v>75</v>
      </c>
      <c r="C4258" s="5" t="n">
        <f aca="false">(Sens!$C$4256+Sens!$C$4257)/Sens!F4209</f>
        <v>455.988181763811</v>
      </c>
    </row>
    <row r="4259" customFormat="false" ht="17.15" hidden="false" customHeight="false" outlineLevel="0" collapsed="false">
      <c r="A4259" s="1" t="s">
        <v>1084</v>
      </c>
      <c r="B4259" s="0" t="s">
        <v>75</v>
      </c>
      <c r="C4259" s="5" t="n">
        <f aca="false">w_dcf*Sens!$C$4230+(1-w_dcf)*Sens!$C$4258</f>
        <v>409.820857785935</v>
      </c>
    </row>
    <row r="4260" customFormat="false" ht="17.15" hidden="false" customHeight="false" outlineLevel="0" collapsed="false">
      <c r="A4260" s="3" t="s">
        <v>1344</v>
      </c>
    </row>
    <row r="4261" customFormat="false" ht="15" hidden="false" customHeight="false" outlineLevel="0" collapsed="false">
      <c r="A4261" s="4" t="s">
        <v>43</v>
      </c>
      <c r="B4261" s="4" t="s">
        <v>65</v>
      </c>
      <c r="C4261" s="20" t="s">
        <v>788</v>
      </c>
      <c r="D4261" s="20" t="s">
        <v>789</v>
      </c>
      <c r="E4261" s="20" t="s">
        <v>790</v>
      </c>
      <c r="F4261" s="20" t="s">
        <v>791</v>
      </c>
      <c r="G4261" s="20" t="s">
        <v>792</v>
      </c>
      <c r="H4261" s="20" t="s">
        <v>793</v>
      </c>
      <c r="I4261" s="20" t="s">
        <v>794</v>
      </c>
      <c r="J4261" s="20" t="s">
        <v>795</v>
      </c>
      <c r="K4261" s="20" t="s">
        <v>796</v>
      </c>
      <c r="L4261" s="4" t="s">
        <v>47</v>
      </c>
    </row>
    <row r="4262" customFormat="false" ht="17.15" hidden="false" customHeight="false" outlineLevel="0" collapsed="false">
      <c r="A4262" s="1" t="s">
        <v>797</v>
      </c>
      <c r="B4262" s="1" t="s">
        <v>235</v>
      </c>
      <c r="C4262" s="28" t="n">
        <v>2024</v>
      </c>
      <c r="D4262" s="28" t="n">
        <v>2025</v>
      </c>
      <c r="E4262" s="28" t="n">
        <v>2026</v>
      </c>
      <c r="F4262" s="28" t="n">
        <v>2027</v>
      </c>
      <c r="G4262" s="28" t="n">
        <v>2028</v>
      </c>
      <c r="H4262" s="28" t="n">
        <v>2029</v>
      </c>
      <c r="I4262" s="28" t="n">
        <v>2030</v>
      </c>
      <c r="J4262" s="28" t="n">
        <v>2031</v>
      </c>
      <c r="K4262" s="28" t="n">
        <v>2032</v>
      </c>
    </row>
    <row r="4263" customFormat="false" ht="17.15" hidden="false" customHeight="false" outlineLevel="0" collapsed="false">
      <c r="A4263" s="1" t="s">
        <v>798</v>
      </c>
      <c r="B4263" s="0" t="s">
        <v>392</v>
      </c>
      <c r="F4263" s="29" t="n">
        <f aca="false">pace</f>
        <v>2527.2</v>
      </c>
      <c r="G4263" s="29" t="n">
        <f aca="false">pace</f>
        <v>2527.2</v>
      </c>
      <c r="H4263" s="29" t="n">
        <f aca="false">pace</f>
        <v>2527.2</v>
      </c>
      <c r="I4263" s="29" t="n">
        <f aca="false">pace+(g_tv*Sens!H4264-pace)*MIN(1,(Sens!I4262-pace_y0)/(pace_y1-pace_y0))</f>
        <v>1793.116</v>
      </c>
      <c r="J4263" s="29" t="n">
        <f aca="false">pace+(g_tv*Sens!H4264-pace)*MIN(1,(Sens!J4262-pace_y0)/(pace_y1-pace_y0))</f>
        <v>1059.032</v>
      </c>
      <c r="K4263" s="29" t="n">
        <f aca="false">pace+(g_tv*Sens!H4264-pace)*MIN(1,(Sens!K4262-pace_y0)/(pace_y1-pace_y0))</f>
        <v>324.948</v>
      </c>
      <c r="L4263" s="11" t="s">
        <v>799</v>
      </c>
    </row>
    <row r="4264" customFormat="false" ht="17.15" hidden="false" customHeight="false" outlineLevel="0" collapsed="false">
      <c r="A4264" s="1" t="s">
        <v>800</v>
      </c>
      <c r="B4264" s="0" t="s">
        <v>392</v>
      </c>
      <c r="C4264" s="29" t="n">
        <f aca="false">mw_ext_24</f>
        <v>640</v>
      </c>
      <c r="D4264" s="29" t="n">
        <f aca="false">mw_ext_25</f>
        <v>1630</v>
      </c>
      <c r="E4264" s="29" t="n">
        <f aca="false">mw_ext_26</f>
        <v>3250</v>
      </c>
      <c r="F4264" s="29" t="n">
        <f aca="false">Sens!E4264+Sens!F4263</f>
        <v>5777.2</v>
      </c>
      <c r="G4264" s="29" t="n">
        <f aca="false">Sens!F4264+Sens!G4263</f>
        <v>8304.4</v>
      </c>
      <c r="H4264" s="29" t="n">
        <f aca="false">Sens!G4264+Sens!H4263</f>
        <v>10831.6</v>
      </c>
      <c r="I4264" s="29" t="n">
        <f aca="false">Sens!H4264+Sens!I4263</f>
        <v>12624.716</v>
      </c>
      <c r="J4264" s="29" t="n">
        <f aca="false">Sens!I4264+Sens!J4263</f>
        <v>13683.748</v>
      </c>
      <c r="K4264" s="29" t="n">
        <f aca="false">Sens!J4264+Sens!K4263</f>
        <v>14008.696</v>
      </c>
      <c r="L4264" s="1" t="s">
        <v>801</v>
      </c>
    </row>
    <row r="4265" customFormat="false" ht="17.15" hidden="false" customHeight="false" outlineLevel="0" collapsed="false">
      <c r="A4265" s="1" t="s">
        <v>802</v>
      </c>
      <c r="B4265" s="0" t="s">
        <v>392</v>
      </c>
      <c r="C4265" s="29" t="n">
        <f aca="false">rent_ext_24</f>
        <v>150</v>
      </c>
      <c r="D4265" s="29" t="n">
        <f aca="false">rent_ext_25</f>
        <v>400</v>
      </c>
      <c r="E4265" s="29" t="n">
        <f aca="false">rent_ext_26</f>
        <v>550</v>
      </c>
      <c r="F4265" s="29" t="n">
        <f aca="false">rent_ext_f</f>
        <v>756</v>
      </c>
      <c r="G4265" s="29" t="n">
        <f aca="false">rent_ext_f</f>
        <v>756</v>
      </c>
      <c r="H4265" s="29" t="n">
        <f aca="false">rent_ext_f</f>
        <v>756</v>
      </c>
      <c r="I4265" s="29" t="n">
        <f aca="false">rent_ext_f</f>
        <v>756</v>
      </c>
      <c r="J4265" s="29" t="n">
        <f aca="false">rent_ext_f</f>
        <v>756</v>
      </c>
      <c r="K4265" s="29" t="n">
        <f aca="false">rent_ext_f</f>
        <v>756</v>
      </c>
      <c r="L4265" s="1" t="s">
        <v>803</v>
      </c>
    </row>
    <row r="4266" customFormat="false" ht="17.15" hidden="false" customHeight="false" outlineLevel="0" collapsed="false">
      <c r="A4266" s="1" t="s">
        <v>804</v>
      </c>
      <c r="B4266" s="0" t="s">
        <v>392</v>
      </c>
      <c r="C4266" s="29" t="n">
        <f aca="false">Sens!C4264-Sens!C4265</f>
        <v>490</v>
      </c>
      <c r="D4266" s="29" t="n">
        <f aca="false">Sens!D4264-Sens!D4265</f>
        <v>1230</v>
      </c>
      <c r="E4266" s="29" t="n">
        <f aca="false">Sens!E4264-Sens!E4265</f>
        <v>2700</v>
      </c>
      <c r="F4266" s="29" t="n">
        <f aca="false">Sens!F4264-Sens!F4265</f>
        <v>5021.2</v>
      </c>
      <c r="G4266" s="29" t="n">
        <f aca="false">Sens!G4264-Sens!G4265</f>
        <v>7548.4</v>
      </c>
      <c r="H4266" s="29" t="n">
        <f aca="false">Sens!H4264-Sens!H4265</f>
        <v>10075.6</v>
      </c>
      <c r="I4266" s="29" t="n">
        <f aca="false">Sens!I4264-Sens!I4265</f>
        <v>11868.716</v>
      </c>
      <c r="J4266" s="29" t="n">
        <f aca="false">Sens!J4264-Sens!J4265</f>
        <v>12927.748</v>
      </c>
      <c r="K4266" s="29" t="n">
        <f aca="false">Sens!K4264-Sens!K4265</f>
        <v>13252.696</v>
      </c>
    </row>
    <row r="4267" customFormat="false" ht="17.15" hidden="false" customHeight="false" outlineLevel="0" collapsed="false">
      <c r="A4267" s="1" t="s">
        <v>805</v>
      </c>
      <c r="B4267" s="0" t="s">
        <v>392</v>
      </c>
      <c r="C4267" s="29" t="n">
        <f aca="false">Sens!C4266/ext_sh</f>
        <v>816.666666666667</v>
      </c>
      <c r="D4267" s="29" t="n">
        <f aca="false">Sens!D4266/ext_sh</f>
        <v>2050</v>
      </c>
      <c r="E4267" s="29" t="n">
        <f aca="false">Sens!E4266/ext_sh</f>
        <v>4500</v>
      </c>
      <c r="F4267" s="29" t="n">
        <f aca="false">Sens!F4266/ext_sh</f>
        <v>8368.66666666667</v>
      </c>
      <c r="G4267" s="29" t="n">
        <f aca="false">Sens!G4266/ext_sh</f>
        <v>12580.6666666667</v>
      </c>
      <c r="H4267" s="29" t="n">
        <f aca="false">Sens!H4266/ext_sh</f>
        <v>16792.6666666667</v>
      </c>
      <c r="I4267" s="29" t="n">
        <f aca="false">Sens!I4266/ext_sh</f>
        <v>19781.1933333333</v>
      </c>
      <c r="J4267" s="29" t="n">
        <f aca="false">Sens!J4266/ext_sh</f>
        <v>21546.2466666667</v>
      </c>
      <c r="K4267" s="29" t="n">
        <f aca="false">Sens!K4266/ext_sh</f>
        <v>22087.8266666667</v>
      </c>
      <c r="L4267" s="1" t="s">
        <v>806</v>
      </c>
    </row>
    <row r="4268" customFormat="false" ht="17.15" hidden="false" customHeight="false" outlineLevel="0" collapsed="false">
      <c r="A4268" s="1" t="s">
        <v>807</v>
      </c>
      <c r="B4268" s="0" t="s">
        <v>392</v>
      </c>
      <c r="C4268" s="29" t="n">
        <f aca="false">Sens!C4267-Sens!C4266</f>
        <v>326.666666666667</v>
      </c>
      <c r="D4268" s="29" t="n">
        <f aca="false">Sens!D4267-Sens!D4266</f>
        <v>820</v>
      </c>
      <c r="E4268" s="29" t="n">
        <f aca="false">Sens!E4267-Sens!E4266</f>
        <v>1800</v>
      </c>
      <c r="F4268" s="29" t="n">
        <f aca="false">Sens!F4267-Sens!F4266</f>
        <v>3347.46666666667</v>
      </c>
      <c r="G4268" s="29" t="n">
        <f aca="false">Sens!G4267-Sens!G4266</f>
        <v>5032.26666666667</v>
      </c>
      <c r="H4268" s="29" t="n">
        <f aca="false">Sens!H4267-Sens!H4266</f>
        <v>6717.06666666667</v>
      </c>
      <c r="I4268" s="29" t="n">
        <f aca="false">Sens!I4267-Sens!I4266</f>
        <v>7912.47733333333</v>
      </c>
      <c r="J4268" s="29" t="n">
        <f aca="false">Sens!J4267-Sens!J4266</f>
        <v>8618.49866666667</v>
      </c>
      <c r="K4268" s="29" t="n">
        <f aca="false">Sens!K4267-Sens!K4266</f>
        <v>8835.13066666667</v>
      </c>
    </row>
    <row r="4269" customFormat="false" ht="17.15" hidden="false" customHeight="false" outlineLevel="0" collapsed="false">
      <c r="A4269" s="1" t="s">
        <v>808</v>
      </c>
      <c r="B4269" s="0" t="s">
        <v>392</v>
      </c>
      <c r="C4269" s="29" t="n">
        <f aca="false">Sens!C4267</f>
        <v>816.666666666667</v>
      </c>
      <c r="D4269" s="29" t="n">
        <f aca="false">Sens!D4267-Sens!C4267</f>
        <v>1233.33333333333</v>
      </c>
      <c r="E4269" s="29" t="n">
        <f aca="false">Sens!E4267-Sens!D4267</f>
        <v>2450</v>
      </c>
      <c r="F4269" s="29" t="n">
        <f aca="false">Sens!F4267-Sens!E4267</f>
        <v>3868.66666666667</v>
      </c>
      <c r="G4269" s="29" t="n">
        <f aca="false">Sens!G4267-Sens!F4267</f>
        <v>4212</v>
      </c>
      <c r="H4269" s="29" t="n">
        <f aca="false">Sens!H4267-Sens!G4267</f>
        <v>4212</v>
      </c>
      <c r="I4269" s="29" t="n">
        <f aca="false">Sens!I4267-Sens!H4267</f>
        <v>2988.52666666667</v>
      </c>
      <c r="J4269" s="29" t="n">
        <f aca="false">Sens!J4267-Sens!I4267</f>
        <v>1765.05333333333</v>
      </c>
      <c r="K4269" s="29" t="n">
        <f aca="false">Sens!K4267-Sens!J4267</f>
        <v>541.580000000002</v>
      </c>
    </row>
    <row r="4270" customFormat="false" ht="17.15" hidden="false" customHeight="false" outlineLevel="0" collapsed="false">
      <c r="A4270" s="1" t="s">
        <v>809</v>
      </c>
      <c r="B4270" s="0" t="s">
        <v>392</v>
      </c>
      <c r="D4270" s="29" t="n">
        <f aca="false">Sens!D4264-Sens!C4264</f>
        <v>990</v>
      </c>
      <c r="E4270" s="29" t="n">
        <f aca="false">Sens!E4264-Sens!D4264</f>
        <v>1620</v>
      </c>
      <c r="F4270" s="29" t="n">
        <f aca="false">Sens!F4264-Sens!E4264</f>
        <v>2527.2</v>
      </c>
      <c r="G4270" s="29" t="n">
        <f aca="false">Sens!G4264-Sens!F4264</f>
        <v>2527.2</v>
      </c>
      <c r="H4270" s="29" t="n">
        <f aca="false">Sens!H4264-Sens!G4264</f>
        <v>2527.2</v>
      </c>
      <c r="I4270" s="29" t="n">
        <f aca="false">Sens!I4264-Sens!H4264</f>
        <v>1793.116</v>
      </c>
      <c r="J4270" s="29" t="n">
        <f aca="false">Sens!J4264-Sens!I4264</f>
        <v>1059.032</v>
      </c>
      <c r="K4270" s="29" t="n">
        <f aca="false">Sens!K4264-Sens!J4264</f>
        <v>324.948</v>
      </c>
    </row>
    <row r="4271" customFormat="false" ht="17.15" hidden="false" customHeight="false" outlineLevel="0" collapsed="false">
      <c r="A4271" s="1" t="s">
        <v>810</v>
      </c>
      <c r="B4271" s="0" t="s">
        <v>392</v>
      </c>
      <c r="F4271" s="29" t="n">
        <f aca="false">Sens!F4288*ext_sh</f>
        <v>0</v>
      </c>
      <c r="G4271" s="29" t="n">
        <f aca="false">Sens!G4288*ext_sh</f>
        <v>0</v>
      </c>
      <c r="H4271" s="29" t="n">
        <f aca="false">Sens!H4288*ext_sh</f>
        <v>490</v>
      </c>
      <c r="I4271" s="29" t="n">
        <f aca="false">Sens!I4288*ext_sh</f>
        <v>740</v>
      </c>
      <c r="J4271" s="29" t="n">
        <f aca="false">Sens!J4288*ext_sh</f>
        <v>1470</v>
      </c>
      <c r="K4271" s="29" t="n">
        <f aca="false">Sens!K4288*ext_sh</f>
        <v>2321.2</v>
      </c>
      <c r="L4271" s="1" t="s">
        <v>811</v>
      </c>
    </row>
    <row r="4272" customFormat="false" ht="17.15" hidden="false" customHeight="false" outlineLevel="0" collapsed="false">
      <c r="A4272" s="1" t="s">
        <v>812</v>
      </c>
      <c r="B4272" s="0" t="s">
        <v>392</v>
      </c>
      <c r="C4272" s="29" t="n">
        <f aca="false">mix_h*Sens!C4264</f>
        <v>128</v>
      </c>
      <c r="D4272" s="29" t="n">
        <f aca="false">mix_h*Sens!D4264</f>
        <v>326</v>
      </c>
      <c r="E4272" s="29" t="n">
        <f aca="false">mix_h*Sens!E4264</f>
        <v>650</v>
      </c>
      <c r="F4272" s="29" t="n">
        <f aca="false">Sens!E4272-Sens!F4271*mix_h</f>
        <v>650</v>
      </c>
      <c r="G4272" s="29" t="n">
        <f aca="false">Sens!F4272-Sens!G4271*mix_h</f>
        <v>650</v>
      </c>
      <c r="H4272" s="29" t="n">
        <f aca="false">Sens!G4272-Sens!H4271*mix_h</f>
        <v>552</v>
      </c>
      <c r="I4272" s="29" t="n">
        <f aca="false">Sens!H4272-Sens!I4271*mix_h</f>
        <v>404</v>
      </c>
      <c r="J4272" s="29" t="n">
        <f aca="false">Sens!I4272-Sens!J4271*mix_h</f>
        <v>110</v>
      </c>
      <c r="K4272" s="29" t="n">
        <f aca="false">Sens!J4272-Sens!K4271*mix_h</f>
        <v>-354.24</v>
      </c>
    </row>
    <row r="4273" customFormat="false" ht="17.15" hidden="false" customHeight="false" outlineLevel="0" collapsed="false">
      <c r="A4273" s="1" t="s">
        <v>813</v>
      </c>
      <c r="B4273" s="0" t="s">
        <v>392</v>
      </c>
      <c r="C4273" s="29" t="n">
        <f aca="false">mix_g2*Sens!C4264</f>
        <v>288</v>
      </c>
      <c r="D4273" s="29" t="n">
        <f aca="false">mix_g2*Sens!D4264</f>
        <v>733.5</v>
      </c>
      <c r="E4273" s="29" t="n">
        <f aca="false">mix_g2*Sens!E4264</f>
        <v>1462.5</v>
      </c>
      <c r="F4273" s="29" t="n">
        <f aca="false">Sens!E4273-Sens!F4271*mix_g2</f>
        <v>1462.5</v>
      </c>
      <c r="G4273" s="29" t="n">
        <f aca="false">Sens!F4273-Sens!G4271*mix_g2</f>
        <v>1462.5</v>
      </c>
      <c r="H4273" s="29" t="n">
        <f aca="false">Sens!G4273-Sens!H4271*mix_g2</f>
        <v>1242</v>
      </c>
      <c r="I4273" s="29" t="n">
        <f aca="false">Sens!H4273-Sens!I4271*mix_g2</f>
        <v>909</v>
      </c>
      <c r="J4273" s="29" t="n">
        <f aca="false">Sens!I4273-Sens!J4271*mix_g2</f>
        <v>247.5</v>
      </c>
      <c r="K4273" s="29" t="n">
        <f aca="false">Sens!J4273-Sens!K4271*mix_g2</f>
        <v>-797.04</v>
      </c>
    </row>
    <row r="4274" customFormat="false" ht="17.15" hidden="false" customHeight="false" outlineLevel="0" collapsed="false">
      <c r="A4274" s="1" t="s">
        <v>814</v>
      </c>
      <c r="B4274" s="0" t="s">
        <v>392</v>
      </c>
      <c r="C4274" s="29" t="n">
        <f aca="false">mix_g3*Sens!C4264</f>
        <v>224</v>
      </c>
      <c r="D4274" s="29" t="n">
        <f aca="false">mix_g3*Sens!D4264</f>
        <v>570.5</v>
      </c>
      <c r="E4274" s="29" t="n">
        <f aca="false">mix_g3*Sens!E4264</f>
        <v>1137.5</v>
      </c>
      <c r="F4274" s="29" t="n">
        <f aca="false">Sens!E4274+(Sens!F4270+Sens!F4271)*a_g3_27-Sens!F4271*mix_g3</f>
        <v>2906.54</v>
      </c>
      <c r="G4274" s="29" t="n">
        <f aca="false">Sens!F4274+(Sens!G4270+Sens!G4271)*a_g3_28-Sens!G4271*mix_g3</f>
        <v>3664.7</v>
      </c>
      <c r="H4274" s="29" t="n">
        <f aca="false">Sens!G4274+(Sens!H4270+Sens!H4271)*a_g3_29-Sens!H4271*mix_g3</f>
        <v>3794.92</v>
      </c>
      <c r="I4274" s="29" t="n">
        <f aca="false">Sens!H4274+(Sens!I4270+Sens!I4271)*a_g3_29-Sens!I4271*mix_g3</f>
        <v>3789.2316</v>
      </c>
      <c r="J4274" s="29" t="n">
        <f aca="false">Sens!I4274+(Sens!J4270+Sens!J4271)*a_g3_29-Sens!J4271*mix_g3</f>
        <v>3527.6348</v>
      </c>
      <c r="K4274" s="29" t="n">
        <f aca="false">Sens!J4274+(Sens!K4270+Sens!K4271)*a_g3_29-Sens!K4271*mix_g3</f>
        <v>2979.8296</v>
      </c>
    </row>
    <row r="4275" customFormat="false" ht="17.15" hidden="false" customHeight="false" outlineLevel="0" collapsed="false">
      <c r="A4275" s="1" t="s">
        <v>815</v>
      </c>
      <c r="B4275" s="0" t="s">
        <v>392</v>
      </c>
      <c r="C4275" s="29" t="n">
        <v>0</v>
      </c>
      <c r="D4275" s="29" t="n">
        <v>0</v>
      </c>
      <c r="E4275" s="29" t="n">
        <v>0</v>
      </c>
      <c r="F4275" s="29" t="n">
        <f aca="false">Sens!E4275+(Sens!F4270+Sens!F4271)*(1-a_g3_27)</f>
        <v>758.16</v>
      </c>
      <c r="G4275" s="29" t="n">
        <f aca="false">Sens!F4275+(Sens!G4270+Sens!G4271)*(1-a_g3_28)</f>
        <v>2527.2</v>
      </c>
      <c r="H4275" s="29" t="n">
        <f aca="false">Sens!G4275+(Sens!H4270+Sens!H4271)*(1-a_g3_29)</f>
        <v>5242.68</v>
      </c>
      <c r="I4275" s="29" t="n">
        <f aca="false">Sens!H4275+(Sens!I4270+Sens!I4271)*(1-a_g3_29)</f>
        <v>7522.4844</v>
      </c>
      <c r="J4275" s="29" t="n">
        <f aca="false">Sens!I4275+(Sens!J4270+Sens!J4271)*(1-a_g3_29)</f>
        <v>9798.6132</v>
      </c>
      <c r="K4275" s="29" t="n">
        <f aca="false">Sens!J4275+(Sens!K4270+Sens!K4271)*(1-a_g3_29)</f>
        <v>12180.1464</v>
      </c>
    </row>
    <row r="4276" customFormat="false" ht="17.15" hidden="false" customHeight="false" outlineLevel="0" collapsed="false">
      <c r="A4276" s="1" t="s">
        <v>816</v>
      </c>
      <c r="B4276" s="0" t="s">
        <v>339</v>
      </c>
      <c r="C4276" s="14" t="n">
        <f aca="false">(Sens!C4272*tk_hold_h100+Sens!C4273*tk_hold_gb200+Sens!C4274*tk_hold_gb300+Sens!C4275*tk_hold_vr200)/Sens!C4264</f>
        <v>9.7235358126469</v>
      </c>
      <c r="D4276" s="14" t="n">
        <f aca="false">(Sens!D4272*tk_hold_h100+Sens!D4273*tk_hold_gb200+Sens!D4274*tk_hold_gb300+Sens!D4275*tk_hold_vr200)/Sens!D4264</f>
        <v>9.7235358126469</v>
      </c>
      <c r="E4276" s="14" t="n">
        <f aca="false">(Sens!E4272*tk_hold_h100+Sens!E4273*tk_hold_gb200+Sens!E4274*tk_hold_gb300+Sens!E4275*tk_hold_vr200)/Sens!E4264</f>
        <v>9.7235358126469</v>
      </c>
      <c r="F4276" s="14" t="n">
        <f aca="false">(Sens!F4272*tk_hold_h100+Sens!F4273*tk_hold_gb200+Sens!F4274*tk_hold_gb300+Sens!F4275*tk_hold_vr200)/Sens!F4264</f>
        <v>10.4079573161931</v>
      </c>
      <c r="G4276" s="14" t="n">
        <f aca="false">(Sens!G4272*tk_hold_h100+Sens!G4273*tk_hold_gb200+Sens!G4274*tk_hold_gb300+Sens!G4275*tk_hold_vr200)/Sens!G4264</f>
        <v>10.8388131109316</v>
      </c>
      <c r="H4276" s="14" t="n">
        <f aca="false">(Sens!H4272*tk_hold_h100+Sens!H4273*tk_hold_gb200+Sens!H4274*tk_hold_gb300+Sens!H4275*tk_hold_vr200)/Sens!H4264</f>
        <v>11.2382267607101</v>
      </c>
      <c r="I4276" s="14" t="n">
        <f aca="false">(Sens!I4272*tk_hold_h100+Sens!I4273*tk_hold_gb200+Sens!I4274*tk_hold_gb300+Sens!I4275*tk_hold_vr200)/Sens!I4264</f>
        <v>11.4982307132671</v>
      </c>
      <c r="J4276" s="14" t="n">
        <f aca="false">(Sens!J4272*tk_hold_h100+Sens!J4273*tk_hold_gb200+Sens!J4274*tk_hold_gb300+Sens!J4275*tk_hold_vr200)/Sens!J4264</f>
        <v>11.7985404612049</v>
      </c>
      <c r="K4276" s="14" t="n">
        <f aca="false">(Sens!K4272*tk_hold_h100+Sens!K4273*tk_hold_gb200+Sens!K4274*tk_hold_gb300+Sens!K4275*tk_hold_vr200)/Sens!K4264</f>
        <v>12.1977130250889</v>
      </c>
    </row>
    <row r="4277" customFormat="false" ht="17.15" hidden="false" customHeight="false" outlineLevel="0" collapsed="false">
      <c r="A4277" s="0" t="s">
        <v>817</v>
      </c>
      <c r="B4277" s="0" t="s">
        <v>185</v>
      </c>
      <c r="C4277" s="14" t="n">
        <f aca="false">k_B</f>
        <v>1.17213932619116</v>
      </c>
      <c r="D4277" s="14" t="n">
        <f aca="false">k_B</f>
        <v>1.17213932619116</v>
      </c>
      <c r="E4277" s="14" t="n">
        <f aca="false">k_B</f>
        <v>1.17213932619116</v>
      </c>
      <c r="F4277" s="14" t="n">
        <f aca="false">(k_B+((ls_B*k_long+(1-ls_B)*k_spot)-k_B)*MIN(1,(Sens!F4262-base_fy)/k_ramp))</f>
        <v>1.17213932619116</v>
      </c>
      <c r="G4277" s="14" t="n">
        <f aca="false">(k_B+((ls_B*k_long+(1-ls_B)*k_spot)-k_B)*MIN(1,(Sens!G4262-base_fy)/k_ramp))</f>
        <v>1.17213932619116</v>
      </c>
      <c r="H4277" s="14" t="n">
        <f aca="false">(k_B+((ls_B*k_long+(1-ls_B)*k_spot)-k_B)*MIN(1,(Sens!H4262-base_fy)/k_ramp))</f>
        <v>1.17213932619116</v>
      </c>
      <c r="I4277" s="14" t="n">
        <f aca="false">(k_B+((ls_B*k_long+(1-ls_B)*k_spot)-k_B)*MIN(1,(Sens!I4262-base_fy)/k_ramp))</f>
        <v>1.17213932619116</v>
      </c>
      <c r="J4277" s="14" t="n">
        <f aca="false">(k_B+((ls_B*k_long+(1-ls_B)*k_spot)-k_B)*MIN(1,(Sens!J4262-base_fy)/k_ramp))</f>
        <v>1.17213932619116</v>
      </c>
      <c r="K4277" s="14" t="n">
        <f aca="false">(k_B+((ls_B*k_long+(1-ls_B)*k_spot)-k_B)*MIN(1,(Sens!K4262-base_fy)/k_ramp))</f>
        <v>1.17213932619116</v>
      </c>
      <c r="L4277" s="1" t="s">
        <v>818</v>
      </c>
    </row>
    <row r="4278" customFormat="false" ht="17.15" hidden="false" customHeight="false" outlineLevel="0" collapsed="false">
      <c r="A4278" s="1" t="s">
        <v>819</v>
      </c>
      <c r="B4278" s="0" t="s">
        <v>339</v>
      </c>
      <c r="C4278" s="14" t="n">
        <f aca="false">Sens!C4276*Sens!C4277*chip_f</f>
        <v>11.3973387156315</v>
      </c>
      <c r="D4278" s="14" t="n">
        <f aca="false">Sens!D4276*Sens!D4277*chip_f</f>
        <v>11.3973387156315</v>
      </c>
      <c r="E4278" s="14" t="n">
        <f aca="false">Sens!E4276*Sens!E4277*chip_f</f>
        <v>11.3973387156315</v>
      </c>
      <c r="F4278" s="14" t="n">
        <f aca="false">Sens!F4276*Sens!F4277*chip_f</f>
        <v>12.1995760756289</v>
      </c>
      <c r="G4278" s="14" t="n">
        <f aca="false">Sens!G4276*Sens!G4277*chip_f</f>
        <v>12.7045990965592</v>
      </c>
      <c r="H4278" s="14" t="n">
        <f aca="false">Sens!H4276*Sens!H4277*chip_f</f>
        <v>13.1727675428822</v>
      </c>
      <c r="I4278" s="14" t="n">
        <f aca="false">Sens!I4276*Sens!I4277*chip_f</f>
        <v>13.4775284006393</v>
      </c>
      <c r="J4278" s="14" t="n">
        <f aca="false">Sens!J4276*Sens!J4277*chip_f</f>
        <v>13.8295332662357</v>
      </c>
      <c r="K4278" s="14" t="n">
        <f aca="false">Sens!K4276*Sens!K4277*chip_f</f>
        <v>14.2974191263008</v>
      </c>
      <c r="L4278" s="1" t="s">
        <v>820</v>
      </c>
    </row>
    <row r="4279" customFormat="false" ht="17.15" hidden="false" customHeight="false" outlineLevel="0" collapsed="false">
      <c r="A4279" s="0" t="s">
        <v>821</v>
      </c>
      <c r="B4279" s="0" t="s">
        <v>98</v>
      </c>
      <c r="D4279" s="6" t="n">
        <f aca="false">(Sens!C4264+Sens!D4264)/2*Sens!D4278/1000</f>
        <v>12.9359794422418</v>
      </c>
      <c r="E4279" s="6" t="n">
        <f aca="false">(Sens!D4264+Sens!E4264)/2*Sens!E4278/1000</f>
        <v>27.8095064661409</v>
      </c>
      <c r="F4279" s="6" t="n">
        <f aca="false">(Sens!E4264+Sens!F4264)/2*Sens!F4278/1000</f>
        <v>55.0640065749585</v>
      </c>
      <c r="G4279" s="6" t="n">
        <f aca="false">(Sens!F4264+Sens!G4264)/2*Sens!G4278/1000</f>
        <v>89.4505413190538</v>
      </c>
      <c r="H4279" s="6" t="n">
        <f aca="false">(Sens!G4264+Sens!H4264)/2*Sens!H4278/1000</f>
        <v>126.037039850297</v>
      </c>
      <c r="I4279" s="6" t="n">
        <f aca="false">(Sens!H4264+Sens!I4264)/2*Sens!I4278/1000</f>
        <v>158.066582532185</v>
      </c>
      <c r="J4279" s="6" t="n">
        <f aca="false">(Sens!I4264+Sens!J4264)/2*Sens!J4278/1000</f>
        <v>181.916889035783</v>
      </c>
      <c r="K4279" s="6" t="n">
        <f aca="false">(Sens!J4264+Sens!K4264)/2*Sens!K4278/1000</f>
        <v>197.965239249806</v>
      </c>
      <c r="L4279" s="11" t="s">
        <v>822</v>
      </c>
    </row>
    <row r="4280" customFormat="false" ht="17.15" hidden="false" customHeight="false" outlineLevel="0" collapsed="false">
      <c r="A4280" s="1" t="s">
        <v>823</v>
      </c>
      <c r="B4280" s="0" t="s">
        <v>339</v>
      </c>
      <c r="C4280" s="14" t="n">
        <f aca="false">(Sens!C4272*tk_opex_h100+Sens!C4273*tk_opex_gb200+Sens!C4274*tk_opex_gb300+Sens!C4275*tk_opex_vr200)/Sens!C4264</f>
        <v>1.88636041306092</v>
      </c>
      <c r="D4280" s="14" t="n">
        <f aca="false">(Sens!D4272*tk_opex_h100+Sens!D4273*tk_opex_gb200+Sens!D4274*tk_opex_gb300+Sens!D4275*tk_opex_vr200)/Sens!D4264</f>
        <v>1.88636041306092</v>
      </c>
      <c r="E4280" s="14" t="n">
        <f aca="false">(Sens!E4272*tk_opex_h100+Sens!E4273*tk_opex_gb200+Sens!E4274*tk_opex_gb300+Sens!E4275*tk_opex_vr200)/Sens!E4264</f>
        <v>1.88636041306092</v>
      </c>
      <c r="F4280" s="14" t="n">
        <f aca="false">(Sens!F4272*tk_opex_h100+Sens!F4273*tk_opex_gb200+Sens!F4274*tk_opex_gb300+Sens!F4275*tk_opex_vr200)/Sens!F4264</f>
        <v>1.9430236476499</v>
      </c>
      <c r="G4280" s="14" t="n">
        <f aca="false">(Sens!G4272*tk_opex_h100+Sens!G4273*tk_opex_gb200+Sens!G4274*tk_opex_gb300+Sens!G4275*tk_opex_vr200)/Sens!G4264</f>
        <v>1.9786941852423</v>
      </c>
      <c r="H4280" s="14" t="n">
        <f aca="false">(Sens!H4272*tk_opex_h100+Sens!H4273*tk_opex_gb200+Sens!H4274*tk_opex_gb300+Sens!H4275*tk_opex_vr200)/Sens!H4264</f>
        <v>2.01176162864988</v>
      </c>
      <c r="I4280" s="14" t="n">
        <f aca="false">(Sens!I4272*tk_opex_h100+Sens!I4273*tk_opex_gb200+Sens!I4274*tk_opex_gb300+Sens!I4275*tk_opex_vr200)/Sens!I4264</f>
        <v>2.03328734764244</v>
      </c>
      <c r="J4280" s="14" t="n">
        <f aca="false">(Sens!J4272*tk_opex_h100+Sens!J4273*tk_opex_gb200+Sens!J4274*tk_opex_gb300+Sens!J4275*tk_opex_vr200)/Sens!J4264</f>
        <v>2.05814998215727</v>
      </c>
      <c r="K4280" s="14" t="n">
        <f aca="false">(Sens!K4272*tk_opex_h100+Sens!K4273*tk_opex_gb200+Sens!K4274*tk_opex_gb300+Sens!K4275*tk_opex_vr200)/Sens!K4264</f>
        <v>2.09119746607128</v>
      </c>
    </row>
    <row r="4281" customFormat="false" ht="17.15" hidden="false" customHeight="false" outlineLevel="0" collapsed="false">
      <c r="A4281" s="0" t="s">
        <v>824</v>
      </c>
      <c r="B4281" s="0" t="s">
        <v>98</v>
      </c>
      <c r="D4281" s="6" t="n">
        <f aca="false">(Sens!C4267+Sens!D4267)/2*Sens!D4280/1000</f>
        <v>2.70378325872065</v>
      </c>
      <c r="E4281" s="6" t="n">
        <f aca="false">(Sens!D4267+Sens!E4267)/2*Sens!E4280/1000</f>
        <v>6.17783035277451</v>
      </c>
      <c r="F4281" s="6" t="n">
        <f aca="false">(Sens!E4267+Sens!F4267)/2*Sens!F4280/1000</f>
        <v>12.5020618235287</v>
      </c>
      <c r="G4281" s="6" t="n">
        <f aca="false">(Sens!F4267+Sens!G4267)/2*Sens!G4280/1000</f>
        <v>20.7261620256847</v>
      </c>
      <c r="H4281" s="6" t="n">
        <f aca="false">(Sens!G4267+Sens!H4267)/2*Sens!H4280/1000</f>
        <v>29.5460724527713</v>
      </c>
      <c r="I4281" s="6" t="n">
        <f aca="false">(Sens!H4267+Sens!I4267)/2*Sens!I4280/1000</f>
        <v>37.182583396223</v>
      </c>
      <c r="J4281" s="6" t="n">
        <f aca="false">(Sens!I4267+Sens!J4267)/2*Sens!J4280/1000</f>
        <v>42.5290349493028</v>
      </c>
      <c r="K4281" s="6" t="n">
        <f aca="false">(Sens!J4267+Sens!K4267)/2*Sens!K4280/1000</f>
        <v>45.6237317945176</v>
      </c>
    </row>
    <row r="4282" customFormat="false" ht="17.15" hidden="false" customHeight="false" outlineLevel="0" collapsed="false">
      <c r="A4282" s="0" t="s">
        <v>825</v>
      </c>
      <c r="B4282" s="0" t="s">
        <v>98</v>
      </c>
      <c r="D4282" s="6" t="n">
        <f aca="false">(Sens!C4265+Sens!D4265)/2*rent_mw/1000</f>
        <v>2.44475</v>
      </c>
      <c r="E4282" s="6" t="n">
        <f aca="false">(Sens!D4265+Sens!E4265)/2*rent_mw/1000</f>
        <v>4.22275</v>
      </c>
      <c r="F4282" s="6" t="n">
        <f aca="false">(Sens!E4265+Sens!F4265)/2*rent_mw/1000</f>
        <v>5.80517</v>
      </c>
      <c r="G4282" s="6" t="n">
        <f aca="false">(Sens!F4265+Sens!G4265)/2*rent_mw/1000</f>
        <v>6.72084</v>
      </c>
      <c r="H4282" s="6" t="n">
        <f aca="false">(Sens!G4265+Sens!H4265)/2*rent_mw/1000</f>
        <v>6.72084</v>
      </c>
      <c r="I4282" s="6" t="n">
        <f aca="false">(Sens!H4265+Sens!I4265)/2*rent_mw/1000</f>
        <v>6.72084</v>
      </c>
      <c r="J4282" s="6" t="n">
        <f aca="false">(Sens!I4265+Sens!J4265)/2*rent_mw/1000</f>
        <v>6.72084</v>
      </c>
      <c r="K4282" s="6" t="n">
        <f aca="false">(Sens!J4265+Sens!K4265)/2*rent_mw/1000</f>
        <v>6.72084</v>
      </c>
    </row>
    <row r="4283" customFormat="false" ht="17.15" hidden="false" customHeight="false" outlineLevel="0" collapsed="false">
      <c r="A4283" s="0" t="s">
        <v>826</v>
      </c>
      <c r="B4283" s="0" t="s">
        <v>98</v>
      </c>
      <c r="D4283" s="6" t="n">
        <f aca="false">(Sens!C4267+Sens!D4267)/2*(1-self_build)*fac_rent/1000</f>
        <v>0.853242375631075</v>
      </c>
      <c r="E4283" s="6" t="n">
        <f aca="false">(Sens!D4267+Sens!E4267)/2*(1-self_build)*fac_rent/1000</f>
        <v>1.94955961408728</v>
      </c>
      <c r="F4283" s="6" t="n">
        <f aca="false">(Sens!E4267+Sens!F4267)/2*(1-self_build)*fac_rent/1000</f>
        <v>3.83026455274573</v>
      </c>
      <c r="G4283" s="6" t="n">
        <f aca="false">(Sens!F4267+Sens!G4267)/2*(1-self_build)*fac_rent/1000</f>
        <v>6.23541590972812</v>
      </c>
      <c r="H4283" s="6" t="n">
        <f aca="false">(Sens!G4267+Sens!H4267)/2*(1-self_build)*fac_rent/1000</f>
        <v>8.74275792332679</v>
      </c>
      <c r="I4283" s="6" t="n">
        <f aca="false">(Sens!H4267+Sens!I4267)/2*(1-self_build)*fac_rent/1000</f>
        <v>10.8859420438599</v>
      </c>
      <c r="J4283" s="6" t="n">
        <f aca="false">(Sens!I4267+Sens!J4267)/2*(1-self_build)*fac_rent/1000</f>
        <v>12.3008103782619</v>
      </c>
      <c r="K4283" s="6" t="n">
        <f aca="false">(Sens!J4267+Sens!K4267)/2*(1-self_build)*fac_rent/1000</f>
        <v>12.9873629265328</v>
      </c>
      <c r="L4283" s="11" t="s">
        <v>827</v>
      </c>
    </row>
    <row r="4284" customFormat="false" ht="17.15" hidden="false" customHeight="false" outlineLevel="0" collapsed="false">
      <c r="A4284" s="1" t="s">
        <v>828</v>
      </c>
      <c r="B4284" s="0" t="s">
        <v>129</v>
      </c>
      <c r="D4284" s="7" t="n">
        <f aca="false">(Sens!C4266+Sens!D4266)/(Sens!C4267+Sens!D4267)</f>
        <v>0.6</v>
      </c>
      <c r="E4284" s="7" t="n">
        <f aca="false">(Sens!D4266+Sens!E4266)/(Sens!D4267+Sens!E4267)</f>
        <v>0.6</v>
      </c>
      <c r="F4284" s="7" t="n">
        <f aca="false">(Sens!E4266+Sens!F4266)/(Sens!E4267+Sens!F4267)</f>
        <v>0.6</v>
      </c>
      <c r="G4284" s="7" t="n">
        <f aca="false">(Sens!F4266+Sens!G4266)/(Sens!F4267+Sens!G4267)</f>
        <v>0.6</v>
      </c>
      <c r="H4284" s="7" t="n">
        <f aca="false">(Sens!G4266+Sens!H4266)/(Sens!G4267+Sens!H4267)</f>
        <v>0.6</v>
      </c>
      <c r="I4284" s="7" t="n">
        <f aca="false">(Sens!H4266+Sens!I4266)/(Sens!H4267+Sens!I4267)</f>
        <v>0.6</v>
      </c>
      <c r="J4284" s="7" t="n">
        <f aca="false">(Sens!I4266+Sens!J4266)/(Sens!I4267+Sens!J4267)</f>
        <v>0.6</v>
      </c>
      <c r="K4284" s="7" t="n">
        <f aca="false">(Sens!J4266+Sens!K4266)/(Sens!J4267+Sens!K4267)</f>
        <v>0.6</v>
      </c>
    </row>
    <row r="4285" customFormat="false" ht="17.15" hidden="false" customHeight="false" outlineLevel="0" collapsed="false">
      <c r="A4285" s="0" t="s">
        <v>829</v>
      </c>
      <c r="B4285" s="0" t="s">
        <v>98</v>
      </c>
      <c r="D4285" s="6" t="n">
        <f aca="false">Sens!D4279-Sens!D4284*(Sens!D4281+Sens!D4283)-Sens!D4282</f>
        <v>8.35701406163072</v>
      </c>
      <c r="E4285" s="6" t="n">
        <f aca="false">Sens!E4279-Sens!E4284*(Sens!E4281+Sens!E4283)-Sens!E4282</f>
        <v>18.7103224860238</v>
      </c>
      <c r="F4285" s="6" t="n">
        <f aca="false">Sens!F4279-Sens!F4284*(Sens!F4281+Sens!F4283)-Sens!F4282</f>
        <v>39.4594407491938</v>
      </c>
      <c r="G4285" s="6" t="n">
        <f aca="false">Sens!G4279-Sens!G4284*(Sens!G4281+Sens!G4283)-Sens!G4282</f>
        <v>66.5527545578061</v>
      </c>
      <c r="H4285" s="6" t="n">
        <f aca="false">Sens!H4279-Sens!H4284*(Sens!H4281+Sens!H4283)-Sens!H4282</f>
        <v>96.3429016246377</v>
      </c>
      <c r="I4285" s="6" t="n">
        <f aca="false">Sens!I4279-Sens!I4284*(Sens!I4281+Sens!I4283)-Sens!I4282</f>
        <v>122.504627268136</v>
      </c>
      <c r="J4285" s="6" t="n">
        <f aca="false">Sens!J4279-Sens!J4284*(Sens!J4281+Sens!J4283)-Sens!J4282</f>
        <v>142.298141839244</v>
      </c>
      <c r="K4285" s="6" t="n">
        <f aca="false">Sens!K4279-Sens!K4284*(Sens!K4281+Sens!K4283)-Sens!K4282</f>
        <v>156.077742417176</v>
      </c>
    </row>
    <row r="4286" customFormat="false" ht="17.15" hidden="false" customHeight="false" outlineLevel="0" collapsed="false">
      <c r="A4286" s="1" t="s">
        <v>830</v>
      </c>
      <c r="B4286" s="0" t="s">
        <v>98</v>
      </c>
      <c r="D4286" s="6" t="n">
        <f aca="false">(1-Sens!D4284)*(Sens!D4281+Sens!D4283)</f>
        <v>1.42281025374069</v>
      </c>
      <c r="E4286" s="6" t="n">
        <f aca="false">(1-Sens!E4284)*(Sens!E4281+Sens!E4283)</f>
        <v>3.25095598674472</v>
      </c>
      <c r="F4286" s="6" t="n">
        <f aca="false">(1-Sens!F4284)*(Sens!F4281+Sens!F4283)</f>
        <v>6.53293055050977</v>
      </c>
      <c r="G4286" s="6" t="n">
        <f aca="false">(1-Sens!G4284)*(Sens!G4281+Sens!G4283)</f>
        <v>10.7846311741651</v>
      </c>
      <c r="H4286" s="6" t="n">
        <f aca="false">(1-Sens!H4284)*(Sens!H4281+Sens!H4283)</f>
        <v>15.3155321504392</v>
      </c>
      <c r="I4286" s="6" t="n">
        <f aca="false">(1-Sens!I4284)*(Sens!I4281+Sens!I4283)</f>
        <v>19.2274101760331</v>
      </c>
      <c r="J4286" s="6" t="n">
        <f aca="false">(1-Sens!J4284)*(Sens!J4281+Sens!J4283)</f>
        <v>21.9319381310259</v>
      </c>
      <c r="K4286" s="6" t="n">
        <f aca="false">(1-Sens!K4284)*(Sens!K4281+Sens!K4283)</f>
        <v>23.4444378884201</v>
      </c>
    </row>
    <row r="4287" customFormat="false" ht="17.15" hidden="false" customHeight="false" outlineLevel="0" collapsed="false">
      <c r="A4287" s="1" t="s">
        <v>831</v>
      </c>
      <c r="B4287" s="0" t="s">
        <v>350</v>
      </c>
      <c r="C4287" s="8" t="n">
        <f aca="false">cxit_open</f>
        <v>27.5918995</v>
      </c>
      <c r="D4287" s="8" t="n">
        <f aca="false">cxit_open</f>
        <v>27.5918995</v>
      </c>
      <c r="E4287" s="8" t="n">
        <f aca="false">cxit_open</f>
        <v>27.5918995</v>
      </c>
      <c r="F4287" s="8" t="n">
        <f aca="false">(a_g3_27*tk_cxit_gb300+(1-a_g3_27)*tk_cxit_vr200)</f>
        <v>33.8419624</v>
      </c>
      <c r="G4287" s="8" t="n">
        <f aca="false">(a_g3_28*tk_cxit_gb300+(1-a_g3_28)*tk_cxit_vr200)</f>
        <v>35.9816136</v>
      </c>
      <c r="H4287" s="8" t="n">
        <f aca="false">(a_g3_29*tk_cxit_gb300+(1-a_g3_29)*tk_cxit_vr200)</f>
        <v>37.0514392</v>
      </c>
      <c r="I4287" s="8" t="n">
        <f aca="false">(a_g3_29*tk_cxit_gb300+(1-a_g3_29)*tk_cxit_vr200)</f>
        <v>37.0514392</v>
      </c>
      <c r="J4287" s="8" t="n">
        <f aca="false">(a_g3_29*tk_cxit_gb300+(1-a_g3_29)*tk_cxit_vr200)</f>
        <v>37.0514392</v>
      </c>
      <c r="K4287" s="8" t="n">
        <f aca="false">(a_g3_29*tk_cxit_gb300+(1-a_g3_29)*tk_cxit_vr200)</f>
        <v>37.0514392</v>
      </c>
      <c r="L4287" s="11" t="s">
        <v>832</v>
      </c>
    </row>
    <row r="4288" customFormat="false" ht="17.15" hidden="false" customHeight="false" outlineLevel="0" collapsed="false">
      <c r="A4288" s="0" t="s">
        <v>833</v>
      </c>
      <c r="B4288" s="0" t="s">
        <v>392</v>
      </c>
      <c r="F4288" s="29" t="n">
        <f aca="false">Sens!C4269*IF(Sens!F4262-Sens!C4262=life_it_lo,1,0)+Sens!D4269*IF(Sens!F4262-Sens!D4262=life_it_lo,1,0)+Sens!E4269*IF(Sens!F4262-Sens!E4262=life_it_lo,1,0)</f>
        <v>0</v>
      </c>
      <c r="G4288" s="29" t="n">
        <f aca="false">Sens!C4269*IF(Sens!G4262-Sens!C4262=life_it_lo,1,0)+Sens!D4269*IF(Sens!G4262-Sens!D4262=life_it_lo,1,0)+Sens!E4269*IF(Sens!G4262-Sens!E4262=life_it_lo,1,0)+Sens!F4269*IF(Sens!G4262-Sens!F4262=life_it_lo,1,0)</f>
        <v>0</v>
      </c>
      <c r="H4288" s="29" t="n">
        <f aca="false">Sens!C4269*IF(Sens!H4262-Sens!C4262=life_it_lo,1,0)+Sens!D4269*IF(Sens!H4262-Sens!D4262=life_it_lo,1,0)+Sens!E4269*IF(Sens!H4262-Sens!E4262=life_it_lo,1,0)+Sens!F4269*IF(Sens!H4262-Sens!F4262=life_it_lo,1,0)+Sens!G4269*IF(Sens!H4262-Sens!G4262=life_it_lo,1,0)</f>
        <v>816.666666666667</v>
      </c>
      <c r="I4288" s="29" t="n">
        <f aca="false">Sens!C4269*IF(Sens!I4262-Sens!C4262=life_it_lo,1,0)+Sens!D4269*IF(Sens!I4262-Sens!D4262=life_it_lo,1,0)+Sens!E4269*IF(Sens!I4262-Sens!E4262=life_it_lo,1,0)+Sens!F4269*IF(Sens!I4262-Sens!F4262=life_it_lo,1,0)+Sens!G4269*IF(Sens!I4262-Sens!G4262=life_it_lo,1,0)+Sens!H4269*IF(Sens!I4262-Sens!H4262=life_it_lo,1,0)</f>
        <v>1233.33333333333</v>
      </c>
      <c r="J4288" s="29" t="n">
        <f aca="false">Sens!C4269*IF(Sens!J4262-Sens!C4262=life_it_lo,1,0)+Sens!D4269*IF(Sens!J4262-Sens!D4262=life_it_lo,1,0)+Sens!E4269*IF(Sens!J4262-Sens!E4262=life_it_lo,1,0)+Sens!F4269*IF(Sens!J4262-Sens!F4262=life_it_lo,1,0)+Sens!G4269*IF(Sens!J4262-Sens!G4262=life_it_lo,1,0)+Sens!H4269*IF(Sens!J4262-Sens!H4262=life_it_lo,1,0)+Sens!I4269*IF(Sens!J4262-Sens!I4262=life_it_lo,1,0)</f>
        <v>2450</v>
      </c>
      <c r="K4288" s="29" t="n">
        <f aca="false">Sens!C4269*IF(Sens!K4262-Sens!C4262=life_it_lo,1,0)+Sens!D4269*IF(Sens!K4262-Sens!D4262=life_it_lo,1,0)+Sens!E4269*IF(Sens!K4262-Sens!E4262=life_it_lo,1,0)+Sens!F4269*IF(Sens!K4262-Sens!F4262=life_it_lo,1,0)+Sens!G4269*IF(Sens!K4262-Sens!G4262=life_it_lo,1,0)+Sens!H4269*IF(Sens!K4262-Sens!H4262=life_it_lo,1,0)+Sens!I4269*IF(Sens!K4262-Sens!I4262=life_it_lo,1,0)+Sens!J4269*IF(Sens!K4262-Sens!J4262=life_it_lo,1,0)</f>
        <v>3868.66666666667</v>
      </c>
      <c r="L4288" s="1" t="s">
        <v>834</v>
      </c>
    </row>
    <row r="4289" customFormat="false" ht="17.15" hidden="false" customHeight="false" outlineLevel="0" collapsed="false">
      <c r="A4289" s="0" t="s">
        <v>835</v>
      </c>
      <c r="B4289" s="0" t="s">
        <v>98</v>
      </c>
      <c r="C4289" s="6" t="n">
        <f aca="false">Sens!C4269*Sens!C4287/1000</f>
        <v>22.5333845916667</v>
      </c>
      <c r="D4289" s="6" t="n">
        <f aca="false">Sens!D4269*Sens!D4287/1000</f>
        <v>34.0300093833333</v>
      </c>
      <c r="E4289" s="6" t="n">
        <f aca="false">Sens!E4269*Sens!E4287/1000</f>
        <v>67.600153775</v>
      </c>
      <c r="F4289" s="6" t="n">
        <f aca="false">(Sens!F4269+Sens!F4288)*Sens!F4287/1000</f>
        <v>130.923271871467</v>
      </c>
      <c r="G4289" s="6" t="n">
        <f aca="false">(Sens!G4269+Sens!G4288)*Sens!G4287/1000</f>
        <v>151.5545564832</v>
      </c>
      <c r="H4289" s="6" t="n">
        <f aca="false">(Sens!H4269+Sens!H4288)*Sens!H4287/1000</f>
        <v>186.319337257067</v>
      </c>
      <c r="I4289" s="6" t="n">
        <f aca="false">(Sens!I4269+Sens!I4288)*Sens!I4287/1000</f>
        <v>156.425989100912</v>
      </c>
      <c r="J4289" s="6" t="n">
        <f aca="false">(Sens!J4269+Sens!J4288)*Sens!J4287/1000</f>
        <v>156.173792304757</v>
      </c>
      <c r="K4289" s="6" t="n">
        <f aca="false">(Sens!K4269+Sens!K4288)*Sens!K4287/1000</f>
        <v>163.405986227003</v>
      </c>
    </row>
    <row r="4290" customFormat="false" ht="17.15" hidden="false" customHeight="false" outlineLevel="0" collapsed="false">
      <c r="A4290" s="0" t="s">
        <v>836</v>
      </c>
      <c r="B4290" s="0" t="s">
        <v>98</v>
      </c>
      <c r="C4290" s="6" t="n">
        <f aca="false">Sens!C4269*self_build*tk_cxfac/1000</f>
        <v>6.2083</v>
      </c>
      <c r="D4290" s="6" t="n">
        <f aca="false">Sens!D4269*self_build*tk_cxfac/1000</f>
        <v>9.3758</v>
      </c>
      <c r="E4290" s="6" t="n">
        <f aca="false">Sens!E4269*self_build*tk_cxfac/1000</f>
        <v>18.6249</v>
      </c>
      <c r="F4290" s="6" t="n">
        <f aca="false">Sens!F4269*self_build*tk_cxfac/1000</f>
        <v>29.409604</v>
      </c>
      <c r="G4290" s="6" t="n">
        <f aca="false">Sens!G4269*self_build*tk_cxfac/1000</f>
        <v>32.019624</v>
      </c>
      <c r="H4290" s="6" t="n">
        <f aca="false">Sens!H4269*self_build*tk_cxfac/1000</f>
        <v>32.019624</v>
      </c>
      <c r="I4290" s="6" t="n">
        <f aca="false">Sens!I4269*self_build*tk_cxfac/1000</f>
        <v>22.71877972</v>
      </c>
      <c r="J4290" s="6" t="n">
        <f aca="false">Sens!J4269*self_build*tk_cxfac/1000</f>
        <v>13.41793544</v>
      </c>
      <c r="K4290" s="6" t="n">
        <f aca="false">Sens!K4269*self_build*tk_cxfac/1000</f>
        <v>4.11709116000001</v>
      </c>
    </row>
    <row r="4291" customFormat="false" ht="17.15" hidden="false" customHeight="false" outlineLevel="0" collapsed="false">
      <c r="A4291" s="0" t="s">
        <v>837</v>
      </c>
      <c r="B4291" s="0" t="s">
        <v>98</v>
      </c>
      <c r="F4291" s="6" t="n">
        <f aca="false">MAX(0,capex_floor27-Sens!F4289-Sens!F4290-Sens!F4384)</f>
        <v>8.28777689897088</v>
      </c>
      <c r="L4291" s="1" t="s">
        <v>838</v>
      </c>
    </row>
    <row r="4292" customFormat="false" ht="17.15" hidden="false" customHeight="false" outlineLevel="0" collapsed="false">
      <c r="A4292" s="0" t="s">
        <v>839</v>
      </c>
      <c r="B4292" s="0" t="s">
        <v>98</v>
      </c>
      <c r="C4292" s="6" t="n">
        <f aca="false">Sens!C4289</f>
        <v>22.5333845916667</v>
      </c>
      <c r="D4292" s="6" t="n">
        <f aca="false">Sens!D4289</f>
        <v>34.0300093833333</v>
      </c>
      <c r="E4292" s="6" t="n">
        <f aca="false">Sens!E4289</f>
        <v>67.600153775</v>
      </c>
      <c r="F4292" s="6" t="n">
        <f aca="false">Sens!F4289+Sens!F4291</f>
        <v>139.211048770438</v>
      </c>
      <c r="G4292" s="6" t="n">
        <f aca="false">Sens!G4289</f>
        <v>151.5545564832</v>
      </c>
      <c r="H4292" s="6" t="n">
        <f aca="false">Sens!H4289</f>
        <v>186.319337257067</v>
      </c>
      <c r="I4292" s="6" t="n">
        <f aca="false">Sens!I4289</f>
        <v>156.425989100912</v>
      </c>
      <c r="J4292" s="6" t="n">
        <f aca="false">Sens!J4289</f>
        <v>156.173792304757</v>
      </c>
      <c r="K4292" s="6" t="n">
        <f aca="false">Sens!K4289</f>
        <v>163.405986227003</v>
      </c>
    </row>
    <row r="4293" customFormat="false" ht="17.15" hidden="false" customHeight="false" outlineLevel="0" collapsed="false">
      <c r="A4293" s="0" t="s">
        <v>840</v>
      </c>
      <c r="B4293" s="0" t="s">
        <v>98</v>
      </c>
      <c r="C4293" s="6" t="n">
        <f aca="false">Sens!C4292+Sens!C4290</f>
        <v>28.7416845916667</v>
      </c>
      <c r="D4293" s="6" t="n">
        <f aca="false">Sens!D4292+Sens!D4290</f>
        <v>43.4058093833333</v>
      </c>
      <c r="E4293" s="6" t="n">
        <f aca="false">Sens!E4292+Sens!E4290</f>
        <v>86.225053775</v>
      </c>
      <c r="F4293" s="6" t="n">
        <f aca="false">Sens!F4292+Sens!F4290</f>
        <v>168.620652770438</v>
      </c>
      <c r="G4293" s="6" t="n">
        <f aca="false">Sens!G4292+Sens!G4290</f>
        <v>183.5741804832</v>
      </c>
      <c r="H4293" s="6" t="n">
        <f aca="false">Sens!H4292+Sens!H4290</f>
        <v>218.338961257067</v>
      </c>
      <c r="I4293" s="6" t="n">
        <f aca="false">Sens!I4292+Sens!I4290</f>
        <v>179.144768820912</v>
      </c>
      <c r="J4293" s="6" t="n">
        <f aca="false">Sens!J4292+Sens!J4290</f>
        <v>169.591727744757</v>
      </c>
      <c r="K4293" s="6" t="n">
        <f aca="false">Sens!K4292+Sens!K4290</f>
        <v>167.523077387003</v>
      </c>
      <c r="L4293" s="11" t="s">
        <v>841</v>
      </c>
    </row>
    <row r="4294" customFormat="false" ht="17.15" hidden="false" customHeight="false" outlineLevel="0" collapsed="false">
      <c r="A4294" s="0" t="s">
        <v>842</v>
      </c>
      <c r="B4294" s="0" t="s">
        <v>98</v>
      </c>
      <c r="E4294" s="6" t="n">
        <f aca="false">(Sens!C4292*IF(2&lt;life_it_lo,1,IF(2=life_it_lo,0.5,0))+Sens!D4292*IF(1&lt;life_it_lo,1,IF(1=life_it_lo,0.5,0))+Sens!E4292*0.5)/life_it_lo</f>
        <v>18.0726941725</v>
      </c>
      <c r="F4294" s="6" t="n">
        <f aca="false">(Sens!C4292*IF(3&lt;life_it_lo,1,IF(3=life_it_lo,0.5,0))+Sens!D4292*IF(2&lt;life_it_lo,1,IF(2=life_it_lo,0.5,0))+Sens!E4292*IF(1&lt;life_it_lo,1,IF(1=life_it_lo,0.5,0))+Sens!F4292*0.5)/life_it_lo</f>
        <v>38.7538144270438</v>
      </c>
      <c r="G4294" s="6" t="n">
        <f aca="false">(Sens!C4292*IF(4&lt;life_it_lo,1,IF(4=life_it_lo,0.5,0))+Sens!D4292*IF(3&lt;life_it_lo,1,IF(3=life_it_lo,0.5,0))+Sens!E4292*IF(2&lt;life_it_lo,1,IF(2=life_it_lo,0.5,0))+Sens!F4292*IF(1&lt;life_it_lo,1,IF(1=life_it_lo,0.5,0))+Sens!G4292*0.5)/life_it_lo</f>
        <v>67.8303749524075</v>
      </c>
      <c r="H4294" s="6" t="n">
        <f aca="false">(Sens!C4292*IF(5&lt;life_it_lo,1,IF(5=life_it_lo,0.5,0))+Sens!D4292*IF(4&lt;life_it_lo,1,IF(4=life_it_lo,0.5,0))+Sens!E4292*IF(3&lt;life_it_lo,1,IF(3=life_it_lo,0.5,0))+Sens!F4292*IF(2&lt;life_it_lo,1,IF(2=life_it_lo,0.5,0))+Sens!G4292*IF(1&lt;life_it_lo,1,IF(1=life_it_lo,0.5,0))+Sens!H4292*0.5)/life_it_lo</f>
        <v>99.3644258672675</v>
      </c>
      <c r="I4294" s="6" t="n">
        <f aca="false">(Sens!C4292*IF(6&lt;life_it_lo,1,IF(6=life_it_lo,0.5,0))+Sens!D4292*IF(5&lt;life_it_lo,1,IF(5=life_it_lo,0.5,0))+Sens!E4292*IF(4&lt;life_it_lo,1,IF(4=life_it_lo,0.5,0))+Sens!F4292*IF(3&lt;life_it_lo,1,IF(3=life_it_lo,0.5,0))+Sens!G4292*IF(2&lt;life_it_lo,1,IF(2=life_it_lo,0.5,0))+Sens!H4292*IF(1&lt;life_it_lo,1,IF(1=life_it_lo,0.5,0))+Sens!I4292*0.5)/life_it_lo</f>
        <v>127.982619105565</v>
      </c>
      <c r="J4294" s="6" t="n">
        <f aca="false">(Sens!C4292*IF(7&lt;life_it_lo,1,IF(7=life_it_lo,0.5,0))+Sens!D4292*IF(6&lt;life_it_lo,1,IF(6=life_it_lo,0.5,0))+Sens!E4292*IF(5&lt;life_it_lo,1,IF(5=life_it_lo,0.5,0))+Sens!F4292*IF(4&lt;life_it_lo,1,IF(4=life_it_lo,0.5,0))+Sens!G4292*IF(3&lt;life_it_lo,1,IF(3=life_it_lo,0.5,0))+Sens!H4292*IF(2&lt;life_it_lo,1,IF(2=life_it_lo,0.5,0))+Sens!I4292*IF(1&lt;life_it_lo,1,IF(1=life_it_lo,0.5,0))+Sens!J4292*0.5)/life_it_lo</f>
        <v>149.079580930299</v>
      </c>
      <c r="K4294" s="6" t="n">
        <f aca="false">(Sens!C4292*IF(8&lt;life_it_lo,1,IF(8=life_it_lo,0.5,0))+Sens!D4292*IF(7&lt;life_it_lo,1,IF(7=life_it_lo,0.5,0))+Sens!E4292*IF(6&lt;life_it_lo,1,IF(6=life_it_lo,0.5,0))+Sens!F4292*IF(5&lt;life_it_lo,1,IF(5=life_it_lo,0.5,0))+Sens!G4292*IF(4&lt;life_it_lo,1,IF(4=life_it_lo,0.5,0))+Sens!H4292*IF(3&lt;life_it_lo,1,IF(3=life_it_lo,0.5,0))+Sens!I4292*IF(2&lt;life_it_lo,1,IF(2=life_it_lo,0.5,0))+Sens!J4292*IF(1&lt;life_it_lo,1,IF(1=life_it_lo,0.5,0))+Sens!K4292*0.5)/life_it_lo</f>
        <v>160.356438528931</v>
      </c>
    </row>
    <row r="4295" customFormat="false" ht="17.15" hidden="false" customHeight="false" outlineLevel="0" collapsed="false">
      <c r="A4295" s="0" t="s">
        <v>843</v>
      </c>
      <c r="B4295" s="0" t="s">
        <v>98</v>
      </c>
      <c r="E4295" s="6" t="n">
        <f aca="false">(Sens!C4290*IF(2&lt;life_fac,1,IF(2=life_fac,0.5,0))+Sens!D4290*IF(1&lt;life_fac,1,IF(1=life_fac,0.5,0))+Sens!E4290*0.5)/life_fac</f>
        <v>1.2448275</v>
      </c>
      <c r="F4295" s="6" t="n">
        <f aca="false">(Sens!C4290*IF(3&lt;life_fac,1,IF(3=life_fac,0.5,0))+Sens!D4290*IF(2&lt;life_fac,1,IF(2=life_fac,0.5,0))+Sens!E4290*IF(1&lt;life_fac,1,IF(1=life_fac,0.5,0))+Sens!F4290*0.5)/life_fac</f>
        <v>2.4456901</v>
      </c>
      <c r="G4295" s="6" t="n">
        <f aca="false">(Sens!C4290*IF(4&lt;life_fac,1,IF(4=life_fac,0.5,0))+Sens!D4290*IF(3&lt;life_fac,1,IF(3=life_fac,0.5,0))+Sens!E4290*IF(2&lt;life_fac,1,IF(2=life_fac,0.5,0))+Sens!F4290*IF(1&lt;life_fac,1,IF(1=life_fac,0.5,0))+Sens!G4290*0.5)/life_fac</f>
        <v>3.9814208</v>
      </c>
      <c r="H4295" s="6" t="n">
        <f aca="false">(Sens!C4290*IF(5&lt;life_fac,1,IF(5=life_fac,0.5,0))+Sens!D4290*IF(4&lt;life_fac,1,IF(4=life_fac,0.5,0))+Sens!E4290*IF(3&lt;life_fac,1,IF(3=life_fac,0.5,0))+Sens!F4290*IF(2&lt;life_fac,1,IF(2=life_fac,0.5,0))+Sens!G4290*IF(1&lt;life_fac,1,IF(1=life_fac,0.5,0))+Sens!H4290*0.5)/life_fac</f>
        <v>5.582402</v>
      </c>
      <c r="I4295" s="6" t="n">
        <f aca="false">(Sens!C4290*IF(6&lt;life_fac,1,IF(6=life_fac,0.5,0))+Sens!D4290*IF(5&lt;life_fac,1,IF(5=life_fac,0.5,0))+Sens!E4290*IF(4&lt;life_fac,1,IF(4=life_fac,0.5,0))+Sens!F4290*IF(3&lt;life_fac,1,IF(3=life_fac,0.5,0))+Sens!G4290*IF(2&lt;life_fac,1,IF(2=life_fac,0.5,0))+Sens!H4290*IF(1&lt;life_fac,1,IF(1=life_fac,0.5,0))+Sens!I4290*0.5)/life_fac</f>
        <v>6.950862093</v>
      </c>
      <c r="J4295" s="6" t="n">
        <f aca="false">(Sens!C4290*IF(7&lt;life_fac,1,IF(7=life_fac,0.5,0))+Sens!D4290*IF(6&lt;life_fac,1,IF(6=life_fac,0.5,0))+Sens!E4290*IF(5&lt;life_fac,1,IF(5=life_fac,0.5,0))+Sens!F4290*IF(4&lt;life_fac,1,IF(4=life_fac,0.5,0))+Sens!G4290*IF(3&lt;life_fac,1,IF(3=life_fac,0.5,0))+Sens!H4290*IF(2&lt;life_fac,1,IF(2=life_fac,0.5,0))+Sens!I4290*IF(1&lt;life_fac,1,IF(1=life_fac,0.5,0))+Sens!J4290*0.5)/life_fac</f>
        <v>7.854279972</v>
      </c>
      <c r="K4295" s="6" t="n">
        <f aca="false">(Sens!C4290*IF(8&lt;life_fac,1,IF(8=life_fac,0.5,0))+Sens!D4290*IF(7&lt;life_fac,1,IF(7=life_fac,0.5,0))+Sens!E4290*IF(6&lt;life_fac,1,IF(6=life_fac,0.5,0))+Sens!F4290*IF(5&lt;life_fac,1,IF(5=life_fac,0.5,0))+Sens!G4290*IF(4&lt;life_fac,1,IF(4=life_fac,0.5,0))+Sens!H4290*IF(3&lt;life_fac,1,IF(3=life_fac,0.5,0))+Sens!I4290*IF(2&lt;life_fac,1,IF(2=life_fac,0.5,0))+Sens!J4290*IF(1&lt;life_fac,1,IF(1=life_fac,0.5,0))+Sens!K4290*0.5)/life_fac</f>
        <v>8.292655637</v>
      </c>
    </row>
    <row r="4296" customFormat="false" ht="17.15" hidden="false" customHeight="false" outlineLevel="0" collapsed="false">
      <c r="A4296" s="0" t="s">
        <v>844</v>
      </c>
      <c r="B4296" s="0" t="s">
        <v>98</v>
      </c>
      <c r="E4296" s="6" t="n">
        <f aca="false">Sens!E4294+Sens!E4295</f>
        <v>19.3175216725</v>
      </c>
      <c r="F4296" s="6" t="n">
        <f aca="false">Sens!F4294+Sens!F4295</f>
        <v>41.1995045270438</v>
      </c>
      <c r="G4296" s="6" t="n">
        <f aca="false">Sens!G4294+Sens!G4295</f>
        <v>71.8117957524075</v>
      </c>
      <c r="H4296" s="6" t="n">
        <f aca="false">Sens!H4294+Sens!H4295</f>
        <v>104.946827867268</v>
      </c>
      <c r="I4296" s="6" t="n">
        <f aca="false">Sens!I4294+Sens!I4295</f>
        <v>134.933481198565</v>
      </c>
      <c r="J4296" s="6" t="n">
        <f aca="false">Sens!J4294+Sens!J4295</f>
        <v>156.933860902299</v>
      </c>
      <c r="K4296" s="6" t="n">
        <f aca="false">Sens!K4294+Sens!K4295</f>
        <v>168.649094165931</v>
      </c>
    </row>
    <row r="4297" customFormat="false" ht="17.15" hidden="false" customHeight="false" outlineLevel="0" collapsed="false">
      <c r="A4297" s="0" t="s">
        <v>845</v>
      </c>
      <c r="B4297" s="0" t="s">
        <v>98</v>
      </c>
      <c r="E4297" s="6" t="n">
        <f aca="false">Sens!E4285-Sens!E4284*Sens!E4296</f>
        <v>7.11980948252379</v>
      </c>
      <c r="F4297" s="6" t="n">
        <f aca="false">Sens!F4285-Sens!F4284*Sens!F4296</f>
        <v>14.7397380329676</v>
      </c>
      <c r="G4297" s="6" t="n">
        <f aca="false">Sens!G4285-Sens!G4284*Sens!G4296</f>
        <v>23.4656771063616</v>
      </c>
      <c r="H4297" s="6" t="n">
        <f aca="false">Sens!H4285-Sens!H4284*Sens!H4296</f>
        <v>33.3748049042772</v>
      </c>
      <c r="I4297" s="6" t="n">
        <f aca="false">Sens!I4285-Sens!I4284*Sens!I4296</f>
        <v>41.5445385489964</v>
      </c>
      <c r="J4297" s="6" t="n">
        <f aca="false">Sens!J4285-Sens!J4284*Sens!J4296</f>
        <v>48.1378252978646</v>
      </c>
      <c r="K4297" s="6" t="n">
        <f aca="false">Sens!K4285-Sens!K4284*Sens!K4296</f>
        <v>54.8882859176176</v>
      </c>
    </row>
    <row r="4298" customFormat="false" ht="17.15" hidden="false" customHeight="false" outlineLevel="0" collapsed="false">
      <c r="A4298" s="3" t="s">
        <v>1345</v>
      </c>
    </row>
    <row r="4299" customFormat="false" ht="15" hidden="false" customHeight="false" outlineLevel="0" collapsed="false">
      <c r="A4299" s="4" t="s">
        <v>43</v>
      </c>
      <c r="B4299" s="4" t="s">
        <v>65</v>
      </c>
      <c r="C4299" s="20" t="s">
        <v>788</v>
      </c>
      <c r="D4299" s="20" t="s">
        <v>789</v>
      </c>
      <c r="E4299" s="20" t="s">
        <v>790</v>
      </c>
      <c r="F4299" s="20" t="s">
        <v>791</v>
      </c>
      <c r="G4299" s="20" t="s">
        <v>792</v>
      </c>
      <c r="H4299" s="20" t="s">
        <v>793</v>
      </c>
      <c r="I4299" s="20" t="s">
        <v>794</v>
      </c>
      <c r="J4299" s="20" t="s">
        <v>795</v>
      </c>
      <c r="K4299" s="20" t="s">
        <v>796</v>
      </c>
      <c r="L4299" s="4" t="s">
        <v>47</v>
      </c>
    </row>
    <row r="4300" customFormat="false" ht="17.15" hidden="false" customHeight="false" outlineLevel="0" collapsed="false">
      <c r="A4300" s="0" t="s">
        <v>864</v>
      </c>
      <c r="B4300" s="0" t="s">
        <v>98</v>
      </c>
      <c r="D4300" s="6" t="n">
        <f aca="false">Sens!D4279</f>
        <v>12.9359794422418</v>
      </c>
      <c r="E4300" s="6" t="n">
        <f aca="false">Sens!E4279</f>
        <v>27.8095064661409</v>
      </c>
      <c r="F4300" s="6" t="n">
        <f aca="false">Sens!F4279</f>
        <v>55.0640065749585</v>
      </c>
      <c r="G4300" s="6" t="n">
        <f aca="false">Sens!G4279</f>
        <v>89.4505413190538</v>
      </c>
      <c r="H4300" s="6" t="n">
        <f aca="false">Sens!H4279</f>
        <v>126.037039850297</v>
      </c>
      <c r="I4300" s="6" t="n">
        <f aca="false">Sens!I4279</f>
        <v>158.066582532185</v>
      </c>
      <c r="J4300" s="6" t="n">
        <f aca="false">Sens!J4279</f>
        <v>181.916889035783</v>
      </c>
      <c r="K4300" s="6" t="n">
        <f aca="false">Sens!K4279</f>
        <v>197.965239249806</v>
      </c>
    </row>
    <row r="4301" customFormat="false" ht="17.15" hidden="false" customHeight="false" outlineLevel="0" collapsed="false">
      <c r="A4301" s="0" t="s">
        <v>865</v>
      </c>
      <c r="B4301" s="0" t="s">
        <v>98</v>
      </c>
      <c r="D4301" s="6" t="n">
        <f aca="false">Q!L6-Sens!D4300</f>
        <v>59.6740205577583</v>
      </c>
      <c r="E4301" s="6" t="n">
        <f aca="false">Q!M6-Sens!E4300</f>
        <v>74.1284935338591</v>
      </c>
      <c r="F4301" s="6" t="n">
        <f aca="false">Sens!E4301*(1+Sens!F4302)</f>
        <v>90.0799497373663</v>
      </c>
      <c r="G4301" s="6" t="n">
        <f aca="false">Sens!F4301*(1+Sens!G4302)</f>
        <v>107.02842520331</v>
      </c>
      <c r="H4301" s="6" t="n">
        <f aca="false">Sens!G4301*(1+Sens!H4302)</f>
        <v>124.271982585636</v>
      </c>
      <c r="I4301" s="6" t="n">
        <f aca="false">Sens!H4301*(1+Sens!I4302)</f>
        <v>140.933702381855</v>
      </c>
      <c r="J4301" s="6" t="n">
        <f aca="false">Sens!I4301*(1+Sens!J4302)</f>
        <v>156.018867314332</v>
      </c>
      <c r="K4301" s="6" t="n">
        <f aca="false">Sens!J4301*(1+Sens!K4302)</f>
        <v>168.500376699478</v>
      </c>
    </row>
    <row r="4302" customFormat="false" ht="15" hidden="false" customHeight="false" outlineLevel="0" collapsed="false">
      <c r="A4302" s="1" t="s">
        <v>866</v>
      </c>
      <c r="B4302" s="0" t="s">
        <v>129</v>
      </c>
      <c r="E4302" s="7" t="n">
        <f aca="false">Sens!E4301/Sens!D4301-1</f>
        <v>0.242223883039864</v>
      </c>
      <c r="F4302" s="7" t="n">
        <f aca="false">Sens!$E$4302+(glt_azo-Sens!$E$4302)*MIN(1,(Sens!F4262-base_fy)/n_conv)</f>
        <v>0.215186569199887</v>
      </c>
      <c r="G4302" s="7" t="n">
        <f aca="false">Sens!$E$4302+(glt_azo-Sens!$E$4302)*MIN(1,(Sens!G4262-base_fy)/n_conv)</f>
        <v>0.18814925535991</v>
      </c>
      <c r="H4302" s="7" t="n">
        <f aca="false">Sens!$E$4302+(glt_azo-Sens!$E$4302)*MIN(1,(Sens!H4262-base_fy)/n_conv)</f>
        <v>0.161111941519932</v>
      </c>
      <c r="I4302" s="7" t="n">
        <f aca="false">Sens!$E$4302+(glt_azo-Sens!$E$4302)*MIN(1,(Sens!I4262-base_fy)/n_conv)</f>
        <v>0.134074627679955</v>
      </c>
      <c r="J4302" s="7" t="n">
        <f aca="false">Sens!$E$4302+(glt_azo-Sens!$E$4302)*MIN(1,(Sens!J4262-base_fy)/n_conv)</f>
        <v>0.107037313839977</v>
      </c>
      <c r="K4302" s="7" t="n">
        <f aca="false">Sens!$E$4302+(glt_azo-Sens!$E$4302)*MIN(1,(Sens!K4262-base_fy)/n_conv)</f>
        <v>0.08</v>
      </c>
    </row>
    <row r="4303" customFormat="false" ht="15" hidden="false" customHeight="false" outlineLevel="0" collapsed="false">
      <c r="A4303" s="0" t="s">
        <v>867</v>
      </c>
      <c r="B4303" s="0" t="s">
        <v>98</v>
      </c>
      <c r="D4303" s="6" t="n">
        <f aca="false">Sens!D4300+Sens!D4301</f>
        <v>72.61</v>
      </c>
      <c r="E4303" s="6" t="n">
        <f aca="false">Sens!E4300+Sens!E4301</f>
        <v>101.938</v>
      </c>
      <c r="F4303" s="6" t="n">
        <f aca="false">Sens!F4300+Sens!F4301</f>
        <v>145.143956312325</v>
      </c>
      <c r="G4303" s="6" t="n">
        <f aca="false">Sens!G4300+Sens!G4301</f>
        <v>196.478966522364</v>
      </c>
      <c r="H4303" s="6" t="n">
        <f aca="false">Sens!H4300+Sens!H4301</f>
        <v>250.309022435933</v>
      </c>
      <c r="I4303" s="6" t="n">
        <f aca="false">Sens!I4300+Sens!I4301</f>
        <v>299.00028491404</v>
      </c>
      <c r="J4303" s="6" t="n">
        <f aca="false">Sens!J4300+Sens!J4301</f>
        <v>337.935756350114</v>
      </c>
      <c r="K4303" s="6" t="n">
        <f aca="false">Sens!K4300+Sens!K4301</f>
        <v>366.465615949285</v>
      </c>
    </row>
    <row r="4304" customFormat="false" ht="17.15" hidden="false" customHeight="false" outlineLevel="0" collapsed="false">
      <c r="A4304" s="0" t="s">
        <v>868</v>
      </c>
      <c r="B4304" s="1" t="s">
        <v>521</v>
      </c>
      <c r="C4304" s="29" t="n">
        <f aca="false">cop_s24</f>
        <v>1</v>
      </c>
      <c r="D4304" s="29" t="n">
        <f aca="false">cop_s25</f>
        <v>5</v>
      </c>
      <c r="E4304" s="29" t="n">
        <f aca="false">cop_s26</f>
        <v>30</v>
      </c>
      <c r="F4304" s="29" t="n">
        <f aca="false">Sens!E4304+cop_add_B</f>
        <v>50</v>
      </c>
      <c r="G4304" s="29" t="n">
        <f aca="false">Sens!F4304+cop_add_B</f>
        <v>70</v>
      </c>
      <c r="H4304" s="29" t="n">
        <f aca="false">Sens!G4304+cop_add_B</f>
        <v>90</v>
      </c>
      <c r="I4304" s="29" t="n">
        <f aca="false">Sens!H4304+cop_add_B*cop_tail</f>
        <v>100</v>
      </c>
      <c r="J4304" s="29" t="n">
        <f aca="false">Sens!I4304+cop_add_B*cop_tail</f>
        <v>110</v>
      </c>
      <c r="K4304" s="29" t="n">
        <f aca="false">Sens!J4304+cop_add_B*cop_tail</f>
        <v>120</v>
      </c>
      <c r="L4304" s="11" t="s">
        <v>869</v>
      </c>
    </row>
    <row r="4305" customFormat="false" ht="17.15" hidden="false" customHeight="false" outlineLevel="0" collapsed="false">
      <c r="A4305" s="0" t="s">
        <v>870</v>
      </c>
      <c r="B4305" s="0" t="s">
        <v>98</v>
      </c>
      <c r="D4305" s="6" t="n">
        <f aca="false">(Sens!C4304+Sens!D4304)/2*cop_px*12/1000</f>
        <v>0.9</v>
      </c>
      <c r="E4305" s="6" t="n">
        <f aca="false">(Sens!D4304+Sens!E4304)/2*cop_px*12/1000</f>
        <v>5.25</v>
      </c>
      <c r="F4305" s="6" t="n">
        <f aca="false">(Sens!E4304+Sens!F4304)/2*cop_px*12/1000</f>
        <v>12</v>
      </c>
      <c r="G4305" s="6" t="n">
        <f aca="false">(Sens!F4304+Sens!G4304)/2*cop_px*12/1000</f>
        <v>18</v>
      </c>
      <c r="H4305" s="6" t="n">
        <f aca="false">(Sens!G4304+Sens!H4304)/2*cop_px*12/1000</f>
        <v>24</v>
      </c>
      <c r="I4305" s="6" t="n">
        <f aca="false">(Sens!H4304+Sens!I4304)/2*cop_px*12/1000</f>
        <v>28.5</v>
      </c>
      <c r="J4305" s="6" t="n">
        <f aca="false">(Sens!I4304+Sens!J4304)/2*cop_px*12/1000</f>
        <v>31.5</v>
      </c>
      <c r="K4305" s="6" t="n">
        <f aca="false">(Sens!J4304+Sens!K4304)/2*cop_px*12/1000</f>
        <v>34.5</v>
      </c>
      <c r="L4305" s="1" t="s">
        <v>871</v>
      </c>
    </row>
    <row r="4306" customFormat="false" ht="17.15" hidden="false" customHeight="false" outlineLevel="0" collapsed="false">
      <c r="A4306" s="0" t="s">
        <v>872</v>
      </c>
      <c r="B4306" s="0" t="s">
        <v>98</v>
      </c>
      <c r="D4306" s="6" t="n">
        <f aca="false">Q!L7-Sens!D4305</f>
        <v>83.705</v>
      </c>
      <c r="E4306" s="6" t="n">
        <f aca="false">Q!M7-Sens!E4305</f>
        <v>95.049</v>
      </c>
      <c r="F4306" s="6" t="n">
        <f aca="false">Sens!E4306*(1+Sens!F4307)</f>
        <v>106.89238776686</v>
      </c>
      <c r="G4306" s="6" t="n">
        <f aca="false">Sens!F4306*(1+Sens!G4307)</f>
        <v>119.044168448684</v>
      </c>
      <c r="H4306" s="6" t="n">
        <f aca="false">Sens!G4306*(1+Sens!H4307)</f>
        <v>131.277359388781</v>
      </c>
      <c r="I4306" s="6" t="n">
        <f aca="false">Sens!H4306*(1+Sens!I4307)</f>
        <v>143.334028071957</v>
      </c>
      <c r="J4306" s="6" t="n">
        <f aca="false">Sens!I4306*(1+Sens!J4307)</f>
        <v>154.932702785465</v>
      </c>
      <c r="K4306" s="6" t="n">
        <f aca="false">Sens!J4306*(1+Sens!K4307)</f>
        <v>165.777991980448</v>
      </c>
    </row>
    <row r="4307" customFormat="false" ht="15" hidden="false" customHeight="false" outlineLevel="0" collapsed="false">
      <c r="A4307" s="1" t="s">
        <v>866</v>
      </c>
      <c r="B4307" s="0" t="s">
        <v>129</v>
      </c>
      <c r="E4307" s="7" t="n">
        <f aca="false">Sens!E4306/Sens!D4306-1</f>
        <v>0.135523564900544</v>
      </c>
      <c r="F4307" s="7" t="n">
        <f aca="false">Sens!$E$4307+(glt_m365b-Sens!$E$4307)*MIN(1,(Sens!F4262-base_fy)/n_conv)</f>
        <v>0.124602970750453</v>
      </c>
      <c r="G4307" s="7" t="n">
        <f aca="false">Sens!$E$4307+(glt_m365b-Sens!$E$4307)*MIN(1,(Sens!G4262-base_fy)/n_conv)</f>
        <v>0.113682376600363</v>
      </c>
      <c r="H4307" s="7" t="n">
        <f aca="false">Sens!$E$4307+(glt_m365b-Sens!$E$4307)*MIN(1,(Sens!H4262-base_fy)/n_conv)</f>
        <v>0.102761782450272</v>
      </c>
      <c r="I4307" s="7" t="n">
        <f aca="false">Sens!$E$4307+(glt_m365b-Sens!$E$4307)*MIN(1,(Sens!I4262-base_fy)/n_conv)</f>
        <v>0.0918411883001813</v>
      </c>
      <c r="J4307" s="7" t="n">
        <f aca="false">Sens!$E$4307+(glt_m365b-Sens!$E$4307)*MIN(1,(Sens!J4262-base_fy)/n_conv)</f>
        <v>0.0809205941500906</v>
      </c>
      <c r="K4307" s="7" t="n">
        <f aca="false">Sens!$E$4307+(glt_m365b-Sens!$E$4307)*MIN(1,(Sens!K4262-base_fy)/n_conv)</f>
        <v>0.07</v>
      </c>
    </row>
    <row r="4308" customFormat="false" ht="15" hidden="false" customHeight="false" outlineLevel="0" collapsed="false">
      <c r="A4308" s="0" t="s">
        <v>873</v>
      </c>
      <c r="B4308" s="0" t="s">
        <v>98</v>
      </c>
      <c r="D4308" s="6" t="n">
        <f aca="false">Sens!D4306+Sens!D4305</f>
        <v>84.605</v>
      </c>
      <c r="E4308" s="6" t="n">
        <f aca="false">Sens!E4306+Sens!E4305</f>
        <v>100.299</v>
      </c>
      <c r="F4308" s="6" t="n">
        <f aca="false">Sens!F4306+Sens!F4305</f>
        <v>118.89238776686</v>
      </c>
      <c r="G4308" s="6" t="n">
        <f aca="false">Sens!G4306+Sens!G4305</f>
        <v>137.044168448684</v>
      </c>
      <c r="H4308" s="6" t="n">
        <f aca="false">Sens!H4306+Sens!H4305</f>
        <v>155.277359388781</v>
      </c>
      <c r="I4308" s="6" t="n">
        <f aca="false">Sens!I4306+Sens!I4305</f>
        <v>171.834028071957</v>
      </c>
      <c r="J4308" s="6" t="n">
        <f aca="false">Sens!J4306+Sens!J4305</f>
        <v>186.432702785465</v>
      </c>
      <c r="K4308" s="6" t="n">
        <f aca="false">Sens!K4306+Sens!K4305</f>
        <v>200.277991980448</v>
      </c>
    </row>
    <row r="4309" customFormat="false" ht="15" hidden="false" customHeight="false" outlineLevel="0" collapsed="false">
      <c r="A4309" s="0" t="s">
        <v>874</v>
      </c>
      <c r="B4309" s="0" t="s">
        <v>98</v>
      </c>
      <c r="D4309" s="6" t="n">
        <f aca="false">Q!L8</f>
        <v>35.391</v>
      </c>
      <c r="E4309" s="6" t="n">
        <f aca="false">Q!M8</f>
        <v>37.285</v>
      </c>
      <c r="F4309" s="6" t="n">
        <f aca="false">Sens!E4309*(1+Sens!F4310)</f>
        <v>39.0720834331704</v>
      </c>
      <c r="G4309" s="6" t="n">
        <f aca="false">Sens!F4309*(1+Sens!G4310)</f>
        <v>40.726562953769</v>
      </c>
      <c r="H4309" s="6" t="n">
        <f aca="false">Sens!G4309*(1+Sens!H4310)</f>
        <v>42.2235987259198</v>
      </c>
      <c r="I4309" s="6" t="n">
        <f aca="false">Sens!H4309*(1+Sens!I4310)</f>
        <v>43.5397988077414</v>
      </c>
      <c r="J4309" s="6" t="n">
        <f aca="false">Sens!I4309*(1+Sens!J4310)</f>
        <v>44.653811225693</v>
      </c>
      <c r="K4309" s="6" t="n">
        <f aca="false">Sens!J4309*(1+Sens!K4310)</f>
        <v>45.5468874502068</v>
      </c>
    </row>
    <row r="4310" customFormat="false" ht="15" hidden="false" customHeight="false" outlineLevel="0" collapsed="false">
      <c r="A4310" s="1" t="s">
        <v>866</v>
      </c>
      <c r="B4310" s="0" t="s">
        <v>129</v>
      </c>
      <c r="E4310" s="7" t="n">
        <f aca="false">Sens!E4309/Sens!D4309-1</f>
        <v>0.0535164307309768</v>
      </c>
      <c r="F4310" s="7" t="n">
        <f aca="false">Sens!$E$4310+(glt_lic-Sens!$E$4310)*MIN(1,(Sens!F4262-base_fy)/n_conv)</f>
        <v>0.0479303589424807</v>
      </c>
      <c r="G4310" s="7" t="n">
        <f aca="false">Sens!$E$4310+(glt_lic-Sens!$E$4310)*MIN(1,(Sens!G4262-base_fy)/n_conv)</f>
        <v>0.0423442871539845</v>
      </c>
      <c r="H4310" s="7" t="n">
        <f aca="false">Sens!$E$4310+(glt_lic-Sens!$E$4310)*MIN(1,(Sens!H4262-base_fy)/n_conv)</f>
        <v>0.0367582153654884</v>
      </c>
      <c r="I4310" s="7" t="n">
        <f aca="false">Sens!$E$4310+(glt_lic-Sens!$E$4310)*MIN(1,(Sens!I4262-base_fy)/n_conv)</f>
        <v>0.0311721435769923</v>
      </c>
      <c r="J4310" s="7" t="n">
        <f aca="false">Sens!$E$4310+(glt_lic-Sens!$E$4310)*MIN(1,(Sens!J4262-base_fy)/n_conv)</f>
        <v>0.0255860717884961</v>
      </c>
      <c r="K4310" s="7" t="n">
        <f aca="false">Sens!$E$4310+(glt_lic-Sens!$E$4310)*MIN(1,(Sens!K4262-base_fy)/n_conv)</f>
        <v>0.02</v>
      </c>
    </row>
    <row r="4311" customFormat="false" ht="15" hidden="false" customHeight="false" outlineLevel="0" collapsed="false">
      <c r="A4311" s="0" t="s">
        <v>875</v>
      </c>
      <c r="B4311" s="0" t="s">
        <v>98</v>
      </c>
      <c r="D4311" s="6" t="n">
        <f aca="false">Q!L9</f>
        <v>18.417</v>
      </c>
      <c r="E4311" s="6" t="n">
        <f aca="false">Q!M9</f>
        <v>20.345</v>
      </c>
      <c r="F4311" s="6" t="n">
        <f aca="false">Sens!E4311*(1+Sens!F4312)</f>
        <v>22.3572203267814</v>
      </c>
      <c r="G4311" s="6" t="n">
        <f aca="false">Sens!F4311*(1+Sens!G4312)</f>
        <v>24.4392124437232</v>
      </c>
      <c r="H4311" s="6" t="n">
        <f aca="false">Sens!G4311*(1+Sens!H4312)</f>
        <v>26.5738052080665</v>
      </c>
      <c r="I4311" s="6" t="n">
        <f aca="false">Sens!H4311*(1+Sens!I4312)</f>
        <v>28.7412169166967</v>
      </c>
      <c r="J4311" s="6" t="n">
        <f aca="false">Sens!I4311*(1+Sens!J4312)</f>
        <v>30.9192545395413</v>
      </c>
      <c r="K4311" s="6" t="n">
        <f aca="false">Sens!J4311*(1+Sens!K4312)</f>
        <v>33.0836023573092</v>
      </c>
    </row>
    <row r="4312" customFormat="false" ht="15" hidden="false" customHeight="false" outlineLevel="0" collapsed="false">
      <c r="A4312" s="1" t="s">
        <v>866</v>
      </c>
      <c r="B4312" s="0" t="s">
        <v>129</v>
      </c>
      <c r="E4312" s="7" t="n">
        <f aca="false">Sens!E4311/Sens!D4311-1</f>
        <v>0.104685888038225</v>
      </c>
      <c r="F4312" s="7" t="n">
        <f aca="false">Sens!$E$4312+(glt_ind-Sens!$E$4312)*MIN(1,(Sens!F4262-base_fy)/n_conv)</f>
        <v>0.0989049066985211</v>
      </c>
      <c r="G4312" s="7" t="n">
        <f aca="false">Sens!$E$4312+(glt_ind-Sens!$E$4312)*MIN(1,(Sens!G4262-base_fy)/n_conv)</f>
        <v>0.0931239253588169</v>
      </c>
      <c r="H4312" s="7" t="n">
        <f aca="false">Sens!$E$4312+(glt_ind-Sens!$E$4312)*MIN(1,(Sens!H4262-base_fy)/n_conv)</f>
        <v>0.0873429440191127</v>
      </c>
      <c r="I4312" s="7" t="n">
        <f aca="false">Sens!$E$4312+(glt_ind-Sens!$E$4312)*MIN(1,(Sens!I4262-base_fy)/n_conv)</f>
        <v>0.0815619626794085</v>
      </c>
      <c r="J4312" s="7" t="n">
        <f aca="false">Sens!$E$4312+(glt_ind-Sens!$E$4312)*MIN(1,(Sens!J4262-base_fy)/n_conv)</f>
        <v>0.0757809813397042</v>
      </c>
      <c r="K4312" s="7" t="n">
        <f aca="false">Sens!$E$4312+(glt_ind-Sens!$E$4312)*MIN(1,(Sens!K4262-base_fy)/n_conv)</f>
        <v>0.07</v>
      </c>
    </row>
    <row r="4313" customFormat="false" ht="15" hidden="false" customHeight="false" outlineLevel="0" collapsed="false">
      <c r="A4313" s="0" t="s">
        <v>876</v>
      </c>
      <c r="B4313" s="0" t="s">
        <v>98</v>
      </c>
      <c r="D4313" s="6" t="n">
        <f aca="false">Q!L10</f>
        <v>7.76</v>
      </c>
      <c r="E4313" s="6" t="n">
        <f aca="false">Q!M10</f>
        <v>8.26</v>
      </c>
      <c r="F4313" s="6" t="n">
        <f aca="false">Sens!E4313*(1+Sens!F4314)</f>
        <v>8.79988041237113</v>
      </c>
      <c r="G4313" s="6" t="n">
        <f aca="false">Sens!F4313*(1+Sens!G4314)</f>
        <v>9.38321269125306</v>
      </c>
      <c r="H4313" s="6" t="n">
        <f aca="false">Sens!G4313*(1+Sens!H4314)</f>
        <v>10.0139193587476</v>
      </c>
      <c r="I4313" s="6" t="n">
        <f aca="false">Sens!H4313*(1+Sens!I4314)</f>
        <v>10.6963111830911</v>
      </c>
      <c r="J4313" s="6" t="n">
        <f aca="false">Sens!I4313*(1+Sens!J4314)</f>
        <v>11.4351285534696</v>
      </c>
      <c r="K4313" s="6" t="n">
        <f aca="false">Sens!J4313*(1+Sens!K4314)</f>
        <v>12.2355875522124</v>
      </c>
    </row>
    <row r="4314" customFormat="false" ht="15" hidden="false" customHeight="false" outlineLevel="0" collapsed="false">
      <c r="A4314" s="1" t="s">
        <v>866</v>
      </c>
      <c r="B4314" s="0" t="s">
        <v>129</v>
      </c>
      <c r="E4314" s="7" t="n">
        <f aca="false">Sens!E4313/Sens!D4313-1</f>
        <v>0.0644329896907216</v>
      </c>
      <c r="F4314" s="7" t="n">
        <f aca="false">Sens!$E$4314+(glt_fro-Sens!$E$4314)*MIN(1,(Sens!F4262-base_fy)/n_conv)</f>
        <v>0.065360824742268</v>
      </c>
      <c r="G4314" s="7" t="n">
        <f aca="false">Sens!$E$4314+(glt_fro-Sens!$E$4314)*MIN(1,(Sens!G4262-base_fy)/n_conv)</f>
        <v>0.0662886597938144</v>
      </c>
      <c r="H4314" s="7" t="n">
        <f aca="false">Sens!$E$4314+(glt_fro-Sens!$E$4314)*MIN(1,(Sens!H4262-base_fy)/n_conv)</f>
        <v>0.0672164948453608</v>
      </c>
      <c r="I4314" s="7" t="n">
        <f aca="false">Sens!$E$4314+(glt_fro-Sens!$E$4314)*MIN(1,(Sens!I4262-base_fy)/n_conv)</f>
        <v>0.0681443298969072</v>
      </c>
      <c r="J4314" s="7" t="n">
        <f aca="false">Sens!$E$4314+(glt_fro-Sens!$E$4314)*MIN(1,(Sens!J4262-base_fy)/n_conv)</f>
        <v>0.0690721649484536</v>
      </c>
      <c r="K4314" s="7" t="n">
        <f aca="false">Sens!$E$4314+(glt_fro-Sens!$E$4314)*MIN(1,(Sens!K4262-base_fy)/n_conv)</f>
        <v>0.07</v>
      </c>
    </row>
    <row r="4315" customFormat="false" ht="15" hidden="false" customHeight="false" outlineLevel="0" collapsed="false">
      <c r="A4315" s="0" t="s">
        <v>704</v>
      </c>
      <c r="B4315" s="0" t="s">
        <v>98</v>
      </c>
      <c r="D4315" s="6" t="n">
        <f aca="false">Sens!D4303+Sens!D4308+Sens!D4309+Sens!D4311+Sens!D4313</f>
        <v>218.783</v>
      </c>
      <c r="E4315" s="6" t="n">
        <f aca="false">Sens!E4303+Sens!E4308+Sens!E4309+Sens!E4311+Sens!E4313</f>
        <v>268.127</v>
      </c>
      <c r="F4315" s="6" t="n">
        <f aca="false">Sens!F4303+Sens!F4308+Sens!F4309+Sens!F4311+Sens!F4313</f>
        <v>334.265528251508</v>
      </c>
      <c r="G4315" s="6" t="n">
        <f aca="false">Sens!G4303+Sens!G4308+Sens!G4309+Sens!G4311+Sens!G4313</f>
        <v>408.072123059793</v>
      </c>
      <c r="H4315" s="6" t="n">
        <f aca="false">Sens!H4303+Sens!H4308+Sens!H4309+Sens!H4311+Sens!H4313</f>
        <v>484.397705117448</v>
      </c>
      <c r="I4315" s="6" t="n">
        <f aca="false">Sens!I4303+Sens!I4308+Sens!I4309+Sens!I4311+Sens!I4313</f>
        <v>553.811639893526</v>
      </c>
      <c r="J4315" s="6" t="n">
        <f aca="false">Sens!J4303+Sens!J4308+Sens!J4309+Sens!J4311+Sens!J4313</f>
        <v>611.376653454283</v>
      </c>
      <c r="K4315" s="6" t="n">
        <f aca="false">Sens!K4303+Sens!K4308+Sens!K4309+Sens!K4311+Sens!K4313</f>
        <v>657.609685289461</v>
      </c>
    </row>
    <row r="4316" customFormat="false" ht="15" hidden="false" customHeight="false" outlineLevel="0" collapsed="false">
      <c r="A4316" s="0" t="s">
        <v>877</v>
      </c>
      <c r="B4316" s="0" t="s">
        <v>98</v>
      </c>
      <c r="D4316" s="6" t="n">
        <f aca="false">Q!L13</f>
        <v>22.171</v>
      </c>
      <c r="E4316" s="6" t="n">
        <f aca="false">Q!M13</f>
        <v>24.835</v>
      </c>
      <c r="F4316" s="6" t="n">
        <f aca="false">Sens!E4316*(1+Sens!F4317)</f>
        <v>27.6114901218559</v>
      </c>
      <c r="G4316" s="6" t="n">
        <f aca="false">Sens!F4316*(1+Sens!G4317)</f>
        <v>30.4675667338515</v>
      </c>
      <c r="H4316" s="6" t="n">
        <f aca="false">Sens!G4316*(1+Sens!H4317)</f>
        <v>33.3643766955789</v>
      </c>
      <c r="I4316" s="6" t="n">
        <f aca="false">Sens!H4316*(1+Sens!I4317)</f>
        <v>36.2577016533691</v>
      </c>
      <c r="J4316" s="6" t="n">
        <f aca="false">Sens!I4316*(1+Sens!J4317)</f>
        <v>39.0988367952171</v>
      </c>
      <c r="K4316" s="6" t="n">
        <f aca="false">Sens!J4316*(1+Sens!K4317)</f>
        <v>41.8357553708823</v>
      </c>
    </row>
    <row r="4317" customFormat="false" ht="15" hidden="false" customHeight="false" outlineLevel="0" collapsed="false">
      <c r="A4317" s="1" t="s">
        <v>866</v>
      </c>
      <c r="B4317" s="0" t="s">
        <v>129</v>
      </c>
      <c r="E4317" s="7" t="n">
        <f aca="false">Sens!E4316/Sens!D4316-1</f>
        <v>0.120156961796942</v>
      </c>
      <c r="F4317" s="7" t="n">
        <f aca="false">Sens!$E$4317+(glt_srch-Sens!$E$4317)*MIN(1,(Sens!F4262-base_fy)/n_conv)</f>
        <v>0.111797468164118</v>
      </c>
      <c r="G4317" s="7" t="n">
        <f aca="false">Sens!$E$4317+(glt_srch-Sens!$E$4317)*MIN(1,(Sens!G4262-base_fy)/n_conv)</f>
        <v>0.103437974531295</v>
      </c>
      <c r="H4317" s="7" t="n">
        <f aca="false">Sens!$E$4317+(glt_srch-Sens!$E$4317)*MIN(1,(Sens!H4262-base_fy)/n_conv)</f>
        <v>0.095078480898471</v>
      </c>
      <c r="I4317" s="7" t="n">
        <f aca="false">Sens!$E$4317+(glt_srch-Sens!$E$4317)*MIN(1,(Sens!I4262-base_fy)/n_conv)</f>
        <v>0.0867189872656474</v>
      </c>
      <c r="J4317" s="7" t="n">
        <f aca="false">Sens!$E$4317+(glt_srch-Sens!$E$4317)*MIN(1,(Sens!J4262-base_fy)/n_conv)</f>
        <v>0.0783594936328237</v>
      </c>
      <c r="K4317" s="7" t="n">
        <f aca="false">Sens!$E$4317+(glt_srch-Sens!$E$4317)*MIN(1,(Sens!K4262-base_fy)/n_conv)</f>
        <v>0.07</v>
      </c>
    </row>
    <row r="4318" customFormat="false" ht="15" hidden="false" customHeight="false" outlineLevel="0" collapsed="false">
      <c r="A4318" s="0" t="s">
        <v>878</v>
      </c>
      <c r="B4318" s="0" t="s">
        <v>98</v>
      </c>
      <c r="D4318" s="6" t="n">
        <f aca="false">Q!L14</f>
        <v>23.455</v>
      </c>
      <c r="E4318" s="6" t="n">
        <f aca="false">Q!M14</f>
        <v>21.79</v>
      </c>
      <c r="F4318" s="6" t="n">
        <f aca="false">Sens!E4318*(1+Sens!F4319)</f>
        <v>20.5736277908051</v>
      </c>
      <c r="G4318" s="6" t="n">
        <f aca="false">Sens!F4318*(1+Sens!G4319)</f>
        <v>19.7371452817919</v>
      </c>
      <c r="H4318" s="6" t="n">
        <f aca="false">Sens!G4318*(1+Sens!H4319)</f>
        <v>19.2339764043138</v>
      </c>
      <c r="I4318" s="6" t="n">
        <f aca="false">Sens!H4318*(1+Sens!I4319)</f>
        <v>19.0353086852681</v>
      </c>
      <c r="J4318" s="6" t="n">
        <f aca="false">Sens!I4318*(1+Sens!J4319)</f>
        <v>19.1273539319129</v>
      </c>
      <c r="K4318" s="6" t="n">
        <f aca="false">Sens!J4318*(1+Sens!K4319)</f>
        <v>19.5099010105511</v>
      </c>
    </row>
    <row r="4319" customFormat="false" ht="15" hidden="false" customHeight="false" outlineLevel="0" collapsed="false">
      <c r="A4319" s="1" t="s">
        <v>866</v>
      </c>
      <c r="B4319" s="0" t="s">
        <v>129</v>
      </c>
      <c r="E4319" s="7" t="n">
        <f aca="false">Sens!E4318/Sens!D4318-1</f>
        <v>-0.0709869963760392</v>
      </c>
      <c r="F4319" s="7" t="n">
        <f aca="false">Sens!$E$4319+(glt_xbox-Sens!$E$4319)*MIN(1,(Sens!F4262-base_fy)/n_conv)</f>
        <v>-0.0558224969800327</v>
      </c>
      <c r="G4319" s="7" t="n">
        <f aca="false">Sens!$E$4319+(glt_xbox-Sens!$E$4319)*MIN(1,(Sens!G4262-base_fy)/n_conv)</f>
        <v>-0.0406579975840262</v>
      </c>
      <c r="H4319" s="7" t="n">
        <f aca="false">Sens!$E$4319+(glt_xbox-Sens!$E$4319)*MIN(1,(Sens!H4262-base_fy)/n_conv)</f>
        <v>-0.0254934981880196</v>
      </c>
      <c r="I4319" s="7" t="n">
        <f aca="false">Sens!$E$4319+(glt_xbox-Sens!$E$4319)*MIN(1,(Sens!I4262-base_fy)/n_conv)</f>
        <v>-0.0103289987920131</v>
      </c>
      <c r="J4319" s="7" t="n">
        <f aca="false">Sens!$E$4319+(glt_xbox-Sens!$E$4319)*MIN(1,(Sens!J4262-base_fy)/n_conv)</f>
        <v>0.00483550060399347</v>
      </c>
      <c r="K4319" s="7" t="n">
        <f aca="false">Sens!$E$4319+(glt_xbox-Sens!$E$4319)*MIN(1,(Sens!K4262-base_fy)/n_conv)</f>
        <v>0.02</v>
      </c>
    </row>
    <row r="4320" customFormat="false" ht="15" hidden="false" customHeight="false" outlineLevel="0" collapsed="false">
      <c r="A4320" s="0" t="s">
        <v>879</v>
      </c>
      <c r="B4320" s="0" t="s">
        <v>98</v>
      </c>
      <c r="D4320" s="6" t="n">
        <f aca="false">Q!L15</f>
        <v>17.315</v>
      </c>
      <c r="E4320" s="6" t="n">
        <f aca="false">Q!M15</f>
        <v>17.087</v>
      </c>
      <c r="F4320" s="6" t="n">
        <f aca="false">Sens!E4320*(1+Sens!F4321)</f>
        <v>16.9564585436519</v>
      </c>
      <c r="G4320" s="6" t="n">
        <f aca="false">Sens!F4320*(1+Sens!G4321)</f>
        <v>16.9206490624268</v>
      </c>
      <c r="H4320" s="6" t="n">
        <f aca="false">Sens!G4320*(1+Sens!H4321)</f>
        <v>16.9784519149849</v>
      </c>
      <c r="I4320" s="6" t="n">
        <f aca="false">Sens!H4320*(1+Sens!I4321)</f>
        <v>17.1303084701817</v>
      </c>
      <c r="J4320" s="6" t="n">
        <f aca="false">Sens!I4320*(1+Sens!J4321)</f>
        <v>17.3782189407267</v>
      </c>
      <c r="K4320" s="6" t="n">
        <f aca="false">Sens!J4320*(1+Sens!K4321)</f>
        <v>17.7257833195413</v>
      </c>
    </row>
    <row r="4321" customFormat="false" ht="15" hidden="false" customHeight="false" outlineLevel="0" collapsed="false">
      <c r="A4321" s="1" t="s">
        <v>866</v>
      </c>
      <c r="B4321" s="0" t="s">
        <v>129</v>
      </c>
      <c r="E4321" s="7" t="n">
        <f aca="false">Sens!E4320/Sens!D4320-1</f>
        <v>-0.0131677736066995</v>
      </c>
      <c r="F4321" s="7" t="n">
        <f aca="false">Sens!$E$4321+(glt_win-Sens!$E$4321)*MIN(1,(Sens!F4262-base_fy)/n_conv)</f>
        <v>-0.00763981133891627</v>
      </c>
      <c r="G4321" s="7" t="n">
        <f aca="false">Sens!$E$4321+(glt_win-Sens!$E$4321)*MIN(1,(Sens!G4262-base_fy)/n_conv)</f>
        <v>-0.00211184907113301</v>
      </c>
      <c r="H4321" s="7" t="n">
        <f aca="false">Sens!$E$4321+(glt_win-Sens!$E$4321)*MIN(1,(Sens!H4262-base_fy)/n_conv)</f>
        <v>0.00341611319665024</v>
      </c>
      <c r="I4321" s="7" t="n">
        <f aca="false">Sens!$E$4321+(glt_win-Sens!$E$4321)*MIN(1,(Sens!I4262-base_fy)/n_conv)</f>
        <v>0.00894407546443349</v>
      </c>
      <c r="J4321" s="7" t="n">
        <f aca="false">Sens!$E$4321+(glt_win-Sens!$E$4321)*MIN(1,(Sens!J4262-base_fy)/n_conv)</f>
        <v>0.0144720377322168</v>
      </c>
      <c r="K4321" s="7" t="n">
        <f aca="false">Sens!$E$4321+(glt_win-Sens!$E$4321)*MIN(1,(Sens!K4262-base_fy)/n_conv)</f>
        <v>0.02</v>
      </c>
    </row>
    <row r="4322" customFormat="false" ht="15" hidden="false" customHeight="false" outlineLevel="0" collapsed="false">
      <c r="A4322" s="0" t="s">
        <v>718</v>
      </c>
      <c r="B4322" s="0" t="s">
        <v>98</v>
      </c>
      <c r="D4322" s="6" t="n">
        <f aca="false">Sens!D4316+Sens!D4318+Sens!D4320</f>
        <v>62.941</v>
      </c>
      <c r="E4322" s="6" t="n">
        <f aca="false">Sens!E4316+Sens!E4318+Sens!E4320</f>
        <v>63.712</v>
      </c>
      <c r="F4322" s="6" t="n">
        <f aca="false">Sens!F4316+Sens!F4318+Sens!F4320</f>
        <v>65.1415764563129</v>
      </c>
      <c r="G4322" s="6" t="n">
        <f aca="false">Sens!G4316+Sens!G4318+Sens!G4320</f>
        <v>67.1253610780702</v>
      </c>
      <c r="H4322" s="6" t="n">
        <f aca="false">Sens!H4316+Sens!H4318+Sens!H4320</f>
        <v>69.5768050148776</v>
      </c>
      <c r="I4322" s="6" t="n">
        <f aca="false">Sens!I4316+Sens!I4318+Sens!I4320</f>
        <v>72.4233188088189</v>
      </c>
      <c r="J4322" s="6" t="n">
        <f aca="false">Sens!J4316+Sens!J4318+Sens!J4320</f>
        <v>75.6044096678567</v>
      </c>
      <c r="K4322" s="6" t="n">
        <f aca="false">Sens!K4316+Sens!K4318+Sens!K4320</f>
        <v>79.0714397009747</v>
      </c>
    </row>
    <row r="4323" customFormat="false" ht="15" hidden="false" customHeight="false" outlineLevel="0" collapsed="false">
      <c r="A4323" s="1" t="s">
        <v>880</v>
      </c>
      <c r="B4323" s="0" t="s">
        <v>98</v>
      </c>
      <c r="D4323" s="6" t="n">
        <f aca="false">Sens!D4315+Sens!D4322</f>
        <v>281.724</v>
      </c>
      <c r="E4323" s="6" t="n">
        <f aca="false">Sens!E4315+Sens!E4322</f>
        <v>331.839</v>
      </c>
      <c r="F4323" s="6" t="n">
        <f aca="false">Sens!F4315+Sens!F4322</f>
        <v>399.407104707821</v>
      </c>
      <c r="G4323" s="6" t="n">
        <f aca="false">Sens!G4315+Sens!G4322</f>
        <v>475.197484137863</v>
      </c>
      <c r="H4323" s="6" t="n">
        <f aca="false">Sens!H4315+Sens!H4322</f>
        <v>553.974510132325</v>
      </c>
      <c r="I4323" s="6" t="n">
        <f aca="false">Sens!I4315+Sens!I4322</f>
        <v>626.234958702345</v>
      </c>
      <c r="J4323" s="6" t="n">
        <f aca="false">Sens!J4315+Sens!J4322</f>
        <v>686.98106312214</v>
      </c>
      <c r="K4323" s="6" t="n">
        <f aca="false">Sens!K4315+Sens!K4322</f>
        <v>736.681124990436</v>
      </c>
    </row>
    <row r="4324" customFormat="false" ht="15" hidden="false" customHeight="false" outlineLevel="0" collapsed="false">
      <c r="A4324" s="23" t="s">
        <v>881</v>
      </c>
      <c r="B4324" s="30" t="s">
        <v>98</v>
      </c>
      <c r="C4324" s="30"/>
      <c r="D4324" s="24" t="n">
        <f aca="false">(Sens!D4303+Sens!D4308+Sens!D4309+Sens!D4311+Sens!D4313-Sens!D4315)+(Sens!D4316+Sens!D4318+Sens!D4320-Sens!D4322)+(Sens!D4315-Q!L5)+(Sens!D4322-Q!L12)+(Sens!D4303-Q!L6)+(Sens!D4308-Q!L7)</f>
        <v>0</v>
      </c>
      <c r="E4324" s="24" t="n">
        <f aca="false">(Sens!E4303+Sens!E4308+Sens!E4309+Sens!E4311+Sens!E4313-Sens!E4315)+(Sens!E4316+Sens!E4318+Sens!E4320-Sens!E4322)+(Sens!E4315-Q!M5)+(Sens!E4322-Q!M12)+(Sens!E4303-Q!M6)+(Sens!E4308-Q!M7)</f>
        <v>0</v>
      </c>
      <c r="F4324" s="24" t="n">
        <f aca="false">(Sens!F4303+Sens!F4308+Sens!F4309+Sens!F4311+Sens!F4313-Sens!F4315)+(Sens!F4316+Sens!F4318+Sens!F4320-Sens!F4322)</f>
        <v>0</v>
      </c>
      <c r="G4324" s="24" t="n">
        <f aca="false">(Sens!G4303+Sens!G4308+Sens!G4309+Sens!G4311+Sens!G4313-Sens!G4315)+(Sens!G4316+Sens!G4318+Sens!G4320-Sens!G4322)</f>
        <v>0</v>
      </c>
      <c r="H4324" s="24" t="n">
        <f aca="false">(Sens!H4303+Sens!H4308+Sens!H4309+Sens!H4311+Sens!H4313-Sens!H4315)+(Sens!H4316+Sens!H4318+Sens!H4320-Sens!H4322)</f>
        <v>0</v>
      </c>
      <c r="I4324" s="24" t="n">
        <f aca="false">(Sens!I4303+Sens!I4308+Sens!I4309+Sens!I4311+Sens!I4313-Sens!I4315)+(Sens!I4316+Sens!I4318+Sens!I4320-Sens!I4322)</f>
        <v>0</v>
      </c>
      <c r="J4324" s="24" t="n">
        <f aca="false">(Sens!J4303+Sens!J4308+Sens!J4309+Sens!J4311+Sens!J4313-Sens!J4315)+(Sens!J4316+Sens!J4318+Sens!J4320-Sens!J4322)</f>
        <v>0</v>
      </c>
      <c r="K4324" s="24" t="n">
        <f aca="false">(Sens!K4303+Sens!K4308+Sens!K4309+Sens!K4311+Sens!K4313-Sens!K4315)+(Sens!K4316+Sens!K4318+Sens!K4320-Sens!K4322)</f>
        <v>0</v>
      </c>
    </row>
    <row r="4325" customFormat="false" ht="17.15" hidden="false" customHeight="false" outlineLevel="0" collapsed="false">
      <c r="A4325" s="3" t="s">
        <v>1346</v>
      </c>
    </row>
    <row r="4326" customFormat="false" ht="15" hidden="false" customHeight="false" outlineLevel="0" collapsed="false">
      <c r="A4326" s="4" t="s">
        <v>43</v>
      </c>
      <c r="B4326" s="4" t="s">
        <v>65</v>
      </c>
      <c r="C4326" s="20" t="s">
        <v>788</v>
      </c>
      <c r="D4326" s="20" t="s">
        <v>789</v>
      </c>
      <c r="E4326" s="20" t="s">
        <v>790</v>
      </c>
      <c r="F4326" s="20" t="s">
        <v>791</v>
      </c>
      <c r="G4326" s="20" t="s">
        <v>792</v>
      </c>
      <c r="H4326" s="20" t="s">
        <v>793</v>
      </c>
      <c r="I4326" s="20" t="s">
        <v>794</v>
      </c>
      <c r="J4326" s="20" t="s">
        <v>795</v>
      </c>
      <c r="K4326" s="20" t="s">
        <v>796</v>
      </c>
      <c r="L4326" s="4" t="s">
        <v>47</v>
      </c>
    </row>
    <row r="4327" customFormat="false" ht="15" hidden="false" customHeight="false" outlineLevel="0" collapsed="false">
      <c r="A4327" s="0" t="s">
        <v>867</v>
      </c>
      <c r="B4327" s="0" t="s">
        <v>98</v>
      </c>
      <c r="D4327" s="6" t="n">
        <f aca="false">Sens!D4303</f>
        <v>72.61</v>
      </c>
      <c r="E4327" s="6" t="n">
        <f aca="false">Sens!E4303</f>
        <v>101.938</v>
      </c>
      <c r="F4327" s="6" t="n">
        <f aca="false">Sens!F4303</f>
        <v>145.143956312325</v>
      </c>
      <c r="G4327" s="6" t="n">
        <f aca="false">Sens!G4303</f>
        <v>196.478966522364</v>
      </c>
      <c r="H4327" s="6" t="n">
        <f aca="false">Sens!H4303</f>
        <v>250.309022435933</v>
      </c>
      <c r="I4327" s="6" t="n">
        <f aca="false">Sens!I4303</f>
        <v>299.00028491404</v>
      </c>
      <c r="J4327" s="6" t="n">
        <f aca="false">Sens!J4303</f>
        <v>337.935756350114</v>
      </c>
      <c r="K4327" s="6" t="n">
        <f aca="false">Sens!K4303</f>
        <v>366.465615949285</v>
      </c>
    </row>
    <row r="4328" customFormat="false" ht="17.15" hidden="false" customHeight="false" outlineLevel="0" collapsed="false">
      <c r="A4328" s="0" t="s">
        <v>864</v>
      </c>
      <c r="B4328" s="0" t="s">
        <v>98</v>
      </c>
      <c r="D4328" s="6" t="n">
        <f aca="false">Sens!D4300</f>
        <v>12.9359794422418</v>
      </c>
      <c r="E4328" s="6" t="n">
        <f aca="false">Sens!E4300</f>
        <v>27.8095064661409</v>
      </c>
      <c r="F4328" s="6" t="n">
        <f aca="false">Sens!F4300</f>
        <v>55.0640065749585</v>
      </c>
      <c r="G4328" s="6" t="n">
        <f aca="false">Sens!G4300</f>
        <v>89.4505413190538</v>
      </c>
      <c r="H4328" s="6" t="n">
        <f aca="false">Sens!H4300</f>
        <v>126.037039850297</v>
      </c>
      <c r="I4328" s="6" t="n">
        <f aca="false">Sens!I4300</f>
        <v>158.066582532185</v>
      </c>
      <c r="J4328" s="6" t="n">
        <f aca="false">Sens!J4300</f>
        <v>181.916889035783</v>
      </c>
      <c r="K4328" s="6" t="n">
        <f aca="false">Sens!K4300</f>
        <v>197.965239249806</v>
      </c>
    </row>
    <row r="4329" customFormat="false" ht="17.15" hidden="false" customHeight="false" outlineLevel="0" collapsed="false">
      <c r="A4329" s="0" t="s">
        <v>892</v>
      </c>
      <c r="B4329" s="0" t="s">
        <v>98</v>
      </c>
      <c r="D4329" s="6" t="n">
        <f aca="false">Sens!D4301</f>
        <v>59.6740205577583</v>
      </c>
      <c r="E4329" s="6" t="n">
        <f aca="false">Sens!E4301</f>
        <v>74.1284935338591</v>
      </c>
      <c r="F4329" s="6" t="n">
        <f aca="false">Sens!F4301</f>
        <v>90.0799497373663</v>
      </c>
      <c r="G4329" s="6" t="n">
        <f aca="false">Sens!G4301</f>
        <v>107.02842520331</v>
      </c>
      <c r="H4329" s="6" t="n">
        <f aca="false">Sens!H4301</f>
        <v>124.271982585636</v>
      </c>
      <c r="I4329" s="6" t="n">
        <f aca="false">Sens!I4301</f>
        <v>140.933702381855</v>
      </c>
      <c r="J4329" s="6" t="n">
        <f aca="false">Sens!J4301</f>
        <v>156.018867314332</v>
      </c>
      <c r="K4329" s="6" t="n">
        <f aca="false">Sens!K4301</f>
        <v>168.500376699478</v>
      </c>
    </row>
    <row r="4330" customFormat="false" ht="15" hidden="false" customHeight="false" outlineLevel="0" collapsed="false">
      <c r="A4330" s="0" t="s">
        <v>873</v>
      </c>
      <c r="B4330" s="0" t="s">
        <v>98</v>
      </c>
      <c r="D4330" s="6" t="n">
        <f aca="false">Sens!D4308</f>
        <v>84.605</v>
      </c>
      <c r="E4330" s="6" t="n">
        <f aca="false">Sens!E4308</f>
        <v>100.299</v>
      </c>
      <c r="F4330" s="6" t="n">
        <f aca="false">Sens!F4308</f>
        <v>118.89238776686</v>
      </c>
      <c r="G4330" s="6" t="n">
        <f aca="false">Sens!G4308</f>
        <v>137.044168448684</v>
      </c>
      <c r="H4330" s="6" t="n">
        <f aca="false">Sens!H4308</f>
        <v>155.277359388781</v>
      </c>
      <c r="I4330" s="6" t="n">
        <f aca="false">Sens!I4308</f>
        <v>171.834028071957</v>
      </c>
      <c r="J4330" s="6" t="n">
        <f aca="false">Sens!J4308</f>
        <v>186.432702785465</v>
      </c>
      <c r="K4330" s="6" t="n">
        <f aca="false">Sens!K4308</f>
        <v>200.277991980448</v>
      </c>
    </row>
    <row r="4331" customFormat="false" ht="17.15" hidden="false" customHeight="false" outlineLevel="0" collapsed="false">
      <c r="A4331" s="0" t="s">
        <v>893</v>
      </c>
      <c r="B4331" s="0" t="s">
        <v>98</v>
      </c>
      <c r="D4331" s="6" t="n">
        <f aca="false">Sens!D4306</f>
        <v>83.705</v>
      </c>
      <c r="E4331" s="6" t="n">
        <f aca="false">Sens!E4306</f>
        <v>95.049</v>
      </c>
      <c r="F4331" s="6" t="n">
        <f aca="false">Sens!F4306</f>
        <v>106.89238776686</v>
      </c>
      <c r="G4331" s="6" t="n">
        <f aca="false">Sens!G4306</f>
        <v>119.044168448684</v>
      </c>
      <c r="H4331" s="6" t="n">
        <f aca="false">Sens!H4306</f>
        <v>131.277359388781</v>
      </c>
      <c r="I4331" s="6" t="n">
        <f aca="false">Sens!I4306</f>
        <v>143.334028071957</v>
      </c>
      <c r="J4331" s="6" t="n">
        <f aca="false">Sens!J4306</f>
        <v>154.932702785465</v>
      </c>
      <c r="K4331" s="6" t="n">
        <f aca="false">Sens!K4306</f>
        <v>165.777991980448</v>
      </c>
    </row>
    <row r="4332" customFormat="false" ht="17.15" hidden="false" customHeight="false" outlineLevel="0" collapsed="false">
      <c r="A4332" s="0" t="s">
        <v>894</v>
      </c>
      <c r="B4332" s="0" t="s">
        <v>98</v>
      </c>
      <c r="D4332" s="6" t="n">
        <f aca="false">Sens!D4305</f>
        <v>0.9</v>
      </c>
      <c r="E4332" s="6" t="n">
        <f aca="false">Sens!E4305</f>
        <v>5.25</v>
      </c>
      <c r="F4332" s="6" t="n">
        <f aca="false">Sens!F4305</f>
        <v>12</v>
      </c>
      <c r="G4332" s="6" t="n">
        <f aca="false">Sens!G4305</f>
        <v>18</v>
      </c>
      <c r="H4332" s="6" t="n">
        <f aca="false">Sens!H4305</f>
        <v>24</v>
      </c>
      <c r="I4332" s="6" t="n">
        <f aca="false">Sens!I4305</f>
        <v>28.5</v>
      </c>
      <c r="J4332" s="6" t="n">
        <f aca="false">Sens!J4305</f>
        <v>31.5</v>
      </c>
      <c r="K4332" s="6" t="n">
        <f aca="false">Sens!K4305</f>
        <v>34.5</v>
      </c>
    </row>
    <row r="4333" customFormat="false" ht="15" hidden="false" customHeight="false" outlineLevel="0" collapsed="false">
      <c r="A4333" s="0" t="s">
        <v>874</v>
      </c>
      <c r="B4333" s="0" t="s">
        <v>98</v>
      </c>
      <c r="D4333" s="6" t="n">
        <f aca="false">Sens!D4309</f>
        <v>35.391</v>
      </c>
      <c r="E4333" s="6" t="n">
        <f aca="false">Sens!E4309</f>
        <v>37.285</v>
      </c>
      <c r="F4333" s="6" t="n">
        <f aca="false">Sens!F4309</f>
        <v>39.0720834331704</v>
      </c>
      <c r="G4333" s="6" t="n">
        <f aca="false">Sens!G4309</f>
        <v>40.726562953769</v>
      </c>
      <c r="H4333" s="6" t="n">
        <f aca="false">Sens!H4309</f>
        <v>42.2235987259198</v>
      </c>
      <c r="I4333" s="6" t="n">
        <f aca="false">Sens!I4309</f>
        <v>43.5397988077414</v>
      </c>
      <c r="J4333" s="6" t="n">
        <f aca="false">Sens!J4309</f>
        <v>44.653811225693</v>
      </c>
      <c r="K4333" s="6" t="n">
        <f aca="false">Sens!K4309</f>
        <v>45.5468874502068</v>
      </c>
    </row>
    <row r="4334" customFormat="false" ht="15" hidden="false" customHeight="false" outlineLevel="0" collapsed="false">
      <c r="A4334" s="0" t="s">
        <v>875</v>
      </c>
      <c r="B4334" s="0" t="s">
        <v>98</v>
      </c>
      <c r="D4334" s="6" t="n">
        <f aca="false">Sens!D4311</f>
        <v>18.417</v>
      </c>
      <c r="E4334" s="6" t="n">
        <f aca="false">Sens!E4311</f>
        <v>20.345</v>
      </c>
      <c r="F4334" s="6" t="n">
        <f aca="false">Sens!F4311</f>
        <v>22.3572203267814</v>
      </c>
      <c r="G4334" s="6" t="n">
        <f aca="false">Sens!G4311</f>
        <v>24.4392124437232</v>
      </c>
      <c r="H4334" s="6" t="n">
        <f aca="false">Sens!H4311</f>
        <v>26.5738052080665</v>
      </c>
      <c r="I4334" s="6" t="n">
        <f aca="false">Sens!I4311</f>
        <v>28.7412169166967</v>
      </c>
      <c r="J4334" s="6" t="n">
        <f aca="false">Sens!J4311</f>
        <v>30.9192545395413</v>
      </c>
      <c r="K4334" s="6" t="n">
        <f aca="false">Sens!K4311</f>
        <v>33.0836023573092</v>
      </c>
    </row>
    <row r="4335" customFormat="false" ht="15" hidden="false" customHeight="false" outlineLevel="0" collapsed="false">
      <c r="A4335" s="0" t="s">
        <v>876</v>
      </c>
      <c r="B4335" s="0" t="s">
        <v>98</v>
      </c>
      <c r="D4335" s="6" t="n">
        <f aca="false">Sens!D4313</f>
        <v>7.76</v>
      </c>
      <c r="E4335" s="6" t="n">
        <f aca="false">Sens!E4313</f>
        <v>8.26</v>
      </c>
      <c r="F4335" s="6" t="n">
        <f aca="false">Sens!F4313</f>
        <v>8.79988041237113</v>
      </c>
      <c r="G4335" s="6" t="n">
        <f aca="false">Sens!G4313</f>
        <v>9.38321269125306</v>
      </c>
      <c r="H4335" s="6" t="n">
        <f aca="false">Sens!H4313</f>
        <v>10.0139193587476</v>
      </c>
      <c r="I4335" s="6" t="n">
        <f aca="false">Sens!I4313</f>
        <v>10.6963111830911</v>
      </c>
      <c r="J4335" s="6" t="n">
        <f aca="false">Sens!J4313</f>
        <v>11.4351285534696</v>
      </c>
      <c r="K4335" s="6" t="n">
        <f aca="false">Sens!K4313</f>
        <v>12.2355875522124</v>
      </c>
    </row>
    <row r="4336" customFormat="false" ht="15" hidden="false" customHeight="false" outlineLevel="0" collapsed="false">
      <c r="A4336" s="0" t="s">
        <v>704</v>
      </c>
      <c r="B4336" s="0" t="s">
        <v>98</v>
      </c>
      <c r="D4336" s="6" t="n">
        <f aca="false">Sens!D4315</f>
        <v>218.783</v>
      </c>
      <c r="E4336" s="6" t="n">
        <f aca="false">Sens!E4315</f>
        <v>268.127</v>
      </c>
      <c r="F4336" s="6" t="n">
        <f aca="false">Sens!F4315</f>
        <v>334.265528251508</v>
      </c>
      <c r="G4336" s="6" t="n">
        <f aca="false">Sens!G4315</f>
        <v>408.072123059793</v>
      </c>
      <c r="H4336" s="6" t="n">
        <f aca="false">Sens!H4315</f>
        <v>484.397705117448</v>
      </c>
      <c r="I4336" s="6" t="n">
        <f aca="false">Sens!I4315</f>
        <v>553.811639893526</v>
      </c>
      <c r="J4336" s="6" t="n">
        <f aca="false">Sens!J4315</f>
        <v>611.376653454283</v>
      </c>
      <c r="K4336" s="6" t="n">
        <f aca="false">Sens!K4315</f>
        <v>657.609685289461</v>
      </c>
    </row>
    <row r="4337" customFormat="false" ht="15" hidden="false" customHeight="false" outlineLevel="0" collapsed="false">
      <c r="A4337" s="0" t="s">
        <v>877</v>
      </c>
      <c r="B4337" s="0" t="s">
        <v>98</v>
      </c>
      <c r="D4337" s="6" t="n">
        <f aca="false">Sens!D4316</f>
        <v>22.171</v>
      </c>
      <c r="E4337" s="6" t="n">
        <f aca="false">Sens!E4316</f>
        <v>24.835</v>
      </c>
      <c r="F4337" s="6" t="n">
        <f aca="false">Sens!F4316</f>
        <v>27.6114901218559</v>
      </c>
      <c r="G4337" s="6" t="n">
        <f aca="false">Sens!G4316</f>
        <v>30.4675667338515</v>
      </c>
      <c r="H4337" s="6" t="n">
        <f aca="false">Sens!H4316</f>
        <v>33.3643766955789</v>
      </c>
      <c r="I4337" s="6" t="n">
        <f aca="false">Sens!I4316</f>
        <v>36.2577016533691</v>
      </c>
      <c r="J4337" s="6" t="n">
        <f aca="false">Sens!J4316</f>
        <v>39.0988367952171</v>
      </c>
      <c r="K4337" s="6" t="n">
        <f aca="false">Sens!K4316</f>
        <v>41.8357553708823</v>
      </c>
    </row>
    <row r="4338" customFormat="false" ht="15" hidden="false" customHeight="false" outlineLevel="0" collapsed="false">
      <c r="A4338" s="0" t="s">
        <v>878</v>
      </c>
      <c r="B4338" s="0" t="s">
        <v>98</v>
      </c>
      <c r="D4338" s="6" t="n">
        <f aca="false">Sens!D4318</f>
        <v>23.455</v>
      </c>
      <c r="E4338" s="6" t="n">
        <f aca="false">Sens!E4318</f>
        <v>21.79</v>
      </c>
      <c r="F4338" s="6" t="n">
        <f aca="false">Sens!F4318</f>
        <v>20.5736277908051</v>
      </c>
      <c r="G4338" s="6" t="n">
        <f aca="false">Sens!G4318</f>
        <v>19.7371452817919</v>
      </c>
      <c r="H4338" s="6" t="n">
        <f aca="false">Sens!H4318</f>
        <v>19.2339764043138</v>
      </c>
      <c r="I4338" s="6" t="n">
        <f aca="false">Sens!I4318</f>
        <v>19.0353086852681</v>
      </c>
      <c r="J4338" s="6" t="n">
        <f aca="false">Sens!J4318</f>
        <v>19.1273539319129</v>
      </c>
      <c r="K4338" s="6" t="n">
        <f aca="false">Sens!K4318</f>
        <v>19.5099010105511</v>
      </c>
    </row>
    <row r="4339" customFormat="false" ht="15" hidden="false" customHeight="false" outlineLevel="0" collapsed="false">
      <c r="A4339" s="0" t="s">
        <v>879</v>
      </c>
      <c r="B4339" s="0" t="s">
        <v>98</v>
      </c>
      <c r="D4339" s="6" t="n">
        <f aca="false">Sens!D4320</f>
        <v>17.315</v>
      </c>
      <c r="E4339" s="6" t="n">
        <f aca="false">Sens!E4320</f>
        <v>17.087</v>
      </c>
      <c r="F4339" s="6" t="n">
        <f aca="false">Sens!F4320</f>
        <v>16.9564585436519</v>
      </c>
      <c r="G4339" s="6" t="n">
        <f aca="false">Sens!G4320</f>
        <v>16.9206490624268</v>
      </c>
      <c r="H4339" s="6" t="n">
        <f aca="false">Sens!H4320</f>
        <v>16.9784519149849</v>
      </c>
      <c r="I4339" s="6" t="n">
        <f aca="false">Sens!I4320</f>
        <v>17.1303084701817</v>
      </c>
      <c r="J4339" s="6" t="n">
        <f aca="false">Sens!J4320</f>
        <v>17.3782189407267</v>
      </c>
      <c r="K4339" s="6" t="n">
        <f aca="false">Sens!K4320</f>
        <v>17.7257833195413</v>
      </c>
    </row>
    <row r="4340" customFormat="false" ht="15" hidden="false" customHeight="false" outlineLevel="0" collapsed="false">
      <c r="A4340" s="0" t="s">
        <v>718</v>
      </c>
      <c r="B4340" s="0" t="s">
        <v>98</v>
      </c>
      <c r="D4340" s="6" t="n">
        <f aca="false">Sens!D4322</f>
        <v>62.941</v>
      </c>
      <c r="E4340" s="6" t="n">
        <f aca="false">Sens!E4322</f>
        <v>63.712</v>
      </c>
      <c r="F4340" s="6" t="n">
        <f aca="false">Sens!F4322</f>
        <v>65.1415764563129</v>
      </c>
      <c r="G4340" s="6" t="n">
        <f aca="false">Sens!G4322</f>
        <v>67.1253610780702</v>
      </c>
      <c r="H4340" s="6" t="n">
        <f aca="false">Sens!H4322</f>
        <v>69.5768050148776</v>
      </c>
      <c r="I4340" s="6" t="n">
        <f aca="false">Sens!I4322</f>
        <v>72.4233188088189</v>
      </c>
      <c r="J4340" s="6" t="n">
        <f aca="false">Sens!J4322</f>
        <v>75.6044096678567</v>
      </c>
      <c r="K4340" s="6" t="n">
        <f aca="false">Sens!K4322</f>
        <v>79.0714397009747</v>
      </c>
    </row>
    <row r="4341" customFormat="false" ht="15" hidden="false" customHeight="false" outlineLevel="0" collapsed="false">
      <c r="A4341" s="1" t="s">
        <v>895</v>
      </c>
      <c r="B4341" s="0" t="s">
        <v>98</v>
      </c>
      <c r="D4341" s="6" t="n">
        <f aca="false">Sens!D4323</f>
        <v>281.724</v>
      </c>
      <c r="E4341" s="6" t="n">
        <f aca="false">Sens!E4323</f>
        <v>331.839</v>
      </c>
      <c r="F4341" s="6" t="n">
        <f aca="false">Sens!F4323</f>
        <v>399.407104707821</v>
      </c>
      <c r="G4341" s="6" t="n">
        <f aca="false">Sens!G4323</f>
        <v>475.197484137863</v>
      </c>
      <c r="H4341" s="6" t="n">
        <f aca="false">Sens!H4323</f>
        <v>553.974510132325</v>
      </c>
      <c r="I4341" s="6" t="n">
        <f aca="false">Sens!I4323</f>
        <v>626.234958702345</v>
      </c>
      <c r="J4341" s="6" t="n">
        <f aca="false">Sens!J4323</f>
        <v>686.98106312214</v>
      </c>
      <c r="K4341" s="6" t="n">
        <f aca="false">Sens!K4323</f>
        <v>736.681124990436</v>
      </c>
    </row>
    <row r="4342" customFormat="false" ht="15" hidden="false" customHeight="false" outlineLevel="0" collapsed="false">
      <c r="A4342" s="1" t="s">
        <v>896</v>
      </c>
      <c r="B4342" s="0" t="s">
        <v>129</v>
      </c>
      <c r="E4342" s="7" t="n">
        <f aca="false">Sens!E4341/Sens!D4341-1</f>
        <v>0.177886867998467</v>
      </c>
      <c r="F4342" s="7" t="n">
        <f aca="false">Sens!F4341/Sens!E4341-1</f>
        <v>0.203617129715978</v>
      </c>
      <c r="G4342" s="7" t="n">
        <f aca="false">Sens!G4341/Sens!F4341-1</f>
        <v>0.189757213972159</v>
      </c>
      <c r="H4342" s="7" t="n">
        <f aca="false">Sens!H4341/Sens!G4341-1</f>
        <v>0.165777447532966</v>
      </c>
      <c r="I4342" s="7" t="n">
        <f aca="false">Sens!I4341/Sens!H4341-1</f>
        <v>0.130440024312237</v>
      </c>
      <c r="J4342" s="7" t="n">
        <f aca="false">Sens!J4341/Sens!I4341-1</f>
        <v>0.0970020973368686</v>
      </c>
      <c r="K4342" s="7" t="n">
        <f aca="false">Sens!K4341/Sens!J4341-1</f>
        <v>0.0723456067950732</v>
      </c>
    </row>
    <row r="4343" customFormat="false" ht="17.15" hidden="false" customHeight="false" outlineLevel="0" collapsed="false">
      <c r="A4343" s="23" t="s">
        <v>897</v>
      </c>
      <c r="B4343" s="30" t="s">
        <v>98</v>
      </c>
      <c r="C4343" s="30"/>
      <c r="D4343" s="24" t="n">
        <f aca="false">(Sens!D4336+Sens!D4340-Sens!D4341)+(Sens!D4328+Sens!D4329-Sens!D4327)+(Sens!D4331+Sens!D4332-Sens!D4330)+(Sens!D4341-Q!L18)</f>
        <v>0</v>
      </c>
      <c r="E4343" s="24" t="n">
        <f aca="false">(Sens!E4336+Sens!E4340-Sens!E4341)+(Sens!E4328+Sens!E4329-Sens!E4327)+(Sens!E4331+Sens!E4332-Sens!E4330)+(Sens!E4341-Q!M18)</f>
        <v>0</v>
      </c>
      <c r="F4343" s="24" t="n">
        <f aca="false">(Sens!F4336+Sens!F4340-Sens!F4341)+(Sens!F4328+Sens!F4329-Sens!F4327)+(Sens!F4331+Sens!F4332-Sens!F4330)</f>
        <v>0</v>
      </c>
      <c r="G4343" s="24" t="n">
        <f aca="false">(Sens!G4336+Sens!G4340-Sens!G4341)+(Sens!G4328+Sens!G4329-Sens!G4327)+(Sens!G4331+Sens!G4332-Sens!G4330)</f>
        <v>0</v>
      </c>
      <c r="H4343" s="24" t="n">
        <f aca="false">(Sens!H4336+Sens!H4340-Sens!H4341)+(Sens!H4328+Sens!H4329-Sens!H4327)+(Sens!H4331+Sens!H4332-Sens!H4330)</f>
        <v>0</v>
      </c>
      <c r="I4343" s="24" t="n">
        <f aca="false">(Sens!I4336+Sens!I4340-Sens!I4341)+(Sens!I4328+Sens!I4329-Sens!I4327)+(Sens!I4331+Sens!I4332-Sens!I4330)</f>
        <v>0</v>
      </c>
      <c r="J4343" s="24" t="n">
        <f aca="false">(Sens!J4336+Sens!J4340-Sens!J4341)+(Sens!J4328+Sens!J4329-Sens!J4327)+(Sens!J4331+Sens!J4332-Sens!J4330)</f>
        <v>0</v>
      </c>
      <c r="K4343" s="24" t="n">
        <f aca="false">(Sens!K4336+Sens!K4340-Sens!K4341)+(Sens!K4328+Sens!K4329-Sens!K4327)+(Sens!K4331+Sens!K4332-Sens!K4330)</f>
        <v>0</v>
      </c>
    </row>
    <row r="4344" customFormat="false" ht="17.15" hidden="false" customHeight="false" outlineLevel="0" collapsed="false">
      <c r="A4344" s="0" t="s">
        <v>898</v>
      </c>
      <c r="B4344" s="0" t="s">
        <v>129</v>
      </c>
      <c r="E4344" s="7" t="n">
        <f aca="false">(Q!M21+Sens!E4281+Sens!E4282+Sens!E4283+Sens!E4296-Sens!E4279)/(Q!M5-Sens!E4279)</f>
        <v>0.583491251973566</v>
      </c>
      <c r="F4344" s="7" t="n">
        <f aca="false">Sens!$E$4344+dm_seg</f>
        <v>0.583491251973566</v>
      </c>
      <c r="G4344" s="7" t="n">
        <f aca="false">Sens!$E$4344+dm_seg</f>
        <v>0.583491251973566</v>
      </c>
      <c r="H4344" s="7" t="n">
        <f aca="false">Sens!$E$4344+dm_seg</f>
        <v>0.583491251973566</v>
      </c>
      <c r="I4344" s="7" t="n">
        <f aca="false">Sens!$E$4344+dm_seg</f>
        <v>0.583491251973566</v>
      </c>
      <c r="J4344" s="7" t="n">
        <f aca="false">Sens!$E$4344+dm_seg</f>
        <v>0.583491251973566</v>
      </c>
      <c r="K4344" s="7" t="n">
        <f aca="false">Sens!$E$4344+dm_seg</f>
        <v>0.583491251973566</v>
      </c>
      <c r="L4344" s="11" t="s">
        <v>899</v>
      </c>
    </row>
    <row r="4345" customFormat="false" ht="17.15" hidden="false" customHeight="false" outlineLevel="0" collapsed="false">
      <c r="A4345" s="0" t="s">
        <v>732</v>
      </c>
      <c r="B4345" s="0" t="s">
        <v>98</v>
      </c>
      <c r="D4345" s="6" t="n">
        <f aca="false">Q!L21</f>
        <v>110.814</v>
      </c>
      <c r="E4345" s="6" t="n">
        <f aca="false">Q!M21</f>
        <v>136.365</v>
      </c>
      <c r="F4345" s="6" t="n">
        <f aca="false">Sens!F4344*(Sens!F4315-Sens!F4279)+Sens!F4279-(Sens!F4281+Sens!F4282+Sens!F4283)-Sens!F4296</f>
        <v>154.638651107615</v>
      </c>
      <c r="G4345" s="6" t="n">
        <f aca="false">Sens!G4344*(Sens!G4315-Sens!G4279)+Sens!G4279-(Sens!G4281+Sens!G4282+Sens!G4283)-Sens!G4296</f>
        <v>169.869233266935</v>
      </c>
      <c r="H4345" s="6" t="n">
        <f aca="false">Sens!H4344*(Sens!H4315-Sens!H4279)+Sens!H4279-(Sens!H4281+Sens!H4282+Sens!H4283)-Sens!H4296</f>
        <v>185.180854841741</v>
      </c>
      <c r="I4345" s="6" t="n">
        <f aca="false">Sens!I4344*(Sens!I4315-Sens!I4279)+Sens!I4279-(Sens!I4281+Sens!I4282+Sens!I4283)-Sens!I4296</f>
        <v>199.257514875657</v>
      </c>
      <c r="J4345" s="6" t="n">
        <f aca="false">Sens!J4344*(Sens!J4315-Sens!J4279)+Sens!J4279-(Sens!J4281+Sens!J4282+Sens!J4283)-Sens!J4296</f>
        <v>214.018358418743</v>
      </c>
      <c r="K4345" s="6" t="n">
        <f aca="false">Sens!K4344*(Sens!K4315-Sens!K4279)+Sens!K4279-(Sens!K4281+Sens!K4282+Sens!K4283)-Sens!K4296</f>
        <v>232.182723645199</v>
      </c>
      <c r="L4345" s="1" t="s">
        <v>900</v>
      </c>
    </row>
    <row r="4346" customFormat="false" ht="17.15" hidden="false" customHeight="false" outlineLevel="0" collapsed="false">
      <c r="A4346" s="0" t="s">
        <v>901</v>
      </c>
      <c r="B4346" s="0" t="s">
        <v>129</v>
      </c>
      <c r="E4346" s="7" t="n">
        <f aca="false">Q!M22/Q!M12</f>
        <v>0.296207935710698</v>
      </c>
      <c r="F4346" s="7" t="n">
        <f aca="false">Sens!$E$4346+dm_seg</f>
        <v>0.296207935710698</v>
      </c>
      <c r="G4346" s="7" t="n">
        <f aca="false">Sens!$E$4346+dm_seg</f>
        <v>0.296207935710698</v>
      </c>
      <c r="H4346" s="7" t="n">
        <f aca="false">Sens!$E$4346+dm_seg</f>
        <v>0.296207935710698</v>
      </c>
      <c r="I4346" s="7" t="n">
        <f aca="false">Sens!$E$4346+dm_seg</f>
        <v>0.296207935710698</v>
      </c>
      <c r="J4346" s="7" t="n">
        <f aca="false">Sens!$E$4346+dm_seg</f>
        <v>0.296207935710698</v>
      </c>
      <c r="K4346" s="7" t="n">
        <f aca="false">Sens!$E$4346+dm_seg</f>
        <v>0.296207935710698</v>
      </c>
      <c r="L4346" s="11" t="s">
        <v>902</v>
      </c>
    </row>
    <row r="4347" customFormat="false" ht="17.15" hidden="false" customHeight="false" outlineLevel="0" collapsed="false">
      <c r="A4347" s="0" t="s">
        <v>734</v>
      </c>
      <c r="B4347" s="0" t="s">
        <v>98</v>
      </c>
      <c r="D4347" s="6" t="n">
        <f aca="false">Q!L22</f>
        <v>17.714</v>
      </c>
      <c r="E4347" s="6" t="n">
        <f aca="false">Q!M22</f>
        <v>18.872</v>
      </c>
      <c r="F4347" s="6" t="n">
        <f aca="false">Sens!F4322*Sens!F4346</f>
        <v>19.2954518910651</v>
      </c>
      <c r="G4347" s="6" t="n">
        <f aca="false">Sens!G4322*Sens!G4346</f>
        <v>19.8830646387704</v>
      </c>
      <c r="H4347" s="6" t="n">
        <f aca="false">Sens!H4322*Sens!H4346</f>
        <v>20.6092017868026</v>
      </c>
      <c r="I4347" s="6" t="n">
        <f aca="false">Sens!I4322*Sens!I4346</f>
        <v>21.452361761678</v>
      </c>
      <c r="J4347" s="6" t="n">
        <f aca="false">Sens!J4322*Sens!J4346</f>
        <v>22.3946261183418</v>
      </c>
      <c r="K4347" s="6" t="n">
        <f aca="false">Sens!K4322*Sens!K4346</f>
        <v>23.4215879274986</v>
      </c>
    </row>
    <row r="4348" customFormat="false" ht="15" hidden="false" customHeight="false" outlineLevel="0" collapsed="false">
      <c r="A4348" s="1" t="s">
        <v>903</v>
      </c>
      <c r="B4348" s="0" t="s">
        <v>98</v>
      </c>
      <c r="D4348" s="6" t="n">
        <f aca="false">Sens!D4345+Sens!D4347</f>
        <v>128.528</v>
      </c>
      <c r="E4348" s="6" t="n">
        <f aca="false">Sens!E4345+Sens!E4347</f>
        <v>155.237</v>
      </c>
      <c r="F4348" s="6" t="n">
        <f aca="false">Sens!F4345+Sens!F4347</f>
        <v>173.93410299868</v>
      </c>
      <c r="G4348" s="6" t="n">
        <f aca="false">Sens!G4345+Sens!G4347</f>
        <v>189.752297905706</v>
      </c>
      <c r="H4348" s="6" t="n">
        <f aca="false">Sens!H4345+Sens!H4347</f>
        <v>205.790056628544</v>
      </c>
      <c r="I4348" s="6" t="n">
        <f aca="false">Sens!I4345+Sens!I4347</f>
        <v>220.709876637335</v>
      </c>
      <c r="J4348" s="6" t="n">
        <f aca="false">Sens!J4345+Sens!J4347</f>
        <v>236.412984537085</v>
      </c>
      <c r="K4348" s="6" t="n">
        <f aca="false">Sens!K4345+Sens!K4347</f>
        <v>255.604311572698</v>
      </c>
    </row>
    <row r="4349" customFormat="false" ht="15" hidden="false" customHeight="false" outlineLevel="0" collapsed="false">
      <c r="A4349" s="23" t="s">
        <v>904</v>
      </c>
      <c r="B4349" s="30" t="s">
        <v>98</v>
      </c>
      <c r="C4349" s="30"/>
      <c r="D4349" s="24" t="n">
        <f aca="false">Sens!D4348-Q!L23</f>
        <v>0</v>
      </c>
      <c r="E4349" s="24" t="n">
        <f aca="false">Sens!E4348-Q!M23</f>
        <v>0</v>
      </c>
      <c r="F4349" s="30"/>
      <c r="G4349" s="30"/>
      <c r="H4349" s="30"/>
      <c r="I4349" s="30"/>
      <c r="J4349" s="30"/>
      <c r="K4349" s="30"/>
    </row>
    <row r="4350" customFormat="false" ht="15" hidden="false" customHeight="false" outlineLevel="0" collapsed="false">
      <c r="A4350" s="1" t="s">
        <v>905</v>
      </c>
      <c r="B4350" s="0" t="s">
        <v>129</v>
      </c>
      <c r="D4350" s="7" t="n">
        <f aca="false">Sens!D4348/Sens!D4341</f>
        <v>0.456219562408598</v>
      </c>
      <c r="E4350" s="7" t="n">
        <f aca="false">Sens!E4348/Sens!E4341</f>
        <v>0.467808184089272</v>
      </c>
      <c r="F4350" s="7" t="n">
        <f aca="false">Sens!F4348/Sens!F4341</f>
        <v>0.435480743703641</v>
      </c>
      <c r="G4350" s="7" t="n">
        <f aca="false">Sens!G4348/Sens!G4341</f>
        <v>0.399312505304964</v>
      </c>
      <c r="H4350" s="7" t="n">
        <f aca="false">Sens!H4348/Sens!H4341</f>
        <v>0.371479288062167</v>
      </c>
      <c r="I4350" s="7" t="n">
        <f aca="false">Sens!I4348/Sens!I4341</f>
        <v>0.35243940564206</v>
      </c>
      <c r="J4350" s="7" t="n">
        <f aca="false">Sens!J4348/Sens!J4341</f>
        <v>0.344133189731101</v>
      </c>
      <c r="K4350" s="7" t="n">
        <f aca="false">Sens!K4348/Sens!K4341</f>
        <v>0.346967368786619</v>
      </c>
    </row>
    <row r="4351" customFormat="false" ht="17.15" hidden="false" customHeight="false" outlineLevel="0" collapsed="false">
      <c r="A4351" s="1" t="s">
        <v>906</v>
      </c>
      <c r="B4351" s="0" t="s">
        <v>98</v>
      </c>
      <c r="F4351" s="6" t="n">
        <f aca="false">Sens!F4366</f>
        <v>19.7854116529139</v>
      </c>
      <c r="G4351" s="6" t="n">
        <f aca="false">Sens!G4366</f>
        <v>34.9103392241976</v>
      </c>
      <c r="H4351" s="6" t="n">
        <f aca="false">Sens!H4366</f>
        <v>52.0170460962195</v>
      </c>
      <c r="I4351" s="6" t="n">
        <f aca="false">Sens!I4366</f>
        <v>67.4774353896995</v>
      </c>
      <c r="J4351" s="6" t="n">
        <f aca="false">Sens!J4366</f>
        <v>79.1407201624359</v>
      </c>
      <c r="K4351" s="6" t="n">
        <f aca="false">Sens!K4366</f>
        <v>86.3167327340487</v>
      </c>
      <c r="L4351" s="1" t="s">
        <v>907</v>
      </c>
    </row>
    <row r="4352" customFormat="false" ht="17.15" hidden="false" customHeight="false" outlineLevel="0" collapsed="false">
      <c r="A4352" s="1" t="s">
        <v>908</v>
      </c>
      <c r="B4352" s="0" t="s">
        <v>98</v>
      </c>
      <c r="D4352" s="6" t="n">
        <f aca="false">Sens!D4348</f>
        <v>128.528</v>
      </c>
      <c r="E4352" s="6" t="n">
        <f aca="false">Sens!E4348</f>
        <v>155.237</v>
      </c>
      <c r="F4352" s="6" t="n">
        <f aca="false">Sens!F4348+Sens!F4351</f>
        <v>193.719514651594</v>
      </c>
      <c r="G4352" s="6" t="n">
        <f aca="false">Sens!G4348+Sens!G4351</f>
        <v>224.662637129903</v>
      </c>
      <c r="H4352" s="6" t="n">
        <f aca="false">Sens!H4348+Sens!H4351</f>
        <v>257.807102724763</v>
      </c>
      <c r="I4352" s="6" t="n">
        <f aca="false">Sens!I4348+Sens!I4351</f>
        <v>288.187312027034</v>
      </c>
      <c r="J4352" s="6" t="n">
        <f aca="false">Sens!J4348+Sens!J4351</f>
        <v>315.55370469952</v>
      </c>
      <c r="K4352" s="6" t="n">
        <f aca="false">Sens!K4348+Sens!K4351</f>
        <v>341.921044306747</v>
      </c>
    </row>
    <row r="4353" customFormat="false" ht="17.15" hidden="false" customHeight="false" outlineLevel="0" collapsed="false">
      <c r="A4353" s="1" t="s">
        <v>909</v>
      </c>
      <c r="B4353" s="0" t="s">
        <v>98</v>
      </c>
      <c r="E4353" s="6" t="n">
        <f aca="false">Sens!E4296</f>
        <v>19.3175216725</v>
      </c>
      <c r="F4353" s="6" t="n">
        <f aca="false">Sens!F4296</f>
        <v>41.1995045270438</v>
      </c>
      <c r="G4353" s="6" t="n">
        <f aca="false">Sens!G4296</f>
        <v>71.8117957524075</v>
      </c>
      <c r="H4353" s="6" t="n">
        <f aca="false">Sens!H4296</f>
        <v>104.946827867268</v>
      </c>
      <c r="I4353" s="6" t="n">
        <f aca="false">Sens!I4296</f>
        <v>134.933481198565</v>
      </c>
      <c r="J4353" s="6" t="n">
        <f aca="false">Sens!J4296</f>
        <v>156.933860902299</v>
      </c>
      <c r="K4353" s="6" t="n">
        <f aca="false">Sens!K4296</f>
        <v>168.649094165931</v>
      </c>
    </row>
    <row r="4354" customFormat="false" ht="17.15" hidden="false" customHeight="false" outlineLevel="0" collapsed="false">
      <c r="A4354" s="1" t="s">
        <v>910</v>
      </c>
      <c r="B4354" s="0" t="s">
        <v>98</v>
      </c>
      <c r="E4354" s="6" t="n">
        <f aca="false">Sens!E4378</f>
        <v>19.2164783275</v>
      </c>
      <c r="F4354" s="6" t="n">
        <f aca="false">Sens!F4378</f>
        <v>20.8527652177062</v>
      </c>
      <c r="G4354" s="6" t="n">
        <f aca="false">Sens!G4378</f>
        <v>22.8827780529745</v>
      </c>
      <c r="H4354" s="6" t="n">
        <f aca="false">Sens!H4378</f>
        <v>25.2756516120861</v>
      </c>
      <c r="I4354" s="6" t="n">
        <f aca="false">Sens!I4378</f>
        <v>27.9679264820418</v>
      </c>
      <c r="J4354" s="6" t="n">
        <f aca="false">Sens!J4378</f>
        <v>30.879225158875</v>
      </c>
      <c r="K4354" s="6" t="n">
        <f aca="false">Sens!K4378</f>
        <v>33.9281729171869</v>
      </c>
    </row>
    <row r="4355" customFormat="false" ht="17.15" hidden="false" customHeight="false" outlineLevel="0" collapsed="false">
      <c r="A4355" s="1" t="s">
        <v>911</v>
      </c>
      <c r="B4355" s="0" t="s">
        <v>98</v>
      </c>
      <c r="D4355" s="6" t="n">
        <f aca="false">Q!L27</f>
        <v>-4.901</v>
      </c>
      <c r="E4355" s="6" t="n">
        <f aca="false">Q!M27</f>
        <v>10.697</v>
      </c>
      <c r="F4355" s="6" t="n">
        <f aca="false">oie_f</f>
        <v>-0.4</v>
      </c>
      <c r="G4355" s="6" t="n">
        <f aca="false">oie_f</f>
        <v>-0.4</v>
      </c>
      <c r="H4355" s="6" t="n">
        <f aca="false">oie_f</f>
        <v>-0.4</v>
      </c>
      <c r="I4355" s="6" t="n">
        <f aca="false">oie_f</f>
        <v>-0.4</v>
      </c>
      <c r="J4355" s="6" t="n">
        <f aca="false">oie_f</f>
        <v>-0.4</v>
      </c>
      <c r="K4355" s="6" t="n">
        <f aca="false">oie_f</f>
        <v>-0.4</v>
      </c>
      <c r="L4355" s="11" t="s">
        <v>912</v>
      </c>
    </row>
    <row r="4356" customFormat="false" ht="15" hidden="false" customHeight="false" outlineLevel="0" collapsed="false">
      <c r="A4356" s="1" t="s">
        <v>913</v>
      </c>
      <c r="B4356" s="0" t="s">
        <v>98</v>
      </c>
      <c r="D4356" s="6" t="n">
        <f aca="false">Sens!D4348+Sens!D4355</f>
        <v>123.627</v>
      </c>
      <c r="E4356" s="6" t="n">
        <f aca="false">Sens!E4348+Sens!E4355</f>
        <v>165.934</v>
      </c>
      <c r="F4356" s="6" t="n">
        <f aca="false">Sens!F4348+Sens!F4355</f>
        <v>173.53410299868</v>
      </c>
      <c r="G4356" s="6" t="n">
        <f aca="false">Sens!G4348+Sens!G4355</f>
        <v>189.352297905706</v>
      </c>
      <c r="H4356" s="6" t="n">
        <f aca="false">Sens!H4348+Sens!H4355</f>
        <v>205.390056628544</v>
      </c>
      <c r="I4356" s="6" t="n">
        <f aca="false">Sens!I4348+Sens!I4355</f>
        <v>220.309876637335</v>
      </c>
      <c r="J4356" s="6" t="n">
        <f aca="false">Sens!J4348+Sens!J4355</f>
        <v>236.012984537085</v>
      </c>
      <c r="K4356" s="6" t="n">
        <f aca="false">Sens!K4348+Sens!K4355</f>
        <v>255.204311572698</v>
      </c>
    </row>
    <row r="4357" customFormat="false" ht="15" hidden="false" customHeight="false" outlineLevel="0" collapsed="false">
      <c r="A4357" s="1" t="s">
        <v>914</v>
      </c>
      <c r="B4357" s="0" t="s">
        <v>98</v>
      </c>
      <c r="D4357" s="6" t="n">
        <f aca="false">Q!L29</f>
        <v>21.795</v>
      </c>
      <c r="E4357" s="6" t="n">
        <f aca="false">Q!M29</f>
        <v>32.185</v>
      </c>
      <c r="F4357" s="6" t="n">
        <f aca="false">Sens!F4356*tax_f</f>
        <v>34.706820599736</v>
      </c>
      <c r="G4357" s="6" t="n">
        <f aca="false">Sens!G4356*tax_f</f>
        <v>37.8704595811412</v>
      </c>
      <c r="H4357" s="6" t="n">
        <f aca="false">Sens!H4356*tax_f</f>
        <v>41.0780113257087</v>
      </c>
      <c r="I4357" s="6" t="n">
        <f aca="false">Sens!I4356*tax_f</f>
        <v>44.061975327467</v>
      </c>
      <c r="J4357" s="6" t="n">
        <f aca="false">Sens!J4356*tax_f</f>
        <v>47.2025969074169</v>
      </c>
      <c r="K4357" s="6" t="n">
        <f aca="false">Sens!K4356*tax_f</f>
        <v>51.0408623145396</v>
      </c>
    </row>
    <row r="4358" customFormat="false" ht="15" hidden="false" customHeight="false" outlineLevel="0" collapsed="false">
      <c r="A4358" s="1" t="s">
        <v>915</v>
      </c>
      <c r="B4358" s="0" t="s">
        <v>98</v>
      </c>
      <c r="D4358" s="6" t="n">
        <f aca="false">Sens!D4356-Sens!D4357</f>
        <v>101.832</v>
      </c>
      <c r="E4358" s="6" t="n">
        <f aca="false">Sens!E4356-Sens!E4357</f>
        <v>133.749</v>
      </c>
      <c r="F4358" s="6" t="n">
        <f aca="false">Sens!F4356-Sens!F4357</f>
        <v>138.827282398944</v>
      </c>
      <c r="G4358" s="6" t="n">
        <f aca="false">Sens!G4356-Sens!G4357</f>
        <v>151.481838324565</v>
      </c>
      <c r="H4358" s="6" t="n">
        <f aca="false">Sens!H4356-Sens!H4357</f>
        <v>164.312045302835</v>
      </c>
      <c r="I4358" s="6" t="n">
        <f aca="false">Sens!I4356-Sens!I4357</f>
        <v>176.247901309868</v>
      </c>
      <c r="J4358" s="6" t="n">
        <f aca="false">Sens!J4356-Sens!J4357</f>
        <v>188.810387629668</v>
      </c>
      <c r="K4358" s="6" t="n">
        <f aca="false">Sens!K4356-Sens!K4357</f>
        <v>204.163449258158</v>
      </c>
    </row>
    <row r="4359" customFormat="false" ht="17.15" hidden="false" customHeight="false" outlineLevel="0" collapsed="false">
      <c r="A4359" s="1" t="s">
        <v>916</v>
      </c>
      <c r="B4359" s="1" t="s">
        <v>81</v>
      </c>
      <c r="D4359" s="14" t="n">
        <f aca="false">Q!L31</f>
        <v>7.465</v>
      </c>
      <c r="E4359" s="14" t="n">
        <f aca="false">Q!M31</f>
        <v>7.453</v>
      </c>
      <c r="F4359" s="14" t="n">
        <f aca="false">Sens!F4400</f>
        <v>7.4735</v>
      </c>
      <c r="G4359" s="14" t="n">
        <f aca="false">Sens!G4400</f>
        <v>7.51543695885436</v>
      </c>
      <c r="H4359" s="14" t="n">
        <f aca="false">Sens!H4400</f>
        <v>7.54939304842576</v>
      </c>
      <c r="I4359" s="14" t="n">
        <f aca="false">Sens!I4400</f>
        <v>7.57044142530015</v>
      </c>
      <c r="J4359" s="14" t="n">
        <f aca="false">Sens!J4400</f>
        <v>7.58468293641803</v>
      </c>
      <c r="K4359" s="14" t="n">
        <f aca="false">Sens!K4400</f>
        <v>7.60120285411978</v>
      </c>
    </row>
    <row r="4360" customFormat="false" ht="17.15" hidden="false" customHeight="false" outlineLevel="0" collapsed="false">
      <c r="A4360" s="0" t="s">
        <v>917</v>
      </c>
      <c r="B4360" s="0" t="s">
        <v>75</v>
      </c>
      <c r="D4360" s="8" t="n">
        <f aca="false">Sens!D4358/Sens!D4359</f>
        <v>13.641259209645</v>
      </c>
      <c r="E4360" s="8" t="n">
        <f aca="false">Sens!E4358/Sens!E4359</f>
        <v>17.9456594659869</v>
      </c>
      <c r="F4360" s="8" t="n">
        <f aca="false">Sens!F4358/Sens!F4359</f>
        <v>18.5759393054049</v>
      </c>
      <c r="G4360" s="8" t="n">
        <f aca="false">Sens!G4358/Sens!G4359</f>
        <v>20.1560919416795</v>
      </c>
      <c r="H4360" s="8" t="n">
        <f aca="false">Sens!H4358/Sens!H4359</f>
        <v>21.7649345118014</v>
      </c>
      <c r="I4360" s="8" t="n">
        <f aca="false">Sens!I4358/Sens!I4359</f>
        <v>23.2810600344722</v>
      </c>
      <c r="J4360" s="8" t="n">
        <f aca="false">Sens!J4358/Sens!J4359</f>
        <v>24.8936427814392</v>
      </c>
      <c r="K4360" s="8" t="n">
        <f aca="false">Sens!K4358/Sens!K4359</f>
        <v>26.859360705984</v>
      </c>
      <c r="L4360" s="1" t="s">
        <v>918</v>
      </c>
    </row>
    <row r="4361" customFormat="false" ht="17.15" hidden="false" customHeight="false" outlineLevel="0" collapsed="false">
      <c r="A4361" s="1" t="s">
        <v>919</v>
      </c>
      <c r="B4361" s="0" t="s">
        <v>98</v>
      </c>
      <c r="D4361" s="6" t="n">
        <f aca="false">Sens!D4358</f>
        <v>101.832</v>
      </c>
      <c r="E4361" s="6" t="n">
        <f aca="false">Sens!E4358</f>
        <v>133.749</v>
      </c>
      <c r="F4361" s="6" t="n">
        <f aca="false">Sens!F4358+Sens!F4351*(1-tax_f)</f>
        <v>154.655611721275</v>
      </c>
      <c r="G4361" s="6" t="n">
        <f aca="false">Sens!G4358+Sens!G4351*(1-tax_f)</f>
        <v>179.410109703923</v>
      </c>
      <c r="H4361" s="6" t="n">
        <f aca="false">Sens!H4358+Sens!H4351*(1-tax_f)</f>
        <v>205.925682179811</v>
      </c>
      <c r="I4361" s="6" t="n">
        <f aca="false">Sens!I4358+Sens!I4351*(1-tax_f)</f>
        <v>230.229849621627</v>
      </c>
      <c r="J4361" s="6" t="n">
        <f aca="false">Sens!J4358+Sens!J4351*(1-tax_f)</f>
        <v>252.122963759616</v>
      </c>
      <c r="K4361" s="6" t="n">
        <f aca="false">Sens!K4358+Sens!K4351*(1-tax_f)</f>
        <v>273.216835445397</v>
      </c>
    </row>
    <row r="4362" customFormat="false" ht="17.15" hidden="false" customHeight="false" outlineLevel="0" collapsed="false">
      <c r="A4362" s="0" t="s">
        <v>920</v>
      </c>
      <c r="B4362" s="0" t="s">
        <v>75</v>
      </c>
      <c r="D4362" s="8" t="n">
        <f aca="false">Sens!D4361/Sens!D4359</f>
        <v>13.641259209645</v>
      </c>
      <c r="E4362" s="8" t="n">
        <f aca="false">Sens!E4361/Sens!E4359</f>
        <v>17.9456594659869</v>
      </c>
      <c r="F4362" s="8" t="n">
        <f aca="false">Sens!F4361/Sens!F4359</f>
        <v>20.6938665580083</v>
      </c>
      <c r="G4362" s="8" t="n">
        <f aca="false">Sens!G4361/Sens!G4359</f>
        <v>23.8722127118037</v>
      </c>
      <c r="H4362" s="8" t="n">
        <f aca="false">Sens!H4361/Sens!H4359</f>
        <v>27.277117625072</v>
      </c>
      <c r="I4362" s="8" t="n">
        <f aca="false">Sens!I4361/Sens!I4359</f>
        <v>30.4116809955371</v>
      </c>
      <c r="J4362" s="8" t="n">
        <f aca="false">Sens!J4361/Sens!J4359</f>
        <v>33.2410683311549</v>
      </c>
      <c r="K4362" s="8" t="n">
        <f aca="false">Sens!K4361/Sens!K4359</f>
        <v>35.9438947609873</v>
      </c>
      <c r="L4362" s="1" t="s">
        <v>921</v>
      </c>
    </row>
    <row r="4363" customFormat="false" ht="17.15" hidden="false" customHeight="false" outlineLevel="0" collapsed="false">
      <c r="A4363" s="0" t="s">
        <v>922</v>
      </c>
      <c r="B4363" s="0" t="s">
        <v>129</v>
      </c>
      <c r="E4363" s="7" t="n">
        <f aca="false">Sens!E4362/Sens!D4362-1</f>
        <v>0.315542736208578</v>
      </c>
      <c r="F4363" s="7" t="n">
        <f aca="false">Sens!F4362/Sens!E4362-1</f>
        <v>0.153140490447299</v>
      </c>
      <c r="G4363" s="7" t="n">
        <f aca="false">Sens!G4362/Sens!F4362-1</f>
        <v>0.153588801053008</v>
      </c>
      <c r="H4363" s="7" t="n">
        <f aca="false">Sens!H4362/Sens!G4362-1</f>
        <v>0.142630469758873</v>
      </c>
      <c r="I4363" s="7" t="n">
        <f aca="false">Sens!I4362/Sens!H4362-1</f>
        <v>0.11491549120219</v>
      </c>
      <c r="J4363" s="7" t="n">
        <f aca="false">Sens!J4362/Sens!I4362-1</f>
        <v>0.0930362032941554</v>
      </c>
      <c r="K4363" s="7" t="n">
        <f aca="false">Sens!K4362/Sens!J4362-1</f>
        <v>0.0813098545120821</v>
      </c>
    </row>
    <row r="4364" customFormat="false" ht="17.15" hidden="false" customHeight="false" outlineLevel="0" collapsed="false">
      <c r="A4364" s="0" t="s">
        <v>846</v>
      </c>
      <c r="B4364" s="0" t="s">
        <v>98</v>
      </c>
      <c r="E4364" s="6" t="n">
        <f aca="false">Sens!E4305</f>
        <v>5.25</v>
      </c>
      <c r="F4364" s="6" t="n">
        <f aca="false">Sens!F4305</f>
        <v>12</v>
      </c>
      <c r="G4364" s="6" t="n">
        <f aca="false">Sens!G4305</f>
        <v>18</v>
      </c>
      <c r="H4364" s="6" t="n">
        <f aca="false">Sens!H4305</f>
        <v>24</v>
      </c>
      <c r="I4364" s="6" t="n">
        <f aca="false">Sens!I4305</f>
        <v>28.5</v>
      </c>
      <c r="J4364" s="6" t="n">
        <f aca="false">Sens!J4305</f>
        <v>31.5</v>
      </c>
      <c r="K4364" s="6" t="n">
        <f aca="false">Sens!K4305</f>
        <v>34.5</v>
      </c>
    </row>
    <row r="4365" customFormat="false" ht="17.15" hidden="false" customHeight="false" outlineLevel="0" collapsed="false">
      <c r="A4365" s="1" t="s">
        <v>847</v>
      </c>
      <c r="B4365" s="0" t="s">
        <v>98</v>
      </c>
      <c r="F4365" s="6" t="n">
        <f aca="false">MAX(0,(Sens!E4268+Sens!F4268)/2*Sens!F4276/1000-Sens!F4364*Sens!F4344)</f>
        <v>19.7854116529139</v>
      </c>
      <c r="G4365" s="6" t="n">
        <f aca="false">MAX(0,(Sens!F4268+Sens!G4268)/2*Sens!G4276/1000-Sens!G4364*Sens!G4344)</f>
        <v>34.9103392241976</v>
      </c>
      <c r="H4365" s="6" t="n">
        <f aca="false">MAX(0,(Sens!G4268+Sens!H4268)/2*Sens!H4276/1000-Sens!H4364*Sens!H4344)</f>
        <v>52.0170460962195</v>
      </c>
      <c r="I4365" s="6" t="n">
        <f aca="false">MAX(0,(Sens!H4268+Sens!I4268)/2*Sens!I4276/1000-Sens!I4364*Sens!I4344)</f>
        <v>67.4774353896995</v>
      </c>
      <c r="J4365" s="6" t="n">
        <f aca="false">MAX(0,(Sens!I4268+Sens!J4268)/2*Sens!J4276/1000-Sens!J4364*Sens!J4344)</f>
        <v>79.1407201624359</v>
      </c>
      <c r="K4365" s="6" t="n">
        <f aca="false">MAX(0,(Sens!J4268+Sens!K4268)/2*Sens!K4276/1000-Sens!K4364*Sens!K4344)</f>
        <v>86.3167327340487</v>
      </c>
      <c r="L4365" s="1" t="s">
        <v>848</v>
      </c>
    </row>
    <row r="4366" customFormat="false" ht="17.15" hidden="false" customHeight="false" outlineLevel="0" collapsed="false">
      <c r="A4366" s="1" t="s">
        <v>849</v>
      </c>
      <c r="B4366" s="0" t="s">
        <v>98</v>
      </c>
      <c r="F4366" s="6" t="n">
        <f aca="false">IF(internal_ai_reading=2,1,0)*Sens!F4365</f>
        <v>19.7854116529139</v>
      </c>
      <c r="G4366" s="6" t="n">
        <f aca="false">IF(internal_ai_reading=2,1,0)*Sens!G4365</f>
        <v>34.9103392241976</v>
      </c>
      <c r="H4366" s="6" t="n">
        <f aca="false">IF(internal_ai_reading=2,1,0)*Sens!H4365</f>
        <v>52.0170460962195</v>
      </c>
      <c r="I4366" s="6" t="n">
        <f aca="false">IF(internal_ai_reading=2,1,0)*Sens!I4365</f>
        <v>67.4774353896995</v>
      </c>
      <c r="J4366" s="6" t="n">
        <f aca="false">IF(internal_ai_reading=2,1,0)*Sens!J4365</f>
        <v>79.1407201624359</v>
      </c>
      <c r="K4366" s="6" t="n">
        <f aca="false">IF(internal_ai_reading=2,1,0)*Sens!K4365</f>
        <v>86.3167327340487</v>
      </c>
    </row>
    <row r="4367" customFormat="false" ht="17.15" hidden="false" customHeight="false" outlineLevel="0" collapsed="false">
      <c r="A4367" s="0" t="s">
        <v>850</v>
      </c>
      <c r="B4367" s="0" t="s">
        <v>98</v>
      </c>
      <c r="F4367" s="6" t="n">
        <f aca="false">Sens!F4285+Sens!F4364*Sens!F4344+Sens!F4366-Sens!F4286-Sens!F4296</f>
        <v>18.514312348237</v>
      </c>
      <c r="G4367" s="6" t="n">
        <f aca="false">Sens!G4285+Sens!G4364*Sens!G4344+Sens!G4366-Sens!G4286-Sens!G4296</f>
        <v>29.3695093909552</v>
      </c>
      <c r="H4367" s="6" t="n">
        <f aca="false">Sens!H4285+Sens!H4364*Sens!H4344+Sens!H4366-Sens!H4286-Sens!H4296</f>
        <v>42.101377750516</v>
      </c>
      <c r="I4367" s="6" t="n">
        <f aca="false">Sens!I4285+Sens!I4364*Sens!I4344+Sens!I4366-Sens!I4286-Sens!I4296</f>
        <v>52.4506719644832</v>
      </c>
      <c r="J4367" s="6" t="n">
        <f aca="false">Sens!J4285+Sens!J4364*Sens!J4344+Sens!J4366-Sens!J4286-Sens!J4296</f>
        <v>60.9530374055223</v>
      </c>
      <c r="K4367" s="6" t="n">
        <f aca="false">Sens!K4285+Sens!K4364*Sens!K4344+Sens!K4366-Sens!K4286-Sens!K4296</f>
        <v>70.4313912899617</v>
      </c>
    </row>
    <row r="4368" customFormat="false" ht="17.15" hidden="false" customHeight="false" outlineLevel="0" collapsed="false">
      <c r="A4368" s="0" t="s">
        <v>851</v>
      </c>
      <c r="B4368" s="0" t="s">
        <v>98</v>
      </c>
      <c r="E4368" s="6" t="n">
        <f aca="false">Sens!E4267*(cxit_open+self_build*tk_cxfac)/1000*ai_net_open</f>
        <v>126.6980382</v>
      </c>
      <c r="F4368" s="6" t="n">
        <f aca="false">Sens!E4368+Sens!F4293-Sens!F4296</f>
        <v>254.119186443394</v>
      </c>
      <c r="G4368" s="6" t="n">
        <f aca="false">Sens!F4368+Sens!G4293-Sens!G4296</f>
        <v>365.881571174186</v>
      </c>
      <c r="H4368" s="6" t="n">
        <f aca="false">Sens!G4368+Sens!H4293-Sens!H4296</f>
        <v>479.273704563985</v>
      </c>
      <c r="I4368" s="6" t="n">
        <f aca="false">Sens!H4368+Sens!I4293-Sens!I4296</f>
        <v>523.484992186332</v>
      </c>
      <c r="J4368" s="6" t="n">
        <f aca="false">Sens!I4368+Sens!J4293-Sens!J4296</f>
        <v>536.14285902879</v>
      </c>
      <c r="K4368" s="6" t="n">
        <f aca="false">Sens!J4368+Sens!K4293-Sens!K4296</f>
        <v>535.016842249862</v>
      </c>
      <c r="L4368" s="1" t="s">
        <v>852</v>
      </c>
    </row>
    <row r="4369" customFormat="false" ht="17.15" hidden="false" customHeight="false" outlineLevel="0" collapsed="false">
      <c r="A4369" s="0" t="s">
        <v>853</v>
      </c>
      <c r="B4369" s="0" t="s">
        <v>129</v>
      </c>
      <c r="F4369" s="7" t="n">
        <f aca="false">Sens!F4367*(1-tax_f)/((Sens!E4368+Sens!F4368)/2)</f>
        <v>0.0777877097994158</v>
      </c>
      <c r="G4369" s="7" t="n">
        <f aca="false">Sens!G4367*(1-tax_f)/((Sens!F4368+Sens!G4368)/2)</f>
        <v>0.0757921896839243</v>
      </c>
      <c r="H4369" s="7" t="n">
        <f aca="false">Sens!H4367*(1-tax_f)/((Sens!G4368+Sens!H4368)/2)</f>
        <v>0.0797039388318205</v>
      </c>
      <c r="I4369" s="7" t="n">
        <f aca="false">Sens!I4367*(1-tax_f)/((Sens!H4368+Sens!I4368)/2)</f>
        <v>0.0836901992624344</v>
      </c>
      <c r="J4369" s="7" t="n">
        <f aca="false">Sens!J4367*(1-tax_f)/((Sens!I4368+Sens!J4368)/2)</f>
        <v>0.0920368974229958</v>
      </c>
      <c r="K4369" s="7" t="n">
        <f aca="false">Sens!K4367*(1-tax_f)/((Sens!J4368+Sens!K4368)/2)</f>
        <v>0.105203944780054</v>
      </c>
    </row>
    <row r="4370" customFormat="false" ht="17.15" hidden="false" customHeight="false" outlineLevel="0" collapsed="false">
      <c r="A4370" s="1" t="s">
        <v>854</v>
      </c>
      <c r="B4370" s="0" t="s">
        <v>129</v>
      </c>
      <c r="F4370" s="7" t="n">
        <f aca="false">(Sens!F4367-Sens!F4366)*(1-tax_f)/((Sens!E4368+Sens!F4368)/2)</f>
        <v>-0.00534051181478855</v>
      </c>
      <c r="G4370" s="7" t="n">
        <f aca="false">(Sens!G4367-Sens!G4366)*(1-tax_f)/((Sens!F4368+Sens!G4368)/2)</f>
        <v>-0.0142988982259533</v>
      </c>
      <c r="H4370" s="7" t="n">
        <f aca="false">(Sens!H4367-Sens!H4366)*(1-tax_f)/((Sens!G4368+Sens!H4368)/2)</f>
        <v>-0.0187717805337826</v>
      </c>
      <c r="I4370" s="7" t="n">
        <f aca="false">(Sens!I4367-Sens!I4366)*(1-tax_f)/((Sens!H4368+Sens!I4368)/2)</f>
        <v>-0.0239766770991492</v>
      </c>
      <c r="J4370" s="7" t="n">
        <f aca="false">(Sens!J4367-Sens!J4366)*(1-tax_f)/((Sens!I4368+Sens!J4368)/2)</f>
        <v>-0.0274627477729008</v>
      </c>
      <c r="K4370" s="7" t="n">
        <f aca="false">(Sens!K4367-Sens!K4366)*(1-tax_f)/((Sens!J4368+Sens!K4368)/2)</f>
        <v>-0.023728064340172</v>
      </c>
    </row>
    <row r="4371" customFormat="false" ht="17.15" hidden="false" customHeight="false" outlineLevel="0" collapsed="false">
      <c r="A4371" s="1" t="s">
        <v>855</v>
      </c>
      <c r="B4371" s="0" t="s">
        <v>129</v>
      </c>
      <c r="F4371" s="7" t="n">
        <f aca="false">(Sens!F4367-Sens!F4366+Sens!F4365)*(1-tax_f)/((Sens!E4368+Sens!F4368)/2)</f>
        <v>0.0777877097994158</v>
      </c>
      <c r="G4371" s="7" t="n">
        <f aca="false">(Sens!G4367-Sens!G4366+Sens!G4365)*(1-tax_f)/((Sens!F4368+Sens!G4368)/2)</f>
        <v>0.0757921896839243</v>
      </c>
      <c r="H4371" s="7" t="n">
        <f aca="false">(Sens!H4367-Sens!H4366+Sens!H4365)*(1-tax_f)/((Sens!G4368+Sens!H4368)/2)</f>
        <v>0.0797039388318205</v>
      </c>
      <c r="I4371" s="7" t="n">
        <f aca="false">(Sens!I4367-Sens!I4366+Sens!I4365)*(1-tax_f)/((Sens!H4368+Sens!I4368)/2)</f>
        <v>0.0836901992624344</v>
      </c>
      <c r="J4371" s="7" t="n">
        <f aca="false">(Sens!J4367-Sens!J4366+Sens!J4365)*(1-tax_f)/((Sens!I4368+Sens!J4368)/2)</f>
        <v>0.0920368974229958</v>
      </c>
      <c r="K4371" s="7" t="n">
        <f aca="false">(Sens!K4367-Sens!K4366+Sens!K4365)*(1-tax_f)/((Sens!J4368+Sens!K4368)/2)</f>
        <v>0.105203944780054</v>
      </c>
    </row>
    <row r="4372" customFormat="false" ht="17.15" hidden="false" customHeight="false" outlineLevel="0" collapsed="false">
      <c r="A4372" s="1" t="s">
        <v>856</v>
      </c>
      <c r="B4372" s="0" t="s">
        <v>129</v>
      </c>
      <c r="F4372" s="7" t="n">
        <f aca="false">Sens!F4297*(1-tax_f)/(Sens!F4284*(Sens!E4368+Sens!F4368)/2)</f>
        <v>0.103214785320492</v>
      </c>
      <c r="G4372" s="7" t="n">
        <f aca="false">Sens!G4297*(1-tax_f)/(Sens!G4284*(Sens!F4368+Sens!G4368)/2)</f>
        <v>0.100927520138442</v>
      </c>
      <c r="H4372" s="7" t="n">
        <f aca="false">Sens!H4297*(1-tax_f)/(Sens!H4284*(Sens!G4368+Sens!H4368)/2)</f>
        <v>0.105305477347941</v>
      </c>
      <c r="I4372" s="7" t="n">
        <f aca="false">Sens!I4297*(1-tax_f)/(Sens!I4284*(Sens!H4368+Sens!I4368)/2)</f>
        <v>0.110480653510844</v>
      </c>
      <c r="J4372" s="7" t="n">
        <f aca="false">Sens!J4297*(1-tax_f)/(Sens!J4284*(Sens!I4368+Sens!J4368)/2)</f>
        <v>0.121143978973782</v>
      </c>
      <c r="K4372" s="7" t="n">
        <f aca="false">Sens!K4297*(1-tax_f)/(Sens!K4284*(Sens!J4368+Sens!K4368)/2)</f>
        <v>0.136645135428693</v>
      </c>
    </row>
    <row r="4373" customFormat="false" ht="17.15" hidden="false" customHeight="false" outlineLevel="0" collapsed="false">
      <c r="A4373" s="0" t="s">
        <v>857</v>
      </c>
      <c r="B4373" s="0" t="s">
        <v>209</v>
      </c>
      <c r="F4373" s="7" t="n">
        <f aca="false">Sens!F4369-wacc</f>
        <v>-0.02514671029346</v>
      </c>
      <c r="G4373" s="7" t="n">
        <f aca="false">Sens!G4369-wacc</f>
        <v>-0.0271422304089515</v>
      </c>
      <c r="H4373" s="7" t="n">
        <f aca="false">Sens!H4369-wacc</f>
        <v>-0.0232304812610552</v>
      </c>
      <c r="I4373" s="7" t="n">
        <f aca="false">Sens!I4369-wacc</f>
        <v>-0.0192442208304413</v>
      </c>
      <c r="J4373" s="7" t="n">
        <f aca="false">Sens!J4369-wacc</f>
        <v>-0.0108975226698799</v>
      </c>
      <c r="K4373" s="7" t="n">
        <f aca="false">Sens!K4369-wacc</f>
        <v>0.0022695246871785</v>
      </c>
    </row>
    <row r="4374" customFormat="false" ht="17.15" hidden="false" customHeight="false" outlineLevel="0" collapsed="false">
      <c r="A4374" s="0" t="s">
        <v>858</v>
      </c>
      <c r="B4374" s="0" t="s">
        <v>98</v>
      </c>
      <c r="F4374" s="6" t="n">
        <f aca="false">Sens!F4367*(1-tax_f)-wacc*(Sens!E4368+Sens!F4368)/2</f>
        <v>-4.78815021143345</v>
      </c>
      <c r="G4374" s="6" t="n">
        <f aca="false">Sens!G4367*(1-tax_f)-wacc*(Sens!F4368+Sens!G4368)/2</f>
        <v>-8.41410170849041</v>
      </c>
      <c r="H4374" s="6" t="n">
        <f aca="false">Sens!H4367*(1-tax_f)-wacc*(Sens!G4368+Sens!H4368)/2</f>
        <v>-9.81668189785876</v>
      </c>
      <c r="I4374" s="6" t="n">
        <f aca="false">Sens!I4367*(1-tax_f)-wacc*(Sens!H4368+Sens!I4368)/2</f>
        <v>-9.64865489995434</v>
      </c>
      <c r="J4374" s="6" t="n">
        <f aca="false">Sens!J4367*(1-tax_f)-wacc*(Sens!I4368+Sens!J4368)/2</f>
        <v>-5.77365926512646</v>
      </c>
      <c r="K4374" s="6" t="n">
        <f aca="false">Sens!K4367*(1-tax_f)-wacc*(Sens!J4368+Sens!K4368)/2</f>
        <v>1.21551169298133</v>
      </c>
    </row>
    <row r="4375" customFormat="false" ht="17.15" hidden="false" customHeight="false" outlineLevel="0" collapsed="false">
      <c r="A4375" s="3" t="s">
        <v>1347</v>
      </c>
    </row>
    <row r="4376" customFormat="false" ht="15" hidden="false" customHeight="false" outlineLevel="0" collapsed="false">
      <c r="A4376" s="4" t="s">
        <v>43</v>
      </c>
      <c r="B4376" s="4" t="s">
        <v>65</v>
      </c>
      <c r="C4376" s="20" t="s">
        <v>788</v>
      </c>
      <c r="D4376" s="20" t="s">
        <v>789</v>
      </c>
      <c r="E4376" s="20" t="s">
        <v>790</v>
      </c>
      <c r="F4376" s="20" t="s">
        <v>791</v>
      </c>
      <c r="G4376" s="20" t="s">
        <v>792</v>
      </c>
      <c r="H4376" s="20" t="s">
        <v>793</v>
      </c>
      <c r="I4376" s="20" t="s">
        <v>794</v>
      </c>
      <c r="J4376" s="20" t="s">
        <v>795</v>
      </c>
      <c r="K4376" s="20" t="s">
        <v>796</v>
      </c>
      <c r="L4376" s="4" t="s">
        <v>47</v>
      </c>
    </row>
    <row r="4377" customFormat="false" ht="15" hidden="false" customHeight="false" outlineLevel="0" collapsed="false">
      <c r="A4377" s="1" t="s">
        <v>915</v>
      </c>
      <c r="B4377" s="0" t="s">
        <v>98</v>
      </c>
      <c r="F4377" s="6" t="n">
        <f aca="false">Sens!F4358</f>
        <v>138.827282398944</v>
      </c>
      <c r="G4377" s="6" t="n">
        <f aca="false">Sens!G4358</f>
        <v>151.481838324565</v>
      </c>
      <c r="H4377" s="6" t="n">
        <f aca="false">Sens!H4358</f>
        <v>164.312045302835</v>
      </c>
      <c r="I4377" s="6" t="n">
        <f aca="false">Sens!I4358</f>
        <v>176.247901309868</v>
      </c>
      <c r="J4377" s="6" t="n">
        <f aca="false">Sens!J4358</f>
        <v>188.810387629668</v>
      </c>
      <c r="K4377" s="6" t="n">
        <f aca="false">Sens!K4358</f>
        <v>204.163449258158</v>
      </c>
    </row>
    <row r="4378" customFormat="false" ht="17.15" hidden="false" customHeight="false" outlineLevel="0" collapsed="false">
      <c r="A4378" s="1" t="s">
        <v>937</v>
      </c>
      <c r="B4378" s="0" t="s">
        <v>98</v>
      </c>
      <c r="E4378" s="6" t="n">
        <f aca="false">Q!M38-Sens!E4296</f>
        <v>19.2164783275</v>
      </c>
      <c r="F4378" s="6" t="n">
        <f aca="false">Sens!E4378*(1-1/life_nonai)+Sens!F4384/life_nonai</f>
        <v>20.8527652177062</v>
      </c>
      <c r="G4378" s="6" t="n">
        <f aca="false">Sens!F4378*(1-1/life_nonai)+Sens!G4384/life_nonai</f>
        <v>22.8827780529745</v>
      </c>
      <c r="H4378" s="6" t="n">
        <f aca="false">Sens!G4378*(1-1/life_nonai)+Sens!H4384/life_nonai</f>
        <v>25.2756516120861</v>
      </c>
      <c r="I4378" s="6" t="n">
        <f aca="false">Sens!H4378*(1-1/life_nonai)+Sens!I4384/life_nonai</f>
        <v>27.9679264820418</v>
      </c>
      <c r="J4378" s="6" t="n">
        <f aca="false">Sens!I4378*(1-1/life_nonai)+Sens!J4384/life_nonai</f>
        <v>30.879225158875</v>
      </c>
      <c r="K4378" s="6" t="n">
        <f aca="false">Sens!J4378*(1-1/life_nonai)+Sens!K4384/life_nonai</f>
        <v>33.9281729171869</v>
      </c>
      <c r="L4378" s="11" t="s">
        <v>938</v>
      </c>
    </row>
    <row r="4379" customFormat="false" ht="17.15" hidden="false" customHeight="false" outlineLevel="0" collapsed="false">
      <c r="A4379" s="1" t="s">
        <v>939</v>
      </c>
      <c r="B4379" s="0" t="s">
        <v>98</v>
      </c>
      <c r="E4379" s="6" t="n">
        <f aca="false">Sens!E4296+Sens!E4378</f>
        <v>38.534</v>
      </c>
      <c r="F4379" s="6" t="n">
        <f aca="false">Sens!F4296+Sens!F4378</f>
        <v>62.05226974475</v>
      </c>
      <c r="G4379" s="6" t="n">
        <f aca="false">Sens!G4296+Sens!G4378</f>
        <v>94.6945738053821</v>
      </c>
      <c r="H4379" s="6" t="n">
        <f aca="false">Sens!H4296+Sens!H4378</f>
        <v>130.222479479354</v>
      </c>
      <c r="I4379" s="6" t="n">
        <f aca="false">Sens!I4296+Sens!I4378</f>
        <v>162.901407680607</v>
      </c>
      <c r="J4379" s="6" t="n">
        <f aca="false">Sens!J4296+Sens!J4378</f>
        <v>187.813086061174</v>
      </c>
      <c r="K4379" s="6" t="n">
        <f aca="false">Sens!K4296+Sens!K4378</f>
        <v>202.577267083118</v>
      </c>
    </row>
    <row r="4380" customFormat="false" ht="17.15" hidden="false" customHeight="false" outlineLevel="0" collapsed="false">
      <c r="A4380" s="1" t="s">
        <v>940</v>
      </c>
      <c r="B4380" s="0" t="s">
        <v>98</v>
      </c>
      <c r="F4380" s="6" t="n">
        <f aca="false">Sens!F4323*sbc_r</f>
        <v>14.9308704941267</v>
      </c>
      <c r="G4380" s="6" t="n">
        <f aca="false">Sens!G4323*sbc_r</f>
        <v>17.7641108812713</v>
      </c>
      <c r="H4380" s="6" t="n">
        <f aca="false">Sens!H4323*sbc_r</f>
        <v>20.7089998408611</v>
      </c>
      <c r="I4380" s="6" t="n">
        <f aca="false">Sens!I4323*sbc_r</f>
        <v>23.4102822835851</v>
      </c>
      <c r="J4380" s="6" t="n">
        <f aca="false">Sens!J4323*sbc_r</f>
        <v>25.681128764341</v>
      </c>
      <c r="K4380" s="6" t="n">
        <f aca="false">Sens!K4323*sbc_r</f>
        <v>27.5390456079796</v>
      </c>
    </row>
    <row r="4381" customFormat="false" ht="17.15" hidden="false" customHeight="false" outlineLevel="0" collapsed="false">
      <c r="A4381" s="1" t="s">
        <v>941</v>
      </c>
      <c r="B4381" s="0" t="s">
        <v>98</v>
      </c>
      <c r="F4381" s="6" t="n">
        <f aca="false">wc27</f>
        <v>-4.895</v>
      </c>
      <c r="G4381" s="6" t="n">
        <f aca="false">wc_f</f>
        <v>0</v>
      </c>
      <c r="H4381" s="6" t="n">
        <f aca="false">wc_f</f>
        <v>0</v>
      </c>
      <c r="I4381" s="6" t="n">
        <f aca="false">wc_f</f>
        <v>0</v>
      </c>
      <c r="J4381" s="6" t="n">
        <f aca="false">wc_f</f>
        <v>0</v>
      </c>
      <c r="K4381" s="6" t="n">
        <f aca="false">wc_f</f>
        <v>0</v>
      </c>
      <c r="L4381" s="11" t="s">
        <v>942</v>
      </c>
    </row>
    <row r="4382" customFormat="false" ht="15" hidden="false" customHeight="false" outlineLevel="0" collapsed="false">
      <c r="A4382" s="1" t="s">
        <v>756</v>
      </c>
      <c r="B4382" s="0" t="s">
        <v>98</v>
      </c>
      <c r="E4382" s="6" t="n">
        <f aca="false">Q!M35</f>
        <v>182.935</v>
      </c>
      <c r="F4382" s="6" t="n">
        <f aca="false">Sens!F4377+Sens!F4379+Sens!F4380+Sens!F4381</f>
        <v>210.915422637821</v>
      </c>
      <c r="G4382" s="6" t="n">
        <f aca="false">Sens!G4377+Sens!G4379+Sens!G4380+Sens!G4381</f>
        <v>263.940523011218</v>
      </c>
      <c r="H4382" s="6" t="n">
        <f aca="false">Sens!H4377+Sens!H4379+Sens!H4380+Sens!H4381</f>
        <v>315.24352462305</v>
      </c>
      <c r="I4382" s="6" t="n">
        <f aca="false">Sens!I4377+Sens!I4379+Sens!I4380+Sens!I4381</f>
        <v>362.55959127406</v>
      </c>
      <c r="J4382" s="6" t="n">
        <f aca="false">Sens!J4377+Sens!J4379+Sens!J4380+Sens!J4381</f>
        <v>402.304602455183</v>
      </c>
      <c r="K4382" s="6" t="n">
        <f aca="false">Sens!K4377+Sens!K4379+Sens!K4380+Sens!K4381</f>
        <v>434.279761949256</v>
      </c>
    </row>
    <row r="4383" customFormat="false" ht="17.15" hidden="false" customHeight="false" outlineLevel="0" collapsed="false">
      <c r="A4383" s="0" t="s">
        <v>943</v>
      </c>
      <c r="B4383" s="0" t="s">
        <v>98</v>
      </c>
      <c r="F4383" s="6" t="n">
        <f aca="false">Sens!F4293</f>
        <v>168.620652770438</v>
      </c>
      <c r="G4383" s="6" t="n">
        <f aca="false">Sens!G4293</f>
        <v>183.5741804832</v>
      </c>
      <c r="H4383" s="6" t="n">
        <f aca="false">Sens!H4293</f>
        <v>218.338961257067</v>
      </c>
      <c r="I4383" s="6" t="n">
        <f aca="false">Sens!I4293</f>
        <v>179.144768820912</v>
      </c>
      <c r="J4383" s="6" t="n">
        <f aca="false">Sens!J4293</f>
        <v>169.591727744757</v>
      </c>
      <c r="K4383" s="6" t="n">
        <f aca="false">Sens!K4293</f>
        <v>167.523077387003</v>
      </c>
    </row>
    <row r="4384" customFormat="false" ht="17.15" hidden="false" customHeight="false" outlineLevel="0" collapsed="false">
      <c r="A4384" s="1" t="s">
        <v>944</v>
      </c>
      <c r="B4384" s="0" t="s">
        <v>98</v>
      </c>
      <c r="E4384" s="6" t="n">
        <f aca="false">Sens!E4301*cx_azo+Sens!E4308*cx_m365+Sens!E4309*cx_lic+(Sens!E4311+Sens!E4313)*cx_ind+Sens!E4316*cx_srch+(Sens!E4318+Sens!E4320)*cx_dev</f>
        <v>30.1846587067718</v>
      </c>
      <c r="F4384" s="6" t="n">
        <f aca="false">Sens!F4301*cx_azo+Sens!F4308*cx_m365+Sens!F4309*cx_lic+(Sens!F4311+Sens!F4313)*cx_ind+Sens!F4316*cx_srch+(Sens!F4318+Sens!F4320)*cx_dev</f>
        <v>35.5793472295625</v>
      </c>
      <c r="G4384" s="6" t="n">
        <f aca="false">Sens!G4301*cx_azo+Sens!G4308*cx_m365+Sens!G4309*cx_lic+(Sens!G4311+Sens!G4313)*cx_ind+Sens!G4316*cx_srch+(Sens!G4318+Sens!G4320)*cx_dev</f>
        <v>41.1528935703892</v>
      </c>
      <c r="H4384" s="6" t="n">
        <f aca="false">Sens!H4301*cx_azo+Sens!H4308*cx_m365+Sens!H4309*cx_lic+(Sens!H4311+Sens!H4313)*cx_ind+Sens!H4316*cx_srch+(Sens!H4318+Sens!H4320)*cx_dev</f>
        <v>46.8115136440897</v>
      </c>
      <c r="I4384" s="6" t="n">
        <f aca="false">Sens!I4301*cx_azo+Sens!I4308*cx_m365+Sens!I4309*cx_lic+(Sens!I4311+Sens!I4313)*cx_ind+Sens!I4316*cx_srch+(Sens!I4318+Sens!I4320)*cx_dev</f>
        <v>52.1984003116439</v>
      </c>
      <c r="J4384" s="6" t="n">
        <f aca="false">Sens!J4301*cx_azo+Sens!J4308*cx_m365+Sens!J4309*cx_lic+(Sens!J4311+Sens!J4313)*cx_ind+Sens!J4316*cx_srch+(Sens!J4318+Sens!J4320)*cx_dev</f>
        <v>57.0809132503738</v>
      </c>
      <c r="K4384" s="6" t="n">
        <f aca="false">Sens!K4301*cx_azo+Sens!K4308*cx_m365+Sens!K4309*cx_lic+(Sens!K4311+Sens!K4313)*cx_ind+Sens!K4316*cx_srch+(Sens!K4318+Sens!K4320)*cx_dev</f>
        <v>61.368702741994</v>
      </c>
    </row>
    <row r="4385" customFormat="false" ht="17.15" hidden="false" customHeight="false" outlineLevel="0" collapsed="false">
      <c r="A4385" s="1" t="s">
        <v>945</v>
      </c>
      <c r="B4385" s="0" t="s">
        <v>98</v>
      </c>
      <c r="E4385" s="6" t="n">
        <f aca="false">Q!M42</f>
        <v>145.3</v>
      </c>
      <c r="F4385" s="6" t="n">
        <f aca="false">Sens!F4383+Sens!F4384</f>
        <v>204.2</v>
      </c>
      <c r="G4385" s="6" t="n">
        <f aca="false">Sens!G4383+Sens!G4384</f>
        <v>224.727074053589</v>
      </c>
      <c r="H4385" s="6" t="n">
        <f aca="false">Sens!H4383+Sens!H4384</f>
        <v>265.150474901156</v>
      </c>
      <c r="I4385" s="6" t="n">
        <f aca="false">Sens!I4383+Sens!I4384</f>
        <v>231.343169132556</v>
      </c>
      <c r="J4385" s="6" t="n">
        <f aca="false">Sens!J4383+Sens!J4384</f>
        <v>226.672640995131</v>
      </c>
      <c r="K4385" s="6" t="n">
        <f aca="false">Sens!K4383+Sens!K4384</f>
        <v>228.891780128997</v>
      </c>
      <c r="L4385" s="1" t="s">
        <v>946</v>
      </c>
    </row>
    <row r="4386" customFormat="false" ht="15" hidden="false" customHeight="false" outlineLevel="0" collapsed="false">
      <c r="A4386" s="1" t="s">
        <v>947</v>
      </c>
      <c r="B4386" s="0" t="s">
        <v>98</v>
      </c>
      <c r="E4386" s="6" t="n">
        <f aca="false">fl_liab</f>
        <v>66.594</v>
      </c>
      <c r="F4386" s="6" t="n">
        <f aca="false">Sens!E4386-Sens!F4387</f>
        <v>62.46973</v>
      </c>
      <c r="G4386" s="6" t="n">
        <f aca="false">Sens!F4386-Sens!G4387</f>
        <v>57.98686785</v>
      </c>
      <c r="H4386" s="6" t="n">
        <f aca="false">Sens!G4386-Sens!H4387</f>
        <v>53.92827690325</v>
      </c>
      <c r="I4386" s="6" t="n">
        <f aca="false">Sens!H4386-Sens!I4387</f>
        <v>49.7850493638962</v>
      </c>
      <c r="J4386" s="6" t="n">
        <f aca="false">Sens!I4386-Sens!J4387</f>
        <v>45.4823765852716</v>
      </c>
      <c r="K4386" s="6" t="n">
        <f aca="false">Sens!J4386-Sens!K4387</f>
        <v>40.9860835316088</v>
      </c>
    </row>
    <row r="4387" customFormat="false" ht="15" hidden="false" customHeight="false" outlineLevel="0" collapsed="false">
      <c r="A4387" s="1" t="s">
        <v>948</v>
      </c>
      <c r="B4387" s="0" t="s">
        <v>98</v>
      </c>
      <c r="F4387" s="6" t="n">
        <f aca="false">fl_pay_27-Sens!E4386*fl_rate</f>
        <v>4.12427</v>
      </c>
      <c r="G4387" s="6" t="n">
        <f aca="false">fl_pay_28-Sens!F4386*fl_rate</f>
        <v>4.48286215</v>
      </c>
      <c r="H4387" s="6" t="n">
        <f aca="false">fl_pay_29-Sens!G4386*fl_rate</f>
        <v>4.05859094675</v>
      </c>
      <c r="I4387" s="6" t="n">
        <f aca="false">fl_pay_30-Sens!H4386*fl_rate</f>
        <v>4.14322753935375</v>
      </c>
      <c r="J4387" s="6" t="n">
        <f aca="false">fl_pay_31-Sens!I4386*fl_rate</f>
        <v>4.30267277862467</v>
      </c>
      <c r="K4387" s="6" t="n">
        <f aca="false">fl_pay_32-Sens!J4386*fl_rate</f>
        <v>4.49629305366278</v>
      </c>
    </row>
    <row r="4388" customFormat="false" ht="17.15" hidden="false" customHeight="false" outlineLevel="0" collapsed="false">
      <c r="A4388" s="1" t="s">
        <v>949</v>
      </c>
      <c r="B4388" s="0" t="s">
        <v>98</v>
      </c>
      <c r="E4388" s="6" t="n">
        <f aca="false">Q!M35-Q!M36-Q!M43</f>
        <v>63.886</v>
      </c>
      <c r="F4388" s="6" t="n">
        <f aca="false">Sens!F4382-Sens!F4385-Sens!F4387</f>
        <v>2.59115263782052</v>
      </c>
      <c r="G4388" s="6" t="n">
        <f aca="false">Sens!G4382-Sens!G4385-Sens!G4387</f>
        <v>34.7305868076287</v>
      </c>
      <c r="H4388" s="6" t="n">
        <f aca="false">Sens!H4382-Sens!H4385-Sens!H4387</f>
        <v>46.0344587751434</v>
      </c>
      <c r="I4388" s="6" t="n">
        <f aca="false">Sens!I4382-Sens!I4385-Sens!I4387</f>
        <v>127.07319460215</v>
      </c>
      <c r="J4388" s="6" t="n">
        <f aca="false">Sens!J4382-Sens!J4385-Sens!J4387</f>
        <v>171.329288681427</v>
      </c>
      <c r="K4388" s="6" t="n">
        <f aca="false">Sens!K4382-Sens!K4385-Sens!K4387</f>
        <v>200.891688766597</v>
      </c>
      <c r="L4388" s="11" t="s">
        <v>950</v>
      </c>
    </row>
    <row r="4389" customFormat="false" ht="15" hidden="false" customHeight="false" outlineLevel="0" collapsed="false">
      <c r="A4389" s="1" t="s">
        <v>951</v>
      </c>
      <c r="B4389" s="0" t="s">
        <v>75</v>
      </c>
      <c r="F4389" s="8" t="n">
        <f aca="false">dps_27</f>
        <v>3.85</v>
      </c>
      <c r="G4389" s="8" t="n">
        <f aca="false">Sens!F4389*(1+dps_g)</f>
        <v>4.158</v>
      </c>
      <c r="H4389" s="8" t="n">
        <f aca="false">Sens!G4389*(1+dps_g)</f>
        <v>4.49064</v>
      </c>
      <c r="I4389" s="8" t="n">
        <f aca="false">Sens!H4389*(1+dps_g)</f>
        <v>4.8498912</v>
      </c>
      <c r="J4389" s="8" t="n">
        <f aca="false">Sens!I4389*(1+dps_g)</f>
        <v>5.237882496</v>
      </c>
      <c r="K4389" s="8" t="n">
        <f aca="false">Sens!J4389*(1+dps_g)</f>
        <v>5.65691309568</v>
      </c>
    </row>
    <row r="4390" customFormat="false" ht="17.15" hidden="false" customHeight="false" outlineLevel="0" collapsed="false">
      <c r="A4390" s="1" t="s">
        <v>952</v>
      </c>
      <c r="B4390" s="0" t="s">
        <v>98</v>
      </c>
      <c r="E4390" s="6" t="n">
        <f aca="false">Q!M41</f>
        <v>26.445</v>
      </c>
      <c r="F4390" s="6" t="n">
        <f aca="false">Sens!F4389*Sens!E4399</f>
        <v>28.59395</v>
      </c>
      <c r="G4390" s="6" t="n">
        <f aca="false">Sens!G4389*Sens!F4399</f>
        <v>31.068576</v>
      </c>
      <c r="H4390" s="6" t="n">
        <f aca="false">Sens!H4389*Sens!G4399</f>
        <v>33.7286308498195</v>
      </c>
      <c r="I4390" s="6" t="n">
        <f aca="false">Sens!I4389*Sens!H4399</f>
        <v>36.5677537263974</v>
      </c>
      <c r="J4390" s="6" t="n">
        <f aca="false">Sens!J4389*Sens!I4399</f>
        <v>39.5615728728287</v>
      </c>
      <c r="K4390" s="6" t="n">
        <f aca="false">Sens!K4389*Sens!J4399</f>
        <v>42.81375392796</v>
      </c>
      <c r="L4390" s="1" t="s">
        <v>953</v>
      </c>
    </row>
    <row r="4391" customFormat="false" ht="15" hidden="false" customHeight="false" outlineLevel="0" collapsed="false">
      <c r="A4391" s="1" t="s">
        <v>954</v>
      </c>
      <c r="B4391" s="0" t="s">
        <v>98</v>
      </c>
      <c r="E4391" s="6" t="n">
        <f aca="false">Sens!E4388-Sens!E4390</f>
        <v>37.441</v>
      </c>
      <c r="F4391" s="6" t="n">
        <f aca="false">Sens!F4388-Sens!F4390</f>
        <v>-26.0027973621795</v>
      </c>
      <c r="G4391" s="6" t="n">
        <f aca="false">Sens!G4388-Sens!G4390</f>
        <v>3.66201080762874</v>
      </c>
      <c r="H4391" s="6" t="n">
        <f aca="false">Sens!H4388-Sens!H4390</f>
        <v>12.3058279253238</v>
      </c>
      <c r="I4391" s="6" t="n">
        <f aca="false">Sens!I4388-Sens!I4390</f>
        <v>90.505440875753</v>
      </c>
      <c r="J4391" s="6" t="n">
        <f aca="false">Sens!J4388-Sens!J4390</f>
        <v>131.767715808598</v>
      </c>
      <c r="K4391" s="6" t="n">
        <f aca="false">Sens!K4388-Sens!K4390</f>
        <v>158.077934838637</v>
      </c>
    </row>
    <row r="4392" customFormat="false" ht="15" hidden="false" customHeight="false" outlineLevel="0" collapsed="false">
      <c r="A4392" s="1" t="s">
        <v>955</v>
      </c>
      <c r="B4392" s="0" t="s">
        <v>98</v>
      </c>
      <c r="F4392" s="6" t="n">
        <f aca="false">debt_mat_27</f>
        <v>9.25</v>
      </c>
      <c r="G4392" s="6" t="n">
        <f aca="false">debt_mat_28</f>
        <v>0</v>
      </c>
      <c r="H4392" s="6" t="n">
        <f aca="false">debt_mat_29</f>
        <v>2.001</v>
      </c>
      <c r="I4392" s="6" t="n">
        <f aca="false">debt_mat_30</f>
        <v>0</v>
      </c>
      <c r="J4392" s="6" t="n">
        <f aca="false">debt_mat_31</f>
        <v>0.5</v>
      </c>
      <c r="K4392" s="6" t="n">
        <f aca="false">debt_mat_32</f>
        <v>0</v>
      </c>
    </row>
    <row r="4393" customFormat="false" ht="15" hidden="false" customHeight="false" outlineLevel="0" collapsed="false">
      <c r="A4393" s="1" t="s">
        <v>956</v>
      </c>
      <c r="B4393" s="0" t="s">
        <v>98</v>
      </c>
      <c r="E4393" s="6" t="n">
        <f aca="false">Q!M40</f>
        <v>22.271</v>
      </c>
      <c r="F4393" s="6" t="n">
        <f aca="false">MAX(0,MIN(bb_target,Sens!E4395+Sens!F4391-Sens!F4392-min_cash))</f>
        <v>0</v>
      </c>
      <c r="G4393" s="6" t="n">
        <f aca="false">MAX(0,MIN(bb_target,Sens!F4395+Sens!G4391-Sens!G4392-min_cash))</f>
        <v>3.66201080762874</v>
      </c>
      <c r="H4393" s="6" t="n">
        <f aca="false">MAX(0,MIN(bb_target,Sens!G4395+Sens!H4391-Sens!H4392-min_cash))</f>
        <v>10.3048279253238</v>
      </c>
      <c r="I4393" s="6" t="n">
        <f aca="false">MAX(0,MIN(bb_target,Sens!H4395+Sens!I4391-Sens!I4392-min_cash))</f>
        <v>22.271</v>
      </c>
      <c r="J4393" s="6" t="n">
        <f aca="false">MAX(0,MIN(bb_target,Sens!I4395+Sens!J4391-Sens!J4392-min_cash))</f>
        <v>22.271</v>
      </c>
      <c r="K4393" s="6" t="n">
        <f aca="false">MAX(0,MIN(bb_target,Sens!J4395+Sens!K4391-Sens!K4392-min_cash))</f>
        <v>22.271</v>
      </c>
    </row>
    <row r="4394" customFormat="false" ht="15" hidden="false" customHeight="false" outlineLevel="0" collapsed="false">
      <c r="A4394" s="1" t="s">
        <v>957</v>
      </c>
      <c r="B4394" s="0" t="s">
        <v>98</v>
      </c>
      <c r="F4394" s="6" t="n">
        <f aca="false">MAX(0,min_cash-(Sens!E4395+Sens!F4391-Sens!F4392-Sens!F4393))</f>
        <v>8.40979736217948</v>
      </c>
      <c r="G4394" s="6" t="n">
        <f aca="false">MAX(0,min_cash-(Sens!F4395+Sens!G4391-Sens!G4392-Sens!G4393))</f>
        <v>0</v>
      </c>
      <c r="H4394" s="6" t="n">
        <f aca="false">MAX(0,min_cash-(Sens!G4395+Sens!H4391-Sens!H4392-Sens!H4393))</f>
        <v>0</v>
      </c>
      <c r="I4394" s="6" t="n">
        <f aca="false">MAX(0,min_cash-(Sens!H4395+Sens!I4391-Sens!I4392-Sens!I4393))</f>
        <v>0</v>
      </c>
      <c r="J4394" s="6" t="n">
        <f aca="false">MAX(0,min_cash-(Sens!I4395+Sens!J4391-Sens!J4392-Sens!J4393))</f>
        <v>0</v>
      </c>
      <c r="K4394" s="6" t="n">
        <f aca="false">MAX(0,min_cash-(Sens!J4395+Sens!K4391-Sens!K4392-Sens!K4393))</f>
        <v>0</v>
      </c>
    </row>
    <row r="4395" customFormat="false" ht="15" hidden="false" customHeight="false" outlineLevel="0" collapsed="false">
      <c r="A4395" s="1" t="s">
        <v>958</v>
      </c>
      <c r="B4395" s="0" t="s">
        <v>98</v>
      </c>
      <c r="E4395" s="6" t="n">
        <f aca="false">cash_open</f>
        <v>76.843</v>
      </c>
      <c r="F4395" s="6" t="n">
        <f aca="false">Sens!E4395+Sens!F4391-Sens!F4392-Sens!F4393+Sens!F4394</f>
        <v>50</v>
      </c>
      <c r="G4395" s="6" t="n">
        <f aca="false">Sens!F4395+Sens!G4391-Sens!G4392-Sens!G4393+Sens!G4394</f>
        <v>50</v>
      </c>
      <c r="H4395" s="6" t="n">
        <f aca="false">Sens!G4395+Sens!H4391-Sens!H4392-Sens!H4393+Sens!H4394</f>
        <v>50</v>
      </c>
      <c r="I4395" s="6" t="n">
        <f aca="false">Sens!H4395+Sens!I4391-Sens!I4392-Sens!I4393+Sens!I4394</f>
        <v>118.234440875753</v>
      </c>
      <c r="J4395" s="6" t="n">
        <f aca="false">Sens!I4395+Sens!J4391-Sens!J4392-Sens!J4393+Sens!J4394</f>
        <v>227.231156684351</v>
      </c>
      <c r="K4395" s="6" t="n">
        <f aca="false">Sens!J4395+Sens!K4391-Sens!K4392-Sens!K4393+Sens!K4394</f>
        <v>363.038091522988</v>
      </c>
    </row>
    <row r="4396" customFormat="false" ht="15" hidden="false" customHeight="false" outlineLevel="0" collapsed="false">
      <c r="A4396" s="1" t="s">
        <v>959</v>
      </c>
      <c r="B4396" s="0" t="s">
        <v>98</v>
      </c>
      <c r="E4396" s="6" t="n">
        <f aca="false">debt_face</f>
        <v>46.136</v>
      </c>
      <c r="F4396" s="6" t="n">
        <f aca="false">Sens!E4396-Sens!F4392+Sens!F4394</f>
        <v>45.2957973621795</v>
      </c>
      <c r="G4396" s="6" t="n">
        <f aca="false">Sens!F4396-Sens!G4392+Sens!G4394</f>
        <v>45.2957973621795</v>
      </c>
      <c r="H4396" s="6" t="n">
        <f aca="false">Sens!G4396-Sens!H4392+Sens!H4394</f>
        <v>43.2947973621795</v>
      </c>
      <c r="I4396" s="6" t="n">
        <f aca="false">Sens!H4396-Sens!I4392+Sens!I4394</f>
        <v>43.2947973621795</v>
      </c>
      <c r="J4396" s="6" t="n">
        <f aca="false">Sens!I4396-Sens!J4392+Sens!J4394</f>
        <v>42.7947973621795</v>
      </c>
      <c r="K4396" s="6" t="n">
        <f aca="false">Sens!J4396-Sens!K4392+Sens!K4394</f>
        <v>42.7947973621795</v>
      </c>
    </row>
    <row r="4397" customFormat="false" ht="15" hidden="false" customHeight="false" outlineLevel="0" collapsed="false">
      <c r="A4397" s="1" t="s">
        <v>960</v>
      </c>
      <c r="B4397" s="0" t="s">
        <v>98</v>
      </c>
      <c r="E4397" s="6" t="n">
        <f aca="false">Sens!E4395-Sens!E4396</f>
        <v>30.707</v>
      </c>
      <c r="F4397" s="6" t="n">
        <f aca="false">Sens!F4395-Sens!F4396</f>
        <v>4.70420263782052</v>
      </c>
      <c r="G4397" s="6" t="n">
        <f aca="false">Sens!G4395-Sens!G4396</f>
        <v>4.70420263782052</v>
      </c>
      <c r="H4397" s="6" t="n">
        <f aca="false">Sens!H4395-Sens!H4396</f>
        <v>6.70520263782052</v>
      </c>
      <c r="I4397" s="6" t="n">
        <f aca="false">Sens!I4395-Sens!I4396</f>
        <v>74.9396435135735</v>
      </c>
      <c r="J4397" s="6" t="n">
        <f aca="false">Sens!J4395-Sens!J4396</f>
        <v>184.436359322172</v>
      </c>
      <c r="K4397" s="6" t="n">
        <f aca="false">Sens!K4395-Sens!K4396</f>
        <v>320.243294160808</v>
      </c>
    </row>
    <row r="4398" customFormat="false" ht="15" hidden="false" customHeight="false" outlineLevel="0" collapsed="false">
      <c r="A4398" s="1" t="s">
        <v>961</v>
      </c>
      <c r="B4398" s="0" t="s">
        <v>75</v>
      </c>
      <c r="F4398" s="29" t="n">
        <f aca="false">px*(1+bb_g)^(Sens!F4262-base_fy-mid_yr)</f>
        <v>553.494156066711</v>
      </c>
      <c r="G4398" s="29" t="n">
        <f aca="false">px*(1+bb_g)^(Sens!G4262-base_fy-mid_yr)</f>
        <v>597.773688552047</v>
      </c>
      <c r="H4398" s="29" t="n">
        <f aca="false">px*(1+bb_g)^(Sens!H4262-base_fy-mid_yr)</f>
        <v>645.595583636211</v>
      </c>
      <c r="I4398" s="29" t="n">
        <f aca="false">px*(1+bb_g)^(Sens!I4262-base_fy-mid_yr)</f>
        <v>697.243230327108</v>
      </c>
      <c r="J4398" s="29" t="n">
        <f aca="false">px*(1+bb_g)^(Sens!J4262-base_fy-mid_yr)</f>
        <v>753.022688753277</v>
      </c>
      <c r="K4398" s="29" t="n">
        <f aca="false">px*(1+bb_g)^(Sens!K4262-base_fy-mid_yr)</f>
        <v>813.264503853539</v>
      </c>
    </row>
    <row r="4399" customFormat="false" ht="15" hidden="false" customHeight="false" outlineLevel="0" collapsed="false">
      <c r="A4399" s="1" t="s">
        <v>962</v>
      </c>
      <c r="B4399" s="1" t="s">
        <v>81</v>
      </c>
      <c r="E4399" s="14" t="n">
        <f aca="false">sh_out26</f>
        <v>7.427</v>
      </c>
      <c r="F4399" s="14" t="n">
        <f aca="false">Sens!E4399+sh_iss-Sens!F4393/Sens!F4398</f>
        <v>7.472</v>
      </c>
      <c r="G4399" s="14" t="n">
        <f aca="false">Sens!F4399+sh_iss-Sens!G4393/Sens!G4398</f>
        <v>7.51087391770872</v>
      </c>
      <c r="H4399" s="14" t="n">
        <f aca="false">Sens!G4399+sh_iss-Sens!H4393/Sens!H4398</f>
        <v>7.53991217914279</v>
      </c>
      <c r="I4399" s="14" t="n">
        <f aca="false">Sens!H4399+sh_iss-Sens!I4393/Sens!I4398</f>
        <v>7.55297067145751</v>
      </c>
      <c r="J4399" s="14" t="n">
        <f aca="false">Sens!I4399+sh_iss-Sens!J4393/Sens!J4398</f>
        <v>7.56839520137855</v>
      </c>
      <c r="K4399" s="14" t="n">
        <f aca="false">Sens!J4399+sh_iss-Sens!K4393/Sens!K4398</f>
        <v>7.586010506861</v>
      </c>
    </row>
    <row r="4400" customFormat="false" ht="15" hidden="false" customHeight="false" outlineLevel="0" collapsed="false">
      <c r="A4400" s="1" t="s">
        <v>963</v>
      </c>
      <c r="B4400" s="1" t="s">
        <v>81</v>
      </c>
      <c r="E4400" s="14" t="n">
        <f aca="false">sh_dil26</f>
        <v>7.453</v>
      </c>
      <c r="F4400" s="14" t="n">
        <f aca="false">(Sens!E4399+Sens!F4399)/2+dil_gap</f>
        <v>7.4735</v>
      </c>
      <c r="G4400" s="14" t="n">
        <f aca="false">(Sens!F4399+Sens!G4399)/2+dil_gap</f>
        <v>7.51543695885436</v>
      </c>
      <c r="H4400" s="14" t="n">
        <f aca="false">(Sens!G4399+Sens!H4399)/2+dil_gap</f>
        <v>7.54939304842576</v>
      </c>
      <c r="I4400" s="14" t="n">
        <f aca="false">(Sens!H4399+Sens!I4399)/2+dil_gap</f>
        <v>7.57044142530015</v>
      </c>
      <c r="J4400" s="14" t="n">
        <f aca="false">(Sens!I4399+Sens!J4399)/2+dil_gap</f>
        <v>7.58468293641803</v>
      </c>
      <c r="K4400" s="14" t="n">
        <f aca="false">(Sens!J4399+Sens!K4399)/2+dil_gap</f>
        <v>7.60120285411978</v>
      </c>
    </row>
    <row r="4401" customFormat="false" ht="17.15" hidden="false" customHeight="false" outlineLevel="0" collapsed="false">
      <c r="A4401" s="1" t="s">
        <v>964</v>
      </c>
      <c r="B4401" s="0" t="s">
        <v>98</v>
      </c>
      <c r="C4401" s="6" t="n">
        <f aca="false">SUM(Sens!F4391:J4391)</f>
        <v>212.238198055124</v>
      </c>
    </row>
    <row r="4402" customFormat="false" ht="15" hidden="false" customHeight="false" outlineLevel="0" collapsed="false">
      <c r="A4402" s="23" t="s">
        <v>935</v>
      </c>
      <c r="B4402" s="30" t="s">
        <v>98</v>
      </c>
      <c r="C4402" s="24" t="n">
        <f aca="false">Sens!$C$4401-(Sens!F4391+Sens!G4391+Sens!H4391+Sens!I4391+Sens!J4391)</f>
        <v>0</v>
      </c>
      <c r="D4402" s="30"/>
      <c r="E4402" s="30"/>
      <c r="F4402" s="30"/>
      <c r="G4402" s="30"/>
      <c r="H4402" s="30"/>
      <c r="I4402" s="30"/>
      <c r="J4402" s="30"/>
      <c r="K4402" s="30"/>
    </row>
    <row r="4403" customFormat="false" ht="17.15" hidden="false" customHeight="false" outlineLevel="0" collapsed="false">
      <c r="A4403" s="1" t="s">
        <v>929</v>
      </c>
      <c r="B4403" s="1" t="s">
        <v>965</v>
      </c>
      <c r="C4403" s="32" t="str">
        <f aca="false">IF(SUM(Sens!F4394:J4394)&gt;0.05,"需要舉債 "&amp;TEXT(SUM(Sens!F4394:J4394),"0.0")&amp;" 十億美元","不需舉債")&amp;"；"&amp;IF(SUM(Sens!F4393:J4393)&lt;COUNT(Sens!F4393:J4393)*bb_target-0.05,"回購較每年 "&amp;TEXT(bb_target,"0.0")&amp;" 的目標少 "&amp;TEXT(COUNT(Sens!F4393:J4393)*bb_target-SUM(Sens!F4393:J4393),"0.0")&amp;" 十億美元（"&amp;TEXT(COUNTIF(Sens!F4393:J4393,"&lt;"&amp;(bb_target-0.05)),"0")&amp;" 年減少）","回購不減")</f>
        <v>需要舉債 8.4 十億美元；回購較每年 22.3 的目標少 52.8 十億美元（3 年減少）</v>
      </c>
    </row>
    <row r="4404" customFormat="false" ht="17.15" hidden="false" customHeight="false" outlineLevel="0" collapsed="false">
      <c r="A4404" s="3" t="s">
        <v>1348</v>
      </c>
    </row>
    <row r="4405" customFormat="false" ht="15" hidden="false" customHeight="false" outlineLevel="0" collapsed="false">
      <c r="A4405" s="4" t="s">
        <v>43</v>
      </c>
      <c r="B4405" s="4" t="s">
        <v>65</v>
      </c>
      <c r="C4405" s="20" t="s">
        <v>788</v>
      </c>
      <c r="D4405" s="20" t="s">
        <v>789</v>
      </c>
      <c r="E4405" s="20" t="s">
        <v>790</v>
      </c>
      <c r="F4405" s="20" t="s">
        <v>791</v>
      </c>
      <c r="G4405" s="20" t="s">
        <v>792</v>
      </c>
      <c r="H4405" s="20" t="s">
        <v>793</v>
      </c>
      <c r="I4405" s="20" t="s">
        <v>794</v>
      </c>
      <c r="J4405" s="20" t="s">
        <v>795</v>
      </c>
      <c r="K4405" s="20" t="s">
        <v>796</v>
      </c>
      <c r="L4405" s="4" t="s">
        <v>47</v>
      </c>
    </row>
    <row r="4406" customFormat="false" ht="15" hidden="false" customHeight="false" outlineLevel="0" collapsed="false">
      <c r="A4406" s="1" t="s">
        <v>1042</v>
      </c>
      <c r="B4406" s="1" t="s">
        <v>235</v>
      </c>
      <c r="F4406" s="36" t="n">
        <f aca="false">Sens!F4262-base_fy-mid_yr</f>
        <v>0.5</v>
      </c>
      <c r="G4406" s="36" t="n">
        <f aca="false">Sens!G4262-base_fy-mid_yr</f>
        <v>1.5</v>
      </c>
      <c r="H4406" s="36" t="n">
        <f aca="false">Sens!H4262-base_fy-mid_yr</f>
        <v>2.5</v>
      </c>
      <c r="I4406" s="36" t="n">
        <f aca="false">Sens!I4262-base_fy-mid_yr</f>
        <v>3.5</v>
      </c>
      <c r="J4406" s="36" t="n">
        <f aca="false">Sens!J4262-base_fy-mid_yr</f>
        <v>4.5</v>
      </c>
      <c r="K4406" s="36" t="n">
        <f aca="false">Sens!K4262-base_fy-mid_yr</f>
        <v>5.5</v>
      </c>
    </row>
    <row r="4407" customFormat="false" ht="15" hidden="false" customHeight="false" outlineLevel="0" collapsed="false">
      <c r="A4407" s="1" t="s">
        <v>1043</v>
      </c>
      <c r="B4407" s="0" t="s">
        <v>185</v>
      </c>
      <c r="F4407" s="14" t="n">
        <f aca="false">1/(1+wacc)^Sens!F4406</f>
        <v>0.952193373608246</v>
      </c>
      <c r="G4407" s="14" t="n">
        <f aca="false">1/(1+wacc)^Sens!G4406</f>
        <v>0.863327280626589</v>
      </c>
      <c r="H4407" s="14" t="n">
        <f aca="false">1/(1+wacc)^Sens!H4406</f>
        <v>0.782754862754115</v>
      </c>
      <c r="I4407" s="14" t="n">
        <f aca="false">1/(1+wacc)^Sens!I4406</f>
        <v>0.709702089711011</v>
      </c>
      <c r="J4407" s="14" t="n">
        <f aca="false">1/(1+wacc)^Sens!J4406</f>
        <v>0.643467169744551</v>
      </c>
      <c r="K4407" s="14" t="n">
        <f aca="false">1/(1+wacc)^Sens!K4406</f>
        <v>0.583413807767797</v>
      </c>
    </row>
    <row r="4408" customFormat="false" ht="17.15" hidden="false" customHeight="false" outlineLevel="0" collapsed="false">
      <c r="A4408" s="1" t="s">
        <v>1044</v>
      </c>
      <c r="B4408" s="0" t="s">
        <v>98</v>
      </c>
      <c r="F4408" s="6" t="n">
        <f aca="false">Sens!F4382-Sens!F4380-Sens!F4385+Sens!F4366*(1-tax_f)</f>
        <v>7.61288146602495</v>
      </c>
      <c r="G4408" s="6" t="n">
        <f aca="false">Sens!G4382-Sens!G4380-Sens!G4385+Sens!G4366*(1-tax_f)</f>
        <v>49.3776094557155</v>
      </c>
      <c r="H4408" s="6" t="n">
        <f aca="false">Sens!H4382-Sens!H4380-Sens!H4385+Sens!H4366*(1-tax_f)</f>
        <v>70.9976867580079</v>
      </c>
      <c r="I4408" s="6" t="n">
        <f aca="false">Sens!I4382-Sens!I4380-Sens!I4385+Sens!I4366*(1-tax_f)</f>
        <v>161.788088169679</v>
      </c>
      <c r="J4408" s="6" t="n">
        <f aca="false">Sens!J4382-Sens!J4380-Sens!J4385+Sens!J4366*(1-tax_f)</f>
        <v>213.263408825659</v>
      </c>
      <c r="K4408" s="6" t="n">
        <f aca="false">Sens!K4382-Sens!K4380-Sens!K4385+Sens!K4366*(1-tax_f)</f>
        <v>246.902322399519</v>
      </c>
      <c r="L4408" s="1" t="s">
        <v>1045</v>
      </c>
    </row>
    <row r="4409" customFormat="false" ht="15" hidden="false" customHeight="false" outlineLevel="0" collapsed="false">
      <c r="A4409" s="1" t="s">
        <v>1046</v>
      </c>
      <c r="B4409" s="0" t="s">
        <v>98</v>
      </c>
      <c r="F4409" s="6" t="n">
        <f aca="false">Sens!F4408*Sens!F4407</f>
        <v>7.24893528601399</v>
      </c>
      <c r="G4409" s="6" t="n">
        <f aca="false">Sens!G4408*Sens!G4407</f>
        <v>42.6290372952446</v>
      </c>
      <c r="H4409" s="6" t="n">
        <f aca="false">Sens!H4408*Sens!H4407</f>
        <v>55.5737845541241</v>
      </c>
      <c r="I4409" s="6" t="n">
        <f aca="false">Sens!I4408*Sens!I4407</f>
        <v>114.82134426437</v>
      </c>
      <c r="J4409" s="6" t="n">
        <f aca="false">Sens!J4408*Sens!J4407</f>
        <v>137.228002087122</v>
      </c>
      <c r="K4409" s="6" t="n">
        <f aca="false">Sens!K4408*Sens!K4407</f>
        <v>144.046224057815</v>
      </c>
    </row>
    <row r="4410" customFormat="false" ht="17.15" hidden="false" customHeight="false" outlineLevel="0" collapsed="false">
      <c r="A4410" s="1" t="s">
        <v>1047</v>
      </c>
      <c r="B4410" s="0" t="s">
        <v>98</v>
      </c>
      <c r="C4410" s="6" t="n">
        <f aca="false">SUM(Sens!F4409:K4409)</f>
        <v>501.54732754469</v>
      </c>
    </row>
    <row r="4411" customFormat="false" ht="17.15" hidden="false" customHeight="false" outlineLevel="0" collapsed="false">
      <c r="A4411" s="1" t="s">
        <v>1048</v>
      </c>
      <c r="B4411" s="0" t="s">
        <v>98</v>
      </c>
      <c r="C4411" s="6" t="n">
        <f aca="false">Sens!K4352*(1+g_tv)*(1-tax_f)</f>
        <v>281.742940508759</v>
      </c>
    </row>
    <row r="4412" customFormat="false" ht="17.15" hidden="false" customHeight="false" outlineLevel="0" collapsed="false">
      <c r="A4412" s="1" t="s">
        <v>1049</v>
      </c>
      <c r="B4412" s="0" t="s">
        <v>98</v>
      </c>
      <c r="C4412" s="6" t="n">
        <f aca="false">Sens!$C$4411*(1-g_tv/(wacc+ronic_prem))</f>
        <v>199.629608470395</v>
      </c>
    </row>
    <row r="4413" customFormat="false" ht="17.15" hidden="false" customHeight="false" outlineLevel="0" collapsed="false">
      <c r="A4413" s="1" t="s">
        <v>1050</v>
      </c>
      <c r="B4413" s="0" t="s">
        <v>98</v>
      </c>
      <c r="C4413" s="6" t="n">
        <f aca="false">Sens!$C$4412/(wacc-g_tv)</f>
        <v>2737.11106794548</v>
      </c>
    </row>
    <row r="4414" customFormat="false" ht="15" hidden="false" customHeight="false" outlineLevel="0" collapsed="false">
      <c r="A4414" s="1" t="s">
        <v>1051</v>
      </c>
      <c r="B4414" s="0" t="s">
        <v>98</v>
      </c>
      <c r="C4414" s="6" t="n">
        <f aca="false">Sens!$C$4413/(1+wacc)^(Sens!K4406+mid_yr)</f>
        <v>1520.5274998952</v>
      </c>
    </row>
    <row r="4415" customFormat="false" ht="17.15" hidden="false" customHeight="false" outlineLevel="0" collapsed="false">
      <c r="A4415" s="0" t="s">
        <v>972</v>
      </c>
      <c r="B4415" s="0" t="s">
        <v>98</v>
      </c>
      <c r="C4415" s="6" t="n">
        <f aca="false">Sens!$C$4410+Sens!$C$4414</f>
        <v>2022.07482743989</v>
      </c>
    </row>
    <row r="4416" customFormat="false" ht="15" hidden="false" customHeight="false" outlineLevel="0" collapsed="false">
      <c r="A4416" s="1" t="s">
        <v>973</v>
      </c>
      <c r="B4416" s="0" t="s">
        <v>129</v>
      </c>
      <c r="C4416" s="7" t="n">
        <f aca="false">Sens!$C$4414/Sens!$C$4415</f>
        <v>0.751964012044158</v>
      </c>
    </row>
    <row r="4417" customFormat="false" ht="17.15" hidden="false" customHeight="false" outlineLevel="0" collapsed="false">
      <c r="A4417" s="1" t="s">
        <v>1052</v>
      </c>
      <c r="B4417" s="0" t="s">
        <v>98</v>
      </c>
      <c r="C4417" s="6" t="n">
        <f aca="false">Sens!$C$4415+Sens!E4397-Sens!E4386+oai_v</f>
        <v>2156.58782743989</v>
      </c>
    </row>
    <row r="4418" customFormat="false" ht="17.15" hidden="false" customHeight="false" outlineLevel="0" collapsed="false">
      <c r="A4418" s="0" t="s">
        <v>980</v>
      </c>
      <c r="B4418" s="0" t="s">
        <v>75</v>
      </c>
      <c r="C4418" s="5" t="n">
        <f aca="false">Sens!$C$4417/sh_dil26</f>
        <v>289.358356023063</v>
      </c>
    </row>
    <row r="4419" customFormat="false" ht="15" hidden="false" customHeight="false" outlineLevel="0" collapsed="false">
      <c r="A4419" s="1" t="s">
        <v>1053</v>
      </c>
      <c r="B4419" s="0" t="s">
        <v>75</v>
      </c>
      <c r="C4419" s="8" t="n">
        <f aca="false">dps_27+Sens!G4389*roll_div_q/q_per_yr</f>
        <v>4.8895</v>
      </c>
    </row>
    <row r="4420" customFormat="false" ht="17.15" hidden="false" customHeight="false" outlineLevel="0" collapsed="false">
      <c r="A4420" s="0" t="s">
        <v>1054</v>
      </c>
      <c r="B4420" s="0" t="s">
        <v>75</v>
      </c>
      <c r="C4420" s="5" t="n">
        <f aca="false">Sens!$C$4418*(1+wacc)^t_roll-Sens!$C$4419</f>
        <v>324.612521541739</v>
      </c>
    </row>
    <row r="4421" customFormat="false" ht="17.15" hidden="false" customHeight="false" outlineLevel="0" collapsed="false">
      <c r="A4421" s="1" t="s">
        <v>1055</v>
      </c>
      <c r="B4421" s="0" t="s">
        <v>129</v>
      </c>
      <c r="F4421" s="7" t="n">
        <f aca="false">Sens!F4378/(Sens!F4323-Sens!F4279)</f>
        <v>0.0605581042012359</v>
      </c>
      <c r="G4421" s="7" t="n">
        <f aca="false">Sens!G4378/(Sens!G4323-Sens!G4279)</f>
        <v>0.0593206983981799</v>
      </c>
      <c r="H4421" s="7" t="n">
        <f aca="false">Sens!H4378/(Sens!H4323-Sens!H4279)</f>
        <v>0.059063889860891</v>
      </c>
      <c r="I4421" s="7" t="n">
        <f aca="false">Sens!I4378/(Sens!I4323-Sens!I4279)</f>
        <v>0.0597390338724559</v>
      </c>
      <c r="J4421" s="7" t="n">
        <f aca="false">Sens!J4378/(Sens!J4323-Sens!J4279)</f>
        <v>0.0611392111007169</v>
      </c>
      <c r="K4421" s="7" t="n">
        <f aca="false">Sens!K4378/(Sens!K4323-Sens!K4279)</f>
        <v>0.0629797149392436</v>
      </c>
    </row>
    <row r="4422" customFormat="false" ht="17.15" hidden="false" customHeight="false" outlineLevel="0" collapsed="false">
      <c r="A4422" s="0" t="s">
        <v>1056</v>
      </c>
      <c r="B4422" s="0" t="s">
        <v>98</v>
      </c>
      <c r="F4422" s="6" t="n">
        <f aca="false">Sens!F4308*(al_m365+Sens!F4421+sbc_r)</f>
        <v>82.9798351935636</v>
      </c>
      <c r="G4422" s="6" t="n">
        <f aca="false">Sens!G4308*(al_m365+Sens!G4421+sbc_r)</f>
        <v>95.4791222841297</v>
      </c>
      <c r="H4422" s="6" t="n">
        <f aca="false">Sens!H4308*(al_m365+Sens!H4421+sbc_r)</f>
        <v>108.142369748052</v>
      </c>
      <c r="I4422" s="6" t="n">
        <f aca="false">Sens!I4308*(al_m365+Sens!I4421+sbc_r)</f>
        <v>119.789216021695</v>
      </c>
      <c r="J4422" s="6" t="n">
        <f aca="false">Sens!J4308*(al_m365+Sens!J4421+sbc_r)</f>
        <v>130.227306612961</v>
      </c>
      <c r="K4422" s="6" t="n">
        <f aca="false">Sens!K4308*(al_m365+Sens!K4421+sbc_r)</f>
        <v>140.267155317682</v>
      </c>
      <c r="L4422" s="11" t="s">
        <v>1057</v>
      </c>
    </row>
    <row r="4423" customFormat="false" ht="17.15" hidden="false" customHeight="false" outlineLevel="0" collapsed="false">
      <c r="A4423" s="0" t="s">
        <v>1058</v>
      </c>
      <c r="B4423" s="0" t="s">
        <v>98</v>
      </c>
      <c r="F4423" s="6" t="n">
        <f aca="false">Sens!F4309*(al_lic+Sens!F4421+sbc_r)</f>
        <v>33.1308093991443</v>
      </c>
      <c r="G4423" s="6" t="n">
        <f aca="false">Sens!G4309*(al_lic+Sens!G4421+sbc_r)</f>
        <v>34.483314620648</v>
      </c>
      <c r="H4423" s="6" t="n">
        <f aca="false">Sens!H4309*(al_lic+Sens!H4421+sbc_r)</f>
        <v>35.7400163453618</v>
      </c>
      <c r="I4423" s="6" t="n">
        <f aca="false">Sens!I4309*(al_lic+Sens!I4421+sbc_r)</f>
        <v>36.8835049007533</v>
      </c>
      <c r="J4423" s="6" t="n">
        <f aca="false">Sens!J4309*(al_lic+Sens!J4421+sbc_r)</f>
        <v>37.8897321545886</v>
      </c>
      <c r="K4423" s="6" t="n">
        <f aca="false">Sens!K4309*(al_lic+Sens!K4421+sbc_r)</f>
        <v>38.7313560188654</v>
      </c>
    </row>
    <row r="4424" customFormat="false" ht="17.15" hidden="false" customHeight="false" outlineLevel="0" collapsed="false">
      <c r="A4424" s="0" t="s">
        <v>1059</v>
      </c>
      <c r="B4424" s="0" t="s">
        <v>98</v>
      </c>
      <c r="F4424" s="6" t="n">
        <f aca="false">Sens!F4311*(al_ind+Sens!F4421+sbc_r)</f>
        <v>8.89684769080825</v>
      </c>
      <c r="G4424" s="6" t="n">
        <f aca="false">Sens!G4311*(al_ind+Sens!G4421+sbc_r)</f>
        <v>9.69511584779586</v>
      </c>
      <c r="H4424" s="6" t="n">
        <f aca="false">Sens!H4311*(al_ind+Sens!H4421+sbc_r)</f>
        <v>10.535091428503</v>
      </c>
      <c r="I4424" s="6" t="n">
        <f aca="false">Sens!I4311*(al_ind+Sens!I4421+sbc_r)</f>
        <v>11.4137586229051</v>
      </c>
      <c r="J4424" s="6" t="n">
        <f aca="false">Sens!J4311*(al_ind+Sens!J4421+sbc_r)</f>
        <v>12.3219968882445</v>
      </c>
      <c r="K4424" s="6" t="n">
        <f aca="false">Sens!K4311*(al_ind+Sens!K4421+sbc_r)</f>
        <v>13.2454271675525</v>
      </c>
    </row>
    <row r="4425" customFormat="false" ht="17.15" hidden="false" customHeight="false" outlineLevel="0" collapsed="false">
      <c r="A4425" s="0" t="s">
        <v>1060</v>
      </c>
      <c r="B4425" s="0" t="s">
        <v>98</v>
      </c>
      <c r="F4425" s="6" t="n">
        <f aca="false">Sens!F4313*(al_fro+Sens!F4421+sbc_r)</f>
        <v>3.5018304861633</v>
      </c>
      <c r="G4425" s="6" t="n">
        <f aca="false">Sens!G4313*(al_fro+Sens!G4421+sbc_r)</f>
        <v>3.72235129408072</v>
      </c>
      <c r="H4425" s="6" t="n">
        <f aca="false">Sens!H4313*(al_fro+Sens!H4421+sbc_r)</f>
        <v>3.96998304066887</v>
      </c>
      <c r="I4425" s="6" t="n">
        <f aca="false">Sens!I4313*(al_fro+Sens!I4421+sbc_r)</f>
        <v>4.24773642511843</v>
      </c>
      <c r="J4425" s="6" t="n">
        <f aca="false">Sens!J4313*(al_fro+Sens!J4421+sbc_r)</f>
        <v>4.55714798273457</v>
      </c>
      <c r="K4425" s="6" t="n">
        <f aca="false">Sens!K4313*(al_fro+Sens!K4421+sbc_r)</f>
        <v>4.89866798738247</v>
      </c>
    </row>
    <row r="4426" customFormat="false" ht="17.15" hidden="false" customHeight="false" outlineLevel="0" collapsed="false">
      <c r="A4426" s="0" t="s">
        <v>1061</v>
      </c>
      <c r="B4426" s="0" t="s">
        <v>98</v>
      </c>
      <c r="F4426" s="6" t="n">
        <f aca="false">Sens!F4316*(al_srch+Sens!F4421+sbc_r)</f>
        <v>10.9877354402659</v>
      </c>
      <c r="G4426" s="6" t="n">
        <f aca="false">Sens!G4316*(al_srch+Sens!G4421+sbc_r)</f>
        <v>12.0865837950112</v>
      </c>
      <c r="H4426" s="6" t="n">
        <f aca="false">Sens!H4316*(al_srch+Sens!H4421+sbc_r)</f>
        <v>13.2271895647162</v>
      </c>
      <c r="I4426" s="6" t="n">
        <f aca="false">Sens!I4316*(al_srch+Sens!I4421+sbc_r)</f>
        <v>14.3987172182835</v>
      </c>
      <c r="J4426" s="6" t="n">
        <f aca="false">Sens!J4316*(al_srch+Sens!J4421+sbc_r)</f>
        <v>15.5817387094026</v>
      </c>
      <c r="K4426" s="6" t="n">
        <f aca="false">Sens!K4316*(al_srch+Sens!K4421+sbc_r)</f>
        <v>16.7494592874085</v>
      </c>
    </row>
    <row r="4427" customFormat="false" ht="17.15" hidden="false" customHeight="false" outlineLevel="0" collapsed="false">
      <c r="A4427" s="0" t="s">
        <v>1062</v>
      </c>
      <c r="B4427" s="0" t="s">
        <v>98</v>
      </c>
      <c r="F4427" s="6" t="n">
        <f aca="false">Sens!F4285-Sens!F4286+Sens!F4366</f>
        <v>52.711921851598</v>
      </c>
      <c r="G4427" s="6" t="n">
        <f aca="false">Sens!G4285-Sens!G4286+Sens!G4366</f>
        <v>90.6784626078386</v>
      </c>
      <c r="H4427" s="6" t="n">
        <f aca="false">Sens!H4285-Sens!H4286+Sens!H4366</f>
        <v>133.044415570418</v>
      </c>
      <c r="I4427" s="6" t="n">
        <f aca="false">Sens!I4285-Sens!I4286+Sens!I4366</f>
        <v>170.754652481802</v>
      </c>
      <c r="J4427" s="6" t="n">
        <f aca="false">Sens!J4285-Sens!J4286+Sens!J4366</f>
        <v>199.506923870654</v>
      </c>
      <c r="K4427" s="6" t="n">
        <f aca="false">Sens!K4285-Sens!K4286+Sens!K4366</f>
        <v>218.950037262805</v>
      </c>
    </row>
    <row r="4428" customFormat="false" ht="17.15" hidden="false" customHeight="false" outlineLevel="0" collapsed="false">
      <c r="A4428" s="0" t="s">
        <v>1063</v>
      </c>
      <c r="B4428" s="0" t="s">
        <v>98</v>
      </c>
      <c r="F4428" s="6" t="n">
        <f aca="false">Sens!F4345+Sens!F4366+Sens!F4296+Sens!F4421*(Sens!F4315-Sens!F4279)+sbc_r*Sens!F4315</f>
        <v>245.027192031772</v>
      </c>
      <c r="G4428" s="6" t="n">
        <f aca="false">Sens!G4345+Sens!G4366+Sens!G4296+Sens!G4421*(Sens!G4315-Sens!G4279)+sbc_r*Sens!G4315</f>
        <v>310.747014286153</v>
      </c>
      <c r="H4428" s="6" t="n">
        <f aca="false">Sens!H4345+Sens!H4366+Sens!H4296+Sens!H4421*(Sens!H4315-Sens!H4279)+sbc_r*Sens!H4315</f>
        <v>381.418942603532</v>
      </c>
      <c r="I4428" s="6" t="n">
        <f aca="false">Sens!I4345+Sens!I4366+Sens!I4296+Sens!I4421*(Sens!I4315-Sens!I4279)+sbc_r*Sens!I4315</f>
        <v>446.012770180618</v>
      </c>
      <c r="J4428" s="6" t="n">
        <f aca="false">Sens!J4345+Sens!J4366+Sens!J4296+Sens!J4421*(Sens!J4315-Sens!J4279)+sbc_r*Sens!J4315</f>
        <v>499.204611087374</v>
      </c>
      <c r="K4428" s="6" t="n">
        <f aca="false">Sens!K4345+Sens!K4366+Sens!K4296+Sens!K4421*(Sens!K4315-Sens!K4279)+sbc_r*Sens!K4315</f>
        <v>540.67997743281</v>
      </c>
    </row>
    <row r="4429" customFormat="false" ht="17.15" hidden="false" customHeight="false" outlineLevel="0" collapsed="false">
      <c r="A4429" s="0" t="s">
        <v>1064</v>
      </c>
      <c r="B4429" s="0" t="s">
        <v>98</v>
      </c>
      <c r="F4429" s="6" t="n">
        <f aca="false">Sens!F4428-Sens!F4422-Sens!F4423-Sens!F4424-Sens!F4425-Sens!F4427</f>
        <v>63.8059474104949</v>
      </c>
      <c r="G4429" s="6" t="n">
        <f aca="false">Sens!G4428-Sens!G4422-Sens!G4423-Sens!G4424-Sens!G4425-Sens!G4427</f>
        <v>76.6886476316598</v>
      </c>
      <c r="H4429" s="6" t="n">
        <f aca="false">Sens!H4428-Sens!H4422-Sens!H4423-Sens!H4424-Sens!H4425-Sens!H4427</f>
        <v>89.9870664705277</v>
      </c>
      <c r="I4429" s="6" t="n">
        <f aca="false">Sens!I4428-Sens!I4422-Sens!I4423-Sens!I4424-Sens!I4425-Sens!I4427</f>
        <v>102.923901728345</v>
      </c>
      <c r="J4429" s="6" t="n">
        <f aca="false">Sens!J4428-Sens!J4422-Sens!J4423-Sens!J4424-Sens!J4425-Sens!J4427</f>
        <v>114.701503578191</v>
      </c>
      <c r="K4429" s="6" t="n">
        <f aca="false">Sens!K4428-Sens!K4422-Sens!K4423-Sens!K4424-Sens!K4425-Sens!K4427</f>
        <v>124.587333678523</v>
      </c>
    </row>
    <row r="4430" customFormat="false" ht="17.15" hidden="false" customHeight="false" outlineLevel="0" collapsed="false">
      <c r="A4430" s="0" t="s">
        <v>1065</v>
      </c>
      <c r="B4430" s="0" t="s">
        <v>98</v>
      </c>
      <c r="F4430" s="6" t="n">
        <f aca="false">Sens!F4347+Sens!F4421*Sens!F4322+sbc_r*Sens!F4322</f>
        <v>25.6754628586983</v>
      </c>
      <c r="G4430" s="6" t="n">
        <f aca="false">Sens!G4347+Sens!G4421*Sens!G4322+sbc_r*Sens!G4322</f>
        <v>26.374307530404</v>
      </c>
      <c r="H4430" s="6" t="n">
        <f aca="false">Sens!H4347+Sens!H4421*Sens!H4322+sbc_r*Sens!H4322</f>
        <v>27.319639441446</v>
      </c>
      <c r="I4430" s="6" t="n">
        <f aca="false">Sens!I4347+Sens!I4421*Sens!I4322+sbc_r*Sens!I4322</f>
        <v>28.4862318106082</v>
      </c>
      <c r="J4430" s="6" t="n">
        <f aca="false">Sens!J4347+Sens!J4421*Sens!J4322+sbc_r*Sens!J4322</f>
        <v>29.8433084376614</v>
      </c>
      <c r="K4430" s="6" t="n">
        <f aca="false">Sens!K4347+Sens!K4421*Sens!K4322+sbc_r*Sens!K4322</f>
        <v>31.357379565034</v>
      </c>
    </row>
    <row r="4431" customFormat="false" ht="17.15" hidden="false" customHeight="false" outlineLevel="0" collapsed="false">
      <c r="A4431" s="0" t="s">
        <v>1066</v>
      </c>
      <c r="B4431" s="0" t="s">
        <v>98</v>
      </c>
      <c r="F4431" s="6" t="n">
        <f aca="false">(Sens!F4430-Sens!F4426)*Sens!F4318/(Sens!F4318+Sens!F4320)</f>
        <v>8.05166911439247</v>
      </c>
      <c r="G4431" s="6" t="n">
        <f aca="false">(Sens!G4430-Sens!G4426)*Sens!G4318/(Sens!G4318+Sens!G4320)</f>
        <v>7.69273995220685</v>
      </c>
      <c r="H4431" s="6" t="n">
        <f aca="false">(Sens!H4430-Sens!H4426)*Sens!H4318/(Sens!H4318+Sens!H4320)</f>
        <v>7.48510555597133</v>
      </c>
      <c r="I4431" s="6" t="n">
        <f aca="false">(Sens!I4430-Sens!I4426)*Sens!I4318/(Sens!I4318+Sens!I4320)</f>
        <v>7.41478260195293</v>
      </c>
      <c r="J4431" s="6" t="n">
        <f aca="false">(Sens!J4430-Sens!J4426)*Sens!J4318/(Sens!J4318+Sens!J4320)</f>
        <v>7.47245065208961</v>
      </c>
      <c r="K4431" s="6" t="n">
        <f aca="false">(Sens!K4430-Sens!K4426)*Sens!K4318/(Sens!K4318+Sens!K4320)</f>
        <v>7.6539234799606</v>
      </c>
    </row>
    <row r="4432" customFormat="false" ht="17.15" hidden="false" customHeight="false" outlineLevel="0" collapsed="false">
      <c r="A4432" s="0" t="s">
        <v>1067</v>
      </c>
      <c r="B4432" s="0" t="s">
        <v>98</v>
      </c>
      <c r="F4432" s="6" t="n">
        <f aca="false">Sens!F4430-Sens!F4426-Sens!F4431</f>
        <v>6.63605830403993</v>
      </c>
      <c r="G4432" s="6" t="n">
        <f aca="false">Sens!G4430-Sens!G4426-Sens!G4431</f>
        <v>6.59498378318593</v>
      </c>
      <c r="H4432" s="6" t="n">
        <f aca="false">Sens!H4430-Sens!H4426-Sens!H4431</f>
        <v>6.60734432075846</v>
      </c>
      <c r="I4432" s="6" t="n">
        <f aca="false">Sens!I4430-Sens!I4426-Sens!I4431</f>
        <v>6.6727319903718</v>
      </c>
      <c r="J4432" s="6" t="n">
        <f aca="false">Sens!J4430-Sens!J4426-Sens!J4431</f>
        <v>6.78911907616918</v>
      </c>
      <c r="K4432" s="6" t="n">
        <f aca="false">Sens!K4430-Sens!K4426-Sens!K4431</f>
        <v>6.95399679766485</v>
      </c>
    </row>
    <row r="4433" customFormat="false" ht="17.15" hidden="false" customHeight="false" outlineLevel="0" collapsed="false">
      <c r="A4433" s="0" t="s">
        <v>1068</v>
      </c>
      <c r="B4433" s="0" t="s">
        <v>98</v>
      </c>
      <c r="F4433" s="6" t="n">
        <f aca="false">Sens!F4427-tax_f*(Sens!F4427-Sens!F4296)-Sens!F4293</f>
        <v>-118.21121438375</v>
      </c>
      <c r="G4433" s="6" t="n">
        <f aca="false">Sens!G4427-tax_f*(Sens!G4427-Sens!G4296)-Sens!G4293</f>
        <v>-96.6690512464477</v>
      </c>
      <c r="H4433" s="6" t="n">
        <f aca="false">Sens!H4427-tax_f*(Sens!H4427-Sens!H4296)-Sens!H4293</f>
        <v>-90.9140632272787</v>
      </c>
      <c r="I4433" s="6" t="n">
        <f aca="false">Sens!I4427-tax_f*(Sens!I4427-Sens!I4296)-Sens!I4293</f>
        <v>-15.5543505957575</v>
      </c>
      <c r="J4433" s="6" t="n">
        <f aca="false">Sens!J4427-tax_f*(Sens!J4427-Sens!J4296)-Sens!J4293</f>
        <v>21.4005835322258</v>
      </c>
      <c r="K4433" s="6" t="n">
        <f aca="false">Sens!K4427-tax_f*(Sens!K4427-Sens!K4296)-Sens!K4293</f>
        <v>41.3667712564274</v>
      </c>
    </row>
    <row r="4434" customFormat="false" ht="17.15" hidden="false" customHeight="false" outlineLevel="0" collapsed="false">
      <c r="A4434" s="0" t="s">
        <v>1069</v>
      </c>
      <c r="B4434" s="0" t="s">
        <v>98</v>
      </c>
      <c r="F4434" s="6" t="n">
        <f aca="false">Sens!F4433*Sens!F4407</f>
        <v>-112.559935022391</v>
      </c>
      <c r="G4434" s="6" t="n">
        <f aca="false">Sens!G4433*Sens!G4407</f>
        <v>-83.457029133348</v>
      </c>
      <c r="H4434" s="6" t="n">
        <f aca="false">Sens!H4433*Sens!H4407</f>
        <v>-71.1634250838875</v>
      </c>
      <c r="I4434" s="6" t="n">
        <f aca="false">Sens!I4433*Sens!I4407</f>
        <v>-11.0389551219068</v>
      </c>
      <c r="J4434" s="6" t="n">
        <f aca="false">Sens!J4433*Sens!J4407</f>
        <v>13.7705729163632</v>
      </c>
      <c r="K4434" s="6" t="n">
        <f aca="false">Sens!K4433*Sens!K4407</f>
        <v>24.1339455337717</v>
      </c>
    </row>
    <row r="4435" customFormat="false" ht="17.15" hidden="false" customHeight="false" outlineLevel="0" collapsed="false">
      <c r="A4435" s="0" t="s">
        <v>1070</v>
      </c>
      <c r="B4435" s="0" t="s">
        <v>98</v>
      </c>
      <c r="C4435" s="6" t="n">
        <f aca="false">(Sens!K4427-Sens!K4296)*(1-tax_f)*(1+g_tv)*(1-g_tv/(wacc+ronic_prem))/(wacc-g_tv)/(1+wacc)^(Sens!K4406+mid_yr)</f>
        <v>223.688973004083</v>
      </c>
    </row>
    <row r="4436" customFormat="false" ht="17.15" hidden="false" customHeight="false" outlineLevel="0" collapsed="false">
      <c r="A4436" s="1" t="s">
        <v>1071</v>
      </c>
      <c r="B4436" s="0" t="s">
        <v>98</v>
      </c>
      <c r="C4436" s="6" t="n">
        <f aca="false">(SUM(Sens!F4434:K4434)+Sens!$C$4435)*(1+wacc)^t_roll</f>
        <v>-18.9324138349032</v>
      </c>
      <c r="L4436" s="11" t="s">
        <v>1072</v>
      </c>
    </row>
    <row r="4437" customFormat="false" ht="17.15" hidden="false" customHeight="false" outlineLevel="0" collapsed="false">
      <c r="A4437" s="1" t="s">
        <v>1073</v>
      </c>
      <c r="B4437" s="0" t="s">
        <v>98</v>
      </c>
      <c r="C4437" s="6" t="n">
        <f aca="false">(w_ntm28*Sens!G4285+(1-w_ntm28)*Sens!H4285)*m_ai</f>
        <v>457.101250972362</v>
      </c>
    </row>
    <row r="4438" customFormat="false" ht="17.15" hidden="false" customHeight="false" outlineLevel="0" collapsed="false">
      <c r="A4438" s="1" t="s">
        <v>1074</v>
      </c>
      <c r="B4438" s="0" t="s">
        <v>98</v>
      </c>
      <c r="C4438" s="6" t="n">
        <f aca="false">(w_ntm28*Sens!G4429+(1-w_ntm28)*Sens!H4429)*m_cloud</f>
        <v>1119.25225960015</v>
      </c>
    </row>
    <row r="4439" customFormat="false" ht="17.15" hidden="false" customHeight="false" outlineLevel="0" collapsed="false">
      <c r="A4439" s="1" t="s">
        <v>1075</v>
      </c>
      <c r="B4439" s="0" t="s">
        <v>98</v>
      </c>
      <c r="C4439" s="6" t="n">
        <f aca="false">(w_ntm28*Sens!G4422+(1-w_ntm28)*Sens!H4422)*m_sw</f>
        <v>1075.38833592346</v>
      </c>
    </row>
    <row r="4440" customFormat="false" ht="17.15" hidden="false" customHeight="false" outlineLevel="0" collapsed="false">
      <c r="A4440" s="1" t="s">
        <v>1076</v>
      </c>
      <c r="B4440" s="0" t="s">
        <v>98</v>
      </c>
      <c r="C4440" s="6" t="n">
        <f aca="false">(w_ntm28*Sens!G4423+(1-w_ntm28)*Sens!H4423)*m_sw</f>
        <v>376.807580582383</v>
      </c>
    </row>
    <row r="4441" customFormat="false" ht="17.15" hidden="false" customHeight="false" outlineLevel="0" collapsed="false">
      <c r="A4441" s="1" t="s">
        <v>1077</v>
      </c>
      <c r="B4441" s="0" t="s">
        <v>98</v>
      </c>
      <c r="C4441" s="6" t="n">
        <f aca="false">(w_ntm28*Sens!G4424+(1-w_ntm28)*Sens!H4424)*m_sw</f>
        <v>107.640031649492</v>
      </c>
    </row>
    <row r="4442" customFormat="false" ht="17.15" hidden="false" customHeight="false" outlineLevel="0" collapsed="false">
      <c r="A4442" s="1" t="s">
        <v>1078</v>
      </c>
      <c r="B4442" s="0" t="s">
        <v>98</v>
      </c>
      <c r="C4442" s="6" t="n">
        <f aca="false">(w_ntm28*Sens!G4425+(1-w_ntm28)*Sens!H4425)*m_sw</f>
        <v>41.0660019153921</v>
      </c>
    </row>
    <row r="4443" customFormat="false" ht="17.15" hidden="false" customHeight="false" outlineLevel="0" collapsed="false">
      <c r="A4443" s="1" t="s">
        <v>1079</v>
      </c>
      <c r="B4443" s="0" t="s">
        <v>98</v>
      </c>
      <c r="C4443" s="6" t="n">
        <f aca="false">(w_ntm28*Sens!G4426+(1-w_ntm28)*Sens!H4426)*m_ads</f>
        <v>113.468034236436</v>
      </c>
    </row>
    <row r="4444" customFormat="false" ht="17.15" hidden="false" customHeight="false" outlineLevel="0" collapsed="false">
      <c r="A4444" s="1" t="s">
        <v>1080</v>
      </c>
      <c r="B4444" s="0" t="s">
        <v>98</v>
      </c>
      <c r="C4444" s="6" t="n">
        <f aca="false">(w_ntm28*Sens!G4431+(1-w_ntm28)*Sens!H4431)*m_game</f>
        <v>96.3115087577817</v>
      </c>
    </row>
    <row r="4445" customFormat="false" ht="17.15" hidden="false" customHeight="false" outlineLevel="0" collapsed="false">
      <c r="A4445" s="1" t="s">
        <v>1081</v>
      </c>
      <c r="B4445" s="0" t="s">
        <v>98</v>
      </c>
      <c r="C4445" s="6" t="n">
        <f aca="false">(w_ntm28*Sens!G4432+(1-w_ntm28)*Sens!H4432)*m_pc</f>
        <v>95.4872375988198</v>
      </c>
    </row>
    <row r="4446" customFormat="false" ht="17.15" hidden="false" customHeight="false" outlineLevel="0" collapsed="false">
      <c r="A4446" s="1" t="s">
        <v>1082</v>
      </c>
      <c r="B4446" s="0" t="s">
        <v>98</v>
      </c>
      <c r="C4446" s="6" t="n">
        <f aca="false">Sens!$C$4436+Sens!$C$4438+Sens!$C$4439+Sens!$C$4440+Sens!$C$4441+Sens!$C$4442+Sens!$C$4443+Sens!$C$4444+Sens!$C$4445</f>
        <v>3006.48857642901</v>
      </c>
    </row>
    <row r="4447" customFormat="false" ht="17.15" hidden="false" customHeight="false" outlineLevel="0" collapsed="false">
      <c r="A4447" s="1" t="s">
        <v>1000</v>
      </c>
      <c r="B4447" s="0" t="s">
        <v>98</v>
      </c>
      <c r="C4447" s="6" t="n">
        <f aca="false">Sens!F4397+oai_v-Sens!F4386</f>
        <v>112.634472637821</v>
      </c>
      <c r="L4447" s="1" t="s">
        <v>1083</v>
      </c>
    </row>
    <row r="4448" customFormat="false" ht="15" hidden="false" customHeight="false" outlineLevel="0" collapsed="false">
      <c r="A4448" s="1" t="s">
        <v>1001</v>
      </c>
      <c r="B4448" s="0" t="s">
        <v>75</v>
      </c>
      <c r="C4448" s="5" t="n">
        <f aca="false">(Sens!$C$4446+Sens!$C$4447)/Sens!F4399</f>
        <v>417.441521556053</v>
      </c>
    </row>
    <row r="4449" customFormat="false" ht="17.15" hidden="false" customHeight="false" outlineLevel="0" collapsed="false">
      <c r="A4449" s="1" t="s">
        <v>1084</v>
      </c>
      <c r="B4449" s="0" t="s">
        <v>75</v>
      </c>
      <c r="C4449" s="5" t="n">
        <f aca="false">w_dcf*Sens!$C$4420+(1-w_dcf)*Sens!$C$4448</f>
        <v>371.027021548896</v>
      </c>
    </row>
    <row r="4450" customFormat="false" ht="17.15" hidden="false" customHeight="false" outlineLevel="0" collapsed="false">
      <c r="A4450" s="3" t="s">
        <v>1349</v>
      </c>
    </row>
    <row r="4451" customFormat="false" ht="15" hidden="false" customHeight="false" outlineLevel="0" collapsed="false">
      <c r="A4451" s="4" t="s">
        <v>43</v>
      </c>
      <c r="B4451" s="4" t="s">
        <v>65</v>
      </c>
      <c r="C4451" s="20" t="s">
        <v>788</v>
      </c>
      <c r="D4451" s="20" t="s">
        <v>789</v>
      </c>
      <c r="E4451" s="20" t="s">
        <v>790</v>
      </c>
      <c r="F4451" s="20" t="s">
        <v>791</v>
      </c>
      <c r="G4451" s="20" t="s">
        <v>792</v>
      </c>
      <c r="H4451" s="20" t="s">
        <v>793</v>
      </c>
      <c r="I4451" s="20" t="s">
        <v>794</v>
      </c>
      <c r="J4451" s="20" t="s">
        <v>795</v>
      </c>
      <c r="K4451" s="20" t="s">
        <v>796</v>
      </c>
      <c r="L4451" s="4" t="s">
        <v>47</v>
      </c>
    </row>
    <row r="4452" customFormat="false" ht="17.15" hidden="false" customHeight="false" outlineLevel="0" collapsed="false">
      <c r="A4452" s="1" t="s">
        <v>797</v>
      </c>
      <c r="B4452" s="1" t="s">
        <v>235</v>
      </c>
      <c r="C4452" s="28" t="n">
        <v>2024</v>
      </c>
      <c r="D4452" s="28" t="n">
        <v>2025</v>
      </c>
      <c r="E4452" s="28" t="n">
        <v>2026</v>
      </c>
      <c r="F4452" s="28" t="n">
        <v>2027</v>
      </c>
      <c r="G4452" s="28" t="n">
        <v>2028</v>
      </c>
      <c r="H4452" s="28" t="n">
        <v>2029</v>
      </c>
      <c r="I4452" s="28" t="n">
        <v>2030</v>
      </c>
      <c r="J4452" s="28" t="n">
        <v>2031</v>
      </c>
      <c r="K4452" s="28" t="n">
        <v>2032</v>
      </c>
    </row>
    <row r="4453" customFormat="false" ht="17.15" hidden="false" customHeight="false" outlineLevel="0" collapsed="false">
      <c r="A4453" s="1" t="s">
        <v>798</v>
      </c>
      <c r="B4453" s="0" t="s">
        <v>392</v>
      </c>
      <c r="F4453" s="29" t="n">
        <f aca="false">pace</f>
        <v>2527.2</v>
      </c>
      <c r="G4453" s="29" t="n">
        <f aca="false">pace</f>
        <v>2527.2</v>
      </c>
      <c r="H4453" s="29" t="n">
        <f aca="false">pace</f>
        <v>2527.2</v>
      </c>
      <c r="I4453" s="29" t="n">
        <f aca="false">pace+(g_tv*Sens!H4454-pace)*MIN(1,(Sens!I4452-pace_y0)/(pace_y1-pace_y0))</f>
        <v>1793.116</v>
      </c>
      <c r="J4453" s="29" t="n">
        <f aca="false">pace+(g_tv*Sens!H4454-pace)*MIN(1,(Sens!J4452-pace_y0)/(pace_y1-pace_y0))</f>
        <v>1059.032</v>
      </c>
      <c r="K4453" s="29" t="n">
        <f aca="false">pace+(g_tv*Sens!H4454-pace)*MIN(1,(Sens!K4452-pace_y0)/(pace_y1-pace_y0))</f>
        <v>324.948</v>
      </c>
      <c r="L4453" s="11" t="s">
        <v>799</v>
      </c>
    </row>
    <row r="4454" customFormat="false" ht="17.15" hidden="false" customHeight="false" outlineLevel="0" collapsed="false">
      <c r="A4454" s="1" t="s">
        <v>800</v>
      </c>
      <c r="B4454" s="0" t="s">
        <v>392</v>
      </c>
      <c r="C4454" s="29" t="n">
        <f aca="false">mw_ext_24</f>
        <v>640</v>
      </c>
      <c r="D4454" s="29" t="n">
        <f aca="false">mw_ext_25</f>
        <v>1630</v>
      </c>
      <c r="E4454" s="29" t="n">
        <f aca="false">mw_ext_26</f>
        <v>3250</v>
      </c>
      <c r="F4454" s="29" t="n">
        <f aca="false">Sens!E4454+Sens!F4453</f>
        <v>5777.2</v>
      </c>
      <c r="G4454" s="29" t="n">
        <f aca="false">Sens!F4454+Sens!G4453</f>
        <v>8304.4</v>
      </c>
      <c r="H4454" s="29" t="n">
        <f aca="false">Sens!G4454+Sens!H4453</f>
        <v>10831.6</v>
      </c>
      <c r="I4454" s="29" t="n">
        <f aca="false">Sens!H4454+Sens!I4453</f>
        <v>12624.716</v>
      </c>
      <c r="J4454" s="29" t="n">
        <f aca="false">Sens!I4454+Sens!J4453</f>
        <v>13683.748</v>
      </c>
      <c r="K4454" s="29" t="n">
        <f aca="false">Sens!J4454+Sens!K4453</f>
        <v>14008.696</v>
      </c>
      <c r="L4454" s="1" t="s">
        <v>801</v>
      </c>
    </row>
    <row r="4455" customFormat="false" ht="17.15" hidden="false" customHeight="false" outlineLevel="0" collapsed="false">
      <c r="A4455" s="1" t="s">
        <v>802</v>
      </c>
      <c r="B4455" s="0" t="s">
        <v>392</v>
      </c>
      <c r="C4455" s="29" t="n">
        <f aca="false">rent_ext_24</f>
        <v>150</v>
      </c>
      <c r="D4455" s="29" t="n">
        <f aca="false">rent_ext_25</f>
        <v>400</v>
      </c>
      <c r="E4455" s="29" t="n">
        <f aca="false">rent_ext_26</f>
        <v>550</v>
      </c>
      <c r="F4455" s="29" t="n">
        <f aca="false">rent_ext_f</f>
        <v>756</v>
      </c>
      <c r="G4455" s="29" t="n">
        <f aca="false">rent_ext_f</f>
        <v>756</v>
      </c>
      <c r="H4455" s="29" t="n">
        <f aca="false">rent_ext_f</f>
        <v>756</v>
      </c>
      <c r="I4455" s="29" t="n">
        <f aca="false">rent_ext_f</f>
        <v>756</v>
      </c>
      <c r="J4455" s="29" t="n">
        <f aca="false">rent_ext_f</f>
        <v>756</v>
      </c>
      <c r="K4455" s="29" t="n">
        <f aca="false">rent_ext_f</f>
        <v>756</v>
      </c>
      <c r="L4455" s="1" t="s">
        <v>803</v>
      </c>
    </row>
    <row r="4456" customFormat="false" ht="17.15" hidden="false" customHeight="false" outlineLevel="0" collapsed="false">
      <c r="A4456" s="1" t="s">
        <v>804</v>
      </c>
      <c r="B4456" s="0" t="s">
        <v>392</v>
      </c>
      <c r="C4456" s="29" t="n">
        <f aca="false">Sens!C4454-Sens!C4455</f>
        <v>490</v>
      </c>
      <c r="D4456" s="29" t="n">
        <f aca="false">Sens!D4454-Sens!D4455</f>
        <v>1230</v>
      </c>
      <c r="E4456" s="29" t="n">
        <f aca="false">Sens!E4454-Sens!E4455</f>
        <v>2700</v>
      </c>
      <c r="F4456" s="29" t="n">
        <f aca="false">Sens!F4454-Sens!F4455</f>
        <v>5021.2</v>
      </c>
      <c r="G4456" s="29" t="n">
        <f aca="false">Sens!G4454-Sens!G4455</f>
        <v>7548.4</v>
      </c>
      <c r="H4456" s="29" t="n">
        <f aca="false">Sens!H4454-Sens!H4455</f>
        <v>10075.6</v>
      </c>
      <c r="I4456" s="29" t="n">
        <f aca="false">Sens!I4454-Sens!I4455</f>
        <v>11868.716</v>
      </c>
      <c r="J4456" s="29" t="n">
        <f aca="false">Sens!J4454-Sens!J4455</f>
        <v>12927.748</v>
      </c>
      <c r="K4456" s="29" t="n">
        <f aca="false">Sens!K4454-Sens!K4455</f>
        <v>13252.696</v>
      </c>
    </row>
    <row r="4457" customFormat="false" ht="17.15" hidden="false" customHeight="false" outlineLevel="0" collapsed="false">
      <c r="A4457" s="1" t="s">
        <v>805</v>
      </c>
      <c r="B4457" s="0" t="s">
        <v>392</v>
      </c>
      <c r="C4457" s="29" t="n">
        <f aca="false">Sens!C4456/ext_sh</f>
        <v>816.666666666667</v>
      </c>
      <c r="D4457" s="29" t="n">
        <f aca="false">Sens!D4456/ext_sh</f>
        <v>2050</v>
      </c>
      <c r="E4457" s="29" t="n">
        <f aca="false">Sens!E4456/ext_sh</f>
        <v>4500</v>
      </c>
      <c r="F4457" s="29" t="n">
        <f aca="false">Sens!F4456/ext_sh</f>
        <v>8368.66666666667</v>
      </c>
      <c r="G4457" s="29" t="n">
        <f aca="false">Sens!G4456/ext_sh</f>
        <v>12580.6666666667</v>
      </c>
      <c r="H4457" s="29" t="n">
        <f aca="false">Sens!H4456/ext_sh</f>
        <v>16792.6666666667</v>
      </c>
      <c r="I4457" s="29" t="n">
        <f aca="false">Sens!I4456/ext_sh</f>
        <v>19781.1933333333</v>
      </c>
      <c r="J4457" s="29" t="n">
        <f aca="false">Sens!J4456/ext_sh</f>
        <v>21546.2466666667</v>
      </c>
      <c r="K4457" s="29" t="n">
        <f aca="false">Sens!K4456/ext_sh</f>
        <v>22087.8266666667</v>
      </c>
      <c r="L4457" s="1" t="s">
        <v>806</v>
      </c>
    </row>
    <row r="4458" customFormat="false" ht="17.15" hidden="false" customHeight="false" outlineLevel="0" collapsed="false">
      <c r="A4458" s="1" t="s">
        <v>807</v>
      </c>
      <c r="B4458" s="0" t="s">
        <v>392</v>
      </c>
      <c r="C4458" s="29" t="n">
        <f aca="false">Sens!C4457-Sens!C4456</f>
        <v>326.666666666667</v>
      </c>
      <c r="D4458" s="29" t="n">
        <f aca="false">Sens!D4457-Sens!D4456</f>
        <v>820</v>
      </c>
      <c r="E4458" s="29" t="n">
        <f aca="false">Sens!E4457-Sens!E4456</f>
        <v>1800</v>
      </c>
      <c r="F4458" s="29" t="n">
        <f aca="false">Sens!F4457-Sens!F4456</f>
        <v>3347.46666666667</v>
      </c>
      <c r="G4458" s="29" t="n">
        <f aca="false">Sens!G4457-Sens!G4456</f>
        <v>5032.26666666667</v>
      </c>
      <c r="H4458" s="29" t="n">
        <f aca="false">Sens!H4457-Sens!H4456</f>
        <v>6717.06666666667</v>
      </c>
      <c r="I4458" s="29" t="n">
        <f aca="false">Sens!I4457-Sens!I4456</f>
        <v>7912.47733333333</v>
      </c>
      <c r="J4458" s="29" t="n">
        <f aca="false">Sens!J4457-Sens!J4456</f>
        <v>8618.49866666667</v>
      </c>
      <c r="K4458" s="29" t="n">
        <f aca="false">Sens!K4457-Sens!K4456</f>
        <v>8835.13066666667</v>
      </c>
    </row>
    <row r="4459" customFormat="false" ht="17.15" hidden="false" customHeight="false" outlineLevel="0" collapsed="false">
      <c r="A4459" s="1" t="s">
        <v>808</v>
      </c>
      <c r="B4459" s="0" t="s">
        <v>392</v>
      </c>
      <c r="C4459" s="29" t="n">
        <f aca="false">Sens!C4457</f>
        <v>816.666666666667</v>
      </c>
      <c r="D4459" s="29" t="n">
        <f aca="false">Sens!D4457-Sens!C4457</f>
        <v>1233.33333333333</v>
      </c>
      <c r="E4459" s="29" t="n">
        <f aca="false">Sens!E4457-Sens!D4457</f>
        <v>2450</v>
      </c>
      <c r="F4459" s="29" t="n">
        <f aca="false">Sens!F4457-Sens!E4457</f>
        <v>3868.66666666667</v>
      </c>
      <c r="G4459" s="29" t="n">
        <f aca="false">Sens!G4457-Sens!F4457</f>
        <v>4212</v>
      </c>
      <c r="H4459" s="29" t="n">
        <f aca="false">Sens!H4457-Sens!G4457</f>
        <v>4212</v>
      </c>
      <c r="I4459" s="29" t="n">
        <f aca="false">Sens!I4457-Sens!H4457</f>
        <v>2988.52666666667</v>
      </c>
      <c r="J4459" s="29" t="n">
        <f aca="false">Sens!J4457-Sens!I4457</f>
        <v>1765.05333333333</v>
      </c>
      <c r="K4459" s="29" t="n">
        <f aca="false">Sens!K4457-Sens!J4457</f>
        <v>541.580000000002</v>
      </c>
    </row>
    <row r="4460" customFormat="false" ht="17.15" hidden="false" customHeight="false" outlineLevel="0" collapsed="false">
      <c r="A4460" s="1" t="s">
        <v>809</v>
      </c>
      <c r="B4460" s="0" t="s">
        <v>392</v>
      </c>
      <c r="D4460" s="29" t="n">
        <f aca="false">Sens!D4454-Sens!C4454</f>
        <v>990</v>
      </c>
      <c r="E4460" s="29" t="n">
        <f aca="false">Sens!E4454-Sens!D4454</f>
        <v>1620</v>
      </c>
      <c r="F4460" s="29" t="n">
        <f aca="false">Sens!F4454-Sens!E4454</f>
        <v>2527.2</v>
      </c>
      <c r="G4460" s="29" t="n">
        <f aca="false">Sens!G4454-Sens!F4454</f>
        <v>2527.2</v>
      </c>
      <c r="H4460" s="29" t="n">
        <f aca="false">Sens!H4454-Sens!G4454</f>
        <v>2527.2</v>
      </c>
      <c r="I4460" s="29" t="n">
        <f aca="false">Sens!I4454-Sens!H4454</f>
        <v>1793.116</v>
      </c>
      <c r="J4460" s="29" t="n">
        <f aca="false">Sens!J4454-Sens!I4454</f>
        <v>1059.032</v>
      </c>
      <c r="K4460" s="29" t="n">
        <f aca="false">Sens!K4454-Sens!J4454</f>
        <v>324.948</v>
      </c>
    </row>
    <row r="4461" customFormat="false" ht="17.15" hidden="false" customHeight="false" outlineLevel="0" collapsed="false">
      <c r="A4461" s="1" t="s">
        <v>810</v>
      </c>
      <c r="B4461" s="0" t="s">
        <v>392</v>
      </c>
      <c r="F4461" s="29" t="n">
        <f aca="false">Sens!F4478*ext_sh</f>
        <v>0</v>
      </c>
      <c r="G4461" s="29" t="n">
        <f aca="false">Sens!G4478*ext_sh</f>
        <v>0</v>
      </c>
      <c r="H4461" s="29" t="n">
        <f aca="false">Sens!H4478*ext_sh</f>
        <v>490</v>
      </c>
      <c r="I4461" s="29" t="n">
        <f aca="false">Sens!I4478*ext_sh</f>
        <v>740</v>
      </c>
      <c r="J4461" s="29" t="n">
        <f aca="false">Sens!J4478*ext_sh</f>
        <v>1470</v>
      </c>
      <c r="K4461" s="29" t="n">
        <f aca="false">Sens!K4478*ext_sh</f>
        <v>2321.2</v>
      </c>
      <c r="L4461" s="1" t="s">
        <v>811</v>
      </c>
    </row>
    <row r="4462" customFormat="false" ht="17.15" hidden="false" customHeight="false" outlineLevel="0" collapsed="false">
      <c r="A4462" s="1" t="s">
        <v>812</v>
      </c>
      <c r="B4462" s="0" t="s">
        <v>392</v>
      </c>
      <c r="C4462" s="29" t="n">
        <f aca="false">mix_h*Sens!C4454</f>
        <v>128</v>
      </c>
      <c r="D4462" s="29" t="n">
        <f aca="false">mix_h*Sens!D4454</f>
        <v>326</v>
      </c>
      <c r="E4462" s="29" t="n">
        <f aca="false">mix_h*Sens!E4454</f>
        <v>650</v>
      </c>
      <c r="F4462" s="29" t="n">
        <f aca="false">Sens!E4462-Sens!F4461*mix_h</f>
        <v>650</v>
      </c>
      <c r="G4462" s="29" t="n">
        <f aca="false">Sens!F4462-Sens!G4461*mix_h</f>
        <v>650</v>
      </c>
      <c r="H4462" s="29" t="n">
        <f aca="false">Sens!G4462-Sens!H4461*mix_h</f>
        <v>552</v>
      </c>
      <c r="I4462" s="29" t="n">
        <f aca="false">Sens!H4462-Sens!I4461*mix_h</f>
        <v>404</v>
      </c>
      <c r="J4462" s="29" t="n">
        <f aca="false">Sens!I4462-Sens!J4461*mix_h</f>
        <v>110</v>
      </c>
      <c r="K4462" s="29" t="n">
        <f aca="false">Sens!J4462-Sens!K4461*mix_h</f>
        <v>-354.24</v>
      </c>
    </row>
    <row r="4463" customFormat="false" ht="17.15" hidden="false" customHeight="false" outlineLevel="0" collapsed="false">
      <c r="A4463" s="1" t="s">
        <v>813</v>
      </c>
      <c r="B4463" s="0" t="s">
        <v>392</v>
      </c>
      <c r="C4463" s="29" t="n">
        <f aca="false">mix_g2*Sens!C4454</f>
        <v>288</v>
      </c>
      <c r="D4463" s="29" t="n">
        <f aca="false">mix_g2*Sens!D4454</f>
        <v>733.5</v>
      </c>
      <c r="E4463" s="29" t="n">
        <f aca="false">mix_g2*Sens!E4454</f>
        <v>1462.5</v>
      </c>
      <c r="F4463" s="29" t="n">
        <f aca="false">Sens!E4463-Sens!F4461*mix_g2</f>
        <v>1462.5</v>
      </c>
      <c r="G4463" s="29" t="n">
        <f aca="false">Sens!F4463-Sens!G4461*mix_g2</f>
        <v>1462.5</v>
      </c>
      <c r="H4463" s="29" t="n">
        <f aca="false">Sens!G4463-Sens!H4461*mix_g2</f>
        <v>1242</v>
      </c>
      <c r="I4463" s="29" t="n">
        <f aca="false">Sens!H4463-Sens!I4461*mix_g2</f>
        <v>909</v>
      </c>
      <c r="J4463" s="29" t="n">
        <f aca="false">Sens!I4463-Sens!J4461*mix_g2</f>
        <v>247.5</v>
      </c>
      <c r="K4463" s="29" t="n">
        <f aca="false">Sens!J4463-Sens!K4461*mix_g2</f>
        <v>-797.04</v>
      </c>
    </row>
    <row r="4464" customFormat="false" ht="17.15" hidden="false" customHeight="false" outlineLevel="0" collapsed="false">
      <c r="A4464" s="1" t="s">
        <v>814</v>
      </c>
      <c r="B4464" s="0" t="s">
        <v>392</v>
      </c>
      <c r="C4464" s="29" t="n">
        <f aca="false">mix_g3*Sens!C4454</f>
        <v>224</v>
      </c>
      <c r="D4464" s="29" t="n">
        <f aca="false">mix_g3*Sens!D4454</f>
        <v>570.5</v>
      </c>
      <c r="E4464" s="29" t="n">
        <f aca="false">mix_g3*Sens!E4454</f>
        <v>1137.5</v>
      </c>
      <c r="F4464" s="29" t="n">
        <f aca="false">Sens!E4464+(Sens!F4460+Sens!F4461)*a_g3_27-Sens!F4461*mix_g3</f>
        <v>2906.54</v>
      </c>
      <c r="G4464" s="29" t="n">
        <f aca="false">Sens!F4464+(Sens!G4460+Sens!G4461)*a_g3_28-Sens!G4461*mix_g3</f>
        <v>3664.7</v>
      </c>
      <c r="H4464" s="29" t="n">
        <f aca="false">Sens!G4464+(Sens!H4460+Sens!H4461)*a_g3_29-Sens!H4461*mix_g3</f>
        <v>3794.92</v>
      </c>
      <c r="I4464" s="29" t="n">
        <f aca="false">Sens!H4464+(Sens!I4460+Sens!I4461)*a_g3_29-Sens!I4461*mix_g3</f>
        <v>3789.2316</v>
      </c>
      <c r="J4464" s="29" t="n">
        <f aca="false">Sens!I4464+(Sens!J4460+Sens!J4461)*a_g3_29-Sens!J4461*mix_g3</f>
        <v>3527.6348</v>
      </c>
      <c r="K4464" s="29" t="n">
        <f aca="false">Sens!J4464+(Sens!K4460+Sens!K4461)*a_g3_29-Sens!K4461*mix_g3</f>
        <v>2979.8296</v>
      </c>
    </row>
    <row r="4465" customFormat="false" ht="17.15" hidden="false" customHeight="false" outlineLevel="0" collapsed="false">
      <c r="A4465" s="1" t="s">
        <v>815</v>
      </c>
      <c r="B4465" s="0" t="s">
        <v>392</v>
      </c>
      <c r="C4465" s="29" t="n">
        <v>0</v>
      </c>
      <c r="D4465" s="29" t="n">
        <v>0</v>
      </c>
      <c r="E4465" s="29" t="n">
        <v>0</v>
      </c>
      <c r="F4465" s="29" t="n">
        <f aca="false">Sens!E4465+(Sens!F4460+Sens!F4461)*(1-a_g3_27)</f>
        <v>758.16</v>
      </c>
      <c r="G4465" s="29" t="n">
        <f aca="false">Sens!F4465+(Sens!G4460+Sens!G4461)*(1-a_g3_28)</f>
        <v>2527.2</v>
      </c>
      <c r="H4465" s="29" t="n">
        <f aca="false">Sens!G4465+(Sens!H4460+Sens!H4461)*(1-a_g3_29)</f>
        <v>5242.68</v>
      </c>
      <c r="I4465" s="29" t="n">
        <f aca="false">Sens!H4465+(Sens!I4460+Sens!I4461)*(1-a_g3_29)</f>
        <v>7522.4844</v>
      </c>
      <c r="J4465" s="29" t="n">
        <f aca="false">Sens!I4465+(Sens!J4460+Sens!J4461)*(1-a_g3_29)</f>
        <v>9798.6132</v>
      </c>
      <c r="K4465" s="29" t="n">
        <f aca="false">Sens!J4465+(Sens!K4460+Sens!K4461)*(1-a_g3_29)</f>
        <v>12180.1464</v>
      </c>
    </row>
    <row r="4466" customFormat="false" ht="17.15" hidden="false" customHeight="false" outlineLevel="0" collapsed="false">
      <c r="A4466" s="1" t="s">
        <v>816</v>
      </c>
      <c r="B4466" s="0" t="s">
        <v>339</v>
      </c>
      <c r="C4466" s="14" t="n">
        <f aca="false">(Sens!C4462*tk_hold_h100+Sens!C4463*tk_hold_gb200+Sens!C4464*tk_hold_gb300+Sens!C4465*tk_hold_vr200)/Sens!C4454</f>
        <v>9.7235358126469</v>
      </c>
      <c r="D4466" s="14" t="n">
        <f aca="false">(Sens!D4462*tk_hold_h100+Sens!D4463*tk_hold_gb200+Sens!D4464*tk_hold_gb300+Sens!D4465*tk_hold_vr200)/Sens!D4454</f>
        <v>9.7235358126469</v>
      </c>
      <c r="E4466" s="14" t="n">
        <f aca="false">(Sens!E4462*tk_hold_h100+Sens!E4463*tk_hold_gb200+Sens!E4464*tk_hold_gb300+Sens!E4465*tk_hold_vr200)/Sens!E4454</f>
        <v>9.7235358126469</v>
      </c>
      <c r="F4466" s="14" t="n">
        <f aca="false">(Sens!F4462*tk_hold_h100+Sens!F4463*tk_hold_gb200+Sens!F4464*tk_hold_gb300+Sens!F4465*tk_hold_vr200)/Sens!F4454</f>
        <v>10.4079573161931</v>
      </c>
      <c r="G4466" s="14" t="n">
        <f aca="false">(Sens!G4462*tk_hold_h100+Sens!G4463*tk_hold_gb200+Sens!G4464*tk_hold_gb300+Sens!G4465*tk_hold_vr200)/Sens!G4454</f>
        <v>10.8388131109316</v>
      </c>
      <c r="H4466" s="14" t="n">
        <f aca="false">(Sens!H4462*tk_hold_h100+Sens!H4463*tk_hold_gb200+Sens!H4464*tk_hold_gb300+Sens!H4465*tk_hold_vr200)/Sens!H4454</f>
        <v>11.2382267607101</v>
      </c>
      <c r="I4466" s="14" t="n">
        <f aca="false">(Sens!I4462*tk_hold_h100+Sens!I4463*tk_hold_gb200+Sens!I4464*tk_hold_gb300+Sens!I4465*tk_hold_vr200)/Sens!I4454</f>
        <v>11.4982307132671</v>
      </c>
      <c r="J4466" s="14" t="n">
        <f aca="false">(Sens!J4462*tk_hold_h100+Sens!J4463*tk_hold_gb200+Sens!J4464*tk_hold_gb300+Sens!J4465*tk_hold_vr200)/Sens!J4454</f>
        <v>11.7985404612049</v>
      </c>
      <c r="K4466" s="14" t="n">
        <f aca="false">(Sens!K4462*tk_hold_h100+Sens!K4463*tk_hold_gb200+Sens!K4464*tk_hold_gb300+Sens!K4465*tk_hold_vr200)/Sens!K4454</f>
        <v>12.1977130250889</v>
      </c>
    </row>
    <row r="4467" customFormat="false" ht="17.15" hidden="false" customHeight="false" outlineLevel="0" collapsed="false">
      <c r="A4467" s="0" t="s">
        <v>817</v>
      </c>
      <c r="B4467" s="0" t="s">
        <v>185</v>
      </c>
      <c r="C4467" s="14" t="n">
        <f aca="false">k_B</f>
        <v>1.17213932619116</v>
      </c>
      <c r="D4467" s="14" t="n">
        <f aca="false">k_B</f>
        <v>1.17213932619116</v>
      </c>
      <c r="E4467" s="14" t="n">
        <f aca="false">k_B</f>
        <v>1.17213932619116</v>
      </c>
      <c r="F4467" s="14" t="n">
        <f aca="false">(k_B+((ls_C*k_long+(1-ls_C)*k_spot)-k_B)*MIN(1,(Sens!F4452-base_fy)/k_ramp))</f>
        <v>1.07843258004497</v>
      </c>
      <c r="G4467" s="14" t="n">
        <f aca="false">(k_B+((ls_C*k_long+(1-ls_C)*k_spot)-k_B)*MIN(1,(Sens!G4452-base_fy)/k_ramp))</f>
        <v>0.984725833898784</v>
      </c>
      <c r="H4467" s="14" t="n">
        <f aca="false">(k_B+((ls_C*k_long+(1-ls_C)*k_spot)-k_B)*MIN(1,(Sens!H4452-base_fy)/k_ramp))</f>
        <v>0.891019087752599</v>
      </c>
      <c r="I4467" s="14" t="n">
        <f aca="false">(k_B+((ls_C*k_long+(1-ls_C)*k_spot)-k_B)*MIN(1,(Sens!I4452-base_fy)/k_ramp))</f>
        <v>0.891019087752599</v>
      </c>
      <c r="J4467" s="14" t="n">
        <f aca="false">(k_B+((ls_C*k_long+(1-ls_C)*k_spot)-k_B)*MIN(1,(Sens!J4452-base_fy)/k_ramp))</f>
        <v>0.891019087752599</v>
      </c>
      <c r="K4467" s="14" t="n">
        <f aca="false">(k_B+((ls_C*k_long+(1-ls_C)*k_spot)-k_B)*MIN(1,(Sens!K4452-base_fy)/k_ramp))</f>
        <v>0.891019087752599</v>
      </c>
      <c r="L4467" s="1" t="s">
        <v>818</v>
      </c>
    </row>
    <row r="4468" customFormat="false" ht="17.15" hidden="false" customHeight="false" outlineLevel="0" collapsed="false">
      <c r="A4468" s="1" t="s">
        <v>819</v>
      </c>
      <c r="B4468" s="0" t="s">
        <v>339</v>
      </c>
      <c r="C4468" s="14" t="n">
        <f aca="false">Sens!C4466*Sens!C4467*chip_f</f>
        <v>11.3973387156315</v>
      </c>
      <c r="D4468" s="14" t="n">
        <f aca="false">Sens!D4466*Sens!D4467*chip_f</f>
        <v>11.3973387156315</v>
      </c>
      <c r="E4468" s="14" t="n">
        <f aca="false">Sens!E4466*Sens!E4467*chip_f</f>
        <v>11.3973387156315</v>
      </c>
      <c r="F4468" s="14" t="n">
        <f aca="false">Sens!F4466*Sens!F4467*chip_f</f>
        <v>11.2242802615</v>
      </c>
      <c r="G4468" s="14" t="n">
        <f aca="false">Sens!G4466*Sens!G4467*chip_f</f>
        <v>10.6732592791352</v>
      </c>
      <c r="H4468" s="14" t="n">
        <f aca="false">Sens!H4466*Sens!H4467*chip_f</f>
        <v>10.0134745562848</v>
      </c>
      <c r="I4468" s="14" t="n">
        <f aca="false">Sens!I4466*Sens!I4467*chip_f</f>
        <v>10.2451430409042</v>
      </c>
      <c r="J4468" s="14" t="n">
        <f aca="false">Sens!J4466*Sens!J4467*chip_f</f>
        <v>10.5127247585549</v>
      </c>
      <c r="K4468" s="14" t="n">
        <f aca="false">Sens!K4466*Sens!K4467*chip_f</f>
        <v>10.8683951322827</v>
      </c>
      <c r="L4468" s="1" t="s">
        <v>820</v>
      </c>
    </row>
    <row r="4469" customFormat="false" ht="17.15" hidden="false" customHeight="false" outlineLevel="0" collapsed="false">
      <c r="A4469" s="0" t="s">
        <v>821</v>
      </c>
      <c r="B4469" s="0" t="s">
        <v>98</v>
      </c>
      <c r="D4469" s="6" t="n">
        <f aca="false">(Sens!C4454+Sens!D4454)/2*Sens!D4468/1000</f>
        <v>12.9359794422418</v>
      </c>
      <c r="E4469" s="6" t="n">
        <f aca="false">(Sens!D4454+Sens!E4454)/2*Sens!E4468/1000</f>
        <v>27.8095064661409</v>
      </c>
      <c r="F4469" s="6" t="n">
        <f aca="false">(Sens!E4454+Sens!F4454)/2*Sens!F4468/1000</f>
        <v>50.6619113883066</v>
      </c>
      <c r="G4469" s="6" t="n">
        <f aca="false">(Sens!F4454+Sens!G4454)/2*Sens!G4468/1000</f>
        <v>75.1482839325348</v>
      </c>
      <c r="H4469" s="6" t="n">
        <f aca="false">(Sens!G4454+Sens!H4454)/2*Sens!H4468/1000</f>
        <v>95.8089245545327</v>
      </c>
      <c r="I4469" s="6" t="n">
        <f aca="false">(Sens!H4454+Sens!I4454)/2*Sens!I4468/1000</f>
        <v>120.156656316324</v>
      </c>
      <c r="J4469" s="6" t="n">
        <f aca="false">(Sens!I4454+Sens!J4454)/2*Sens!J4468/1000</f>
        <v>138.286820426175</v>
      </c>
      <c r="K4469" s="6" t="n">
        <f aca="false">(Sens!J4454+Sens!K4454)/2*Sens!K4468/1000</f>
        <v>150.486211785306</v>
      </c>
      <c r="L4469" s="11" t="s">
        <v>822</v>
      </c>
    </row>
    <row r="4470" customFormat="false" ht="17.15" hidden="false" customHeight="false" outlineLevel="0" collapsed="false">
      <c r="A4470" s="1" t="s">
        <v>823</v>
      </c>
      <c r="B4470" s="0" t="s">
        <v>339</v>
      </c>
      <c r="C4470" s="14" t="n">
        <f aca="false">(Sens!C4462*tk_opex_h100+Sens!C4463*tk_opex_gb200+Sens!C4464*tk_opex_gb300+Sens!C4465*tk_opex_vr200)/Sens!C4454</f>
        <v>1.88636041306092</v>
      </c>
      <c r="D4470" s="14" t="n">
        <f aca="false">(Sens!D4462*tk_opex_h100+Sens!D4463*tk_opex_gb200+Sens!D4464*tk_opex_gb300+Sens!D4465*tk_opex_vr200)/Sens!D4454</f>
        <v>1.88636041306092</v>
      </c>
      <c r="E4470" s="14" t="n">
        <f aca="false">(Sens!E4462*tk_opex_h100+Sens!E4463*tk_opex_gb200+Sens!E4464*tk_opex_gb300+Sens!E4465*tk_opex_vr200)/Sens!E4454</f>
        <v>1.88636041306092</v>
      </c>
      <c r="F4470" s="14" t="n">
        <f aca="false">(Sens!F4462*tk_opex_h100+Sens!F4463*tk_opex_gb200+Sens!F4464*tk_opex_gb300+Sens!F4465*tk_opex_vr200)/Sens!F4454</f>
        <v>1.9430236476499</v>
      </c>
      <c r="G4470" s="14" t="n">
        <f aca="false">(Sens!G4462*tk_opex_h100+Sens!G4463*tk_opex_gb200+Sens!G4464*tk_opex_gb300+Sens!G4465*tk_opex_vr200)/Sens!G4454</f>
        <v>1.9786941852423</v>
      </c>
      <c r="H4470" s="14" t="n">
        <f aca="false">(Sens!H4462*tk_opex_h100+Sens!H4463*tk_opex_gb200+Sens!H4464*tk_opex_gb300+Sens!H4465*tk_opex_vr200)/Sens!H4454</f>
        <v>2.01176162864988</v>
      </c>
      <c r="I4470" s="14" t="n">
        <f aca="false">(Sens!I4462*tk_opex_h100+Sens!I4463*tk_opex_gb200+Sens!I4464*tk_opex_gb300+Sens!I4465*tk_opex_vr200)/Sens!I4454</f>
        <v>2.03328734764244</v>
      </c>
      <c r="J4470" s="14" t="n">
        <f aca="false">(Sens!J4462*tk_opex_h100+Sens!J4463*tk_opex_gb200+Sens!J4464*tk_opex_gb300+Sens!J4465*tk_opex_vr200)/Sens!J4454</f>
        <v>2.05814998215727</v>
      </c>
      <c r="K4470" s="14" t="n">
        <f aca="false">(Sens!K4462*tk_opex_h100+Sens!K4463*tk_opex_gb200+Sens!K4464*tk_opex_gb300+Sens!K4465*tk_opex_vr200)/Sens!K4454</f>
        <v>2.09119746607128</v>
      </c>
    </row>
    <row r="4471" customFormat="false" ht="17.15" hidden="false" customHeight="false" outlineLevel="0" collapsed="false">
      <c r="A4471" s="0" t="s">
        <v>824</v>
      </c>
      <c r="B4471" s="0" t="s">
        <v>98</v>
      </c>
      <c r="D4471" s="6" t="n">
        <f aca="false">(Sens!C4457+Sens!D4457)/2*Sens!D4470/1000</f>
        <v>2.70378325872065</v>
      </c>
      <c r="E4471" s="6" t="n">
        <f aca="false">(Sens!D4457+Sens!E4457)/2*Sens!E4470/1000</f>
        <v>6.17783035277451</v>
      </c>
      <c r="F4471" s="6" t="n">
        <f aca="false">(Sens!E4457+Sens!F4457)/2*Sens!F4470/1000</f>
        <v>12.5020618235287</v>
      </c>
      <c r="G4471" s="6" t="n">
        <f aca="false">(Sens!F4457+Sens!G4457)/2*Sens!G4470/1000</f>
        <v>20.7261620256847</v>
      </c>
      <c r="H4471" s="6" t="n">
        <f aca="false">(Sens!G4457+Sens!H4457)/2*Sens!H4470/1000</f>
        <v>29.5460724527713</v>
      </c>
      <c r="I4471" s="6" t="n">
        <f aca="false">(Sens!H4457+Sens!I4457)/2*Sens!I4470/1000</f>
        <v>37.182583396223</v>
      </c>
      <c r="J4471" s="6" t="n">
        <f aca="false">(Sens!I4457+Sens!J4457)/2*Sens!J4470/1000</f>
        <v>42.5290349493028</v>
      </c>
      <c r="K4471" s="6" t="n">
        <f aca="false">(Sens!J4457+Sens!K4457)/2*Sens!K4470/1000</f>
        <v>45.6237317945176</v>
      </c>
    </row>
    <row r="4472" customFormat="false" ht="17.15" hidden="false" customHeight="false" outlineLevel="0" collapsed="false">
      <c r="A4472" s="0" t="s">
        <v>825</v>
      </c>
      <c r="B4472" s="0" t="s">
        <v>98</v>
      </c>
      <c r="D4472" s="6" t="n">
        <f aca="false">(Sens!C4455+Sens!D4455)/2*rent_mw/1000</f>
        <v>2.44475</v>
      </c>
      <c r="E4472" s="6" t="n">
        <f aca="false">(Sens!D4455+Sens!E4455)/2*rent_mw/1000</f>
        <v>4.22275</v>
      </c>
      <c r="F4472" s="6" t="n">
        <f aca="false">(Sens!E4455+Sens!F4455)/2*rent_mw/1000</f>
        <v>5.80517</v>
      </c>
      <c r="G4472" s="6" t="n">
        <f aca="false">(Sens!F4455+Sens!G4455)/2*rent_mw/1000</f>
        <v>6.72084</v>
      </c>
      <c r="H4472" s="6" t="n">
        <f aca="false">(Sens!G4455+Sens!H4455)/2*rent_mw/1000</f>
        <v>6.72084</v>
      </c>
      <c r="I4472" s="6" t="n">
        <f aca="false">(Sens!H4455+Sens!I4455)/2*rent_mw/1000</f>
        <v>6.72084</v>
      </c>
      <c r="J4472" s="6" t="n">
        <f aca="false">(Sens!I4455+Sens!J4455)/2*rent_mw/1000</f>
        <v>6.72084</v>
      </c>
      <c r="K4472" s="6" t="n">
        <f aca="false">(Sens!J4455+Sens!K4455)/2*rent_mw/1000</f>
        <v>6.72084</v>
      </c>
    </row>
    <row r="4473" customFormat="false" ht="17.15" hidden="false" customHeight="false" outlineLevel="0" collapsed="false">
      <c r="A4473" s="0" t="s">
        <v>826</v>
      </c>
      <c r="B4473" s="0" t="s">
        <v>98</v>
      </c>
      <c r="D4473" s="6" t="n">
        <f aca="false">(Sens!C4457+Sens!D4457)/2*(1-self_build)*fac_rent/1000</f>
        <v>0.853242375631075</v>
      </c>
      <c r="E4473" s="6" t="n">
        <f aca="false">(Sens!D4457+Sens!E4457)/2*(1-self_build)*fac_rent/1000</f>
        <v>1.94955961408728</v>
      </c>
      <c r="F4473" s="6" t="n">
        <f aca="false">(Sens!E4457+Sens!F4457)/2*(1-self_build)*fac_rent/1000</f>
        <v>3.83026455274573</v>
      </c>
      <c r="G4473" s="6" t="n">
        <f aca="false">(Sens!F4457+Sens!G4457)/2*(1-self_build)*fac_rent/1000</f>
        <v>6.23541590972812</v>
      </c>
      <c r="H4473" s="6" t="n">
        <f aca="false">(Sens!G4457+Sens!H4457)/2*(1-self_build)*fac_rent/1000</f>
        <v>8.74275792332679</v>
      </c>
      <c r="I4473" s="6" t="n">
        <f aca="false">(Sens!H4457+Sens!I4457)/2*(1-self_build)*fac_rent/1000</f>
        <v>10.8859420438599</v>
      </c>
      <c r="J4473" s="6" t="n">
        <f aca="false">(Sens!I4457+Sens!J4457)/2*(1-self_build)*fac_rent/1000</f>
        <v>12.3008103782619</v>
      </c>
      <c r="K4473" s="6" t="n">
        <f aca="false">(Sens!J4457+Sens!K4457)/2*(1-self_build)*fac_rent/1000</f>
        <v>12.9873629265328</v>
      </c>
      <c r="L4473" s="11" t="s">
        <v>827</v>
      </c>
    </row>
    <row r="4474" customFormat="false" ht="17.15" hidden="false" customHeight="false" outlineLevel="0" collapsed="false">
      <c r="A4474" s="1" t="s">
        <v>828</v>
      </c>
      <c r="B4474" s="0" t="s">
        <v>129</v>
      </c>
      <c r="D4474" s="7" t="n">
        <f aca="false">(Sens!C4456+Sens!D4456)/(Sens!C4457+Sens!D4457)</f>
        <v>0.6</v>
      </c>
      <c r="E4474" s="7" t="n">
        <f aca="false">(Sens!D4456+Sens!E4456)/(Sens!D4457+Sens!E4457)</f>
        <v>0.6</v>
      </c>
      <c r="F4474" s="7" t="n">
        <f aca="false">(Sens!E4456+Sens!F4456)/(Sens!E4457+Sens!F4457)</f>
        <v>0.6</v>
      </c>
      <c r="G4474" s="7" t="n">
        <f aca="false">(Sens!F4456+Sens!G4456)/(Sens!F4457+Sens!G4457)</f>
        <v>0.6</v>
      </c>
      <c r="H4474" s="7" t="n">
        <f aca="false">(Sens!G4456+Sens!H4456)/(Sens!G4457+Sens!H4457)</f>
        <v>0.6</v>
      </c>
      <c r="I4474" s="7" t="n">
        <f aca="false">(Sens!H4456+Sens!I4456)/(Sens!H4457+Sens!I4457)</f>
        <v>0.6</v>
      </c>
      <c r="J4474" s="7" t="n">
        <f aca="false">(Sens!I4456+Sens!J4456)/(Sens!I4457+Sens!J4457)</f>
        <v>0.6</v>
      </c>
      <c r="K4474" s="7" t="n">
        <f aca="false">(Sens!J4456+Sens!K4456)/(Sens!J4457+Sens!K4457)</f>
        <v>0.6</v>
      </c>
    </row>
    <row r="4475" customFormat="false" ht="17.15" hidden="false" customHeight="false" outlineLevel="0" collapsed="false">
      <c r="A4475" s="0" t="s">
        <v>829</v>
      </c>
      <c r="B4475" s="0" t="s">
        <v>98</v>
      </c>
      <c r="D4475" s="6" t="n">
        <f aca="false">Sens!D4469-Sens!D4474*(Sens!D4471+Sens!D4473)-Sens!D4472</f>
        <v>8.35701406163072</v>
      </c>
      <c r="E4475" s="6" t="n">
        <f aca="false">Sens!E4469-Sens!E4474*(Sens!E4471+Sens!E4473)-Sens!E4472</f>
        <v>18.7103224860238</v>
      </c>
      <c r="F4475" s="6" t="n">
        <f aca="false">Sens!F4469-Sens!F4474*(Sens!F4471+Sens!F4473)-Sens!F4472</f>
        <v>35.0573455625419</v>
      </c>
      <c r="G4475" s="6" t="n">
        <f aca="false">Sens!G4469-Sens!G4474*(Sens!G4471+Sens!G4473)-Sens!G4472</f>
        <v>52.2504971712871</v>
      </c>
      <c r="H4475" s="6" t="n">
        <f aca="false">Sens!H4469-Sens!H4474*(Sens!H4471+Sens!H4473)-Sens!H4472</f>
        <v>66.1147863288739</v>
      </c>
      <c r="I4475" s="6" t="n">
        <f aca="false">Sens!I4469-Sens!I4474*(Sens!I4471+Sens!I4473)-Sens!I4472</f>
        <v>84.5947010522747</v>
      </c>
      <c r="J4475" s="6" t="n">
        <f aca="false">Sens!J4469-Sens!J4474*(Sens!J4471+Sens!J4473)-Sens!J4472</f>
        <v>98.6680732296361</v>
      </c>
      <c r="K4475" s="6" t="n">
        <f aca="false">Sens!K4469-Sens!K4474*(Sens!K4471+Sens!K4473)-Sens!K4472</f>
        <v>108.598714952675</v>
      </c>
    </row>
    <row r="4476" customFormat="false" ht="17.15" hidden="false" customHeight="false" outlineLevel="0" collapsed="false">
      <c r="A4476" s="1" t="s">
        <v>830</v>
      </c>
      <c r="B4476" s="0" t="s">
        <v>98</v>
      </c>
      <c r="D4476" s="6" t="n">
        <f aca="false">(1-Sens!D4474)*(Sens!D4471+Sens!D4473)</f>
        <v>1.42281025374069</v>
      </c>
      <c r="E4476" s="6" t="n">
        <f aca="false">(1-Sens!E4474)*(Sens!E4471+Sens!E4473)</f>
        <v>3.25095598674472</v>
      </c>
      <c r="F4476" s="6" t="n">
        <f aca="false">(1-Sens!F4474)*(Sens!F4471+Sens!F4473)</f>
        <v>6.53293055050977</v>
      </c>
      <c r="G4476" s="6" t="n">
        <f aca="false">(1-Sens!G4474)*(Sens!G4471+Sens!G4473)</f>
        <v>10.7846311741651</v>
      </c>
      <c r="H4476" s="6" t="n">
        <f aca="false">(1-Sens!H4474)*(Sens!H4471+Sens!H4473)</f>
        <v>15.3155321504392</v>
      </c>
      <c r="I4476" s="6" t="n">
        <f aca="false">(1-Sens!I4474)*(Sens!I4471+Sens!I4473)</f>
        <v>19.2274101760331</v>
      </c>
      <c r="J4476" s="6" t="n">
        <f aca="false">(1-Sens!J4474)*(Sens!J4471+Sens!J4473)</f>
        <v>21.9319381310259</v>
      </c>
      <c r="K4476" s="6" t="n">
        <f aca="false">(1-Sens!K4474)*(Sens!K4471+Sens!K4473)</f>
        <v>23.4444378884201</v>
      </c>
    </row>
    <row r="4477" customFormat="false" ht="17.15" hidden="false" customHeight="false" outlineLevel="0" collapsed="false">
      <c r="A4477" s="1" t="s">
        <v>831</v>
      </c>
      <c r="B4477" s="0" t="s">
        <v>350</v>
      </c>
      <c r="C4477" s="8" t="n">
        <f aca="false">cxit_open</f>
        <v>27.5918995</v>
      </c>
      <c r="D4477" s="8" t="n">
        <f aca="false">cxit_open</f>
        <v>27.5918995</v>
      </c>
      <c r="E4477" s="8" t="n">
        <f aca="false">cxit_open</f>
        <v>27.5918995</v>
      </c>
      <c r="F4477" s="8" t="n">
        <f aca="false">(a_g3_27*tk_cxit_gb300+(1-a_g3_27)*tk_cxit_vr200)</f>
        <v>33.8419624</v>
      </c>
      <c r="G4477" s="8" t="n">
        <f aca="false">(a_g3_28*tk_cxit_gb300+(1-a_g3_28)*tk_cxit_vr200)</f>
        <v>35.9816136</v>
      </c>
      <c r="H4477" s="8" t="n">
        <f aca="false">(a_g3_29*tk_cxit_gb300+(1-a_g3_29)*tk_cxit_vr200)</f>
        <v>37.0514392</v>
      </c>
      <c r="I4477" s="8" t="n">
        <f aca="false">(a_g3_29*tk_cxit_gb300+(1-a_g3_29)*tk_cxit_vr200)</f>
        <v>37.0514392</v>
      </c>
      <c r="J4477" s="8" t="n">
        <f aca="false">(a_g3_29*tk_cxit_gb300+(1-a_g3_29)*tk_cxit_vr200)</f>
        <v>37.0514392</v>
      </c>
      <c r="K4477" s="8" t="n">
        <f aca="false">(a_g3_29*tk_cxit_gb300+(1-a_g3_29)*tk_cxit_vr200)</f>
        <v>37.0514392</v>
      </c>
      <c r="L4477" s="11" t="s">
        <v>832</v>
      </c>
    </row>
    <row r="4478" customFormat="false" ht="17.15" hidden="false" customHeight="false" outlineLevel="0" collapsed="false">
      <c r="A4478" s="0" t="s">
        <v>833</v>
      </c>
      <c r="B4478" s="0" t="s">
        <v>392</v>
      </c>
      <c r="F4478" s="29" t="n">
        <f aca="false">Sens!C4459*IF(Sens!F4452-Sens!C4452=life_it_lo,1,0)+Sens!D4459*IF(Sens!F4452-Sens!D4452=life_it_lo,1,0)+Sens!E4459*IF(Sens!F4452-Sens!E4452=life_it_lo,1,0)</f>
        <v>0</v>
      </c>
      <c r="G4478" s="29" t="n">
        <f aca="false">Sens!C4459*IF(Sens!G4452-Sens!C4452=life_it_lo,1,0)+Sens!D4459*IF(Sens!G4452-Sens!D4452=life_it_lo,1,0)+Sens!E4459*IF(Sens!G4452-Sens!E4452=life_it_lo,1,0)+Sens!F4459*IF(Sens!G4452-Sens!F4452=life_it_lo,1,0)</f>
        <v>0</v>
      </c>
      <c r="H4478" s="29" t="n">
        <f aca="false">Sens!C4459*IF(Sens!H4452-Sens!C4452=life_it_lo,1,0)+Sens!D4459*IF(Sens!H4452-Sens!D4452=life_it_lo,1,0)+Sens!E4459*IF(Sens!H4452-Sens!E4452=life_it_lo,1,0)+Sens!F4459*IF(Sens!H4452-Sens!F4452=life_it_lo,1,0)+Sens!G4459*IF(Sens!H4452-Sens!G4452=life_it_lo,1,0)</f>
        <v>816.666666666667</v>
      </c>
      <c r="I4478" s="29" t="n">
        <f aca="false">Sens!C4459*IF(Sens!I4452-Sens!C4452=life_it_lo,1,0)+Sens!D4459*IF(Sens!I4452-Sens!D4452=life_it_lo,1,0)+Sens!E4459*IF(Sens!I4452-Sens!E4452=life_it_lo,1,0)+Sens!F4459*IF(Sens!I4452-Sens!F4452=life_it_lo,1,0)+Sens!G4459*IF(Sens!I4452-Sens!G4452=life_it_lo,1,0)+Sens!H4459*IF(Sens!I4452-Sens!H4452=life_it_lo,1,0)</f>
        <v>1233.33333333333</v>
      </c>
      <c r="J4478" s="29" t="n">
        <f aca="false">Sens!C4459*IF(Sens!J4452-Sens!C4452=life_it_lo,1,0)+Sens!D4459*IF(Sens!J4452-Sens!D4452=life_it_lo,1,0)+Sens!E4459*IF(Sens!J4452-Sens!E4452=life_it_lo,1,0)+Sens!F4459*IF(Sens!J4452-Sens!F4452=life_it_lo,1,0)+Sens!G4459*IF(Sens!J4452-Sens!G4452=life_it_lo,1,0)+Sens!H4459*IF(Sens!J4452-Sens!H4452=life_it_lo,1,0)+Sens!I4459*IF(Sens!J4452-Sens!I4452=life_it_lo,1,0)</f>
        <v>2450</v>
      </c>
      <c r="K4478" s="29" t="n">
        <f aca="false">Sens!C4459*IF(Sens!K4452-Sens!C4452=life_it_lo,1,0)+Sens!D4459*IF(Sens!K4452-Sens!D4452=life_it_lo,1,0)+Sens!E4459*IF(Sens!K4452-Sens!E4452=life_it_lo,1,0)+Sens!F4459*IF(Sens!K4452-Sens!F4452=life_it_lo,1,0)+Sens!G4459*IF(Sens!K4452-Sens!G4452=life_it_lo,1,0)+Sens!H4459*IF(Sens!K4452-Sens!H4452=life_it_lo,1,0)+Sens!I4459*IF(Sens!K4452-Sens!I4452=life_it_lo,1,0)+Sens!J4459*IF(Sens!K4452-Sens!J4452=life_it_lo,1,0)</f>
        <v>3868.66666666667</v>
      </c>
      <c r="L4478" s="1" t="s">
        <v>834</v>
      </c>
    </row>
    <row r="4479" customFormat="false" ht="17.15" hidden="false" customHeight="false" outlineLevel="0" collapsed="false">
      <c r="A4479" s="0" t="s">
        <v>835</v>
      </c>
      <c r="B4479" s="0" t="s">
        <v>98</v>
      </c>
      <c r="C4479" s="6" t="n">
        <f aca="false">Sens!C4459*Sens!C4477/1000</f>
        <v>22.5333845916667</v>
      </c>
      <c r="D4479" s="6" t="n">
        <f aca="false">Sens!D4459*Sens!D4477/1000</f>
        <v>34.0300093833333</v>
      </c>
      <c r="E4479" s="6" t="n">
        <f aca="false">Sens!E4459*Sens!E4477/1000</f>
        <v>67.600153775</v>
      </c>
      <c r="F4479" s="6" t="n">
        <f aca="false">(Sens!F4459+Sens!F4478)*Sens!F4477/1000</f>
        <v>130.923271871467</v>
      </c>
      <c r="G4479" s="6" t="n">
        <f aca="false">(Sens!G4459+Sens!G4478)*Sens!G4477/1000</f>
        <v>151.5545564832</v>
      </c>
      <c r="H4479" s="6" t="n">
        <f aca="false">(Sens!H4459+Sens!H4478)*Sens!H4477/1000</f>
        <v>186.319337257067</v>
      </c>
      <c r="I4479" s="6" t="n">
        <f aca="false">(Sens!I4459+Sens!I4478)*Sens!I4477/1000</f>
        <v>156.425989100912</v>
      </c>
      <c r="J4479" s="6" t="n">
        <f aca="false">(Sens!J4459+Sens!J4478)*Sens!J4477/1000</f>
        <v>156.173792304757</v>
      </c>
      <c r="K4479" s="6" t="n">
        <f aca="false">(Sens!K4459+Sens!K4478)*Sens!K4477/1000</f>
        <v>163.405986227003</v>
      </c>
    </row>
    <row r="4480" customFormat="false" ht="17.15" hidden="false" customHeight="false" outlineLevel="0" collapsed="false">
      <c r="A4480" s="0" t="s">
        <v>836</v>
      </c>
      <c r="B4480" s="0" t="s">
        <v>98</v>
      </c>
      <c r="C4480" s="6" t="n">
        <f aca="false">Sens!C4459*self_build*tk_cxfac/1000</f>
        <v>6.2083</v>
      </c>
      <c r="D4480" s="6" t="n">
        <f aca="false">Sens!D4459*self_build*tk_cxfac/1000</f>
        <v>9.3758</v>
      </c>
      <c r="E4480" s="6" t="n">
        <f aca="false">Sens!E4459*self_build*tk_cxfac/1000</f>
        <v>18.6249</v>
      </c>
      <c r="F4480" s="6" t="n">
        <f aca="false">Sens!F4459*self_build*tk_cxfac/1000</f>
        <v>29.409604</v>
      </c>
      <c r="G4480" s="6" t="n">
        <f aca="false">Sens!G4459*self_build*tk_cxfac/1000</f>
        <v>32.019624</v>
      </c>
      <c r="H4480" s="6" t="n">
        <f aca="false">Sens!H4459*self_build*tk_cxfac/1000</f>
        <v>32.019624</v>
      </c>
      <c r="I4480" s="6" t="n">
        <f aca="false">Sens!I4459*self_build*tk_cxfac/1000</f>
        <v>22.71877972</v>
      </c>
      <c r="J4480" s="6" t="n">
        <f aca="false">Sens!J4459*self_build*tk_cxfac/1000</f>
        <v>13.41793544</v>
      </c>
      <c r="K4480" s="6" t="n">
        <f aca="false">Sens!K4459*self_build*tk_cxfac/1000</f>
        <v>4.11709116000001</v>
      </c>
    </row>
    <row r="4481" customFormat="false" ht="17.15" hidden="false" customHeight="false" outlineLevel="0" collapsed="false">
      <c r="A4481" s="0" t="s">
        <v>837</v>
      </c>
      <c r="B4481" s="0" t="s">
        <v>98</v>
      </c>
      <c r="F4481" s="6" t="n">
        <f aca="false">MAX(0,capex_floor27-Sens!F4479-Sens!F4480-Sens!F4574)</f>
        <v>8.43777689897088</v>
      </c>
      <c r="L4481" s="1" t="s">
        <v>838</v>
      </c>
    </row>
    <row r="4482" customFormat="false" ht="17.15" hidden="false" customHeight="false" outlineLevel="0" collapsed="false">
      <c r="A4482" s="0" t="s">
        <v>839</v>
      </c>
      <c r="B4482" s="0" t="s">
        <v>98</v>
      </c>
      <c r="C4482" s="6" t="n">
        <f aca="false">Sens!C4479</f>
        <v>22.5333845916667</v>
      </c>
      <c r="D4482" s="6" t="n">
        <f aca="false">Sens!D4479</f>
        <v>34.0300093833333</v>
      </c>
      <c r="E4482" s="6" t="n">
        <f aca="false">Sens!E4479</f>
        <v>67.600153775</v>
      </c>
      <c r="F4482" s="6" t="n">
        <f aca="false">Sens!F4479+Sens!F4481</f>
        <v>139.361048770438</v>
      </c>
      <c r="G4482" s="6" t="n">
        <f aca="false">Sens!G4479</f>
        <v>151.5545564832</v>
      </c>
      <c r="H4482" s="6" t="n">
        <f aca="false">Sens!H4479</f>
        <v>186.319337257067</v>
      </c>
      <c r="I4482" s="6" t="n">
        <f aca="false">Sens!I4479</f>
        <v>156.425989100912</v>
      </c>
      <c r="J4482" s="6" t="n">
        <f aca="false">Sens!J4479</f>
        <v>156.173792304757</v>
      </c>
      <c r="K4482" s="6" t="n">
        <f aca="false">Sens!K4479</f>
        <v>163.405986227003</v>
      </c>
    </row>
    <row r="4483" customFormat="false" ht="17.15" hidden="false" customHeight="false" outlineLevel="0" collapsed="false">
      <c r="A4483" s="0" t="s">
        <v>840</v>
      </c>
      <c r="B4483" s="0" t="s">
        <v>98</v>
      </c>
      <c r="C4483" s="6" t="n">
        <f aca="false">Sens!C4482+Sens!C4480</f>
        <v>28.7416845916667</v>
      </c>
      <c r="D4483" s="6" t="n">
        <f aca="false">Sens!D4482+Sens!D4480</f>
        <v>43.4058093833333</v>
      </c>
      <c r="E4483" s="6" t="n">
        <f aca="false">Sens!E4482+Sens!E4480</f>
        <v>86.225053775</v>
      </c>
      <c r="F4483" s="6" t="n">
        <f aca="false">Sens!F4482+Sens!F4480</f>
        <v>168.770652770438</v>
      </c>
      <c r="G4483" s="6" t="n">
        <f aca="false">Sens!G4482+Sens!G4480</f>
        <v>183.5741804832</v>
      </c>
      <c r="H4483" s="6" t="n">
        <f aca="false">Sens!H4482+Sens!H4480</f>
        <v>218.338961257067</v>
      </c>
      <c r="I4483" s="6" t="n">
        <f aca="false">Sens!I4482+Sens!I4480</f>
        <v>179.144768820912</v>
      </c>
      <c r="J4483" s="6" t="n">
        <f aca="false">Sens!J4482+Sens!J4480</f>
        <v>169.591727744757</v>
      </c>
      <c r="K4483" s="6" t="n">
        <f aca="false">Sens!K4482+Sens!K4480</f>
        <v>167.523077387003</v>
      </c>
      <c r="L4483" s="11" t="s">
        <v>841</v>
      </c>
    </row>
    <row r="4484" customFormat="false" ht="17.15" hidden="false" customHeight="false" outlineLevel="0" collapsed="false">
      <c r="A4484" s="0" t="s">
        <v>842</v>
      </c>
      <c r="B4484" s="0" t="s">
        <v>98</v>
      </c>
      <c r="E4484" s="6" t="n">
        <f aca="false">(Sens!C4482*IF(2&lt;life_it_lo,1,IF(2=life_it_lo,0.5,0))+Sens!D4482*IF(1&lt;life_it_lo,1,IF(1=life_it_lo,0.5,0))+Sens!E4482*0.5)/life_it_lo</f>
        <v>18.0726941725</v>
      </c>
      <c r="F4484" s="6" t="n">
        <f aca="false">(Sens!C4482*IF(3&lt;life_it_lo,1,IF(3=life_it_lo,0.5,0))+Sens!D4482*IF(2&lt;life_it_lo,1,IF(2=life_it_lo,0.5,0))+Sens!E4482*IF(1&lt;life_it_lo,1,IF(1=life_it_lo,0.5,0))+Sens!F4482*0.5)/life_it_lo</f>
        <v>38.7688144270438</v>
      </c>
      <c r="G4484" s="6" t="n">
        <f aca="false">(Sens!C4482*IF(4&lt;life_it_lo,1,IF(4=life_it_lo,0.5,0))+Sens!D4482*IF(3&lt;life_it_lo,1,IF(3=life_it_lo,0.5,0))+Sens!E4482*IF(2&lt;life_it_lo,1,IF(2=life_it_lo,0.5,0))+Sens!F4482*IF(1&lt;life_it_lo,1,IF(1=life_it_lo,0.5,0))+Sens!G4482*0.5)/life_it_lo</f>
        <v>67.8603749524075</v>
      </c>
      <c r="H4484" s="6" t="n">
        <f aca="false">(Sens!C4482*IF(5&lt;life_it_lo,1,IF(5=life_it_lo,0.5,0))+Sens!D4482*IF(4&lt;life_it_lo,1,IF(4=life_it_lo,0.5,0))+Sens!E4482*IF(3&lt;life_it_lo,1,IF(3=life_it_lo,0.5,0))+Sens!F4482*IF(2&lt;life_it_lo,1,IF(2=life_it_lo,0.5,0))+Sens!G4482*IF(1&lt;life_it_lo,1,IF(1=life_it_lo,0.5,0))+Sens!H4482*0.5)/life_it_lo</f>
        <v>99.3944258672675</v>
      </c>
      <c r="I4484" s="6" t="n">
        <f aca="false">(Sens!C4482*IF(6&lt;life_it_lo,1,IF(6=life_it_lo,0.5,0))+Sens!D4482*IF(5&lt;life_it_lo,1,IF(5=life_it_lo,0.5,0))+Sens!E4482*IF(4&lt;life_it_lo,1,IF(4=life_it_lo,0.5,0))+Sens!F4482*IF(3&lt;life_it_lo,1,IF(3=life_it_lo,0.5,0))+Sens!G4482*IF(2&lt;life_it_lo,1,IF(2=life_it_lo,0.5,0))+Sens!H4482*IF(1&lt;life_it_lo,1,IF(1=life_it_lo,0.5,0))+Sens!I4482*0.5)/life_it_lo</f>
        <v>128.012619105565</v>
      </c>
      <c r="J4484" s="6" t="n">
        <f aca="false">(Sens!C4482*IF(7&lt;life_it_lo,1,IF(7=life_it_lo,0.5,0))+Sens!D4482*IF(6&lt;life_it_lo,1,IF(6=life_it_lo,0.5,0))+Sens!E4482*IF(5&lt;life_it_lo,1,IF(5=life_it_lo,0.5,0))+Sens!F4482*IF(4&lt;life_it_lo,1,IF(4=life_it_lo,0.5,0))+Sens!G4482*IF(3&lt;life_it_lo,1,IF(3=life_it_lo,0.5,0))+Sens!H4482*IF(2&lt;life_it_lo,1,IF(2=life_it_lo,0.5,0))+Sens!I4482*IF(1&lt;life_it_lo,1,IF(1=life_it_lo,0.5,0))+Sens!J4482*0.5)/life_it_lo</f>
        <v>149.109580930299</v>
      </c>
      <c r="K4484" s="6" t="n">
        <f aca="false">(Sens!C4482*IF(8&lt;life_it_lo,1,IF(8=life_it_lo,0.5,0))+Sens!D4482*IF(7&lt;life_it_lo,1,IF(7=life_it_lo,0.5,0))+Sens!E4482*IF(6&lt;life_it_lo,1,IF(6=life_it_lo,0.5,0))+Sens!F4482*IF(5&lt;life_it_lo,1,IF(5=life_it_lo,0.5,0))+Sens!G4482*IF(4&lt;life_it_lo,1,IF(4=life_it_lo,0.5,0))+Sens!H4482*IF(3&lt;life_it_lo,1,IF(3=life_it_lo,0.5,0))+Sens!I4482*IF(2&lt;life_it_lo,1,IF(2=life_it_lo,0.5,0))+Sens!J4482*IF(1&lt;life_it_lo,1,IF(1=life_it_lo,0.5,0))+Sens!K4482*0.5)/life_it_lo</f>
        <v>160.371438528931</v>
      </c>
    </row>
    <row r="4485" customFormat="false" ht="17.15" hidden="false" customHeight="false" outlineLevel="0" collapsed="false">
      <c r="A4485" s="0" t="s">
        <v>843</v>
      </c>
      <c r="B4485" s="0" t="s">
        <v>98</v>
      </c>
      <c r="E4485" s="6" t="n">
        <f aca="false">(Sens!C4480*IF(2&lt;life_fac,1,IF(2=life_fac,0.5,0))+Sens!D4480*IF(1&lt;life_fac,1,IF(1=life_fac,0.5,0))+Sens!E4480*0.5)/life_fac</f>
        <v>1.2448275</v>
      </c>
      <c r="F4485" s="6" t="n">
        <f aca="false">(Sens!C4480*IF(3&lt;life_fac,1,IF(3=life_fac,0.5,0))+Sens!D4480*IF(2&lt;life_fac,1,IF(2=life_fac,0.5,0))+Sens!E4480*IF(1&lt;life_fac,1,IF(1=life_fac,0.5,0))+Sens!F4480*0.5)/life_fac</f>
        <v>2.4456901</v>
      </c>
      <c r="G4485" s="6" t="n">
        <f aca="false">(Sens!C4480*IF(4&lt;life_fac,1,IF(4=life_fac,0.5,0))+Sens!D4480*IF(3&lt;life_fac,1,IF(3=life_fac,0.5,0))+Sens!E4480*IF(2&lt;life_fac,1,IF(2=life_fac,0.5,0))+Sens!F4480*IF(1&lt;life_fac,1,IF(1=life_fac,0.5,0))+Sens!G4480*0.5)/life_fac</f>
        <v>3.9814208</v>
      </c>
      <c r="H4485" s="6" t="n">
        <f aca="false">(Sens!C4480*IF(5&lt;life_fac,1,IF(5=life_fac,0.5,0))+Sens!D4480*IF(4&lt;life_fac,1,IF(4=life_fac,0.5,0))+Sens!E4480*IF(3&lt;life_fac,1,IF(3=life_fac,0.5,0))+Sens!F4480*IF(2&lt;life_fac,1,IF(2=life_fac,0.5,0))+Sens!G4480*IF(1&lt;life_fac,1,IF(1=life_fac,0.5,0))+Sens!H4480*0.5)/life_fac</f>
        <v>5.582402</v>
      </c>
      <c r="I4485" s="6" t="n">
        <f aca="false">(Sens!C4480*IF(6&lt;life_fac,1,IF(6=life_fac,0.5,0))+Sens!D4480*IF(5&lt;life_fac,1,IF(5=life_fac,0.5,0))+Sens!E4480*IF(4&lt;life_fac,1,IF(4=life_fac,0.5,0))+Sens!F4480*IF(3&lt;life_fac,1,IF(3=life_fac,0.5,0))+Sens!G4480*IF(2&lt;life_fac,1,IF(2=life_fac,0.5,0))+Sens!H4480*IF(1&lt;life_fac,1,IF(1=life_fac,0.5,0))+Sens!I4480*0.5)/life_fac</f>
        <v>6.950862093</v>
      </c>
      <c r="J4485" s="6" t="n">
        <f aca="false">(Sens!C4480*IF(7&lt;life_fac,1,IF(7=life_fac,0.5,0))+Sens!D4480*IF(6&lt;life_fac,1,IF(6=life_fac,0.5,0))+Sens!E4480*IF(5&lt;life_fac,1,IF(5=life_fac,0.5,0))+Sens!F4480*IF(4&lt;life_fac,1,IF(4=life_fac,0.5,0))+Sens!G4480*IF(3&lt;life_fac,1,IF(3=life_fac,0.5,0))+Sens!H4480*IF(2&lt;life_fac,1,IF(2=life_fac,0.5,0))+Sens!I4480*IF(1&lt;life_fac,1,IF(1=life_fac,0.5,0))+Sens!J4480*0.5)/life_fac</f>
        <v>7.854279972</v>
      </c>
      <c r="K4485" s="6" t="n">
        <f aca="false">(Sens!C4480*IF(8&lt;life_fac,1,IF(8=life_fac,0.5,0))+Sens!D4480*IF(7&lt;life_fac,1,IF(7=life_fac,0.5,0))+Sens!E4480*IF(6&lt;life_fac,1,IF(6=life_fac,0.5,0))+Sens!F4480*IF(5&lt;life_fac,1,IF(5=life_fac,0.5,0))+Sens!G4480*IF(4&lt;life_fac,1,IF(4=life_fac,0.5,0))+Sens!H4480*IF(3&lt;life_fac,1,IF(3=life_fac,0.5,0))+Sens!I4480*IF(2&lt;life_fac,1,IF(2=life_fac,0.5,0))+Sens!J4480*IF(1&lt;life_fac,1,IF(1=life_fac,0.5,0))+Sens!K4480*0.5)/life_fac</f>
        <v>8.292655637</v>
      </c>
    </row>
    <row r="4486" customFormat="false" ht="17.15" hidden="false" customHeight="false" outlineLevel="0" collapsed="false">
      <c r="A4486" s="0" t="s">
        <v>844</v>
      </c>
      <c r="B4486" s="0" t="s">
        <v>98</v>
      </c>
      <c r="E4486" s="6" t="n">
        <f aca="false">Sens!E4484+Sens!E4485</f>
        <v>19.3175216725</v>
      </c>
      <c r="F4486" s="6" t="n">
        <f aca="false">Sens!F4484+Sens!F4485</f>
        <v>41.2145045270438</v>
      </c>
      <c r="G4486" s="6" t="n">
        <f aca="false">Sens!G4484+Sens!G4485</f>
        <v>71.8417957524075</v>
      </c>
      <c r="H4486" s="6" t="n">
        <f aca="false">Sens!H4484+Sens!H4485</f>
        <v>104.976827867268</v>
      </c>
      <c r="I4486" s="6" t="n">
        <f aca="false">Sens!I4484+Sens!I4485</f>
        <v>134.963481198565</v>
      </c>
      <c r="J4486" s="6" t="n">
        <f aca="false">Sens!J4484+Sens!J4485</f>
        <v>156.963860902299</v>
      </c>
      <c r="K4486" s="6" t="n">
        <f aca="false">Sens!K4484+Sens!K4485</f>
        <v>168.664094165931</v>
      </c>
    </row>
    <row r="4487" customFormat="false" ht="17.15" hidden="false" customHeight="false" outlineLevel="0" collapsed="false">
      <c r="A4487" s="0" t="s">
        <v>845</v>
      </c>
      <c r="B4487" s="0" t="s">
        <v>98</v>
      </c>
      <c r="E4487" s="6" t="n">
        <f aca="false">Sens!E4475-Sens!E4474*Sens!E4486</f>
        <v>7.11980948252379</v>
      </c>
      <c r="F4487" s="6" t="n">
        <f aca="false">Sens!F4475-Sens!F4474*Sens!F4486</f>
        <v>10.3286428463157</v>
      </c>
      <c r="G4487" s="6" t="n">
        <f aca="false">Sens!G4475-Sens!G4474*Sens!G4486</f>
        <v>9.1454197198426</v>
      </c>
      <c r="H4487" s="6" t="n">
        <f aca="false">Sens!H4475-Sens!H4474*Sens!H4486</f>
        <v>3.12868960851338</v>
      </c>
      <c r="I4487" s="6" t="n">
        <f aca="false">Sens!I4475-Sens!I4474*Sens!I4486</f>
        <v>3.61661233313545</v>
      </c>
      <c r="J4487" s="6" t="n">
        <f aca="false">Sens!J4475-Sens!J4474*Sens!J4486</f>
        <v>4.48975668825675</v>
      </c>
      <c r="K4487" s="6" t="n">
        <f aca="false">Sens!K4475-Sens!K4474*Sens!K4486</f>
        <v>7.40025845311672</v>
      </c>
    </row>
    <row r="4488" customFormat="false" ht="17.15" hidden="false" customHeight="false" outlineLevel="0" collapsed="false">
      <c r="A4488" s="3" t="s">
        <v>1350</v>
      </c>
    </row>
    <row r="4489" customFormat="false" ht="15" hidden="false" customHeight="false" outlineLevel="0" collapsed="false">
      <c r="A4489" s="4" t="s">
        <v>43</v>
      </c>
      <c r="B4489" s="4" t="s">
        <v>65</v>
      </c>
      <c r="C4489" s="20" t="s">
        <v>788</v>
      </c>
      <c r="D4489" s="20" t="s">
        <v>789</v>
      </c>
      <c r="E4489" s="20" t="s">
        <v>790</v>
      </c>
      <c r="F4489" s="20" t="s">
        <v>791</v>
      </c>
      <c r="G4489" s="20" t="s">
        <v>792</v>
      </c>
      <c r="H4489" s="20" t="s">
        <v>793</v>
      </c>
      <c r="I4489" s="20" t="s">
        <v>794</v>
      </c>
      <c r="J4489" s="20" t="s">
        <v>795</v>
      </c>
      <c r="K4489" s="20" t="s">
        <v>796</v>
      </c>
      <c r="L4489" s="4" t="s">
        <v>47</v>
      </c>
    </row>
    <row r="4490" customFormat="false" ht="17.15" hidden="false" customHeight="false" outlineLevel="0" collapsed="false">
      <c r="A4490" s="0" t="s">
        <v>864</v>
      </c>
      <c r="B4490" s="0" t="s">
        <v>98</v>
      </c>
      <c r="D4490" s="6" t="n">
        <f aca="false">Sens!D4469</f>
        <v>12.9359794422418</v>
      </c>
      <c r="E4490" s="6" t="n">
        <f aca="false">Sens!E4469</f>
        <v>27.8095064661409</v>
      </c>
      <c r="F4490" s="6" t="n">
        <f aca="false">Sens!F4469</f>
        <v>50.6619113883066</v>
      </c>
      <c r="G4490" s="6" t="n">
        <f aca="false">Sens!G4469</f>
        <v>75.1482839325348</v>
      </c>
      <c r="H4490" s="6" t="n">
        <f aca="false">Sens!H4469</f>
        <v>95.8089245545327</v>
      </c>
      <c r="I4490" s="6" t="n">
        <f aca="false">Sens!I4469</f>
        <v>120.156656316324</v>
      </c>
      <c r="J4490" s="6" t="n">
        <f aca="false">Sens!J4469</f>
        <v>138.286820426175</v>
      </c>
      <c r="K4490" s="6" t="n">
        <f aca="false">Sens!K4469</f>
        <v>150.486211785306</v>
      </c>
    </row>
    <row r="4491" customFormat="false" ht="17.15" hidden="false" customHeight="false" outlineLevel="0" collapsed="false">
      <c r="A4491" s="0" t="s">
        <v>865</v>
      </c>
      <c r="B4491" s="0" t="s">
        <v>98</v>
      </c>
      <c r="D4491" s="6" t="n">
        <f aca="false">Q!L6-Sens!D4490</f>
        <v>59.6740205577583</v>
      </c>
      <c r="E4491" s="6" t="n">
        <f aca="false">Q!M6-Sens!E4490</f>
        <v>74.1284935338591</v>
      </c>
      <c r="F4491" s="6" t="n">
        <f aca="false">Sens!E4491*(1+Sens!F4492)</f>
        <v>90.0799497373663</v>
      </c>
      <c r="G4491" s="6" t="n">
        <f aca="false">Sens!F4491*(1+Sens!G4492)</f>
        <v>107.02842520331</v>
      </c>
      <c r="H4491" s="6" t="n">
        <f aca="false">Sens!G4491*(1+Sens!H4492)</f>
        <v>124.271982585636</v>
      </c>
      <c r="I4491" s="6" t="n">
        <f aca="false">Sens!H4491*(1+Sens!I4492)</f>
        <v>140.933702381855</v>
      </c>
      <c r="J4491" s="6" t="n">
        <f aca="false">Sens!I4491*(1+Sens!J4492)</f>
        <v>156.018867314332</v>
      </c>
      <c r="K4491" s="6" t="n">
        <f aca="false">Sens!J4491*(1+Sens!K4492)</f>
        <v>168.500376699478</v>
      </c>
    </row>
    <row r="4492" customFormat="false" ht="15" hidden="false" customHeight="false" outlineLevel="0" collapsed="false">
      <c r="A4492" s="1" t="s">
        <v>866</v>
      </c>
      <c r="B4492" s="0" t="s">
        <v>129</v>
      </c>
      <c r="E4492" s="7" t="n">
        <f aca="false">Sens!E4491/Sens!D4491-1</f>
        <v>0.242223883039864</v>
      </c>
      <c r="F4492" s="7" t="n">
        <f aca="false">Sens!$E$4492+(glt_azo-Sens!$E$4492)*MIN(1,(Sens!F4452-base_fy)/n_conv)</f>
        <v>0.215186569199887</v>
      </c>
      <c r="G4492" s="7" t="n">
        <f aca="false">Sens!$E$4492+(glt_azo-Sens!$E$4492)*MIN(1,(Sens!G4452-base_fy)/n_conv)</f>
        <v>0.18814925535991</v>
      </c>
      <c r="H4492" s="7" t="n">
        <f aca="false">Sens!$E$4492+(glt_azo-Sens!$E$4492)*MIN(1,(Sens!H4452-base_fy)/n_conv)</f>
        <v>0.161111941519932</v>
      </c>
      <c r="I4492" s="7" t="n">
        <f aca="false">Sens!$E$4492+(glt_azo-Sens!$E$4492)*MIN(1,(Sens!I4452-base_fy)/n_conv)</f>
        <v>0.134074627679955</v>
      </c>
      <c r="J4492" s="7" t="n">
        <f aca="false">Sens!$E$4492+(glt_azo-Sens!$E$4492)*MIN(1,(Sens!J4452-base_fy)/n_conv)</f>
        <v>0.107037313839977</v>
      </c>
      <c r="K4492" s="7" t="n">
        <f aca="false">Sens!$E$4492+(glt_azo-Sens!$E$4492)*MIN(1,(Sens!K4452-base_fy)/n_conv)</f>
        <v>0.08</v>
      </c>
    </row>
    <row r="4493" customFormat="false" ht="15" hidden="false" customHeight="false" outlineLevel="0" collapsed="false">
      <c r="A4493" s="0" t="s">
        <v>867</v>
      </c>
      <c r="B4493" s="0" t="s">
        <v>98</v>
      </c>
      <c r="D4493" s="6" t="n">
        <f aca="false">Sens!D4490+Sens!D4491</f>
        <v>72.61</v>
      </c>
      <c r="E4493" s="6" t="n">
        <f aca="false">Sens!E4490+Sens!E4491</f>
        <v>101.938</v>
      </c>
      <c r="F4493" s="6" t="n">
        <f aca="false">Sens!F4490+Sens!F4491</f>
        <v>140.741861125673</v>
      </c>
      <c r="G4493" s="6" t="n">
        <f aca="false">Sens!G4490+Sens!G4491</f>
        <v>182.176709135845</v>
      </c>
      <c r="H4493" s="6" t="n">
        <f aca="false">Sens!H4490+Sens!H4491</f>
        <v>220.080907140169</v>
      </c>
      <c r="I4493" s="6" t="n">
        <f aca="false">Sens!I4490+Sens!I4491</f>
        <v>261.090358698179</v>
      </c>
      <c r="J4493" s="6" t="n">
        <f aca="false">Sens!J4490+Sens!J4491</f>
        <v>294.305687740506</v>
      </c>
      <c r="K4493" s="6" t="n">
        <f aca="false">Sens!K4490+Sens!K4491</f>
        <v>318.986588484784</v>
      </c>
    </row>
    <row r="4494" customFormat="false" ht="17.15" hidden="false" customHeight="false" outlineLevel="0" collapsed="false">
      <c r="A4494" s="0" t="s">
        <v>868</v>
      </c>
      <c r="B4494" s="1" t="s">
        <v>521</v>
      </c>
      <c r="C4494" s="29" t="n">
        <f aca="false">cop_s24</f>
        <v>1</v>
      </c>
      <c r="D4494" s="29" t="n">
        <f aca="false">cop_s25</f>
        <v>5</v>
      </c>
      <c r="E4494" s="29" t="n">
        <f aca="false">cop_s26</f>
        <v>30</v>
      </c>
      <c r="F4494" s="29" t="n">
        <f aca="false">Sens!E4494+cop_add_C</f>
        <v>40</v>
      </c>
      <c r="G4494" s="29" t="n">
        <f aca="false">Sens!F4494+cop_add_C</f>
        <v>50</v>
      </c>
      <c r="H4494" s="29" t="n">
        <f aca="false">Sens!G4494+cop_add_C</f>
        <v>60</v>
      </c>
      <c r="I4494" s="29" t="n">
        <f aca="false">Sens!H4494+cop_add_C*cop_tail</f>
        <v>65</v>
      </c>
      <c r="J4494" s="29" t="n">
        <f aca="false">Sens!I4494+cop_add_C*cop_tail</f>
        <v>70</v>
      </c>
      <c r="K4494" s="29" t="n">
        <f aca="false">Sens!J4494+cop_add_C*cop_tail</f>
        <v>75</v>
      </c>
      <c r="L4494" s="11" t="s">
        <v>869</v>
      </c>
    </row>
    <row r="4495" customFormat="false" ht="17.15" hidden="false" customHeight="false" outlineLevel="0" collapsed="false">
      <c r="A4495" s="0" t="s">
        <v>870</v>
      </c>
      <c r="B4495" s="0" t="s">
        <v>98</v>
      </c>
      <c r="D4495" s="6" t="n">
        <f aca="false">(Sens!C4494+Sens!D4494)/2*cop_px*12/1000</f>
        <v>0.9</v>
      </c>
      <c r="E4495" s="6" t="n">
        <f aca="false">(Sens!D4494+Sens!E4494)/2*cop_px*12/1000</f>
        <v>5.25</v>
      </c>
      <c r="F4495" s="6" t="n">
        <f aca="false">(Sens!E4494+Sens!F4494)/2*cop_px*12/1000</f>
        <v>10.5</v>
      </c>
      <c r="G4495" s="6" t="n">
        <f aca="false">(Sens!F4494+Sens!G4494)/2*cop_px*12/1000</f>
        <v>13.5</v>
      </c>
      <c r="H4495" s="6" t="n">
        <f aca="false">(Sens!G4494+Sens!H4494)/2*cop_px*12/1000</f>
        <v>16.5</v>
      </c>
      <c r="I4495" s="6" t="n">
        <f aca="false">(Sens!H4494+Sens!I4494)/2*cop_px*12/1000</f>
        <v>18.75</v>
      </c>
      <c r="J4495" s="6" t="n">
        <f aca="false">(Sens!I4494+Sens!J4494)/2*cop_px*12/1000</f>
        <v>20.25</v>
      </c>
      <c r="K4495" s="6" t="n">
        <f aca="false">(Sens!J4494+Sens!K4494)/2*cop_px*12/1000</f>
        <v>21.75</v>
      </c>
      <c r="L4495" s="1" t="s">
        <v>871</v>
      </c>
    </row>
    <row r="4496" customFormat="false" ht="17.15" hidden="false" customHeight="false" outlineLevel="0" collapsed="false">
      <c r="A4496" s="0" t="s">
        <v>872</v>
      </c>
      <c r="B4496" s="0" t="s">
        <v>98</v>
      </c>
      <c r="D4496" s="6" t="n">
        <f aca="false">Q!L7-Sens!D4495</f>
        <v>83.705</v>
      </c>
      <c r="E4496" s="6" t="n">
        <f aca="false">Q!M7-Sens!E4495</f>
        <v>95.049</v>
      </c>
      <c r="F4496" s="6" t="n">
        <f aca="false">Sens!E4496*(1+Sens!F4497)</f>
        <v>106.89238776686</v>
      </c>
      <c r="G4496" s="6" t="n">
        <f aca="false">Sens!F4496*(1+Sens!G4497)</f>
        <v>119.044168448684</v>
      </c>
      <c r="H4496" s="6" t="n">
        <f aca="false">Sens!G4496*(1+Sens!H4497)</f>
        <v>131.277359388781</v>
      </c>
      <c r="I4496" s="6" t="n">
        <f aca="false">Sens!H4496*(1+Sens!I4497)</f>
        <v>143.334028071957</v>
      </c>
      <c r="J4496" s="6" t="n">
        <f aca="false">Sens!I4496*(1+Sens!J4497)</f>
        <v>154.932702785465</v>
      </c>
      <c r="K4496" s="6" t="n">
        <f aca="false">Sens!J4496*(1+Sens!K4497)</f>
        <v>165.777991980448</v>
      </c>
    </row>
    <row r="4497" customFormat="false" ht="15" hidden="false" customHeight="false" outlineLevel="0" collapsed="false">
      <c r="A4497" s="1" t="s">
        <v>866</v>
      </c>
      <c r="B4497" s="0" t="s">
        <v>129</v>
      </c>
      <c r="E4497" s="7" t="n">
        <f aca="false">Sens!E4496/Sens!D4496-1</f>
        <v>0.135523564900544</v>
      </c>
      <c r="F4497" s="7" t="n">
        <f aca="false">Sens!$E$4497+(glt_m365b-Sens!$E$4497)*MIN(1,(Sens!F4452-base_fy)/n_conv)</f>
        <v>0.124602970750453</v>
      </c>
      <c r="G4497" s="7" t="n">
        <f aca="false">Sens!$E$4497+(glt_m365b-Sens!$E$4497)*MIN(1,(Sens!G4452-base_fy)/n_conv)</f>
        <v>0.113682376600363</v>
      </c>
      <c r="H4497" s="7" t="n">
        <f aca="false">Sens!$E$4497+(glt_m365b-Sens!$E$4497)*MIN(1,(Sens!H4452-base_fy)/n_conv)</f>
        <v>0.102761782450272</v>
      </c>
      <c r="I4497" s="7" t="n">
        <f aca="false">Sens!$E$4497+(glt_m365b-Sens!$E$4497)*MIN(1,(Sens!I4452-base_fy)/n_conv)</f>
        <v>0.0918411883001813</v>
      </c>
      <c r="J4497" s="7" t="n">
        <f aca="false">Sens!$E$4497+(glt_m365b-Sens!$E$4497)*MIN(1,(Sens!J4452-base_fy)/n_conv)</f>
        <v>0.0809205941500906</v>
      </c>
      <c r="K4497" s="7" t="n">
        <f aca="false">Sens!$E$4497+(glt_m365b-Sens!$E$4497)*MIN(1,(Sens!K4452-base_fy)/n_conv)</f>
        <v>0.07</v>
      </c>
    </row>
    <row r="4498" customFormat="false" ht="15" hidden="false" customHeight="false" outlineLevel="0" collapsed="false">
      <c r="A4498" s="0" t="s">
        <v>873</v>
      </c>
      <c r="B4498" s="0" t="s">
        <v>98</v>
      </c>
      <c r="D4498" s="6" t="n">
        <f aca="false">Sens!D4496+Sens!D4495</f>
        <v>84.605</v>
      </c>
      <c r="E4498" s="6" t="n">
        <f aca="false">Sens!E4496+Sens!E4495</f>
        <v>100.299</v>
      </c>
      <c r="F4498" s="6" t="n">
        <f aca="false">Sens!F4496+Sens!F4495</f>
        <v>117.39238776686</v>
      </c>
      <c r="G4498" s="6" t="n">
        <f aca="false">Sens!G4496+Sens!G4495</f>
        <v>132.544168448684</v>
      </c>
      <c r="H4498" s="6" t="n">
        <f aca="false">Sens!H4496+Sens!H4495</f>
        <v>147.777359388781</v>
      </c>
      <c r="I4498" s="6" t="n">
        <f aca="false">Sens!I4496+Sens!I4495</f>
        <v>162.084028071957</v>
      </c>
      <c r="J4498" s="6" t="n">
        <f aca="false">Sens!J4496+Sens!J4495</f>
        <v>175.182702785465</v>
      </c>
      <c r="K4498" s="6" t="n">
        <f aca="false">Sens!K4496+Sens!K4495</f>
        <v>187.527991980448</v>
      </c>
    </row>
    <row r="4499" customFormat="false" ht="15" hidden="false" customHeight="false" outlineLevel="0" collapsed="false">
      <c r="A4499" s="0" t="s">
        <v>874</v>
      </c>
      <c r="B4499" s="0" t="s">
        <v>98</v>
      </c>
      <c r="D4499" s="6" t="n">
        <f aca="false">Q!L8</f>
        <v>35.391</v>
      </c>
      <c r="E4499" s="6" t="n">
        <f aca="false">Q!M8</f>
        <v>37.285</v>
      </c>
      <c r="F4499" s="6" t="n">
        <f aca="false">Sens!E4499*(1+Sens!F4500)</f>
        <v>39.0720834331704</v>
      </c>
      <c r="G4499" s="6" t="n">
        <f aca="false">Sens!F4499*(1+Sens!G4500)</f>
        <v>40.726562953769</v>
      </c>
      <c r="H4499" s="6" t="n">
        <f aca="false">Sens!G4499*(1+Sens!H4500)</f>
        <v>42.2235987259198</v>
      </c>
      <c r="I4499" s="6" t="n">
        <f aca="false">Sens!H4499*(1+Sens!I4500)</f>
        <v>43.5397988077414</v>
      </c>
      <c r="J4499" s="6" t="n">
        <f aca="false">Sens!I4499*(1+Sens!J4500)</f>
        <v>44.653811225693</v>
      </c>
      <c r="K4499" s="6" t="n">
        <f aca="false">Sens!J4499*(1+Sens!K4500)</f>
        <v>45.5468874502068</v>
      </c>
    </row>
    <row r="4500" customFormat="false" ht="15" hidden="false" customHeight="false" outlineLevel="0" collapsed="false">
      <c r="A4500" s="1" t="s">
        <v>866</v>
      </c>
      <c r="B4500" s="0" t="s">
        <v>129</v>
      </c>
      <c r="E4500" s="7" t="n">
        <f aca="false">Sens!E4499/Sens!D4499-1</f>
        <v>0.0535164307309768</v>
      </c>
      <c r="F4500" s="7" t="n">
        <f aca="false">Sens!$E$4500+(glt_lic-Sens!$E$4500)*MIN(1,(Sens!F4452-base_fy)/n_conv)</f>
        <v>0.0479303589424807</v>
      </c>
      <c r="G4500" s="7" t="n">
        <f aca="false">Sens!$E$4500+(glt_lic-Sens!$E$4500)*MIN(1,(Sens!G4452-base_fy)/n_conv)</f>
        <v>0.0423442871539845</v>
      </c>
      <c r="H4500" s="7" t="n">
        <f aca="false">Sens!$E$4500+(glt_lic-Sens!$E$4500)*MIN(1,(Sens!H4452-base_fy)/n_conv)</f>
        <v>0.0367582153654884</v>
      </c>
      <c r="I4500" s="7" t="n">
        <f aca="false">Sens!$E$4500+(glt_lic-Sens!$E$4500)*MIN(1,(Sens!I4452-base_fy)/n_conv)</f>
        <v>0.0311721435769923</v>
      </c>
      <c r="J4500" s="7" t="n">
        <f aca="false">Sens!$E$4500+(glt_lic-Sens!$E$4500)*MIN(1,(Sens!J4452-base_fy)/n_conv)</f>
        <v>0.0255860717884961</v>
      </c>
      <c r="K4500" s="7" t="n">
        <f aca="false">Sens!$E$4500+(glt_lic-Sens!$E$4500)*MIN(1,(Sens!K4452-base_fy)/n_conv)</f>
        <v>0.02</v>
      </c>
    </row>
    <row r="4501" customFormat="false" ht="15" hidden="false" customHeight="false" outlineLevel="0" collapsed="false">
      <c r="A4501" s="0" t="s">
        <v>875</v>
      </c>
      <c r="B4501" s="0" t="s">
        <v>98</v>
      </c>
      <c r="D4501" s="6" t="n">
        <f aca="false">Q!L9</f>
        <v>18.417</v>
      </c>
      <c r="E4501" s="6" t="n">
        <f aca="false">Q!M9</f>
        <v>20.345</v>
      </c>
      <c r="F4501" s="6" t="n">
        <f aca="false">Sens!E4501*(1+Sens!F4502)</f>
        <v>22.3572203267814</v>
      </c>
      <c r="G4501" s="6" t="n">
        <f aca="false">Sens!F4501*(1+Sens!G4502)</f>
        <v>24.4392124437232</v>
      </c>
      <c r="H4501" s="6" t="n">
        <f aca="false">Sens!G4501*(1+Sens!H4502)</f>
        <v>26.5738052080665</v>
      </c>
      <c r="I4501" s="6" t="n">
        <f aca="false">Sens!H4501*(1+Sens!I4502)</f>
        <v>28.7412169166967</v>
      </c>
      <c r="J4501" s="6" t="n">
        <f aca="false">Sens!I4501*(1+Sens!J4502)</f>
        <v>30.9192545395413</v>
      </c>
      <c r="K4501" s="6" t="n">
        <f aca="false">Sens!J4501*(1+Sens!K4502)</f>
        <v>33.0836023573092</v>
      </c>
    </row>
    <row r="4502" customFormat="false" ht="15" hidden="false" customHeight="false" outlineLevel="0" collapsed="false">
      <c r="A4502" s="1" t="s">
        <v>866</v>
      </c>
      <c r="B4502" s="0" t="s">
        <v>129</v>
      </c>
      <c r="E4502" s="7" t="n">
        <f aca="false">Sens!E4501/Sens!D4501-1</f>
        <v>0.104685888038225</v>
      </c>
      <c r="F4502" s="7" t="n">
        <f aca="false">Sens!$E$4502+(glt_ind-Sens!$E$4502)*MIN(1,(Sens!F4452-base_fy)/n_conv)</f>
        <v>0.0989049066985211</v>
      </c>
      <c r="G4502" s="7" t="n">
        <f aca="false">Sens!$E$4502+(glt_ind-Sens!$E$4502)*MIN(1,(Sens!G4452-base_fy)/n_conv)</f>
        <v>0.0931239253588169</v>
      </c>
      <c r="H4502" s="7" t="n">
        <f aca="false">Sens!$E$4502+(glt_ind-Sens!$E$4502)*MIN(1,(Sens!H4452-base_fy)/n_conv)</f>
        <v>0.0873429440191127</v>
      </c>
      <c r="I4502" s="7" t="n">
        <f aca="false">Sens!$E$4502+(glt_ind-Sens!$E$4502)*MIN(1,(Sens!I4452-base_fy)/n_conv)</f>
        <v>0.0815619626794085</v>
      </c>
      <c r="J4502" s="7" t="n">
        <f aca="false">Sens!$E$4502+(glt_ind-Sens!$E$4502)*MIN(1,(Sens!J4452-base_fy)/n_conv)</f>
        <v>0.0757809813397042</v>
      </c>
      <c r="K4502" s="7" t="n">
        <f aca="false">Sens!$E$4502+(glt_ind-Sens!$E$4502)*MIN(1,(Sens!K4452-base_fy)/n_conv)</f>
        <v>0.07</v>
      </c>
    </row>
    <row r="4503" customFormat="false" ht="15" hidden="false" customHeight="false" outlineLevel="0" collapsed="false">
      <c r="A4503" s="0" t="s">
        <v>876</v>
      </c>
      <c r="B4503" s="0" t="s">
        <v>98</v>
      </c>
      <c r="D4503" s="6" t="n">
        <f aca="false">Q!L10</f>
        <v>7.76</v>
      </c>
      <c r="E4503" s="6" t="n">
        <f aca="false">Q!M10</f>
        <v>8.26</v>
      </c>
      <c r="F4503" s="6" t="n">
        <f aca="false">Sens!E4503*(1+Sens!F4504)</f>
        <v>8.79988041237113</v>
      </c>
      <c r="G4503" s="6" t="n">
        <f aca="false">Sens!F4503*(1+Sens!G4504)</f>
        <v>9.38321269125306</v>
      </c>
      <c r="H4503" s="6" t="n">
        <f aca="false">Sens!G4503*(1+Sens!H4504)</f>
        <v>10.0139193587476</v>
      </c>
      <c r="I4503" s="6" t="n">
        <f aca="false">Sens!H4503*(1+Sens!I4504)</f>
        <v>10.6963111830911</v>
      </c>
      <c r="J4503" s="6" t="n">
        <f aca="false">Sens!I4503*(1+Sens!J4504)</f>
        <v>11.4351285534696</v>
      </c>
      <c r="K4503" s="6" t="n">
        <f aca="false">Sens!J4503*(1+Sens!K4504)</f>
        <v>12.2355875522124</v>
      </c>
    </row>
    <row r="4504" customFormat="false" ht="15" hidden="false" customHeight="false" outlineLevel="0" collapsed="false">
      <c r="A4504" s="1" t="s">
        <v>866</v>
      </c>
      <c r="B4504" s="0" t="s">
        <v>129</v>
      </c>
      <c r="E4504" s="7" t="n">
        <f aca="false">Sens!E4503/Sens!D4503-1</f>
        <v>0.0644329896907216</v>
      </c>
      <c r="F4504" s="7" t="n">
        <f aca="false">Sens!$E$4504+(glt_fro-Sens!$E$4504)*MIN(1,(Sens!F4452-base_fy)/n_conv)</f>
        <v>0.065360824742268</v>
      </c>
      <c r="G4504" s="7" t="n">
        <f aca="false">Sens!$E$4504+(glt_fro-Sens!$E$4504)*MIN(1,(Sens!G4452-base_fy)/n_conv)</f>
        <v>0.0662886597938144</v>
      </c>
      <c r="H4504" s="7" t="n">
        <f aca="false">Sens!$E$4504+(glt_fro-Sens!$E$4504)*MIN(1,(Sens!H4452-base_fy)/n_conv)</f>
        <v>0.0672164948453608</v>
      </c>
      <c r="I4504" s="7" t="n">
        <f aca="false">Sens!$E$4504+(glt_fro-Sens!$E$4504)*MIN(1,(Sens!I4452-base_fy)/n_conv)</f>
        <v>0.0681443298969072</v>
      </c>
      <c r="J4504" s="7" t="n">
        <f aca="false">Sens!$E$4504+(glt_fro-Sens!$E$4504)*MIN(1,(Sens!J4452-base_fy)/n_conv)</f>
        <v>0.0690721649484536</v>
      </c>
      <c r="K4504" s="7" t="n">
        <f aca="false">Sens!$E$4504+(glt_fro-Sens!$E$4504)*MIN(1,(Sens!K4452-base_fy)/n_conv)</f>
        <v>0.07</v>
      </c>
    </row>
    <row r="4505" customFormat="false" ht="15" hidden="false" customHeight="false" outlineLevel="0" collapsed="false">
      <c r="A4505" s="0" t="s">
        <v>704</v>
      </c>
      <c r="B4505" s="0" t="s">
        <v>98</v>
      </c>
      <c r="D4505" s="6" t="n">
        <f aca="false">Sens!D4493+Sens!D4498+Sens!D4499+Sens!D4501+Sens!D4503</f>
        <v>218.783</v>
      </c>
      <c r="E4505" s="6" t="n">
        <f aca="false">Sens!E4493+Sens!E4498+Sens!E4499+Sens!E4501+Sens!E4503</f>
        <v>268.127</v>
      </c>
      <c r="F4505" s="6" t="n">
        <f aca="false">Sens!F4493+Sens!F4498+Sens!F4499+Sens!F4501+Sens!F4503</f>
        <v>328.363433064856</v>
      </c>
      <c r="G4505" s="6" t="n">
        <f aca="false">Sens!G4493+Sens!G4498+Sens!G4499+Sens!G4501+Sens!G4503</f>
        <v>389.269865673274</v>
      </c>
      <c r="H4505" s="6" t="n">
        <f aca="false">Sens!H4493+Sens!H4498+Sens!H4499+Sens!H4501+Sens!H4503</f>
        <v>446.669589821684</v>
      </c>
      <c r="I4505" s="6" t="n">
        <f aca="false">Sens!I4493+Sens!I4498+Sens!I4499+Sens!I4501+Sens!I4503</f>
        <v>506.151713677665</v>
      </c>
      <c r="J4505" s="6" t="n">
        <f aca="false">Sens!J4493+Sens!J4498+Sens!J4499+Sens!J4501+Sens!J4503</f>
        <v>556.496584844676</v>
      </c>
      <c r="K4505" s="6" t="n">
        <f aca="false">Sens!K4493+Sens!K4498+Sens!K4499+Sens!K4501+Sens!K4503</f>
        <v>597.38065782496</v>
      </c>
    </row>
    <row r="4506" customFormat="false" ht="15" hidden="false" customHeight="false" outlineLevel="0" collapsed="false">
      <c r="A4506" s="0" t="s">
        <v>877</v>
      </c>
      <c r="B4506" s="0" t="s">
        <v>98</v>
      </c>
      <c r="D4506" s="6" t="n">
        <f aca="false">Q!L13</f>
        <v>22.171</v>
      </c>
      <c r="E4506" s="6" t="n">
        <f aca="false">Q!M13</f>
        <v>24.835</v>
      </c>
      <c r="F4506" s="6" t="n">
        <f aca="false">Sens!E4506*(1+Sens!F4507)</f>
        <v>27.6114901218559</v>
      </c>
      <c r="G4506" s="6" t="n">
        <f aca="false">Sens!F4506*(1+Sens!G4507)</f>
        <v>30.4675667338515</v>
      </c>
      <c r="H4506" s="6" t="n">
        <f aca="false">Sens!G4506*(1+Sens!H4507)</f>
        <v>33.3643766955789</v>
      </c>
      <c r="I4506" s="6" t="n">
        <f aca="false">Sens!H4506*(1+Sens!I4507)</f>
        <v>36.2577016533691</v>
      </c>
      <c r="J4506" s="6" t="n">
        <f aca="false">Sens!I4506*(1+Sens!J4507)</f>
        <v>39.0988367952171</v>
      </c>
      <c r="K4506" s="6" t="n">
        <f aca="false">Sens!J4506*(1+Sens!K4507)</f>
        <v>41.8357553708823</v>
      </c>
    </row>
    <row r="4507" customFormat="false" ht="15" hidden="false" customHeight="false" outlineLevel="0" collapsed="false">
      <c r="A4507" s="1" t="s">
        <v>866</v>
      </c>
      <c r="B4507" s="0" t="s">
        <v>129</v>
      </c>
      <c r="E4507" s="7" t="n">
        <f aca="false">Sens!E4506/Sens!D4506-1</f>
        <v>0.120156961796942</v>
      </c>
      <c r="F4507" s="7" t="n">
        <f aca="false">Sens!$E$4507+(glt_srch-Sens!$E$4507)*MIN(1,(Sens!F4452-base_fy)/n_conv)</f>
        <v>0.111797468164118</v>
      </c>
      <c r="G4507" s="7" t="n">
        <f aca="false">Sens!$E$4507+(glt_srch-Sens!$E$4507)*MIN(1,(Sens!G4452-base_fy)/n_conv)</f>
        <v>0.103437974531295</v>
      </c>
      <c r="H4507" s="7" t="n">
        <f aca="false">Sens!$E$4507+(glt_srch-Sens!$E$4507)*MIN(1,(Sens!H4452-base_fy)/n_conv)</f>
        <v>0.095078480898471</v>
      </c>
      <c r="I4507" s="7" t="n">
        <f aca="false">Sens!$E$4507+(glt_srch-Sens!$E$4507)*MIN(1,(Sens!I4452-base_fy)/n_conv)</f>
        <v>0.0867189872656474</v>
      </c>
      <c r="J4507" s="7" t="n">
        <f aca="false">Sens!$E$4507+(glt_srch-Sens!$E$4507)*MIN(1,(Sens!J4452-base_fy)/n_conv)</f>
        <v>0.0783594936328237</v>
      </c>
      <c r="K4507" s="7" t="n">
        <f aca="false">Sens!$E$4507+(glt_srch-Sens!$E$4507)*MIN(1,(Sens!K4452-base_fy)/n_conv)</f>
        <v>0.07</v>
      </c>
    </row>
    <row r="4508" customFormat="false" ht="15" hidden="false" customHeight="false" outlineLevel="0" collapsed="false">
      <c r="A4508" s="0" t="s">
        <v>878</v>
      </c>
      <c r="B4508" s="0" t="s">
        <v>98</v>
      </c>
      <c r="D4508" s="6" t="n">
        <f aca="false">Q!L14</f>
        <v>23.455</v>
      </c>
      <c r="E4508" s="6" t="n">
        <f aca="false">Q!M14</f>
        <v>21.79</v>
      </c>
      <c r="F4508" s="6" t="n">
        <f aca="false">Sens!E4508*(1+Sens!F4509)</f>
        <v>20.5736277908051</v>
      </c>
      <c r="G4508" s="6" t="n">
        <f aca="false">Sens!F4508*(1+Sens!G4509)</f>
        <v>19.7371452817919</v>
      </c>
      <c r="H4508" s="6" t="n">
        <f aca="false">Sens!G4508*(1+Sens!H4509)</f>
        <v>19.2339764043138</v>
      </c>
      <c r="I4508" s="6" t="n">
        <f aca="false">Sens!H4508*(1+Sens!I4509)</f>
        <v>19.0353086852681</v>
      </c>
      <c r="J4508" s="6" t="n">
        <f aca="false">Sens!I4508*(1+Sens!J4509)</f>
        <v>19.1273539319129</v>
      </c>
      <c r="K4508" s="6" t="n">
        <f aca="false">Sens!J4508*(1+Sens!K4509)</f>
        <v>19.5099010105511</v>
      </c>
    </row>
    <row r="4509" customFormat="false" ht="15" hidden="false" customHeight="false" outlineLevel="0" collapsed="false">
      <c r="A4509" s="1" t="s">
        <v>866</v>
      </c>
      <c r="B4509" s="0" t="s">
        <v>129</v>
      </c>
      <c r="E4509" s="7" t="n">
        <f aca="false">Sens!E4508/Sens!D4508-1</f>
        <v>-0.0709869963760392</v>
      </c>
      <c r="F4509" s="7" t="n">
        <f aca="false">Sens!$E$4509+(glt_xbox-Sens!$E$4509)*MIN(1,(Sens!F4452-base_fy)/n_conv)</f>
        <v>-0.0558224969800327</v>
      </c>
      <c r="G4509" s="7" t="n">
        <f aca="false">Sens!$E$4509+(glt_xbox-Sens!$E$4509)*MIN(1,(Sens!G4452-base_fy)/n_conv)</f>
        <v>-0.0406579975840262</v>
      </c>
      <c r="H4509" s="7" t="n">
        <f aca="false">Sens!$E$4509+(glt_xbox-Sens!$E$4509)*MIN(1,(Sens!H4452-base_fy)/n_conv)</f>
        <v>-0.0254934981880196</v>
      </c>
      <c r="I4509" s="7" t="n">
        <f aca="false">Sens!$E$4509+(glt_xbox-Sens!$E$4509)*MIN(1,(Sens!I4452-base_fy)/n_conv)</f>
        <v>-0.0103289987920131</v>
      </c>
      <c r="J4509" s="7" t="n">
        <f aca="false">Sens!$E$4509+(glt_xbox-Sens!$E$4509)*MIN(1,(Sens!J4452-base_fy)/n_conv)</f>
        <v>0.00483550060399347</v>
      </c>
      <c r="K4509" s="7" t="n">
        <f aca="false">Sens!$E$4509+(glt_xbox-Sens!$E$4509)*MIN(1,(Sens!K4452-base_fy)/n_conv)</f>
        <v>0.02</v>
      </c>
    </row>
    <row r="4510" customFormat="false" ht="15" hidden="false" customHeight="false" outlineLevel="0" collapsed="false">
      <c r="A4510" s="0" t="s">
        <v>879</v>
      </c>
      <c r="B4510" s="0" t="s">
        <v>98</v>
      </c>
      <c r="D4510" s="6" t="n">
        <f aca="false">Q!L15</f>
        <v>17.315</v>
      </c>
      <c r="E4510" s="6" t="n">
        <f aca="false">Q!M15</f>
        <v>17.087</v>
      </c>
      <c r="F4510" s="6" t="n">
        <f aca="false">Sens!E4510*(1+Sens!F4511)</f>
        <v>16.9564585436519</v>
      </c>
      <c r="G4510" s="6" t="n">
        <f aca="false">Sens!F4510*(1+Sens!G4511)</f>
        <v>16.9206490624268</v>
      </c>
      <c r="H4510" s="6" t="n">
        <f aca="false">Sens!G4510*(1+Sens!H4511)</f>
        <v>16.9784519149849</v>
      </c>
      <c r="I4510" s="6" t="n">
        <f aca="false">Sens!H4510*(1+Sens!I4511)</f>
        <v>17.1303084701817</v>
      </c>
      <c r="J4510" s="6" t="n">
        <f aca="false">Sens!I4510*(1+Sens!J4511)</f>
        <v>17.3782189407267</v>
      </c>
      <c r="K4510" s="6" t="n">
        <f aca="false">Sens!J4510*(1+Sens!K4511)</f>
        <v>17.7257833195413</v>
      </c>
    </row>
    <row r="4511" customFormat="false" ht="15" hidden="false" customHeight="false" outlineLevel="0" collapsed="false">
      <c r="A4511" s="1" t="s">
        <v>866</v>
      </c>
      <c r="B4511" s="0" t="s">
        <v>129</v>
      </c>
      <c r="E4511" s="7" t="n">
        <f aca="false">Sens!E4510/Sens!D4510-1</f>
        <v>-0.0131677736066995</v>
      </c>
      <c r="F4511" s="7" t="n">
        <f aca="false">Sens!$E$4511+(glt_win-Sens!$E$4511)*MIN(1,(Sens!F4452-base_fy)/n_conv)</f>
        <v>-0.00763981133891627</v>
      </c>
      <c r="G4511" s="7" t="n">
        <f aca="false">Sens!$E$4511+(glt_win-Sens!$E$4511)*MIN(1,(Sens!G4452-base_fy)/n_conv)</f>
        <v>-0.00211184907113301</v>
      </c>
      <c r="H4511" s="7" t="n">
        <f aca="false">Sens!$E$4511+(glt_win-Sens!$E$4511)*MIN(1,(Sens!H4452-base_fy)/n_conv)</f>
        <v>0.00341611319665024</v>
      </c>
      <c r="I4511" s="7" t="n">
        <f aca="false">Sens!$E$4511+(glt_win-Sens!$E$4511)*MIN(1,(Sens!I4452-base_fy)/n_conv)</f>
        <v>0.00894407546443349</v>
      </c>
      <c r="J4511" s="7" t="n">
        <f aca="false">Sens!$E$4511+(glt_win-Sens!$E$4511)*MIN(1,(Sens!J4452-base_fy)/n_conv)</f>
        <v>0.0144720377322168</v>
      </c>
      <c r="K4511" s="7" t="n">
        <f aca="false">Sens!$E$4511+(glt_win-Sens!$E$4511)*MIN(1,(Sens!K4452-base_fy)/n_conv)</f>
        <v>0.02</v>
      </c>
    </row>
    <row r="4512" customFormat="false" ht="15" hidden="false" customHeight="false" outlineLevel="0" collapsed="false">
      <c r="A4512" s="0" t="s">
        <v>718</v>
      </c>
      <c r="B4512" s="0" t="s">
        <v>98</v>
      </c>
      <c r="D4512" s="6" t="n">
        <f aca="false">Sens!D4506+Sens!D4508+Sens!D4510</f>
        <v>62.941</v>
      </c>
      <c r="E4512" s="6" t="n">
        <f aca="false">Sens!E4506+Sens!E4508+Sens!E4510</f>
        <v>63.712</v>
      </c>
      <c r="F4512" s="6" t="n">
        <f aca="false">Sens!F4506+Sens!F4508+Sens!F4510</f>
        <v>65.1415764563129</v>
      </c>
      <c r="G4512" s="6" t="n">
        <f aca="false">Sens!G4506+Sens!G4508+Sens!G4510</f>
        <v>67.1253610780702</v>
      </c>
      <c r="H4512" s="6" t="n">
        <f aca="false">Sens!H4506+Sens!H4508+Sens!H4510</f>
        <v>69.5768050148776</v>
      </c>
      <c r="I4512" s="6" t="n">
        <f aca="false">Sens!I4506+Sens!I4508+Sens!I4510</f>
        <v>72.4233188088189</v>
      </c>
      <c r="J4512" s="6" t="n">
        <f aca="false">Sens!J4506+Sens!J4508+Sens!J4510</f>
        <v>75.6044096678567</v>
      </c>
      <c r="K4512" s="6" t="n">
        <f aca="false">Sens!K4506+Sens!K4508+Sens!K4510</f>
        <v>79.0714397009747</v>
      </c>
    </row>
    <row r="4513" customFormat="false" ht="15" hidden="false" customHeight="false" outlineLevel="0" collapsed="false">
      <c r="A4513" s="1" t="s">
        <v>880</v>
      </c>
      <c r="B4513" s="0" t="s">
        <v>98</v>
      </c>
      <c r="D4513" s="6" t="n">
        <f aca="false">Sens!D4505+Sens!D4512</f>
        <v>281.724</v>
      </c>
      <c r="E4513" s="6" t="n">
        <f aca="false">Sens!E4505+Sens!E4512</f>
        <v>331.839</v>
      </c>
      <c r="F4513" s="6" t="n">
        <f aca="false">Sens!F4505+Sens!F4512</f>
        <v>393.505009521169</v>
      </c>
      <c r="G4513" s="6" t="n">
        <f aca="false">Sens!G4505+Sens!G4512</f>
        <v>456.395226751344</v>
      </c>
      <c r="H4513" s="6" t="n">
        <f aca="false">Sens!H4505+Sens!H4512</f>
        <v>516.246394836561</v>
      </c>
      <c r="I4513" s="6" t="n">
        <f aca="false">Sens!I4505+Sens!I4512</f>
        <v>578.575032486484</v>
      </c>
      <c r="J4513" s="6" t="n">
        <f aca="false">Sens!J4505+Sens!J4512</f>
        <v>632.100994512532</v>
      </c>
      <c r="K4513" s="6" t="n">
        <f aca="false">Sens!K4505+Sens!K4512</f>
        <v>676.452097525935</v>
      </c>
    </row>
    <row r="4514" customFormat="false" ht="15" hidden="false" customHeight="false" outlineLevel="0" collapsed="false">
      <c r="A4514" s="23" t="s">
        <v>881</v>
      </c>
      <c r="B4514" s="30" t="s">
        <v>98</v>
      </c>
      <c r="C4514" s="30"/>
      <c r="D4514" s="24" t="n">
        <f aca="false">(Sens!D4493+Sens!D4498+Sens!D4499+Sens!D4501+Sens!D4503-Sens!D4505)+(Sens!D4506+Sens!D4508+Sens!D4510-Sens!D4512)+(Sens!D4505-Q!L5)+(Sens!D4512-Q!L12)+(Sens!D4493-Q!L6)+(Sens!D4498-Q!L7)</f>
        <v>0</v>
      </c>
      <c r="E4514" s="24" t="n">
        <f aca="false">(Sens!E4493+Sens!E4498+Sens!E4499+Sens!E4501+Sens!E4503-Sens!E4505)+(Sens!E4506+Sens!E4508+Sens!E4510-Sens!E4512)+(Sens!E4505-Q!M5)+(Sens!E4512-Q!M12)+(Sens!E4493-Q!M6)+(Sens!E4498-Q!M7)</f>
        <v>0</v>
      </c>
      <c r="F4514" s="24" t="n">
        <f aca="false">(Sens!F4493+Sens!F4498+Sens!F4499+Sens!F4501+Sens!F4503-Sens!F4505)+(Sens!F4506+Sens!F4508+Sens!F4510-Sens!F4512)</f>
        <v>0</v>
      </c>
      <c r="G4514" s="24" t="n">
        <f aca="false">(Sens!G4493+Sens!G4498+Sens!G4499+Sens!G4501+Sens!G4503-Sens!G4505)+(Sens!G4506+Sens!G4508+Sens!G4510-Sens!G4512)</f>
        <v>0</v>
      </c>
      <c r="H4514" s="24" t="n">
        <f aca="false">(Sens!H4493+Sens!H4498+Sens!H4499+Sens!H4501+Sens!H4503-Sens!H4505)+(Sens!H4506+Sens!H4508+Sens!H4510-Sens!H4512)</f>
        <v>0</v>
      </c>
      <c r="I4514" s="24" t="n">
        <f aca="false">(Sens!I4493+Sens!I4498+Sens!I4499+Sens!I4501+Sens!I4503-Sens!I4505)+(Sens!I4506+Sens!I4508+Sens!I4510-Sens!I4512)</f>
        <v>0</v>
      </c>
      <c r="J4514" s="24" t="n">
        <f aca="false">(Sens!J4493+Sens!J4498+Sens!J4499+Sens!J4501+Sens!J4503-Sens!J4505)+(Sens!J4506+Sens!J4508+Sens!J4510-Sens!J4512)</f>
        <v>0</v>
      </c>
      <c r="K4514" s="24" t="n">
        <f aca="false">(Sens!K4493+Sens!K4498+Sens!K4499+Sens!K4501+Sens!K4503-Sens!K4505)+(Sens!K4506+Sens!K4508+Sens!K4510-Sens!K4512)</f>
        <v>0</v>
      </c>
    </row>
    <row r="4515" customFormat="false" ht="17.15" hidden="false" customHeight="false" outlineLevel="0" collapsed="false">
      <c r="A4515" s="3" t="s">
        <v>1351</v>
      </c>
    </row>
    <row r="4516" customFormat="false" ht="15" hidden="false" customHeight="false" outlineLevel="0" collapsed="false">
      <c r="A4516" s="4" t="s">
        <v>43</v>
      </c>
      <c r="B4516" s="4" t="s">
        <v>65</v>
      </c>
      <c r="C4516" s="20" t="s">
        <v>788</v>
      </c>
      <c r="D4516" s="20" t="s">
        <v>789</v>
      </c>
      <c r="E4516" s="20" t="s">
        <v>790</v>
      </c>
      <c r="F4516" s="20" t="s">
        <v>791</v>
      </c>
      <c r="G4516" s="20" t="s">
        <v>792</v>
      </c>
      <c r="H4516" s="20" t="s">
        <v>793</v>
      </c>
      <c r="I4516" s="20" t="s">
        <v>794</v>
      </c>
      <c r="J4516" s="20" t="s">
        <v>795</v>
      </c>
      <c r="K4516" s="20" t="s">
        <v>796</v>
      </c>
      <c r="L4516" s="4" t="s">
        <v>47</v>
      </c>
    </row>
    <row r="4517" customFormat="false" ht="15" hidden="false" customHeight="false" outlineLevel="0" collapsed="false">
      <c r="A4517" s="0" t="s">
        <v>867</v>
      </c>
      <c r="B4517" s="0" t="s">
        <v>98</v>
      </c>
      <c r="D4517" s="6" t="n">
        <f aca="false">Sens!D4493</f>
        <v>72.61</v>
      </c>
      <c r="E4517" s="6" t="n">
        <f aca="false">Sens!E4493</f>
        <v>101.938</v>
      </c>
      <c r="F4517" s="6" t="n">
        <f aca="false">Sens!F4493</f>
        <v>140.741861125673</v>
      </c>
      <c r="G4517" s="6" t="n">
        <f aca="false">Sens!G4493</f>
        <v>182.176709135845</v>
      </c>
      <c r="H4517" s="6" t="n">
        <f aca="false">Sens!H4493</f>
        <v>220.080907140169</v>
      </c>
      <c r="I4517" s="6" t="n">
        <f aca="false">Sens!I4493</f>
        <v>261.090358698179</v>
      </c>
      <c r="J4517" s="6" t="n">
        <f aca="false">Sens!J4493</f>
        <v>294.305687740506</v>
      </c>
      <c r="K4517" s="6" t="n">
        <f aca="false">Sens!K4493</f>
        <v>318.986588484784</v>
      </c>
    </row>
    <row r="4518" customFormat="false" ht="17.15" hidden="false" customHeight="false" outlineLevel="0" collapsed="false">
      <c r="A4518" s="0" t="s">
        <v>864</v>
      </c>
      <c r="B4518" s="0" t="s">
        <v>98</v>
      </c>
      <c r="D4518" s="6" t="n">
        <f aca="false">Sens!D4490</f>
        <v>12.9359794422418</v>
      </c>
      <c r="E4518" s="6" t="n">
        <f aca="false">Sens!E4490</f>
        <v>27.8095064661409</v>
      </c>
      <c r="F4518" s="6" t="n">
        <f aca="false">Sens!F4490</f>
        <v>50.6619113883066</v>
      </c>
      <c r="G4518" s="6" t="n">
        <f aca="false">Sens!G4490</f>
        <v>75.1482839325348</v>
      </c>
      <c r="H4518" s="6" t="n">
        <f aca="false">Sens!H4490</f>
        <v>95.8089245545327</v>
      </c>
      <c r="I4518" s="6" t="n">
        <f aca="false">Sens!I4490</f>
        <v>120.156656316324</v>
      </c>
      <c r="J4518" s="6" t="n">
        <f aca="false">Sens!J4490</f>
        <v>138.286820426175</v>
      </c>
      <c r="K4518" s="6" t="n">
        <f aca="false">Sens!K4490</f>
        <v>150.486211785306</v>
      </c>
    </row>
    <row r="4519" customFormat="false" ht="17.15" hidden="false" customHeight="false" outlineLevel="0" collapsed="false">
      <c r="A4519" s="0" t="s">
        <v>892</v>
      </c>
      <c r="B4519" s="0" t="s">
        <v>98</v>
      </c>
      <c r="D4519" s="6" t="n">
        <f aca="false">Sens!D4491</f>
        <v>59.6740205577583</v>
      </c>
      <c r="E4519" s="6" t="n">
        <f aca="false">Sens!E4491</f>
        <v>74.1284935338591</v>
      </c>
      <c r="F4519" s="6" t="n">
        <f aca="false">Sens!F4491</f>
        <v>90.0799497373663</v>
      </c>
      <c r="G4519" s="6" t="n">
        <f aca="false">Sens!G4491</f>
        <v>107.02842520331</v>
      </c>
      <c r="H4519" s="6" t="n">
        <f aca="false">Sens!H4491</f>
        <v>124.271982585636</v>
      </c>
      <c r="I4519" s="6" t="n">
        <f aca="false">Sens!I4491</f>
        <v>140.933702381855</v>
      </c>
      <c r="J4519" s="6" t="n">
        <f aca="false">Sens!J4491</f>
        <v>156.018867314332</v>
      </c>
      <c r="K4519" s="6" t="n">
        <f aca="false">Sens!K4491</f>
        <v>168.500376699478</v>
      </c>
    </row>
    <row r="4520" customFormat="false" ht="15" hidden="false" customHeight="false" outlineLevel="0" collapsed="false">
      <c r="A4520" s="0" t="s">
        <v>873</v>
      </c>
      <c r="B4520" s="0" t="s">
        <v>98</v>
      </c>
      <c r="D4520" s="6" t="n">
        <f aca="false">Sens!D4498</f>
        <v>84.605</v>
      </c>
      <c r="E4520" s="6" t="n">
        <f aca="false">Sens!E4498</f>
        <v>100.299</v>
      </c>
      <c r="F4520" s="6" t="n">
        <f aca="false">Sens!F4498</f>
        <v>117.39238776686</v>
      </c>
      <c r="G4520" s="6" t="n">
        <f aca="false">Sens!G4498</f>
        <v>132.544168448684</v>
      </c>
      <c r="H4520" s="6" t="n">
        <f aca="false">Sens!H4498</f>
        <v>147.777359388781</v>
      </c>
      <c r="I4520" s="6" t="n">
        <f aca="false">Sens!I4498</f>
        <v>162.084028071957</v>
      </c>
      <c r="J4520" s="6" t="n">
        <f aca="false">Sens!J4498</f>
        <v>175.182702785465</v>
      </c>
      <c r="K4520" s="6" t="n">
        <f aca="false">Sens!K4498</f>
        <v>187.527991980448</v>
      </c>
    </row>
    <row r="4521" customFormat="false" ht="17.15" hidden="false" customHeight="false" outlineLevel="0" collapsed="false">
      <c r="A4521" s="0" t="s">
        <v>893</v>
      </c>
      <c r="B4521" s="0" t="s">
        <v>98</v>
      </c>
      <c r="D4521" s="6" t="n">
        <f aca="false">Sens!D4496</f>
        <v>83.705</v>
      </c>
      <c r="E4521" s="6" t="n">
        <f aca="false">Sens!E4496</f>
        <v>95.049</v>
      </c>
      <c r="F4521" s="6" t="n">
        <f aca="false">Sens!F4496</f>
        <v>106.89238776686</v>
      </c>
      <c r="G4521" s="6" t="n">
        <f aca="false">Sens!G4496</f>
        <v>119.044168448684</v>
      </c>
      <c r="H4521" s="6" t="n">
        <f aca="false">Sens!H4496</f>
        <v>131.277359388781</v>
      </c>
      <c r="I4521" s="6" t="n">
        <f aca="false">Sens!I4496</f>
        <v>143.334028071957</v>
      </c>
      <c r="J4521" s="6" t="n">
        <f aca="false">Sens!J4496</f>
        <v>154.932702785465</v>
      </c>
      <c r="K4521" s="6" t="n">
        <f aca="false">Sens!K4496</f>
        <v>165.777991980448</v>
      </c>
    </row>
    <row r="4522" customFormat="false" ht="17.15" hidden="false" customHeight="false" outlineLevel="0" collapsed="false">
      <c r="A4522" s="0" t="s">
        <v>894</v>
      </c>
      <c r="B4522" s="0" t="s">
        <v>98</v>
      </c>
      <c r="D4522" s="6" t="n">
        <f aca="false">Sens!D4495</f>
        <v>0.9</v>
      </c>
      <c r="E4522" s="6" t="n">
        <f aca="false">Sens!E4495</f>
        <v>5.25</v>
      </c>
      <c r="F4522" s="6" t="n">
        <f aca="false">Sens!F4495</f>
        <v>10.5</v>
      </c>
      <c r="G4522" s="6" t="n">
        <f aca="false">Sens!G4495</f>
        <v>13.5</v>
      </c>
      <c r="H4522" s="6" t="n">
        <f aca="false">Sens!H4495</f>
        <v>16.5</v>
      </c>
      <c r="I4522" s="6" t="n">
        <f aca="false">Sens!I4495</f>
        <v>18.75</v>
      </c>
      <c r="J4522" s="6" t="n">
        <f aca="false">Sens!J4495</f>
        <v>20.25</v>
      </c>
      <c r="K4522" s="6" t="n">
        <f aca="false">Sens!K4495</f>
        <v>21.75</v>
      </c>
    </row>
    <row r="4523" customFormat="false" ht="15" hidden="false" customHeight="false" outlineLevel="0" collapsed="false">
      <c r="A4523" s="0" t="s">
        <v>874</v>
      </c>
      <c r="B4523" s="0" t="s">
        <v>98</v>
      </c>
      <c r="D4523" s="6" t="n">
        <f aca="false">Sens!D4499</f>
        <v>35.391</v>
      </c>
      <c r="E4523" s="6" t="n">
        <f aca="false">Sens!E4499</f>
        <v>37.285</v>
      </c>
      <c r="F4523" s="6" t="n">
        <f aca="false">Sens!F4499</f>
        <v>39.0720834331704</v>
      </c>
      <c r="G4523" s="6" t="n">
        <f aca="false">Sens!G4499</f>
        <v>40.726562953769</v>
      </c>
      <c r="H4523" s="6" t="n">
        <f aca="false">Sens!H4499</f>
        <v>42.2235987259198</v>
      </c>
      <c r="I4523" s="6" t="n">
        <f aca="false">Sens!I4499</f>
        <v>43.5397988077414</v>
      </c>
      <c r="J4523" s="6" t="n">
        <f aca="false">Sens!J4499</f>
        <v>44.653811225693</v>
      </c>
      <c r="K4523" s="6" t="n">
        <f aca="false">Sens!K4499</f>
        <v>45.5468874502068</v>
      </c>
    </row>
    <row r="4524" customFormat="false" ht="15" hidden="false" customHeight="false" outlineLevel="0" collapsed="false">
      <c r="A4524" s="0" t="s">
        <v>875</v>
      </c>
      <c r="B4524" s="0" t="s">
        <v>98</v>
      </c>
      <c r="D4524" s="6" t="n">
        <f aca="false">Sens!D4501</f>
        <v>18.417</v>
      </c>
      <c r="E4524" s="6" t="n">
        <f aca="false">Sens!E4501</f>
        <v>20.345</v>
      </c>
      <c r="F4524" s="6" t="n">
        <f aca="false">Sens!F4501</f>
        <v>22.3572203267814</v>
      </c>
      <c r="G4524" s="6" t="n">
        <f aca="false">Sens!G4501</f>
        <v>24.4392124437232</v>
      </c>
      <c r="H4524" s="6" t="n">
        <f aca="false">Sens!H4501</f>
        <v>26.5738052080665</v>
      </c>
      <c r="I4524" s="6" t="n">
        <f aca="false">Sens!I4501</f>
        <v>28.7412169166967</v>
      </c>
      <c r="J4524" s="6" t="n">
        <f aca="false">Sens!J4501</f>
        <v>30.9192545395413</v>
      </c>
      <c r="K4524" s="6" t="n">
        <f aca="false">Sens!K4501</f>
        <v>33.0836023573092</v>
      </c>
    </row>
    <row r="4525" customFormat="false" ht="15" hidden="false" customHeight="false" outlineLevel="0" collapsed="false">
      <c r="A4525" s="0" t="s">
        <v>876</v>
      </c>
      <c r="B4525" s="0" t="s">
        <v>98</v>
      </c>
      <c r="D4525" s="6" t="n">
        <f aca="false">Sens!D4503</f>
        <v>7.76</v>
      </c>
      <c r="E4525" s="6" t="n">
        <f aca="false">Sens!E4503</f>
        <v>8.26</v>
      </c>
      <c r="F4525" s="6" t="n">
        <f aca="false">Sens!F4503</f>
        <v>8.79988041237113</v>
      </c>
      <c r="G4525" s="6" t="n">
        <f aca="false">Sens!G4503</f>
        <v>9.38321269125306</v>
      </c>
      <c r="H4525" s="6" t="n">
        <f aca="false">Sens!H4503</f>
        <v>10.0139193587476</v>
      </c>
      <c r="I4525" s="6" t="n">
        <f aca="false">Sens!I4503</f>
        <v>10.6963111830911</v>
      </c>
      <c r="J4525" s="6" t="n">
        <f aca="false">Sens!J4503</f>
        <v>11.4351285534696</v>
      </c>
      <c r="K4525" s="6" t="n">
        <f aca="false">Sens!K4503</f>
        <v>12.2355875522124</v>
      </c>
    </row>
    <row r="4526" customFormat="false" ht="15" hidden="false" customHeight="false" outlineLevel="0" collapsed="false">
      <c r="A4526" s="0" t="s">
        <v>704</v>
      </c>
      <c r="B4526" s="0" t="s">
        <v>98</v>
      </c>
      <c r="D4526" s="6" t="n">
        <f aca="false">Sens!D4505</f>
        <v>218.783</v>
      </c>
      <c r="E4526" s="6" t="n">
        <f aca="false">Sens!E4505</f>
        <v>268.127</v>
      </c>
      <c r="F4526" s="6" t="n">
        <f aca="false">Sens!F4505</f>
        <v>328.363433064856</v>
      </c>
      <c r="G4526" s="6" t="n">
        <f aca="false">Sens!G4505</f>
        <v>389.269865673274</v>
      </c>
      <c r="H4526" s="6" t="n">
        <f aca="false">Sens!H4505</f>
        <v>446.669589821684</v>
      </c>
      <c r="I4526" s="6" t="n">
        <f aca="false">Sens!I4505</f>
        <v>506.151713677665</v>
      </c>
      <c r="J4526" s="6" t="n">
        <f aca="false">Sens!J4505</f>
        <v>556.496584844676</v>
      </c>
      <c r="K4526" s="6" t="n">
        <f aca="false">Sens!K4505</f>
        <v>597.38065782496</v>
      </c>
    </row>
    <row r="4527" customFormat="false" ht="15" hidden="false" customHeight="false" outlineLevel="0" collapsed="false">
      <c r="A4527" s="0" t="s">
        <v>877</v>
      </c>
      <c r="B4527" s="0" t="s">
        <v>98</v>
      </c>
      <c r="D4527" s="6" t="n">
        <f aca="false">Sens!D4506</f>
        <v>22.171</v>
      </c>
      <c r="E4527" s="6" t="n">
        <f aca="false">Sens!E4506</f>
        <v>24.835</v>
      </c>
      <c r="F4527" s="6" t="n">
        <f aca="false">Sens!F4506</f>
        <v>27.6114901218559</v>
      </c>
      <c r="G4527" s="6" t="n">
        <f aca="false">Sens!G4506</f>
        <v>30.4675667338515</v>
      </c>
      <c r="H4527" s="6" t="n">
        <f aca="false">Sens!H4506</f>
        <v>33.3643766955789</v>
      </c>
      <c r="I4527" s="6" t="n">
        <f aca="false">Sens!I4506</f>
        <v>36.2577016533691</v>
      </c>
      <c r="J4527" s="6" t="n">
        <f aca="false">Sens!J4506</f>
        <v>39.0988367952171</v>
      </c>
      <c r="K4527" s="6" t="n">
        <f aca="false">Sens!K4506</f>
        <v>41.8357553708823</v>
      </c>
    </row>
    <row r="4528" customFormat="false" ht="15" hidden="false" customHeight="false" outlineLevel="0" collapsed="false">
      <c r="A4528" s="0" t="s">
        <v>878</v>
      </c>
      <c r="B4528" s="0" t="s">
        <v>98</v>
      </c>
      <c r="D4528" s="6" t="n">
        <f aca="false">Sens!D4508</f>
        <v>23.455</v>
      </c>
      <c r="E4528" s="6" t="n">
        <f aca="false">Sens!E4508</f>
        <v>21.79</v>
      </c>
      <c r="F4528" s="6" t="n">
        <f aca="false">Sens!F4508</f>
        <v>20.5736277908051</v>
      </c>
      <c r="G4528" s="6" t="n">
        <f aca="false">Sens!G4508</f>
        <v>19.7371452817919</v>
      </c>
      <c r="H4528" s="6" t="n">
        <f aca="false">Sens!H4508</f>
        <v>19.2339764043138</v>
      </c>
      <c r="I4528" s="6" t="n">
        <f aca="false">Sens!I4508</f>
        <v>19.0353086852681</v>
      </c>
      <c r="J4528" s="6" t="n">
        <f aca="false">Sens!J4508</f>
        <v>19.1273539319129</v>
      </c>
      <c r="K4528" s="6" t="n">
        <f aca="false">Sens!K4508</f>
        <v>19.5099010105511</v>
      </c>
    </row>
    <row r="4529" customFormat="false" ht="15" hidden="false" customHeight="false" outlineLevel="0" collapsed="false">
      <c r="A4529" s="0" t="s">
        <v>879</v>
      </c>
      <c r="B4529" s="0" t="s">
        <v>98</v>
      </c>
      <c r="D4529" s="6" t="n">
        <f aca="false">Sens!D4510</f>
        <v>17.315</v>
      </c>
      <c r="E4529" s="6" t="n">
        <f aca="false">Sens!E4510</f>
        <v>17.087</v>
      </c>
      <c r="F4529" s="6" t="n">
        <f aca="false">Sens!F4510</f>
        <v>16.9564585436519</v>
      </c>
      <c r="G4529" s="6" t="n">
        <f aca="false">Sens!G4510</f>
        <v>16.9206490624268</v>
      </c>
      <c r="H4529" s="6" t="n">
        <f aca="false">Sens!H4510</f>
        <v>16.9784519149849</v>
      </c>
      <c r="I4529" s="6" t="n">
        <f aca="false">Sens!I4510</f>
        <v>17.1303084701817</v>
      </c>
      <c r="J4529" s="6" t="n">
        <f aca="false">Sens!J4510</f>
        <v>17.3782189407267</v>
      </c>
      <c r="K4529" s="6" t="n">
        <f aca="false">Sens!K4510</f>
        <v>17.7257833195413</v>
      </c>
    </row>
    <row r="4530" customFormat="false" ht="15" hidden="false" customHeight="false" outlineLevel="0" collapsed="false">
      <c r="A4530" s="0" t="s">
        <v>718</v>
      </c>
      <c r="B4530" s="0" t="s">
        <v>98</v>
      </c>
      <c r="D4530" s="6" t="n">
        <f aca="false">Sens!D4512</f>
        <v>62.941</v>
      </c>
      <c r="E4530" s="6" t="n">
        <f aca="false">Sens!E4512</f>
        <v>63.712</v>
      </c>
      <c r="F4530" s="6" t="n">
        <f aca="false">Sens!F4512</f>
        <v>65.1415764563129</v>
      </c>
      <c r="G4530" s="6" t="n">
        <f aca="false">Sens!G4512</f>
        <v>67.1253610780702</v>
      </c>
      <c r="H4530" s="6" t="n">
        <f aca="false">Sens!H4512</f>
        <v>69.5768050148776</v>
      </c>
      <c r="I4530" s="6" t="n">
        <f aca="false">Sens!I4512</f>
        <v>72.4233188088189</v>
      </c>
      <c r="J4530" s="6" t="n">
        <f aca="false">Sens!J4512</f>
        <v>75.6044096678567</v>
      </c>
      <c r="K4530" s="6" t="n">
        <f aca="false">Sens!K4512</f>
        <v>79.0714397009747</v>
      </c>
    </row>
    <row r="4531" customFormat="false" ht="15" hidden="false" customHeight="false" outlineLevel="0" collapsed="false">
      <c r="A4531" s="1" t="s">
        <v>895</v>
      </c>
      <c r="B4531" s="0" t="s">
        <v>98</v>
      </c>
      <c r="D4531" s="6" t="n">
        <f aca="false">Sens!D4513</f>
        <v>281.724</v>
      </c>
      <c r="E4531" s="6" t="n">
        <f aca="false">Sens!E4513</f>
        <v>331.839</v>
      </c>
      <c r="F4531" s="6" t="n">
        <f aca="false">Sens!F4513</f>
        <v>393.505009521169</v>
      </c>
      <c r="G4531" s="6" t="n">
        <f aca="false">Sens!G4513</f>
        <v>456.395226751344</v>
      </c>
      <c r="H4531" s="6" t="n">
        <f aca="false">Sens!H4513</f>
        <v>516.246394836561</v>
      </c>
      <c r="I4531" s="6" t="n">
        <f aca="false">Sens!I4513</f>
        <v>578.575032486484</v>
      </c>
      <c r="J4531" s="6" t="n">
        <f aca="false">Sens!J4513</f>
        <v>632.100994512532</v>
      </c>
      <c r="K4531" s="6" t="n">
        <f aca="false">Sens!K4513</f>
        <v>676.452097525935</v>
      </c>
    </row>
    <row r="4532" customFormat="false" ht="15" hidden="false" customHeight="false" outlineLevel="0" collapsed="false">
      <c r="A4532" s="1" t="s">
        <v>896</v>
      </c>
      <c r="B4532" s="0" t="s">
        <v>129</v>
      </c>
      <c r="E4532" s="7" t="n">
        <f aca="false">Sens!E4531/Sens!D4531-1</f>
        <v>0.177886867998467</v>
      </c>
      <c r="F4532" s="7" t="n">
        <f aca="false">Sens!F4531/Sens!E4531-1</f>
        <v>0.185831109427067</v>
      </c>
      <c r="G4532" s="7" t="n">
        <f aca="false">Sens!G4531/Sens!F4531-1</f>
        <v>0.159820626697237</v>
      </c>
      <c r="H4532" s="7" t="n">
        <f aca="false">Sens!H4531/Sens!G4531-1</f>
        <v>0.131138900183603</v>
      </c>
      <c r="I4532" s="7" t="n">
        <f aca="false">Sens!I4531/Sens!H4531-1</f>
        <v>0.120734281678917</v>
      </c>
      <c r="J4532" s="7" t="n">
        <f aca="false">Sens!J4531/Sens!I4531-1</f>
        <v>0.092513432174933</v>
      </c>
      <c r="K4532" s="7" t="n">
        <f aca="false">Sens!K4531/Sens!J4531-1</f>
        <v>0.0701645835055291</v>
      </c>
    </row>
    <row r="4533" customFormat="false" ht="17.15" hidden="false" customHeight="false" outlineLevel="0" collapsed="false">
      <c r="A4533" s="23" t="s">
        <v>897</v>
      </c>
      <c r="B4533" s="30" t="s">
        <v>98</v>
      </c>
      <c r="C4533" s="30"/>
      <c r="D4533" s="24" t="n">
        <f aca="false">(Sens!D4526+Sens!D4530-Sens!D4531)+(Sens!D4518+Sens!D4519-Sens!D4517)+(Sens!D4521+Sens!D4522-Sens!D4520)+(Sens!D4531-Q!L18)</f>
        <v>0</v>
      </c>
      <c r="E4533" s="24" t="n">
        <f aca="false">(Sens!E4526+Sens!E4530-Sens!E4531)+(Sens!E4518+Sens!E4519-Sens!E4517)+(Sens!E4521+Sens!E4522-Sens!E4520)+(Sens!E4531-Q!M18)</f>
        <v>0</v>
      </c>
      <c r="F4533" s="24" t="n">
        <f aca="false">(Sens!F4526+Sens!F4530-Sens!F4531)+(Sens!F4518+Sens!F4519-Sens!F4517)+(Sens!F4521+Sens!F4522-Sens!F4520)</f>
        <v>0</v>
      </c>
      <c r="G4533" s="24" t="n">
        <f aca="false">(Sens!G4526+Sens!G4530-Sens!G4531)+(Sens!G4518+Sens!G4519-Sens!G4517)+(Sens!G4521+Sens!G4522-Sens!G4520)</f>
        <v>0</v>
      </c>
      <c r="H4533" s="24" t="n">
        <f aca="false">(Sens!H4526+Sens!H4530-Sens!H4531)+(Sens!H4518+Sens!H4519-Sens!H4517)+(Sens!H4521+Sens!H4522-Sens!H4520)</f>
        <v>0</v>
      </c>
      <c r="I4533" s="24" t="n">
        <f aca="false">(Sens!I4526+Sens!I4530-Sens!I4531)+(Sens!I4518+Sens!I4519-Sens!I4517)+(Sens!I4521+Sens!I4522-Sens!I4520)</f>
        <v>0</v>
      </c>
      <c r="J4533" s="24" t="n">
        <f aca="false">(Sens!J4526+Sens!J4530-Sens!J4531)+(Sens!J4518+Sens!J4519-Sens!J4517)+(Sens!J4521+Sens!J4522-Sens!J4520)</f>
        <v>0</v>
      </c>
      <c r="K4533" s="24" t="n">
        <f aca="false">(Sens!K4526+Sens!K4530-Sens!K4531)+(Sens!K4518+Sens!K4519-Sens!K4517)+(Sens!K4521+Sens!K4522-Sens!K4520)</f>
        <v>0</v>
      </c>
    </row>
    <row r="4534" customFormat="false" ht="17.15" hidden="false" customHeight="false" outlineLevel="0" collapsed="false">
      <c r="A4534" s="0" t="s">
        <v>898</v>
      </c>
      <c r="B4534" s="0" t="s">
        <v>129</v>
      </c>
      <c r="E4534" s="7" t="n">
        <f aca="false">(Q!M21+Sens!E4471+Sens!E4472+Sens!E4473+Sens!E4486-Sens!E4469)/(Q!M5-Sens!E4469)</f>
        <v>0.583491251973566</v>
      </c>
      <c r="F4534" s="7" t="n">
        <f aca="false">Sens!$E$4534+dm_seg</f>
        <v>0.583491251973566</v>
      </c>
      <c r="G4534" s="7" t="n">
        <f aca="false">Sens!$E$4534+dm_seg</f>
        <v>0.583491251973566</v>
      </c>
      <c r="H4534" s="7" t="n">
        <f aca="false">Sens!$E$4534+dm_seg</f>
        <v>0.583491251973566</v>
      </c>
      <c r="I4534" s="7" t="n">
        <f aca="false">Sens!$E$4534+dm_seg</f>
        <v>0.583491251973566</v>
      </c>
      <c r="J4534" s="7" t="n">
        <f aca="false">Sens!$E$4534+dm_seg</f>
        <v>0.583491251973566</v>
      </c>
      <c r="K4534" s="7" t="n">
        <f aca="false">Sens!$E$4534+dm_seg</f>
        <v>0.583491251973566</v>
      </c>
      <c r="L4534" s="11" t="s">
        <v>899</v>
      </c>
    </row>
    <row r="4535" customFormat="false" ht="17.15" hidden="false" customHeight="false" outlineLevel="0" collapsed="false">
      <c r="A4535" s="0" t="s">
        <v>732</v>
      </c>
      <c r="B4535" s="0" t="s">
        <v>98</v>
      </c>
      <c r="D4535" s="6" t="n">
        <f aca="false">Q!L21</f>
        <v>110.814</v>
      </c>
      <c r="E4535" s="6" t="n">
        <f aca="false">Q!M21</f>
        <v>136.365</v>
      </c>
      <c r="F4535" s="6" t="n">
        <f aca="false">Sens!F4534*(Sens!F4505-Sens!F4469)+Sens!F4469-(Sens!F4471+Sens!F4472+Sens!F4473)-Sens!F4486</f>
        <v>149.346319043003</v>
      </c>
      <c r="G4535" s="6" t="n">
        <f aca="false">Sens!G4534*(Sens!G4505-Sens!G4469)+Sens!G4469-(Sens!G4471+Sens!G4472+Sens!G4473)-Sens!G4486</f>
        <v>152.911265246535</v>
      </c>
      <c r="H4535" s="6" t="n">
        <f aca="false">Sens!H4534*(Sens!H4505-Sens!H4469)+Sens!H4469-(Sens!H4471+Sens!H4472+Sens!H4473)-Sens!H4486</f>
        <v>150.546555156175</v>
      </c>
      <c r="I4535" s="6" t="n">
        <f aca="false">Sens!I4534*(Sens!I4505-Sens!I4469)+Sens!I4469-(Sens!I4471+Sens!I4472+Sens!I4473)-Sens!I4486</f>
        <v>155.628548953053</v>
      </c>
      <c r="J4535" s="6" t="n">
        <f aca="false">Sens!J4534*(Sens!J4505-Sens!J4469)+Sens!J4469-(Sens!J4471+Sens!J4472+Sens!J4473)-Sens!J4486</f>
        <v>163.794013224432</v>
      </c>
      <c r="K4535" s="6" t="n">
        <f aca="false">Sens!K4534*(Sens!K4505-Sens!K4469)+Sens!K4469-(Sens!K4471+Sens!K4472+Sens!K4473)-Sens!K4486</f>
        <v>177.249182718035</v>
      </c>
      <c r="L4535" s="1" t="s">
        <v>900</v>
      </c>
    </row>
    <row r="4536" customFormat="false" ht="17.15" hidden="false" customHeight="false" outlineLevel="0" collapsed="false">
      <c r="A4536" s="0" t="s">
        <v>901</v>
      </c>
      <c r="B4536" s="0" t="s">
        <v>129</v>
      </c>
      <c r="E4536" s="7" t="n">
        <f aca="false">Q!M22/Q!M12</f>
        <v>0.296207935710698</v>
      </c>
      <c r="F4536" s="7" t="n">
        <f aca="false">Sens!$E$4536+dm_seg</f>
        <v>0.296207935710698</v>
      </c>
      <c r="G4536" s="7" t="n">
        <f aca="false">Sens!$E$4536+dm_seg</f>
        <v>0.296207935710698</v>
      </c>
      <c r="H4536" s="7" t="n">
        <f aca="false">Sens!$E$4536+dm_seg</f>
        <v>0.296207935710698</v>
      </c>
      <c r="I4536" s="7" t="n">
        <f aca="false">Sens!$E$4536+dm_seg</f>
        <v>0.296207935710698</v>
      </c>
      <c r="J4536" s="7" t="n">
        <f aca="false">Sens!$E$4536+dm_seg</f>
        <v>0.296207935710698</v>
      </c>
      <c r="K4536" s="7" t="n">
        <f aca="false">Sens!$E$4536+dm_seg</f>
        <v>0.296207935710698</v>
      </c>
      <c r="L4536" s="11" t="s">
        <v>902</v>
      </c>
    </row>
    <row r="4537" customFormat="false" ht="17.15" hidden="false" customHeight="false" outlineLevel="0" collapsed="false">
      <c r="A4537" s="0" t="s">
        <v>734</v>
      </c>
      <c r="B4537" s="0" t="s">
        <v>98</v>
      </c>
      <c r="D4537" s="6" t="n">
        <f aca="false">Q!L22</f>
        <v>17.714</v>
      </c>
      <c r="E4537" s="6" t="n">
        <f aca="false">Q!M22</f>
        <v>18.872</v>
      </c>
      <c r="F4537" s="6" t="n">
        <f aca="false">Sens!F4512*Sens!F4536</f>
        <v>19.2954518910651</v>
      </c>
      <c r="G4537" s="6" t="n">
        <f aca="false">Sens!G4512*Sens!G4536</f>
        <v>19.8830646387704</v>
      </c>
      <c r="H4537" s="6" t="n">
        <f aca="false">Sens!H4512*Sens!H4536</f>
        <v>20.6092017868026</v>
      </c>
      <c r="I4537" s="6" t="n">
        <f aca="false">Sens!I4512*Sens!I4536</f>
        <v>21.452361761678</v>
      </c>
      <c r="J4537" s="6" t="n">
        <f aca="false">Sens!J4512*Sens!J4536</f>
        <v>22.3946261183418</v>
      </c>
      <c r="K4537" s="6" t="n">
        <f aca="false">Sens!K4512*Sens!K4536</f>
        <v>23.4215879274986</v>
      </c>
    </row>
    <row r="4538" customFormat="false" ht="15" hidden="false" customHeight="false" outlineLevel="0" collapsed="false">
      <c r="A4538" s="1" t="s">
        <v>903</v>
      </c>
      <c r="B4538" s="0" t="s">
        <v>98</v>
      </c>
      <c r="D4538" s="6" t="n">
        <f aca="false">Sens!D4535+Sens!D4537</f>
        <v>128.528</v>
      </c>
      <c r="E4538" s="6" t="n">
        <f aca="false">Sens!E4535+Sens!E4537</f>
        <v>155.237</v>
      </c>
      <c r="F4538" s="6" t="n">
        <f aca="false">Sens!F4535+Sens!F4537</f>
        <v>168.641770934068</v>
      </c>
      <c r="G4538" s="6" t="n">
        <f aca="false">Sens!G4535+Sens!G4537</f>
        <v>172.794329885306</v>
      </c>
      <c r="H4538" s="6" t="n">
        <f aca="false">Sens!H4535+Sens!H4537</f>
        <v>171.155756942978</v>
      </c>
      <c r="I4538" s="6" t="n">
        <f aca="false">Sens!I4535+Sens!I4537</f>
        <v>177.080910714731</v>
      </c>
      <c r="J4538" s="6" t="n">
        <f aca="false">Sens!J4535+Sens!J4537</f>
        <v>186.188639342774</v>
      </c>
      <c r="K4538" s="6" t="n">
        <f aca="false">Sens!K4535+Sens!K4537</f>
        <v>200.670770645534</v>
      </c>
    </row>
    <row r="4539" customFormat="false" ht="15" hidden="false" customHeight="false" outlineLevel="0" collapsed="false">
      <c r="A4539" s="23" t="s">
        <v>904</v>
      </c>
      <c r="B4539" s="30" t="s">
        <v>98</v>
      </c>
      <c r="C4539" s="30"/>
      <c r="D4539" s="24" t="n">
        <f aca="false">Sens!D4538-Q!L23</f>
        <v>0</v>
      </c>
      <c r="E4539" s="24" t="n">
        <f aca="false">Sens!E4538-Q!M23</f>
        <v>0</v>
      </c>
      <c r="F4539" s="30"/>
      <c r="G4539" s="30"/>
      <c r="H4539" s="30"/>
      <c r="I4539" s="30"/>
      <c r="J4539" s="30"/>
      <c r="K4539" s="30"/>
    </row>
    <row r="4540" customFormat="false" ht="15" hidden="false" customHeight="false" outlineLevel="0" collapsed="false">
      <c r="A4540" s="1" t="s">
        <v>905</v>
      </c>
      <c r="B4540" s="0" t="s">
        <v>129</v>
      </c>
      <c r="D4540" s="7" t="n">
        <f aca="false">Sens!D4538/Sens!D4531</f>
        <v>0.456219562408598</v>
      </c>
      <c r="E4540" s="7" t="n">
        <f aca="false">Sens!E4538/Sens!E4531</f>
        <v>0.467808184089272</v>
      </c>
      <c r="F4540" s="7" t="n">
        <f aca="false">Sens!F4538/Sens!F4531</f>
        <v>0.428563212293732</v>
      </c>
      <c r="G4540" s="7" t="n">
        <f aca="false">Sens!G4538/Sens!G4531</f>
        <v>0.378606785866866</v>
      </c>
      <c r="H4540" s="7" t="n">
        <f aca="false">Sens!H4538/Sens!H4531</f>
        <v>0.331538890450101</v>
      </c>
      <c r="I4540" s="7" t="n">
        <f aca="false">Sens!I4538/Sens!I4531</f>
        <v>0.306063865137264</v>
      </c>
      <c r="J4540" s="7" t="n">
        <f aca="false">Sens!J4538/Sens!J4531</f>
        <v>0.294555207093703</v>
      </c>
      <c r="K4540" s="7" t="n">
        <f aca="false">Sens!K4538/Sens!K4531</f>
        <v>0.296651856619959</v>
      </c>
    </row>
    <row r="4541" customFormat="false" ht="17.15" hidden="false" customHeight="false" outlineLevel="0" collapsed="false">
      <c r="A4541" s="1" t="s">
        <v>906</v>
      </c>
      <c r="B4541" s="0" t="s">
        <v>98</v>
      </c>
      <c r="F4541" s="6" t="n">
        <f aca="false">Sens!F4556</f>
        <v>20.6606485308743</v>
      </c>
      <c r="G4541" s="6" t="n">
        <f aca="false">Sens!G4556</f>
        <v>37.5360498580786</v>
      </c>
      <c r="H4541" s="6" t="n">
        <f aca="false">Sens!H4556</f>
        <v>56.3932304860212</v>
      </c>
      <c r="I4541" s="6" t="n">
        <f aca="false">Sens!I4556</f>
        <v>73.1664750964417</v>
      </c>
      <c r="J4541" s="6" t="n">
        <f aca="false">Sens!J4556</f>
        <v>85.7049967471385</v>
      </c>
      <c r="K4541" s="6" t="n">
        <f aca="false">Sens!K4556</f>
        <v>93.7562461967117</v>
      </c>
      <c r="L4541" s="1" t="s">
        <v>907</v>
      </c>
    </row>
    <row r="4542" customFormat="false" ht="17.15" hidden="false" customHeight="false" outlineLevel="0" collapsed="false">
      <c r="A4542" s="1" t="s">
        <v>908</v>
      </c>
      <c r="B4542" s="0" t="s">
        <v>98</v>
      </c>
      <c r="D4542" s="6" t="n">
        <f aca="false">Sens!D4538</f>
        <v>128.528</v>
      </c>
      <c r="E4542" s="6" t="n">
        <f aca="false">Sens!E4538</f>
        <v>155.237</v>
      </c>
      <c r="F4542" s="6" t="n">
        <f aca="false">Sens!F4538+Sens!F4541</f>
        <v>189.302419464942</v>
      </c>
      <c r="G4542" s="6" t="n">
        <f aca="false">Sens!G4538+Sens!G4541</f>
        <v>210.330379743384</v>
      </c>
      <c r="H4542" s="6" t="n">
        <f aca="false">Sens!H4538+Sens!H4541</f>
        <v>227.548987428999</v>
      </c>
      <c r="I4542" s="6" t="n">
        <f aca="false">Sens!I4538+Sens!I4541</f>
        <v>250.247385811173</v>
      </c>
      <c r="J4542" s="6" t="n">
        <f aca="false">Sens!J4538+Sens!J4541</f>
        <v>271.893636089913</v>
      </c>
      <c r="K4542" s="6" t="n">
        <f aca="false">Sens!K4538+Sens!K4541</f>
        <v>294.427016842246</v>
      </c>
    </row>
    <row r="4543" customFormat="false" ht="17.15" hidden="false" customHeight="false" outlineLevel="0" collapsed="false">
      <c r="A4543" s="1" t="s">
        <v>909</v>
      </c>
      <c r="B4543" s="0" t="s">
        <v>98</v>
      </c>
      <c r="E4543" s="6" t="n">
        <f aca="false">Sens!E4486</f>
        <v>19.3175216725</v>
      </c>
      <c r="F4543" s="6" t="n">
        <f aca="false">Sens!F4486</f>
        <v>41.2145045270438</v>
      </c>
      <c r="G4543" s="6" t="n">
        <f aca="false">Sens!G4486</f>
        <v>71.8417957524075</v>
      </c>
      <c r="H4543" s="6" t="n">
        <f aca="false">Sens!H4486</f>
        <v>104.976827867268</v>
      </c>
      <c r="I4543" s="6" t="n">
        <f aca="false">Sens!I4486</f>
        <v>134.963481198565</v>
      </c>
      <c r="J4543" s="6" t="n">
        <f aca="false">Sens!J4486</f>
        <v>156.963860902299</v>
      </c>
      <c r="K4543" s="6" t="n">
        <f aca="false">Sens!K4486</f>
        <v>168.664094165931</v>
      </c>
    </row>
    <row r="4544" customFormat="false" ht="17.15" hidden="false" customHeight="false" outlineLevel="0" collapsed="false">
      <c r="A4544" s="1" t="s">
        <v>910</v>
      </c>
      <c r="B4544" s="0" t="s">
        <v>98</v>
      </c>
      <c r="E4544" s="6" t="n">
        <f aca="false">Sens!E4568</f>
        <v>19.2164783275</v>
      </c>
      <c r="F4544" s="6" t="n">
        <f aca="false">Sens!F4568</f>
        <v>20.8377652177062</v>
      </c>
      <c r="G4544" s="6" t="n">
        <f aca="false">Sens!G4568</f>
        <v>22.8242780529745</v>
      </c>
      <c r="H4544" s="6" t="n">
        <f aca="false">Sens!H4568</f>
        <v>25.1480016120861</v>
      </c>
      <c r="I4544" s="6" t="n">
        <f aca="false">Sens!I4568</f>
        <v>27.7555414820418</v>
      </c>
      <c r="J4544" s="6" t="n">
        <f aca="false">Sens!J4568</f>
        <v>30.575578658875</v>
      </c>
      <c r="K4544" s="6" t="n">
        <f aca="false">Sens!K4568</f>
        <v>33.5273910671869</v>
      </c>
    </row>
    <row r="4545" customFormat="false" ht="17.15" hidden="false" customHeight="false" outlineLevel="0" collapsed="false">
      <c r="A4545" s="1" t="s">
        <v>911</v>
      </c>
      <c r="B4545" s="0" t="s">
        <v>98</v>
      </c>
      <c r="D4545" s="6" t="n">
        <f aca="false">Q!L27</f>
        <v>-4.901</v>
      </c>
      <c r="E4545" s="6" t="n">
        <f aca="false">Q!M27</f>
        <v>10.697</v>
      </c>
      <c r="F4545" s="6" t="n">
        <f aca="false">oie_f</f>
        <v>-0.4</v>
      </c>
      <c r="G4545" s="6" t="n">
        <f aca="false">oie_f</f>
        <v>-0.4</v>
      </c>
      <c r="H4545" s="6" t="n">
        <f aca="false">oie_f</f>
        <v>-0.4</v>
      </c>
      <c r="I4545" s="6" t="n">
        <f aca="false">oie_f</f>
        <v>-0.4</v>
      </c>
      <c r="J4545" s="6" t="n">
        <f aca="false">oie_f</f>
        <v>-0.4</v>
      </c>
      <c r="K4545" s="6" t="n">
        <f aca="false">oie_f</f>
        <v>-0.4</v>
      </c>
      <c r="L4545" s="11" t="s">
        <v>912</v>
      </c>
    </row>
    <row r="4546" customFormat="false" ht="15" hidden="false" customHeight="false" outlineLevel="0" collapsed="false">
      <c r="A4546" s="1" t="s">
        <v>913</v>
      </c>
      <c r="B4546" s="0" t="s">
        <v>98</v>
      </c>
      <c r="D4546" s="6" t="n">
        <f aca="false">Sens!D4538+Sens!D4545</f>
        <v>123.627</v>
      </c>
      <c r="E4546" s="6" t="n">
        <f aca="false">Sens!E4538+Sens!E4545</f>
        <v>165.934</v>
      </c>
      <c r="F4546" s="6" t="n">
        <f aca="false">Sens!F4538+Sens!F4545</f>
        <v>168.241770934068</v>
      </c>
      <c r="G4546" s="6" t="n">
        <f aca="false">Sens!G4538+Sens!G4545</f>
        <v>172.394329885306</v>
      </c>
      <c r="H4546" s="6" t="n">
        <f aca="false">Sens!H4538+Sens!H4545</f>
        <v>170.755756942978</v>
      </c>
      <c r="I4546" s="6" t="n">
        <f aca="false">Sens!I4538+Sens!I4545</f>
        <v>176.680910714731</v>
      </c>
      <c r="J4546" s="6" t="n">
        <f aca="false">Sens!J4538+Sens!J4545</f>
        <v>185.788639342774</v>
      </c>
      <c r="K4546" s="6" t="n">
        <f aca="false">Sens!K4538+Sens!K4545</f>
        <v>200.270770645534</v>
      </c>
    </row>
    <row r="4547" customFormat="false" ht="15" hidden="false" customHeight="false" outlineLevel="0" collapsed="false">
      <c r="A4547" s="1" t="s">
        <v>914</v>
      </c>
      <c r="B4547" s="0" t="s">
        <v>98</v>
      </c>
      <c r="D4547" s="6" t="n">
        <f aca="false">Q!L29</f>
        <v>21.795</v>
      </c>
      <c r="E4547" s="6" t="n">
        <f aca="false">Q!M29</f>
        <v>32.185</v>
      </c>
      <c r="F4547" s="6" t="n">
        <f aca="false">Sens!F4546*tax_f</f>
        <v>33.6483541868135</v>
      </c>
      <c r="G4547" s="6" t="n">
        <f aca="false">Sens!G4546*tax_f</f>
        <v>34.4788659770612</v>
      </c>
      <c r="H4547" s="6" t="n">
        <f aca="false">Sens!H4546*tax_f</f>
        <v>34.1511513885956</v>
      </c>
      <c r="I4547" s="6" t="n">
        <f aca="false">Sens!I4546*tax_f</f>
        <v>35.3361821429463</v>
      </c>
      <c r="J4547" s="6" t="n">
        <f aca="false">Sens!J4546*tax_f</f>
        <v>37.1577278685548</v>
      </c>
      <c r="K4547" s="6" t="n">
        <f aca="false">Sens!K4546*tax_f</f>
        <v>40.0541541291068</v>
      </c>
    </row>
    <row r="4548" customFormat="false" ht="15" hidden="false" customHeight="false" outlineLevel="0" collapsed="false">
      <c r="A4548" s="1" t="s">
        <v>915</v>
      </c>
      <c r="B4548" s="0" t="s">
        <v>98</v>
      </c>
      <c r="D4548" s="6" t="n">
        <f aca="false">Sens!D4546-Sens!D4547</f>
        <v>101.832</v>
      </c>
      <c r="E4548" s="6" t="n">
        <f aca="false">Sens!E4546-Sens!E4547</f>
        <v>133.749</v>
      </c>
      <c r="F4548" s="6" t="n">
        <f aca="false">Sens!F4546-Sens!F4547</f>
        <v>134.593416747254</v>
      </c>
      <c r="G4548" s="6" t="n">
        <f aca="false">Sens!G4546-Sens!G4547</f>
        <v>137.915463908245</v>
      </c>
      <c r="H4548" s="6" t="n">
        <f aca="false">Sens!H4546-Sens!H4547</f>
        <v>136.604605554382</v>
      </c>
      <c r="I4548" s="6" t="n">
        <f aca="false">Sens!I4546-Sens!I4547</f>
        <v>141.344728571785</v>
      </c>
      <c r="J4548" s="6" t="n">
        <f aca="false">Sens!J4546-Sens!J4547</f>
        <v>148.630911474219</v>
      </c>
      <c r="K4548" s="6" t="n">
        <f aca="false">Sens!K4546-Sens!K4547</f>
        <v>160.216616516427</v>
      </c>
    </row>
    <row r="4549" customFormat="false" ht="17.15" hidden="false" customHeight="false" outlineLevel="0" collapsed="false">
      <c r="A4549" s="1" t="s">
        <v>916</v>
      </c>
      <c r="B4549" s="1" t="s">
        <v>81</v>
      </c>
      <c r="D4549" s="14" t="n">
        <f aca="false">Q!L31</f>
        <v>7.465</v>
      </c>
      <c r="E4549" s="14" t="n">
        <f aca="false">Q!M31</f>
        <v>7.453</v>
      </c>
      <c r="F4549" s="14" t="n">
        <f aca="false">Sens!F4590</f>
        <v>7.4735</v>
      </c>
      <c r="G4549" s="14" t="n">
        <f aca="false">Sens!G4590</f>
        <v>7.5185</v>
      </c>
      <c r="H4549" s="14" t="n">
        <f aca="false">Sens!H4590</f>
        <v>7.5635</v>
      </c>
      <c r="I4549" s="14" t="n">
        <f aca="false">Sens!I4590</f>
        <v>7.59252924615736</v>
      </c>
      <c r="J4549" s="14" t="n">
        <f aca="false">Sens!J4590</f>
        <v>7.60677075727524</v>
      </c>
      <c r="K4549" s="14" t="n">
        <f aca="false">Sens!K4590</f>
        <v>7.62329067497699</v>
      </c>
    </row>
    <row r="4550" customFormat="false" ht="17.15" hidden="false" customHeight="false" outlineLevel="0" collapsed="false">
      <c r="A4550" s="0" t="s">
        <v>917</v>
      </c>
      <c r="B4550" s="0" t="s">
        <v>75</v>
      </c>
      <c r="D4550" s="8" t="n">
        <f aca="false">Sens!D4548/Sens!D4549</f>
        <v>13.641259209645</v>
      </c>
      <c r="E4550" s="8" t="n">
        <f aca="false">Sens!E4548/Sens!E4549</f>
        <v>17.9456594659869</v>
      </c>
      <c r="F4550" s="8" t="n">
        <f aca="false">Sens!F4548/Sens!F4549</f>
        <v>18.0094221913767</v>
      </c>
      <c r="G4550" s="8" t="n">
        <f aca="false">Sens!G4548/Sens!G4549</f>
        <v>18.3434812673066</v>
      </c>
      <c r="H4550" s="8" t="n">
        <f aca="false">Sens!H4548/Sens!H4549</f>
        <v>18.0610306808201</v>
      </c>
      <c r="I4550" s="8" t="n">
        <f aca="false">Sens!I4548/Sens!I4549</f>
        <v>18.6162903018544</v>
      </c>
      <c r="J4550" s="8" t="n">
        <f aca="false">Sens!J4548/Sens!J4549</f>
        <v>19.5392915360393</v>
      </c>
      <c r="K4550" s="8" t="n">
        <f aca="false">Sens!K4548/Sens!K4549</f>
        <v>21.0167266797695</v>
      </c>
      <c r="L4550" s="1" t="s">
        <v>918</v>
      </c>
    </row>
    <row r="4551" customFormat="false" ht="17.15" hidden="false" customHeight="false" outlineLevel="0" collapsed="false">
      <c r="A4551" s="1" t="s">
        <v>919</v>
      </c>
      <c r="B4551" s="0" t="s">
        <v>98</v>
      </c>
      <c r="D4551" s="6" t="n">
        <f aca="false">Sens!D4548</f>
        <v>101.832</v>
      </c>
      <c r="E4551" s="6" t="n">
        <f aca="false">Sens!E4548</f>
        <v>133.749</v>
      </c>
      <c r="F4551" s="6" t="n">
        <f aca="false">Sens!F4548+Sens!F4541*(1-tax_f)</f>
        <v>151.121935571953</v>
      </c>
      <c r="G4551" s="6" t="n">
        <f aca="false">Sens!G4548+Sens!G4541*(1-tax_f)</f>
        <v>167.944303794707</v>
      </c>
      <c r="H4551" s="6" t="n">
        <f aca="false">Sens!H4548+Sens!H4541*(1-tax_f)</f>
        <v>181.719189943199</v>
      </c>
      <c r="I4551" s="6" t="n">
        <f aca="false">Sens!I4548+Sens!I4541*(1-tax_f)</f>
        <v>199.877908648939</v>
      </c>
      <c r="J4551" s="6" t="n">
        <f aca="false">Sens!J4548+Sens!J4541*(1-tax_f)</f>
        <v>217.19490887193</v>
      </c>
      <c r="K4551" s="6" t="n">
        <f aca="false">Sens!K4548+Sens!K4541*(1-tax_f)</f>
        <v>235.221613473797</v>
      </c>
    </row>
    <row r="4552" customFormat="false" ht="17.15" hidden="false" customHeight="false" outlineLevel="0" collapsed="false">
      <c r="A4552" s="0" t="s">
        <v>920</v>
      </c>
      <c r="B4552" s="0" t="s">
        <v>75</v>
      </c>
      <c r="D4552" s="8" t="n">
        <f aca="false">Sens!D4551/Sens!D4549</f>
        <v>13.641259209645</v>
      </c>
      <c r="E4552" s="8" t="n">
        <f aca="false">Sens!E4551/Sens!E4549</f>
        <v>17.9456594659869</v>
      </c>
      <c r="F4552" s="8" t="n">
        <f aca="false">Sens!F4551/Sens!F4549</f>
        <v>20.2210390810134</v>
      </c>
      <c r="G4552" s="8" t="n">
        <f aca="false">Sens!G4551/Sens!G4549</f>
        <v>22.3374747349481</v>
      </c>
      <c r="H4552" s="8" t="n">
        <f aca="false">Sens!H4551/Sens!H4549</f>
        <v>24.0258068279499</v>
      </c>
      <c r="I4552" s="8" t="n">
        <f aca="false">Sens!I4551/Sens!I4549</f>
        <v>26.3256027298279</v>
      </c>
      <c r="J4552" s="8" t="n">
        <f aca="false">Sens!J4551/Sens!J4549</f>
        <v>28.5528400687245</v>
      </c>
      <c r="K4552" s="8" t="n">
        <f aca="false">Sens!K4551/Sens!K4549</f>
        <v>30.8556532215016</v>
      </c>
      <c r="L4552" s="1" t="s">
        <v>921</v>
      </c>
    </row>
    <row r="4553" customFormat="false" ht="17.15" hidden="false" customHeight="false" outlineLevel="0" collapsed="false">
      <c r="A4553" s="0" t="s">
        <v>922</v>
      </c>
      <c r="B4553" s="0" t="s">
        <v>129</v>
      </c>
      <c r="E4553" s="7" t="n">
        <f aca="false">Sens!E4552/Sens!D4552-1</f>
        <v>0.315542736208578</v>
      </c>
      <c r="F4553" s="7" t="n">
        <f aca="false">Sens!F4552/Sens!E4552-1</f>
        <v>0.126792755615314</v>
      </c>
      <c r="G4553" s="7" t="n">
        <f aca="false">Sens!G4552/Sens!F4552-1</f>
        <v>0.104665029598899</v>
      </c>
      <c r="H4553" s="7" t="n">
        <f aca="false">Sens!H4552/Sens!G4552-1</f>
        <v>0.0755829435974844</v>
      </c>
      <c r="I4553" s="7" t="n">
        <f aca="false">Sens!I4552/Sens!H4552-1</f>
        <v>0.0957219009686932</v>
      </c>
      <c r="J4553" s="7" t="n">
        <f aca="false">Sens!J4552/Sens!I4552-1</f>
        <v>0.084603469928269</v>
      </c>
      <c r="K4553" s="7" t="n">
        <f aca="false">Sens!K4552/Sens!J4552-1</f>
        <v>0.0806509316493356</v>
      </c>
    </row>
    <row r="4554" customFormat="false" ht="17.15" hidden="false" customHeight="false" outlineLevel="0" collapsed="false">
      <c r="A4554" s="0" t="s">
        <v>846</v>
      </c>
      <c r="B4554" s="0" t="s">
        <v>98</v>
      </c>
      <c r="E4554" s="6" t="n">
        <f aca="false">Sens!E4495</f>
        <v>5.25</v>
      </c>
      <c r="F4554" s="6" t="n">
        <f aca="false">Sens!F4495</f>
        <v>10.5</v>
      </c>
      <c r="G4554" s="6" t="n">
        <f aca="false">Sens!G4495</f>
        <v>13.5</v>
      </c>
      <c r="H4554" s="6" t="n">
        <f aca="false">Sens!H4495</f>
        <v>16.5</v>
      </c>
      <c r="I4554" s="6" t="n">
        <f aca="false">Sens!I4495</f>
        <v>18.75</v>
      </c>
      <c r="J4554" s="6" t="n">
        <f aca="false">Sens!J4495</f>
        <v>20.25</v>
      </c>
      <c r="K4554" s="6" t="n">
        <f aca="false">Sens!K4495</f>
        <v>21.75</v>
      </c>
    </row>
    <row r="4555" customFormat="false" ht="17.15" hidden="false" customHeight="false" outlineLevel="0" collapsed="false">
      <c r="A4555" s="1" t="s">
        <v>847</v>
      </c>
      <c r="B4555" s="0" t="s">
        <v>98</v>
      </c>
      <c r="F4555" s="6" t="n">
        <f aca="false">MAX(0,(Sens!E4458+Sens!F4458)/2*Sens!F4466/1000-Sens!F4554*Sens!F4534)</f>
        <v>20.6606485308743</v>
      </c>
      <c r="G4555" s="6" t="n">
        <f aca="false">MAX(0,(Sens!F4458+Sens!G4458)/2*Sens!G4466/1000-Sens!G4554*Sens!G4534)</f>
        <v>37.5360498580786</v>
      </c>
      <c r="H4555" s="6" t="n">
        <f aca="false">MAX(0,(Sens!G4458+Sens!H4458)/2*Sens!H4466/1000-Sens!H4554*Sens!H4534)</f>
        <v>56.3932304860212</v>
      </c>
      <c r="I4555" s="6" t="n">
        <f aca="false">MAX(0,(Sens!H4458+Sens!I4458)/2*Sens!I4466/1000-Sens!I4554*Sens!I4534)</f>
        <v>73.1664750964417</v>
      </c>
      <c r="J4555" s="6" t="n">
        <f aca="false">MAX(0,(Sens!I4458+Sens!J4458)/2*Sens!J4466/1000-Sens!J4554*Sens!J4534)</f>
        <v>85.7049967471385</v>
      </c>
      <c r="K4555" s="6" t="n">
        <f aca="false">MAX(0,(Sens!J4458+Sens!K4458)/2*Sens!K4466/1000-Sens!K4554*Sens!K4534)</f>
        <v>93.7562461967117</v>
      </c>
      <c r="L4555" s="1" t="s">
        <v>848</v>
      </c>
    </row>
    <row r="4556" customFormat="false" ht="17.15" hidden="false" customHeight="false" outlineLevel="0" collapsed="false">
      <c r="A4556" s="1" t="s">
        <v>849</v>
      </c>
      <c r="B4556" s="0" t="s">
        <v>98</v>
      </c>
      <c r="F4556" s="6" t="n">
        <f aca="false">IF(internal_ai_reading=2,1,0)*Sens!F4555</f>
        <v>20.6606485308743</v>
      </c>
      <c r="G4556" s="6" t="n">
        <f aca="false">IF(internal_ai_reading=2,1,0)*Sens!G4555</f>
        <v>37.5360498580786</v>
      </c>
      <c r="H4556" s="6" t="n">
        <f aca="false">IF(internal_ai_reading=2,1,0)*Sens!H4555</f>
        <v>56.3932304860212</v>
      </c>
      <c r="I4556" s="6" t="n">
        <f aca="false">IF(internal_ai_reading=2,1,0)*Sens!I4555</f>
        <v>73.1664750964417</v>
      </c>
      <c r="J4556" s="6" t="n">
        <f aca="false">IF(internal_ai_reading=2,1,0)*Sens!J4555</f>
        <v>85.7049967471385</v>
      </c>
      <c r="K4556" s="6" t="n">
        <f aca="false">IF(internal_ai_reading=2,1,0)*Sens!K4555</f>
        <v>93.7562461967117</v>
      </c>
    </row>
    <row r="4557" customFormat="false" ht="17.15" hidden="false" customHeight="false" outlineLevel="0" collapsed="false">
      <c r="A4557" s="0" t="s">
        <v>850</v>
      </c>
      <c r="B4557" s="0" t="s">
        <v>98</v>
      </c>
      <c r="F4557" s="6" t="n">
        <f aca="false">Sens!F4475+Sens!F4554*Sens!F4534+Sens!F4556-Sens!F4476-Sens!F4486</f>
        <v>14.0972171615851</v>
      </c>
      <c r="G4557" s="6" t="n">
        <f aca="false">Sens!G4475+Sens!G4554*Sens!G4534+Sens!G4556-Sens!G4476-Sens!G4486</f>
        <v>15.0372520044362</v>
      </c>
      <c r="H4557" s="6" t="n">
        <f aca="false">Sens!H4475+Sens!H4554*Sens!H4534+Sens!H4556-Sens!H4476-Sens!H4486</f>
        <v>11.8432624547522</v>
      </c>
      <c r="I4557" s="6" t="n">
        <f aca="false">Sens!I4475+Sens!I4554*Sens!I4534+Sens!I4556-Sens!I4476-Sens!I4486</f>
        <v>14.5107457486222</v>
      </c>
      <c r="J4557" s="6" t="n">
        <f aca="false">Sens!J4475+Sens!J4554*Sens!J4534+Sens!J4556-Sens!J4476-Sens!J4486</f>
        <v>17.2929687959145</v>
      </c>
      <c r="K4557" s="6" t="n">
        <f aca="false">Sens!K4475+Sens!K4554*Sens!K4534+Sens!K4556-Sens!K4476-Sens!K4486</f>
        <v>22.9373638254609</v>
      </c>
    </row>
    <row r="4558" customFormat="false" ht="17.15" hidden="false" customHeight="false" outlineLevel="0" collapsed="false">
      <c r="A4558" s="0" t="s">
        <v>851</v>
      </c>
      <c r="B4558" s="0" t="s">
        <v>98</v>
      </c>
      <c r="E4558" s="6" t="n">
        <f aca="false">Sens!E4457*(cxit_open+self_build*tk_cxfac)/1000*ai_net_open</f>
        <v>126.6980382</v>
      </c>
      <c r="F4558" s="6" t="n">
        <f aca="false">Sens!E4558+Sens!F4483-Sens!F4486</f>
        <v>254.254186443394</v>
      </c>
      <c r="G4558" s="6" t="n">
        <f aca="false">Sens!F4558+Sens!G4483-Sens!G4486</f>
        <v>365.986571174186</v>
      </c>
      <c r="H4558" s="6" t="n">
        <f aca="false">Sens!G4558+Sens!H4483-Sens!H4486</f>
        <v>479.348704563985</v>
      </c>
      <c r="I4558" s="6" t="n">
        <f aca="false">Sens!H4558+Sens!I4483-Sens!I4486</f>
        <v>523.529992186332</v>
      </c>
      <c r="J4558" s="6" t="n">
        <f aca="false">Sens!I4558+Sens!J4483-Sens!J4486</f>
        <v>536.15785902879</v>
      </c>
      <c r="K4558" s="6" t="n">
        <f aca="false">Sens!J4558+Sens!K4483-Sens!K4486</f>
        <v>535.016842249862</v>
      </c>
      <c r="L4558" s="1" t="s">
        <v>852</v>
      </c>
    </row>
    <row r="4559" customFormat="false" ht="17.15" hidden="false" customHeight="false" outlineLevel="0" collapsed="false">
      <c r="A4559" s="0" t="s">
        <v>853</v>
      </c>
      <c r="B4559" s="0" t="s">
        <v>129</v>
      </c>
      <c r="F4559" s="7" t="n">
        <f aca="false">Sens!F4557*(1-tax_f)/((Sens!E4558+Sens!F4558)/2)</f>
        <v>0.0592083363724946</v>
      </c>
      <c r="G4559" s="7" t="n">
        <f aca="false">Sens!G4557*(1-tax_f)/((Sens!F4558+Sens!G4558)/2)</f>
        <v>0.0387907484498662</v>
      </c>
      <c r="H4559" s="7" t="n">
        <f aca="false">Sens!H4557*(1-tax_f)/((Sens!G4558+Sens!H4558)/2)</f>
        <v>0.0224162181225153</v>
      </c>
      <c r="I4559" s="7" t="n">
        <f aca="false">Sens!I4557*(1-tax_f)/((Sens!H4558+Sens!I4558)/2)</f>
        <v>0.0231505497853604</v>
      </c>
      <c r="J4559" s="7" t="n">
        <f aca="false">Sens!J4557*(1-tax_f)/((Sens!I4558+Sens!J4558)/2)</f>
        <v>0.0261102833648004</v>
      </c>
      <c r="K4559" s="7" t="n">
        <f aca="false">Sens!K4557*(1-tax_f)/((Sens!J4558+Sens!K4558)/2)</f>
        <v>0.0342612480269831</v>
      </c>
    </row>
    <row r="4560" customFormat="false" ht="17.15" hidden="false" customHeight="false" outlineLevel="0" collapsed="false">
      <c r="A4560" s="1" t="s">
        <v>854</v>
      </c>
      <c r="B4560" s="0" t="s">
        <v>129</v>
      </c>
      <c r="F4560" s="7" t="n">
        <f aca="false">(Sens!F4557-Sens!F4556)*(1-tax_f)/((Sens!E4558+Sens!F4558)/2)</f>
        <v>-0.0275664230618236</v>
      </c>
      <c r="G4560" s="7" t="n">
        <f aca="false">(Sens!G4557-Sens!G4556)*(1-tax_f)/((Sens!F4558+Sens!G4558)/2)</f>
        <v>-0.0580388762326758</v>
      </c>
      <c r="H4560" s="7" t="n">
        <f aca="false">(Sens!H4557-Sens!H4556)*(1-tax_f)/((Sens!G4558+Sens!H4558)/2)</f>
        <v>-0.0843215122991131</v>
      </c>
      <c r="I4560" s="7" t="n">
        <f aca="false">(Sens!I4557-Sens!I4556)*(1-tax_f)/((Sens!H4558+Sens!I4558)/2)</f>
        <v>-0.0935797791503756</v>
      </c>
      <c r="J4560" s="7" t="n">
        <f aca="false">(Sens!J4557-Sens!J4556)*(1-tax_f)/((Sens!I4558+Sens!J4558)/2)</f>
        <v>-0.103293856390298</v>
      </c>
      <c r="K4560" s="7" t="n">
        <f aca="false">(Sens!K4557-Sens!K4556)*(1-tax_f)/((Sens!J4558+Sens!K4558)/2)</f>
        <v>-0.105781262065603</v>
      </c>
    </row>
    <row r="4561" customFormat="false" ht="17.15" hidden="false" customHeight="false" outlineLevel="0" collapsed="false">
      <c r="A4561" s="1" t="s">
        <v>855</v>
      </c>
      <c r="B4561" s="0" t="s">
        <v>129</v>
      </c>
      <c r="F4561" s="7" t="n">
        <f aca="false">(Sens!F4557-Sens!F4556+Sens!F4555)*(1-tax_f)/((Sens!E4558+Sens!F4558)/2)</f>
        <v>0.0592083363724946</v>
      </c>
      <c r="G4561" s="7" t="n">
        <f aca="false">(Sens!G4557-Sens!G4556+Sens!G4555)*(1-tax_f)/((Sens!F4558+Sens!G4558)/2)</f>
        <v>0.0387907484498662</v>
      </c>
      <c r="H4561" s="7" t="n">
        <f aca="false">(Sens!H4557-Sens!H4556+Sens!H4555)*(1-tax_f)/((Sens!G4558+Sens!H4558)/2)</f>
        <v>0.0224162181225153</v>
      </c>
      <c r="I4561" s="7" t="n">
        <f aca="false">(Sens!I4557-Sens!I4556+Sens!I4555)*(1-tax_f)/((Sens!H4558+Sens!I4558)/2)</f>
        <v>0.0231505497853604</v>
      </c>
      <c r="J4561" s="7" t="n">
        <f aca="false">(Sens!J4557-Sens!J4556+Sens!J4555)*(1-tax_f)/((Sens!I4558+Sens!J4558)/2)</f>
        <v>0.0261102833648004</v>
      </c>
      <c r="K4561" s="7" t="n">
        <f aca="false">(Sens!K4557-Sens!K4556+Sens!K4555)*(1-tax_f)/((Sens!J4558+Sens!K4558)/2)</f>
        <v>0.0342612480269831</v>
      </c>
    </row>
    <row r="4562" customFormat="false" ht="17.15" hidden="false" customHeight="false" outlineLevel="0" collapsed="false">
      <c r="A4562" s="1" t="s">
        <v>856</v>
      </c>
      <c r="B4562" s="0" t="s">
        <v>129</v>
      </c>
      <c r="F4562" s="7" t="n">
        <f aca="false">Sens!F4487*(1-tax_f)/(Sens!F4474*(Sens!E4558+Sens!F4558)/2)</f>
        <v>0.072300529589919</v>
      </c>
      <c r="G4562" s="7" t="n">
        <f aca="false">Sens!G4487*(1-tax_f)/(Sens!G4474*(Sens!F4558+Sens!G4558)/2)</f>
        <v>0.0393198699376944</v>
      </c>
      <c r="H4562" s="7" t="n">
        <f aca="false">Sens!H4487*(1-tax_f)/(Sens!H4474*(Sens!G4558+Sens!H4558)/2)</f>
        <v>0.00986966062913144</v>
      </c>
      <c r="I4562" s="7" t="n">
        <f aca="false">Sens!I4487*(1-tax_f)/(Sens!I4474*(Sens!H4558+Sens!I4558)/2)</f>
        <v>0.00961661623312851</v>
      </c>
      <c r="J4562" s="7" t="n">
        <f aca="false">Sens!J4487*(1-tax_f)/(Sens!J4474*(Sens!I4558+Sens!J4558)/2)</f>
        <v>0.0112983125061679</v>
      </c>
      <c r="K4562" s="7" t="n">
        <f aca="false">Sens!K4487*(1-tax_f)/(Sens!K4474*(Sens!J4558+Sens!K4558)/2)</f>
        <v>0.0184227862346714</v>
      </c>
    </row>
    <row r="4563" customFormat="false" ht="17.15" hidden="false" customHeight="false" outlineLevel="0" collapsed="false">
      <c r="A4563" s="0" t="s">
        <v>857</v>
      </c>
      <c r="B4563" s="0" t="s">
        <v>209</v>
      </c>
      <c r="F4563" s="7" t="n">
        <f aca="false">Sens!F4559-wacc</f>
        <v>-0.0437260837203811</v>
      </c>
      <c r="G4563" s="7" t="n">
        <f aca="false">Sens!G4559-wacc</f>
        <v>-0.0641436716430096</v>
      </c>
      <c r="H4563" s="7" t="n">
        <f aca="false">Sens!H4559-wacc</f>
        <v>-0.0805182019703604</v>
      </c>
      <c r="I4563" s="7" t="n">
        <f aca="false">Sens!I4559-wacc</f>
        <v>-0.0797838703075153</v>
      </c>
      <c r="J4563" s="7" t="n">
        <f aca="false">Sens!J4559-wacc</f>
        <v>-0.0768241367280754</v>
      </c>
      <c r="K4563" s="7" t="n">
        <f aca="false">Sens!K4559-wacc</f>
        <v>-0.0686731720658927</v>
      </c>
    </row>
    <row r="4564" customFormat="false" ht="17.15" hidden="false" customHeight="false" outlineLevel="0" collapsed="false">
      <c r="A4564" s="0" t="s">
        <v>858</v>
      </c>
      <c r="B4564" s="0" t="s">
        <v>98</v>
      </c>
      <c r="F4564" s="6" t="n">
        <f aca="false">Sens!F4557*(1-tax_f)-wacc*(Sens!E4558+Sens!F4558)/2</f>
        <v>-8.32877443411124</v>
      </c>
      <c r="G4564" s="6" t="n">
        <f aca="false">Sens!G4557*(1-tax_f)-wacc*(Sens!F4558+Sens!G4558)/2</f>
        <v>-19.8922597481168</v>
      </c>
      <c r="H4564" s="6" t="n">
        <f aca="false">Sens!H4557*(1-tax_f)-wacc*(Sens!G4558+Sens!H4558)/2</f>
        <v>-34.0324382322782</v>
      </c>
      <c r="I4564" s="6" t="n">
        <f aca="false">Sens!I4557*(1-tax_f)-wacc*(Sens!H4558+Sens!I4558)/2</f>
        <v>-40.0067719378487</v>
      </c>
      <c r="J4564" s="6" t="n">
        <f aca="false">Sens!J4557*(1-tax_f)-wacc*(Sens!I4558+Sens!J4558)/2</f>
        <v>-40.7048021854155</v>
      </c>
      <c r="K4564" s="6" t="n">
        <f aca="false">Sens!K4557*(1-tax_f)-wacc*(Sens!J4558+Sens!K4558)/2</f>
        <v>-36.78048228677</v>
      </c>
    </row>
    <row r="4565" customFormat="false" ht="17.15" hidden="false" customHeight="false" outlineLevel="0" collapsed="false">
      <c r="A4565" s="3" t="s">
        <v>1352</v>
      </c>
    </row>
    <row r="4566" customFormat="false" ht="15" hidden="false" customHeight="false" outlineLevel="0" collapsed="false">
      <c r="A4566" s="4" t="s">
        <v>43</v>
      </c>
      <c r="B4566" s="4" t="s">
        <v>65</v>
      </c>
      <c r="C4566" s="20" t="s">
        <v>788</v>
      </c>
      <c r="D4566" s="20" t="s">
        <v>789</v>
      </c>
      <c r="E4566" s="20" t="s">
        <v>790</v>
      </c>
      <c r="F4566" s="20" t="s">
        <v>791</v>
      </c>
      <c r="G4566" s="20" t="s">
        <v>792</v>
      </c>
      <c r="H4566" s="20" t="s">
        <v>793</v>
      </c>
      <c r="I4566" s="20" t="s">
        <v>794</v>
      </c>
      <c r="J4566" s="20" t="s">
        <v>795</v>
      </c>
      <c r="K4566" s="20" t="s">
        <v>796</v>
      </c>
      <c r="L4566" s="4" t="s">
        <v>47</v>
      </c>
    </row>
    <row r="4567" customFormat="false" ht="15" hidden="false" customHeight="false" outlineLevel="0" collapsed="false">
      <c r="A4567" s="1" t="s">
        <v>915</v>
      </c>
      <c r="B4567" s="0" t="s">
        <v>98</v>
      </c>
      <c r="F4567" s="6" t="n">
        <f aca="false">Sens!F4548</f>
        <v>134.593416747254</v>
      </c>
      <c r="G4567" s="6" t="n">
        <f aca="false">Sens!G4548</f>
        <v>137.915463908245</v>
      </c>
      <c r="H4567" s="6" t="n">
        <f aca="false">Sens!H4548</f>
        <v>136.604605554382</v>
      </c>
      <c r="I4567" s="6" t="n">
        <f aca="false">Sens!I4548</f>
        <v>141.344728571785</v>
      </c>
      <c r="J4567" s="6" t="n">
        <f aca="false">Sens!J4548</f>
        <v>148.630911474219</v>
      </c>
      <c r="K4567" s="6" t="n">
        <f aca="false">Sens!K4548</f>
        <v>160.216616516427</v>
      </c>
    </row>
    <row r="4568" customFormat="false" ht="17.15" hidden="false" customHeight="false" outlineLevel="0" collapsed="false">
      <c r="A4568" s="1" t="s">
        <v>937</v>
      </c>
      <c r="B4568" s="0" t="s">
        <v>98</v>
      </c>
      <c r="E4568" s="6" t="n">
        <f aca="false">Q!M38-Sens!E4486</f>
        <v>19.2164783275</v>
      </c>
      <c r="F4568" s="6" t="n">
        <f aca="false">Sens!E4568*(1-1/life_nonai)+Sens!F4574/life_nonai</f>
        <v>20.8377652177062</v>
      </c>
      <c r="G4568" s="6" t="n">
        <f aca="false">Sens!F4568*(1-1/life_nonai)+Sens!G4574/life_nonai</f>
        <v>22.8242780529745</v>
      </c>
      <c r="H4568" s="6" t="n">
        <f aca="false">Sens!G4568*(1-1/life_nonai)+Sens!H4574/life_nonai</f>
        <v>25.1480016120861</v>
      </c>
      <c r="I4568" s="6" t="n">
        <f aca="false">Sens!H4568*(1-1/life_nonai)+Sens!I4574/life_nonai</f>
        <v>27.7555414820418</v>
      </c>
      <c r="J4568" s="6" t="n">
        <f aca="false">Sens!I4568*(1-1/life_nonai)+Sens!J4574/life_nonai</f>
        <v>30.575578658875</v>
      </c>
      <c r="K4568" s="6" t="n">
        <f aca="false">Sens!J4568*(1-1/life_nonai)+Sens!K4574/life_nonai</f>
        <v>33.5273910671869</v>
      </c>
      <c r="L4568" s="11" t="s">
        <v>938</v>
      </c>
    </row>
    <row r="4569" customFormat="false" ht="17.15" hidden="false" customHeight="false" outlineLevel="0" collapsed="false">
      <c r="A4569" s="1" t="s">
        <v>939</v>
      </c>
      <c r="B4569" s="0" t="s">
        <v>98</v>
      </c>
      <c r="E4569" s="6" t="n">
        <f aca="false">Sens!E4486+Sens!E4568</f>
        <v>38.534</v>
      </c>
      <c r="F4569" s="6" t="n">
        <f aca="false">Sens!F4486+Sens!F4568</f>
        <v>62.05226974475</v>
      </c>
      <c r="G4569" s="6" t="n">
        <f aca="false">Sens!G4486+Sens!G4568</f>
        <v>94.6660738053821</v>
      </c>
      <c r="H4569" s="6" t="n">
        <f aca="false">Sens!H4486+Sens!H4568</f>
        <v>130.124829479354</v>
      </c>
      <c r="I4569" s="6" t="n">
        <f aca="false">Sens!I4486+Sens!I4568</f>
        <v>162.719022680607</v>
      </c>
      <c r="J4569" s="6" t="n">
        <f aca="false">Sens!J4486+Sens!J4568</f>
        <v>187.539439561174</v>
      </c>
      <c r="K4569" s="6" t="n">
        <f aca="false">Sens!K4486+Sens!K4568</f>
        <v>202.191485233118</v>
      </c>
    </row>
    <row r="4570" customFormat="false" ht="17.15" hidden="false" customHeight="false" outlineLevel="0" collapsed="false">
      <c r="A4570" s="1" t="s">
        <v>940</v>
      </c>
      <c r="B4570" s="0" t="s">
        <v>98</v>
      </c>
      <c r="F4570" s="6" t="n">
        <f aca="false">Sens!F4513*sbc_r</f>
        <v>14.7102349124428</v>
      </c>
      <c r="G4570" s="6" t="n">
        <f aca="false">Sens!G4513*sbc_r</f>
        <v>17.061233875013</v>
      </c>
      <c r="H4570" s="6" t="n">
        <f aca="false">Sens!H4513*sbc_r</f>
        <v>19.2986253211574</v>
      </c>
      <c r="I4570" s="6" t="n">
        <f aca="false">Sens!I4513*sbc_r</f>
        <v>21.6286309866979</v>
      </c>
      <c r="J4570" s="6" t="n">
        <f aca="false">Sens!J4513*sbc_r</f>
        <v>23.6295698725224</v>
      </c>
      <c r="K4570" s="6" t="n">
        <f aca="false">Sens!K4513*sbc_r</f>
        <v>25.2875288010427</v>
      </c>
    </row>
    <row r="4571" customFormat="false" ht="17.15" hidden="false" customHeight="false" outlineLevel="0" collapsed="false">
      <c r="A4571" s="1" t="s">
        <v>941</v>
      </c>
      <c r="B4571" s="0" t="s">
        <v>98</v>
      </c>
      <c r="F4571" s="6" t="n">
        <f aca="false">wc27</f>
        <v>-4.895</v>
      </c>
      <c r="G4571" s="6" t="n">
        <f aca="false">wc_f</f>
        <v>0</v>
      </c>
      <c r="H4571" s="6" t="n">
        <f aca="false">wc_f</f>
        <v>0</v>
      </c>
      <c r="I4571" s="6" t="n">
        <f aca="false">wc_f</f>
        <v>0</v>
      </c>
      <c r="J4571" s="6" t="n">
        <f aca="false">wc_f</f>
        <v>0</v>
      </c>
      <c r="K4571" s="6" t="n">
        <f aca="false">wc_f</f>
        <v>0</v>
      </c>
      <c r="L4571" s="11" t="s">
        <v>942</v>
      </c>
    </row>
    <row r="4572" customFormat="false" ht="15" hidden="false" customHeight="false" outlineLevel="0" collapsed="false">
      <c r="A4572" s="1" t="s">
        <v>756</v>
      </c>
      <c r="B4572" s="0" t="s">
        <v>98</v>
      </c>
      <c r="E4572" s="6" t="n">
        <f aca="false">Q!M35</f>
        <v>182.935</v>
      </c>
      <c r="F4572" s="6" t="n">
        <f aca="false">Sens!F4567+Sens!F4569+Sens!F4570+Sens!F4571</f>
        <v>206.460921404447</v>
      </c>
      <c r="G4572" s="6" t="n">
        <f aca="false">Sens!G4567+Sens!G4569+Sens!G4570+Sens!G4571</f>
        <v>249.64277158864</v>
      </c>
      <c r="H4572" s="6" t="n">
        <f aca="false">Sens!H4567+Sens!H4569+Sens!H4570+Sens!H4571</f>
        <v>286.028060354893</v>
      </c>
      <c r="I4572" s="6" t="n">
        <f aca="false">Sens!I4567+Sens!I4569+Sens!I4570+Sens!I4571</f>
        <v>325.69238223909</v>
      </c>
      <c r="J4572" s="6" t="n">
        <f aca="false">Sens!J4567+Sens!J4569+Sens!J4570+Sens!J4571</f>
        <v>359.799920907916</v>
      </c>
      <c r="K4572" s="6" t="n">
        <f aca="false">Sens!K4567+Sens!K4569+Sens!K4570+Sens!K4571</f>
        <v>387.695630550588</v>
      </c>
    </row>
    <row r="4573" customFormat="false" ht="17.15" hidden="false" customHeight="false" outlineLevel="0" collapsed="false">
      <c r="A4573" s="0" t="s">
        <v>943</v>
      </c>
      <c r="B4573" s="0" t="s">
        <v>98</v>
      </c>
      <c r="F4573" s="6" t="n">
        <f aca="false">Sens!F4483</f>
        <v>168.770652770438</v>
      </c>
      <c r="G4573" s="6" t="n">
        <f aca="false">Sens!G4483</f>
        <v>183.5741804832</v>
      </c>
      <c r="H4573" s="6" t="n">
        <f aca="false">Sens!H4483</f>
        <v>218.338961257067</v>
      </c>
      <c r="I4573" s="6" t="n">
        <f aca="false">Sens!I4483</f>
        <v>179.144768820912</v>
      </c>
      <c r="J4573" s="6" t="n">
        <f aca="false">Sens!J4483</f>
        <v>169.591727744757</v>
      </c>
      <c r="K4573" s="6" t="n">
        <f aca="false">Sens!K4483</f>
        <v>167.523077387003</v>
      </c>
    </row>
    <row r="4574" customFormat="false" ht="17.15" hidden="false" customHeight="false" outlineLevel="0" collapsed="false">
      <c r="A4574" s="1" t="s">
        <v>944</v>
      </c>
      <c r="B4574" s="0" t="s">
        <v>98</v>
      </c>
      <c r="E4574" s="6" t="n">
        <f aca="false">Sens!E4491*cx_azo+Sens!E4498*cx_m365+Sens!E4499*cx_lic+(Sens!E4501+Sens!E4503)*cx_ind+Sens!E4506*cx_srch+(Sens!E4508+Sens!E4510)*cx_dev</f>
        <v>30.1846587067718</v>
      </c>
      <c r="F4574" s="6" t="n">
        <f aca="false">Sens!F4491*cx_azo+Sens!F4498*cx_m365+Sens!F4499*cx_lic+(Sens!F4501+Sens!F4503)*cx_ind+Sens!F4506*cx_srch+(Sens!F4508+Sens!F4510)*cx_dev</f>
        <v>35.4293472295625</v>
      </c>
      <c r="G4574" s="6" t="n">
        <f aca="false">Sens!G4491*cx_azo+Sens!G4498*cx_m365+Sens!G4499*cx_lic+(Sens!G4501+Sens!G4503)*cx_ind+Sens!G4506*cx_srch+(Sens!G4508+Sens!G4510)*cx_dev</f>
        <v>40.7028935703892</v>
      </c>
      <c r="H4574" s="6" t="n">
        <f aca="false">Sens!H4491*cx_azo+Sens!H4498*cx_m365+Sens!H4499*cx_lic+(Sens!H4501+Sens!H4503)*cx_ind+Sens!H4506*cx_srch+(Sens!H4508+Sens!H4510)*cx_dev</f>
        <v>46.0615136440897</v>
      </c>
      <c r="I4574" s="6" t="n">
        <f aca="false">Sens!I4491*cx_azo+Sens!I4498*cx_m365+Sens!I4499*cx_lic+(Sens!I4501+Sens!I4503)*cx_ind+Sens!I4506*cx_srch+(Sens!I4508+Sens!I4510)*cx_dev</f>
        <v>51.2234003116439</v>
      </c>
      <c r="J4574" s="6" t="n">
        <f aca="false">Sens!J4491*cx_azo+Sens!J4498*cx_m365+Sens!J4499*cx_lic+(Sens!J4501+Sens!J4503)*cx_ind+Sens!J4506*cx_srch+(Sens!J4508+Sens!J4510)*cx_dev</f>
        <v>55.9559132503738</v>
      </c>
      <c r="K4574" s="6" t="n">
        <f aca="false">Sens!K4491*cx_azo+Sens!K4498*cx_m365+Sens!K4499*cx_lic+(Sens!K4501+Sens!K4503)*cx_ind+Sens!K4506*cx_srch+(Sens!K4508+Sens!K4510)*cx_dev</f>
        <v>60.093702741994</v>
      </c>
    </row>
    <row r="4575" customFormat="false" ht="17.15" hidden="false" customHeight="false" outlineLevel="0" collapsed="false">
      <c r="A4575" s="1" t="s">
        <v>945</v>
      </c>
      <c r="B4575" s="0" t="s">
        <v>98</v>
      </c>
      <c r="E4575" s="6" t="n">
        <f aca="false">Q!M42</f>
        <v>145.3</v>
      </c>
      <c r="F4575" s="6" t="n">
        <f aca="false">Sens!F4573+Sens!F4574</f>
        <v>204.2</v>
      </c>
      <c r="G4575" s="6" t="n">
        <f aca="false">Sens!G4573+Sens!G4574</f>
        <v>224.277074053589</v>
      </c>
      <c r="H4575" s="6" t="n">
        <f aca="false">Sens!H4573+Sens!H4574</f>
        <v>264.400474901156</v>
      </c>
      <c r="I4575" s="6" t="n">
        <f aca="false">Sens!I4573+Sens!I4574</f>
        <v>230.368169132556</v>
      </c>
      <c r="J4575" s="6" t="n">
        <f aca="false">Sens!J4573+Sens!J4574</f>
        <v>225.547640995131</v>
      </c>
      <c r="K4575" s="6" t="n">
        <f aca="false">Sens!K4573+Sens!K4574</f>
        <v>227.616780128997</v>
      </c>
      <c r="L4575" s="1" t="s">
        <v>946</v>
      </c>
    </row>
    <row r="4576" customFormat="false" ht="15" hidden="false" customHeight="false" outlineLevel="0" collapsed="false">
      <c r="A4576" s="1" t="s">
        <v>947</v>
      </c>
      <c r="B4576" s="0" t="s">
        <v>98</v>
      </c>
      <c r="E4576" s="6" t="n">
        <f aca="false">fl_liab</f>
        <v>66.594</v>
      </c>
      <c r="F4576" s="6" t="n">
        <f aca="false">Sens!E4576-Sens!F4577</f>
        <v>62.46973</v>
      </c>
      <c r="G4576" s="6" t="n">
        <f aca="false">Sens!F4576-Sens!G4577</f>
        <v>57.98686785</v>
      </c>
      <c r="H4576" s="6" t="n">
        <f aca="false">Sens!G4576-Sens!H4577</f>
        <v>53.92827690325</v>
      </c>
      <c r="I4576" s="6" t="n">
        <f aca="false">Sens!H4576-Sens!I4577</f>
        <v>49.7850493638962</v>
      </c>
      <c r="J4576" s="6" t="n">
        <f aca="false">Sens!I4576-Sens!J4577</f>
        <v>45.4823765852716</v>
      </c>
      <c r="K4576" s="6" t="n">
        <f aca="false">Sens!J4576-Sens!K4577</f>
        <v>40.9860835316088</v>
      </c>
    </row>
    <row r="4577" customFormat="false" ht="15" hidden="false" customHeight="false" outlineLevel="0" collapsed="false">
      <c r="A4577" s="1" t="s">
        <v>948</v>
      </c>
      <c r="B4577" s="0" t="s">
        <v>98</v>
      </c>
      <c r="F4577" s="6" t="n">
        <f aca="false">fl_pay_27-Sens!E4576*fl_rate</f>
        <v>4.12427</v>
      </c>
      <c r="G4577" s="6" t="n">
        <f aca="false">fl_pay_28-Sens!F4576*fl_rate</f>
        <v>4.48286215</v>
      </c>
      <c r="H4577" s="6" t="n">
        <f aca="false">fl_pay_29-Sens!G4576*fl_rate</f>
        <v>4.05859094675</v>
      </c>
      <c r="I4577" s="6" t="n">
        <f aca="false">fl_pay_30-Sens!H4576*fl_rate</f>
        <v>4.14322753935375</v>
      </c>
      <c r="J4577" s="6" t="n">
        <f aca="false">fl_pay_31-Sens!I4576*fl_rate</f>
        <v>4.30267277862467</v>
      </c>
      <c r="K4577" s="6" t="n">
        <f aca="false">fl_pay_32-Sens!J4576*fl_rate</f>
        <v>4.49629305366278</v>
      </c>
    </row>
    <row r="4578" customFormat="false" ht="17.15" hidden="false" customHeight="false" outlineLevel="0" collapsed="false">
      <c r="A4578" s="1" t="s">
        <v>949</v>
      </c>
      <c r="B4578" s="0" t="s">
        <v>98</v>
      </c>
      <c r="E4578" s="6" t="n">
        <f aca="false">Q!M35-Q!M36-Q!M43</f>
        <v>63.886</v>
      </c>
      <c r="F4578" s="6" t="n">
        <f aca="false">Sens!F4572-Sens!F4575-Sens!F4577</f>
        <v>-1.86334859555322</v>
      </c>
      <c r="G4578" s="6" t="n">
        <f aca="false">Sens!G4572-Sens!G4575-Sens!G4577</f>
        <v>20.8828353850503</v>
      </c>
      <c r="H4578" s="6" t="n">
        <f aca="false">Sens!H4572-Sens!H4575-Sens!H4577</f>
        <v>17.5689945069871</v>
      </c>
      <c r="I4578" s="6" t="n">
        <f aca="false">Sens!I4572-Sens!I4575-Sens!I4577</f>
        <v>91.1809855671806</v>
      </c>
      <c r="J4578" s="6" t="n">
        <f aca="false">Sens!J4572-Sens!J4575-Sens!J4577</f>
        <v>129.94960713416</v>
      </c>
      <c r="K4578" s="6" t="n">
        <f aca="false">Sens!K4572-Sens!K4575-Sens!K4577</f>
        <v>155.582557367929</v>
      </c>
      <c r="L4578" s="11" t="s">
        <v>950</v>
      </c>
    </row>
    <row r="4579" customFormat="false" ht="15" hidden="false" customHeight="false" outlineLevel="0" collapsed="false">
      <c r="A4579" s="1" t="s">
        <v>951</v>
      </c>
      <c r="B4579" s="0" t="s">
        <v>75</v>
      </c>
      <c r="F4579" s="8" t="n">
        <f aca="false">dps_27</f>
        <v>3.85</v>
      </c>
      <c r="G4579" s="8" t="n">
        <f aca="false">Sens!F4579*(1+dps_g)</f>
        <v>4.158</v>
      </c>
      <c r="H4579" s="8" t="n">
        <f aca="false">Sens!G4579*(1+dps_g)</f>
        <v>4.49064</v>
      </c>
      <c r="I4579" s="8" t="n">
        <f aca="false">Sens!H4579*(1+dps_g)</f>
        <v>4.8498912</v>
      </c>
      <c r="J4579" s="8" t="n">
        <f aca="false">Sens!I4579*(1+dps_g)</f>
        <v>5.237882496</v>
      </c>
      <c r="K4579" s="8" t="n">
        <f aca="false">Sens!J4579*(1+dps_g)</f>
        <v>5.65691309568</v>
      </c>
    </row>
    <row r="4580" customFormat="false" ht="17.15" hidden="false" customHeight="false" outlineLevel="0" collapsed="false">
      <c r="A4580" s="1" t="s">
        <v>952</v>
      </c>
      <c r="B4580" s="0" t="s">
        <v>98</v>
      </c>
      <c r="E4580" s="6" t="n">
        <f aca="false">Q!M41</f>
        <v>26.445</v>
      </c>
      <c r="F4580" s="6" t="n">
        <f aca="false">Sens!F4579*Sens!E4589</f>
        <v>28.59395</v>
      </c>
      <c r="G4580" s="6" t="n">
        <f aca="false">Sens!G4579*Sens!F4589</f>
        <v>31.068576</v>
      </c>
      <c r="H4580" s="6" t="n">
        <f aca="false">Sens!H4579*Sens!G4589</f>
        <v>33.75614088</v>
      </c>
      <c r="I4580" s="6" t="n">
        <f aca="false">Sens!I4579*Sens!H4589</f>
        <v>36.6748772544</v>
      </c>
      <c r="J4580" s="6" t="n">
        <f aca="false">Sens!J4579*Sens!I4589</f>
        <v>39.6772662830715</v>
      </c>
      <c r="K4580" s="6" t="n">
        <f aca="false">Sens!K4579*Sens!J4589</f>
        <v>42.9387028110222</v>
      </c>
      <c r="L4580" s="1" t="s">
        <v>953</v>
      </c>
    </row>
    <row r="4581" customFormat="false" ht="15" hidden="false" customHeight="false" outlineLevel="0" collapsed="false">
      <c r="A4581" s="1" t="s">
        <v>954</v>
      </c>
      <c r="B4581" s="0" t="s">
        <v>98</v>
      </c>
      <c r="E4581" s="6" t="n">
        <f aca="false">Sens!E4578-Sens!E4580</f>
        <v>37.441</v>
      </c>
      <c r="F4581" s="6" t="n">
        <f aca="false">Sens!F4578-Sens!F4580</f>
        <v>-30.4572985955532</v>
      </c>
      <c r="G4581" s="6" t="n">
        <f aca="false">Sens!G4578-Sens!G4580</f>
        <v>-10.1857406149497</v>
      </c>
      <c r="H4581" s="6" t="n">
        <f aca="false">Sens!H4578-Sens!H4580</f>
        <v>-16.1871463730129</v>
      </c>
      <c r="I4581" s="6" t="n">
        <f aca="false">Sens!I4578-Sens!I4580</f>
        <v>54.5061083127806</v>
      </c>
      <c r="J4581" s="6" t="n">
        <f aca="false">Sens!J4578-Sens!J4580</f>
        <v>90.2723408510886</v>
      </c>
      <c r="K4581" s="6" t="n">
        <f aca="false">Sens!K4578-Sens!K4580</f>
        <v>112.643854556906</v>
      </c>
    </row>
    <row r="4582" customFormat="false" ht="15" hidden="false" customHeight="false" outlineLevel="0" collapsed="false">
      <c r="A4582" s="1" t="s">
        <v>955</v>
      </c>
      <c r="B4582" s="0" t="s">
        <v>98</v>
      </c>
      <c r="F4582" s="6" t="n">
        <f aca="false">debt_mat_27</f>
        <v>9.25</v>
      </c>
      <c r="G4582" s="6" t="n">
        <f aca="false">debt_mat_28</f>
        <v>0</v>
      </c>
      <c r="H4582" s="6" t="n">
        <f aca="false">debt_mat_29</f>
        <v>2.001</v>
      </c>
      <c r="I4582" s="6" t="n">
        <f aca="false">debt_mat_30</f>
        <v>0</v>
      </c>
      <c r="J4582" s="6" t="n">
        <f aca="false">debt_mat_31</f>
        <v>0.5</v>
      </c>
      <c r="K4582" s="6" t="n">
        <f aca="false">debt_mat_32</f>
        <v>0</v>
      </c>
    </row>
    <row r="4583" customFormat="false" ht="15" hidden="false" customHeight="false" outlineLevel="0" collapsed="false">
      <c r="A4583" s="1" t="s">
        <v>956</v>
      </c>
      <c r="B4583" s="0" t="s">
        <v>98</v>
      </c>
      <c r="E4583" s="6" t="n">
        <f aca="false">Q!M40</f>
        <v>22.271</v>
      </c>
      <c r="F4583" s="6" t="n">
        <f aca="false">MAX(0,MIN(bb_target,Sens!E4585+Sens!F4581-Sens!F4582-min_cash))</f>
        <v>0</v>
      </c>
      <c r="G4583" s="6" t="n">
        <f aca="false">MAX(0,MIN(bb_target,Sens!F4585+Sens!G4581-Sens!G4582-min_cash))</f>
        <v>0</v>
      </c>
      <c r="H4583" s="6" t="n">
        <f aca="false">MAX(0,MIN(bb_target,Sens!G4585+Sens!H4581-Sens!H4582-min_cash))</f>
        <v>0</v>
      </c>
      <c r="I4583" s="6" t="n">
        <f aca="false">MAX(0,MIN(bb_target,Sens!H4585+Sens!I4581-Sens!I4582-min_cash))</f>
        <v>22.271</v>
      </c>
      <c r="J4583" s="6" t="n">
        <f aca="false">MAX(0,MIN(bb_target,Sens!I4585+Sens!J4581-Sens!J4582-min_cash))</f>
        <v>22.271</v>
      </c>
      <c r="K4583" s="6" t="n">
        <f aca="false">MAX(0,MIN(bb_target,Sens!J4585+Sens!K4581-Sens!K4582-min_cash))</f>
        <v>22.271</v>
      </c>
    </row>
    <row r="4584" customFormat="false" ht="15" hidden="false" customHeight="false" outlineLevel="0" collapsed="false">
      <c r="A4584" s="1" t="s">
        <v>957</v>
      </c>
      <c r="B4584" s="0" t="s">
        <v>98</v>
      </c>
      <c r="F4584" s="6" t="n">
        <f aca="false">MAX(0,min_cash-(Sens!E4585+Sens!F4581-Sens!F4582-Sens!F4583))</f>
        <v>12.8642985955532</v>
      </c>
      <c r="G4584" s="6" t="n">
        <f aca="false">MAX(0,min_cash-(Sens!F4585+Sens!G4581-Sens!G4582-Sens!G4583))</f>
        <v>10.1857406149497</v>
      </c>
      <c r="H4584" s="6" t="n">
        <f aca="false">MAX(0,min_cash-(Sens!G4585+Sens!H4581-Sens!H4582-Sens!H4583))</f>
        <v>18.1881463730129</v>
      </c>
      <c r="I4584" s="6" t="n">
        <f aca="false">MAX(0,min_cash-(Sens!H4585+Sens!I4581-Sens!I4582-Sens!I4583))</f>
        <v>0</v>
      </c>
      <c r="J4584" s="6" t="n">
        <f aca="false">MAX(0,min_cash-(Sens!I4585+Sens!J4581-Sens!J4582-Sens!J4583))</f>
        <v>0</v>
      </c>
      <c r="K4584" s="6" t="n">
        <f aca="false">MAX(0,min_cash-(Sens!J4585+Sens!K4581-Sens!K4582-Sens!K4583))</f>
        <v>0</v>
      </c>
    </row>
    <row r="4585" customFormat="false" ht="15" hidden="false" customHeight="false" outlineLevel="0" collapsed="false">
      <c r="A4585" s="1" t="s">
        <v>958</v>
      </c>
      <c r="B4585" s="0" t="s">
        <v>98</v>
      </c>
      <c r="E4585" s="6" t="n">
        <f aca="false">cash_open</f>
        <v>76.843</v>
      </c>
      <c r="F4585" s="6" t="n">
        <f aca="false">Sens!E4585+Sens!F4581-Sens!F4582-Sens!F4583+Sens!F4584</f>
        <v>50</v>
      </c>
      <c r="G4585" s="6" t="n">
        <f aca="false">Sens!F4585+Sens!G4581-Sens!G4582-Sens!G4583+Sens!G4584</f>
        <v>50</v>
      </c>
      <c r="H4585" s="6" t="n">
        <f aca="false">Sens!G4585+Sens!H4581-Sens!H4582-Sens!H4583+Sens!H4584</f>
        <v>50</v>
      </c>
      <c r="I4585" s="6" t="n">
        <f aca="false">Sens!H4585+Sens!I4581-Sens!I4582-Sens!I4583+Sens!I4584</f>
        <v>82.2351083127806</v>
      </c>
      <c r="J4585" s="6" t="n">
        <f aca="false">Sens!I4585+Sens!J4581-Sens!J4582-Sens!J4583+Sens!J4584</f>
        <v>149.736449163869</v>
      </c>
      <c r="K4585" s="6" t="n">
        <f aca="false">Sens!J4585+Sens!K4581-Sens!K4582-Sens!K4583+Sens!K4584</f>
        <v>240.109303720776</v>
      </c>
    </row>
    <row r="4586" customFormat="false" ht="15" hidden="false" customHeight="false" outlineLevel="0" collapsed="false">
      <c r="A4586" s="1" t="s">
        <v>959</v>
      </c>
      <c r="B4586" s="0" t="s">
        <v>98</v>
      </c>
      <c r="E4586" s="6" t="n">
        <f aca="false">debt_face</f>
        <v>46.136</v>
      </c>
      <c r="F4586" s="6" t="n">
        <f aca="false">Sens!E4586-Sens!F4582+Sens!F4584</f>
        <v>49.7502985955532</v>
      </c>
      <c r="G4586" s="6" t="n">
        <f aca="false">Sens!F4586-Sens!G4582+Sens!G4584</f>
        <v>59.9360392105029</v>
      </c>
      <c r="H4586" s="6" t="n">
        <f aca="false">Sens!G4586-Sens!H4582+Sens!H4584</f>
        <v>76.1231855835158</v>
      </c>
      <c r="I4586" s="6" t="n">
        <f aca="false">Sens!H4586-Sens!I4582+Sens!I4584</f>
        <v>76.1231855835158</v>
      </c>
      <c r="J4586" s="6" t="n">
        <f aca="false">Sens!I4586-Sens!J4582+Sens!J4584</f>
        <v>75.6231855835158</v>
      </c>
      <c r="K4586" s="6" t="n">
        <f aca="false">Sens!J4586-Sens!K4582+Sens!K4584</f>
        <v>75.6231855835158</v>
      </c>
    </row>
    <row r="4587" customFormat="false" ht="15" hidden="false" customHeight="false" outlineLevel="0" collapsed="false">
      <c r="A4587" s="1" t="s">
        <v>960</v>
      </c>
      <c r="B4587" s="0" t="s">
        <v>98</v>
      </c>
      <c r="E4587" s="6" t="n">
        <f aca="false">Sens!E4585-Sens!E4586</f>
        <v>30.707</v>
      </c>
      <c r="F4587" s="6" t="n">
        <f aca="false">Sens!F4585-Sens!F4586</f>
        <v>0.249701404446775</v>
      </c>
      <c r="G4587" s="6" t="n">
        <f aca="false">Sens!G4585-Sens!G4586</f>
        <v>-9.93603921050288</v>
      </c>
      <c r="H4587" s="6" t="n">
        <f aca="false">Sens!H4585-Sens!H4586</f>
        <v>-26.1231855835158</v>
      </c>
      <c r="I4587" s="6" t="n">
        <f aca="false">Sens!I4585-Sens!I4586</f>
        <v>6.11192272926486</v>
      </c>
      <c r="J4587" s="6" t="n">
        <f aca="false">Sens!J4585-Sens!J4586</f>
        <v>74.1132635803535</v>
      </c>
      <c r="K4587" s="6" t="n">
        <f aca="false">Sens!K4585-Sens!K4586</f>
        <v>164.48611813726</v>
      </c>
    </row>
    <row r="4588" customFormat="false" ht="15" hidden="false" customHeight="false" outlineLevel="0" collapsed="false">
      <c r="A4588" s="1" t="s">
        <v>961</v>
      </c>
      <c r="B4588" s="0" t="s">
        <v>75</v>
      </c>
      <c r="F4588" s="29" t="n">
        <f aca="false">px*(1+bb_g)^(Sens!F4452-base_fy-mid_yr)</f>
        <v>553.494156066711</v>
      </c>
      <c r="G4588" s="29" t="n">
        <f aca="false">px*(1+bb_g)^(Sens!G4452-base_fy-mid_yr)</f>
        <v>597.773688552047</v>
      </c>
      <c r="H4588" s="29" t="n">
        <f aca="false">px*(1+bb_g)^(Sens!H4452-base_fy-mid_yr)</f>
        <v>645.595583636211</v>
      </c>
      <c r="I4588" s="29" t="n">
        <f aca="false">px*(1+bb_g)^(Sens!I4452-base_fy-mid_yr)</f>
        <v>697.243230327108</v>
      </c>
      <c r="J4588" s="29" t="n">
        <f aca="false">px*(1+bb_g)^(Sens!J4452-base_fy-mid_yr)</f>
        <v>753.022688753277</v>
      </c>
      <c r="K4588" s="29" t="n">
        <f aca="false">px*(1+bb_g)^(Sens!K4452-base_fy-mid_yr)</f>
        <v>813.264503853539</v>
      </c>
    </row>
    <row r="4589" customFormat="false" ht="15" hidden="false" customHeight="false" outlineLevel="0" collapsed="false">
      <c r="A4589" s="1" t="s">
        <v>962</v>
      </c>
      <c r="B4589" s="1" t="s">
        <v>81</v>
      </c>
      <c r="E4589" s="14" t="n">
        <f aca="false">sh_out26</f>
        <v>7.427</v>
      </c>
      <c r="F4589" s="14" t="n">
        <f aca="false">Sens!E4589+sh_iss-Sens!F4583/Sens!F4588</f>
        <v>7.472</v>
      </c>
      <c r="G4589" s="14" t="n">
        <f aca="false">Sens!F4589+sh_iss-Sens!G4583/Sens!G4588</f>
        <v>7.517</v>
      </c>
      <c r="H4589" s="14" t="n">
        <f aca="false">Sens!G4589+sh_iss-Sens!H4583/Sens!H4588</f>
        <v>7.562</v>
      </c>
      <c r="I4589" s="14" t="n">
        <f aca="false">Sens!H4589+sh_iss-Sens!I4583/Sens!I4588</f>
        <v>7.57505849231472</v>
      </c>
      <c r="J4589" s="14" t="n">
        <f aca="false">Sens!I4589+sh_iss-Sens!J4583/Sens!J4588</f>
        <v>7.59048302223576</v>
      </c>
      <c r="K4589" s="14" t="n">
        <f aca="false">Sens!J4589+sh_iss-Sens!K4583/Sens!K4588</f>
        <v>7.60809832771821</v>
      </c>
    </row>
    <row r="4590" customFormat="false" ht="15" hidden="false" customHeight="false" outlineLevel="0" collapsed="false">
      <c r="A4590" s="1" t="s">
        <v>963</v>
      </c>
      <c r="B4590" s="1" t="s">
        <v>81</v>
      </c>
      <c r="E4590" s="14" t="n">
        <f aca="false">sh_dil26</f>
        <v>7.453</v>
      </c>
      <c r="F4590" s="14" t="n">
        <f aca="false">(Sens!E4589+Sens!F4589)/2+dil_gap</f>
        <v>7.4735</v>
      </c>
      <c r="G4590" s="14" t="n">
        <f aca="false">(Sens!F4589+Sens!G4589)/2+dil_gap</f>
        <v>7.5185</v>
      </c>
      <c r="H4590" s="14" t="n">
        <f aca="false">(Sens!G4589+Sens!H4589)/2+dil_gap</f>
        <v>7.5635</v>
      </c>
      <c r="I4590" s="14" t="n">
        <f aca="false">(Sens!H4589+Sens!I4589)/2+dil_gap</f>
        <v>7.59252924615736</v>
      </c>
      <c r="J4590" s="14" t="n">
        <f aca="false">(Sens!I4589+Sens!J4589)/2+dil_gap</f>
        <v>7.60677075727524</v>
      </c>
      <c r="K4590" s="14" t="n">
        <f aca="false">(Sens!J4589+Sens!K4589)/2+dil_gap</f>
        <v>7.62329067497699</v>
      </c>
    </row>
    <row r="4591" customFormat="false" ht="17.15" hidden="false" customHeight="false" outlineLevel="0" collapsed="false">
      <c r="A4591" s="1" t="s">
        <v>964</v>
      </c>
      <c r="B4591" s="0" t="s">
        <v>98</v>
      </c>
      <c r="C4591" s="6" t="n">
        <f aca="false">SUM(Sens!F4581:J4581)</f>
        <v>87.9482635803535</v>
      </c>
    </row>
    <row r="4592" customFormat="false" ht="15" hidden="false" customHeight="false" outlineLevel="0" collapsed="false">
      <c r="A4592" s="23" t="s">
        <v>935</v>
      </c>
      <c r="B4592" s="30" t="s">
        <v>98</v>
      </c>
      <c r="C4592" s="24" t="n">
        <f aca="false">Sens!$C$4591-(Sens!F4581+Sens!G4581+Sens!H4581+Sens!I4581+Sens!J4581)</f>
        <v>0</v>
      </c>
      <c r="D4592" s="30"/>
      <c r="E4592" s="30"/>
      <c r="F4592" s="30"/>
      <c r="G4592" s="30"/>
      <c r="H4592" s="30"/>
      <c r="I4592" s="30"/>
      <c r="J4592" s="30"/>
      <c r="K4592" s="30"/>
    </row>
    <row r="4593" customFormat="false" ht="17.15" hidden="false" customHeight="false" outlineLevel="0" collapsed="false">
      <c r="A4593" s="1" t="s">
        <v>929</v>
      </c>
      <c r="B4593" s="1" t="s">
        <v>965</v>
      </c>
      <c r="C4593" s="32" t="str">
        <f aca="false">IF(SUM(Sens!F4584:J4584)&gt;0.05,"需要舉債 "&amp;TEXT(SUM(Sens!F4584:J4584),"0.0")&amp;" 十億美元","不需舉債")&amp;"；"&amp;IF(SUM(Sens!F4583:J4583)&lt;COUNT(Sens!F4583:J4583)*bb_target-0.05,"回購較每年 "&amp;TEXT(bb_target,"0.0")&amp;" 的目標少 "&amp;TEXT(COUNT(Sens!F4583:J4583)*bb_target-SUM(Sens!F4583:J4583),"0.0")&amp;" 十億美元（"&amp;TEXT(COUNTIF(Sens!F4583:J4583,"&lt;"&amp;(bb_target-0.05)),"0")&amp;" 年減少）","回購不減")</f>
        <v>需要舉債 41.2 十億美元；回購較每年 22.3 的目標少 66.8 十億美元（3 年減少）</v>
      </c>
    </row>
    <row r="4594" customFormat="false" ht="17.15" hidden="false" customHeight="false" outlineLevel="0" collapsed="false">
      <c r="A4594" s="3" t="s">
        <v>1353</v>
      </c>
    </row>
    <row r="4595" customFormat="false" ht="15" hidden="false" customHeight="false" outlineLevel="0" collapsed="false">
      <c r="A4595" s="4" t="s">
        <v>43</v>
      </c>
      <c r="B4595" s="4" t="s">
        <v>65</v>
      </c>
      <c r="C4595" s="20" t="s">
        <v>788</v>
      </c>
      <c r="D4595" s="20" t="s">
        <v>789</v>
      </c>
      <c r="E4595" s="20" t="s">
        <v>790</v>
      </c>
      <c r="F4595" s="20" t="s">
        <v>791</v>
      </c>
      <c r="G4595" s="20" t="s">
        <v>792</v>
      </c>
      <c r="H4595" s="20" t="s">
        <v>793</v>
      </c>
      <c r="I4595" s="20" t="s">
        <v>794</v>
      </c>
      <c r="J4595" s="20" t="s">
        <v>795</v>
      </c>
      <c r="K4595" s="20" t="s">
        <v>796</v>
      </c>
      <c r="L4595" s="4" t="s">
        <v>47</v>
      </c>
    </row>
    <row r="4596" customFormat="false" ht="15" hidden="false" customHeight="false" outlineLevel="0" collapsed="false">
      <c r="A4596" s="1" t="s">
        <v>1042</v>
      </c>
      <c r="B4596" s="1" t="s">
        <v>235</v>
      </c>
      <c r="F4596" s="36" t="n">
        <f aca="false">Sens!F4452-base_fy-mid_yr</f>
        <v>0.5</v>
      </c>
      <c r="G4596" s="36" t="n">
        <f aca="false">Sens!G4452-base_fy-mid_yr</f>
        <v>1.5</v>
      </c>
      <c r="H4596" s="36" t="n">
        <f aca="false">Sens!H4452-base_fy-mid_yr</f>
        <v>2.5</v>
      </c>
      <c r="I4596" s="36" t="n">
        <f aca="false">Sens!I4452-base_fy-mid_yr</f>
        <v>3.5</v>
      </c>
      <c r="J4596" s="36" t="n">
        <f aca="false">Sens!J4452-base_fy-mid_yr</f>
        <v>4.5</v>
      </c>
      <c r="K4596" s="36" t="n">
        <f aca="false">Sens!K4452-base_fy-mid_yr</f>
        <v>5.5</v>
      </c>
    </row>
    <row r="4597" customFormat="false" ht="15" hidden="false" customHeight="false" outlineLevel="0" collapsed="false">
      <c r="A4597" s="1" t="s">
        <v>1043</v>
      </c>
      <c r="B4597" s="0" t="s">
        <v>185</v>
      </c>
      <c r="F4597" s="14" t="n">
        <f aca="false">1/(1+wacc)^Sens!F4596</f>
        <v>0.952193373608246</v>
      </c>
      <c r="G4597" s="14" t="n">
        <f aca="false">1/(1+wacc)^Sens!G4596</f>
        <v>0.863327280626589</v>
      </c>
      <c r="H4597" s="14" t="n">
        <f aca="false">1/(1+wacc)^Sens!H4596</f>
        <v>0.782754862754115</v>
      </c>
      <c r="I4597" s="14" t="n">
        <f aca="false">1/(1+wacc)^Sens!I4596</f>
        <v>0.709702089711011</v>
      </c>
      <c r="J4597" s="14" t="n">
        <f aca="false">1/(1+wacc)^Sens!J4596</f>
        <v>0.643467169744551</v>
      </c>
      <c r="K4597" s="14" t="n">
        <f aca="false">1/(1+wacc)^Sens!K4596</f>
        <v>0.583413807767797</v>
      </c>
    </row>
    <row r="4598" customFormat="false" ht="17.15" hidden="false" customHeight="false" outlineLevel="0" collapsed="false">
      <c r="A4598" s="1" t="s">
        <v>1044</v>
      </c>
      <c r="B4598" s="0" t="s">
        <v>98</v>
      </c>
      <c r="F4598" s="6" t="n">
        <f aca="false">Sens!F4572-Sens!F4570-Sens!F4575+Sens!F4556*(1-tax_f)</f>
        <v>4.07920531670343</v>
      </c>
      <c r="G4598" s="6" t="n">
        <f aca="false">Sens!G4572-Sens!G4570-Sens!G4575+Sens!G4556*(1-tax_f)</f>
        <v>38.3333035465003</v>
      </c>
      <c r="H4598" s="6" t="n">
        <f aca="false">Sens!H4572-Sens!H4570-Sens!H4575+Sens!H4556*(1-tax_f)</f>
        <v>47.4435445213967</v>
      </c>
      <c r="I4598" s="6" t="n">
        <f aca="false">Sens!I4572-Sens!I4570-Sens!I4575+Sens!I4556*(1-tax_f)</f>
        <v>132.22876219699</v>
      </c>
      <c r="J4598" s="6" t="n">
        <f aca="false">Sens!J4572-Sens!J4570-Sens!J4575+Sens!J4556*(1-tax_f)</f>
        <v>179.186707437973</v>
      </c>
      <c r="K4598" s="6" t="n">
        <f aca="false">Sens!K4572-Sens!K4570-Sens!K4575+Sens!K4556*(1-tax_f)</f>
        <v>209.796318577918</v>
      </c>
      <c r="L4598" s="1" t="s">
        <v>1045</v>
      </c>
    </row>
    <row r="4599" customFormat="false" ht="15" hidden="false" customHeight="false" outlineLevel="0" collapsed="false">
      <c r="A4599" s="1" t="s">
        <v>1046</v>
      </c>
      <c r="B4599" s="0" t="s">
        <v>98</v>
      </c>
      <c r="F4599" s="6" t="n">
        <f aca="false">Sens!F4598*Sens!F4597</f>
        <v>3.88419227215253</v>
      </c>
      <c r="G4599" s="6" t="n">
        <f aca="false">Sens!G4598*Sens!G4597</f>
        <v>33.0941867082337</v>
      </c>
      <c r="H4599" s="6" t="n">
        <f aca="false">Sens!H4598*Sens!H4597</f>
        <v>37.1366651804147</v>
      </c>
      <c r="I4599" s="6" t="n">
        <f aca="false">Sens!I4598*Sens!I4597</f>
        <v>93.843028851104</v>
      </c>
      <c r="J4599" s="6" t="n">
        <f aca="false">Sens!J4598*Sens!J4597</f>
        <v>115.300763490958</v>
      </c>
      <c r="K4599" s="6" t="n">
        <f aca="false">Sens!K4598*Sens!K4597</f>
        <v>122.398069077209</v>
      </c>
    </row>
    <row r="4600" customFormat="false" ht="17.15" hidden="false" customHeight="false" outlineLevel="0" collapsed="false">
      <c r="A4600" s="1" t="s">
        <v>1047</v>
      </c>
      <c r="B4600" s="0" t="s">
        <v>98</v>
      </c>
      <c r="C4600" s="6" t="n">
        <f aca="false">SUM(Sens!F4599:K4599)</f>
        <v>405.656905580071</v>
      </c>
    </row>
    <row r="4601" customFormat="false" ht="17.15" hidden="false" customHeight="false" outlineLevel="0" collapsed="false">
      <c r="A4601" s="1" t="s">
        <v>1048</v>
      </c>
      <c r="B4601" s="0" t="s">
        <v>98</v>
      </c>
      <c r="C4601" s="6" t="n">
        <f aca="false">Sens!K4542*(1+g_tv)*(1-tax_f)</f>
        <v>242.607861878011</v>
      </c>
    </row>
    <row r="4602" customFormat="false" ht="17.15" hidden="false" customHeight="false" outlineLevel="0" collapsed="false">
      <c r="A4602" s="1" t="s">
        <v>1049</v>
      </c>
      <c r="B4602" s="0" t="s">
        <v>98</v>
      </c>
      <c r="C4602" s="6" t="n">
        <f aca="false">Sens!$C$4601*(1-g_tv/(wacc+ronic_prem))</f>
        <v>171.900358500877</v>
      </c>
    </row>
    <row r="4603" customFormat="false" ht="17.15" hidden="false" customHeight="false" outlineLevel="0" collapsed="false">
      <c r="A4603" s="1" t="s">
        <v>1050</v>
      </c>
      <c r="B4603" s="0" t="s">
        <v>98</v>
      </c>
      <c r="C4603" s="6" t="n">
        <f aca="false">Sens!$C$4602/(wacc-g_tv)</f>
        <v>2356.91677923779</v>
      </c>
    </row>
    <row r="4604" customFormat="false" ht="15" hidden="false" customHeight="false" outlineLevel="0" collapsed="false">
      <c r="A4604" s="1" t="s">
        <v>1051</v>
      </c>
      <c r="B4604" s="0" t="s">
        <v>98</v>
      </c>
      <c r="C4604" s="6" t="n">
        <f aca="false">Sens!$C$4603/(1+wacc)^(Sens!K4596+mid_yr)</f>
        <v>1309.32091860105</v>
      </c>
    </row>
    <row r="4605" customFormat="false" ht="17.15" hidden="false" customHeight="false" outlineLevel="0" collapsed="false">
      <c r="A4605" s="0" t="s">
        <v>972</v>
      </c>
      <c r="B4605" s="0" t="s">
        <v>98</v>
      </c>
      <c r="C4605" s="6" t="n">
        <f aca="false">Sens!$C$4600+Sens!$C$4604</f>
        <v>1714.97782418112</v>
      </c>
    </row>
    <row r="4606" customFormat="false" ht="15" hidden="false" customHeight="false" outlineLevel="0" collapsed="false">
      <c r="A4606" s="1" t="s">
        <v>973</v>
      </c>
      <c r="B4606" s="0" t="s">
        <v>129</v>
      </c>
      <c r="C4606" s="7" t="n">
        <f aca="false">Sens!$C$4604/Sens!$C$4605</f>
        <v>0.763462302625536</v>
      </c>
    </row>
    <row r="4607" customFormat="false" ht="17.15" hidden="false" customHeight="false" outlineLevel="0" collapsed="false">
      <c r="A4607" s="1" t="s">
        <v>1052</v>
      </c>
      <c r="B4607" s="0" t="s">
        <v>98</v>
      </c>
      <c r="C4607" s="6" t="n">
        <f aca="false">Sens!$C$4605+Sens!E4587-Sens!E4576+oai_v</f>
        <v>1849.49082418112</v>
      </c>
    </row>
    <row r="4608" customFormat="false" ht="17.15" hidden="false" customHeight="false" outlineLevel="0" collapsed="false">
      <c r="A4608" s="0" t="s">
        <v>980</v>
      </c>
      <c r="B4608" s="0" t="s">
        <v>75</v>
      </c>
      <c r="C4608" s="5" t="n">
        <f aca="false">Sens!$C$4607/sh_dil26</f>
        <v>248.153874168942</v>
      </c>
    </row>
    <row r="4609" customFormat="false" ht="15" hidden="false" customHeight="false" outlineLevel="0" collapsed="false">
      <c r="A4609" s="1" t="s">
        <v>1053</v>
      </c>
      <c r="B4609" s="0" t="s">
        <v>75</v>
      </c>
      <c r="C4609" s="8" t="n">
        <f aca="false">dps_27+Sens!G4579*roll_div_q/q_per_yr</f>
        <v>4.8895</v>
      </c>
    </row>
    <row r="4610" customFormat="false" ht="17.15" hidden="false" customHeight="false" outlineLevel="0" collapsed="false">
      <c r="A4610" s="0" t="s">
        <v>1054</v>
      </c>
      <c r="B4610" s="0" t="s">
        <v>75</v>
      </c>
      <c r="C4610" s="5" t="n">
        <f aca="false">Sens!$C$4608*(1+wacc)^t_roll-Sens!$C$4609</f>
        <v>277.691602256344</v>
      </c>
    </row>
    <row r="4611" customFormat="false" ht="17.15" hidden="false" customHeight="false" outlineLevel="0" collapsed="false">
      <c r="A4611" s="1" t="s">
        <v>1055</v>
      </c>
      <c r="B4611" s="0" t="s">
        <v>129</v>
      </c>
      <c r="F4611" s="7" t="n">
        <f aca="false">Sens!F4568/(Sens!F4513-Sens!F4469)</f>
        <v>0.0607793049683357</v>
      </c>
      <c r="G4611" s="7" t="n">
        <f aca="false">Sens!G4568/(Sens!G4513-Sens!G4469)</f>
        <v>0.0598674388946431</v>
      </c>
      <c r="H4611" s="7" t="n">
        <f aca="false">Sens!H4568/(Sens!H4513-Sens!H4469)</f>
        <v>0.0598138924088208</v>
      </c>
      <c r="I4611" s="7" t="n">
        <f aca="false">Sens!I4568/(Sens!I4513-Sens!I4469)</f>
        <v>0.0605463108043891</v>
      </c>
      <c r="J4611" s="7" t="n">
        <f aca="false">Sens!J4568/(Sens!J4513-Sens!J4469)</f>
        <v>0.0619171750495927</v>
      </c>
      <c r="K4611" s="7" t="n">
        <f aca="false">Sens!K4568/(Sens!K4513-Sens!K4469)</f>
        <v>0.0637444214085786</v>
      </c>
    </row>
    <row r="4612" customFormat="false" ht="17.15" hidden="false" customHeight="false" outlineLevel="0" collapsed="false">
      <c r="A4612" s="0" t="s">
        <v>1056</v>
      </c>
      <c r="B4612" s="0" t="s">
        <v>98</v>
      </c>
      <c r="F4612" s="6" t="n">
        <f aca="false">Sens!F4498*(al_m365+Sens!F4611+sbc_r)</f>
        <v>81.9588914442869</v>
      </c>
      <c r="G4612" s="6" t="n">
        <f aca="false">Sens!G4498*(al_m365+Sens!G4611+sbc_r)</f>
        <v>92.4164247681975</v>
      </c>
      <c r="H4612" s="6" t="n">
        <f aca="false">Sens!H4498*(al_m365+Sens!H4611+sbc_r)</f>
        <v>103.029854574161</v>
      </c>
      <c r="I4612" s="6" t="n">
        <f aca="false">Sens!I4498*(al_m365+Sens!I4611+sbc_r)</f>
        <v>113.123126923533</v>
      </c>
      <c r="J4612" s="6" t="n">
        <f aca="false">Sens!J4498*(al_m365+Sens!J4611+sbc_r)</f>
        <v>122.505222221309</v>
      </c>
      <c r="K4612" s="6" t="n">
        <f aca="false">Sens!K4498*(al_m365+Sens!K4611+sbc_r)</f>
        <v>131.480939847652</v>
      </c>
      <c r="L4612" s="11" t="s">
        <v>1057</v>
      </c>
    </row>
    <row r="4613" customFormat="false" ht="17.15" hidden="false" customHeight="false" outlineLevel="0" collapsed="false">
      <c r="A4613" s="0" t="s">
        <v>1058</v>
      </c>
      <c r="B4613" s="0" t="s">
        <v>98</v>
      </c>
      <c r="F4613" s="6" t="n">
        <f aca="false">Sens!F4499*(al_lic+Sens!F4611+sbc_r)</f>
        <v>33.1394521739719</v>
      </c>
      <c r="G4613" s="6" t="n">
        <f aca="false">Sens!G4499*(al_lic+Sens!G4611+sbc_r)</f>
        <v>34.5055814818966</v>
      </c>
      <c r="H4613" s="6" t="n">
        <f aca="false">Sens!H4499*(al_lic+Sens!H4611+sbc_r)</f>
        <v>35.771684151989</v>
      </c>
      <c r="I4613" s="6" t="n">
        <f aca="false">Sens!I4499*(al_lic+Sens!I4611+sbc_r)</f>
        <v>36.9186535759518</v>
      </c>
      <c r="J4613" s="6" t="n">
        <f aca="false">Sens!J4499*(al_lic+Sens!J4611+sbc_r)</f>
        <v>37.9244712099021</v>
      </c>
      <c r="K4613" s="6" t="n">
        <f aca="false">Sens!K4499*(al_lic+Sens!K4611+sbc_r)</f>
        <v>38.7661860183566</v>
      </c>
    </row>
    <row r="4614" customFormat="false" ht="17.15" hidden="false" customHeight="false" outlineLevel="0" collapsed="false">
      <c r="A4614" s="0" t="s">
        <v>1059</v>
      </c>
      <c r="B4614" s="0" t="s">
        <v>98</v>
      </c>
      <c r="F4614" s="6" t="n">
        <f aca="false">Sens!F4501*(al_ind+Sens!F4611+sbc_r)</f>
        <v>8.90179312509475</v>
      </c>
      <c r="G4614" s="6" t="n">
        <f aca="false">Sens!G4501*(al_ind+Sens!G4611+sbc_r)</f>
        <v>9.70847775494051</v>
      </c>
      <c r="H4614" s="6" t="n">
        <f aca="false">Sens!H4501*(al_ind+Sens!H4611+sbc_r)</f>
        <v>10.5550218501173</v>
      </c>
      <c r="I4614" s="6" t="n">
        <f aca="false">Sens!I4501*(al_ind+Sens!I4611+sbc_r)</f>
        <v>11.4369607443177</v>
      </c>
      <c r="J4614" s="6" t="n">
        <f aca="false">Sens!J4501*(al_ind+Sens!J4611+sbc_r)</f>
        <v>12.3460509536023</v>
      </c>
      <c r="K4614" s="6" t="n">
        <f aca="false">Sens!K4501*(al_ind+Sens!K4611+sbc_r)</f>
        <v>13.270726412304</v>
      </c>
    </row>
    <row r="4615" customFormat="false" ht="17.15" hidden="false" customHeight="false" outlineLevel="0" collapsed="false">
      <c r="A4615" s="0" t="s">
        <v>1060</v>
      </c>
      <c r="B4615" s="0" t="s">
        <v>98</v>
      </c>
      <c r="F4615" s="6" t="n">
        <f aca="false">Sens!F4503*(al_fro+Sens!F4611+sbc_r)</f>
        <v>3.5037770264609</v>
      </c>
      <c r="G4615" s="6" t="n">
        <f aca="false">Sens!G4503*(al_fro+Sens!G4611+sbc_r)</f>
        <v>3.72748147644595</v>
      </c>
      <c r="H4615" s="6" t="n">
        <f aca="false">Sens!H4503*(al_fro+Sens!H4611+sbc_r)</f>
        <v>3.97749350570269</v>
      </c>
      <c r="I4615" s="6" t="n">
        <f aca="false">Sens!I4503*(al_fro+Sens!I4611+sbc_r)</f>
        <v>4.25637131039332</v>
      </c>
      <c r="J4615" s="6" t="n">
        <f aca="false">Sens!J4503*(al_fro+Sens!J4611+sbc_r)</f>
        <v>4.56604410049993</v>
      </c>
      <c r="K4615" s="6" t="n">
        <f aca="false">Sens!K4503*(al_fro+Sens!K4611+sbc_r)</f>
        <v>4.90802462033976</v>
      </c>
    </row>
    <row r="4616" customFormat="false" ht="17.15" hidden="false" customHeight="false" outlineLevel="0" collapsed="false">
      <c r="A4616" s="0" t="s">
        <v>1061</v>
      </c>
      <c r="B4616" s="0" t="s">
        <v>98</v>
      </c>
      <c r="F4616" s="6" t="n">
        <f aca="false">Sens!F4506*(al_srch+Sens!F4611+sbc_r)</f>
        <v>10.9938431230616</v>
      </c>
      <c r="G4616" s="6" t="n">
        <f aca="false">Sens!G4506*(al_srch+Sens!G4611+sbc_r)</f>
        <v>12.1032416475733</v>
      </c>
      <c r="H4616" s="6" t="n">
        <f aca="false">Sens!H4506*(al_srch+Sens!H4611+sbc_r)</f>
        <v>13.252212932248</v>
      </c>
      <c r="I4616" s="6" t="n">
        <f aca="false">Sens!I4506*(al_srch+Sens!I4611+sbc_r)</f>
        <v>14.4279872244332</v>
      </c>
      <c r="J4616" s="6" t="n">
        <f aca="false">Sens!J4506*(al_srch+Sens!J4611+sbc_r)</f>
        <v>15.6121561948722</v>
      </c>
      <c r="K4616" s="6" t="n">
        <f aca="false">Sens!K4506*(al_srch+Sens!K4611+sbc_r)</f>
        <v>16.7814513601902</v>
      </c>
    </row>
    <row r="4617" customFormat="false" ht="17.15" hidden="false" customHeight="false" outlineLevel="0" collapsed="false">
      <c r="A4617" s="0" t="s">
        <v>1062</v>
      </c>
      <c r="B4617" s="0" t="s">
        <v>98</v>
      </c>
      <c r="F4617" s="6" t="n">
        <f aca="false">Sens!F4475-Sens!F4476+Sens!F4556</f>
        <v>49.1850635429064</v>
      </c>
      <c r="G4617" s="6" t="n">
        <f aca="false">Sens!G4475-Sens!G4476+Sens!G4556</f>
        <v>79.0019158552006</v>
      </c>
      <c r="H4617" s="6" t="n">
        <f aca="false">Sens!H4475-Sens!H4476+Sens!H4556</f>
        <v>107.192484664456</v>
      </c>
      <c r="I4617" s="6" t="n">
        <f aca="false">Sens!I4475-Sens!I4476+Sens!I4556</f>
        <v>138.533765972683</v>
      </c>
      <c r="J4617" s="6" t="n">
        <f aca="false">Sens!J4475-Sens!J4476+Sens!J4556</f>
        <v>162.441131845749</v>
      </c>
      <c r="K4617" s="6" t="n">
        <f aca="false">Sens!K4475-Sens!K4476+Sens!K4556</f>
        <v>178.910523260967</v>
      </c>
    </row>
    <row r="4618" customFormat="false" ht="17.15" hidden="false" customHeight="false" outlineLevel="0" collapsed="false">
      <c r="A4618" s="0" t="s">
        <v>1063</v>
      </c>
      <c r="B4618" s="0" t="s">
        <v>98</v>
      </c>
      <c r="F4618" s="6" t="n">
        <f aca="false">Sens!F4535+Sens!F4556+Sens!F4486+Sens!F4611*(Sens!F4505-Sens!F4469)+sbc_r*Sens!F4505</f>
        <v>240.375051896754</v>
      </c>
      <c r="G4618" s="6" t="n">
        <f aca="false">Sens!G4535+Sens!G4556+Sens!G4486+Sens!G4611*(Sens!G4505-Sens!G4469)+sbc_r*Sens!G4505</f>
        <v>295.646679740134</v>
      </c>
      <c r="H4618" s="6" t="n">
        <f aca="false">Sens!H4535+Sens!H4556+Sens!H4486+Sens!H4611*(Sens!H4505-Sens!H4469)+sbc_r*Sens!H4505</f>
        <v>349.600620007026</v>
      </c>
      <c r="I4618" s="6" t="n">
        <f aca="false">Sens!I4535+Sens!I4556+Sens!I4486+Sens!I4611*(Sens!I4505-Sens!I4469)+sbc_r*Sens!I4505</f>
        <v>406.050341993262</v>
      </c>
      <c r="J4618" s="6" t="n">
        <f aca="false">Sens!J4535+Sens!J4556+Sens!J4486+Sens!J4611*(Sens!J4505-Sens!J4469)+sbc_r*Sens!J4505</f>
        <v>453.16051958085</v>
      </c>
      <c r="K4618" s="6" t="n">
        <f aca="false">Sens!K4535+Sens!K4556+Sens!K4486+Sens!K4611*(Sens!K4505-Sens!K4469)+sbc_r*Sens!K4505</f>
        <v>490.488184869894</v>
      </c>
    </row>
    <row r="4619" customFormat="false" ht="17.15" hidden="false" customHeight="false" outlineLevel="0" collapsed="false">
      <c r="A4619" s="0" t="s">
        <v>1064</v>
      </c>
      <c r="B4619" s="0" t="s">
        <v>98</v>
      </c>
      <c r="F4619" s="6" t="n">
        <f aca="false">Sens!F4618-Sens!F4612-Sens!F4613-Sens!F4614-Sens!F4615-Sens!F4617</f>
        <v>63.6860745840333</v>
      </c>
      <c r="G4619" s="6" t="n">
        <f aca="false">Sens!G4618-Sens!G4612-Sens!G4613-Sens!G4614-Sens!G4615-Sens!G4617</f>
        <v>76.2867984034532</v>
      </c>
      <c r="H4619" s="6" t="n">
        <f aca="false">Sens!H4618-Sens!H4612-Sens!H4613-Sens!H4614-Sens!H4615-Sens!H4617</f>
        <v>89.0740812605999</v>
      </c>
      <c r="I4619" s="6" t="n">
        <f aca="false">Sens!I4618-Sens!I4612-Sens!I4613-Sens!I4614-Sens!I4615-Sens!I4617</f>
        <v>101.781463466383</v>
      </c>
      <c r="J4619" s="6" t="n">
        <f aca="false">Sens!J4618-Sens!J4612-Sens!J4613-Sens!J4614-Sens!J4615-Sens!J4617</f>
        <v>113.377599249788</v>
      </c>
      <c r="K4619" s="6" t="n">
        <f aca="false">Sens!K4618-Sens!K4612-Sens!K4613-Sens!K4614-Sens!K4615-Sens!K4617</f>
        <v>123.151784710274</v>
      </c>
    </row>
    <row r="4620" customFormat="false" ht="17.15" hidden="false" customHeight="false" outlineLevel="0" collapsed="false">
      <c r="A4620" s="0" t="s">
        <v>1065</v>
      </c>
      <c r="B4620" s="0" t="s">
        <v>98</v>
      </c>
      <c r="F4620" s="6" t="n">
        <f aca="false">Sens!F4537+Sens!F4611*Sens!F4512+sbc_r*Sens!F4512</f>
        <v>25.6898722253805</v>
      </c>
      <c r="G4620" s="6" t="n">
        <f aca="false">Sens!G4537+Sens!G4611*Sens!G4512+sbc_r*Sens!G4512</f>
        <v>26.4110076836451</v>
      </c>
      <c r="H4620" s="6" t="n">
        <f aca="false">Sens!H4537+Sens!H4611*Sens!H4512+sbc_r*Sens!H4512</f>
        <v>27.371822222484</v>
      </c>
      <c r="I4620" s="6" t="n">
        <f aca="false">Sens!I4537+Sens!I4611*Sens!I4512+sbc_r*Sens!I4512</f>
        <v>28.5446974852167</v>
      </c>
      <c r="J4620" s="6" t="n">
        <f aca="false">Sens!J4537+Sens!J4611*Sens!J4512+sbc_r*Sens!J4512</f>
        <v>29.902125942759</v>
      </c>
      <c r="K4620" s="6" t="n">
        <f aca="false">Sens!K4537+Sens!K4611*Sens!K4512+sbc_r*Sens!K4512</f>
        <v>31.417846006513</v>
      </c>
    </row>
    <row r="4621" customFormat="false" ht="17.15" hidden="false" customHeight="false" outlineLevel="0" collapsed="false">
      <c r="A4621" s="0" t="s">
        <v>1066</v>
      </c>
      <c r="B4621" s="0" t="s">
        <v>98</v>
      </c>
      <c r="F4621" s="6" t="n">
        <f aca="false">(Sens!F4620-Sens!F4616)*Sens!F4508/(Sens!F4508+Sens!F4510)</f>
        <v>8.05622001664182</v>
      </c>
      <c r="G4621" s="6" t="n">
        <f aca="false">(Sens!G4620-Sens!G4616)*Sens!G4508/(Sens!G4508+Sens!G4510)</f>
        <v>7.70353104881698</v>
      </c>
      <c r="H4621" s="6" t="n">
        <f aca="false">(Sens!H4620-Sens!H4616)*Sens!H4508/(Sens!H4508+Sens!H4510)</f>
        <v>7.49953108728139</v>
      </c>
      <c r="I4621" s="6" t="n">
        <f aca="false">(Sens!I4620-Sens!I4616)*Sens!I4508/(Sens!I4508+Sens!I4510)</f>
        <v>7.43014936754677</v>
      </c>
      <c r="J4621" s="6" t="n">
        <f aca="false">(Sens!J4620-Sens!J4616)*Sens!J4508/(Sens!J4508+Sens!J4510)</f>
        <v>7.48733104388603</v>
      </c>
      <c r="K4621" s="6" t="n">
        <f aca="false">(Sens!K4620-Sens!K4616)*Sens!K4508/(Sens!K4508+Sens!K4510)</f>
        <v>7.66884282747946</v>
      </c>
    </row>
    <row r="4622" customFormat="false" ht="17.15" hidden="false" customHeight="false" outlineLevel="0" collapsed="false">
      <c r="A4622" s="0" t="s">
        <v>1067</v>
      </c>
      <c r="B4622" s="0" t="s">
        <v>98</v>
      </c>
      <c r="F4622" s="6" t="n">
        <f aca="false">Sens!F4620-Sens!F4616-Sens!F4621</f>
        <v>6.63980908567708</v>
      </c>
      <c r="G4622" s="6" t="n">
        <f aca="false">Sens!G4620-Sens!G4616-Sens!G4621</f>
        <v>6.6042349872548</v>
      </c>
      <c r="H4622" s="6" t="n">
        <f aca="false">Sens!H4620-Sens!H4616-Sens!H4621</f>
        <v>6.6200782029546</v>
      </c>
      <c r="I4622" s="6" t="n">
        <f aca="false">Sens!I4620-Sens!I4616-Sens!I4621</f>
        <v>6.68656089323668</v>
      </c>
      <c r="J4622" s="6" t="n">
        <f aca="false">Sens!J4620-Sens!J4616-Sens!J4621</f>
        <v>6.80263870400074</v>
      </c>
      <c r="K4622" s="6" t="n">
        <f aca="false">Sens!K4620-Sens!K4616-Sens!K4621</f>
        <v>6.96755181884333</v>
      </c>
    </row>
    <row r="4623" customFormat="false" ht="17.15" hidden="false" customHeight="false" outlineLevel="0" collapsed="false">
      <c r="A4623" s="0" t="s">
        <v>1068</v>
      </c>
      <c r="B4623" s="0" t="s">
        <v>98</v>
      </c>
      <c r="F4623" s="6" t="n">
        <f aca="false">Sens!F4617-tax_f*(Sens!F4617-Sens!F4486)-Sens!F4483</f>
        <v>-121.179701030704</v>
      </c>
      <c r="G4623" s="6" t="n">
        <f aca="false">Sens!G4617-tax_f*(Sens!G4617-Sens!G4486)-Sens!G4483</f>
        <v>-106.004288648558</v>
      </c>
      <c r="H4623" s="6" t="n">
        <f aca="false">Sens!H4617-tax_f*(Sens!H4617-Sens!H4486)-Sens!H4483</f>
        <v>-111.589607952048</v>
      </c>
      <c r="I4623" s="6" t="n">
        <f aca="false">Sens!I4617-tax_f*(Sens!I4617-Sens!I4486)-Sens!I4483</f>
        <v>-41.3250598030524</v>
      </c>
      <c r="J4623" s="6" t="n">
        <f aca="false">Sens!J4617-tax_f*(Sens!J4617-Sens!J4486)-Sens!J4483</f>
        <v>-8.24605008769836</v>
      </c>
      <c r="K4623" s="6" t="n">
        <f aca="false">Sens!K4617-tax_f*(Sens!K4617-Sens!K4486)-Sens!K4483</f>
        <v>9.33816005495712</v>
      </c>
    </row>
    <row r="4624" customFormat="false" ht="17.15" hidden="false" customHeight="false" outlineLevel="0" collapsed="false">
      <c r="A4624" s="0" t="s">
        <v>1069</v>
      </c>
      <c r="B4624" s="0" t="s">
        <v>98</v>
      </c>
      <c r="F4624" s="6" t="n">
        <f aca="false">Sens!F4623*Sens!F4597</f>
        <v>-115.386508337264</v>
      </c>
      <c r="G4624" s="6" t="n">
        <f aca="false">Sens!G4623*Sens!G4597</f>
        <v>-91.5163942537156</v>
      </c>
      <c r="H4624" s="6" t="n">
        <f aca="false">Sens!H4623*Sens!H4597</f>
        <v>-87.3473082572912</v>
      </c>
      <c r="I4624" s="6" t="n">
        <f aca="false">Sens!I4623*Sens!I4597</f>
        <v>-29.3284812996587</v>
      </c>
      <c r="J4624" s="6" t="n">
        <f aca="false">Sens!J4623*Sens!J4597</f>
        <v>-5.30606251150307</v>
      </c>
      <c r="K4624" s="6" t="n">
        <f aca="false">Sens!K4623*Sens!K4597</f>
        <v>5.44801151520767</v>
      </c>
    </row>
    <row r="4625" customFormat="false" ht="17.15" hidden="false" customHeight="false" outlineLevel="0" collapsed="false">
      <c r="A4625" s="0" t="s">
        <v>1070</v>
      </c>
      <c r="B4625" s="0" t="s">
        <v>98</v>
      </c>
      <c r="C4625" s="6" t="n">
        <f aca="false">(Sens!K4617-Sens!K4486)*(1-tax_f)*(1+g_tv)*(1-g_tv/(wacc+ronic_prem))/(wacc-g_tv)/(1+wacc)^(Sens!K4596+mid_yr)</f>
        <v>45.5660085102892</v>
      </c>
    </row>
    <row r="4626" customFormat="false" ht="17.15" hidden="false" customHeight="false" outlineLevel="0" collapsed="false">
      <c r="A4626" s="1" t="s">
        <v>1071</v>
      </c>
      <c r="B4626" s="0" t="s">
        <v>98</v>
      </c>
      <c r="C4626" s="6" t="n">
        <f aca="false">(SUM(Sens!F4624:K4624)+Sens!$C$4625)*(1+wacc)^t_roll</f>
        <v>-316.42068349971</v>
      </c>
      <c r="L4626" s="11" t="s">
        <v>1072</v>
      </c>
    </row>
    <row r="4627" customFormat="false" ht="17.15" hidden="false" customHeight="false" outlineLevel="0" collapsed="false">
      <c r="A4627" s="1" t="s">
        <v>1073</v>
      </c>
      <c r="B4627" s="0" t="s">
        <v>98</v>
      </c>
      <c r="C4627" s="6" t="n">
        <f aca="false">(w_ntm28*Sens!G4475+(1-w_ntm28)*Sens!H4475)*m_ai</f>
        <v>340.395905558055</v>
      </c>
    </row>
    <row r="4628" customFormat="false" ht="17.15" hidden="false" customHeight="false" outlineLevel="0" collapsed="false">
      <c r="A4628" s="1" t="s">
        <v>1074</v>
      </c>
      <c r="B4628" s="0" t="s">
        <v>98</v>
      </c>
      <c r="C4628" s="6" t="n">
        <f aca="false">(w_ntm28*Sens!G4619+(1-w_ntm28)*Sens!H4619)*m_cloud</f>
        <v>1111.41503172236</v>
      </c>
    </row>
    <row r="4629" customFormat="false" ht="17.15" hidden="false" customHeight="false" outlineLevel="0" collapsed="false">
      <c r="A4629" s="1" t="s">
        <v>1075</v>
      </c>
      <c r="B4629" s="0" t="s">
        <v>98</v>
      </c>
      <c r="C4629" s="6" t="n">
        <f aca="false">(w_ntm28*Sens!G4612+(1-w_ntm28)*Sens!H4612)*m_sw</f>
        <v>1035.15425035878</v>
      </c>
    </row>
    <row r="4630" customFormat="false" ht="17.15" hidden="false" customHeight="false" outlineLevel="0" collapsed="false">
      <c r="A4630" s="1" t="s">
        <v>1076</v>
      </c>
      <c r="B4630" s="0" t="s">
        <v>98</v>
      </c>
      <c r="C4630" s="6" t="n">
        <f aca="false">(w_ntm28*Sens!G4613+(1-w_ntm28)*Sens!H4613)*m_sw</f>
        <v>377.080886149047</v>
      </c>
    </row>
    <row r="4631" customFormat="false" ht="17.15" hidden="false" customHeight="false" outlineLevel="0" collapsed="false">
      <c r="A4631" s="1" t="s">
        <v>1077</v>
      </c>
      <c r="B4631" s="0" t="s">
        <v>98</v>
      </c>
      <c r="C4631" s="6" t="n">
        <f aca="false">(w_ntm28*Sens!G4614+(1-w_ntm28)*Sens!H4614)*m_sw</f>
        <v>107.807274259914</v>
      </c>
    </row>
    <row r="4632" customFormat="false" ht="17.15" hidden="false" customHeight="false" outlineLevel="0" collapsed="false">
      <c r="A4632" s="1" t="s">
        <v>1078</v>
      </c>
      <c r="B4632" s="0" t="s">
        <v>98</v>
      </c>
      <c r="C4632" s="6" t="n">
        <f aca="false">(w_ntm28*Sens!G4615+(1-w_ntm28)*Sens!H4615)*m_sw</f>
        <v>41.1297186581774</v>
      </c>
    </row>
    <row r="4633" customFormat="false" ht="17.15" hidden="false" customHeight="false" outlineLevel="0" collapsed="false">
      <c r="A4633" s="1" t="s">
        <v>1079</v>
      </c>
      <c r="B4633" s="0" t="s">
        <v>98</v>
      </c>
      <c r="C4633" s="6" t="n">
        <f aca="false">(w_ntm28*Sens!G4616+(1-w_ntm28)*Sens!H4616)*m_ads</f>
        <v>113.644424975419</v>
      </c>
    </row>
    <row r="4634" customFormat="false" ht="17.15" hidden="false" customHeight="false" outlineLevel="0" collapsed="false">
      <c r="A4634" s="1" t="s">
        <v>1080</v>
      </c>
      <c r="B4634" s="0" t="s">
        <v>98</v>
      </c>
      <c r="C4634" s="6" t="n">
        <f aca="false">(w_ntm28*Sens!G4621+(1-w_ntm28)*Sens!H4621)*m_game</f>
        <v>96.4626401529284</v>
      </c>
    </row>
    <row r="4635" customFormat="false" ht="17.15" hidden="false" customHeight="false" outlineLevel="0" collapsed="false">
      <c r="A4635" s="1" t="s">
        <v>1081</v>
      </c>
      <c r="B4635" s="0" t="s">
        <v>98</v>
      </c>
      <c r="C4635" s="6" t="n">
        <f aca="false">(w_ntm28*Sens!G4622+(1-w_ntm28)*Sens!H4622)*m_pc</f>
        <v>95.6373943945599</v>
      </c>
    </row>
    <row r="4636" customFormat="false" ht="17.15" hidden="false" customHeight="false" outlineLevel="0" collapsed="false">
      <c r="A4636" s="1" t="s">
        <v>1082</v>
      </c>
      <c r="B4636" s="0" t="s">
        <v>98</v>
      </c>
      <c r="C4636" s="6" t="n">
        <f aca="false">Sens!$C$4626+Sens!$C$4628+Sens!$C$4629+Sens!$C$4630+Sens!$C$4631+Sens!$C$4632+Sens!$C$4633+Sens!$C$4634+Sens!$C$4635</f>
        <v>2661.91093717147</v>
      </c>
    </row>
    <row r="4637" customFormat="false" ht="17.15" hidden="false" customHeight="false" outlineLevel="0" collapsed="false">
      <c r="A4637" s="1" t="s">
        <v>1000</v>
      </c>
      <c r="B4637" s="0" t="s">
        <v>98</v>
      </c>
      <c r="C4637" s="6" t="n">
        <f aca="false">Sens!F4587+oai_v-Sens!F4576</f>
        <v>108.179971404447</v>
      </c>
      <c r="L4637" s="1" t="s">
        <v>1083</v>
      </c>
    </row>
    <row r="4638" customFormat="false" ht="15" hidden="false" customHeight="false" outlineLevel="0" collapsed="false">
      <c r="A4638" s="1" t="s">
        <v>1001</v>
      </c>
      <c r="B4638" s="0" t="s">
        <v>75</v>
      </c>
      <c r="C4638" s="5" t="n">
        <f aca="false">(Sens!$C$4636+Sens!$C$4637)/Sens!F4589</f>
        <v>370.729511319047</v>
      </c>
    </row>
    <row r="4639" customFormat="false" ht="17.15" hidden="false" customHeight="false" outlineLevel="0" collapsed="false">
      <c r="A4639" s="1" t="s">
        <v>1084</v>
      </c>
      <c r="B4639" s="0" t="s">
        <v>75</v>
      </c>
      <c r="C4639" s="5" t="n">
        <f aca="false">w_dcf*Sens!$C$4610+(1-w_dcf)*Sens!$C$4638</f>
        <v>324.210556787695</v>
      </c>
    </row>
    <row r="4640" customFormat="false" ht="17.15" hidden="false" customHeight="false" outlineLevel="0" collapsed="false">
      <c r="A4640" s="3" t="s">
        <v>1354</v>
      </c>
    </row>
    <row r="4641" customFormat="false" ht="15" hidden="false" customHeight="false" outlineLevel="0" collapsed="false">
      <c r="A4641" s="4" t="s">
        <v>43</v>
      </c>
      <c r="B4641" s="4" t="s">
        <v>65</v>
      </c>
      <c r="C4641" s="20" t="s">
        <v>788</v>
      </c>
      <c r="D4641" s="20" t="s">
        <v>789</v>
      </c>
      <c r="E4641" s="20" t="s">
        <v>790</v>
      </c>
      <c r="F4641" s="20" t="s">
        <v>791</v>
      </c>
      <c r="G4641" s="20" t="s">
        <v>792</v>
      </c>
      <c r="H4641" s="20" t="s">
        <v>793</v>
      </c>
      <c r="I4641" s="20" t="s">
        <v>794</v>
      </c>
      <c r="J4641" s="20" t="s">
        <v>795</v>
      </c>
      <c r="K4641" s="20" t="s">
        <v>796</v>
      </c>
      <c r="L4641" s="4" t="s">
        <v>47</v>
      </c>
    </row>
    <row r="4642" customFormat="false" ht="17.15" hidden="false" customHeight="false" outlineLevel="0" collapsed="false">
      <c r="A4642" s="1" t="s">
        <v>797</v>
      </c>
      <c r="B4642" s="1" t="s">
        <v>235</v>
      </c>
      <c r="C4642" s="28" t="n">
        <v>2024</v>
      </c>
      <c r="D4642" s="28" t="n">
        <v>2025</v>
      </c>
      <c r="E4642" s="28" t="n">
        <v>2026</v>
      </c>
      <c r="F4642" s="28" t="n">
        <v>2027</v>
      </c>
      <c r="G4642" s="28" t="n">
        <v>2028</v>
      </c>
      <c r="H4642" s="28" t="n">
        <v>2029</v>
      </c>
      <c r="I4642" s="28" t="n">
        <v>2030</v>
      </c>
      <c r="J4642" s="28" t="n">
        <v>2031</v>
      </c>
      <c r="K4642" s="28" t="n">
        <v>2032</v>
      </c>
    </row>
    <row r="4643" customFormat="false" ht="17.15" hidden="false" customHeight="false" outlineLevel="0" collapsed="false">
      <c r="A4643" s="1" t="s">
        <v>798</v>
      </c>
      <c r="B4643" s="0" t="s">
        <v>392</v>
      </c>
      <c r="F4643" s="29" t="n">
        <f aca="false">pace</f>
        <v>2527.2</v>
      </c>
      <c r="G4643" s="29" t="n">
        <f aca="false">pace</f>
        <v>2527.2</v>
      </c>
      <c r="H4643" s="29" t="n">
        <f aca="false">pace</f>
        <v>2527.2</v>
      </c>
      <c r="I4643" s="29" t="n">
        <f aca="false">pace+(g_tv*Sens!H4644-pace)*MIN(1,(Sens!I4642-pace_y0)/(pace_y1-pace_y0))</f>
        <v>1793.116</v>
      </c>
      <c r="J4643" s="29" t="n">
        <f aca="false">pace+(g_tv*Sens!H4644-pace)*MIN(1,(Sens!J4642-pace_y0)/(pace_y1-pace_y0))</f>
        <v>1059.032</v>
      </c>
      <c r="K4643" s="29" t="n">
        <f aca="false">pace+(g_tv*Sens!H4644-pace)*MIN(1,(Sens!K4642-pace_y0)/(pace_y1-pace_y0))</f>
        <v>324.948</v>
      </c>
      <c r="L4643" s="11" t="s">
        <v>799</v>
      </c>
    </row>
    <row r="4644" customFormat="false" ht="17.15" hidden="false" customHeight="false" outlineLevel="0" collapsed="false">
      <c r="A4644" s="1" t="s">
        <v>800</v>
      </c>
      <c r="B4644" s="0" t="s">
        <v>392</v>
      </c>
      <c r="C4644" s="29" t="n">
        <f aca="false">mw_ext_24</f>
        <v>640</v>
      </c>
      <c r="D4644" s="29" t="n">
        <f aca="false">mw_ext_25</f>
        <v>1630</v>
      </c>
      <c r="E4644" s="29" t="n">
        <f aca="false">mw_ext_26</f>
        <v>3250</v>
      </c>
      <c r="F4644" s="29" t="n">
        <f aca="false">Sens!E4644+Sens!F4643</f>
        <v>5777.2</v>
      </c>
      <c r="G4644" s="29" t="n">
        <f aca="false">Sens!F4644+Sens!G4643</f>
        <v>8304.4</v>
      </c>
      <c r="H4644" s="29" t="n">
        <f aca="false">Sens!G4644+Sens!H4643</f>
        <v>10831.6</v>
      </c>
      <c r="I4644" s="29" t="n">
        <f aca="false">Sens!H4644+Sens!I4643</f>
        <v>12624.716</v>
      </c>
      <c r="J4644" s="29" t="n">
        <f aca="false">Sens!I4644+Sens!J4643</f>
        <v>13683.748</v>
      </c>
      <c r="K4644" s="29" t="n">
        <f aca="false">Sens!J4644+Sens!K4643</f>
        <v>14008.696</v>
      </c>
      <c r="L4644" s="1" t="s">
        <v>801</v>
      </c>
    </row>
    <row r="4645" customFormat="false" ht="17.15" hidden="false" customHeight="false" outlineLevel="0" collapsed="false">
      <c r="A4645" s="1" t="s">
        <v>802</v>
      </c>
      <c r="B4645" s="0" t="s">
        <v>392</v>
      </c>
      <c r="C4645" s="29" t="n">
        <f aca="false">rent_ext_24</f>
        <v>150</v>
      </c>
      <c r="D4645" s="29" t="n">
        <f aca="false">rent_ext_25</f>
        <v>400</v>
      </c>
      <c r="E4645" s="29" t="n">
        <f aca="false">rent_ext_26</f>
        <v>550</v>
      </c>
      <c r="F4645" s="29" t="n">
        <f aca="false">rent_ext_f</f>
        <v>756</v>
      </c>
      <c r="G4645" s="29" t="n">
        <f aca="false">rent_ext_f</f>
        <v>756</v>
      </c>
      <c r="H4645" s="29" t="n">
        <f aca="false">rent_ext_f</f>
        <v>756</v>
      </c>
      <c r="I4645" s="29" t="n">
        <f aca="false">rent_ext_f</f>
        <v>756</v>
      </c>
      <c r="J4645" s="29" t="n">
        <f aca="false">rent_ext_f</f>
        <v>756</v>
      </c>
      <c r="K4645" s="29" t="n">
        <f aca="false">rent_ext_f</f>
        <v>756</v>
      </c>
      <c r="L4645" s="1" t="s">
        <v>803</v>
      </c>
    </row>
    <row r="4646" customFormat="false" ht="17.15" hidden="false" customHeight="false" outlineLevel="0" collapsed="false">
      <c r="A4646" s="1" t="s">
        <v>804</v>
      </c>
      <c r="B4646" s="0" t="s">
        <v>392</v>
      </c>
      <c r="C4646" s="29" t="n">
        <f aca="false">Sens!C4644-Sens!C4645</f>
        <v>490</v>
      </c>
      <c r="D4646" s="29" t="n">
        <f aca="false">Sens!D4644-Sens!D4645</f>
        <v>1230</v>
      </c>
      <c r="E4646" s="29" t="n">
        <f aca="false">Sens!E4644-Sens!E4645</f>
        <v>2700</v>
      </c>
      <c r="F4646" s="29" t="n">
        <f aca="false">Sens!F4644-Sens!F4645</f>
        <v>5021.2</v>
      </c>
      <c r="G4646" s="29" t="n">
        <f aca="false">Sens!G4644-Sens!G4645</f>
        <v>7548.4</v>
      </c>
      <c r="H4646" s="29" t="n">
        <f aca="false">Sens!H4644-Sens!H4645</f>
        <v>10075.6</v>
      </c>
      <c r="I4646" s="29" t="n">
        <f aca="false">Sens!I4644-Sens!I4645</f>
        <v>11868.716</v>
      </c>
      <c r="J4646" s="29" t="n">
        <f aca="false">Sens!J4644-Sens!J4645</f>
        <v>12927.748</v>
      </c>
      <c r="K4646" s="29" t="n">
        <f aca="false">Sens!K4644-Sens!K4645</f>
        <v>13252.696</v>
      </c>
    </row>
    <row r="4647" customFormat="false" ht="17.15" hidden="false" customHeight="false" outlineLevel="0" collapsed="false">
      <c r="A4647" s="1" t="s">
        <v>805</v>
      </c>
      <c r="B4647" s="0" t="s">
        <v>392</v>
      </c>
      <c r="C4647" s="29" t="n">
        <f aca="false">Sens!C4646/ext_sh</f>
        <v>816.666666666667</v>
      </c>
      <c r="D4647" s="29" t="n">
        <f aca="false">Sens!D4646/ext_sh</f>
        <v>2050</v>
      </c>
      <c r="E4647" s="29" t="n">
        <f aca="false">Sens!E4646/ext_sh</f>
        <v>4500</v>
      </c>
      <c r="F4647" s="29" t="n">
        <f aca="false">Sens!F4646/ext_sh</f>
        <v>8368.66666666667</v>
      </c>
      <c r="G4647" s="29" t="n">
        <f aca="false">Sens!G4646/ext_sh</f>
        <v>12580.6666666667</v>
      </c>
      <c r="H4647" s="29" t="n">
        <f aca="false">Sens!H4646/ext_sh</f>
        <v>16792.6666666667</v>
      </c>
      <c r="I4647" s="29" t="n">
        <f aca="false">Sens!I4646/ext_sh</f>
        <v>19781.1933333333</v>
      </c>
      <c r="J4647" s="29" t="n">
        <f aca="false">Sens!J4646/ext_sh</f>
        <v>21546.2466666667</v>
      </c>
      <c r="K4647" s="29" t="n">
        <f aca="false">Sens!K4646/ext_sh</f>
        <v>22087.8266666667</v>
      </c>
      <c r="L4647" s="1" t="s">
        <v>806</v>
      </c>
    </row>
    <row r="4648" customFormat="false" ht="17.15" hidden="false" customHeight="false" outlineLevel="0" collapsed="false">
      <c r="A4648" s="1" t="s">
        <v>807</v>
      </c>
      <c r="B4648" s="0" t="s">
        <v>392</v>
      </c>
      <c r="C4648" s="29" t="n">
        <f aca="false">Sens!C4647-Sens!C4646</f>
        <v>326.666666666667</v>
      </c>
      <c r="D4648" s="29" t="n">
        <f aca="false">Sens!D4647-Sens!D4646</f>
        <v>820</v>
      </c>
      <c r="E4648" s="29" t="n">
        <f aca="false">Sens!E4647-Sens!E4646</f>
        <v>1800</v>
      </c>
      <c r="F4648" s="29" t="n">
        <f aca="false">Sens!F4647-Sens!F4646</f>
        <v>3347.46666666667</v>
      </c>
      <c r="G4648" s="29" t="n">
        <f aca="false">Sens!G4647-Sens!G4646</f>
        <v>5032.26666666667</v>
      </c>
      <c r="H4648" s="29" t="n">
        <f aca="false">Sens!H4647-Sens!H4646</f>
        <v>6717.06666666667</v>
      </c>
      <c r="I4648" s="29" t="n">
        <f aca="false">Sens!I4647-Sens!I4646</f>
        <v>7912.47733333333</v>
      </c>
      <c r="J4648" s="29" t="n">
        <f aca="false">Sens!J4647-Sens!J4646</f>
        <v>8618.49866666667</v>
      </c>
      <c r="K4648" s="29" t="n">
        <f aca="false">Sens!K4647-Sens!K4646</f>
        <v>8835.13066666667</v>
      </c>
    </row>
    <row r="4649" customFormat="false" ht="17.15" hidden="false" customHeight="false" outlineLevel="0" collapsed="false">
      <c r="A4649" s="1" t="s">
        <v>808</v>
      </c>
      <c r="B4649" s="0" t="s">
        <v>392</v>
      </c>
      <c r="C4649" s="29" t="n">
        <f aca="false">Sens!C4647</f>
        <v>816.666666666667</v>
      </c>
      <c r="D4649" s="29" t="n">
        <f aca="false">Sens!D4647-Sens!C4647</f>
        <v>1233.33333333333</v>
      </c>
      <c r="E4649" s="29" t="n">
        <f aca="false">Sens!E4647-Sens!D4647</f>
        <v>2450</v>
      </c>
      <c r="F4649" s="29" t="n">
        <f aca="false">Sens!F4647-Sens!E4647</f>
        <v>3868.66666666667</v>
      </c>
      <c r="G4649" s="29" t="n">
        <f aca="false">Sens!G4647-Sens!F4647</f>
        <v>4212</v>
      </c>
      <c r="H4649" s="29" t="n">
        <f aca="false">Sens!H4647-Sens!G4647</f>
        <v>4212</v>
      </c>
      <c r="I4649" s="29" t="n">
        <f aca="false">Sens!I4647-Sens!H4647</f>
        <v>2988.52666666667</v>
      </c>
      <c r="J4649" s="29" t="n">
        <f aca="false">Sens!J4647-Sens!I4647</f>
        <v>1765.05333333333</v>
      </c>
      <c r="K4649" s="29" t="n">
        <f aca="false">Sens!K4647-Sens!J4647</f>
        <v>541.580000000002</v>
      </c>
    </row>
    <row r="4650" customFormat="false" ht="17.15" hidden="false" customHeight="false" outlineLevel="0" collapsed="false">
      <c r="A4650" s="1" t="s">
        <v>809</v>
      </c>
      <c r="B4650" s="0" t="s">
        <v>392</v>
      </c>
      <c r="D4650" s="29" t="n">
        <f aca="false">Sens!D4644-Sens!C4644</f>
        <v>990</v>
      </c>
      <c r="E4650" s="29" t="n">
        <f aca="false">Sens!E4644-Sens!D4644</f>
        <v>1620</v>
      </c>
      <c r="F4650" s="29" t="n">
        <f aca="false">Sens!F4644-Sens!E4644</f>
        <v>2527.2</v>
      </c>
      <c r="G4650" s="29" t="n">
        <f aca="false">Sens!G4644-Sens!F4644</f>
        <v>2527.2</v>
      </c>
      <c r="H4650" s="29" t="n">
        <f aca="false">Sens!H4644-Sens!G4644</f>
        <v>2527.2</v>
      </c>
      <c r="I4650" s="29" t="n">
        <f aca="false">Sens!I4644-Sens!H4644</f>
        <v>1793.116</v>
      </c>
      <c r="J4650" s="29" t="n">
        <f aca="false">Sens!J4644-Sens!I4644</f>
        <v>1059.032</v>
      </c>
      <c r="K4650" s="29" t="n">
        <f aca="false">Sens!K4644-Sens!J4644</f>
        <v>324.948</v>
      </c>
    </row>
    <row r="4651" customFormat="false" ht="17.15" hidden="false" customHeight="false" outlineLevel="0" collapsed="false">
      <c r="A4651" s="1" t="s">
        <v>810</v>
      </c>
      <c r="B4651" s="0" t="s">
        <v>392</v>
      </c>
      <c r="F4651" s="29" t="n">
        <f aca="false">Sens!F4668*ext_sh</f>
        <v>0</v>
      </c>
      <c r="G4651" s="29" t="n">
        <f aca="false">Sens!G4668*ext_sh</f>
        <v>0</v>
      </c>
      <c r="H4651" s="29" t="n">
        <f aca="false">Sens!H4668*ext_sh</f>
        <v>0</v>
      </c>
      <c r="I4651" s="29" t="n">
        <f aca="false">Sens!I4668*ext_sh</f>
        <v>0</v>
      </c>
      <c r="J4651" s="29" t="n">
        <f aca="false">Sens!J4668*ext_sh</f>
        <v>490</v>
      </c>
      <c r="K4651" s="29" t="n">
        <f aca="false">Sens!K4668*ext_sh</f>
        <v>740</v>
      </c>
      <c r="L4651" s="1" t="s">
        <v>811</v>
      </c>
    </row>
    <row r="4652" customFormat="false" ht="17.15" hidden="false" customHeight="false" outlineLevel="0" collapsed="false">
      <c r="A4652" s="1" t="s">
        <v>812</v>
      </c>
      <c r="B4652" s="0" t="s">
        <v>392</v>
      </c>
      <c r="C4652" s="29" t="n">
        <f aca="false">mix_h*Sens!C4644</f>
        <v>128</v>
      </c>
      <c r="D4652" s="29" t="n">
        <f aca="false">mix_h*Sens!D4644</f>
        <v>326</v>
      </c>
      <c r="E4652" s="29" t="n">
        <f aca="false">mix_h*Sens!E4644</f>
        <v>650</v>
      </c>
      <c r="F4652" s="29" t="n">
        <f aca="false">Sens!E4652-Sens!F4651*mix_h</f>
        <v>650</v>
      </c>
      <c r="G4652" s="29" t="n">
        <f aca="false">Sens!F4652-Sens!G4651*mix_h</f>
        <v>650</v>
      </c>
      <c r="H4652" s="29" t="n">
        <f aca="false">Sens!G4652-Sens!H4651*mix_h</f>
        <v>650</v>
      </c>
      <c r="I4652" s="29" t="n">
        <f aca="false">Sens!H4652-Sens!I4651*mix_h</f>
        <v>650</v>
      </c>
      <c r="J4652" s="29" t="n">
        <f aca="false">Sens!I4652-Sens!J4651*mix_h</f>
        <v>552</v>
      </c>
      <c r="K4652" s="29" t="n">
        <f aca="false">Sens!J4652-Sens!K4651*mix_h</f>
        <v>404</v>
      </c>
    </row>
    <row r="4653" customFormat="false" ht="17.15" hidden="false" customHeight="false" outlineLevel="0" collapsed="false">
      <c r="A4653" s="1" t="s">
        <v>813</v>
      </c>
      <c r="B4653" s="0" t="s">
        <v>392</v>
      </c>
      <c r="C4653" s="29" t="n">
        <f aca="false">mix_g2*Sens!C4644</f>
        <v>288</v>
      </c>
      <c r="D4653" s="29" t="n">
        <f aca="false">mix_g2*Sens!D4644</f>
        <v>733.5</v>
      </c>
      <c r="E4653" s="29" t="n">
        <f aca="false">mix_g2*Sens!E4644</f>
        <v>1462.5</v>
      </c>
      <c r="F4653" s="29" t="n">
        <f aca="false">Sens!E4653-Sens!F4651*mix_g2</f>
        <v>1462.5</v>
      </c>
      <c r="G4653" s="29" t="n">
        <f aca="false">Sens!F4653-Sens!G4651*mix_g2</f>
        <v>1462.5</v>
      </c>
      <c r="H4653" s="29" t="n">
        <f aca="false">Sens!G4653-Sens!H4651*mix_g2</f>
        <v>1462.5</v>
      </c>
      <c r="I4653" s="29" t="n">
        <f aca="false">Sens!H4653-Sens!I4651*mix_g2</f>
        <v>1462.5</v>
      </c>
      <c r="J4653" s="29" t="n">
        <f aca="false">Sens!I4653-Sens!J4651*mix_g2</f>
        <v>1242</v>
      </c>
      <c r="K4653" s="29" t="n">
        <f aca="false">Sens!J4653-Sens!K4651*mix_g2</f>
        <v>909</v>
      </c>
    </row>
    <row r="4654" customFormat="false" ht="17.15" hidden="false" customHeight="false" outlineLevel="0" collapsed="false">
      <c r="A4654" s="1" t="s">
        <v>814</v>
      </c>
      <c r="B4654" s="0" t="s">
        <v>392</v>
      </c>
      <c r="C4654" s="29" t="n">
        <f aca="false">mix_g3*Sens!C4644</f>
        <v>224</v>
      </c>
      <c r="D4654" s="29" t="n">
        <f aca="false">mix_g3*Sens!D4644</f>
        <v>570.5</v>
      </c>
      <c r="E4654" s="29" t="n">
        <f aca="false">mix_g3*Sens!E4644</f>
        <v>1137.5</v>
      </c>
      <c r="F4654" s="29" t="n">
        <f aca="false">Sens!E4654+(Sens!F4650+Sens!F4651)*a_g3_27-Sens!F4651*mix_g3</f>
        <v>2906.54</v>
      </c>
      <c r="G4654" s="29" t="n">
        <f aca="false">Sens!F4654+(Sens!G4650+Sens!G4651)*a_g3_28-Sens!G4651*mix_g3</f>
        <v>3664.7</v>
      </c>
      <c r="H4654" s="29" t="n">
        <f aca="false">Sens!G4654+(Sens!H4650+Sens!H4651)*a_g3_29-Sens!H4651*mix_g3</f>
        <v>3917.42</v>
      </c>
      <c r="I4654" s="29" t="n">
        <f aca="false">Sens!H4654+(Sens!I4650+Sens!I4651)*a_g3_29-Sens!I4651*mix_g3</f>
        <v>4096.7316</v>
      </c>
      <c r="J4654" s="29" t="n">
        <f aca="false">Sens!I4654+(Sens!J4650+Sens!J4651)*a_g3_29-Sens!J4651*mix_g3</f>
        <v>4080.1348</v>
      </c>
      <c r="K4654" s="29" t="n">
        <f aca="false">Sens!J4654+(Sens!K4650+Sens!K4651)*a_g3_29-Sens!K4651*mix_g3</f>
        <v>3927.6296</v>
      </c>
    </row>
    <row r="4655" customFormat="false" ht="17.15" hidden="false" customHeight="false" outlineLevel="0" collapsed="false">
      <c r="A4655" s="1" t="s">
        <v>815</v>
      </c>
      <c r="B4655" s="0" t="s">
        <v>392</v>
      </c>
      <c r="C4655" s="29" t="n">
        <v>0</v>
      </c>
      <c r="D4655" s="29" t="n">
        <v>0</v>
      </c>
      <c r="E4655" s="29" t="n">
        <v>0</v>
      </c>
      <c r="F4655" s="29" t="n">
        <f aca="false">Sens!E4655+(Sens!F4650+Sens!F4651)*(1-a_g3_27)</f>
        <v>758.16</v>
      </c>
      <c r="G4655" s="29" t="n">
        <f aca="false">Sens!F4655+(Sens!G4650+Sens!G4651)*(1-a_g3_28)</f>
        <v>2527.2</v>
      </c>
      <c r="H4655" s="29" t="n">
        <f aca="false">Sens!G4655+(Sens!H4650+Sens!H4651)*(1-a_g3_29)</f>
        <v>4801.68</v>
      </c>
      <c r="I4655" s="29" t="n">
        <f aca="false">Sens!H4655+(Sens!I4650+Sens!I4651)*(1-a_g3_29)</f>
        <v>6415.4844</v>
      </c>
      <c r="J4655" s="29" t="n">
        <f aca="false">Sens!I4655+(Sens!J4650+Sens!J4651)*(1-a_g3_29)</f>
        <v>7809.6132</v>
      </c>
      <c r="K4655" s="29" t="n">
        <f aca="false">Sens!J4655+(Sens!K4650+Sens!K4651)*(1-a_g3_29)</f>
        <v>8768.0664</v>
      </c>
    </row>
    <row r="4656" customFormat="false" ht="17.15" hidden="false" customHeight="false" outlineLevel="0" collapsed="false">
      <c r="A4656" s="1" t="s">
        <v>816</v>
      </c>
      <c r="B4656" s="0" t="s">
        <v>339</v>
      </c>
      <c r="C4656" s="14" t="n">
        <f aca="false">(Sens!C4652*tk_hold_h100+Sens!C4653*tk_hold_gb200+Sens!C4654*tk_hold_gb300+Sens!C4655*tk_hold_vr200)/Sens!C4644</f>
        <v>9.7235358126469</v>
      </c>
      <c r="D4656" s="14" t="n">
        <f aca="false">(Sens!D4652*tk_hold_h100+Sens!D4653*tk_hold_gb200+Sens!D4654*tk_hold_gb300+Sens!D4655*tk_hold_vr200)/Sens!D4644</f>
        <v>9.7235358126469</v>
      </c>
      <c r="E4656" s="14" t="n">
        <f aca="false">(Sens!E4652*tk_hold_h100+Sens!E4653*tk_hold_gb200+Sens!E4654*tk_hold_gb300+Sens!E4655*tk_hold_vr200)/Sens!E4644</f>
        <v>9.7235358126469</v>
      </c>
      <c r="F4656" s="14" t="n">
        <f aca="false">(Sens!F4652*tk_hold_h100+Sens!F4653*tk_hold_gb200+Sens!F4654*tk_hold_gb300+Sens!F4655*tk_hold_vr200)/Sens!F4644</f>
        <v>10.4079573161931</v>
      </c>
      <c r="G4656" s="14" t="n">
        <f aca="false">(Sens!G4652*tk_hold_h100+Sens!G4653*tk_hold_gb200+Sens!G4654*tk_hold_gb300+Sens!G4655*tk_hold_vr200)/Sens!G4644</f>
        <v>10.8388131109316</v>
      </c>
      <c r="H4656" s="14" t="n">
        <f aca="false">(Sens!H4652*tk_hold_h100+Sens!H4653*tk_hold_gb200+Sens!H4654*tk_hold_gb300+Sens!H4655*tk_hold_vr200)/Sens!H4644</f>
        <v>11.1311018388216</v>
      </c>
      <c r="I4656" s="14" t="n">
        <f aca="false">(Sens!I4652*tk_hold_h100+Sens!I4653*tk_hold_gb200+Sens!I4654*tk_hold_gb300+Sens!I4655*tk_hold_vr200)/Sens!I4644</f>
        <v>11.267518520947</v>
      </c>
      <c r="J4656" s="14" t="n">
        <f aca="false">(Sens!J4652*tk_hold_h100+Sens!J4653*tk_hold_gb200+Sens!J4654*tk_hold_gb300+Sens!J4655*tk_hold_vr200)/Sens!J4644</f>
        <v>11.4160908199491</v>
      </c>
      <c r="K4656" s="14" t="n">
        <f aca="false">(Sens!K4652*tk_hold_h100+Sens!K4653*tk_hold_gb200+Sens!K4654*tk_hold_gb300+Sens!K4655*tk_hold_vr200)/Sens!K4644</f>
        <v>11.5568487882224</v>
      </c>
    </row>
    <row r="4657" customFormat="false" ht="17.15" hidden="false" customHeight="false" outlineLevel="0" collapsed="false">
      <c r="A4657" s="0" t="s">
        <v>817</v>
      </c>
      <c r="B4657" s="0" t="s">
        <v>185</v>
      </c>
      <c r="C4657" s="14" t="n">
        <f aca="false">k_B</f>
        <v>1.17213932619116</v>
      </c>
      <c r="D4657" s="14" t="n">
        <f aca="false">k_B</f>
        <v>1.17213932619116</v>
      </c>
      <c r="E4657" s="14" t="n">
        <f aca="false">k_B</f>
        <v>1.17213932619116</v>
      </c>
      <c r="F4657" s="14" t="n">
        <f aca="false">(k_B+((ls_A*k_long+(1-ls_A)*k_spot)-k_B)*MIN(1,(Sens!F4642-base_fy)/k_ramp))</f>
        <v>1.25022828131298</v>
      </c>
      <c r="G4657" s="14" t="n">
        <f aca="false">(k_B+((ls_A*k_long+(1-ls_A)*k_spot)-k_B)*MIN(1,(Sens!G4642-base_fy)/k_ramp))</f>
        <v>1.3283172364348</v>
      </c>
      <c r="H4657" s="14" t="n">
        <f aca="false">(k_B+((ls_A*k_long+(1-ls_A)*k_spot)-k_B)*MIN(1,(Sens!H4642-base_fy)/k_ramp))</f>
        <v>1.40640619155662</v>
      </c>
      <c r="I4657" s="14" t="n">
        <f aca="false">(k_B+((ls_A*k_long+(1-ls_A)*k_spot)-k_B)*MIN(1,(Sens!I4642-base_fy)/k_ramp))</f>
        <v>1.40640619155662</v>
      </c>
      <c r="J4657" s="14" t="n">
        <f aca="false">(k_B+((ls_A*k_long+(1-ls_A)*k_spot)-k_B)*MIN(1,(Sens!J4642-base_fy)/k_ramp))</f>
        <v>1.40640619155662</v>
      </c>
      <c r="K4657" s="14" t="n">
        <f aca="false">(k_B+((ls_A*k_long+(1-ls_A)*k_spot)-k_B)*MIN(1,(Sens!K4642-base_fy)/k_ramp))</f>
        <v>1.40640619155662</v>
      </c>
      <c r="L4657" s="1" t="s">
        <v>818</v>
      </c>
    </row>
    <row r="4658" customFormat="false" ht="17.15" hidden="false" customHeight="false" outlineLevel="0" collapsed="false">
      <c r="A4658" s="1" t="s">
        <v>819</v>
      </c>
      <c r="B4658" s="0" t="s">
        <v>339</v>
      </c>
      <c r="C4658" s="14" t="n">
        <f aca="false">Sens!C4656*Sens!C4657*chip_f</f>
        <v>11.3973387156315</v>
      </c>
      <c r="D4658" s="14" t="n">
        <f aca="false">Sens!D4656*Sens!D4657*chip_f</f>
        <v>11.3973387156315</v>
      </c>
      <c r="E4658" s="14" t="n">
        <f aca="false">Sens!E4656*Sens!E4657*chip_f</f>
        <v>11.3973387156315</v>
      </c>
      <c r="F4658" s="14" t="n">
        <f aca="false">Sens!F4656*Sens!F4657*chip_f</f>
        <v>13.0123225874029</v>
      </c>
      <c r="G4658" s="14" t="n">
        <f aca="false">Sens!G4656*Sens!G4657*chip_f</f>
        <v>14.3973822777458</v>
      </c>
      <c r="H4658" s="14" t="n">
        <f aca="false">Sens!H4656*Sens!H4657*chip_f</f>
        <v>15.6548505449659</v>
      </c>
      <c r="I4658" s="14" t="n">
        <f aca="false">Sens!I4656*Sens!I4657*chip_f</f>
        <v>15.8467078113387</v>
      </c>
      <c r="J4658" s="14" t="n">
        <f aca="false">Sens!J4656*Sens!J4657*chip_f</f>
        <v>16.0556608125491</v>
      </c>
      <c r="K4658" s="14" t="n">
        <f aca="false">Sens!K4656*Sens!K4657*chip_f</f>
        <v>16.2536236906396</v>
      </c>
      <c r="L4658" s="1" t="s">
        <v>820</v>
      </c>
    </row>
    <row r="4659" customFormat="false" ht="17.15" hidden="false" customHeight="false" outlineLevel="0" collapsed="false">
      <c r="A4659" s="0" t="s">
        <v>821</v>
      </c>
      <c r="B4659" s="0" t="s">
        <v>98</v>
      </c>
      <c r="D4659" s="6" t="n">
        <f aca="false">(Sens!C4644+Sens!D4644)/2*Sens!D4658/1000</f>
        <v>12.9359794422418</v>
      </c>
      <c r="E4659" s="6" t="n">
        <f aca="false">(Sens!D4644+Sens!E4644)/2*Sens!E4658/1000</f>
        <v>27.8095064661409</v>
      </c>
      <c r="F4659" s="6" t="n">
        <f aca="false">(Sens!E4644+Sens!F4644)/2*Sens!F4658/1000</f>
        <v>58.7324192305018</v>
      </c>
      <c r="G4659" s="6" t="n">
        <f aca="false">(Sens!F4644+Sens!G4644)/2*Sens!G4658/1000</f>
        <v>101.369089141153</v>
      </c>
      <c r="H4659" s="6" t="n">
        <f aca="false">(Sens!G4644+Sens!H4644)/2*Sens!H4658/1000</f>
        <v>149.785610014234</v>
      </c>
      <c r="I4659" s="6" t="n">
        <f aca="false">(Sens!H4644+Sens!I4644)/2*Sens!I4658/1000</f>
        <v>185.852692991215</v>
      </c>
      <c r="J4659" s="6" t="n">
        <f aca="false">(Sens!I4644+Sens!J4644)/2*Sens!J4658/1000</f>
        <v>211.199887241579</v>
      </c>
      <c r="K4659" s="6" t="n">
        <f aca="false">(Sens!J4644+Sens!K4644)/2*Sens!K4658/1000</f>
        <v>225.051281925055</v>
      </c>
      <c r="L4659" s="11" t="s">
        <v>822</v>
      </c>
    </row>
    <row r="4660" customFormat="false" ht="17.15" hidden="false" customHeight="false" outlineLevel="0" collapsed="false">
      <c r="A4660" s="1" t="s">
        <v>823</v>
      </c>
      <c r="B4660" s="0" t="s">
        <v>339</v>
      </c>
      <c r="C4660" s="14" t="n">
        <f aca="false">(Sens!C4652*tk_opex_h100+Sens!C4653*tk_opex_gb200+Sens!C4654*tk_opex_gb300+Sens!C4655*tk_opex_vr200)/Sens!C4644</f>
        <v>1.88636041306092</v>
      </c>
      <c r="D4660" s="14" t="n">
        <f aca="false">(Sens!D4652*tk_opex_h100+Sens!D4653*tk_opex_gb200+Sens!D4654*tk_opex_gb300+Sens!D4655*tk_opex_vr200)/Sens!D4644</f>
        <v>1.88636041306092</v>
      </c>
      <c r="E4660" s="14" t="n">
        <f aca="false">(Sens!E4652*tk_opex_h100+Sens!E4653*tk_opex_gb200+Sens!E4654*tk_opex_gb300+Sens!E4655*tk_opex_vr200)/Sens!E4644</f>
        <v>1.88636041306092</v>
      </c>
      <c r="F4660" s="14" t="n">
        <f aca="false">(Sens!F4652*tk_opex_h100+Sens!F4653*tk_opex_gb200+Sens!F4654*tk_opex_gb300+Sens!F4655*tk_opex_vr200)/Sens!F4644</f>
        <v>1.9430236476499</v>
      </c>
      <c r="G4660" s="14" t="n">
        <f aca="false">(Sens!G4652*tk_opex_h100+Sens!G4653*tk_opex_gb200+Sens!G4654*tk_opex_gb300+Sens!G4655*tk_opex_vr200)/Sens!G4644</f>
        <v>1.9786941852423</v>
      </c>
      <c r="H4660" s="14" t="n">
        <f aca="false">(Sens!H4652*tk_opex_h100+Sens!H4653*tk_opex_gb200+Sens!H4654*tk_opex_gb300+Sens!H4655*tk_opex_vr200)/Sens!H4644</f>
        <v>2.00289275976156</v>
      </c>
      <c r="I4660" s="14" t="n">
        <f aca="false">(Sens!I4652*tk_opex_h100+Sens!I4653*tk_opex_gb200+Sens!I4654*tk_opex_gb300+Sens!I4655*tk_opex_vr200)/Sens!I4644</f>
        <v>2.01418669255163</v>
      </c>
      <c r="J4660" s="14" t="n">
        <f aca="false">(Sens!J4652*tk_opex_h100+Sens!J4653*tk_opex_gb200+Sens!J4654*tk_opex_gb300+Sens!J4655*tk_opex_vr200)/Sens!J4644</f>
        <v>2.02648698847769</v>
      </c>
      <c r="K4660" s="14" t="n">
        <f aca="false">(Sens!K4652*tk_opex_h100+Sens!K4653*tk_opex_gb200+Sens!K4654*tk_opex_gb300+Sens!K4655*tk_opex_vr200)/Sens!K4644</f>
        <v>2.03814033621036</v>
      </c>
    </row>
    <row r="4661" customFormat="false" ht="17.15" hidden="false" customHeight="false" outlineLevel="0" collapsed="false">
      <c r="A4661" s="0" t="s">
        <v>824</v>
      </c>
      <c r="B4661" s="0" t="s">
        <v>98</v>
      </c>
      <c r="D4661" s="6" t="n">
        <f aca="false">(Sens!C4647+Sens!D4647)/2*Sens!D4660/1000</f>
        <v>2.70378325872065</v>
      </c>
      <c r="E4661" s="6" t="n">
        <f aca="false">(Sens!D4647+Sens!E4647)/2*Sens!E4660/1000</f>
        <v>6.17783035277451</v>
      </c>
      <c r="F4661" s="6" t="n">
        <f aca="false">(Sens!E4647+Sens!F4647)/2*Sens!F4660/1000</f>
        <v>12.5020618235287</v>
      </c>
      <c r="G4661" s="6" t="n">
        <f aca="false">(Sens!F4647+Sens!G4647)/2*Sens!G4660/1000</f>
        <v>20.7261620256847</v>
      </c>
      <c r="H4661" s="6" t="n">
        <f aca="false">(Sens!G4647+Sens!H4647)/2*Sens!H4660/1000</f>
        <v>29.4158183316982</v>
      </c>
      <c r="I4661" s="6" t="n">
        <f aca="false">(Sens!H4647+Sens!I4647)/2*Sens!I4660/1000</f>
        <v>36.8332910536231</v>
      </c>
      <c r="J4661" s="6" t="n">
        <f aca="false">(Sens!I4647+Sens!J4647)/2*Sens!J4660/1000</f>
        <v>41.8747597135462</v>
      </c>
      <c r="K4661" s="6" t="n">
        <f aca="false">(Sens!J4647+Sens!K4647)/2*Sens!K4660/1000</f>
        <v>44.4661824469138</v>
      </c>
    </row>
    <row r="4662" customFormat="false" ht="17.15" hidden="false" customHeight="false" outlineLevel="0" collapsed="false">
      <c r="A4662" s="0" t="s">
        <v>825</v>
      </c>
      <c r="B4662" s="0" t="s">
        <v>98</v>
      </c>
      <c r="D4662" s="6" t="n">
        <f aca="false">(Sens!C4645+Sens!D4645)/2*rent_mw/1000</f>
        <v>2.44475</v>
      </c>
      <c r="E4662" s="6" t="n">
        <f aca="false">(Sens!D4645+Sens!E4645)/2*rent_mw/1000</f>
        <v>4.22275</v>
      </c>
      <c r="F4662" s="6" t="n">
        <f aca="false">(Sens!E4645+Sens!F4645)/2*rent_mw/1000</f>
        <v>5.80517</v>
      </c>
      <c r="G4662" s="6" t="n">
        <f aca="false">(Sens!F4645+Sens!G4645)/2*rent_mw/1000</f>
        <v>6.72084</v>
      </c>
      <c r="H4662" s="6" t="n">
        <f aca="false">(Sens!G4645+Sens!H4645)/2*rent_mw/1000</f>
        <v>6.72084</v>
      </c>
      <c r="I4662" s="6" t="n">
        <f aca="false">(Sens!H4645+Sens!I4645)/2*rent_mw/1000</f>
        <v>6.72084</v>
      </c>
      <c r="J4662" s="6" t="n">
        <f aca="false">(Sens!I4645+Sens!J4645)/2*rent_mw/1000</f>
        <v>6.72084</v>
      </c>
      <c r="K4662" s="6" t="n">
        <f aca="false">(Sens!J4645+Sens!K4645)/2*rent_mw/1000</f>
        <v>6.72084</v>
      </c>
    </row>
    <row r="4663" customFormat="false" ht="17.15" hidden="false" customHeight="false" outlineLevel="0" collapsed="false">
      <c r="A4663" s="0" t="s">
        <v>826</v>
      </c>
      <c r="B4663" s="0" t="s">
        <v>98</v>
      </c>
      <c r="D4663" s="6" t="n">
        <f aca="false">(Sens!C4647+Sens!D4647)/2*(1-self_build)*fac_rent/1000</f>
        <v>0.853242375631075</v>
      </c>
      <c r="E4663" s="6" t="n">
        <f aca="false">(Sens!D4647+Sens!E4647)/2*(1-self_build)*fac_rent/1000</f>
        <v>1.94955961408728</v>
      </c>
      <c r="F4663" s="6" t="n">
        <f aca="false">(Sens!E4647+Sens!F4647)/2*(1-self_build)*fac_rent/1000</f>
        <v>3.83026455274573</v>
      </c>
      <c r="G4663" s="6" t="n">
        <f aca="false">(Sens!F4647+Sens!G4647)/2*(1-self_build)*fac_rent/1000</f>
        <v>6.23541590972812</v>
      </c>
      <c r="H4663" s="6" t="n">
        <f aca="false">(Sens!G4647+Sens!H4647)/2*(1-self_build)*fac_rent/1000</f>
        <v>8.74275792332679</v>
      </c>
      <c r="I4663" s="6" t="n">
        <f aca="false">(Sens!H4647+Sens!I4647)/2*(1-self_build)*fac_rent/1000</f>
        <v>10.8859420438599</v>
      </c>
      <c r="J4663" s="6" t="n">
        <f aca="false">(Sens!I4647+Sens!J4647)/2*(1-self_build)*fac_rent/1000</f>
        <v>12.3008103782619</v>
      </c>
      <c r="K4663" s="6" t="n">
        <f aca="false">(Sens!J4647+Sens!K4647)/2*(1-self_build)*fac_rent/1000</f>
        <v>12.9873629265328</v>
      </c>
      <c r="L4663" s="11" t="s">
        <v>827</v>
      </c>
    </row>
    <row r="4664" customFormat="false" ht="17.15" hidden="false" customHeight="false" outlineLevel="0" collapsed="false">
      <c r="A4664" s="1" t="s">
        <v>828</v>
      </c>
      <c r="B4664" s="0" t="s">
        <v>129</v>
      </c>
      <c r="D4664" s="7" t="n">
        <f aca="false">(Sens!C4646+Sens!D4646)/(Sens!C4647+Sens!D4647)</f>
        <v>0.6</v>
      </c>
      <c r="E4664" s="7" t="n">
        <f aca="false">(Sens!D4646+Sens!E4646)/(Sens!D4647+Sens!E4647)</f>
        <v>0.6</v>
      </c>
      <c r="F4664" s="7" t="n">
        <f aca="false">(Sens!E4646+Sens!F4646)/(Sens!E4647+Sens!F4647)</f>
        <v>0.6</v>
      </c>
      <c r="G4664" s="7" t="n">
        <f aca="false">(Sens!F4646+Sens!G4646)/(Sens!F4647+Sens!G4647)</f>
        <v>0.6</v>
      </c>
      <c r="H4664" s="7" t="n">
        <f aca="false">(Sens!G4646+Sens!H4646)/(Sens!G4647+Sens!H4647)</f>
        <v>0.6</v>
      </c>
      <c r="I4664" s="7" t="n">
        <f aca="false">(Sens!H4646+Sens!I4646)/(Sens!H4647+Sens!I4647)</f>
        <v>0.6</v>
      </c>
      <c r="J4664" s="7" t="n">
        <f aca="false">(Sens!I4646+Sens!J4646)/(Sens!I4647+Sens!J4647)</f>
        <v>0.6</v>
      </c>
      <c r="K4664" s="7" t="n">
        <f aca="false">(Sens!J4646+Sens!K4646)/(Sens!J4647+Sens!K4647)</f>
        <v>0.6</v>
      </c>
    </row>
    <row r="4665" customFormat="false" ht="17.15" hidden="false" customHeight="false" outlineLevel="0" collapsed="false">
      <c r="A4665" s="0" t="s">
        <v>829</v>
      </c>
      <c r="B4665" s="0" t="s">
        <v>98</v>
      </c>
      <c r="D4665" s="6" t="n">
        <f aca="false">Sens!D4659-Sens!D4664*(Sens!D4661+Sens!D4663)-Sens!D4662</f>
        <v>8.35701406163072</v>
      </c>
      <c r="E4665" s="6" t="n">
        <f aca="false">Sens!E4659-Sens!E4664*(Sens!E4661+Sens!E4663)-Sens!E4662</f>
        <v>18.7103224860238</v>
      </c>
      <c r="F4665" s="6" t="n">
        <f aca="false">Sens!F4659-Sens!F4664*(Sens!F4661+Sens!F4663)-Sens!F4662</f>
        <v>43.1278534047371</v>
      </c>
      <c r="G4665" s="6" t="n">
        <f aca="false">Sens!G4659-Sens!G4664*(Sens!G4661+Sens!G4663)-Sens!G4662</f>
        <v>78.4713023799053</v>
      </c>
      <c r="H4665" s="6" t="n">
        <f aca="false">Sens!H4659-Sens!H4664*(Sens!H4661+Sens!H4663)-Sens!H4662</f>
        <v>120.169624261219</v>
      </c>
      <c r="I4665" s="6" t="n">
        <f aca="false">Sens!I4659-Sens!I4664*(Sens!I4661+Sens!I4663)-Sens!I4662</f>
        <v>150.500313132725</v>
      </c>
      <c r="J4665" s="6" t="n">
        <f aca="false">Sens!J4659-Sens!J4664*(Sens!J4661+Sens!J4663)-Sens!J4662</f>
        <v>171.973705186494</v>
      </c>
      <c r="K4665" s="6" t="n">
        <f aca="false">Sens!K4659-Sens!K4664*(Sens!K4661+Sens!K4663)-Sens!K4662</f>
        <v>183.858314700987</v>
      </c>
    </row>
    <row r="4666" customFormat="false" ht="17.15" hidden="false" customHeight="false" outlineLevel="0" collapsed="false">
      <c r="A4666" s="1" t="s">
        <v>830</v>
      </c>
      <c r="B4666" s="0" t="s">
        <v>98</v>
      </c>
      <c r="D4666" s="6" t="n">
        <f aca="false">(1-Sens!D4664)*(Sens!D4661+Sens!D4663)</f>
        <v>1.42281025374069</v>
      </c>
      <c r="E4666" s="6" t="n">
        <f aca="false">(1-Sens!E4664)*(Sens!E4661+Sens!E4663)</f>
        <v>3.25095598674472</v>
      </c>
      <c r="F4666" s="6" t="n">
        <f aca="false">(1-Sens!F4664)*(Sens!F4661+Sens!F4663)</f>
        <v>6.53293055050977</v>
      </c>
      <c r="G4666" s="6" t="n">
        <f aca="false">(1-Sens!G4664)*(Sens!G4661+Sens!G4663)</f>
        <v>10.7846311741651</v>
      </c>
      <c r="H4666" s="6" t="n">
        <f aca="false">(1-Sens!H4664)*(Sens!H4661+Sens!H4663)</f>
        <v>15.26343050201</v>
      </c>
      <c r="I4666" s="6" t="n">
        <f aca="false">(1-Sens!I4664)*(Sens!I4661+Sens!I4663)</f>
        <v>19.0876932389932</v>
      </c>
      <c r="J4666" s="6" t="n">
        <f aca="false">(1-Sens!J4664)*(Sens!J4661+Sens!J4663)</f>
        <v>21.6702280367232</v>
      </c>
      <c r="K4666" s="6" t="n">
        <f aca="false">(1-Sens!K4664)*(Sens!K4661+Sens!K4663)</f>
        <v>22.9814181493786</v>
      </c>
    </row>
    <row r="4667" customFormat="false" ht="17.15" hidden="false" customHeight="false" outlineLevel="0" collapsed="false">
      <c r="A4667" s="1" t="s">
        <v>831</v>
      </c>
      <c r="B4667" s="0" t="s">
        <v>350</v>
      </c>
      <c r="C4667" s="8" t="n">
        <f aca="false">cxit_open</f>
        <v>27.5918995</v>
      </c>
      <c r="D4667" s="8" t="n">
        <f aca="false">cxit_open</f>
        <v>27.5918995</v>
      </c>
      <c r="E4667" s="8" t="n">
        <f aca="false">cxit_open</f>
        <v>27.5918995</v>
      </c>
      <c r="F4667" s="8" t="n">
        <f aca="false">(a_g3_27*tk_cxit_gb300+(1-a_g3_27)*tk_cxit_vr200)</f>
        <v>33.8419624</v>
      </c>
      <c r="G4667" s="8" t="n">
        <f aca="false">(a_g3_28*tk_cxit_gb300+(1-a_g3_28)*tk_cxit_vr200)</f>
        <v>35.9816136</v>
      </c>
      <c r="H4667" s="8" t="n">
        <f aca="false">(a_g3_29*tk_cxit_gb300+(1-a_g3_29)*tk_cxit_vr200)</f>
        <v>37.0514392</v>
      </c>
      <c r="I4667" s="8" t="n">
        <f aca="false">(a_g3_29*tk_cxit_gb300+(1-a_g3_29)*tk_cxit_vr200)</f>
        <v>37.0514392</v>
      </c>
      <c r="J4667" s="8" t="n">
        <f aca="false">(a_g3_29*tk_cxit_gb300+(1-a_g3_29)*tk_cxit_vr200)</f>
        <v>37.0514392</v>
      </c>
      <c r="K4667" s="8" t="n">
        <f aca="false">(a_g3_29*tk_cxit_gb300+(1-a_g3_29)*tk_cxit_vr200)</f>
        <v>37.0514392</v>
      </c>
      <c r="L4667" s="11" t="s">
        <v>832</v>
      </c>
    </row>
    <row r="4668" customFormat="false" ht="17.15" hidden="false" customHeight="false" outlineLevel="0" collapsed="false">
      <c r="A4668" s="0" t="s">
        <v>833</v>
      </c>
      <c r="B4668" s="0" t="s">
        <v>392</v>
      </c>
      <c r="F4668" s="29" t="n">
        <f aca="false">Sens!C4649*IF(Sens!F4642-Sens!C4642=life_it_hi,1,0)+Sens!D4649*IF(Sens!F4642-Sens!D4642=life_it_hi,1,0)+Sens!E4649*IF(Sens!F4642-Sens!E4642=life_it_hi,1,0)</f>
        <v>0</v>
      </c>
      <c r="G4668" s="29" t="n">
        <f aca="false">Sens!C4649*IF(Sens!G4642-Sens!C4642=life_it_hi,1,0)+Sens!D4649*IF(Sens!G4642-Sens!D4642=life_it_hi,1,0)+Sens!E4649*IF(Sens!G4642-Sens!E4642=life_it_hi,1,0)+Sens!F4649*IF(Sens!G4642-Sens!F4642=life_it_hi,1,0)</f>
        <v>0</v>
      </c>
      <c r="H4668" s="29" t="n">
        <f aca="false">Sens!C4649*IF(Sens!H4642-Sens!C4642=life_it_hi,1,0)+Sens!D4649*IF(Sens!H4642-Sens!D4642=life_it_hi,1,0)+Sens!E4649*IF(Sens!H4642-Sens!E4642=life_it_hi,1,0)+Sens!F4649*IF(Sens!H4642-Sens!F4642=life_it_hi,1,0)+Sens!G4649*IF(Sens!H4642-Sens!G4642=life_it_hi,1,0)</f>
        <v>0</v>
      </c>
      <c r="I4668" s="29" t="n">
        <f aca="false">Sens!C4649*IF(Sens!I4642-Sens!C4642=life_it_hi,1,0)+Sens!D4649*IF(Sens!I4642-Sens!D4642=life_it_hi,1,0)+Sens!E4649*IF(Sens!I4642-Sens!E4642=life_it_hi,1,0)+Sens!F4649*IF(Sens!I4642-Sens!F4642=life_it_hi,1,0)+Sens!G4649*IF(Sens!I4642-Sens!G4642=life_it_hi,1,0)+Sens!H4649*IF(Sens!I4642-Sens!H4642=life_it_hi,1,0)</f>
        <v>0</v>
      </c>
      <c r="J4668" s="29" t="n">
        <f aca="false">Sens!C4649*IF(Sens!J4642-Sens!C4642=life_it_hi,1,0)+Sens!D4649*IF(Sens!J4642-Sens!D4642=life_it_hi,1,0)+Sens!E4649*IF(Sens!J4642-Sens!E4642=life_it_hi,1,0)+Sens!F4649*IF(Sens!J4642-Sens!F4642=life_it_hi,1,0)+Sens!G4649*IF(Sens!J4642-Sens!G4642=life_it_hi,1,0)+Sens!H4649*IF(Sens!J4642-Sens!H4642=life_it_hi,1,0)+Sens!I4649*IF(Sens!J4642-Sens!I4642=life_it_hi,1,0)</f>
        <v>816.666666666667</v>
      </c>
      <c r="K4668" s="29" t="n">
        <f aca="false">Sens!C4649*IF(Sens!K4642-Sens!C4642=life_it_hi,1,0)+Sens!D4649*IF(Sens!K4642-Sens!D4642=life_it_hi,1,0)+Sens!E4649*IF(Sens!K4642-Sens!E4642=life_it_hi,1,0)+Sens!F4649*IF(Sens!K4642-Sens!F4642=life_it_hi,1,0)+Sens!G4649*IF(Sens!K4642-Sens!G4642=life_it_hi,1,0)+Sens!H4649*IF(Sens!K4642-Sens!H4642=life_it_hi,1,0)+Sens!I4649*IF(Sens!K4642-Sens!I4642=life_it_hi,1,0)+Sens!J4649*IF(Sens!K4642-Sens!J4642=life_it_hi,1,0)</f>
        <v>1233.33333333333</v>
      </c>
      <c r="L4668" s="1" t="s">
        <v>834</v>
      </c>
    </row>
    <row r="4669" customFormat="false" ht="17.15" hidden="false" customHeight="false" outlineLevel="0" collapsed="false">
      <c r="A4669" s="0" t="s">
        <v>835</v>
      </c>
      <c r="B4669" s="0" t="s">
        <v>98</v>
      </c>
      <c r="C4669" s="6" t="n">
        <f aca="false">Sens!C4649*Sens!C4667/1000</f>
        <v>22.5333845916667</v>
      </c>
      <c r="D4669" s="6" t="n">
        <f aca="false">Sens!D4649*Sens!D4667/1000</f>
        <v>34.0300093833333</v>
      </c>
      <c r="E4669" s="6" t="n">
        <f aca="false">Sens!E4649*Sens!E4667/1000</f>
        <v>67.600153775</v>
      </c>
      <c r="F4669" s="6" t="n">
        <f aca="false">(Sens!F4649+Sens!F4668)*Sens!F4667/1000</f>
        <v>130.923271871467</v>
      </c>
      <c r="G4669" s="6" t="n">
        <f aca="false">(Sens!G4649+Sens!G4668)*Sens!G4667/1000</f>
        <v>151.5545564832</v>
      </c>
      <c r="H4669" s="6" t="n">
        <f aca="false">(Sens!H4649+Sens!H4668)*Sens!H4667/1000</f>
        <v>156.0606619104</v>
      </c>
      <c r="I4669" s="6" t="n">
        <f aca="false">(Sens!I4649+Sens!I4668)*Sens!I4667/1000</f>
        <v>110.729214087579</v>
      </c>
      <c r="J4669" s="6" t="n">
        <f aca="false">(Sens!J4649+Sens!J4668)*Sens!J4667/1000</f>
        <v>95.6564416114239</v>
      </c>
      <c r="K4669" s="6" t="n">
        <f aca="false">(Sens!K4649+Sens!K4668)*Sens!K4667/1000</f>
        <v>65.7630934552694</v>
      </c>
    </row>
    <row r="4670" customFormat="false" ht="17.15" hidden="false" customHeight="false" outlineLevel="0" collapsed="false">
      <c r="A4670" s="0" t="s">
        <v>836</v>
      </c>
      <c r="B4670" s="0" t="s">
        <v>98</v>
      </c>
      <c r="C4670" s="6" t="n">
        <f aca="false">Sens!C4649*self_build*tk_cxfac/1000</f>
        <v>6.2083</v>
      </c>
      <c r="D4670" s="6" t="n">
        <f aca="false">Sens!D4649*self_build*tk_cxfac/1000</f>
        <v>9.3758</v>
      </c>
      <c r="E4670" s="6" t="n">
        <f aca="false">Sens!E4649*self_build*tk_cxfac/1000</f>
        <v>18.6249</v>
      </c>
      <c r="F4670" s="6" t="n">
        <f aca="false">Sens!F4649*self_build*tk_cxfac/1000</f>
        <v>29.409604</v>
      </c>
      <c r="G4670" s="6" t="n">
        <f aca="false">Sens!G4649*self_build*tk_cxfac/1000</f>
        <v>32.019624</v>
      </c>
      <c r="H4670" s="6" t="n">
        <f aca="false">Sens!H4649*self_build*tk_cxfac/1000</f>
        <v>32.019624</v>
      </c>
      <c r="I4670" s="6" t="n">
        <f aca="false">Sens!I4649*self_build*tk_cxfac/1000</f>
        <v>22.71877972</v>
      </c>
      <c r="J4670" s="6" t="n">
        <f aca="false">Sens!J4649*self_build*tk_cxfac/1000</f>
        <v>13.41793544</v>
      </c>
      <c r="K4670" s="6" t="n">
        <f aca="false">Sens!K4649*self_build*tk_cxfac/1000</f>
        <v>4.11709116000001</v>
      </c>
    </row>
    <row r="4671" customFormat="false" ht="17.15" hidden="false" customHeight="false" outlineLevel="0" collapsed="false">
      <c r="A4671" s="0" t="s">
        <v>837</v>
      </c>
      <c r="B4671" s="0" t="s">
        <v>98</v>
      </c>
      <c r="F4671" s="6" t="n">
        <f aca="false">MAX(0,capex_floor27-Sens!F4669-Sens!F4670-Sens!F4764)</f>
        <v>8.13777689897088</v>
      </c>
      <c r="L4671" s="1" t="s">
        <v>838</v>
      </c>
    </row>
    <row r="4672" customFormat="false" ht="17.15" hidden="false" customHeight="false" outlineLevel="0" collapsed="false">
      <c r="A4672" s="0" t="s">
        <v>839</v>
      </c>
      <c r="B4672" s="0" t="s">
        <v>98</v>
      </c>
      <c r="C4672" s="6" t="n">
        <f aca="false">Sens!C4669</f>
        <v>22.5333845916667</v>
      </c>
      <c r="D4672" s="6" t="n">
        <f aca="false">Sens!D4669</f>
        <v>34.0300093833333</v>
      </c>
      <c r="E4672" s="6" t="n">
        <f aca="false">Sens!E4669</f>
        <v>67.600153775</v>
      </c>
      <c r="F4672" s="6" t="n">
        <f aca="false">Sens!F4669+Sens!F4671</f>
        <v>139.061048770438</v>
      </c>
      <c r="G4672" s="6" t="n">
        <f aca="false">Sens!G4669</f>
        <v>151.5545564832</v>
      </c>
      <c r="H4672" s="6" t="n">
        <f aca="false">Sens!H4669</f>
        <v>156.0606619104</v>
      </c>
      <c r="I4672" s="6" t="n">
        <f aca="false">Sens!I4669</f>
        <v>110.729214087579</v>
      </c>
      <c r="J4672" s="6" t="n">
        <f aca="false">Sens!J4669</f>
        <v>95.6564416114239</v>
      </c>
      <c r="K4672" s="6" t="n">
        <f aca="false">Sens!K4669</f>
        <v>65.7630934552694</v>
      </c>
    </row>
    <row r="4673" customFormat="false" ht="17.15" hidden="false" customHeight="false" outlineLevel="0" collapsed="false">
      <c r="A4673" s="0" t="s">
        <v>840</v>
      </c>
      <c r="B4673" s="0" t="s">
        <v>98</v>
      </c>
      <c r="C4673" s="6" t="n">
        <f aca="false">Sens!C4672+Sens!C4670</f>
        <v>28.7416845916667</v>
      </c>
      <c r="D4673" s="6" t="n">
        <f aca="false">Sens!D4672+Sens!D4670</f>
        <v>43.4058093833333</v>
      </c>
      <c r="E4673" s="6" t="n">
        <f aca="false">Sens!E4672+Sens!E4670</f>
        <v>86.225053775</v>
      </c>
      <c r="F4673" s="6" t="n">
        <f aca="false">Sens!F4672+Sens!F4670</f>
        <v>168.470652770438</v>
      </c>
      <c r="G4673" s="6" t="n">
        <f aca="false">Sens!G4672+Sens!G4670</f>
        <v>183.5741804832</v>
      </c>
      <c r="H4673" s="6" t="n">
        <f aca="false">Sens!H4672+Sens!H4670</f>
        <v>188.0802859104</v>
      </c>
      <c r="I4673" s="6" t="n">
        <f aca="false">Sens!I4672+Sens!I4670</f>
        <v>133.447993807579</v>
      </c>
      <c r="J4673" s="6" t="n">
        <f aca="false">Sens!J4672+Sens!J4670</f>
        <v>109.074377051424</v>
      </c>
      <c r="K4673" s="6" t="n">
        <f aca="false">Sens!K4672+Sens!K4670</f>
        <v>69.8801846152694</v>
      </c>
      <c r="L4673" s="11" t="s">
        <v>841</v>
      </c>
    </row>
    <row r="4674" customFormat="false" ht="17.15" hidden="false" customHeight="false" outlineLevel="0" collapsed="false">
      <c r="A4674" s="0" t="s">
        <v>842</v>
      </c>
      <c r="B4674" s="0" t="s">
        <v>98</v>
      </c>
      <c r="E4674" s="6" t="n">
        <f aca="false">(Sens!C4672*IF(2&lt;life_it_hi,1,IF(2=life_it_hi,0.5,0))+Sens!D4672*IF(1&lt;life_it_hi,1,IF(1=life_it_hi,0.5,0))+Sens!E4672*0.5)/life_it_hi</f>
        <v>12.9090672660714</v>
      </c>
      <c r="F4674" s="6" t="n">
        <f aca="false">(Sens!C4672*IF(3&lt;life_it_hi,1,IF(3=life_it_hi,0.5,0))+Sens!D4672*IF(2&lt;life_it_hi,1,IF(2=life_it_hi,0.5,0))+Sens!E4672*IF(1&lt;life_it_hi,1,IF(1=life_it_hi,0.5,0))+Sens!F4672*0.5)/life_it_hi</f>
        <v>27.6705817336027</v>
      </c>
      <c r="G4674" s="6" t="n">
        <f aca="false">(Sens!C4672*IF(4&lt;life_it_hi,1,IF(4=life_it_hi,0.5,0))+Sens!D4672*IF(3&lt;life_it_hi,1,IF(3=life_it_hi,0.5,0))+Sens!E4672*IF(2&lt;life_it_hi,1,IF(2=life_it_hi,0.5,0))+Sens!F4672*IF(1&lt;life_it_hi,1,IF(1=life_it_hi,0.5,0))+Sens!G4672*0.5)/life_it_hi</f>
        <v>48.4288392517197</v>
      </c>
      <c r="H4674" s="6" t="n">
        <f aca="false">(Sens!C4672*IF(5&lt;life_it_hi,1,IF(5=life_it_hi,0.5,0))+Sens!D4672*IF(4&lt;life_it_hi,1,IF(4=life_it_hi,0.5,0))+Sens!E4672*IF(3&lt;life_it_hi,1,IF(3=life_it_hi,0.5,0))+Sens!F4672*IF(2&lt;life_it_hi,1,IF(2=life_it_hi,0.5,0))+Sens!G4672*IF(1&lt;life_it_hi,1,IF(1=life_it_hi,0.5,0))+Sens!H4672*0.5)/life_it_hi</f>
        <v>70.4013548512625</v>
      </c>
      <c r="I4674" s="6" t="n">
        <f aca="false">(Sens!C4672*IF(6&lt;life_it_hi,1,IF(6=life_it_hi,0.5,0))+Sens!D4672*IF(5&lt;life_it_hi,1,IF(5=life_it_hi,0.5,0))+Sens!E4672*IF(4&lt;life_it_hi,1,IF(4=life_it_hi,0.5,0))+Sens!F4672*IF(3&lt;life_it_hi,1,IF(3=life_it_hi,0.5,0))+Sens!G4672*IF(2&lt;life_it_hi,1,IF(2=life_it_hi,0.5,0))+Sens!H4672*IF(1&lt;life_it_hi,1,IF(1=life_it_hi,0.5,0))+Sens!I4672*0.5)/life_it_hi</f>
        <v>89.4577745654039</v>
      </c>
      <c r="J4674" s="6" t="n">
        <f aca="false">(Sens!C4672*IF(7&lt;life_it_hi,1,IF(7=life_it_hi,0.5,0))+Sens!D4672*IF(6&lt;life_it_hi,1,IF(6=life_it_hi,0.5,0))+Sens!E4672*IF(5&lt;life_it_hi,1,IF(5=life_it_hi,0.5,0))+Sens!F4672*IF(4&lt;life_it_hi,1,IF(4=life_it_hi,0.5,0))+Sens!G4672*IF(3&lt;life_it_hi,1,IF(3=life_it_hi,0.5,0))+Sens!H4672*IF(2&lt;life_it_hi,1,IF(2=life_it_hi,0.5,0))+Sens!I4672*IF(1&lt;life_it_hi,1,IF(1=life_it_hi,0.5,0))+Sens!J4672*0.5)/life_it_hi</f>
        <v>102.590079644499</v>
      </c>
      <c r="K4674" s="6" t="n">
        <f aca="false">(Sens!C4672*IF(8&lt;life_it_hi,1,IF(8=life_it_hi,0.5,0))+Sens!D4672*IF(7&lt;life_it_hi,1,IF(7=life_it_hi,0.5,0))+Sens!E4672*IF(6&lt;life_it_hi,1,IF(6=life_it_hi,0.5,0))+Sens!F4672*IF(5&lt;life_it_hi,1,IF(5=life_it_hi,0.5,0))+Sens!G4672*IF(4&lt;life_it_hi,1,IF(4=life_it_hi,0.5,0))+Sens!H4672*IF(3&lt;life_it_hi,1,IF(3=life_it_hi,0.5,0))+Sens!I4672*IF(2&lt;life_it_hi,1,IF(2=life_it_hi,0.5,0))+Sens!J4672*IF(1&lt;life_it_hi,1,IF(1=life_it_hi,0.5,0))+Sens!K4672*0.5)/life_it_hi</f>
        <v>110.079804008192</v>
      </c>
    </row>
    <row r="4675" customFormat="false" ht="17.15" hidden="false" customHeight="false" outlineLevel="0" collapsed="false">
      <c r="A4675" s="0" t="s">
        <v>843</v>
      </c>
      <c r="B4675" s="0" t="s">
        <v>98</v>
      </c>
      <c r="E4675" s="6" t="n">
        <f aca="false">(Sens!C4670*IF(2&lt;life_fac,1,IF(2=life_fac,0.5,0))+Sens!D4670*IF(1&lt;life_fac,1,IF(1=life_fac,0.5,0))+Sens!E4670*0.5)/life_fac</f>
        <v>1.2448275</v>
      </c>
      <c r="F4675" s="6" t="n">
        <f aca="false">(Sens!C4670*IF(3&lt;life_fac,1,IF(3=life_fac,0.5,0))+Sens!D4670*IF(2&lt;life_fac,1,IF(2=life_fac,0.5,0))+Sens!E4670*IF(1&lt;life_fac,1,IF(1=life_fac,0.5,0))+Sens!F4670*0.5)/life_fac</f>
        <v>2.4456901</v>
      </c>
      <c r="G4675" s="6" t="n">
        <f aca="false">(Sens!C4670*IF(4&lt;life_fac,1,IF(4=life_fac,0.5,0))+Sens!D4670*IF(3&lt;life_fac,1,IF(3=life_fac,0.5,0))+Sens!E4670*IF(2&lt;life_fac,1,IF(2=life_fac,0.5,0))+Sens!F4670*IF(1&lt;life_fac,1,IF(1=life_fac,0.5,0))+Sens!G4670*0.5)/life_fac</f>
        <v>3.9814208</v>
      </c>
      <c r="H4675" s="6" t="n">
        <f aca="false">(Sens!C4670*IF(5&lt;life_fac,1,IF(5=life_fac,0.5,0))+Sens!D4670*IF(4&lt;life_fac,1,IF(4=life_fac,0.5,0))+Sens!E4670*IF(3&lt;life_fac,1,IF(3=life_fac,0.5,0))+Sens!F4670*IF(2&lt;life_fac,1,IF(2=life_fac,0.5,0))+Sens!G4670*IF(1&lt;life_fac,1,IF(1=life_fac,0.5,0))+Sens!H4670*0.5)/life_fac</f>
        <v>5.582402</v>
      </c>
      <c r="I4675" s="6" t="n">
        <f aca="false">(Sens!C4670*IF(6&lt;life_fac,1,IF(6=life_fac,0.5,0))+Sens!D4670*IF(5&lt;life_fac,1,IF(5=life_fac,0.5,0))+Sens!E4670*IF(4&lt;life_fac,1,IF(4=life_fac,0.5,0))+Sens!F4670*IF(3&lt;life_fac,1,IF(3=life_fac,0.5,0))+Sens!G4670*IF(2&lt;life_fac,1,IF(2=life_fac,0.5,0))+Sens!H4670*IF(1&lt;life_fac,1,IF(1=life_fac,0.5,0))+Sens!I4670*0.5)/life_fac</f>
        <v>6.950862093</v>
      </c>
      <c r="J4675" s="6" t="n">
        <f aca="false">(Sens!C4670*IF(7&lt;life_fac,1,IF(7=life_fac,0.5,0))+Sens!D4670*IF(6&lt;life_fac,1,IF(6=life_fac,0.5,0))+Sens!E4670*IF(5&lt;life_fac,1,IF(5=life_fac,0.5,0))+Sens!F4670*IF(4&lt;life_fac,1,IF(4=life_fac,0.5,0))+Sens!G4670*IF(3&lt;life_fac,1,IF(3=life_fac,0.5,0))+Sens!H4670*IF(2&lt;life_fac,1,IF(2=life_fac,0.5,0))+Sens!I4670*IF(1&lt;life_fac,1,IF(1=life_fac,0.5,0))+Sens!J4670*0.5)/life_fac</f>
        <v>7.854279972</v>
      </c>
      <c r="K4675" s="6" t="n">
        <f aca="false">(Sens!C4670*IF(8&lt;life_fac,1,IF(8=life_fac,0.5,0))+Sens!D4670*IF(7&lt;life_fac,1,IF(7=life_fac,0.5,0))+Sens!E4670*IF(6&lt;life_fac,1,IF(6=life_fac,0.5,0))+Sens!F4670*IF(5&lt;life_fac,1,IF(5=life_fac,0.5,0))+Sens!G4670*IF(4&lt;life_fac,1,IF(4=life_fac,0.5,0))+Sens!H4670*IF(3&lt;life_fac,1,IF(3=life_fac,0.5,0))+Sens!I4670*IF(2&lt;life_fac,1,IF(2=life_fac,0.5,0))+Sens!J4670*IF(1&lt;life_fac,1,IF(1=life_fac,0.5,0))+Sens!K4670*0.5)/life_fac</f>
        <v>8.292655637</v>
      </c>
    </row>
    <row r="4676" customFormat="false" ht="17.15" hidden="false" customHeight="false" outlineLevel="0" collapsed="false">
      <c r="A4676" s="0" t="s">
        <v>844</v>
      </c>
      <c r="B4676" s="0" t="s">
        <v>98</v>
      </c>
      <c r="E4676" s="6" t="n">
        <f aca="false">Sens!E4674+Sens!E4675</f>
        <v>14.1538947660714</v>
      </c>
      <c r="F4676" s="6" t="n">
        <f aca="false">Sens!F4674+Sens!F4675</f>
        <v>30.1162718336027</v>
      </c>
      <c r="G4676" s="6" t="n">
        <f aca="false">Sens!G4674+Sens!G4675</f>
        <v>52.4102600517197</v>
      </c>
      <c r="H4676" s="6" t="n">
        <f aca="false">Sens!H4674+Sens!H4675</f>
        <v>75.9837568512625</v>
      </c>
      <c r="I4676" s="6" t="n">
        <f aca="false">Sens!I4674+Sens!I4675</f>
        <v>96.4086366584039</v>
      </c>
      <c r="J4676" s="6" t="n">
        <f aca="false">Sens!J4674+Sens!J4675</f>
        <v>110.444359616499</v>
      </c>
      <c r="K4676" s="6" t="n">
        <f aca="false">Sens!K4674+Sens!K4675</f>
        <v>118.372459645192</v>
      </c>
    </row>
    <row r="4677" customFormat="false" ht="17.15" hidden="false" customHeight="false" outlineLevel="0" collapsed="false">
      <c r="A4677" s="0" t="s">
        <v>845</v>
      </c>
      <c r="B4677" s="0" t="s">
        <v>98</v>
      </c>
      <c r="E4677" s="6" t="n">
        <f aca="false">Sens!E4665-Sens!E4664*Sens!E4676</f>
        <v>10.2179856263809</v>
      </c>
      <c r="F4677" s="6" t="n">
        <f aca="false">Sens!F4665-Sens!F4664*Sens!F4676</f>
        <v>25.0580903045755</v>
      </c>
      <c r="G4677" s="6" t="n">
        <f aca="false">Sens!G4665-Sens!G4664*Sens!G4676</f>
        <v>47.0251463488735</v>
      </c>
      <c r="H4677" s="6" t="n">
        <f aca="false">Sens!H4665-Sens!H4664*Sens!H4676</f>
        <v>74.5793701504614</v>
      </c>
      <c r="I4677" s="6" t="n">
        <f aca="false">Sens!I4665-Sens!I4664*Sens!I4676</f>
        <v>92.6551311376826</v>
      </c>
      <c r="J4677" s="6" t="n">
        <f aca="false">Sens!J4665-Sens!J4664*Sens!J4676</f>
        <v>105.707089416594</v>
      </c>
      <c r="K4677" s="6" t="n">
        <f aca="false">Sens!K4665-Sens!K4664*Sens!K4676</f>
        <v>112.834838913872</v>
      </c>
    </row>
    <row r="4678" customFormat="false" ht="17.15" hidden="false" customHeight="false" outlineLevel="0" collapsed="false">
      <c r="A4678" s="3" t="s">
        <v>1355</v>
      </c>
    </row>
    <row r="4679" customFormat="false" ht="15" hidden="false" customHeight="false" outlineLevel="0" collapsed="false">
      <c r="A4679" s="4" t="s">
        <v>43</v>
      </c>
      <c r="B4679" s="4" t="s">
        <v>65</v>
      </c>
      <c r="C4679" s="20" t="s">
        <v>788</v>
      </c>
      <c r="D4679" s="20" t="s">
        <v>789</v>
      </c>
      <c r="E4679" s="20" t="s">
        <v>790</v>
      </c>
      <c r="F4679" s="20" t="s">
        <v>791</v>
      </c>
      <c r="G4679" s="20" t="s">
        <v>792</v>
      </c>
      <c r="H4679" s="20" t="s">
        <v>793</v>
      </c>
      <c r="I4679" s="20" t="s">
        <v>794</v>
      </c>
      <c r="J4679" s="20" t="s">
        <v>795</v>
      </c>
      <c r="K4679" s="20" t="s">
        <v>796</v>
      </c>
      <c r="L4679" s="4" t="s">
        <v>47</v>
      </c>
    </row>
    <row r="4680" customFormat="false" ht="17.15" hidden="false" customHeight="false" outlineLevel="0" collapsed="false">
      <c r="A4680" s="0" t="s">
        <v>864</v>
      </c>
      <c r="B4680" s="0" t="s">
        <v>98</v>
      </c>
      <c r="D4680" s="6" t="n">
        <f aca="false">Sens!D4659</f>
        <v>12.9359794422418</v>
      </c>
      <c r="E4680" s="6" t="n">
        <f aca="false">Sens!E4659</f>
        <v>27.8095064661409</v>
      </c>
      <c r="F4680" s="6" t="n">
        <f aca="false">Sens!F4659</f>
        <v>58.7324192305018</v>
      </c>
      <c r="G4680" s="6" t="n">
        <f aca="false">Sens!G4659</f>
        <v>101.369089141153</v>
      </c>
      <c r="H4680" s="6" t="n">
        <f aca="false">Sens!H4659</f>
        <v>149.785610014234</v>
      </c>
      <c r="I4680" s="6" t="n">
        <f aca="false">Sens!I4659</f>
        <v>185.852692991215</v>
      </c>
      <c r="J4680" s="6" t="n">
        <f aca="false">Sens!J4659</f>
        <v>211.199887241579</v>
      </c>
      <c r="K4680" s="6" t="n">
        <f aca="false">Sens!K4659</f>
        <v>225.051281925055</v>
      </c>
    </row>
    <row r="4681" customFormat="false" ht="17.15" hidden="false" customHeight="false" outlineLevel="0" collapsed="false">
      <c r="A4681" s="0" t="s">
        <v>865</v>
      </c>
      <c r="B4681" s="0" t="s">
        <v>98</v>
      </c>
      <c r="D4681" s="6" t="n">
        <f aca="false">Q!L6-Sens!D4680</f>
        <v>59.6740205577583</v>
      </c>
      <c r="E4681" s="6" t="n">
        <f aca="false">Q!M6-Sens!E4680</f>
        <v>74.1284935338591</v>
      </c>
      <c r="F4681" s="6" t="n">
        <f aca="false">Sens!E4681*(1+Sens!F4682)</f>
        <v>90.0799497373663</v>
      </c>
      <c r="G4681" s="6" t="n">
        <f aca="false">Sens!F4681*(1+Sens!G4682)</f>
        <v>107.02842520331</v>
      </c>
      <c r="H4681" s="6" t="n">
        <f aca="false">Sens!G4681*(1+Sens!H4682)</f>
        <v>124.271982585636</v>
      </c>
      <c r="I4681" s="6" t="n">
        <f aca="false">Sens!H4681*(1+Sens!I4682)</f>
        <v>140.933702381855</v>
      </c>
      <c r="J4681" s="6" t="n">
        <f aca="false">Sens!I4681*(1+Sens!J4682)</f>
        <v>156.018867314332</v>
      </c>
      <c r="K4681" s="6" t="n">
        <f aca="false">Sens!J4681*(1+Sens!K4682)</f>
        <v>168.500376699478</v>
      </c>
    </row>
    <row r="4682" customFormat="false" ht="15" hidden="false" customHeight="false" outlineLevel="0" collapsed="false">
      <c r="A4682" s="1" t="s">
        <v>866</v>
      </c>
      <c r="B4682" s="0" t="s">
        <v>129</v>
      </c>
      <c r="E4682" s="7" t="n">
        <f aca="false">Sens!E4681/Sens!D4681-1</f>
        <v>0.242223883039864</v>
      </c>
      <c r="F4682" s="7" t="n">
        <f aca="false">Sens!$E$4682+(glt_azo-Sens!$E$4682)*MIN(1,(Sens!F4642-base_fy)/n_conv)</f>
        <v>0.215186569199887</v>
      </c>
      <c r="G4682" s="7" t="n">
        <f aca="false">Sens!$E$4682+(glt_azo-Sens!$E$4682)*MIN(1,(Sens!G4642-base_fy)/n_conv)</f>
        <v>0.18814925535991</v>
      </c>
      <c r="H4682" s="7" t="n">
        <f aca="false">Sens!$E$4682+(glt_azo-Sens!$E$4682)*MIN(1,(Sens!H4642-base_fy)/n_conv)</f>
        <v>0.161111941519932</v>
      </c>
      <c r="I4682" s="7" t="n">
        <f aca="false">Sens!$E$4682+(glt_azo-Sens!$E$4682)*MIN(1,(Sens!I4642-base_fy)/n_conv)</f>
        <v>0.134074627679955</v>
      </c>
      <c r="J4682" s="7" t="n">
        <f aca="false">Sens!$E$4682+(glt_azo-Sens!$E$4682)*MIN(1,(Sens!J4642-base_fy)/n_conv)</f>
        <v>0.107037313839977</v>
      </c>
      <c r="K4682" s="7" t="n">
        <f aca="false">Sens!$E$4682+(glt_azo-Sens!$E$4682)*MIN(1,(Sens!K4642-base_fy)/n_conv)</f>
        <v>0.08</v>
      </c>
    </row>
    <row r="4683" customFormat="false" ht="15" hidden="false" customHeight="false" outlineLevel="0" collapsed="false">
      <c r="A4683" s="0" t="s">
        <v>867</v>
      </c>
      <c r="B4683" s="0" t="s">
        <v>98</v>
      </c>
      <c r="D4683" s="6" t="n">
        <f aca="false">Sens!D4680+Sens!D4681</f>
        <v>72.61</v>
      </c>
      <c r="E4683" s="6" t="n">
        <f aca="false">Sens!E4680+Sens!E4681</f>
        <v>101.938</v>
      </c>
      <c r="F4683" s="6" t="n">
        <f aca="false">Sens!F4680+Sens!F4681</f>
        <v>148.812368967868</v>
      </c>
      <c r="G4683" s="6" t="n">
        <f aca="false">Sens!G4680+Sens!G4681</f>
        <v>208.397514344463</v>
      </c>
      <c r="H4683" s="6" t="n">
        <f aca="false">Sens!H4680+Sens!H4681</f>
        <v>274.05759259987</v>
      </c>
      <c r="I4683" s="6" t="n">
        <f aca="false">Sens!I4680+Sens!I4681</f>
        <v>326.78639537307</v>
      </c>
      <c r="J4683" s="6" t="n">
        <f aca="false">Sens!J4680+Sens!J4681</f>
        <v>367.21875455591</v>
      </c>
      <c r="K4683" s="6" t="n">
        <f aca="false">Sens!K4680+Sens!K4681</f>
        <v>393.551658624533</v>
      </c>
    </row>
    <row r="4684" customFormat="false" ht="17.15" hidden="false" customHeight="false" outlineLevel="0" collapsed="false">
      <c r="A4684" s="0" t="s">
        <v>868</v>
      </c>
      <c r="B4684" s="1" t="s">
        <v>521</v>
      </c>
      <c r="C4684" s="29" t="n">
        <f aca="false">cop_s24</f>
        <v>1</v>
      </c>
      <c r="D4684" s="29" t="n">
        <f aca="false">cop_s25</f>
        <v>5</v>
      </c>
      <c r="E4684" s="29" t="n">
        <f aca="false">cop_s26</f>
        <v>30</v>
      </c>
      <c r="F4684" s="29" t="n">
        <f aca="false">Sens!E4684+cop_add_A</f>
        <v>60</v>
      </c>
      <c r="G4684" s="29" t="n">
        <f aca="false">Sens!F4684+cop_add_A</f>
        <v>90</v>
      </c>
      <c r="H4684" s="29" t="n">
        <f aca="false">Sens!G4684+cop_add_A</f>
        <v>120</v>
      </c>
      <c r="I4684" s="29" t="n">
        <f aca="false">Sens!H4684+cop_add_A*cop_tail</f>
        <v>135</v>
      </c>
      <c r="J4684" s="29" t="n">
        <f aca="false">Sens!I4684+cop_add_A*cop_tail</f>
        <v>150</v>
      </c>
      <c r="K4684" s="29" t="n">
        <f aca="false">Sens!J4684+cop_add_A*cop_tail</f>
        <v>165</v>
      </c>
      <c r="L4684" s="11" t="s">
        <v>869</v>
      </c>
    </row>
    <row r="4685" customFormat="false" ht="17.15" hidden="false" customHeight="false" outlineLevel="0" collapsed="false">
      <c r="A4685" s="0" t="s">
        <v>870</v>
      </c>
      <c r="B4685" s="0" t="s">
        <v>98</v>
      </c>
      <c r="D4685" s="6" t="n">
        <f aca="false">(Sens!C4684+Sens!D4684)/2*cop_px*12/1000</f>
        <v>0.9</v>
      </c>
      <c r="E4685" s="6" t="n">
        <f aca="false">(Sens!D4684+Sens!E4684)/2*cop_px*12/1000</f>
        <v>5.25</v>
      </c>
      <c r="F4685" s="6" t="n">
        <f aca="false">(Sens!E4684+Sens!F4684)/2*cop_px*12/1000</f>
        <v>13.5</v>
      </c>
      <c r="G4685" s="6" t="n">
        <f aca="false">(Sens!F4684+Sens!G4684)/2*cop_px*12/1000</f>
        <v>22.5</v>
      </c>
      <c r="H4685" s="6" t="n">
        <f aca="false">(Sens!G4684+Sens!H4684)/2*cop_px*12/1000</f>
        <v>31.5</v>
      </c>
      <c r="I4685" s="6" t="n">
        <f aca="false">(Sens!H4684+Sens!I4684)/2*cop_px*12/1000</f>
        <v>38.25</v>
      </c>
      <c r="J4685" s="6" t="n">
        <f aca="false">(Sens!I4684+Sens!J4684)/2*cop_px*12/1000</f>
        <v>42.75</v>
      </c>
      <c r="K4685" s="6" t="n">
        <f aca="false">(Sens!J4684+Sens!K4684)/2*cop_px*12/1000</f>
        <v>47.25</v>
      </c>
      <c r="L4685" s="1" t="s">
        <v>871</v>
      </c>
    </row>
    <row r="4686" customFormat="false" ht="17.15" hidden="false" customHeight="false" outlineLevel="0" collapsed="false">
      <c r="A4686" s="0" t="s">
        <v>872</v>
      </c>
      <c r="B4686" s="0" t="s">
        <v>98</v>
      </c>
      <c r="D4686" s="6" t="n">
        <f aca="false">Q!L7-Sens!D4685</f>
        <v>83.705</v>
      </c>
      <c r="E4686" s="6" t="n">
        <f aca="false">Q!M7-Sens!E4685</f>
        <v>95.049</v>
      </c>
      <c r="F4686" s="6" t="n">
        <f aca="false">Sens!E4686*(1+Sens!F4687)</f>
        <v>106.89238776686</v>
      </c>
      <c r="G4686" s="6" t="n">
        <f aca="false">Sens!F4686*(1+Sens!G4687)</f>
        <v>119.044168448684</v>
      </c>
      <c r="H4686" s="6" t="n">
        <f aca="false">Sens!G4686*(1+Sens!H4687)</f>
        <v>131.277359388781</v>
      </c>
      <c r="I4686" s="6" t="n">
        <f aca="false">Sens!H4686*(1+Sens!I4687)</f>
        <v>143.334028071957</v>
      </c>
      <c r="J4686" s="6" t="n">
        <f aca="false">Sens!I4686*(1+Sens!J4687)</f>
        <v>154.932702785465</v>
      </c>
      <c r="K4686" s="6" t="n">
        <f aca="false">Sens!J4686*(1+Sens!K4687)</f>
        <v>165.777991980448</v>
      </c>
    </row>
    <row r="4687" customFormat="false" ht="15" hidden="false" customHeight="false" outlineLevel="0" collapsed="false">
      <c r="A4687" s="1" t="s">
        <v>866</v>
      </c>
      <c r="B4687" s="0" t="s">
        <v>129</v>
      </c>
      <c r="E4687" s="7" t="n">
        <f aca="false">Sens!E4686/Sens!D4686-1</f>
        <v>0.135523564900544</v>
      </c>
      <c r="F4687" s="7" t="n">
        <f aca="false">Sens!$E$4687+(glt_m365b-Sens!$E$4687)*MIN(1,(Sens!F4642-base_fy)/n_conv)</f>
        <v>0.124602970750453</v>
      </c>
      <c r="G4687" s="7" t="n">
        <f aca="false">Sens!$E$4687+(glt_m365b-Sens!$E$4687)*MIN(1,(Sens!G4642-base_fy)/n_conv)</f>
        <v>0.113682376600363</v>
      </c>
      <c r="H4687" s="7" t="n">
        <f aca="false">Sens!$E$4687+(glt_m365b-Sens!$E$4687)*MIN(1,(Sens!H4642-base_fy)/n_conv)</f>
        <v>0.102761782450272</v>
      </c>
      <c r="I4687" s="7" t="n">
        <f aca="false">Sens!$E$4687+(glt_m365b-Sens!$E$4687)*MIN(1,(Sens!I4642-base_fy)/n_conv)</f>
        <v>0.0918411883001813</v>
      </c>
      <c r="J4687" s="7" t="n">
        <f aca="false">Sens!$E$4687+(glt_m365b-Sens!$E$4687)*MIN(1,(Sens!J4642-base_fy)/n_conv)</f>
        <v>0.0809205941500906</v>
      </c>
      <c r="K4687" s="7" t="n">
        <f aca="false">Sens!$E$4687+(glt_m365b-Sens!$E$4687)*MIN(1,(Sens!K4642-base_fy)/n_conv)</f>
        <v>0.07</v>
      </c>
    </row>
    <row r="4688" customFormat="false" ht="15" hidden="false" customHeight="false" outlineLevel="0" collapsed="false">
      <c r="A4688" s="0" t="s">
        <v>873</v>
      </c>
      <c r="B4688" s="0" t="s">
        <v>98</v>
      </c>
      <c r="D4688" s="6" t="n">
        <f aca="false">Sens!D4686+Sens!D4685</f>
        <v>84.605</v>
      </c>
      <c r="E4688" s="6" t="n">
        <f aca="false">Sens!E4686+Sens!E4685</f>
        <v>100.299</v>
      </c>
      <c r="F4688" s="6" t="n">
        <f aca="false">Sens!F4686+Sens!F4685</f>
        <v>120.39238776686</v>
      </c>
      <c r="G4688" s="6" t="n">
        <f aca="false">Sens!G4686+Sens!G4685</f>
        <v>141.544168448684</v>
      </c>
      <c r="H4688" s="6" t="n">
        <f aca="false">Sens!H4686+Sens!H4685</f>
        <v>162.777359388781</v>
      </c>
      <c r="I4688" s="6" t="n">
        <f aca="false">Sens!I4686+Sens!I4685</f>
        <v>181.584028071957</v>
      </c>
      <c r="J4688" s="6" t="n">
        <f aca="false">Sens!J4686+Sens!J4685</f>
        <v>197.682702785465</v>
      </c>
      <c r="K4688" s="6" t="n">
        <f aca="false">Sens!K4686+Sens!K4685</f>
        <v>213.027991980448</v>
      </c>
    </row>
    <row r="4689" customFormat="false" ht="15" hidden="false" customHeight="false" outlineLevel="0" collapsed="false">
      <c r="A4689" s="0" t="s">
        <v>874</v>
      </c>
      <c r="B4689" s="0" t="s">
        <v>98</v>
      </c>
      <c r="D4689" s="6" t="n">
        <f aca="false">Q!L8</f>
        <v>35.391</v>
      </c>
      <c r="E4689" s="6" t="n">
        <f aca="false">Q!M8</f>
        <v>37.285</v>
      </c>
      <c r="F4689" s="6" t="n">
        <f aca="false">Sens!E4689*(1+Sens!F4690)</f>
        <v>39.0720834331704</v>
      </c>
      <c r="G4689" s="6" t="n">
        <f aca="false">Sens!F4689*(1+Sens!G4690)</f>
        <v>40.726562953769</v>
      </c>
      <c r="H4689" s="6" t="n">
        <f aca="false">Sens!G4689*(1+Sens!H4690)</f>
        <v>42.2235987259198</v>
      </c>
      <c r="I4689" s="6" t="n">
        <f aca="false">Sens!H4689*(1+Sens!I4690)</f>
        <v>43.5397988077414</v>
      </c>
      <c r="J4689" s="6" t="n">
        <f aca="false">Sens!I4689*(1+Sens!J4690)</f>
        <v>44.653811225693</v>
      </c>
      <c r="K4689" s="6" t="n">
        <f aca="false">Sens!J4689*(1+Sens!K4690)</f>
        <v>45.5468874502068</v>
      </c>
    </row>
    <row r="4690" customFormat="false" ht="15" hidden="false" customHeight="false" outlineLevel="0" collapsed="false">
      <c r="A4690" s="1" t="s">
        <v>866</v>
      </c>
      <c r="B4690" s="0" t="s">
        <v>129</v>
      </c>
      <c r="E4690" s="7" t="n">
        <f aca="false">Sens!E4689/Sens!D4689-1</f>
        <v>0.0535164307309768</v>
      </c>
      <c r="F4690" s="7" t="n">
        <f aca="false">Sens!$E$4690+(glt_lic-Sens!$E$4690)*MIN(1,(Sens!F4642-base_fy)/n_conv)</f>
        <v>0.0479303589424807</v>
      </c>
      <c r="G4690" s="7" t="n">
        <f aca="false">Sens!$E$4690+(glt_lic-Sens!$E$4690)*MIN(1,(Sens!G4642-base_fy)/n_conv)</f>
        <v>0.0423442871539845</v>
      </c>
      <c r="H4690" s="7" t="n">
        <f aca="false">Sens!$E$4690+(glt_lic-Sens!$E$4690)*MIN(1,(Sens!H4642-base_fy)/n_conv)</f>
        <v>0.0367582153654884</v>
      </c>
      <c r="I4690" s="7" t="n">
        <f aca="false">Sens!$E$4690+(glt_lic-Sens!$E$4690)*MIN(1,(Sens!I4642-base_fy)/n_conv)</f>
        <v>0.0311721435769923</v>
      </c>
      <c r="J4690" s="7" t="n">
        <f aca="false">Sens!$E$4690+(glt_lic-Sens!$E$4690)*MIN(1,(Sens!J4642-base_fy)/n_conv)</f>
        <v>0.0255860717884961</v>
      </c>
      <c r="K4690" s="7" t="n">
        <f aca="false">Sens!$E$4690+(glt_lic-Sens!$E$4690)*MIN(1,(Sens!K4642-base_fy)/n_conv)</f>
        <v>0.02</v>
      </c>
    </row>
    <row r="4691" customFormat="false" ht="15" hidden="false" customHeight="false" outlineLevel="0" collapsed="false">
      <c r="A4691" s="0" t="s">
        <v>875</v>
      </c>
      <c r="B4691" s="0" t="s">
        <v>98</v>
      </c>
      <c r="D4691" s="6" t="n">
        <f aca="false">Q!L9</f>
        <v>18.417</v>
      </c>
      <c r="E4691" s="6" t="n">
        <f aca="false">Q!M9</f>
        <v>20.345</v>
      </c>
      <c r="F4691" s="6" t="n">
        <f aca="false">Sens!E4691*(1+Sens!F4692)</f>
        <v>22.3572203267814</v>
      </c>
      <c r="G4691" s="6" t="n">
        <f aca="false">Sens!F4691*(1+Sens!G4692)</f>
        <v>24.4392124437232</v>
      </c>
      <c r="H4691" s="6" t="n">
        <f aca="false">Sens!G4691*(1+Sens!H4692)</f>
        <v>26.5738052080665</v>
      </c>
      <c r="I4691" s="6" t="n">
        <f aca="false">Sens!H4691*(1+Sens!I4692)</f>
        <v>28.7412169166967</v>
      </c>
      <c r="J4691" s="6" t="n">
        <f aca="false">Sens!I4691*(1+Sens!J4692)</f>
        <v>30.9192545395413</v>
      </c>
      <c r="K4691" s="6" t="n">
        <f aca="false">Sens!J4691*(1+Sens!K4692)</f>
        <v>33.0836023573092</v>
      </c>
    </row>
    <row r="4692" customFormat="false" ht="15" hidden="false" customHeight="false" outlineLevel="0" collapsed="false">
      <c r="A4692" s="1" t="s">
        <v>866</v>
      </c>
      <c r="B4692" s="0" t="s">
        <v>129</v>
      </c>
      <c r="E4692" s="7" t="n">
        <f aca="false">Sens!E4691/Sens!D4691-1</f>
        <v>0.104685888038225</v>
      </c>
      <c r="F4692" s="7" t="n">
        <f aca="false">Sens!$E$4692+(glt_ind-Sens!$E$4692)*MIN(1,(Sens!F4642-base_fy)/n_conv)</f>
        <v>0.0989049066985211</v>
      </c>
      <c r="G4692" s="7" t="n">
        <f aca="false">Sens!$E$4692+(glt_ind-Sens!$E$4692)*MIN(1,(Sens!G4642-base_fy)/n_conv)</f>
        <v>0.0931239253588169</v>
      </c>
      <c r="H4692" s="7" t="n">
        <f aca="false">Sens!$E$4692+(glt_ind-Sens!$E$4692)*MIN(1,(Sens!H4642-base_fy)/n_conv)</f>
        <v>0.0873429440191127</v>
      </c>
      <c r="I4692" s="7" t="n">
        <f aca="false">Sens!$E$4692+(glt_ind-Sens!$E$4692)*MIN(1,(Sens!I4642-base_fy)/n_conv)</f>
        <v>0.0815619626794085</v>
      </c>
      <c r="J4692" s="7" t="n">
        <f aca="false">Sens!$E$4692+(glt_ind-Sens!$E$4692)*MIN(1,(Sens!J4642-base_fy)/n_conv)</f>
        <v>0.0757809813397042</v>
      </c>
      <c r="K4692" s="7" t="n">
        <f aca="false">Sens!$E$4692+(glt_ind-Sens!$E$4692)*MIN(1,(Sens!K4642-base_fy)/n_conv)</f>
        <v>0.07</v>
      </c>
    </row>
    <row r="4693" customFormat="false" ht="15" hidden="false" customHeight="false" outlineLevel="0" collapsed="false">
      <c r="A4693" s="0" t="s">
        <v>876</v>
      </c>
      <c r="B4693" s="0" t="s">
        <v>98</v>
      </c>
      <c r="D4693" s="6" t="n">
        <f aca="false">Q!L10</f>
        <v>7.76</v>
      </c>
      <c r="E4693" s="6" t="n">
        <f aca="false">Q!M10</f>
        <v>8.26</v>
      </c>
      <c r="F4693" s="6" t="n">
        <f aca="false">Sens!E4693*(1+Sens!F4694)</f>
        <v>8.79988041237113</v>
      </c>
      <c r="G4693" s="6" t="n">
        <f aca="false">Sens!F4693*(1+Sens!G4694)</f>
        <v>9.38321269125306</v>
      </c>
      <c r="H4693" s="6" t="n">
        <f aca="false">Sens!G4693*(1+Sens!H4694)</f>
        <v>10.0139193587476</v>
      </c>
      <c r="I4693" s="6" t="n">
        <f aca="false">Sens!H4693*(1+Sens!I4694)</f>
        <v>10.6963111830911</v>
      </c>
      <c r="J4693" s="6" t="n">
        <f aca="false">Sens!I4693*(1+Sens!J4694)</f>
        <v>11.4351285534696</v>
      </c>
      <c r="K4693" s="6" t="n">
        <f aca="false">Sens!J4693*(1+Sens!K4694)</f>
        <v>12.2355875522124</v>
      </c>
    </row>
    <row r="4694" customFormat="false" ht="15" hidden="false" customHeight="false" outlineLevel="0" collapsed="false">
      <c r="A4694" s="1" t="s">
        <v>866</v>
      </c>
      <c r="B4694" s="0" t="s">
        <v>129</v>
      </c>
      <c r="E4694" s="7" t="n">
        <f aca="false">Sens!E4693/Sens!D4693-1</f>
        <v>0.0644329896907216</v>
      </c>
      <c r="F4694" s="7" t="n">
        <f aca="false">Sens!$E$4694+(glt_fro-Sens!$E$4694)*MIN(1,(Sens!F4642-base_fy)/n_conv)</f>
        <v>0.065360824742268</v>
      </c>
      <c r="G4694" s="7" t="n">
        <f aca="false">Sens!$E$4694+(glt_fro-Sens!$E$4694)*MIN(1,(Sens!G4642-base_fy)/n_conv)</f>
        <v>0.0662886597938144</v>
      </c>
      <c r="H4694" s="7" t="n">
        <f aca="false">Sens!$E$4694+(glt_fro-Sens!$E$4694)*MIN(1,(Sens!H4642-base_fy)/n_conv)</f>
        <v>0.0672164948453608</v>
      </c>
      <c r="I4694" s="7" t="n">
        <f aca="false">Sens!$E$4694+(glt_fro-Sens!$E$4694)*MIN(1,(Sens!I4642-base_fy)/n_conv)</f>
        <v>0.0681443298969072</v>
      </c>
      <c r="J4694" s="7" t="n">
        <f aca="false">Sens!$E$4694+(glt_fro-Sens!$E$4694)*MIN(1,(Sens!J4642-base_fy)/n_conv)</f>
        <v>0.0690721649484536</v>
      </c>
      <c r="K4694" s="7" t="n">
        <f aca="false">Sens!$E$4694+(glt_fro-Sens!$E$4694)*MIN(1,(Sens!K4642-base_fy)/n_conv)</f>
        <v>0.07</v>
      </c>
    </row>
    <row r="4695" customFormat="false" ht="15" hidden="false" customHeight="false" outlineLevel="0" collapsed="false">
      <c r="A4695" s="0" t="s">
        <v>704</v>
      </c>
      <c r="B4695" s="0" t="s">
        <v>98</v>
      </c>
      <c r="D4695" s="6" t="n">
        <f aca="false">Sens!D4683+Sens!D4688+Sens!D4689+Sens!D4691+Sens!D4693</f>
        <v>218.783</v>
      </c>
      <c r="E4695" s="6" t="n">
        <f aca="false">Sens!E4683+Sens!E4688+Sens!E4689+Sens!E4691+Sens!E4693</f>
        <v>268.127</v>
      </c>
      <c r="F4695" s="6" t="n">
        <f aca="false">Sens!F4683+Sens!F4688+Sens!F4689+Sens!F4691+Sens!F4693</f>
        <v>339.433940907051</v>
      </c>
      <c r="G4695" s="6" t="n">
        <f aca="false">Sens!G4683+Sens!G4688+Sens!G4689+Sens!G4691+Sens!G4693</f>
        <v>424.490670881892</v>
      </c>
      <c r="H4695" s="6" t="n">
        <f aca="false">Sens!H4683+Sens!H4688+Sens!H4689+Sens!H4691+Sens!H4693</f>
        <v>515.646275281385</v>
      </c>
      <c r="I4695" s="6" t="n">
        <f aca="false">Sens!I4683+Sens!I4688+Sens!I4689+Sens!I4691+Sens!I4693</f>
        <v>591.347750352556</v>
      </c>
      <c r="J4695" s="6" t="n">
        <f aca="false">Sens!J4683+Sens!J4688+Sens!J4689+Sens!J4691+Sens!J4693</f>
        <v>651.909651660079</v>
      </c>
      <c r="K4695" s="6" t="n">
        <f aca="false">Sens!K4683+Sens!K4688+Sens!K4689+Sens!K4691+Sens!K4693</f>
        <v>697.44572796471</v>
      </c>
    </row>
    <row r="4696" customFormat="false" ht="15" hidden="false" customHeight="false" outlineLevel="0" collapsed="false">
      <c r="A4696" s="0" t="s">
        <v>877</v>
      </c>
      <c r="B4696" s="0" t="s">
        <v>98</v>
      </c>
      <c r="D4696" s="6" t="n">
        <f aca="false">Q!L13</f>
        <v>22.171</v>
      </c>
      <c r="E4696" s="6" t="n">
        <f aca="false">Q!M13</f>
        <v>24.835</v>
      </c>
      <c r="F4696" s="6" t="n">
        <f aca="false">Sens!E4696*(1+Sens!F4697)</f>
        <v>27.6114901218559</v>
      </c>
      <c r="G4696" s="6" t="n">
        <f aca="false">Sens!F4696*(1+Sens!G4697)</f>
        <v>30.4675667338515</v>
      </c>
      <c r="H4696" s="6" t="n">
        <f aca="false">Sens!G4696*(1+Sens!H4697)</f>
        <v>33.3643766955789</v>
      </c>
      <c r="I4696" s="6" t="n">
        <f aca="false">Sens!H4696*(1+Sens!I4697)</f>
        <v>36.2577016533691</v>
      </c>
      <c r="J4696" s="6" t="n">
        <f aca="false">Sens!I4696*(1+Sens!J4697)</f>
        <v>39.0988367952171</v>
      </c>
      <c r="K4696" s="6" t="n">
        <f aca="false">Sens!J4696*(1+Sens!K4697)</f>
        <v>41.8357553708823</v>
      </c>
    </row>
    <row r="4697" customFormat="false" ht="15" hidden="false" customHeight="false" outlineLevel="0" collapsed="false">
      <c r="A4697" s="1" t="s">
        <v>866</v>
      </c>
      <c r="B4697" s="0" t="s">
        <v>129</v>
      </c>
      <c r="E4697" s="7" t="n">
        <f aca="false">Sens!E4696/Sens!D4696-1</f>
        <v>0.120156961796942</v>
      </c>
      <c r="F4697" s="7" t="n">
        <f aca="false">Sens!$E$4697+(glt_srch-Sens!$E$4697)*MIN(1,(Sens!F4642-base_fy)/n_conv)</f>
        <v>0.111797468164118</v>
      </c>
      <c r="G4697" s="7" t="n">
        <f aca="false">Sens!$E$4697+(glt_srch-Sens!$E$4697)*MIN(1,(Sens!G4642-base_fy)/n_conv)</f>
        <v>0.103437974531295</v>
      </c>
      <c r="H4697" s="7" t="n">
        <f aca="false">Sens!$E$4697+(glt_srch-Sens!$E$4697)*MIN(1,(Sens!H4642-base_fy)/n_conv)</f>
        <v>0.095078480898471</v>
      </c>
      <c r="I4697" s="7" t="n">
        <f aca="false">Sens!$E$4697+(glt_srch-Sens!$E$4697)*MIN(1,(Sens!I4642-base_fy)/n_conv)</f>
        <v>0.0867189872656474</v>
      </c>
      <c r="J4697" s="7" t="n">
        <f aca="false">Sens!$E$4697+(glt_srch-Sens!$E$4697)*MIN(1,(Sens!J4642-base_fy)/n_conv)</f>
        <v>0.0783594936328237</v>
      </c>
      <c r="K4697" s="7" t="n">
        <f aca="false">Sens!$E$4697+(glt_srch-Sens!$E$4697)*MIN(1,(Sens!K4642-base_fy)/n_conv)</f>
        <v>0.07</v>
      </c>
    </row>
    <row r="4698" customFormat="false" ht="15" hidden="false" customHeight="false" outlineLevel="0" collapsed="false">
      <c r="A4698" s="0" t="s">
        <v>878</v>
      </c>
      <c r="B4698" s="0" t="s">
        <v>98</v>
      </c>
      <c r="D4698" s="6" t="n">
        <f aca="false">Q!L14</f>
        <v>23.455</v>
      </c>
      <c r="E4698" s="6" t="n">
        <f aca="false">Q!M14</f>
        <v>21.79</v>
      </c>
      <c r="F4698" s="6" t="n">
        <f aca="false">Sens!E4698*(1+Sens!F4699)</f>
        <v>20.5736277908051</v>
      </c>
      <c r="G4698" s="6" t="n">
        <f aca="false">Sens!F4698*(1+Sens!G4699)</f>
        <v>19.7371452817919</v>
      </c>
      <c r="H4698" s="6" t="n">
        <f aca="false">Sens!G4698*(1+Sens!H4699)</f>
        <v>19.2339764043138</v>
      </c>
      <c r="I4698" s="6" t="n">
        <f aca="false">Sens!H4698*(1+Sens!I4699)</f>
        <v>19.0353086852681</v>
      </c>
      <c r="J4698" s="6" t="n">
        <f aca="false">Sens!I4698*(1+Sens!J4699)</f>
        <v>19.1273539319129</v>
      </c>
      <c r="K4698" s="6" t="n">
        <f aca="false">Sens!J4698*(1+Sens!K4699)</f>
        <v>19.5099010105511</v>
      </c>
    </row>
    <row r="4699" customFormat="false" ht="15" hidden="false" customHeight="false" outlineLevel="0" collapsed="false">
      <c r="A4699" s="1" t="s">
        <v>866</v>
      </c>
      <c r="B4699" s="0" t="s">
        <v>129</v>
      </c>
      <c r="E4699" s="7" t="n">
        <f aca="false">Sens!E4698/Sens!D4698-1</f>
        <v>-0.0709869963760392</v>
      </c>
      <c r="F4699" s="7" t="n">
        <f aca="false">Sens!$E$4699+(glt_xbox-Sens!$E$4699)*MIN(1,(Sens!F4642-base_fy)/n_conv)</f>
        <v>-0.0558224969800327</v>
      </c>
      <c r="G4699" s="7" t="n">
        <f aca="false">Sens!$E$4699+(glt_xbox-Sens!$E$4699)*MIN(1,(Sens!G4642-base_fy)/n_conv)</f>
        <v>-0.0406579975840262</v>
      </c>
      <c r="H4699" s="7" t="n">
        <f aca="false">Sens!$E$4699+(glt_xbox-Sens!$E$4699)*MIN(1,(Sens!H4642-base_fy)/n_conv)</f>
        <v>-0.0254934981880196</v>
      </c>
      <c r="I4699" s="7" t="n">
        <f aca="false">Sens!$E$4699+(glt_xbox-Sens!$E$4699)*MIN(1,(Sens!I4642-base_fy)/n_conv)</f>
        <v>-0.0103289987920131</v>
      </c>
      <c r="J4699" s="7" t="n">
        <f aca="false">Sens!$E$4699+(glt_xbox-Sens!$E$4699)*MIN(1,(Sens!J4642-base_fy)/n_conv)</f>
        <v>0.00483550060399347</v>
      </c>
      <c r="K4699" s="7" t="n">
        <f aca="false">Sens!$E$4699+(glt_xbox-Sens!$E$4699)*MIN(1,(Sens!K4642-base_fy)/n_conv)</f>
        <v>0.02</v>
      </c>
    </row>
    <row r="4700" customFormat="false" ht="15" hidden="false" customHeight="false" outlineLevel="0" collapsed="false">
      <c r="A4700" s="0" t="s">
        <v>879</v>
      </c>
      <c r="B4700" s="0" t="s">
        <v>98</v>
      </c>
      <c r="D4700" s="6" t="n">
        <f aca="false">Q!L15</f>
        <v>17.315</v>
      </c>
      <c r="E4700" s="6" t="n">
        <f aca="false">Q!M15</f>
        <v>17.087</v>
      </c>
      <c r="F4700" s="6" t="n">
        <f aca="false">Sens!E4700*(1+Sens!F4701)</f>
        <v>16.9564585436519</v>
      </c>
      <c r="G4700" s="6" t="n">
        <f aca="false">Sens!F4700*(1+Sens!G4701)</f>
        <v>16.9206490624268</v>
      </c>
      <c r="H4700" s="6" t="n">
        <f aca="false">Sens!G4700*(1+Sens!H4701)</f>
        <v>16.9784519149849</v>
      </c>
      <c r="I4700" s="6" t="n">
        <f aca="false">Sens!H4700*(1+Sens!I4701)</f>
        <v>17.1303084701817</v>
      </c>
      <c r="J4700" s="6" t="n">
        <f aca="false">Sens!I4700*(1+Sens!J4701)</f>
        <v>17.3782189407267</v>
      </c>
      <c r="K4700" s="6" t="n">
        <f aca="false">Sens!J4700*(1+Sens!K4701)</f>
        <v>17.7257833195413</v>
      </c>
    </row>
    <row r="4701" customFormat="false" ht="15" hidden="false" customHeight="false" outlineLevel="0" collapsed="false">
      <c r="A4701" s="1" t="s">
        <v>866</v>
      </c>
      <c r="B4701" s="0" t="s">
        <v>129</v>
      </c>
      <c r="E4701" s="7" t="n">
        <f aca="false">Sens!E4700/Sens!D4700-1</f>
        <v>-0.0131677736066995</v>
      </c>
      <c r="F4701" s="7" t="n">
        <f aca="false">Sens!$E$4701+(glt_win-Sens!$E$4701)*MIN(1,(Sens!F4642-base_fy)/n_conv)</f>
        <v>-0.00763981133891627</v>
      </c>
      <c r="G4701" s="7" t="n">
        <f aca="false">Sens!$E$4701+(glt_win-Sens!$E$4701)*MIN(1,(Sens!G4642-base_fy)/n_conv)</f>
        <v>-0.00211184907113301</v>
      </c>
      <c r="H4701" s="7" t="n">
        <f aca="false">Sens!$E$4701+(glt_win-Sens!$E$4701)*MIN(1,(Sens!H4642-base_fy)/n_conv)</f>
        <v>0.00341611319665024</v>
      </c>
      <c r="I4701" s="7" t="n">
        <f aca="false">Sens!$E$4701+(glt_win-Sens!$E$4701)*MIN(1,(Sens!I4642-base_fy)/n_conv)</f>
        <v>0.00894407546443349</v>
      </c>
      <c r="J4701" s="7" t="n">
        <f aca="false">Sens!$E$4701+(glt_win-Sens!$E$4701)*MIN(1,(Sens!J4642-base_fy)/n_conv)</f>
        <v>0.0144720377322168</v>
      </c>
      <c r="K4701" s="7" t="n">
        <f aca="false">Sens!$E$4701+(glt_win-Sens!$E$4701)*MIN(1,(Sens!K4642-base_fy)/n_conv)</f>
        <v>0.02</v>
      </c>
    </row>
    <row r="4702" customFormat="false" ht="15" hidden="false" customHeight="false" outlineLevel="0" collapsed="false">
      <c r="A4702" s="0" t="s">
        <v>718</v>
      </c>
      <c r="B4702" s="0" t="s">
        <v>98</v>
      </c>
      <c r="D4702" s="6" t="n">
        <f aca="false">Sens!D4696+Sens!D4698+Sens!D4700</f>
        <v>62.941</v>
      </c>
      <c r="E4702" s="6" t="n">
        <f aca="false">Sens!E4696+Sens!E4698+Sens!E4700</f>
        <v>63.712</v>
      </c>
      <c r="F4702" s="6" t="n">
        <f aca="false">Sens!F4696+Sens!F4698+Sens!F4700</f>
        <v>65.1415764563129</v>
      </c>
      <c r="G4702" s="6" t="n">
        <f aca="false">Sens!G4696+Sens!G4698+Sens!G4700</f>
        <v>67.1253610780702</v>
      </c>
      <c r="H4702" s="6" t="n">
        <f aca="false">Sens!H4696+Sens!H4698+Sens!H4700</f>
        <v>69.5768050148776</v>
      </c>
      <c r="I4702" s="6" t="n">
        <f aca="false">Sens!I4696+Sens!I4698+Sens!I4700</f>
        <v>72.4233188088189</v>
      </c>
      <c r="J4702" s="6" t="n">
        <f aca="false">Sens!J4696+Sens!J4698+Sens!J4700</f>
        <v>75.6044096678567</v>
      </c>
      <c r="K4702" s="6" t="n">
        <f aca="false">Sens!K4696+Sens!K4698+Sens!K4700</f>
        <v>79.0714397009747</v>
      </c>
    </row>
    <row r="4703" customFormat="false" ht="15" hidden="false" customHeight="false" outlineLevel="0" collapsed="false">
      <c r="A4703" s="1" t="s">
        <v>880</v>
      </c>
      <c r="B4703" s="0" t="s">
        <v>98</v>
      </c>
      <c r="D4703" s="6" t="n">
        <f aca="false">Sens!D4695+Sens!D4702</f>
        <v>281.724</v>
      </c>
      <c r="E4703" s="6" t="n">
        <f aca="false">Sens!E4695+Sens!E4702</f>
        <v>331.839</v>
      </c>
      <c r="F4703" s="6" t="n">
        <f aca="false">Sens!F4695+Sens!F4702</f>
        <v>404.575517363364</v>
      </c>
      <c r="G4703" s="6" t="n">
        <f aca="false">Sens!G4695+Sens!G4702</f>
        <v>491.616031959962</v>
      </c>
      <c r="H4703" s="6" t="n">
        <f aca="false">Sens!H4695+Sens!H4702</f>
        <v>585.223080296262</v>
      </c>
      <c r="I4703" s="6" t="n">
        <f aca="false">Sens!I4695+Sens!I4702</f>
        <v>663.771069161375</v>
      </c>
      <c r="J4703" s="6" t="n">
        <f aca="false">Sens!J4695+Sens!J4702</f>
        <v>727.514061327936</v>
      </c>
      <c r="K4703" s="6" t="n">
        <f aca="false">Sens!K4695+Sens!K4702</f>
        <v>776.517167665685</v>
      </c>
    </row>
    <row r="4704" customFormat="false" ht="15" hidden="false" customHeight="false" outlineLevel="0" collapsed="false">
      <c r="A4704" s="23" t="s">
        <v>881</v>
      </c>
      <c r="B4704" s="30" t="s">
        <v>98</v>
      </c>
      <c r="C4704" s="30"/>
      <c r="D4704" s="24" t="n">
        <f aca="false">(Sens!D4683+Sens!D4688+Sens!D4689+Sens!D4691+Sens!D4693-Sens!D4695)+(Sens!D4696+Sens!D4698+Sens!D4700-Sens!D4702)+(Sens!D4695-Q!L5)+(Sens!D4702-Q!L12)+(Sens!D4683-Q!L6)+(Sens!D4688-Q!L7)</f>
        <v>0</v>
      </c>
      <c r="E4704" s="24" t="n">
        <f aca="false">(Sens!E4683+Sens!E4688+Sens!E4689+Sens!E4691+Sens!E4693-Sens!E4695)+(Sens!E4696+Sens!E4698+Sens!E4700-Sens!E4702)+(Sens!E4695-Q!M5)+(Sens!E4702-Q!M12)+(Sens!E4683-Q!M6)+(Sens!E4688-Q!M7)</f>
        <v>0</v>
      </c>
      <c r="F4704" s="24" t="n">
        <f aca="false">(Sens!F4683+Sens!F4688+Sens!F4689+Sens!F4691+Sens!F4693-Sens!F4695)+(Sens!F4696+Sens!F4698+Sens!F4700-Sens!F4702)</f>
        <v>0</v>
      </c>
      <c r="G4704" s="24" t="n">
        <f aca="false">(Sens!G4683+Sens!G4688+Sens!G4689+Sens!G4691+Sens!G4693-Sens!G4695)+(Sens!G4696+Sens!G4698+Sens!G4700-Sens!G4702)</f>
        <v>0</v>
      </c>
      <c r="H4704" s="24" t="n">
        <f aca="false">(Sens!H4683+Sens!H4688+Sens!H4689+Sens!H4691+Sens!H4693-Sens!H4695)+(Sens!H4696+Sens!H4698+Sens!H4700-Sens!H4702)</f>
        <v>0</v>
      </c>
      <c r="I4704" s="24" t="n">
        <f aca="false">(Sens!I4683+Sens!I4688+Sens!I4689+Sens!I4691+Sens!I4693-Sens!I4695)+(Sens!I4696+Sens!I4698+Sens!I4700-Sens!I4702)</f>
        <v>0</v>
      </c>
      <c r="J4704" s="24" t="n">
        <f aca="false">(Sens!J4683+Sens!J4688+Sens!J4689+Sens!J4691+Sens!J4693-Sens!J4695)+(Sens!J4696+Sens!J4698+Sens!J4700-Sens!J4702)</f>
        <v>0</v>
      </c>
      <c r="K4704" s="24" t="n">
        <f aca="false">(Sens!K4683+Sens!K4688+Sens!K4689+Sens!K4691+Sens!K4693-Sens!K4695)+(Sens!K4696+Sens!K4698+Sens!K4700-Sens!K4702)</f>
        <v>0</v>
      </c>
    </row>
    <row r="4705" customFormat="false" ht="17.15" hidden="false" customHeight="false" outlineLevel="0" collapsed="false">
      <c r="A4705" s="3" t="s">
        <v>1356</v>
      </c>
    </row>
    <row r="4706" customFormat="false" ht="15" hidden="false" customHeight="false" outlineLevel="0" collapsed="false">
      <c r="A4706" s="4" t="s">
        <v>43</v>
      </c>
      <c r="B4706" s="4" t="s">
        <v>65</v>
      </c>
      <c r="C4706" s="20" t="s">
        <v>788</v>
      </c>
      <c r="D4706" s="20" t="s">
        <v>789</v>
      </c>
      <c r="E4706" s="20" t="s">
        <v>790</v>
      </c>
      <c r="F4706" s="20" t="s">
        <v>791</v>
      </c>
      <c r="G4706" s="20" t="s">
        <v>792</v>
      </c>
      <c r="H4706" s="20" t="s">
        <v>793</v>
      </c>
      <c r="I4706" s="20" t="s">
        <v>794</v>
      </c>
      <c r="J4706" s="20" t="s">
        <v>795</v>
      </c>
      <c r="K4706" s="20" t="s">
        <v>796</v>
      </c>
      <c r="L4706" s="4" t="s">
        <v>47</v>
      </c>
    </row>
    <row r="4707" customFormat="false" ht="15" hidden="false" customHeight="false" outlineLevel="0" collapsed="false">
      <c r="A4707" s="0" t="s">
        <v>867</v>
      </c>
      <c r="B4707" s="0" t="s">
        <v>98</v>
      </c>
      <c r="D4707" s="6" t="n">
        <f aca="false">Sens!D4683</f>
        <v>72.61</v>
      </c>
      <c r="E4707" s="6" t="n">
        <f aca="false">Sens!E4683</f>
        <v>101.938</v>
      </c>
      <c r="F4707" s="6" t="n">
        <f aca="false">Sens!F4683</f>
        <v>148.812368967868</v>
      </c>
      <c r="G4707" s="6" t="n">
        <f aca="false">Sens!G4683</f>
        <v>208.397514344463</v>
      </c>
      <c r="H4707" s="6" t="n">
        <f aca="false">Sens!H4683</f>
        <v>274.05759259987</v>
      </c>
      <c r="I4707" s="6" t="n">
        <f aca="false">Sens!I4683</f>
        <v>326.78639537307</v>
      </c>
      <c r="J4707" s="6" t="n">
        <f aca="false">Sens!J4683</f>
        <v>367.21875455591</v>
      </c>
      <c r="K4707" s="6" t="n">
        <f aca="false">Sens!K4683</f>
        <v>393.551658624533</v>
      </c>
    </row>
    <row r="4708" customFormat="false" ht="17.15" hidden="false" customHeight="false" outlineLevel="0" collapsed="false">
      <c r="A4708" s="0" t="s">
        <v>864</v>
      </c>
      <c r="B4708" s="0" t="s">
        <v>98</v>
      </c>
      <c r="D4708" s="6" t="n">
        <f aca="false">Sens!D4680</f>
        <v>12.9359794422418</v>
      </c>
      <c r="E4708" s="6" t="n">
        <f aca="false">Sens!E4680</f>
        <v>27.8095064661409</v>
      </c>
      <c r="F4708" s="6" t="n">
        <f aca="false">Sens!F4680</f>
        <v>58.7324192305018</v>
      </c>
      <c r="G4708" s="6" t="n">
        <f aca="false">Sens!G4680</f>
        <v>101.369089141153</v>
      </c>
      <c r="H4708" s="6" t="n">
        <f aca="false">Sens!H4680</f>
        <v>149.785610014234</v>
      </c>
      <c r="I4708" s="6" t="n">
        <f aca="false">Sens!I4680</f>
        <v>185.852692991215</v>
      </c>
      <c r="J4708" s="6" t="n">
        <f aca="false">Sens!J4680</f>
        <v>211.199887241579</v>
      </c>
      <c r="K4708" s="6" t="n">
        <f aca="false">Sens!K4680</f>
        <v>225.051281925055</v>
      </c>
    </row>
    <row r="4709" customFormat="false" ht="17.15" hidden="false" customHeight="false" outlineLevel="0" collapsed="false">
      <c r="A4709" s="0" t="s">
        <v>892</v>
      </c>
      <c r="B4709" s="0" t="s">
        <v>98</v>
      </c>
      <c r="D4709" s="6" t="n">
        <f aca="false">Sens!D4681</f>
        <v>59.6740205577583</v>
      </c>
      <c r="E4709" s="6" t="n">
        <f aca="false">Sens!E4681</f>
        <v>74.1284935338591</v>
      </c>
      <c r="F4709" s="6" t="n">
        <f aca="false">Sens!F4681</f>
        <v>90.0799497373663</v>
      </c>
      <c r="G4709" s="6" t="n">
        <f aca="false">Sens!G4681</f>
        <v>107.02842520331</v>
      </c>
      <c r="H4709" s="6" t="n">
        <f aca="false">Sens!H4681</f>
        <v>124.271982585636</v>
      </c>
      <c r="I4709" s="6" t="n">
        <f aca="false">Sens!I4681</f>
        <v>140.933702381855</v>
      </c>
      <c r="J4709" s="6" t="n">
        <f aca="false">Sens!J4681</f>
        <v>156.018867314332</v>
      </c>
      <c r="K4709" s="6" t="n">
        <f aca="false">Sens!K4681</f>
        <v>168.500376699478</v>
      </c>
    </row>
    <row r="4710" customFormat="false" ht="15" hidden="false" customHeight="false" outlineLevel="0" collapsed="false">
      <c r="A4710" s="0" t="s">
        <v>873</v>
      </c>
      <c r="B4710" s="0" t="s">
        <v>98</v>
      </c>
      <c r="D4710" s="6" t="n">
        <f aca="false">Sens!D4688</f>
        <v>84.605</v>
      </c>
      <c r="E4710" s="6" t="n">
        <f aca="false">Sens!E4688</f>
        <v>100.299</v>
      </c>
      <c r="F4710" s="6" t="n">
        <f aca="false">Sens!F4688</f>
        <v>120.39238776686</v>
      </c>
      <c r="G4710" s="6" t="n">
        <f aca="false">Sens!G4688</f>
        <v>141.544168448684</v>
      </c>
      <c r="H4710" s="6" t="n">
        <f aca="false">Sens!H4688</f>
        <v>162.777359388781</v>
      </c>
      <c r="I4710" s="6" t="n">
        <f aca="false">Sens!I4688</f>
        <v>181.584028071957</v>
      </c>
      <c r="J4710" s="6" t="n">
        <f aca="false">Sens!J4688</f>
        <v>197.682702785465</v>
      </c>
      <c r="K4710" s="6" t="n">
        <f aca="false">Sens!K4688</f>
        <v>213.027991980448</v>
      </c>
    </row>
    <row r="4711" customFormat="false" ht="17.15" hidden="false" customHeight="false" outlineLevel="0" collapsed="false">
      <c r="A4711" s="0" t="s">
        <v>893</v>
      </c>
      <c r="B4711" s="0" t="s">
        <v>98</v>
      </c>
      <c r="D4711" s="6" t="n">
        <f aca="false">Sens!D4686</f>
        <v>83.705</v>
      </c>
      <c r="E4711" s="6" t="n">
        <f aca="false">Sens!E4686</f>
        <v>95.049</v>
      </c>
      <c r="F4711" s="6" t="n">
        <f aca="false">Sens!F4686</f>
        <v>106.89238776686</v>
      </c>
      <c r="G4711" s="6" t="n">
        <f aca="false">Sens!G4686</f>
        <v>119.044168448684</v>
      </c>
      <c r="H4711" s="6" t="n">
        <f aca="false">Sens!H4686</f>
        <v>131.277359388781</v>
      </c>
      <c r="I4711" s="6" t="n">
        <f aca="false">Sens!I4686</f>
        <v>143.334028071957</v>
      </c>
      <c r="J4711" s="6" t="n">
        <f aca="false">Sens!J4686</f>
        <v>154.932702785465</v>
      </c>
      <c r="K4711" s="6" t="n">
        <f aca="false">Sens!K4686</f>
        <v>165.777991980448</v>
      </c>
    </row>
    <row r="4712" customFormat="false" ht="17.15" hidden="false" customHeight="false" outlineLevel="0" collapsed="false">
      <c r="A4712" s="0" t="s">
        <v>894</v>
      </c>
      <c r="B4712" s="0" t="s">
        <v>98</v>
      </c>
      <c r="D4712" s="6" t="n">
        <f aca="false">Sens!D4685</f>
        <v>0.9</v>
      </c>
      <c r="E4712" s="6" t="n">
        <f aca="false">Sens!E4685</f>
        <v>5.25</v>
      </c>
      <c r="F4712" s="6" t="n">
        <f aca="false">Sens!F4685</f>
        <v>13.5</v>
      </c>
      <c r="G4712" s="6" t="n">
        <f aca="false">Sens!G4685</f>
        <v>22.5</v>
      </c>
      <c r="H4712" s="6" t="n">
        <f aca="false">Sens!H4685</f>
        <v>31.5</v>
      </c>
      <c r="I4712" s="6" t="n">
        <f aca="false">Sens!I4685</f>
        <v>38.25</v>
      </c>
      <c r="J4712" s="6" t="n">
        <f aca="false">Sens!J4685</f>
        <v>42.75</v>
      </c>
      <c r="K4712" s="6" t="n">
        <f aca="false">Sens!K4685</f>
        <v>47.25</v>
      </c>
    </row>
    <row r="4713" customFormat="false" ht="15" hidden="false" customHeight="false" outlineLevel="0" collapsed="false">
      <c r="A4713" s="0" t="s">
        <v>874</v>
      </c>
      <c r="B4713" s="0" t="s">
        <v>98</v>
      </c>
      <c r="D4713" s="6" t="n">
        <f aca="false">Sens!D4689</f>
        <v>35.391</v>
      </c>
      <c r="E4713" s="6" t="n">
        <f aca="false">Sens!E4689</f>
        <v>37.285</v>
      </c>
      <c r="F4713" s="6" t="n">
        <f aca="false">Sens!F4689</f>
        <v>39.0720834331704</v>
      </c>
      <c r="G4713" s="6" t="n">
        <f aca="false">Sens!G4689</f>
        <v>40.726562953769</v>
      </c>
      <c r="H4713" s="6" t="n">
        <f aca="false">Sens!H4689</f>
        <v>42.2235987259198</v>
      </c>
      <c r="I4713" s="6" t="n">
        <f aca="false">Sens!I4689</f>
        <v>43.5397988077414</v>
      </c>
      <c r="J4713" s="6" t="n">
        <f aca="false">Sens!J4689</f>
        <v>44.653811225693</v>
      </c>
      <c r="K4713" s="6" t="n">
        <f aca="false">Sens!K4689</f>
        <v>45.5468874502068</v>
      </c>
    </row>
    <row r="4714" customFormat="false" ht="15" hidden="false" customHeight="false" outlineLevel="0" collapsed="false">
      <c r="A4714" s="0" t="s">
        <v>875</v>
      </c>
      <c r="B4714" s="0" t="s">
        <v>98</v>
      </c>
      <c r="D4714" s="6" t="n">
        <f aca="false">Sens!D4691</f>
        <v>18.417</v>
      </c>
      <c r="E4714" s="6" t="n">
        <f aca="false">Sens!E4691</f>
        <v>20.345</v>
      </c>
      <c r="F4714" s="6" t="n">
        <f aca="false">Sens!F4691</f>
        <v>22.3572203267814</v>
      </c>
      <c r="G4714" s="6" t="n">
        <f aca="false">Sens!G4691</f>
        <v>24.4392124437232</v>
      </c>
      <c r="H4714" s="6" t="n">
        <f aca="false">Sens!H4691</f>
        <v>26.5738052080665</v>
      </c>
      <c r="I4714" s="6" t="n">
        <f aca="false">Sens!I4691</f>
        <v>28.7412169166967</v>
      </c>
      <c r="J4714" s="6" t="n">
        <f aca="false">Sens!J4691</f>
        <v>30.9192545395413</v>
      </c>
      <c r="K4714" s="6" t="n">
        <f aca="false">Sens!K4691</f>
        <v>33.0836023573092</v>
      </c>
    </row>
    <row r="4715" customFormat="false" ht="15" hidden="false" customHeight="false" outlineLevel="0" collapsed="false">
      <c r="A4715" s="0" t="s">
        <v>876</v>
      </c>
      <c r="B4715" s="0" t="s">
        <v>98</v>
      </c>
      <c r="D4715" s="6" t="n">
        <f aca="false">Sens!D4693</f>
        <v>7.76</v>
      </c>
      <c r="E4715" s="6" t="n">
        <f aca="false">Sens!E4693</f>
        <v>8.26</v>
      </c>
      <c r="F4715" s="6" t="n">
        <f aca="false">Sens!F4693</f>
        <v>8.79988041237113</v>
      </c>
      <c r="G4715" s="6" t="n">
        <f aca="false">Sens!G4693</f>
        <v>9.38321269125306</v>
      </c>
      <c r="H4715" s="6" t="n">
        <f aca="false">Sens!H4693</f>
        <v>10.0139193587476</v>
      </c>
      <c r="I4715" s="6" t="n">
        <f aca="false">Sens!I4693</f>
        <v>10.6963111830911</v>
      </c>
      <c r="J4715" s="6" t="n">
        <f aca="false">Sens!J4693</f>
        <v>11.4351285534696</v>
      </c>
      <c r="K4715" s="6" t="n">
        <f aca="false">Sens!K4693</f>
        <v>12.2355875522124</v>
      </c>
    </row>
    <row r="4716" customFormat="false" ht="15" hidden="false" customHeight="false" outlineLevel="0" collapsed="false">
      <c r="A4716" s="0" t="s">
        <v>704</v>
      </c>
      <c r="B4716" s="0" t="s">
        <v>98</v>
      </c>
      <c r="D4716" s="6" t="n">
        <f aca="false">Sens!D4695</f>
        <v>218.783</v>
      </c>
      <c r="E4716" s="6" t="n">
        <f aca="false">Sens!E4695</f>
        <v>268.127</v>
      </c>
      <c r="F4716" s="6" t="n">
        <f aca="false">Sens!F4695</f>
        <v>339.433940907051</v>
      </c>
      <c r="G4716" s="6" t="n">
        <f aca="false">Sens!G4695</f>
        <v>424.490670881892</v>
      </c>
      <c r="H4716" s="6" t="n">
        <f aca="false">Sens!H4695</f>
        <v>515.646275281385</v>
      </c>
      <c r="I4716" s="6" t="n">
        <f aca="false">Sens!I4695</f>
        <v>591.347750352556</v>
      </c>
      <c r="J4716" s="6" t="n">
        <f aca="false">Sens!J4695</f>
        <v>651.909651660079</v>
      </c>
      <c r="K4716" s="6" t="n">
        <f aca="false">Sens!K4695</f>
        <v>697.44572796471</v>
      </c>
    </row>
    <row r="4717" customFormat="false" ht="15" hidden="false" customHeight="false" outlineLevel="0" collapsed="false">
      <c r="A4717" s="0" t="s">
        <v>877</v>
      </c>
      <c r="B4717" s="0" t="s">
        <v>98</v>
      </c>
      <c r="D4717" s="6" t="n">
        <f aca="false">Sens!D4696</f>
        <v>22.171</v>
      </c>
      <c r="E4717" s="6" t="n">
        <f aca="false">Sens!E4696</f>
        <v>24.835</v>
      </c>
      <c r="F4717" s="6" t="n">
        <f aca="false">Sens!F4696</f>
        <v>27.6114901218559</v>
      </c>
      <c r="G4717" s="6" t="n">
        <f aca="false">Sens!G4696</f>
        <v>30.4675667338515</v>
      </c>
      <c r="H4717" s="6" t="n">
        <f aca="false">Sens!H4696</f>
        <v>33.3643766955789</v>
      </c>
      <c r="I4717" s="6" t="n">
        <f aca="false">Sens!I4696</f>
        <v>36.2577016533691</v>
      </c>
      <c r="J4717" s="6" t="n">
        <f aca="false">Sens!J4696</f>
        <v>39.0988367952171</v>
      </c>
      <c r="K4717" s="6" t="n">
        <f aca="false">Sens!K4696</f>
        <v>41.8357553708823</v>
      </c>
    </row>
    <row r="4718" customFormat="false" ht="15" hidden="false" customHeight="false" outlineLevel="0" collapsed="false">
      <c r="A4718" s="0" t="s">
        <v>878</v>
      </c>
      <c r="B4718" s="0" t="s">
        <v>98</v>
      </c>
      <c r="D4718" s="6" t="n">
        <f aca="false">Sens!D4698</f>
        <v>23.455</v>
      </c>
      <c r="E4718" s="6" t="n">
        <f aca="false">Sens!E4698</f>
        <v>21.79</v>
      </c>
      <c r="F4718" s="6" t="n">
        <f aca="false">Sens!F4698</f>
        <v>20.5736277908051</v>
      </c>
      <c r="G4718" s="6" t="n">
        <f aca="false">Sens!G4698</f>
        <v>19.7371452817919</v>
      </c>
      <c r="H4718" s="6" t="n">
        <f aca="false">Sens!H4698</f>
        <v>19.2339764043138</v>
      </c>
      <c r="I4718" s="6" t="n">
        <f aca="false">Sens!I4698</f>
        <v>19.0353086852681</v>
      </c>
      <c r="J4718" s="6" t="n">
        <f aca="false">Sens!J4698</f>
        <v>19.1273539319129</v>
      </c>
      <c r="K4718" s="6" t="n">
        <f aca="false">Sens!K4698</f>
        <v>19.5099010105511</v>
      </c>
    </row>
    <row r="4719" customFormat="false" ht="15" hidden="false" customHeight="false" outlineLevel="0" collapsed="false">
      <c r="A4719" s="0" t="s">
        <v>879</v>
      </c>
      <c r="B4719" s="0" t="s">
        <v>98</v>
      </c>
      <c r="D4719" s="6" t="n">
        <f aca="false">Sens!D4700</f>
        <v>17.315</v>
      </c>
      <c r="E4719" s="6" t="n">
        <f aca="false">Sens!E4700</f>
        <v>17.087</v>
      </c>
      <c r="F4719" s="6" t="n">
        <f aca="false">Sens!F4700</f>
        <v>16.9564585436519</v>
      </c>
      <c r="G4719" s="6" t="n">
        <f aca="false">Sens!G4700</f>
        <v>16.9206490624268</v>
      </c>
      <c r="H4719" s="6" t="n">
        <f aca="false">Sens!H4700</f>
        <v>16.9784519149849</v>
      </c>
      <c r="I4719" s="6" t="n">
        <f aca="false">Sens!I4700</f>
        <v>17.1303084701817</v>
      </c>
      <c r="J4719" s="6" t="n">
        <f aca="false">Sens!J4700</f>
        <v>17.3782189407267</v>
      </c>
      <c r="K4719" s="6" t="n">
        <f aca="false">Sens!K4700</f>
        <v>17.7257833195413</v>
      </c>
    </row>
    <row r="4720" customFormat="false" ht="15" hidden="false" customHeight="false" outlineLevel="0" collapsed="false">
      <c r="A4720" s="0" t="s">
        <v>718</v>
      </c>
      <c r="B4720" s="0" t="s">
        <v>98</v>
      </c>
      <c r="D4720" s="6" t="n">
        <f aca="false">Sens!D4702</f>
        <v>62.941</v>
      </c>
      <c r="E4720" s="6" t="n">
        <f aca="false">Sens!E4702</f>
        <v>63.712</v>
      </c>
      <c r="F4720" s="6" t="n">
        <f aca="false">Sens!F4702</f>
        <v>65.1415764563129</v>
      </c>
      <c r="G4720" s="6" t="n">
        <f aca="false">Sens!G4702</f>
        <v>67.1253610780702</v>
      </c>
      <c r="H4720" s="6" t="n">
        <f aca="false">Sens!H4702</f>
        <v>69.5768050148776</v>
      </c>
      <c r="I4720" s="6" t="n">
        <f aca="false">Sens!I4702</f>
        <v>72.4233188088189</v>
      </c>
      <c r="J4720" s="6" t="n">
        <f aca="false">Sens!J4702</f>
        <v>75.6044096678567</v>
      </c>
      <c r="K4720" s="6" t="n">
        <f aca="false">Sens!K4702</f>
        <v>79.0714397009747</v>
      </c>
    </row>
    <row r="4721" customFormat="false" ht="15" hidden="false" customHeight="false" outlineLevel="0" collapsed="false">
      <c r="A4721" s="1" t="s">
        <v>895</v>
      </c>
      <c r="B4721" s="0" t="s">
        <v>98</v>
      </c>
      <c r="D4721" s="6" t="n">
        <f aca="false">Sens!D4703</f>
        <v>281.724</v>
      </c>
      <c r="E4721" s="6" t="n">
        <f aca="false">Sens!E4703</f>
        <v>331.839</v>
      </c>
      <c r="F4721" s="6" t="n">
        <f aca="false">Sens!F4703</f>
        <v>404.575517363364</v>
      </c>
      <c r="G4721" s="6" t="n">
        <f aca="false">Sens!G4703</f>
        <v>491.616031959962</v>
      </c>
      <c r="H4721" s="6" t="n">
        <f aca="false">Sens!H4703</f>
        <v>585.223080296262</v>
      </c>
      <c r="I4721" s="6" t="n">
        <f aca="false">Sens!I4703</f>
        <v>663.771069161375</v>
      </c>
      <c r="J4721" s="6" t="n">
        <f aca="false">Sens!J4703</f>
        <v>727.514061327936</v>
      </c>
      <c r="K4721" s="6" t="n">
        <f aca="false">Sens!K4703</f>
        <v>776.517167665685</v>
      </c>
    </row>
    <row r="4722" customFormat="false" ht="15" hidden="false" customHeight="false" outlineLevel="0" collapsed="false">
      <c r="A4722" s="1" t="s">
        <v>896</v>
      </c>
      <c r="B4722" s="0" t="s">
        <v>129</v>
      </c>
      <c r="E4722" s="7" t="n">
        <f aca="false">Sens!E4721/Sens!D4721-1</f>
        <v>0.177886867998467</v>
      </c>
      <c r="F4722" s="7" t="n">
        <f aca="false">Sens!F4721/Sens!E4721-1</f>
        <v>0.219192190680914</v>
      </c>
      <c r="G4722" s="7" t="n">
        <f aca="false">Sens!G4721/Sens!F4721-1</f>
        <v>0.215140340581766</v>
      </c>
      <c r="H4722" s="7" t="n">
        <f aca="false">Sens!H4721/Sens!G4721-1</f>
        <v>0.19040682616291</v>
      </c>
      <c r="I4722" s="7" t="n">
        <f aca="false">Sens!I4721/Sens!H4721-1</f>
        <v>0.134218884233596</v>
      </c>
      <c r="J4722" s="7" t="n">
        <f aca="false">Sens!J4721/Sens!I4721-1</f>
        <v>0.0960315915050287</v>
      </c>
      <c r="K4722" s="7" t="n">
        <f aca="false">Sens!K4721/Sens!J4721-1</f>
        <v>0.0673569198763018</v>
      </c>
    </row>
    <row r="4723" customFormat="false" ht="17.15" hidden="false" customHeight="false" outlineLevel="0" collapsed="false">
      <c r="A4723" s="23" t="s">
        <v>897</v>
      </c>
      <c r="B4723" s="30" t="s">
        <v>98</v>
      </c>
      <c r="C4723" s="30"/>
      <c r="D4723" s="24" t="n">
        <f aca="false">(Sens!D4716+Sens!D4720-Sens!D4721)+(Sens!D4708+Sens!D4709-Sens!D4707)+(Sens!D4711+Sens!D4712-Sens!D4710)+(Sens!D4721-Q!L18)</f>
        <v>0</v>
      </c>
      <c r="E4723" s="24" t="n">
        <f aca="false">(Sens!E4716+Sens!E4720-Sens!E4721)+(Sens!E4708+Sens!E4709-Sens!E4707)+(Sens!E4711+Sens!E4712-Sens!E4710)+(Sens!E4721-Q!M18)</f>
        <v>0</v>
      </c>
      <c r="F4723" s="24" t="n">
        <f aca="false">(Sens!F4716+Sens!F4720-Sens!F4721)+(Sens!F4708+Sens!F4709-Sens!F4707)+(Sens!F4711+Sens!F4712-Sens!F4710)</f>
        <v>0</v>
      </c>
      <c r="G4723" s="24" t="n">
        <f aca="false">(Sens!G4716+Sens!G4720-Sens!G4721)+(Sens!G4708+Sens!G4709-Sens!G4707)+(Sens!G4711+Sens!G4712-Sens!G4710)</f>
        <v>0</v>
      </c>
      <c r="H4723" s="24" t="n">
        <f aca="false">(Sens!H4716+Sens!H4720-Sens!H4721)+(Sens!H4708+Sens!H4709-Sens!H4707)+(Sens!H4711+Sens!H4712-Sens!H4710)</f>
        <v>0</v>
      </c>
      <c r="I4723" s="24" t="n">
        <f aca="false">(Sens!I4716+Sens!I4720-Sens!I4721)+(Sens!I4708+Sens!I4709-Sens!I4707)+(Sens!I4711+Sens!I4712-Sens!I4710)</f>
        <v>0</v>
      </c>
      <c r="J4723" s="24" t="n">
        <f aca="false">(Sens!J4716+Sens!J4720-Sens!J4721)+(Sens!J4708+Sens!J4709-Sens!J4707)+(Sens!J4711+Sens!J4712-Sens!J4710)</f>
        <v>0</v>
      </c>
      <c r="K4723" s="24" t="n">
        <f aca="false">(Sens!K4716+Sens!K4720-Sens!K4721)+(Sens!K4708+Sens!K4709-Sens!K4707)+(Sens!K4711+Sens!K4712-Sens!K4710)</f>
        <v>0</v>
      </c>
    </row>
    <row r="4724" customFormat="false" ht="17.15" hidden="false" customHeight="false" outlineLevel="0" collapsed="false">
      <c r="A4724" s="0" t="s">
        <v>898</v>
      </c>
      <c r="B4724" s="0" t="s">
        <v>129</v>
      </c>
      <c r="E4724" s="7" t="n">
        <f aca="false">(Q!M21+Sens!E4661+Sens!E4662+Sens!E4663+Sens!E4676-Sens!E4659)/(Q!M5-Sens!E4659)</f>
        <v>0.562004564381674</v>
      </c>
      <c r="F4724" s="7" t="n">
        <f aca="false">Sens!$E$4724+dm_seg</f>
        <v>0.562004564381674</v>
      </c>
      <c r="G4724" s="7" t="n">
        <f aca="false">Sens!$E$4724+dm_seg</f>
        <v>0.562004564381674</v>
      </c>
      <c r="H4724" s="7" t="n">
        <f aca="false">Sens!$E$4724+dm_seg</f>
        <v>0.562004564381674</v>
      </c>
      <c r="I4724" s="7" t="n">
        <f aca="false">Sens!$E$4724+dm_seg</f>
        <v>0.562004564381674</v>
      </c>
      <c r="J4724" s="7" t="n">
        <f aca="false">Sens!$E$4724+dm_seg</f>
        <v>0.562004564381674</v>
      </c>
      <c r="K4724" s="7" t="n">
        <f aca="false">Sens!$E$4724+dm_seg</f>
        <v>0.562004564381674</v>
      </c>
      <c r="L4724" s="11" t="s">
        <v>899</v>
      </c>
    </row>
    <row r="4725" customFormat="false" ht="17.15" hidden="false" customHeight="false" outlineLevel="0" collapsed="false">
      <c r="A4725" s="0" t="s">
        <v>732</v>
      </c>
      <c r="B4725" s="0" t="s">
        <v>98</v>
      </c>
      <c r="D4725" s="6" t="n">
        <f aca="false">Q!L21</f>
        <v>110.814</v>
      </c>
      <c r="E4725" s="6" t="n">
        <f aca="false">Q!M21</f>
        <v>136.365</v>
      </c>
      <c r="F4725" s="6" t="n">
        <f aca="false">Sens!F4724*(Sens!F4695-Sens!F4659)+Sens!F4659-(Sens!F4661+Sens!F4662+Sens!F4663)-Sens!F4676</f>
        <v>164.234187431727</v>
      </c>
      <c r="G4725" s="6" t="n">
        <f aca="false">Sens!G4724*(Sens!G4695-Sens!G4659)+Sens!G4659-(Sens!G4661+Sens!G4662+Sens!G4663)-Sens!G4676</f>
        <v>196.872214942542</v>
      </c>
      <c r="H4725" s="6" t="n">
        <f aca="false">Sens!H4724*(Sens!H4695-Sens!H4659)+Sens!H4659-(Sens!H4661+Sens!H4662+Sens!H4663)-Sens!H4676</f>
        <v>234.537800715801</v>
      </c>
      <c r="I4725" s="6" t="n">
        <f aca="false">Sens!I4724*(Sens!I4695-Sens!I4659)+Sens!I4659-(Sens!I4661+Sens!I4662+Sens!I4663)-Sens!I4676</f>
        <v>262.89405630661</v>
      </c>
      <c r="J4725" s="6" t="n">
        <f aca="false">Sens!J4724*(Sens!J4695-Sens!J4659)+Sens!J4659-(Sens!J4661+Sens!J4662+Sens!J4663)-Sens!J4676</f>
        <v>287.540016704041</v>
      </c>
      <c r="K4725" s="6" t="n">
        <f aca="false">Sens!K4724*(Sens!K4695-Sens!K4659)+Sens!K4659-(Sens!K4661+Sens!K4662+Sens!K4663)-Sens!K4676</f>
        <v>307.992271769256</v>
      </c>
      <c r="L4725" s="1" t="s">
        <v>900</v>
      </c>
    </row>
    <row r="4726" customFormat="false" ht="17.15" hidden="false" customHeight="false" outlineLevel="0" collapsed="false">
      <c r="A4726" s="0" t="s">
        <v>901</v>
      </c>
      <c r="B4726" s="0" t="s">
        <v>129</v>
      </c>
      <c r="E4726" s="7" t="n">
        <f aca="false">Q!M22/Q!M12</f>
        <v>0.296207935710698</v>
      </c>
      <c r="F4726" s="7" t="n">
        <f aca="false">Sens!$E$4726+dm_seg</f>
        <v>0.296207935710698</v>
      </c>
      <c r="G4726" s="7" t="n">
        <f aca="false">Sens!$E$4726+dm_seg</f>
        <v>0.296207935710698</v>
      </c>
      <c r="H4726" s="7" t="n">
        <f aca="false">Sens!$E$4726+dm_seg</f>
        <v>0.296207935710698</v>
      </c>
      <c r="I4726" s="7" t="n">
        <f aca="false">Sens!$E$4726+dm_seg</f>
        <v>0.296207935710698</v>
      </c>
      <c r="J4726" s="7" t="n">
        <f aca="false">Sens!$E$4726+dm_seg</f>
        <v>0.296207935710698</v>
      </c>
      <c r="K4726" s="7" t="n">
        <f aca="false">Sens!$E$4726+dm_seg</f>
        <v>0.296207935710698</v>
      </c>
      <c r="L4726" s="11" t="s">
        <v>902</v>
      </c>
    </row>
    <row r="4727" customFormat="false" ht="17.15" hidden="false" customHeight="false" outlineLevel="0" collapsed="false">
      <c r="A4727" s="0" t="s">
        <v>734</v>
      </c>
      <c r="B4727" s="0" t="s">
        <v>98</v>
      </c>
      <c r="D4727" s="6" t="n">
        <f aca="false">Q!L22</f>
        <v>17.714</v>
      </c>
      <c r="E4727" s="6" t="n">
        <f aca="false">Q!M22</f>
        <v>18.872</v>
      </c>
      <c r="F4727" s="6" t="n">
        <f aca="false">Sens!F4702*Sens!F4726</f>
        <v>19.2954518910651</v>
      </c>
      <c r="G4727" s="6" t="n">
        <f aca="false">Sens!G4702*Sens!G4726</f>
        <v>19.8830646387704</v>
      </c>
      <c r="H4727" s="6" t="n">
        <f aca="false">Sens!H4702*Sens!H4726</f>
        <v>20.6092017868026</v>
      </c>
      <c r="I4727" s="6" t="n">
        <f aca="false">Sens!I4702*Sens!I4726</f>
        <v>21.452361761678</v>
      </c>
      <c r="J4727" s="6" t="n">
        <f aca="false">Sens!J4702*Sens!J4726</f>
        <v>22.3946261183418</v>
      </c>
      <c r="K4727" s="6" t="n">
        <f aca="false">Sens!K4702*Sens!K4726</f>
        <v>23.4215879274986</v>
      </c>
    </row>
    <row r="4728" customFormat="false" ht="15" hidden="false" customHeight="false" outlineLevel="0" collapsed="false">
      <c r="A4728" s="1" t="s">
        <v>903</v>
      </c>
      <c r="B4728" s="0" t="s">
        <v>98</v>
      </c>
      <c r="D4728" s="6" t="n">
        <f aca="false">Sens!D4725+Sens!D4727</f>
        <v>128.528</v>
      </c>
      <c r="E4728" s="6" t="n">
        <f aca="false">Sens!E4725+Sens!E4727</f>
        <v>155.237</v>
      </c>
      <c r="F4728" s="6" t="n">
        <f aca="false">Sens!F4725+Sens!F4727</f>
        <v>183.529639322792</v>
      </c>
      <c r="G4728" s="6" t="n">
        <f aca="false">Sens!G4725+Sens!G4727</f>
        <v>216.755279581313</v>
      </c>
      <c r="H4728" s="6" t="n">
        <f aca="false">Sens!H4725+Sens!H4727</f>
        <v>255.147002502604</v>
      </c>
      <c r="I4728" s="6" t="n">
        <f aca="false">Sens!I4725+Sens!I4727</f>
        <v>284.346418068288</v>
      </c>
      <c r="J4728" s="6" t="n">
        <f aca="false">Sens!J4725+Sens!J4727</f>
        <v>309.934642822383</v>
      </c>
      <c r="K4728" s="6" t="n">
        <f aca="false">Sens!K4725+Sens!K4727</f>
        <v>331.413859696754</v>
      </c>
    </row>
    <row r="4729" customFormat="false" ht="15" hidden="false" customHeight="false" outlineLevel="0" collapsed="false">
      <c r="A4729" s="23" t="s">
        <v>904</v>
      </c>
      <c r="B4729" s="30" t="s">
        <v>98</v>
      </c>
      <c r="C4729" s="30"/>
      <c r="D4729" s="24" t="n">
        <f aca="false">Sens!D4728-Q!L23</f>
        <v>0</v>
      </c>
      <c r="E4729" s="24" t="n">
        <f aca="false">Sens!E4728-Q!M23</f>
        <v>0</v>
      </c>
      <c r="F4729" s="30"/>
      <c r="G4729" s="30"/>
      <c r="H4729" s="30"/>
      <c r="I4729" s="30"/>
      <c r="J4729" s="30"/>
      <c r="K4729" s="30"/>
    </row>
    <row r="4730" customFormat="false" ht="15" hidden="false" customHeight="false" outlineLevel="0" collapsed="false">
      <c r="A4730" s="1" t="s">
        <v>905</v>
      </c>
      <c r="B4730" s="0" t="s">
        <v>129</v>
      </c>
      <c r="D4730" s="7" t="n">
        <f aca="false">Sens!D4728/Sens!D4721</f>
        <v>0.456219562408598</v>
      </c>
      <c r="E4730" s="7" t="n">
        <f aca="false">Sens!E4728/Sens!E4721</f>
        <v>0.467808184089272</v>
      </c>
      <c r="F4730" s="7" t="n">
        <f aca="false">Sens!F4728/Sens!F4721</f>
        <v>0.45363506056635</v>
      </c>
      <c r="G4730" s="7" t="n">
        <f aca="false">Sens!G4728/Sens!G4721</f>
        <v>0.440903602588301</v>
      </c>
      <c r="H4730" s="7" t="n">
        <f aca="false">Sens!H4728/Sens!H4721</f>
        <v>0.435982467358325</v>
      </c>
      <c r="I4730" s="7" t="n">
        <f aca="false">Sens!I4728/Sens!I4721</f>
        <v>0.428380252287191</v>
      </c>
      <c r="J4730" s="7" t="n">
        <f aca="false">Sens!J4728/Sens!J4721</f>
        <v>0.426018766230659</v>
      </c>
      <c r="K4730" s="7" t="n">
        <f aca="false">Sens!K4728/Sens!K4721</f>
        <v>0.426795277035573</v>
      </c>
    </row>
    <row r="4731" customFormat="false" ht="17.15" hidden="false" customHeight="false" outlineLevel="0" collapsed="false">
      <c r="A4731" s="1" t="s">
        <v>906</v>
      </c>
      <c r="B4731" s="0" t="s">
        <v>98</v>
      </c>
      <c r="F4731" s="6" t="n">
        <f aca="false">Sens!F4746</f>
        <v>19.2002450574441</v>
      </c>
      <c r="G4731" s="6" t="n">
        <f aca="false">Sens!G4746</f>
        <v>32.7680790611341</v>
      </c>
      <c r="H4731" s="6" t="n">
        <f aca="false">Sens!H4746</f>
        <v>47.6883691577744</v>
      </c>
      <c r="I4731" s="6" t="n">
        <f aca="false">Sens!I4746</f>
        <v>60.9226543989055</v>
      </c>
      <c r="J4731" s="6" t="n">
        <f aca="false">Sens!J4746</f>
        <v>70.3338665518827</v>
      </c>
      <c r="K4731" s="6" t="n">
        <f aca="false">Sens!K4746</f>
        <v>74.2997618384742</v>
      </c>
      <c r="L4731" s="1" t="s">
        <v>907</v>
      </c>
    </row>
    <row r="4732" customFormat="false" ht="17.15" hidden="false" customHeight="false" outlineLevel="0" collapsed="false">
      <c r="A4732" s="1" t="s">
        <v>908</v>
      </c>
      <c r="B4732" s="0" t="s">
        <v>98</v>
      </c>
      <c r="D4732" s="6" t="n">
        <f aca="false">Sens!D4728</f>
        <v>128.528</v>
      </c>
      <c r="E4732" s="6" t="n">
        <f aca="false">Sens!E4728</f>
        <v>155.237</v>
      </c>
      <c r="F4732" s="6" t="n">
        <f aca="false">Sens!F4728+Sens!F4731</f>
        <v>202.729884380236</v>
      </c>
      <c r="G4732" s="6" t="n">
        <f aca="false">Sens!G4728+Sens!G4731</f>
        <v>249.523358642447</v>
      </c>
      <c r="H4732" s="6" t="n">
        <f aca="false">Sens!H4728+Sens!H4731</f>
        <v>302.835371660378</v>
      </c>
      <c r="I4732" s="6" t="n">
        <f aca="false">Sens!I4728+Sens!I4731</f>
        <v>345.269072467194</v>
      </c>
      <c r="J4732" s="6" t="n">
        <f aca="false">Sens!J4728+Sens!J4731</f>
        <v>380.268509374266</v>
      </c>
      <c r="K4732" s="6" t="n">
        <f aca="false">Sens!K4728+Sens!K4731</f>
        <v>405.713621535228</v>
      </c>
    </row>
    <row r="4733" customFormat="false" ht="17.15" hidden="false" customHeight="false" outlineLevel="0" collapsed="false">
      <c r="A4733" s="1" t="s">
        <v>909</v>
      </c>
      <c r="B4733" s="0" t="s">
        <v>98</v>
      </c>
      <c r="E4733" s="6" t="n">
        <f aca="false">Sens!E4676</f>
        <v>14.1538947660714</v>
      </c>
      <c r="F4733" s="6" t="n">
        <f aca="false">Sens!F4676</f>
        <v>30.1162718336027</v>
      </c>
      <c r="G4733" s="6" t="n">
        <f aca="false">Sens!G4676</f>
        <v>52.4102600517197</v>
      </c>
      <c r="H4733" s="6" t="n">
        <f aca="false">Sens!H4676</f>
        <v>75.9837568512625</v>
      </c>
      <c r="I4733" s="6" t="n">
        <f aca="false">Sens!I4676</f>
        <v>96.4086366584039</v>
      </c>
      <c r="J4733" s="6" t="n">
        <f aca="false">Sens!J4676</f>
        <v>110.444359616499</v>
      </c>
      <c r="K4733" s="6" t="n">
        <f aca="false">Sens!K4676</f>
        <v>118.372459645192</v>
      </c>
    </row>
    <row r="4734" customFormat="false" ht="17.15" hidden="false" customHeight="false" outlineLevel="0" collapsed="false">
      <c r="A4734" s="1" t="s">
        <v>910</v>
      </c>
      <c r="B4734" s="0" t="s">
        <v>98</v>
      </c>
      <c r="E4734" s="6" t="n">
        <f aca="false">Sens!E4758</f>
        <v>24.3801052339286</v>
      </c>
      <c r="F4734" s="6" t="n">
        <f aca="false">Sens!F4758</f>
        <v>25.515029433492</v>
      </c>
      <c r="G4734" s="6" t="n">
        <f aca="false">Sens!G4758</f>
        <v>27.1238158471817</v>
      </c>
      <c r="H4734" s="6" t="n">
        <f aca="false">Sens!H4758</f>
        <v>29.1675856268725</v>
      </c>
      <c r="I4734" s="6" t="n">
        <f aca="false">Sens!I4758</f>
        <v>31.5681670953496</v>
      </c>
      <c r="J4734" s="6" t="n">
        <f aca="false">Sens!J4758</f>
        <v>34.2319417108521</v>
      </c>
      <c r="K4734" s="6" t="n">
        <f aca="false">Sens!K4758</f>
        <v>37.0731178139662</v>
      </c>
    </row>
    <row r="4735" customFormat="false" ht="17.15" hidden="false" customHeight="false" outlineLevel="0" collapsed="false">
      <c r="A4735" s="1" t="s">
        <v>911</v>
      </c>
      <c r="B4735" s="0" t="s">
        <v>98</v>
      </c>
      <c r="D4735" s="6" t="n">
        <f aca="false">Q!L27</f>
        <v>-4.901</v>
      </c>
      <c r="E4735" s="6" t="n">
        <f aca="false">Q!M27</f>
        <v>10.697</v>
      </c>
      <c r="F4735" s="6" t="n">
        <f aca="false">oie_f</f>
        <v>-0.4</v>
      </c>
      <c r="G4735" s="6" t="n">
        <f aca="false">oie_f</f>
        <v>-0.4</v>
      </c>
      <c r="H4735" s="6" t="n">
        <f aca="false">oie_f</f>
        <v>-0.4</v>
      </c>
      <c r="I4735" s="6" t="n">
        <f aca="false">oie_f</f>
        <v>-0.4</v>
      </c>
      <c r="J4735" s="6" t="n">
        <f aca="false">oie_f</f>
        <v>-0.4</v>
      </c>
      <c r="K4735" s="6" t="n">
        <f aca="false">oie_f</f>
        <v>-0.4</v>
      </c>
      <c r="L4735" s="11" t="s">
        <v>912</v>
      </c>
    </row>
    <row r="4736" customFormat="false" ht="15" hidden="false" customHeight="false" outlineLevel="0" collapsed="false">
      <c r="A4736" s="1" t="s">
        <v>913</v>
      </c>
      <c r="B4736" s="0" t="s">
        <v>98</v>
      </c>
      <c r="D4736" s="6" t="n">
        <f aca="false">Sens!D4728+Sens!D4735</f>
        <v>123.627</v>
      </c>
      <c r="E4736" s="6" t="n">
        <f aca="false">Sens!E4728+Sens!E4735</f>
        <v>165.934</v>
      </c>
      <c r="F4736" s="6" t="n">
        <f aca="false">Sens!F4728+Sens!F4735</f>
        <v>183.129639322792</v>
      </c>
      <c r="G4736" s="6" t="n">
        <f aca="false">Sens!G4728+Sens!G4735</f>
        <v>216.355279581313</v>
      </c>
      <c r="H4736" s="6" t="n">
        <f aca="false">Sens!H4728+Sens!H4735</f>
        <v>254.747002502604</v>
      </c>
      <c r="I4736" s="6" t="n">
        <f aca="false">Sens!I4728+Sens!I4735</f>
        <v>283.946418068288</v>
      </c>
      <c r="J4736" s="6" t="n">
        <f aca="false">Sens!J4728+Sens!J4735</f>
        <v>309.534642822383</v>
      </c>
      <c r="K4736" s="6" t="n">
        <f aca="false">Sens!K4728+Sens!K4735</f>
        <v>331.013859696754</v>
      </c>
    </row>
    <row r="4737" customFormat="false" ht="15" hidden="false" customHeight="false" outlineLevel="0" collapsed="false">
      <c r="A4737" s="1" t="s">
        <v>914</v>
      </c>
      <c r="B4737" s="0" t="s">
        <v>98</v>
      </c>
      <c r="D4737" s="6" t="n">
        <f aca="false">Q!L29</f>
        <v>21.795</v>
      </c>
      <c r="E4737" s="6" t="n">
        <f aca="false">Q!M29</f>
        <v>32.185</v>
      </c>
      <c r="F4737" s="6" t="n">
        <f aca="false">Sens!F4736*tax_f</f>
        <v>36.6259278645584</v>
      </c>
      <c r="G4737" s="6" t="n">
        <f aca="false">Sens!G4736*tax_f</f>
        <v>43.2710559162625</v>
      </c>
      <c r="H4737" s="6" t="n">
        <f aca="false">Sens!H4736*tax_f</f>
        <v>50.9494005005208</v>
      </c>
      <c r="I4737" s="6" t="n">
        <f aca="false">Sens!I4736*tax_f</f>
        <v>56.7892836136577</v>
      </c>
      <c r="J4737" s="6" t="n">
        <f aca="false">Sens!J4736*tax_f</f>
        <v>61.9069285644766</v>
      </c>
      <c r="K4737" s="6" t="n">
        <f aca="false">Sens!K4736*tax_f</f>
        <v>66.2027719393509</v>
      </c>
    </row>
    <row r="4738" customFormat="false" ht="15" hidden="false" customHeight="false" outlineLevel="0" collapsed="false">
      <c r="A4738" s="1" t="s">
        <v>915</v>
      </c>
      <c r="B4738" s="0" t="s">
        <v>98</v>
      </c>
      <c r="D4738" s="6" t="n">
        <f aca="false">Sens!D4736-Sens!D4737</f>
        <v>101.832</v>
      </c>
      <c r="E4738" s="6" t="n">
        <f aca="false">Sens!E4736-Sens!E4737</f>
        <v>133.749</v>
      </c>
      <c r="F4738" s="6" t="n">
        <f aca="false">Sens!F4736-Sens!F4737</f>
        <v>146.503711458233</v>
      </c>
      <c r="G4738" s="6" t="n">
        <f aca="false">Sens!G4736-Sens!G4737</f>
        <v>173.08422366505</v>
      </c>
      <c r="H4738" s="6" t="n">
        <f aca="false">Sens!H4736-Sens!H4737</f>
        <v>203.797602002083</v>
      </c>
      <c r="I4738" s="6" t="n">
        <f aca="false">Sens!I4736-Sens!I4737</f>
        <v>227.157134454631</v>
      </c>
      <c r="J4738" s="6" t="n">
        <f aca="false">Sens!J4736-Sens!J4737</f>
        <v>247.627714257906</v>
      </c>
      <c r="K4738" s="6" t="n">
        <f aca="false">Sens!K4736-Sens!K4737</f>
        <v>264.811087757403</v>
      </c>
    </row>
    <row r="4739" customFormat="false" ht="17.15" hidden="false" customHeight="false" outlineLevel="0" collapsed="false">
      <c r="A4739" s="1" t="s">
        <v>916</v>
      </c>
      <c r="B4739" s="1" t="s">
        <v>81</v>
      </c>
      <c r="D4739" s="14" t="n">
        <f aca="false">Q!L31</f>
        <v>7.465</v>
      </c>
      <c r="E4739" s="14" t="n">
        <f aca="false">Q!M31</f>
        <v>7.453</v>
      </c>
      <c r="F4739" s="14" t="n">
        <f aca="false">Sens!F4780</f>
        <v>7.4735</v>
      </c>
      <c r="G4739" s="14" t="n">
        <f aca="false">Sens!G4780</f>
        <v>7.50991174476527</v>
      </c>
      <c r="H4739" s="14" t="n">
        <f aca="false">Sens!H4780</f>
        <v>7.52907507538049</v>
      </c>
      <c r="I4739" s="14" t="n">
        <f aca="false">Sens!I4780</f>
        <v>7.5408559073878</v>
      </c>
      <c r="J4739" s="14" t="n">
        <f aca="false">Sens!J4780</f>
        <v>7.55509741850569</v>
      </c>
      <c r="K4739" s="14" t="n">
        <f aca="false">Sens!K4780</f>
        <v>7.57161733620743</v>
      </c>
    </row>
    <row r="4740" customFormat="false" ht="17.15" hidden="false" customHeight="false" outlineLevel="0" collapsed="false">
      <c r="A4740" s="0" t="s">
        <v>917</v>
      </c>
      <c r="B4740" s="0" t="s">
        <v>75</v>
      </c>
      <c r="D4740" s="8" t="n">
        <f aca="false">Sens!D4738/Sens!D4739</f>
        <v>13.641259209645</v>
      </c>
      <c r="E4740" s="8" t="n">
        <f aca="false">Sens!E4738/Sens!E4739</f>
        <v>17.9456594659869</v>
      </c>
      <c r="F4740" s="8" t="n">
        <f aca="false">Sens!F4738/Sens!F4739</f>
        <v>19.6030924544368</v>
      </c>
      <c r="G4740" s="8" t="n">
        <f aca="false">Sens!G4738/Sens!G4739</f>
        <v>23.0474377792385</v>
      </c>
      <c r="H4740" s="8" t="n">
        <f aca="false">Sens!H4738/Sens!H4739</f>
        <v>27.0680794070557</v>
      </c>
      <c r="I4740" s="8" t="n">
        <f aca="false">Sens!I4738/Sens!I4739</f>
        <v>30.1235214204377</v>
      </c>
      <c r="J4740" s="8" t="n">
        <f aca="false">Sens!J4738/Sens!J4739</f>
        <v>32.7762437121406</v>
      </c>
      <c r="K4740" s="8" t="n">
        <f aca="false">Sens!K4738/Sens!K4739</f>
        <v>34.9741773783361</v>
      </c>
      <c r="L4740" s="1" t="s">
        <v>918</v>
      </c>
    </row>
    <row r="4741" customFormat="false" ht="17.15" hidden="false" customHeight="false" outlineLevel="0" collapsed="false">
      <c r="A4741" s="1" t="s">
        <v>919</v>
      </c>
      <c r="B4741" s="0" t="s">
        <v>98</v>
      </c>
      <c r="D4741" s="6" t="n">
        <f aca="false">Sens!D4738</f>
        <v>101.832</v>
      </c>
      <c r="E4741" s="6" t="n">
        <f aca="false">Sens!E4738</f>
        <v>133.749</v>
      </c>
      <c r="F4741" s="6" t="n">
        <f aca="false">Sens!F4738+Sens!F4731*(1-tax_f)</f>
        <v>161.863907504189</v>
      </c>
      <c r="G4741" s="6" t="n">
        <f aca="false">Sens!G4738+Sens!G4731*(1-tax_f)</f>
        <v>199.298686913957</v>
      </c>
      <c r="H4741" s="6" t="n">
        <f aca="false">Sens!H4738+Sens!H4731*(1-tax_f)</f>
        <v>241.948297328303</v>
      </c>
      <c r="I4741" s="6" t="n">
        <f aca="false">Sens!I4738+Sens!I4731*(1-tax_f)</f>
        <v>275.895257973755</v>
      </c>
      <c r="J4741" s="6" t="n">
        <f aca="false">Sens!J4738+Sens!J4731*(1-tax_f)</f>
        <v>303.894807499413</v>
      </c>
      <c r="K4741" s="6" t="n">
        <f aca="false">Sens!K4738+Sens!K4731*(1-tax_f)</f>
        <v>324.250897228183</v>
      </c>
    </row>
    <row r="4742" customFormat="false" ht="17.15" hidden="false" customHeight="false" outlineLevel="0" collapsed="false">
      <c r="A4742" s="0" t="s">
        <v>920</v>
      </c>
      <c r="B4742" s="0" t="s">
        <v>75</v>
      </c>
      <c r="D4742" s="8" t="n">
        <f aca="false">Sens!D4741/Sens!D4739</f>
        <v>13.641259209645</v>
      </c>
      <c r="E4742" s="8" t="n">
        <f aca="false">Sens!E4741/Sens!E4739</f>
        <v>17.9456594659869</v>
      </c>
      <c r="F4742" s="8" t="n">
        <f aca="false">Sens!F4741/Sens!F4739</f>
        <v>21.6583806120544</v>
      </c>
      <c r="G4742" s="8" t="n">
        <f aca="false">Sens!G4741/Sens!G4739</f>
        <v>26.5380864233028</v>
      </c>
      <c r="H4742" s="8" t="n">
        <f aca="false">Sens!H4741/Sens!H4739</f>
        <v>32.1351952140118</v>
      </c>
      <c r="I4742" s="8" t="n">
        <f aca="false">Sens!I4741/Sens!I4739</f>
        <v>36.5867298569463</v>
      </c>
      <c r="J4742" s="8" t="n">
        <f aca="false">Sens!J4741/Sens!J4739</f>
        <v>40.2238105831757</v>
      </c>
      <c r="K4742" s="8" t="n">
        <f aca="false">Sens!K4741/Sens!K4739</f>
        <v>42.8245225333321</v>
      </c>
      <c r="L4742" s="1" t="s">
        <v>921</v>
      </c>
    </row>
    <row r="4743" customFormat="false" ht="17.15" hidden="false" customHeight="false" outlineLevel="0" collapsed="false">
      <c r="A4743" s="0" t="s">
        <v>922</v>
      </c>
      <c r="B4743" s="0" t="s">
        <v>129</v>
      </c>
      <c r="E4743" s="7" t="n">
        <f aca="false">Sens!E4742/Sens!D4742-1</f>
        <v>0.315542736208578</v>
      </c>
      <c r="F4743" s="7" t="n">
        <f aca="false">Sens!F4742/Sens!E4742-1</f>
        <v>0.206886860474782</v>
      </c>
      <c r="G4743" s="7" t="n">
        <f aca="false">Sens!G4742/Sens!F4742-1</f>
        <v>0.22530335479156</v>
      </c>
      <c r="H4743" s="7" t="n">
        <f aca="false">Sens!H4742/Sens!G4742-1</f>
        <v>0.210908529779836</v>
      </c>
      <c r="I4743" s="7" t="n">
        <f aca="false">Sens!I4742/Sens!H4742-1</f>
        <v>0.138525209300534</v>
      </c>
      <c r="J4743" s="7" t="n">
        <f aca="false">Sens!J4742/Sens!I4742-1</f>
        <v>0.0994098335776492</v>
      </c>
      <c r="K4743" s="7" t="n">
        <f aca="false">Sens!K4742/Sens!J4742-1</f>
        <v>0.0646560311529547</v>
      </c>
    </row>
    <row r="4744" customFormat="false" ht="17.15" hidden="false" customHeight="false" outlineLevel="0" collapsed="false">
      <c r="A4744" s="0" t="s">
        <v>846</v>
      </c>
      <c r="B4744" s="0" t="s">
        <v>98</v>
      </c>
      <c r="E4744" s="6" t="n">
        <f aca="false">Sens!E4685</f>
        <v>5.25</v>
      </c>
      <c r="F4744" s="6" t="n">
        <f aca="false">Sens!F4685</f>
        <v>13.5</v>
      </c>
      <c r="G4744" s="6" t="n">
        <f aca="false">Sens!G4685</f>
        <v>22.5</v>
      </c>
      <c r="H4744" s="6" t="n">
        <f aca="false">Sens!H4685</f>
        <v>31.5</v>
      </c>
      <c r="I4744" s="6" t="n">
        <f aca="false">Sens!I4685</f>
        <v>38.25</v>
      </c>
      <c r="J4744" s="6" t="n">
        <f aca="false">Sens!J4685</f>
        <v>42.75</v>
      </c>
      <c r="K4744" s="6" t="n">
        <f aca="false">Sens!K4685</f>
        <v>47.25</v>
      </c>
    </row>
    <row r="4745" customFormat="false" ht="17.15" hidden="false" customHeight="false" outlineLevel="0" collapsed="false">
      <c r="A4745" s="1" t="s">
        <v>847</v>
      </c>
      <c r="B4745" s="0" t="s">
        <v>98</v>
      </c>
      <c r="F4745" s="6" t="n">
        <f aca="false">MAX(0,(Sens!E4648+Sens!F4648)/2*Sens!F4656/1000-Sens!F4744*Sens!F4724)</f>
        <v>19.2002450574441</v>
      </c>
      <c r="G4745" s="6" t="n">
        <f aca="false">MAX(0,(Sens!F4648+Sens!G4648)/2*Sens!G4656/1000-Sens!G4744*Sens!G4724)</f>
        <v>32.7680790611341</v>
      </c>
      <c r="H4745" s="6" t="n">
        <f aca="false">MAX(0,(Sens!G4648+Sens!H4648)/2*Sens!H4656/1000-Sens!H4744*Sens!H4724)</f>
        <v>47.6883691577744</v>
      </c>
      <c r="I4745" s="6" t="n">
        <f aca="false">MAX(0,(Sens!H4648+Sens!I4648)/2*Sens!I4656/1000-Sens!I4744*Sens!I4724)</f>
        <v>60.9226543989055</v>
      </c>
      <c r="J4745" s="6" t="n">
        <f aca="false">MAX(0,(Sens!I4648+Sens!J4648)/2*Sens!J4656/1000-Sens!J4744*Sens!J4724)</f>
        <v>70.3338665518827</v>
      </c>
      <c r="K4745" s="6" t="n">
        <f aca="false">MAX(0,(Sens!J4648+Sens!K4648)/2*Sens!K4656/1000-Sens!K4744*Sens!K4724)</f>
        <v>74.2997618384742</v>
      </c>
      <c r="L4745" s="1" t="s">
        <v>848</v>
      </c>
    </row>
    <row r="4746" customFormat="false" ht="17.15" hidden="false" customHeight="false" outlineLevel="0" collapsed="false">
      <c r="A4746" s="1" t="s">
        <v>849</v>
      </c>
      <c r="B4746" s="0" t="s">
        <v>98</v>
      </c>
      <c r="F4746" s="6" t="n">
        <f aca="false">IF(internal_ai_reading=2,1,0)*Sens!F4745</f>
        <v>19.2002450574441</v>
      </c>
      <c r="G4746" s="6" t="n">
        <f aca="false">IF(internal_ai_reading=2,1,0)*Sens!G4745</f>
        <v>32.7680790611341</v>
      </c>
      <c r="H4746" s="6" t="n">
        <f aca="false">IF(internal_ai_reading=2,1,0)*Sens!H4745</f>
        <v>47.6883691577744</v>
      </c>
      <c r="I4746" s="6" t="n">
        <f aca="false">IF(internal_ai_reading=2,1,0)*Sens!I4745</f>
        <v>60.9226543989055</v>
      </c>
      <c r="J4746" s="6" t="n">
        <f aca="false">IF(internal_ai_reading=2,1,0)*Sens!J4745</f>
        <v>70.3338665518827</v>
      </c>
      <c r="K4746" s="6" t="n">
        <f aca="false">IF(internal_ai_reading=2,1,0)*Sens!K4745</f>
        <v>74.2997618384742</v>
      </c>
    </row>
    <row r="4747" customFormat="false" ht="17.15" hidden="false" customHeight="false" outlineLevel="0" collapsed="false">
      <c r="A4747" s="0" t="s">
        <v>850</v>
      </c>
      <c r="B4747" s="0" t="s">
        <v>98</v>
      </c>
      <c r="F4747" s="6" t="n">
        <f aca="false">Sens!F4665+Sens!F4744*Sens!F4724+Sens!F4746-Sens!F4666-Sens!F4676</f>
        <v>33.2659576972214</v>
      </c>
      <c r="G4747" s="6" t="n">
        <f aca="false">Sens!G4665+Sens!G4744*Sens!G4724+Sens!G4746-Sens!G4666-Sens!G4676</f>
        <v>60.6895929137423</v>
      </c>
      <c r="H4747" s="6" t="n">
        <f aca="false">Sens!H4665+Sens!H4744*Sens!H4724+Sens!H4746-Sens!H4666-Sens!H4676</f>
        <v>94.3139498437435</v>
      </c>
      <c r="I4747" s="6" t="n">
        <f aca="false">Sens!I4665+Sens!I4744*Sens!I4724+Sens!I4746-Sens!I4666-Sens!I4676</f>
        <v>117.423312221832</v>
      </c>
      <c r="J4747" s="6" t="n">
        <f aca="false">Sens!J4665+Sens!J4744*Sens!J4724+Sens!J4746-Sens!J4666-Sens!J4676</f>
        <v>134.218679212471</v>
      </c>
      <c r="K4747" s="6" t="n">
        <f aca="false">Sens!K4665+Sens!K4744*Sens!K4724+Sens!K4746-Sens!K4666-Sens!K4676</f>
        <v>143.358914411925</v>
      </c>
    </row>
    <row r="4748" customFormat="false" ht="17.15" hidden="false" customHeight="false" outlineLevel="0" collapsed="false">
      <c r="A4748" s="0" t="s">
        <v>851</v>
      </c>
      <c r="B4748" s="0" t="s">
        <v>98</v>
      </c>
      <c r="E4748" s="6" t="n">
        <f aca="false">Sens!E4647*(cxit_open+self_build*tk_cxfac)/1000*ai_net_open</f>
        <v>126.6980382</v>
      </c>
      <c r="F4748" s="6" t="n">
        <f aca="false">Sens!E4748+Sens!F4673-Sens!F4676</f>
        <v>265.052419136835</v>
      </c>
      <c r="G4748" s="6" t="n">
        <f aca="false">Sens!F4748+Sens!G4673-Sens!G4676</f>
        <v>396.216339568315</v>
      </c>
      <c r="H4748" s="6" t="n">
        <f aca="false">Sens!G4748+Sens!H4673-Sens!H4676</f>
        <v>508.312868627453</v>
      </c>
      <c r="I4748" s="6" t="n">
        <f aca="false">Sens!H4748+Sens!I4673-Sens!I4676</f>
        <v>545.352225776627</v>
      </c>
      <c r="J4748" s="6" t="n">
        <f aca="false">Sens!I4748+Sens!J4673-Sens!J4676</f>
        <v>543.982243211552</v>
      </c>
      <c r="K4748" s="6" t="n">
        <f aca="false">Sens!J4748+Sens!K4673-Sens!K4676</f>
        <v>495.48996818163</v>
      </c>
      <c r="L4748" s="1" t="s">
        <v>852</v>
      </c>
    </row>
    <row r="4749" customFormat="false" ht="17.15" hidden="false" customHeight="false" outlineLevel="0" collapsed="false">
      <c r="A4749" s="0" t="s">
        <v>853</v>
      </c>
      <c r="B4749" s="0" t="s">
        <v>129</v>
      </c>
      <c r="F4749" s="7" t="n">
        <f aca="false">Sens!F4747*(1-tax_f)/((Sens!E4748+Sens!F4748)/2)</f>
        <v>0.135865909838083</v>
      </c>
      <c r="G4749" s="7" t="n">
        <f aca="false">Sens!G4747*(1-tax_f)/((Sens!F4748+Sens!G4748)/2)</f>
        <v>0.146843998576507</v>
      </c>
      <c r="H4749" s="7" t="n">
        <f aca="false">Sens!H4747*(1-tax_f)/((Sens!G4748+Sens!H4748)/2)</f>
        <v>0.166829681543384</v>
      </c>
      <c r="I4749" s="7" t="n">
        <f aca="false">Sens!I4747*(1-tax_f)/((Sens!H4748+Sens!I4748)/2)</f>
        <v>0.1783083643491</v>
      </c>
      <c r="J4749" s="7" t="n">
        <f aca="false">Sens!J4747*(1-tax_f)/((Sens!I4748+Sens!J4748)/2)</f>
        <v>0.197138613395225</v>
      </c>
      <c r="K4749" s="7" t="n">
        <f aca="false">Sens!K4747*(1-tax_f)/((Sens!J4748+Sens!K4748)/2)</f>
        <v>0.220664160662511</v>
      </c>
    </row>
    <row r="4750" customFormat="false" ht="17.15" hidden="false" customHeight="false" outlineLevel="0" collapsed="false">
      <c r="A4750" s="1" t="s">
        <v>854</v>
      </c>
      <c r="B4750" s="0" t="s">
        <v>129</v>
      </c>
      <c r="F4750" s="7" t="n">
        <f aca="false">(Sens!F4747-Sens!F4746)*(1-tax_f)/((Sens!E4748+Sens!F4748)/2)</f>
        <v>0.0574476425034349</v>
      </c>
      <c r="G4750" s="7" t="n">
        <f aca="false">(Sens!G4747-Sens!G4746)*(1-tax_f)/((Sens!F4748+Sens!G4748)/2)</f>
        <v>0.067558646278181</v>
      </c>
      <c r="H4750" s="7" t="n">
        <f aca="false">(Sens!H4747-Sens!H4746)*(1-tax_f)/((Sens!G4748+Sens!H4748)/2)</f>
        <v>0.0824748702657756</v>
      </c>
      <c r="I4750" s="7" t="n">
        <f aca="false">(Sens!I4747-Sens!I4746)*(1-tax_f)/((Sens!H4748+Sens!I4748)/2)</f>
        <v>0.0857967612259293</v>
      </c>
      <c r="J4750" s="7" t="n">
        <f aca="false">(Sens!J4747-Sens!J4746)*(1-tax_f)/((Sens!I4748+Sens!J4748)/2)</f>
        <v>0.0938331643465603</v>
      </c>
      <c r="K4750" s="7" t="n">
        <f aca="false">(Sens!K4747-Sens!K4746)*(1-tax_f)/((Sens!J4748+Sens!K4748)/2)</f>
        <v>0.106298795587261</v>
      </c>
    </row>
    <row r="4751" customFormat="false" ht="17.15" hidden="false" customHeight="false" outlineLevel="0" collapsed="false">
      <c r="A4751" s="1" t="s">
        <v>855</v>
      </c>
      <c r="B4751" s="0" t="s">
        <v>129</v>
      </c>
      <c r="F4751" s="7" t="n">
        <f aca="false">(Sens!F4747-Sens!F4746+Sens!F4745)*(1-tax_f)/((Sens!E4748+Sens!F4748)/2)</f>
        <v>0.135865909838083</v>
      </c>
      <c r="G4751" s="7" t="n">
        <f aca="false">(Sens!G4747-Sens!G4746+Sens!G4745)*(1-tax_f)/((Sens!F4748+Sens!G4748)/2)</f>
        <v>0.146843998576507</v>
      </c>
      <c r="H4751" s="7" t="n">
        <f aca="false">(Sens!H4747-Sens!H4746+Sens!H4745)*(1-tax_f)/((Sens!G4748+Sens!H4748)/2)</f>
        <v>0.166829681543384</v>
      </c>
      <c r="I4751" s="7" t="n">
        <f aca="false">(Sens!I4747-Sens!I4746+Sens!I4745)*(1-tax_f)/((Sens!H4748+Sens!I4748)/2)</f>
        <v>0.1783083643491</v>
      </c>
      <c r="J4751" s="7" t="n">
        <f aca="false">(Sens!J4747-Sens!J4746+Sens!J4745)*(1-tax_f)/((Sens!I4748+Sens!J4748)/2)</f>
        <v>0.197138613395225</v>
      </c>
      <c r="K4751" s="7" t="n">
        <f aca="false">(Sens!K4747-Sens!K4746+Sens!K4745)*(1-tax_f)/((Sens!J4748+Sens!K4748)/2)</f>
        <v>0.220664160662511</v>
      </c>
    </row>
    <row r="4752" customFormat="false" ht="17.15" hidden="false" customHeight="false" outlineLevel="0" collapsed="false">
      <c r="A4752" s="1" t="s">
        <v>856</v>
      </c>
      <c r="B4752" s="0" t="s">
        <v>129</v>
      </c>
      <c r="F4752" s="7" t="n">
        <f aca="false">Sens!F4677*(1-tax_f)/(Sens!F4664*(Sens!E4748+Sens!F4748)/2)</f>
        <v>0.170571783374027</v>
      </c>
      <c r="G4752" s="7" t="n">
        <f aca="false">Sens!G4677*(1-tax_f)/(Sens!G4664*(Sens!F4748+Sens!G4748)/2)</f>
        <v>0.189636042248862</v>
      </c>
      <c r="H4752" s="7" t="n">
        <f aca="false">Sens!H4677*(1-tax_f)/(Sens!H4664*(Sens!G4748+Sens!H4748)/2)</f>
        <v>0.219869428868887</v>
      </c>
      <c r="I4752" s="7" t="n">
        <f aca="false">Sens!I4677*(1-tax_f)/(Sens!I4664*(Sens!H4748+Sens!I4748)/2)</f>
        <v>0.234496094644027</v>
      </c>
      <c r="J4752" s="7" t="n">
        <f aca="false">Sens!J4677*(1-tax_f)/(Sens!J4664*(Sens!I4748+Sens!J4748)/2)</f>
        <v>0.258768614968562</v>
      </c>
      <c r="K4752" s="7" t="n">
        <f aca="false">Sens!K4677*(1-tax_f)/(Sens!K4664*(Sens!J4748+Sens!K4748)/2)</f>
        <v>0.289467001111118</v>
      </c>
    </row>
    <row r="4753" customFormat="false" ht="17.15" hidden="false" customHeight="false" outlineLevel="0" collapsed="false">
      <c r="A4753" s="0" t="s">
        <v>857</v>
      </c>
      <c r="B4753" s="0" t="s">
        <v>209</v>
      </c>
      <c r="F4753" s="7" t="n">
        <f aca="false">Sens!F4749-wacc</f>
        <v>0.0329314897452073</v>
      </c>
      <c r="G4753" s="7" t="n">
        <f aca="false">Sens!G4749-wacc</f>
        <v>0.0439095784836313</v>
      </c>
      <c r="H4753" s="7" t="n">
        <f aca="false">Sens!H4749-wacc</f>
        <v>0.0638952614505087</v>
      </c>
      <c r="I4753" s="7" t="n">
        <f aca="false">Sens!I4749-wacc</f>
        <v>0.0753739442562245</v>
      </c>
      <c r="J4753" s="7" t="n">
        <f aca="false">Sens!J4749-wacc</f>
        <v>0.094204193302349</v>
      </c>
      <c r="K4753" s="7" t="n">
        <f aca="false">Sens!K4749-wacc</f>
        <v>0.117729740569635</v>
      </c>
    </row>
    <row r="4754" customFormat="false" ht="17.15" hidden="false" customHeight="false" outlineLevel="0" collapsed="false">
      <c r="A4754" s="0" t="s">
        <v>858</v>
      </c>
      <c r="B4754" s="0" t="s">
        <v>98</v>
      </c>
      <c r="F4754" s="6" t="n">
        <f aca="false">Sens!F4747*(1-tax_f)-wacc*(Sens!E4748+Sens!F4748)/2</f>
        <v>6.45046308423413</v>
      </c>
      <c r="G4754" s="6" t="n">
        <f aca="false">Sens!G4747*(1-tax_f)-wacc*(Sens!F4748+Sens!G4748)/2</f>
        <v>14.5180162295686</v>
      </c>
      <c r="H4754" s="6" t="n">
        <f aca="false">Sens!H4747*(1-tax_f)-wacc*(Sens!G4748+Sens!H4748)/2</f>
        <v>28.8975651236451</v>
      </c>
      <c r="I4754" s="6" t="n">
        <f aca="false">Sens!I4747*(1-tax_f)-wacc*(Sens!H4748+Sens!I4748)/2</f>
        <v>39.7094470451713</v>
      </c>
      <c r="J4754" s="6" t="n">
        <f aca="false">Sens!J4747*(1-tax_f)-wacc*(Sens!I4748+Sens!J4748)/2</f>
        <v>51.3099374437371</v>
      </c>
      <c r="K4754" s="6" t="n">
        <f aca="false">Sens!K4747*(1-tax_f)-wacc*(Sens!J4748+Sens!K4748)/2</f>
        <v>61.1883968883322</v>
      </c>
    </row>
    <row r="4755" customFormat="false" ht="17.15" hidden="false" customHeight="false" outlineLevel="0" collapsed="false">
      <c r="A4755" s="3" t="s">
        <v>1357</v>
      </c>
    </row>
    <row r="4756" customFormat="false" ht="15" hidden="false" customHeight="false" outlineLevel="0" collapsed="false">
      <c r="A4756" s="4" t="s">
        <v>43</v>
      </c>
      <c r="B4756" s="4" t="s">
        <v>65</v>
      </c>
      <c r="C4756" s="20" t="s">
        <v>788</v>
      </c>
      <c r="D4756" s="20" t="s">
        <v>789</v>
      </c>
      <c r="E4756" s="20" t="s">
        <v>790</v>
      </c>
      <c r="F4756" s="20" t="s">
        <v>791</v>
      </c>
      <c r="G4756" s="20" t="s">
        <v>792</v>
      </c>
      <c r="H4756" s="20" t="s">
        <v>793</v>
      </c>
      <c r="I4756" s="20" t="s">
        <v>794</v>
      </c>
      <c r="J4756" s="20" t="s">
        <v>795</v>
      </c>
      <c r="K4756" s="20" t="s">
        <v>796</v>
      </c>
      <c r="L4756" s="4" t="s">
        <v>47</v>
      </c>
    </row>
    <row r="4757" customFormat="false" ht="15" hidden="false" customHeight="false" outlineLevel="0" collapsed="false">
      <c r="A4757" s="1" t="s">
        <v>915</v>
      </c>
      <c r="B4757" s="0" t="s">
        <v>98</v>
      </c>
      <c r="F4757" s="6" t="n">
        <f aca="false">Sens!F4738</f>
        <v>146.503711458233</v>
      </c>
      <c r="G4757" s="6" t="n">
        <f aca="false">Sens!G4738</f>
        <v>173.08422366505</v>
      </c>
      <c r="H4757" s="6" t="n">
        <f aca="false">Sens!H4738</f>
        <v>203.797602002083</v>
      </c>
      <c r="I4757" s="6" t="n">
        <f aca="false">Sens!I4738</f>
        <v>227.157134454631</v>
      </c>
      <c r="J4757" s="6" t="n">
        <f aca="false">Sens!J4738</f>
        <v>247.627714257906</v>
      </c>
      <c r="K4757" s="6" t="n">
        <f aca="false">Sens!K4738</f>
        <v>264.811087757403</v>
      </c>
    </row>
    <row r="4758" customFormat="false" ht="17.15" hidden="false" customHeight="false" outlineLevel="0" collapsed="false">
      <c r="A4758" s="1" t="s">
        <v>937</v>
      </c>
      <c r="B4758" s="0" t="s">
        <v>98</v>
      </c>
      <c r="E4758" s="6" t="n">
        <f aca="false">Q!M38-Sens!E4676</f>
        <v>24.3801052339286</v>
      </c>
      <c r="F4758" s="6" t="n">
        <f aca="false">Sens!E4758*(1-1/life_nonai)+Sens!F4764/life_nonai</f>
        <v>25.515029433492</v>
      </c>
      <c r="G4758" s="6" t="n">
        <f aca="false">Sens!F4758*(1-1/life_nonai)+Sens!G4764/life_nonai</f>
        <v>27.1238158471817</v>
      </c>
      <c r="H4758" s="6" t="n">
        <f aca="false">Sens!G4758*(1-1/life_nonai)+Sens!H4764/life_nonai</f>
        <v>29.1675856268725</v>
      </c>
      <c r="I4758" s="6" t="n">
        <f aca="false">Sens!H4758*(1-1/life_nonai)+Sens!I4764/life_nonai</f>
        <v>31.5681670953496</v>
      </c>
      <c r="J4758" s="6" t="n">
        <f aca="false">Sens!I4758*(1-1/life_nonai)+Sens!J4764/life_nonai</f>
        <v>34.2319417108521</v>
      </c>
      <c r="K4758" s="6" t="n">
        <f aca="false">Sens!J4758*(1-1/life_nonai)+Sens!K4764/life_nonai</f>
        <v>37.0731178139662</v>
      </c>
      <c r="L4758" s="11" t="s">
        <v>938</v>
      </c>
    </row>
    <row r="4759" customFormat="false" ht="17.15" hidden="false" customHeight="false" outlineLevel="0" collapsed="false">
      <c r="A4759" s="1" t="s">
        <v>939</v>
      </c>
      <c r="B4759" s="0" t="s">
        <v>98</v>
      </c>
      <c r="E4759" s="6" t="n">
        <f aca="false">Sens!E4676+Sens!E4758</f>
        <v>38.534</v>
      </c>
      <c r="F4759" s="6" t="n">
        <f aca="false">Sens!F4676+Sens!F4758</f>
        <v>55.6313012670946</v>
      </c>
      <c r="G4759" s="6" t="n">
        <f aca="false">Sens!G4676+Sens!G4758</f>
        <v>79.5340758989013</v>
      </c>
      <c r="H4759" s="6" t="n">
        <f aca="false">Sens!H4676+Sens!H4758</f>
        <v>105.151342478135</v>
      </c>
      <c r="I4759" s="6" t="n">
        <f aca="false">Sens!I4676+Sens!I4758</f>
        <v>127.976803753753</v>
      </c>
      <c r="J4759" s="6" t="n">
        <f aca="false">Sens!J4676+Sens!J4758</f>
        <v>144.676301327351</v>
      </c>
      <c r="K4759" s="6" t="n">
        <f aca="false">Sens!K4676+Sens!K4758</f>
        <v>155.445577459158</v>
      </c>
    </row>
    <row r="4760" customFormat="false" ht="17.15" hidden="false" customHeight="false" outlineLevel="0" collapsed="false">
      <c r="A4760" s="1" t="s">
        <v>940</v>
      </c>
      <c r="B4760" s="0" t="s">
        <v>98</v>
      </c>
      <c r="F4760" s="6" t="n">
        <f aca="false">Sens!F4703*sbc_r</f>
        <v>15.1240791253967</v>
      </c>
      <c r="G4760" s="6" t="n">
        <f aca="false">Sens!G4703*sbc_r</f>
        <v>18.3778786594202</v>
      </c>
      <c r="H4760" s="6" t="n">
        <f aca="false">Sens!H4703*sbc_r</f>
        <v>21.8771522065674</v>
      </c>
      <c r="I4760" s="6" t="n">
        <f aca="false">Sens!I4703*sbc_r</f>
        <v>24.8134791659415</v>
      </c>
      <c r="J4760" s="6" t="n">
        <f aca="false">Sens!J4703*sbc_r</f>
        <v>27.1963570610237</v>
      </c>
      <c r="K4760" s="6" t="n">
        <f aca="false">Sens!K4703*sbc_r</f>
        <v>29.0282199045104</v>
      </c>
    </row>
    <row r="4761" customFormat="false" ht="17.15" hidden="false" customHeight="false" outlineLevel="0" collapsed="false">
      <c r="A4761" s="1" t="s">
        <v>941</v>
      </c>
      <c r="B4761" s="0" t="s">
        <v>98</v>
      </c>
      <c r="F4761" s="6" t="n">
        <f aca="false">wc27</f>
        <v>-4.895</v>
      </c>
      <c r="G4761" s="6" t="n">
        <f aca="false">wc_f</f>
        <v>0</v>
      </c>
      <c r="H4761" s="6" t="n">
        <f aca="false">wc_f</f>
        <v>0</v>
      </c>
      <c r="I4761" s="6" t="n">
        <f aca="false">wc_f</f>
        <v>0</v>
      </c>
      <c r="J4761" s="6" t="n">
        <f aca="false">wc_f</f>
        <v>0</v>
      </c>
      <c r="K4761" s="6" t="n">
        <f aca="false">wc_f</f>
        <v>0</v>
      </c>
      <c r="L4761" s="11" t="s">
        <v>942</v>
      </c>
    </row>
    <row r="4762" customFormat="false" ht="15" hidden="false" customHeight="false" outlineLevel="0" collapsed="false">
      <c r="A4762" s="1" t="s">
        <v>756</v>
      </c>
      <c r="B4762" s="0" t="s">
        <v>98</v>
      </c>
      <c r="E4762" s="6" t="n">
        <f aca="false">Q!M35</f>
        <v>182.935</v>
      </c>
      <c r="F4762" s="6" t="n">
        <f aca="false">Sens!F4757+Sens!F4759+Sens!F4760+Sens!F4761</f>
        <v>212.364091850725</v>
      </c>
      <c r="G4762" s="6" t="n">
        <f aca="false">Sens!G4757+Sens!G4759+Sens!G4760+Sens!G4761</f>
        <v>270.996178223372</v>
      </c>
      <c r="H4762" s="6" t="n">
        <f aca="false">Sens!H4757+Sens!H4759+Sens!H4760+Sens!H4761</f>
        <v>330.826096686785</v>
      </c>
      <c r="I4762" s="6" t="n">
        <f aca="false">Sens!I4757+Sens!I4759+Sens!I4760+Sens!I4761</f>
        <v>379.947417374326</v>
      </c>
      <c r="J4762" s="6" t="n">
        <f aca="false">Sens!J4757+Sens!J4759+Sens!J4760+Sens!J4761</f>
        <v>419.500372646281</v>
      </c>
      <c r="K4762" s="6" t="n">
        <f aca="false">Sens!K4757+Sens!K4759+Sens!K4760+Sens!K4761</f>
        <v>449.284885121072</v>
      </c>
    </row>
    <row r="4763" customFormat="false" ht="17.15" hidden="false" customHeight="false" outlineLevel="0" collapsed="false">
      <c r="A4763" s="0" t="s">
        <v>943</v>
      </c>
      <c r="B4763" s="0" t="s">
        <v>98</v>
      </c>
      <c r="F4763" s="6" t="n">
        <f aca="false">Sens!F4673</f>
        <v>168.470652770438</v>
      </c>
      <c r="G4763" s="6" t="n">
        <f aca="false">Sens!G4673</f>
        <v>183.5741804832</v>
      </c>
      <c r="H4763" s="6" t="n">
        <f aca="false">Sens!H4673</f>
        <v>188.0802859104</v>
      </c>
      <c r="I4763" s="6" t="n">
        <f aca="false">Sens!I4673</f>
        <v>133.447993807579</v>
      </c>
      <c r="J4763" s="6" t="n">
        <f aca="false">Sens!J4673</f>
        <v>109.074377051424</v>
      </c>
      <c r="K4763" s="6" t="n">
        <f aca="false">Sens!K4673</f>
        <v>69.8801846152694</v>
      </c>
    </row>
    <row r="4764" customFormat="false" ht="17.15" hidden="false" customHeight="false" outlineLevel="0" collapsed="false">
      <c r="A4764" s="1" t="s">
        <v>944</v>
      </c>
      <c r="B4764" s="0" t="s">
        <v>98</v>
      </c>
      <c r="E4764" s="6" t="n">
        <f aca="false">Sens!E4681*cx_azo+Sens!E4688*cx_m365+Sens!E4689*cx_lic+(Sens!E4691+Sens!E4693)*cx_ind+Sens!E4696*cx_srch+(Sens!E4698+Sens!E4700)*cx_dev</f>
        <v>30.1846587067718</v>
      </c>
      <c r="F4764" s="6" t="n">
        <f aca="false">Sens!F4681*cx_azo+Sens!F4688*cx_m365+Sens!F4689*cx_lic+(Sens!F4691+Sens!F4693)*cx_ind+Sens!F4696*cx_srch+(Sens!F4698+Sens!F4700)*cx_dev</f>
        <v>35.7293472295625</v>
      </c>
      <c r="G4764" s="6" t="n">
        <f aca="false">Sens!G4681*cx_azo+Sens!G4688*cx_m365+Sens!G4689*cx_lic+(Sens!G4691+Sens!G4693)*cx_ind+Sens!G4696*cx_srch+(Sens!G4698+Sens!G4700)*cx_dev</f>
        <v>41.6028935703892</v>
      </c>
      <c r="H4764" s="6" t="n">
        <f aca="false">Sens!H4681*cx_azo+Sens!H4688*cx_m365+Sens!H4689*cx_lic+(Sens!H4691+Sens!H4693)*cx_ind+Sens!H4696*cx_srch+(Sens!H4698+Sens!H4700)*cx_dev</f>
        <v>47.5615136440897</v>
      </c>
      <c r="I4764" s="6" t="n">
        <f aca="false">Sens!I4681*cx_azo+Sens!I4688*cx_m365+Sens!I4689*cx_lic+(Sens!I4691+Sens!I4693)*cx_ind+Sens!I4696*cx_srch+(Sens!I4698+Sens!I4700)*cx_dev</f>
        <v>53.1734003116439</v>
      </c>
      <c r="J4764" s="6" t="n">
        <f aca="false">Sens!J4681*cx_azo+Sens!J4688*cx_m365+Sens!J4689*cx_lic+(Sens!J4691+Sens!J4693)*cx_ind+Sens!J4696*cx_srch+(Sens!J4698+Sens!J4700)*cx_dev</f>
        <v>58.2059132503738</v>
      </c>
      <c r="K4764" s="6" t="n">
        <f aca="false">Sens!K4681*cx_azo+Sens!K4688*cx_m365+Sens!K4689*cx_lic+(Sens!K4691+Sens!K4693)*cx_ind+Sens!K4696*cx_srch+(Sens!K4698+Sens!K4700)*cx_dev</f>
        <v>62.643702741994</v>
      </c>
    </row>
    <row r="4765" customFormat="false" ht="17.15" hidden="false" customHeight="false" outlineLevel="0" collapsed="false">
      <c r="A4765" s="1" t="s">
        <v>945</v>
      </c>
      <c r="B4765" s="0" t="s">
        <v>98</v>
      </c>
      <c r="E4765" s="6" t="n">
        <f aca="false">Q!M42</f>
        <v>145.3</v>
      </c>
      <c r="F4765" s="6" t="n">
        <f aca="false">Sens!F4763+Sens!F4764</f>
        <v>204.2</v>
      </c>
      <c r="G4765" s="6" t="n">
        <f aca="false">Sens!G4763+Sens!G4764</f>
        <v>225.177074053589</v>
      </c>
      <c r="H4765" s="6" t="n">
        <f aca="false">Sens!H4763+Sens!H4764</f>
        <v>235.64179955449</v>
      </c>
      <c r="I4765" s="6" t="n">
        <f aca="false">Sens!I4763+Sens!I4764</f>
        <v>186.621394119223</v>
      </c>
      <c r="J4765" s="6" t="n">
        <f aca="false">Sens!J4763+Sens!J4764</f>
        <v>167.280290301798</v>
      </c>
      <c r="K4765" s="6" t="n">
        <f aca="false">Sens!K4763+Sens!K4764</f>
        <v>132.523887357263</v>
      </c>
      <c r="L4765" s="1" t="s">
        <v>946</v>
      </c>
    </row>
    <row r="4766" customFormat="false" ht="15" hidden="false" customHeight="false" outlineLevel="0" collapsed="false">
      <c r="A4766" s="1" t="s">
        <v>947</v>
      </c>
      <c r="B4766" s="0" t="s">
        <v>98</v>
      </c>
      <c r="E4766" s="6" t="n">
        <f aca="false">fl_liab</f>
        <v>66.594</v>
      </c>
      <c r="F4766" s="6" t="n">
        <f aca="false">Sens!E4766-Sens!F4767</f>
        <v>62.46973</v>
      </c>
      <c r="G4766" s="6" t="n">
        <f aca="false">Sens!F4766-Sens!G4767</f>
        <v>57.98686785</v>
      </c>
      <c r="H4766" s="6" t="n">
        <f aca="false">Sens!G4766-Sens!H4767</f>
        <v>53.92827690325</v>
      </c>
      <c r="I4766" s="6" t="n">
        <f aca="false">Sens!H4766-Sens!I4767</f>
        <v>49.7850493638962</v>
      </c>
      <c r="J4766" s="6" t="n">
        <f aca="false">Sens!I4766-Sens!J4767</f>
        <v>45.4823765852716</v>
      </c>
      <c r="K4766" s="6" t="n">
        <f aca="false">Sens!J4766-Sens!K4767</f>
        <v>40.9860835316088</v>
      </c>
    </row>
    <row r="4767" customFormat="false" ht="15" hidden="false" customHeight="false" outlineLevel="0" collapsed="false">
      <c r="A4767" s="1" t="s">
        <v>948</v>
      </c>
      <c r="B4767" s="0" t="s">
        <v>98</v>
      </c>
      <c r="F4767" s="6" t="n">
        <f aca="false">fl_pay_27-Sens!E4766*fl_rate</f>
        <v>4.12427</v>
      </c>
      <c r="G4767" s="6" t="n">
        <f aca="false">fl_pay_28-Sens!F4766*fl_rate</f>
        <v>4.48286215</v>
      </c>
      <c r="H4767" s="6" t="n">
        <f aca="false">fl_pay_29-Sens!G4766*fl_rate</f>
        <v>4.05859094675</v>
      </c>
      <c r="I4767" s="6" t="n">
        <f aca="false">fl_pay_30-Sens!H4766*fl_rate</f>
        <v>4.14322753935375</v>
      </c>
      <c r="J4767" s="6" t="n">
        <f aca="false">fl_pay_31-Sens!I4766*fl_rate</f>
        <v>4.30267277862467</v>
      </c>
      <c r="K4767" s="6" t="n">
        <f aca="false">fl_pay_32-Sens!J4766*fl_rate</f>
        <v>4.49629305366278</v>
      </c>
    </row>
    <row r="4768" customFormat="false" ht="17.15" hidden="false" customHeight="false" outlineLevel="0" collapsed="false">
      <c r="A4768" s="1" t="s">
        <v>949</v>
      </c>
      <c r="B4768" s="0" t="s">
        <v>98</v>
      </c>
      <c r="E4768" s="6" t="n">
        <f aca="false">Q!M35-Q!M36-Q!M43</f>
        <v>63.886</v>
      </c>
      <c r="F4768" s="6" t="n">
        <f aca="false">Sens!F4762-Sens!F4765-Sens!F4767</f>
        <v>4.03982185072482</v>
      </c>
      <c r="G4768" s="6" t="n">
        <f aca="false">Sens!G4762-Sens!G4765-Sens!G4767</f>
        <v>41.3362420197822</v>
      </c>
      <c r="H4768" s="6" t="n">
        <f aca="false">Sens!H4762-Sens!H4765-Sens!H4767</f>
        <v>91.1257061855458</v>
      </c>
      <c r="I4768" s="6" t="n">
        <f aca="false">Sens!I4762-Sens!I4765-Sens!I4767</f>
        <v>189.182795715749</v>
      </c>
      <c r="J4768" s="6" t="n">
        <f aca="false">Sens!J4762-Sens!J4765-Sens!J4767</f>
        <v>247.917409565859</v>
      </c>
      <c r="K4768" s="6" t="n">
        <f aca="false">Sens!K4762-Sens!K4765-Sens!K4767</f>
        <v>312.264704710146</v>
      </c>
      <c r="L4768" s="11" t="s">
        <v>950</v>
      </c>
    </row>
    <row r="4769" customFormat="false" ht="15" hidden="false" customHeight="false" outlineLevel="0" collapsed="false">
      <c r="A4769" s="1" t="s">
        <v>951</v>
      </c>
      <c r="B4769" s="0" t="s">
        <v>75</v>
      </c>
      <c r="F4769" s="8" t="n">
        <f aca="false">dps_27</f>
        <v>3.85</v>
      </c>
      <c r="G4769" s="8" t="n">
        <f aca="false">Sens!F4769*(1+dps_g)</f>
        <v>4.158</v>
      </c>
      <c r="H4769" s="8" t="n">
        <f aca="false">Sens!G4769*(1+dps_g)</f>
        <v>4.49064</v>
      </c>
      <c r="I4769" s="8" t="n">
        <f aca="false">Sens!H4769*(1+dps_g)</f>
        <v>4.8498912</v>
      </c>
      <c r="J4769" s="8" t="n">
        <f aca="false">Sens!I4769*(1+dps_g)</f>
        <v>5.237882496</v>
      </c>
      <c r="K4769" s="8" t="n">
        <f aca="false">Sens!J4769*(1+dps_g)</f>
        <v>5.65691309568</v>
      </c>
    </row>
    <row r="4770" customFormat="false" ht="17.15" hidden="false" customHeight="false" outlineLevel="0" collapsed="false">
      <c r="A4770" s="1" t="s">
        <v>952</v>
      </c>
      <c r="B4770" s="0" t="s">
        <v>98</v>
      </c>
      <c r="E4770" s="6" t="n">
        <f aca="false">Q!M41</f>
        <v>26.445</v>
      </c>
      <c r="F4770" s="6" t="n">
        <f aca="false">Sens!F4769*Sens!E4779</f>
        <v>28.59395</v>
      </c>
      <c r="G4770" s="6" t="n">
        <f aca="false">Sens!G4769*Sens!F4779</f>
        <v>31.068576</v>
      </c>
      <c r="H4770" s="6" t="n">
        <f aca="false">Sens!H4769*Sens!G4779</f>
        <v>33.6790073550254</v>
      </c>
      <c r="I4770" s="6" t="n">
        <f aca="false">Sens!I4769*Sens!H4779</f>
        <v>36.4242671834269</v>
      </c>
      <c r="J4770" s="6" t="n">
        <f aca="false">Sens!J4769*Sens!I4779</f>
        <v>39.4066074064205</v>
      </c>
      <c r="K4770" s="6" t="n">
        <f aca="false">Sens!K4769*Sens!J4779</f>
        <v>42.6463912242392</v>
      </c>
      <c r="L4770" s="1" t="s">
        <v>953</v>
      </c>
    </row>
    <row r="4771" customFormat="false" ht="15" hidden="false" customHeight="false" outlineLevel="0" collapsed="false">
      <c r="A4771" s="1" t="s">
        <v>954</v>
      </c>
      <c r="B4771" s="0" t="s">
        <v>98</v>
      </c>
      <c r="E4771" s="6" t="n">
        <f aca="false">Sens!E4768-Sens!E4770</f>
        <v>37.441</v>
      </c>
      <c r="F4771" s="6" t="n">
        <f aca="false">Sens!F4768-Sens!F4770</f>
        <v>-24.5541281492752</v>
      </c>
      <c r="G4771" s="6" t="n">
        <f aca="false">Sens!G4768-Sens!G4770</f>
        <v>10.2676660197822</v>
      </c>
      <c r="H4771" s="6" t="n">
        <f aca="false">Sens!H4768-Sens!H4770</f>
        <v>57.4466988305204</v>
      </c>
      <c r="I4771" s="6" t="n">
        <f aca="false">Sens!I4768-Sens!I4770</f>
        <v>152.758528532322</v>
      </c>
      <c r="J4771" s="6" t="n">
        <f aca="false">Sens!J4768-Sens!J4770</f>
        <v>208.510802159439</v>
      </c>
      <c r="K4771" s="6" t="n">
        <f aca="false">Sens!K4768-Sens!K4770</f>
        <v>269.618313485906</v>
      </c>
    </row>
    <row r="4772" customFormat="false" ht="15" hidden="false" customHeight="false" outlineLevel="0" collapsed="false">
      <c r="A4772" s="1" t="s">
        <v>955</v>
      </c>
      <c r="B4772" s="0" t="s">
        <v>98</v>
      </c>
      <c r="F4772" s="6" t="n">
        <f aca="false">debt_mat_27</f>
        <v>9.25</v>
      </c>
      <c r="G4772" s="6" t="n">
        <f aca="false">debt_mat_28</f>
        <v>0</v>
      </c>
      <c r="H4772" s="6" t="n">
        <f aca="false">debt_mat_29</f>
        <v>2.001</v>
      </c>
      <c r="I4772" s="6" t="n">
        <f aca="false">debt_mat_30</f>
        <v>0</v>
      </c>
      <c r="J4772" s="6" t="n">
        <f aca="false">debt_mat_31</f>
        <v>0.5</v>
      </c>
      <c r="K4772" s="6" t="n">
        <f aca="false">debt_mat_32</f>
        <v>0</v>
      </c>
    </row>
    <row r="4773" customFormat="false" ht="15" hidden="false" customHeight="false" outlineLevel="0" collapsed="false">
      <c r="A4773" s="1" t="s">
        <v>956</v>
      </c>
      <c r="B4773" s="0" t="s">
        <v>98</v>
      </c>
      <c r="E4773" s="6" t="n">
        <f aca="false">Q!M40</f>
        <v>22.271</v>
      </c>
      <c r="F4773" s="6" t="n">
        <f aca="false">MAX(0,MIN(bb_target,Sens!E4775+Sens!F4771-Sens!F4772-min_cash))</f>
        <v>0</v>
      </c>
      <c r="G4773" s="6" t="n">
        <f aca="false">MAX(0,MIN(bb_target,Sens!F4775+Sens!G4771-Sens!G4772-min_cash))</f>
        <v>10.2676660197822</v>
      </c>
      <c r="H4773" s="6" t="n">
        <f aca="false">MAX(0,MIN(bb_target,Sens!G4775+Sens!H4771-Sens!H4772-min_cash))</f>
        <v>22.271</v>
      </c>
      <c r="I4773" s="6" t="n">
        <f aca="false">MAX(0,MIN(bb_target,Sens!H4775+Sens!I4771-Sens!I4772-min_cash))</f>
        <v>22.271</v>
      </c>
      <c r="J4773" s="6" t="n">
        <f aca="false">MAX(0,MIN(bb_target,Sens!I4775+Sens!J4771-Sens!J4772-min_cash))</f>
        <v>22.271</v>
      </c>
      <c r="K4773" s="6" t="n">
        <f aca="false">MAX(0,MIN(bb_target,Sens!J4775+Sens!K4771-Sens!K4772-min_cash))</f>
        <v>22.271</v>
      </c>
    </row>
    <row r="4774" customFormat="false" ht="15" hidden="false" customHeight="false" outlineLevel="0" collapsed="false">
      <c r="A4774" s="1" t="s">
        <v>957</v>
      </c>
      <c r="B4774" s="0" t="s">
        <v>98</v>
      </c>
      <c r="F4774" s="6" t="n">
        <f aca="false">MAX(0,min_cash-(Sens!E4775+Sens!F4771-Sens!F4772-Sens!F4773))</f>
        <v>6.96112814927518</v>
      </c>
      <c r="G4774" s="6" t="n">
        <f aca="false">MAX(0,min_cash-(Sens!F4775+Sens!G4771-Sens!G4772-Sens!G4773))</f>
        <v>0</v>
      </c>
      <c r="H4774" s="6" t="n">
        <f aca="false">MAX(0,min_cash-(Sens!G4775+Sens!H4771-Sens!H4772-Sens!H4773))</f>
        <v>0</v>
      </c>
      <c r="I4774" s="6" t="n">
        <f aca="false">MAX(0,min_cash-(Sens!H4775+Sens!I4771-Sens!I4772-Sens!I4773))</f>
        <v>0</v>
      </c>
      <c r="J4774" s="6" t="n">
        <f aca="false">MAX(0,min_cash-(Sens!I4775+Sens!J4771-Sens!J4772-Sens!J4773))</f>
        <v>0</v>
      </c>
      <c r="K4774" s="6" t="n">
        <f aca="false">MAX(0,min_cash-(Sens!J4775+Sens!K4771-Sens!K4772-Sens!K4773))</f>
        <v>0</v>
      </c>
    </row>
    <row r="4775" customFormat="false" ht="15" hidden="false" customHeight="false" outlineLevel="0" collapsed="false">
      <c r="A4775" s="1" t="s">
        <v>958</v>
      </c>
      <c r="B4775" s="0" t="s">
        <v>98</v>
      </c>
      <c r="E4775" s="6" t="n">
        <f aca="false">cash_open</f>
        <v>76.843</v>
      </c>
      <c r="F4775" s="6" t="n">
        <f aca="false">Sens!E4775+Sens!F4771-Sens!F4772-Sens!F4773+Sens!F4774</f>
        <v>50</v>
      </c>
      <c r="G4775" s="6" t="n">
        <f aca="false">Sens!F4775+Sens!G4771-Sens!G4772-Sens!G4773+Sens!G4774</f>
        <v>50</v>
      </c>
      <c r="H4775" s="6" t="n">
        <f aca="false">Sens!G4775+Sens!H4771-Sens!H4772-Sens!H4773+Sens!H4774</f>
        <v>83.1746988305204</v>
      </c>
      <c r="I4775" s="6" t="n">
        <f aca="false">Sens!H4775+Sens!I4771-Sens!I4772-Sens!I4773+Sens!I4774</f>
        <v>213.662227362843</v>
      </c>
      <c r="J4775" s="6" t="n">
        <f aca="false">Sens!I4775+Sens!J4771-Sens!J4772-Sens!J4773+Sens!J4774</f>
        <v>399.402029522281</v>
      </c>
      <c r="K4775" s="6" t="n">
        <f aca="false">Sens!J4775+Sens!K4771-Sens!K4772-Sens!K4773+Sens!K4774</f>
        <v>646.749343008188</v>
      </c>
    </row>
    <row r="4776" customFormat="false" ht="15" hidden="false" customHeight="false" outlineLevel="0" collapsed="false">
      <c r="A4776" s="1" t="s">
        <v>959</v>
      </c>
      <c r="B4776" s="0" t="s">
        <v>98</v>
      </c>
      <c r="E4776" s="6" t="n">
        <f aca="false">debt_face</f>
        <v>46.136</v>
      </c>
      <c r="F4776" s="6" t="n">
        <f aca="false">Sens!E4776-Sens!F4772+Sens!F4774</f>
        <v>43.8471281492752</v>
      </c>
      <c r="G4776" s="6" t="n">
        <f aca="false">Sens!F4776-Sens!G4772+Sens!G4774</f>
        <v>43.8471281492752</v>
      </c>
      <c r="H4776" s="6" t="n">
        <f aca="false">Sens!G4776-Sens!H4772+Sens!H4774</f>
        <v>41.8461281492752</v>
      </c>
      <c r="I4776" s="6" t="n">
        <f aca="false">Sens!H4776-Sens!I4772+Sens!I4774</f>
        <v>41.8461281492752</v>
      </c>
      <c r="J4776" s="6" t="n">
        <f aca="false">Sens!I4776-Sens!J4772+Sens!J4774</f>
        <v>41.3461281492752</v>
      </c>
      <c r="K4776" s="6" t="n">
        <f aca="false">Sens!J4776-Sens!K4772+Sens!K4774</f>
        <v>41.3461281492752</v>
      </c>
    </row>
    <row r="4777" customFormat="false" ht="15" hidden="false" customHeight="false" outlineLevel="0" collapsed="false">
      <c r="A4777" s="1" t="s">
        <v>960</v>
      </c>
      <c r="B4777" s="0" t="s">
        <v>98</v>
      </c>
      <c r="E4777" s="6" t="n">
        <f aca="false">Sens!E4775-Sens!E4776</f>
        <v>30.707</v>
      </c>
      <c r="F4777" s="6" t="n">
        <f aca="false">Sens!F4775-Sens!F4776</f>
        <v>6.15287185072481</v>
      </c>
      <c r="G4777" s="6" t="n">
        <f aca="false">Sens!G4775-Sens!G4776</f>
        <v>6.15287185072481</v>
      </c>
      <c r="H4777" s="6" t="n">
        <f aca="false">Sens!H4775-Sens!H4776</f>
        <v>41.3285706812452</v>
      </c>
      <c r="I4777" s="6" t="n">
        <f aca="false">Sens!I4775-Sens!I4776</f>
        <v>171.816099213568</v>
      </c>
      <c r="J4777" s="6" t="n">
        <f aca="false">Sens!J4775-Sens!J4776</f>
        <v>358.055901373006</v>
      </c>
      <c r="K4777" s="6" t="n">
        <f aca="false">Sens!K4775-Sens!K4776</f>
        <v>605.403214858913</v>
      </c>
    </row>
    <row r="4778" customFormat="false" ht="15" hidden="false" customHeight="false" outlineLevel="0" collapsed="false">
      <c r="A4778" s="1" t="s">
        <v>961</v>
      </c>
      <c r="B4778" s="0" t="s">
        <v>75</v>
      </c>
      <c r="F4778" s="29" t="n">
        <f aca="false">px*(1+bb_g)^(Sens!F4642-base_fy-mid_yr)</f>
        <v>553.494156066711</v>
      </c>
      <c r="G4778" s="29" t="n">
        <f aca="false">px*(1+bb_g)^(Sens!G4642-base_fy-mid_yr)</f>
        <v>597.773688552047</v>
      </c>
      <c r="H4778" s="29" t="n">
        <f aca="false">px*(1+bb_g)^(Sens!H4642-base_fy-mid_yr)</f>
        <v>645.595583636211</v>
      </c>
      <c r="I4778" s="29" t="n">
        <f aca="false">px*(1+bb_g)^(Sens!I4642-base_fy-mid_yr)</f>
        <v>697.243230327108</v>
      </c>
      <c r="J4778" s="29" t="n">
        <f aca="false">px*(1+bb_g)^(Sens!J4642-base_fy-mid_yr)</f>
        <v>753.022688753277</v>
      </c>
      <c r="K4778" s="29" t="n">
        <f aca="false">px*(1+bb_g)^(Sens!K4642-base_fy-mid_yr)</f>
        <v>813.264503853539</v>
      </c>
    </row>
    <row r="4779" customFormat="false" ht="15" hidden="false" customHeight="false" outlineLevel="0" collapsed="false">
      <c r="A4779" s="1" t="s">
        <v>962</v>
      </c>
      <c r="B4779" s="1" t="s">
        <v>81</v>
      </c>
      <c r="E4779" s="14" t="n">
        <f aca="false">sh_out26</f>
        <v>7.427</v>
      </c>
      <c r="F4779" s="14" t="n">
        <f aca="false">Sens!E4779+sh_iss-Sens!F4773/Sens!F4778</f>
        <v>7.472</v>
      </c>
      <c r="G4779" s="14" t="n">
        <f aca="false">Sens!F4779+sh_iss-Sens!G4773/Sens!G4778</f>
        <v>7.49982348953054</v>
      </c>
      <c r="H4779" s="14" t="n">
        <f aca="false">Sens!G4779+sh_iss-Sens!H4773/Sens!H4778</f>
        <v>7.51032666123044</v>
      </c>
      <c r="I4779" s="14" t="n">
        <f aca="false">Sens!H4779+sh_iss-Sens!I4773/Sens!I4778</f>
        <v>7.52338515354517</v>
      </c>
      <c r="J4779" s="14" t="n">
        <f aca="false">Sens!I4779+sh_iss-Sens!J4773/Sens!J4778</f>
        <v>7.53880968346621</v>
      </c>
      <c r="K4779" s="14" t="n">
        <f aca="false">Sens!J4779+sh_iss-Sens!K4773/Sens!K4778</f>
        <v>7.55642498894865</v>
      </c>
    </row>
    <row r="4780" customFormat="false" ht="15" hidden="false" customHeight="false" outlineLevel="0" collapsed="false">
      <c r="A4780" s="1" t="s">
        <v>963</v>
      </c>
      <c r="B4780" s="1" t="s">
        <v>81</v>
      </c>
      <c r="E4780" s="14" t="n">
        <f aca="false">sh_dil26</f>
        <v>7.453</v>
      </c>
      <c r="F4780" s="14" t="n">
        <f aca="false">(Sens!E4779+Sens!F4779)/2+dil_gap</f>
        <v>7.4735</v>
      </c>
      <c r="G4780" s="14" t="n">
        <f aca="false">(Sens!F4779+Sens!G4779)/2+dil_gap</f>
        <v>7.50991174476527</v>
      </c>
      <c r="H4780" s="14" t="n">
        <f aca="false">(Sens!G4779+Sens!H4779)/2+dil_gap</f>
        <v>7.52907507538049</v>
      </c>
      <c r="I4780" s="14" t="n">
        <f aca="false">(Sens!H4779+Sens!I4779)/2+dil_gap</f>
        <v>7.5408559073878</v>
      </c>
      <c r="J4780" s="14" t="n">
        <f aca="false">(Sens!I4779+Sens!J4779)/2+dil_gap</f>
        <v>7.55509741850569</v>
      </c>
      <c r="K4780" s="14" t="n">
        <f aca="false">(Sens!J4779+Sens!K4779)/2+dil_gap</f>
        <v>7.57161733620743</v>
      </c>
    </row>
    <row r="4781" customFormat="false" ht="17.15" hidden="false" customHeight="false" outlineLevel="0" collapsed="false">
      <c r="A4781" s="1" t="s">
        <v>964</v>
      </c>
      <c r="B4781" s="0" t="s">
        <v>98</v>
      </c>
      <c r="C4781" s="6" t="n">
        <f aca="false">SUM(Sens!F4771:J4771)</f>
        <v>404.429567392788</v>
      </c>
    </row>
    <row r="4782" customFormat="false" ht="15" hidden="false" customHeight="false" outlineLevel="0" collapsed="false">
      <c r="A4782" s="23" t="s">
        <v>935</v>
      </c>
      <c r="B4782" s="30" t="s">
        <v>98</v>
      </c>
      <c r="C4782" s="24" t="n">
        <f aca="false">Sens!$C$4781-(Sens!F4771+Sens!G4771+Sens!H4771+Sens!I4771+Sens!J4771)</f>
        <v>0</v>
      </c>
      <c r="D4782" s="30"/>
      <c r="E4782" s="30"/>
      <c r="F4782" s="30"/>
      <c r="G4782" s="30"/>
      <c r="H4782" s="30"/>
      <c r="I4782" s="30"/>
      <c r="J4782" s="30"/>
      <c r="K4782" s="30"/>
    </row>
    <row r="4783" customFormat="false" ht="17.15" hidden="false" customHeight="false" outlineLevel="0" collapsed="false">
      <c r="A4783" s="1" t="s">
        <v>929</v>
      </c>
      <c r="B4783" s="1" t="s">
        <v>965</v>
      </c>
      <c r="C4783" s="32" t="str">
        <f aca="false">IF(SUM(Sens!F4774:J4774)&gt;0.05,"需要舉債 "&amp;TEXT(SUM(Sens!F4774:J4774),"0.0")&amp;" 十億美元","不需舉債")&amp;"；"&amp;IF(SUM(Sens!F4773:J4773)&lt;COUNT(Sens!F4773:J4773)*bb_target-0.05,"回購較每年 "&amp;TEXT(bb_target,"0.0")&amp;" 的目標少 "&amp;TEXT(COUNT(Sens!F4773:J4773)*bb_target-SUM(Sens!F4773:J4773),"0.0")&amp;" 十億美元（"&amp;TEXT(COUNTIF(Sens!F4773:J4773,"&lt;"&amp;(bb_target-0.05)),"0")&amp;" 年減少）","回購不減")</f>
        <v>需要舉債 7.0 十億美元；回購較每年 22.3 的目標少 34.3 十億美元（2 年減少）</v>
      </c>
    </row>
    <row r="4784" customFormat="false" ht="17.15" hidden="false" customHeight="false" outlineLevel="0" collapsed="false">
      <c r="A4784" s="3" t="s">
        <v>1358</v>
      </c>
    </row>
    <row r="4785" customFormat="false" ht="15" hidden="false" customHeight="false" outlineLevel="0" collapsed="false">
      <c r="A4785" s="4" t="s">
        <v>43</v>
      </c>
      <c r="B4785" s="4" t="s">
        <v>65</v>
      </c>
      <c r="C4785" s="20" t="s">
        <v>788</v>
      </c>
      <c r="D4785" s="20" t="s">
        <v>789</v>
      </c>
      <c r="E4785" s="20" t="s">
        <v>790</v>
      </c>
      <c r="F4785" s="20" t="s">
        <v>791</v>
      </c>
      <c r="G4785" s="20" t="s">
        <v>792</v>
      </c>
      <c r="H4785" s="20" t="s">
        <v>793</v>
      </c>
      <c r="I4785" s="20" t="s">
        <v>794</v>
      </c>
      <c r="J4785" s="20" t="s">
        <v>795</v>
      </c>
      <c r="K4785" s="20" t="s">
        <v>796</v>
      </c>
      <c r="L4785" s="4" t="s">
        <v>47</v>
      </c>
    </row>
    <row r="4786" customFormat="false" ht="15" hidden="false" customHeight="false" outlineLevel="0" collapsed="false">
      <c r="A4786" s="1" t="s">
        <v>1042</v>
      </c>
      <c r="B4786" s="1" t="s">
        <v>235</v>
      </c>
      <c r="F4786" s="36" t="n">
        <f aca="false">Sens!F4642-base_fy-mid_yr</f>
        <v>0.5</v>
      </c>
      <c r="G4786" s="36" t="n">
        <f aca="false">Sens!G4642-base_fy-mid_yr</f>
        <v>1.5</v>
      </c>
      <c r="H4786" s="36" t="n">
        <f aca="false">Sens!H4642-base_fy-mid_yr</f>
        <v>2.5</v>
      </c>
      <c r="I4786" s="36" t="n">
        <f aca="false">Sens!I4642-base_fy-mid_yr</f>
        <v>3.5</v>
      </c>
      <c r="J4786" s="36" t="n">
        <f aca="false">Sens!J4642-base_fy-mid_yr</f>
        <v>4.5</v>
      </c>
      <c r="K4786" s="36" t="n">
        <f aca="false">Sens!K4642-base_fy-mid_yr</f>
        <v>5.5</v>
      </c>
    </row>
    <row r="4787" customFormat="false" ht="15" hidden="false" customHeight="false" outlineLevel="0" collapsed="false">
      <c r="A4787" s="1" t="s">
        <v>1043</v>
      </c>
      <c r="B4787" s="0" t="s">
        <v>185</v>
      </c>
      <c r="F4787" s="14" t="n">
        <f aca="false">1/(1+wacc)^Sens!F4786</f>
        <v>0.952193373608246</v>
      </c>
      <c r="G4787" s="14" t="n">
        <f aca="false">1/(1+wacc)^Sens!G4786</f>
        <v>0.863327280626589</v>
      </c>
      <c r="H4787" s="14" t="n">
        <f aca="false">1/(1+wacc)^Sens!H4786</f>
        <v>0.782754862754115</v>
      </c>
      <c r="I4787" s="14" t="n">
        <f aca="false">1/(1+wacc)^Sens!I4786</f>
        <v>0.709702089711011</v>
      </c>
      <c r="J4787" s="14" t="n">
        <f aca="false">1/(1+wacc)^Sens!J4786</f>
        <v>0.643467169744551</v>
      </c>
      <c r="K4787" s="14" t="n">
        <f aca="false">1/(1+wacc)^Sens!K4786</f>
        <v>0.583413807767797</v>
      </c>
    </row>
    <row r="4788" customFormat="false" ht="17.15" hidden="false" customHeight="false" outlineLevel="0" collapsed="false">
      <c r="A4788" s="1" t="s">
        <v>1044</v>
      </c>
      <c r="B4788" s="0" t="s">
        <v>98</v>
      </c>
      <c r="F4788" s="6" t="n">
        <f aca="false">Sens!F4762-Sens!F4760-Sens!F4765+Sens!F4746*(1-tax_f)</f>
        <v>8.40020877128338</v>
      </c>
      <c r="G4788" s="6" t="n">
        <f aca="false">Sens!G4762-Sens!G4760-Sens!G4765+Sens!G4746*(1-tax_f)</f>
        <v>53.6556887592693</v>
      </c>
      <c r="H4788" s="6" t="n">
        <f aca="false">Sens!H4762-Sens!H4760-Sens!H4765+Sens!H4746*(1-tax_f)</f>
        <v>111.457840251948</v>
      </c>
      <c r="I4788" s="6" t="n">
        <f aca="false">Sens!I4762-Sens!I4760-Sens!I4765+Sens!I4746*(1-tax_f)</f>
        <v>217.250667608286</v>
      </c>
      <c r="J4788" s="6" t="n">
        <f aca="false">Sens!J4762-Sens!J4760-Sens!J4765+Sens!J4746*(1-tax_f)</f>
        <v>281.290818524966</v>
      </c>
      <c r="K4788" s="6" t="n">
        <f aca="false">Sens!K4762-Sens!K4760-Sens!K4765+Sens!K4746*(1-tax_f)</f>
        <v>347.172587330077</v>
      </c>
      <c r="L4788" s="1" t="s">
        <v>1045</v>
      </c>
    </row>
    <row r="4789" customFormat="false" ht="15" hidden="false" customHeight="false" outlineLevel="0" collapsed="false">
      <c r="A4789" s="1" t="s">
        <v>1046</v>
      </c>
      <c r="B4789" s="0" t="s">
        <v>98</v>
      </c>
      <c r="F4789" s="6" t="n">
        <f aca="false">Sens!F4788*Sens!F4787</f>
        <v>7.9986231289419</v>
      </c>
      <c r="G4789" s="6" t="n">
        <f aca="false">Sens!G4788*Sens!G4787</f>
        <v>46.3224198666866</v>
      </c>
      <c r="H4789" s="6" t="n">
        <f aca="false">Sens!H4788*Sens!H4787</f>
        <v>87.2441664492836</v>
      </c>
      <c r="I4789" s="6" t="n">
        <f aca="false">Sens!I4788*Sens!I4787</f>
        <v>154.183252792713</v>
      </c>
      <c r="J4789" s="6" t="n">
        <f aca="false">Sens!J4788*Sens!J4787</f>
        <v>181.001406871388</v>
      </c>
      <c r="K4789" s="6" t="n">
        <f aca="false">Sens!K4788*Sens!K4787</f>
        <v>202.545281126838</v>
      </c>
    </row>
    <row r="4790" customFormat="false" ht="17.15" hidden="false" customHeight="false" outlineLevel="0" collapsed="false">
      <c r="A4790" s="1" t="s">
        <v>1047</v>
      </c>
      <c r="B4790" s="0" t="s">
        <v>98</v>
      </c>
      <c r="C4790" s="6" t="n">
        <f aca="false">SUM(Sens!F4789:K4789)</f>
        <v>679.295150235851</v>
      </c>
    </row>
    <row r="4791" customFormat="false" ht="17.15" hidden="false" customHeight="false" outlineLevel="0" collapsed="false">
      <c r="A4791" s="1" t="s">
        <v>1048</v>
      </c>
      <c r="B4791" s="0" t="s">
        <v>98</v>
      </c>
      <c r="C4791" s="6" t="n">
        <f aca="false">Sens!K4732*(1+g_tv)*(1-tax_f)</f>
        <v>334.308024145028</v>
      </c>
    </row>
    <row r="4792" customFormat="false" ht="17.15" hidden="false" customHeight="false" outlineLevel="0" collapsed="false">
      <c r="A4792" s="1" t="s">
        <v>1049</v>
      </c>
      <c r="B4792" s="0" t="s">
        <v>98</v>
      </c>
      <c r="C4792" s="6" t="n">
        <f aca="false">Sens!$C$4791*(1-g_tv/(wacc+ronic_prem))</f>
        <v>236.874719373877</v>
      </c>
    </row>
    <row r="4793" customFormat="false" ht="17.15" hidden="false" customHeight="false" outlineLevel="0" collapsed="false">
      <c r="A4793" s="1" t="s">
        <v>1050</v>
      </c>
      <c r="B4793" s="0" t="s">
        <v>98</v>
      </c>
      <c r="C4793" s="6" t="n">
        <f aca="false">Sens!$C$4792/(wacc-g_tv)</f>
        <v>3247.77682570503</v>
      </c>
    </row>
    <row r="4794" customFormat="false" ht="15" hidden="false" customHeight="false" outlineLevel="0" collapsed="false">
      <c r="A4794" s="1" t="s">
        <v>1051</v>
      </c>
      <c r="B4794" s="0" t="s">
        <v>98</v>
      </c>
      <c r="C4794" s="6" t="n">
        <f aca="false">Sens!$C$4793/(1+wacc)^(Sens!K4786+mid_yr)</f>
        <v>1804.2139520168</v>
      </c>
    </row>
    <row r="4795" customFormat="false" ht="17.15" hidden="false" customHeight="false" outlineLevel="0" collapsed="false">
      <c r="A4795" s="0" t="s">
        <v>972</v>
      </c>
      <c r="B4795" s="0" t="s">
        <v>98</v>
      </c>
      <c r="C4795" s="6" t="n">
        <f aca="false">Sens!$C$4790+Sens!$C$4794</f>
        <v>2483.50910225265</v>
      </c>
    </row>
    <row r="4796" customFormat="false" ht="15" hidden="false" customHeight="false" outlineLevel="0" collapsed="false">
      <c r="A4796" s="1" t="s">
        <v>973</v>
      </c>
      <c r="B4796" s="0" t="s">
        <v>129</v>
      </c>
      <c r="C4796" s="7" t="n">
        <f aca="false">Sens!$C$4794/Sens!$C$4795</f>
        <v>0.726477688517549</v>
      </c>
    </row>
    <row r="4797" customFormat="false" ht="17.15" hidden="false" customHeight="false" outlineLevel="0" collapsed="false">
      <c r="A4797" s="1" t="s">
        <v>1052</v>
      </c>
      <c r="B4797" s="0" t="s">
        <v>98</v>
      </c>
      <c r="C4797" s="6" t="n">
        <f aca="false">Sens!$C$4795+Sens!E4777-Sens!E4766+oai_v</f>
        <v>2618.02210225265</v>
      </c>
    </row>
    <row r="4798" customFormat="false" ht="17.15" hidden="false" customHeight="false" outlineLevel="0" collapsed="false">
      <c r="A4798" s="0" t="s">
        <v>980</v>
      </c>
      <c r="B4798" s="0" t="s">
        <v>75</v>
      </c>
      <c r="C4798" s="5" t="n">
        <f aca="false">Sens!$C$4797/sh_dil26</f>
        <v>351.270911344781</v>
      </c>
    </row>
    <row r="4799" customFormat="false" ht="15" hidden="false" customHeight="false" outlineLevel="0" collapsed="false">
      <c r="A4799" s="1" t="s">
        <v>1053</v>
      </c>
      <c r="B4799" s="0" t="s">
        <v>75</v>
      </c>
      <c r="C4799" s="8" t="n">
        <f aca="false">dps_27+Sens!G4769*roll_div_q/q_per_yr</f>
        <v>4.8895</v>
      </c>
    </row>
    <row r="4800" customFormat="false" ht="17.15" hidden="false" customHeight="false" outlineLevel="0" collapsed="false">
      <c r="A4800" s="0" t="s">
        <v>1054</v>
      </c>
      <c r="B4800" s="0" t="s">
        <v>75</v>
      </c>
      <c r="C4800" s="5" t="n">
        <f aca="false">Sens!$C$4798*(1+wacc)^t_roll-Sens!$C$4799</f>
        <v>395.114415517439</v>
      </c>
    </row>
    <row r="4801" customFormat="false" ht="17.15" hidden="false" customHeight="false" outlineLevel="0" collapsed="false">
      <c r="A4801" s="1" t="s">
        <v>1055</v>
      </c>
      <c r="B4801" s="0" t="s">
        <v>129</v>
      </c>
      <c r="F4801" s="7" t="n">
        <f aca="false">Sens!F4758/(Sens!F4703-Sens!F4659)</f>
        <v>0.0737763152459671</v>
      </c>
      <c r="G4801" s="7" t="n">
        <f aca="false">Sens!G4758/(Sens!G4703-Sens!G4659)</f>
        <v>0.0695042366027585</v>
      </c>
      <c r="H4801" s="7" t="n">
        <f aca="false">Sens!H4758/(Sens!H4703-Sens!H4659)</f>
        <v>0.0669845560327662</v>
      </c>
      <c r="I4801" s="7" t="n">
        <f aca="false">Sens!I4758/(Sens!I4703-Sens!I4659)</f>
        <v>0.0660534699425535</v>
      </c>
      <c r="J4801" s="7" t="n">
        <f aca="false">Sens!J4758/(Sens!J4703-Sens!J4659)</f>
        <v>0.066300604223053</v>
      </c>
      <c r="K4801" s="7" t="n">
        <f aca="false">Sens!K4758/(Sens!K4703-Sens!K4659)</f>
        <v>0.0672264935557643</v>
      </c>
    </row>
    <row r="4802" customFormat="false" ht="17.15" hidden="false" customHeight="false" outlineLevel="0" collapsed="false">
      <c r="A4802" s="0" t="s">
        <v>1056</v>
      </c>
      <c r="B4802" s="0" t="s">
        <v>98</v>
      </c>
      <c r="F4802" s="6" t="n">
        <f aca="false">Sens!F4688*(al_m365+Sens!F4801+sbc_r)</f>
        <v>85.6181182187473</v>
      </c>
      <c r="G4802" s="6" t="n">
        <f aca="false">Sens!G4688*(al_m365+Sens!G4801+sbc_r)</f>
        <v>100.055707511555</v>
      </c>
      <c r="H4802" s="6" t="n">
        <f aca="false">Sens!H4688*(al_m365+Sens!H4801+sbc_r)</f>
        <v>114.655023442069</v>
      </c>
      <c r="I4802" s="6" t="n">
        <f aca="false">Sens!I4688*(al_m365+Sens!I4801+sbc_r)</f>
        <v>127.732752553366</v>
      </c>
      <c r="J4802" s="6" t="n">
        <f aca="false">Sens!J4688*(al_m365+Sens!J4801+sbc_r)</f>
        <v>139.10599497441</v>
      </c>
      <c r="K4802" s="6" t="n">
        <f aca="false">Sens!K4688*(al_m365+Sens!K4801+sbc_r)</f>
        <v>150.101457377425</v>
      </c>
      <c r="L4802" s="11" t="s">
        <v>1057</v>
      </c>
    </row>
    <row r="4803" customFormat="false" ht="17.15" hidden="false" customHeight="false" outlineLevel="0" collapsed="false">
      <c r="A4803" s="0" t="s">
        <v>1058</v>
      </c>
      <c r="B4803" s="0" t="s">
        <v>98</v>
      </c>
      <c r="F4803" s="6" t="n">
        <f aca="false">Sens!F4689*(al_lic+Sens!F4801+sbc_r)</f>
        <v>33.6472724439212</v>
      </c>
      <c r="G4803" s="6" t="n">
        <f aca="false">Sens!G4689*(al_lic+Sens!G4801+sbc_r)</f>
        <v>34.8980551304289</v>
      </c>
      <c r="H4803" s="6" t="n">
        <f aca="false">Sens!H4689*(al_lic+Sens!H4801+sbc_r)</f>
        <v>36.0744553754451</v>
      </c>
      <c r="I4803" s="6" t="n">
        <f aca="false">Sens!I4689*(al_lic+Sens!I4801+sbc_r)</f>
        <v>37.1584341768297</v>
      </c>
      <c r="J4803" s="6" t="n">
        <f aca="false">Sens!J4689*(al_lic+Sens!J4801+sbc_r)</f>
        <v>38.120208028735</v>
      </c>
      <c r="K4803" s="6" t="n">
        <f aca="false">Sens!K4689*(al_lic+Sens!K4801+sbc_r)</f>
        <v>38.924783566538</v>
      </c>
    </row>
    <row r="4804" customFormat="false" ht="17.15" hidden="false" customHeight="false" outlineLevel="0" collapsed="false">
      <c r="A4804" s="0" t="s">
        <v>1059</v>
      </c>
      <c r="B4804" s="0" t="s">
        <v>98</v>
      </c>
      <c r="F4804" s="6" t="n">
        <f aca="false">Sens!F4691*(al_ind+Sens!F4801+sbc_r)</f>
        <v>9.1923701474612</v>
      </c>
      <c r="G4804" s="6" t="n">
        <f aca="false">Sens!G4691*(al_ind+Sens!G4801+sbc_r)</f>
        <v>9.94399350140633</v>
      </c>
      <c r="H4804" s="6" t="n">
        <f aca="false">Sens!H4691*(al_ind+Sens!H4801+sbc_r)</f>
        <v>10.7455736684726</v>
      </c>
      <c r="I4804" s="6" t="n">
        <f aca="false">Sens!I4691*(al_ind+Sens!I4801+sbc_r)</f>
        <v>11.5952431997024</v>
      </c>
      <c r="J4804" s="6" t="n">
        <f aca="false">Sens!J4691*(al_ind+Sens!J4801+sbc_r)</f>
        <v>12.4815833159726</v>
      </c>
      <c r="K4804" s="6" t="n">
        <f aca="false">Sens!K4691*(al_ind+Sens!K4801+sbc_r)</f>
        <v>13.385925902601</v>
      </c>
    </row>
    <row r="4805" customFormat="false" ht="17.15" hidden="false" customHeight="false" outlineLevel="0" collapsed="false">
      <c r="A4805" s="0" t="s">
        <v>1060</v>
      </c>
      <c r="B4805" s="0" t="s">
        <v>98</v>
      </c>
      <c r="F4805" s="6" t="n">
        <f aca="false">Sens!F4693*(al_fro+Sens!F4801+sbc_r)</f>
        <v>3.61814916262241</v>
      </c>
      <c r="G4805" s="6" t="n">
        <f aca="false">Sens!G4693*(al_fro+Sens!G4801+sbc_r)</f>
        <v>3.81790559900378</v>
      </c>
      <c r="H4805" s="6" t="n">
        <f aca="false">Sens!H4693*(al_fro+Sens!H4801+sbc_r)</f>
        <v>4.04929995298159</v>
      </c>
      <c r="I4805" s="6" t="n">
        <f aca="false">Sens!I4693*(al_fro+Sens!I4801+sbc_r)</f>
        <v>4.31527759826993</v>
      </c>
      <c r="J4805" s="6" t="n">
        <f aca="false">Sens!J4693*(al_fro+Sens!J4801+sbc_r)</f>
        <v>4.61616917660348</v>
      </c>
      <c r="K4805" s="6" t="n">
        <f aca="false">Sens!K4693*(al_fro+Sens!K4801+sbc_r)</f>
        <v>4.95062981895977</v>
      </c>
    </row>
    <row r="4806" customFormat="false" ht="17.15" hidden="false" customHeight="false" outlineLevel="0" collapsed="false">
      <c r="A4806" s="0" t="s">
        <v>1061</v>
      </c>
      <c r="B4806" s="0" t="s">
        <v>98</v>
      </c>
      <c r="F4806" s="6" t="n">
        <f aca="false">Sens!F4696*(al_srch+Sens!F4801+sbc_r)</f>
        <v>11.3527099439561</v>
      </c>
      <c r="G4806" s="6" t="n">
        <f aca="false">Sens!G4696*(al_srch+Sens!G4801+sbc_r)</f>
        <v>12.3968514248459</v>
      </c>
      <c r="H4806" s="6" t="n">
        <f aca="false">Sens!H4696*(al_srch+Sens!H4801+sbc_r)</f>
        <v>13.4914576545546</v>
      </c>
      <c r="I4806" s="6" t="n">
        <f aca="false">Sens!I4696*(al_srch+Sens!I4801+sbc_r)</f>
        <v>14.6276641574224</v>
      </c>
      <c r="J4806" s="6" t="n">
        <f aca="false">Sens!J4696*(al_srch+Sens!J4801+sbc_r)</f>
        <v>15.7835431767288</v>
      </c>
      <c r="K4806" s="6" t="n">
        <f aca="false">Sens!K4696*(al_srch+Sens!K4801+sbc_r)</f>
        <v>16.9271264787236</v>
      </c>
    </row>
    <row r="4807" customFormat="false" ht="17.15" hidden="false" customHeight="false" outlineLevel="0" collapsed="false">
      <c r="A4807" s="0" t="s">
        <v>1062</v>
      </c>
      <c r="B4807" s="0" t="s">
        <v>98</v>
      </c>
      <c r="F4807" s="6" t="n">
        <f aca="false">Sens!F4665-Sens!F4666+Sens!F4746</f>
        <v>55.7951679116715</v>
      </c>
      <c r="G4807" s="6" t="n">
        <f aca="false">Sens!G4665-Sens!G4666+Sens!G4746</f>
        <v>100.454750266874</v>
      </c>
      <c r="H4807" s="6" t="n">
        <f aca="false">Sens!H4665-Sens!H4666+Sens!H4746</f>
        <v>152.594562916983</v>
      </c>
      <c r="I4807" s="6" t="n">
        <f aca="false">Sens!I4665-Sens!I4666+Sens!I4746</f>
        <v>192.335274292637</v>
      </c>
      <c r="J4807" s="6" t="n">
        <f aca="false">Sens!J4665-Sens!J4666+Sens!J4746</f>
        <v>220.637343701653</v>
      </c>
      <c r="K4807" s="6" t="n">
        <f aca="false">Sens!K4665-Sens!K4666+Sens!K4746</f>
        <v>235.176658390083</v>
      </c>
    </row>
    <row r="4808" customFormat="false" ht="17.15" hidden="false" customHeight="false" outlineLevel="0" collapsed="false">
      <c r="A4808" s="0" t="s">
        <v>1063</v>
      </c>
      <c r="B4808" s="0" t="s">
        <v>98</v>
      </c>
      <c r="F4808" s="6" t="n">
        <f aca="false">Sens!F4725+Sens!F4746+Sens!F4676+Sens!F4801*(Sens!F4695-Sens!F4659)+sbc_r*Sens!F4695</f>
        <v>246.948746808643</v>
      </c>
      <c r="G4808" s="6" t="n">
        <f aca="false">Sens!G4725+Sens!G4746+Sens!G4676+Sens!G4801*(Sens!G4695-Sens!G4659)+sbc_r*Sens!G4695</f>
        <v>320.377431991329</v>
      </c>
      <c r="H4808" s="6" t="n">
        <f aca="false">Sens!H4725+Sens!H4746+Sens!H4676+Sens!H4801*(Sens!H4695-Sens!H4659)+sbc_r*Sens!H4695</f>
        <v>401.993132257806</v>
      </c>
      <c r="I4808" s="6" t="n">
        <f aca="false">Sens!I4725+Sens!I4746+Sens!I4676+Sens!I4801*(Sens!I4695-Sens!I4659)+sbc_r*Sens!I4695</f>
        <v>469.115811159678</v>
      </c>
      <c r="J4808" s="6" t="n">
        <f aca="false">Sens!J4725+Sens!J4746+Sens!J4676+Sens!J4801*(Sens!J4695-Sens!J4659)+sbc_r*Sens!J4695</f>
        <v>521.907635244901</v>
      </c>
      <c r="K4808" s="6" t="n">
        <f aca="false">Sens!K4725+Sens!K4746+Sens!K4676+Sens!K4801*(Sens!K4695-Sens!K4659)+sbc_r*Sens!K4695</f>
        <v>558.494240434563</v>
      </c>
    </row>
    <row r="4809" customFormat="false" ht="17.15" hidden="false" customHeight="false" outlineLevel="0" collapsed="false">
      <c r="A4809" s="0" t="s">
        <v>1064</v>
      </c>
      <c r="B4809" s="0" t="s">
        <v>98</v>
      </c>
      <c r="F4809" s="6" t="n">
        <f aca="false">Sens!F4808-Sens!F4802-Sens!F4803-Sens!F4804-Sens!F4805-Sens!F4807</f>
        <v>59.0776689242193</v>
      </c>
      <c r="G4809" s="6" t="n">
        <f aca="false">Sens!G4808-Sens!G4802-Sens!G4803-Sens!G4804-Sens!G4805-Sens!G4807</f>
        <v>71.2070199820609</v>
      </c>
      <c r="H4809" s="6" t="n">
        <f aca="false">Sens!H4808-Sens!H4802-Sens!H4803-Sens!H4804-Sens!H4805-Sens!H4807</f>
        <v>83.8742169018543</v>
      </c>
      <c r="I4809" s="6" t="n">
        <f aca="false">Sens!I4808-Sens!I4802-Sens!I4803-Sens!I4804-Sens!I4805-Sens!I4807</f>
        <v>95.9788293388733</v>
      </c>
      <c r="J4809" s="6" t="n">
        <f aca="false">Sens!J4808-Sens!J4802-Sens!J4803-Sens!J4804-Sens!J4805-Sens!J4807</f>
        <v>106.946336047527</v>
      </c>
      <c r="K4809" s="6" t="n">
        <f aca="false">Sens!K4808-Sens!K4802-Sens!K4803-Sens!K4804-Sens!K4805-Sens!K4807</f>
        <v>115.954785378957</v>
      </c>
    </row>
    <row r="4810" customFormat="false" ht="17.15" hidden="false" customHeight="false" outlineLevel="0" collapsed="false">
      <c r="A4810" s="0" t="s">
        <v>1065</v>
      </c>
      <c r="B4810" s="0" t="s">
        <v>98</v>
      </c>
      <c r="F4810" s="6" t="n">
        <f aca="false">Sens!F4727+Sens!F4801*Sens!F4702+sbc_r*Sens!F4702</f>
        <v>26.5365179640843</v>
      </c>
      <c r="G4810" s="6" t="n">
        <f aca="false">Sens!G4727+Sens!G4801*Sens!G4702+sbc_r*Sens!G4702</f>
        <v>27.0578812094387</v>
      </c>
      <c r="H4810" s="6" t="n">
        <f aca="false">Sens!H4727+Sens!H4801*Sens!H4702+sbc_r*Sens!H4702</f>
        <v>27.8707340872745</v>
      </c>
      <c r="I4810" s="6" t="n">
        <f aca="false">Sens!I4727+Sens!I4801*Sens!I4702+sbc_r*Sens!I4702</f>
        <v>28.9435442272108</v>
      </c>
      <c r="J4810" s="6" t="n">
        <f aca="false">Sens!J4727+Sens!J4801*Sens!J4702+sbc_r*Sens!J4702</f>
        <v>30.2335325177393</v>
      </c>
      <c r="K4810" s="6" t="n">
        <f aca="false">Sens!K4727+Sens!K4801*Sens!K4702+sbc_r*Sens!K4702</f>
        <v>31.6931784643336</v>
      </c>
    </row>
    <row r="4811" customFormat="false" ht="17.15" hidden="false" customHeight="false" outlineLevel="0" collapsed="false">
      <c r="A4811" s="0" t="s">
        <v>1066</v>
      </c>
      <c r="B4811" s="0" t="s">
        <v>98</v>
      </c>
      <c r="F4811" s="6" t="n">
        <f aca="false">(Sens!F4810-Sens!F4806)*Sens!F4698/(Sens!F4698+Sens!F4700)</f>
        <v>8.32361566848708</v>
      </c>
      <c r="G4811" s="6" t="n">
        <f aca="false">(Sens!G4810-Sens!G4806)*Sens!G4698/(Sens!G4698+Sens!G4700)</f>
        <v>7.89373392523329</v>
      </c>
      <c r="H4811" s="6" t="n">
        <f aca="false">(Sens!H4810-Sens!H4806)*Sens!H4698/(Sens!H4698+Sens!H4700)</f>
        <v>7.63745146222762</v>
      </c>
      <c r="I4811" s="6" t="n">
        <f aca="false">(Sens!I4810-Sens!I4806)*Sens!I4698/(Sens!I4698+Sens!I4700)</f>
        <v>7.53497984172063</v>
      </c>
      <c r="J4811" s="6" t="n">
        <f aca="false">(Sens!J4810-Sens!J4806)*Sens!J4698/(Sens!J4698+Sens!J4700)</f>
        <v>7.57117444512227</v>
      </c>
      <c r="K4811" s="6" t="n">
        <f aca="false">(Sens!K4810-Sens!K4806)*Sens!K4698/(Sens!K4698+Sens!K4700)</f>
        <v>7.73677771038265</v>
      </c>
    </row>
    <row r="4812" customFormat="false" ht="17.15" hidden="false" customHeight="false" outlineLevel="0" collapsed="false">
      <c r="A4812" s="0" t="s">
        <v>1067</v>
      </c>
      <c r="B4812" s="0" t="s">
        <v>98</v>
      </c>
      <c r="F4812" s="6" t="n">
        <f aca="false">Sens!F4810-Sens!F4806-Sens!F4811</f>
        <v>6.86019235164115</v>
      </c>
      <c r="G4812" s="6" t="n">
        <f aca="false">Sens!G4810-Sens!G4806-Sens!G4811</f>
        <v>6.76729585935942</v>
      </c>
      <c r="H4812" s="6" t="n">
        <f aca="false">Sens!H4810-Sens!H4806-Sens!H4811</f>
        <v>6.74182497049229</v>
      </c>
      <c r="I4812" s="6" t="n">
        <f aca="false">Sens!I4810-Sens!I4806-Sens!I4811</f>
        <v>6.78090022806781</v>
      </c>
      <c r="J4812" s="6" t="n">
        <f aca="false">Sens!J4810-Sens!J4806-Sens!J4811</f>
        <v>6.8788148958883</v>
      </c>
      <c r="K4812" s="6" t="n">
        <f aca="false">Sens!K4810-Sens!K4806-Sens!K4811</f>
        <v>7.02927427522735</v>
      </c>
    </row>
    <row r="4813" customFormat="false" ht="17.15" hidden="false" customHeight="false" outlineLevel="0" collapsed="false">
      <c r="A4813" s="0" t="s">
        <v>1068</v>
      </c>
      <c r="B4813" s="0" t="s">
        <v>98</v>
      </c>
      <c r="F4813" s="6" t="n">
        <f aca="false">Sens!F4807-tax_f*(Sens!F4807-Sens!F4676)-Sens!F4673</f>
        <v>-117.81126407438</v>
      </c>
      <c r="G4813" s="6" t="n">
        <f aca="false">Sens!G4807-tax_f*(Sens!G4807-Sens!G4676)-Sens!G4673</f>
        <v>-92.7283282593567</v>
      </c>
      <c r="H4813" s="6" t="n">
        <f aca="false">Sens!H4807-tax_f*(Sens!H4807-Sens!H4676)-Sens!H4673</f>
        <v>-50.8078842065608</v>
      </c>
      <c r="I4813" s="6" t="n">
        <f aca="false">Sens!I4807-tax_f*(Sens!I4807-Sens!I4676)-Sens!I4673</f>
        <v>39.7019529582118</v>
      </c>
      <c r="J4813" s="6" t="n">
        <f aca="false">Sens!J4807-tax_f*(Sens!J4807-Sens!J4676)-Sens!J4673</f>
        <v>89.5243698331987</v>
      </c>
      <c r="K4813" s="6" t="n">
        <f aca="false">Sens!K4807-tax_f*(Sens!K4807-Sens!K4676)-Sens!K4673</f>
        <v>141.935634025835</v>
      </c>
    </row>
    <row r="4814" customFormat="false" ht="17.15" hidden="false" customHeight="false" outlineLevel="0" collapsed="false">
      <c r="A4814" s="0" t="s">
        <v>1069</v>
      </c>
      <c r="B4814" s="0" t="s">
        <v>98</v>
      </c>
      <c r="F4814" s="6" t="n">
        <f aca="false">Sens!F4813*Sens!F4787</f>
        <v>-112.179104988036</v>
      </c>
      <c r="G4814" s="6" t="n">
        <f aca="false">Sens!G4813*Sens!G4787</f>
        <v>-80.0548954732001</v>
      </c>
      <c r="H4814" s="6" t="n">
        <f aca="false">Sens!H4813*Sens!H4787</f>
        <v>-39.7701184289335</v>
      </c>
      <c r="I4814" s="6" t="n">
        <f aca="false">Sens!I4813*Sens!I4787</f>
        <v>28.1765589800511</v>
      </c>
      <c r="J4814" s="6" t="n">
        <f aca="false">Sens!J4813*Sens!J4787</f>
        <v>57.6059928797329</v>
      </c>
      <c r="K4814" s="6" t="n">
        <f aca="false">Sens!K4813*Sens!K4787</f>
        <v>82.807208704949</v>
      </c>
    </row>
    <row r="4815" customFormat="false" ht="17.15" hidden="false" customHeight="false" outlineLevel="0" collapsed="false">
      <c r="A4815" s="0" t="s">
        <v>1070</v>
      </c>
      <c r="B4815" s="0" t="s">
        <v>98</v>
      </c>
      <c r="C4815" s="6" t="n">
        <f aca="false">(Sens!K4807-Sens!K4676)*(1-tax_f)*(1+g_tv)*(1-g_tv/(wacc+ronic_prem))/(wacc-g_tv)/(1+wacc)^(Sens!K4786+mid_yr)</f>
        <v>519.429848650959</v>
      </c>
    </row>
    <row r="4816" customFormat="false" ht="17.15" hidden="false" customHeight="false" outlineLevel="0" collapsed="false">
      <c r="A4816" s="1" t="s">
        <v>1071</v>
      </c>
      <c r="B4816" s="0" t="s">
        <v>98</v>
      </c>
      <c r="C4816" s="6" t="n">
        <f aca="false">(SUM(Sens!F4814:K4814)+Sens!$C$4815)*(1+wacc)^t_roll</f>
        <v>519.280064974627</v>
      </c>
      <c r="L4816" s="11" t="s">
        <v>1072</v>
      </c>
    </row>
    <row r="4817" customFormat="false" ht="17.15" hidden="false" customHeight="false" outlineLevel="0" collapsed="false">
      <c r="A4817" s="1" t="s">
        <v>1073</v>
      </c>
      <c r="B4817" s="0" t="s">
        <v>98</v>
      </c>
      <c r="C4817" s="6" t="n">
        <f aca="false">(w_ntm28*Sens!G4665+(1-w_ntm28)*Sens!H4665)*m_ai</f>
        <v>551.711134531404</v>
      </c>
    </row>
    <row r="4818" customFormat="false" ht="17.15" hidden="false" customHeight="false" outlineLevel="0" collapsed="false">
      <c r="A4818" s="1" t="s">
        <v>1074</v>
      </c>
      <c r="B4818" s="0" t="s">
        <v>98</v>
      </c>
      <c r="C4818" s="6" t="n">
        <f aca="false">(w_ntm28*Sens!G4809+(1-w_ntm28)*Sens!H4809)*m_cloud</f>
        <v>1040.67596971077</v>
      </c>
    </row>
    <row r="4819" customFormat="false" ht="17.15" hidden="false" customHeight="false" outlineLevel="0" collapsed="false">
      <c r="A4819" s="1" t="s">
        <v>1075</v>
      </c>
      <c r="B4819" s="0" t="s">
        <v>98</v>
      </c>
      <c r="C4819" s="6" t="n">
        <f aca="false">(w_ntm28*Sens!G4802+(1-w_ntm28)*Sens!H4802)*m_sw</f>
        <v>1131.5752526915</v>
      </c>
    </row>
    <row r="4820" customFormat="false" ht="17.15" hidden="false" customHeight="false" outlineLevel="0" collapsed="false">
      <c r="A4820" s="1" t="s">
        <v>1076</v>
      </c>
      <c r="B4820" s="0" t="s">
        <v>98</v>
      </c>
      <c r="C4820" s="6" t="n">
        <f aca="false">(w_ntm28*Sens!G4803+(1-w_ntm28)*Sens!H4803)*m_sw</f>
        <v>381.006404921642</v>
      </c>
    </row>
    <row r="4821" customFormat="false" ht="17.15" hidden="false" customHeight="false" outlineLevel="0" collapsed="false">
      <c r="A4821" s="1" t="s">
        <v>1077</v>
      </c>
      <c r="B4821" s="0" t="s">
        <v>98</v>
      </c>
      <c r="C4821" s="6" t="n">
        <f aca="false">(w_ntm28*Sens!G4804+(1-w_ntm28)*Sens!H4804)*m_sw</f>
        <v>110.193852458775</v>
      </c>
    </row>
    <row r="4822" customFormat="false" ht="17.15" hidden="false" customHeight="false" outlineLevel="0" collapsed="false">
      <c r="A4822" s="1" t="s">
        <v>1078</v>
      </c>
      <c r="B4822" s="0" t="s">
        <v>98</v>
      </c>
      <c r="C4822" s="6" t="n">
        <f aca="false">(w_ntm28*Sens!G4805+(1-w_ntm28)*Sens!H4805)*m_sw</f>
        <v>42.0412954410472</v>
      </c>
    </row>
    <row r="4823" customFormat="false" ht="17.15" hidden="false" customHeight="false" outlineLevel="0" collapsed="false">
      <c r="A4823" s="1" t="s">
        <v>1079</v>
      </c>
      <c r="B4823" s="0" t="s">
        <v>98</v>
      </c>
      <c r="C4823" s="6" t="n">
        <f aca="false">(w_ntm28*Sens!G4806+(1-w_ntm28)*Sens!H4806)*m_ads</f>
        <v>116.159096767503</v>
      </c>
    </row>
    <row r="4824" customFormat="false" ht="17.15" hidden="false" customHeight="false" outlineLevel="0" collapsed="false">
      <c r="A4824" s="1" t="s">
        <v>1080</v>
      </c>
      <c r="B4824" s="0" t="s">
        <v>98</v>
      </c>
      <c r="C4824" s="6" t="n">
        <f aca="false">(w_ntm28*Sens!G4811+(1-w_ntm28)*Sens!H4811)*m_game</f>
        <v>98.6514265827763</v>
      </c>
    </row>
    <row r="4825" customFormat="false" ht="17.15" hidden="false" customHeight="false" outlineLevel="0" collapsed="false">
      <c r="A4825" s="1" t="s">
        <v>1081</v>
      </c>
      <c r="B4825" s="0" t="s">
        <v>98</v>
      </c>
      <c r="C4825" s="6" t="n">
        <f aca="false">(w_ntm28*Sens!G4812+(1-w_ntm28)*Sens!H4812)*m_pc</f>
        <v>97.8036189646429</v>
      </c>
    </row>
    <row r="4826" customFormat="false" ht="17.15" hidden="false" customHeight="false" outlineLevel="0" collapsed="false">
      <c r="A4826" s="1" t="s">
        <v>1082</v>
      </c>
      <c r="B4826" s="0" t="s">
        <v>98</v>
      </c>
      <c r="C4826" s="6" t="n">
        <f aca="false">Sens!$C$4816+Sens!$C$4818+Sens!$C$4819+Sens!$C$4820+Sens!$C$4821+Sens!$C$4822+Sens!$C$4823+Sens!$C$4824+Sens!$C$4825</f>
        <v>3537.38698251329</v>
      </c>
    </row>
    <row r="4827" customFormat="false" ht="17.15" hidden="false" customHeight="false" outlineLevel="0" collapsed="false">
      <c r="A4827" s="1" t="s">
        <v>1000</v>
      </c>
      <c r="B4827" s="0" t="s">
        <v>98</v>
      </c>
      <c r="C4827" s="6" t="n">
        <f aca="false">Sens!F4777+oai_v-Sens!F4766</f>
        <v>114.083141850725</v>
      </c>
      <c r="L4827" s="1" t="s">
        <v>1083</v>
      </c>
    </row>
    <row r="4828" customFormat="false" ht="15" hidden="false" customHeight="false" outlineLevel="0" collapsed="false">
      <c r="A4828" s="1" t="s">
        <v>1001</v>
      </c>
      <c r="B4828" s="0" t="s">
        <v>75</v>
      </c>
      <c r="C4828" s="5" t="n">
        <f aca="false">(Sens!$C$4826+Sens!$C$4827)/Sens!F4779</f>
        <v>488.687115145077</v>
      </c>
    </row>
    <row r="4829" customFormat="false" ht="17.15" hidden="false" customHeight="false" outlineLevel="0" collapsed="false">
      <c r="A4829" s="1" t="s">
        <v>1084</v>
      </c>
      <c r="B4829" s="0" t="s">
        <v>75</v>
      </c>
      <c r="C4829" s="5" t="n">
        <f aca="false">w_dcf*Sens!$C$4800+(1-w_dcf)*Sens!$C$4828</f>
        <v>441.900765331258</v>
      </c>
    </row>
    <row r="4830" customFormat="false" ht="17.15" hidden="false" customHeight="false" outlineLevel="0" collapsed="false">
      <c r="A4830" s="3" t="s">
        <v>1359</v>
      </c>
    </row>
    <row r="4831" customFormat="false" ht="15" hidden="false" customHeight="false" outlineLevel="0" collapsed="false">
      <c r="A4831" s="4" t="s">
        <v>43</v>
      </c>
      <c r="B4831" s="4" t="s">
        <v>65</v>
      </c>
      <c r="C4831" s="20" t="s">
        <v>788</v>
      </c>
      <c r="D4831" s="20" t="s">
        <v>789</v>
      </c>
      <c r="E4831" s="20" t="s">
        <v>790</v>
      </c>
      <c r="F4831" s="20" t="s">
        <v>791</v>
      </c>
      <c r="G4831" s="20" t="s">
        <v>792</v>
      </c>
      <c r="H4831" s="20" t="s">
        <v>793</v>
      </c>
      <c r="I4831" s="20" t="s">
        <v>794</v>
      </c>
      <c r="J4831" s="20" t="s">
        <v>795</v>
      </c>
      <c r="K4831" s="20" t="s">
        <v>796</v>
      </c>
      <c r="L4831" s="4" t="s">
        <v>47</v>
      </c>
    </row>
    <row r="4832" customFormat="false" ht="17.15" hidden="false" customHeight="false" outlineLevel="0" collapsed="false">
      <c r="A4832" s="1" t="s">
        <v>797</v>
      </c>
      <c r="B4832" s="1" t="s">
        <v>235</v>
      </c>
      <c r="C4832" s="28" t="n">
        <v>2024</v>
      </c>
      <c r="D4832" s="28" t="n">
        <v>2025</v>
      </c>
      <c r="E4832" s="28" t="n">
        <v>2026</v>
      </c>
      <c r="F4832" s="28" t="n">
        <v>2027</v>
      </c>
      <c r="G4832" s="28" t="n">
        <v>2028</v>
      </c>
      <c r="H4832" s="28" t="n">
        <v>2029</v>
      </c>
      <c r="I4832" s="28" t="n">
        <v>2030</v>
      </c>
      <c r="J4832" s="28" t="n">
        <v>2031</v>
      </c>
      <c r="K4832" s="28" t="n">
        <v>2032</v>
      </c>
    </row>
    <row r="4833" customFormat="false" ht="17.15" hidden="false" customHeight="false" outlineLevel="0" collapsed="false">
      <c r="A4833" s="1" t="s">
        <v>798</v>
      </c>
      <c r="B4833" s="0" t="s">
        <v>392</v>
      </c>
      <c r="F4833" s="29" t="n">
        <f aca="false">pace</f>
        <v>2527.2</v>
      </c>
      <c r="G4833" s="29" t="n">
        <f aca="false">pace</f>
        <v>2527.2</v>
      </c>
      <c r="H4833" s="29" t="n">
        <f aca="false">pace</f>
        <v>2527.2</v>
      </c>
      <c r="I4833" s="29" t="n">
        <f aca="false">pace+(g_tv*Sens!H4834-pace)*MIN(1,(Sens!I4832-pace_y0)/(pace_y1-pace_y0))</f>
        <v>1793.116</v>
      </c>
      <c r="J4833" s="29" t="n">
        <f aca="false">pace+(g_tv*Sens!H4834-pace)*MIN(1,(Sens!J4832-pace_y0)/(pace_y1-pace_y0))</f>
        <v>1059.032</v>
      </c>
      <c r="K4833" s="29" t="n">
        <f aca="false">pace+(g_tv*Sens!H4834-pace)*MIN(1,(Sens!K4832-pace_y0)/(pace_y1-pace_y0))</f>
        <v>324.948</v>
      </c>
      <c r="L4833" s="11" t="s">
        <v>799</v>
      </c>
    </row>
    <row r="4834" customFormat="false" ht="17.15" hidden="false" customHeight="false" outlineLevel="0" collapsed="false">
      <c r="A4834" s="1" t="s">
        <v>800</v>
      </c>
      <c r="B4834" s="0" t="s">
        <v>392</v>
      </c>
      <c r="C4834" s="29" t="n">
        <f aca="false">mw_ext_24</f>
        <v>640</v>
      </c>
      <c r="D4834" s="29" t="n">
        <f aca="false">mw_ext_25</f>
        <v>1630</v>
      </c>
      <c r="E4834" s="29" t="n">
        <f aca="false">mw_ext_26</f>
        <v>3250</v>
      </c>
      <c r="F4834" s="29" t="n">
        <f aca="false">Sens!E4834+Sens!F4833</f>
        <v>5777.2</v>
      </c>
      <c r="G4834" s="29" t="n">
        <f aca="false">Sens!F4834+Sens!G4833</f>
        <v>8304.4</v>
      </c>
      <c r="H4834" s="29" t="n">
        <f aca="false">Sens!G4834+Sens!H4833</f>
        <v>10831.6</v>
      </c>
      <c r="I4834" s="29" t="n">
        <f aca="false">Sens!H4834+Sens!I4833</f>
        <v>12624.716</v>
      </c>
      <c r="J4834" s="29" t="n">
        <f aca="false">Sens!I4834+Sens!J4833</f>
        <v>13683.748</v>
      </c>
      <c r="K4834" s="29" t="n">
        <f aca="false">Sens!J4834+Sens!K4833</f>
        <v>14008.696</v>
      </c>
      <c r="L4834" s="1" t="s">
        <v>801</v>
      </c>
    </row>
    <row r="4835" customFormat="false" ht="17.15" hidden="false" customHeight="false" outlineLevel="0" collapsed="false">
      <c r="A4835" s="1" t="s">
        <v>802</v>
      </c>
      <c r="B4835" s="0" t="s">
        <v>392</v>
      </c>
      <c r="C4835" s="29" t="n">
        <f aca="false">rent_ext_24</f>
        <v>150</v>
      </c>
      <c r="D4835" s="29" t="n">
        <f aca="false">rent_ext_25</f>
        <v>400</v>
      </c>
      <c r="E4835" s="29" t="n">
        <f aca="false">rent_ext_26</f>
        <v>550</v>
      </c>
      <c r="F4835" s="29" t="n">
        <f aca="false">rent_ext_f</f>
        <v>756</v>
      </c>
      <c r="G4835" s="29" t="n">
        <f aca="false">rent_ext_f</f>
        <v>756</v>
      </c>
      <c r="H4835" s="29" t="n">
        <f aca="false">rent_ext_f</f>
        <v>756</v>
      </c>
      <c r="I4835" s="29" t="n">
        <f aca="false">rent_ext_f</f>
        <v>756</v>
      </c>
      <c r="J4835" s="29" t="n">
        <f aca="false">rent_ext_f</f>
        <v>756</v>
      </c>
      <c r="K4835" s="29" t="n">
        <f aca="false">rent_ext_f</f>
        <v>756</v>
      </c>
      <c r="L4835" s="1" t="s">
        <v>803</v>
      </c>
    </row>
    <row r="4836" customFormat="false" ht="17.15" hidden="false" customHeight="false" outlineLevel="0" collapsed="false">
      <c r="A4836" s="1" t="s">
        <v>804</v>
      </c>
      <c r="B4836" s="0" t="s">
        <v>392</v>
      </c>
      <c r="C4836" s="29" t="n">
        <f aca="false">Sens!C4834-Sens!C4835</f>
        <v>490</v>
      </c>
      <c r="D4836" s="29" t="n">
        <f aca="false">Sens!D4834-Sens!D4835</f>
        <v>1230</v>
      </c>
      <c r="E4836" s="29" t="n">
        <f aca="false">Sens!E4834-Sens!E4835</f>
        <v>2700</v>
      </c>
      <c r="F4836" s="29" t="n">
        <f aca="false">Sens!F4834-Sens!F4835</f>
        <v>5021.2</v>
      </c>
      <c r="G4836" s="29" t="n">
        <f aca="false">Sens!G4834-Sens!G4835</f>
        <v>7548.4</v>
      </c>
      <c r="H4836" s="29" t="n">
        <f aca="false">Sens!H4834-Sens!H4835</f>
        <v>10075.6</v>
      </c>
      <c r="I4836" s="29" t="n">
        <f aca="false">Sens!I4834-Sens!I4835</f>
        <v>11868.716</v>
      </c>
      <c r="J4836" s="29" t="n">
        <f aca="false">Sens!J4834-Sens!J4835</f>
        <v>12927.748</v>
      </c>
      <c r="K4836" s="29" t="n">
        <f aca="false">Sens!K4834-Sens!K4835</f>
        <v>13252.696</v>
      </c>
    </row>
    <row r="4837" customFormat="false" ht="17.15" hidden="false" customHeight="false" outlineLevel="0" collapsed="false">
      <c r="A4837" s="1" t="s">
        <v>805</v>
      </c>
      <c r="B4837" s="0" t="s">
        <v>392</v>
      </c>
      <c r="C4837" s="29" t="n">
        <f aca="false">Sens!C4836/ext_sh</f>
        <v>816.666666666667</v>
      </c>
      <c r="D4837" s="29" t="n">
        <f aca="false">Sens!D4836/ext_sh</f>
        <v>2050</v>
      </c>
      <c r="E4837" s="29" t="n">
        <f aca="false">Sens!E4836/ext_sh</f>
        <v>4500</v>
      </c>
      <c r="F4837" s="29" t="n">
        <f aca="false">Sens!F4836/ext_sh</f>
        <v>8368.66666666667</v>
      </c>
      <c r="G4837" s="29" t="n">
        <f aca="false">Sens!G4836/ext_sh</f>
        <v>12580.6666666667</v>
      </c>
      <c r="H4837" s="29" t="n">
        <f aca="false">Sens!H4836/ext_sh</f>
        <v>16792.6666666667</v>
      </c>
      <c r="I4837" s="29" t="n">
        <f aca="false">Sens!I4836/ext_sh</f>
        <v>19781.1933333333</v>
      </c>
      <c r="J4837" s="29" t="n">
        <f aca="false">Sens!J4836/ext_sh</f>
        <v>21546.2466666667</v>
      </c>
      <c r="K4837" s="29" t="n">
        <f aca="false">Sens!K4836/ext_sh</f>
        <v>22087.8266666667</v>
      </c>
      <c r="L4837" s="1" t="s">
        <v>806</v>
      </c>
    </row>
    <row r="4838" customFormat="false" ht="17.15" hidden="false" customHeight="false" outlineLevel="0" collapsed="false">
      <c r="A4838" s="1" t="s">
        <v>807</v>
      </c>
      <c r="B4838" s="0" t="s">
        <v>392</v>
      </c>
      <c r="C4838" s="29" t="n">
        <f aca="false">Sens!C4837-Sens!C4836</f>
        <v>326.666666666667</v>
      </c>
      <c r="D4838" s="29" t="n">
        <f aca="false">Sens!D4837-Sens!D4836</f>
        <v>820</v>
      </c>
      <c r="E4838" s="29" t="n">
        <f aca="false">Sens!E4837-Sens!E4836</f>
        <v>1800</v>
      </c>
      <c r="F4838" s="29" t="n">
        <f aca="false">Sens!F4837-Sens!F4836</f>
        <v>3347.46666666667</v>
      </c>
      <c r="G4838" s="29" t="n">
        <f aca="false">Sens!G4837-Sens!G4836</f>
        <v>5032.26666666667</v>
      </c>
      <c r="H4838" s="29" t="n">
        <f aca="false">Sens!H4837-Sens!H4836</f>
        <v>6717.06666666667</v>
      </c>
      <c r="I4838" s="29" t="n">
        <f aca="false">Sens!I4837-Sens!I4836</f>
        <v>7912.47733333333</v>
      </c>
      <c r="J4838" s="29" t="n">
        <f aca="false">Sens!J4837-Sens!J4836</f>
        <v>8618.49866666667</v>
      </c>
      <c r="K4838" s="29" t="n">
        <f aca="false">Sens!K4837-Sens!K4836</f>
        <v>8835.13066666667</v>
      </c>
    </row>
    <row r="4839" customFormat="false" ht="17.15" hidden="false" customHeight="false" outlineLevel="0" collapsed="false">
      <c r="A4839" s="1" t="s">
        <v>808</v>
      </c>
      <c r="B4839" s="0" t="s">
        <v>392</v>
      </c>
      <c r="C4839" s="29" t="n">
        <f aca="false">Sens!C4837</f>
        <v>816.666666666667</v>
      </c>
      <c r="D4839" s="29" t="n">
        <f aca="false">Sens!D4837-Sens!C4837</f>
        <v>1233.33333333333</v>
      </c>
      <c r="E4839" s="29" t="n">
        <f aca="false">Sens!E4837-Sens!D4837</f>
        <v>2450</v>
      </c>
      <c r="F4839" s="29" t="n">
        <f aca="false">Sens!F4837-Sens!E4837</f>
        <v>3868.66666666667</v>
      </c>
      <c r="G4839" s="29" t="n">
        <f aca="false">Sens!G4837-Sens!F4837</f>
        <v>4212</v>
      </c>
      <c r="H4839" s="29" t="n">
        <f aca="false">Sens!H4837-Sens!G4837</f>
        <v>4212</v>
      </c>
      <c r="I4839" s="29" t="n">
        <f aca="false">Sens!I4837-Sens!H4837</f>
        <v>2988.52666666667</v>
      </c>
      <c r="J4839" s="29" t="n">
        <f aca="false">Sens!J4837-Sens!I4837</f>
        <v>1765.05333333333</v>
      </c>
      <c r="K4839" s="29" t="n">
        <f aca="false">Sens!K4837-Sens!J4837</f>
        <v>541.580000000002</v>
      </c>
    </row>
    <row r="4840" customFormat="false" ht="17.15" hidden="false" customHeight="false" outlineLevel="0" collapsed="false">
      <c r="A4840" s="1" t="s">
        <v>809</v>
      </c>
      <c r="B4840" s="0" t="s">
        <v>392</v>
      </c>
      <c r="D4840" s="29" t="n">
        <f aca="false">Sens!D4834-Sens!C4834</f>
        <v>990</v>
      </c>
      <c r="E4840" s="29" t="n">
        <f aca="false">Sens!E4834-Sens!D4834</f>
        <v>1620</v>
      </c>
      <c r="F4840" s="29" t="n">
        <f aca="false">Sens!F4834-Sens!E4834</f>
        <v>2527.2</v>
      </c>
      <c r="G4840" s="29" t="n">
        <f aca="false">Sens!G4834-Sens!F4834</f>
        <v>2527.2</v>
      </c>
      <c r="H4840" s="29" t="n">
        <f aca="false">Sens!H4834-Sens!G4834</f>
        <v>2527.2</v>
      </c>
      <c r="I4840" s="29" t="n">
        <f aca="false">Sens!I4834-Sens!H4834</f>
        <v>1793.116</v>
      </c>
      <c r="J4840" s="29" t="n">
        <f aca="false">Sens!J4834-Sens!I4834</f>
        <v>1059.032</v>
      </c>
      <c r="K4840" s="29" t="n">
        <f aca="false">Sens!K4834-Sens!J4834</f>
        <v>324.948</v>
      </c>
    </row>
    <row r="4841" customFormat="false" ht="17.15" hidden="false" customHeight="false" outlineLevel="0" collapsed="false">
      <c r="A4841" s="1" t="s">
        <v>810</v>
      </c>
      <c r="B4841" s="0" t="s">
        <v>392</v>
      </c>
      <c r="F4841" s="29" t="n">
        <f aca="false">Sens!F4858*ext_sh</f>
        <v>0</v>
      </c>
      <c r="G4841" s="29" t="n">
        <f aca="false">Sens!G4858*ext_sh</f>
        <v>0</v>
      </c>
      <c r="H4841" s="29" t="n">
        <f aca="false">Sens!H4858*ext_sh</f>
        <v>0</v>
      </c>
      <c r="I4841" s="29" t="n">
        <f aca="false">Sens!I4858*ext_sh</f>
        <v>0</v>
      </c>
      <c r="J4841" s="29" t="n">
        <f aca="false">Sens!J4858*ext_sh</f>
        <v>490</v>
      </c>
      <c r="K4841" s="29" t="n">
        <f aca="false">Sens!K4858*ext_sh</f>
        <v>740</v>
      </c>
      <c r="L4841" s="1" t="s">
        <v>811</v>
      </c>
    </row>
    <row r="4842" customFormat="false" ht="17.15" hidden="false" customHeight="false" outlineLevel="0" collapsed="false">
      <c r="A4842" s="1" t="s">
        <v>812</v>
      </c>
      <c r="B4842" s="0" t="s">
        <v>392</v>
      </c>
      <c r="C4842" s="29" t="n">
        <f aca="false">mix_h*Sens!C4834</f>
        <v>128</v>
      </c>
      <c r="D4842" s="29" t="n">
        <f aca="false">mix_h*Sens!D4834</f>
        <v>326</v>
      </c>
      <c r="E4842" s="29" t="n">
        <f aca="false">mix_h*Sens!E4834</f>
        <v>650</v>
      </c>
      <c r="F4842" s="29" t="n">
        <f aca="false">Sens!E4842-Sens!F4841*mix_h</f>
        <v>650</v>
      </c>
      <c r="G4842" s="29" t="n">
        <f aca="false">Sens!F4842-Sens!G4841*mix_h</f>
        <v>650</v>
      </c>
      <c r="H4842" s="29" t="n">
        <f aca="false">Sens!G4842-Sens!H4841*mix_h</f>
        <v>650</v>
      </c>
      <c r="I4842" s="29" t="n">
        <f aca="false">Sens!H4842-Sens!I4841*mix_h</f>
        <v>650</v>
      </c>
      <c r="J4842" s="29" t="n">
        <f aca="false">Sens!I4842-Sens!J4841*mix_h</f>
        <v>552</v>
      </c>
      <c r="K4842" s="29" t="n">
        <f aca="false">Sens!J4842-Sens!K4841*mix_h</f>
        <v>404</v>
      </c>
    </row>
    <row r="4843" customFormat="false" ht="17.15" hidden="false" customHeight="false" outlineLevel="0" collapsed="false">
      <c r="A4843" s="1" t="s">
        <v>813</v>
      </c>
      <c r="B4843" s="0" t="s">
        <v>392</v>
      </c>
      <c r="C4843" s="29" t="n">
        <f aca="false">mix_g2*Sens!C4834</f>
        <v>288</v>
      </c>
      <c r="D4843" s="29" t="n">
        <f aca="false">mix_g2*Sens!D4834</f>
        <v>733.5</v>
      </c>
      <c r="E4843" s="29" t="n">
        <f aca="false">mix_g2*Sens!E4834</f>
        <v>1462.5</v>
      </c>
      <c r="F4843" s="29" t="n">
        <f aca="false">Sens!E4843-Sens!F4841*mix_g2</f>
        <v>1462.5</v>
      </c>
      <c r="G4843" s="29" t="n">
        <f aca="false">Sens!F4843-Sens!G4841*mix_g2</f>
        <v>1462.5</v>
      </c>
      <c r="H4843" s="29" t="n">
        <f aca="false">Sens!G4843-Sens!H4841*mix_g2</f>
        <v>1462.5</v>
      </c>
      <c r="I4843" s="29" t="n">
        <f aca="false">Sens!H4843-Sens!I4841*mix_g2</f>
        <v>1462.5</v>
      </c>
      <c r="J4843" s="29" t="n">
        <f aca="false">Sens!I4843-Sens!J4841*mix_g2</f>
        <v>1242</v>
      </c>
      <c r="K4843" s="29" t="n">
        <f aca="false">Sens!J4843-Sens!K4841*mix_g2</f>
        <v>909</v>
      </c>
    </row>
    <row r="4844" customFormat="false" ht="17.15" hidden="false" customHeight="false" outlineLevel="0" collapsed="false">
      <c r="A4844" s="1" t="s">
        <v>814</v>
      </c>
      <c r="B4844" s="0" t="s">
        <v>392</v>
      </c>
      <c r="C4844" s="29" t="n">
        <f aca="false">mix_g3*Sens!C4834</f>
        <v>224</v>
      </c>
      <c r="D4844" s="29" t="n">
        <f aca="false">mix_g3*Sens!D4834</f>
        <v>570.5</v>
      </c>
      <c r="E4844" s="29" t="n">
        <f aca="false">mix_g3*Sens!E4834</f>
        <v>1137.5</v>
      </c>
      <c r="F4844" s="29" t="n">
        <f aca="false">Sens!E4844+(Sens!F4840+Sens!F4841)*a_g3_27-Sens!F4841*mix_g3</f>
        <v>2906.54</v>
      </c>
      <c r="G4844" s="29" t="n">
        <f aca="false">Sens!F4844+(Sens!G4840+Sens!G4841)*a_g3_28-Sens!G4841*mix_g3</f>
        <v>3664.7</v>
      </c>
      <c r="H4844" s="29" t="n">
        <f aca="false">Sens!G4844+(Sens!H4840+Sens!H4841)*a_g3_29-Sens!H4841*mix_g3</f>
        <v>3917.42</v>
      </c>
      <c r="I4844" s="29" t="n">
        <f aca="false">Sens!H4844+(Sens!I4840+Sens!I4841)*a_g3_29-Sens!I4841*mix_g3</f>
        <v>4096.7316</v>
      </c>
      <c r="J4844" s="29" t="n">
        <f aca="false">Sens!I4844+(Sens!J4840+Sens!J4841)*a_g3_29-Sens!J4841*mix_g3</f>
        <v>4080.1348</v>
      </c>
      <c r="K4844" s="29" t="n">
        <f aca="false">Sens!J4844+(Sens!K4840+Sens!K4841)*a_g3_29-Sens!K4841*mix_g3</f>
        <v>3927.6296</v>
      </c>
    </row>
    <row r="4845" customFormat="false" ht="17.15" hidden="false" customHeight="false" outlineLevel="0" collapsed="false">
      <c r="A4845" s="1" t="s">
        <v>815</v>
      </c>
      <c r="B4845" s="0" t="s">
        <v>392</v>
      </c>
      <c r="C4845" s="29" t="n">
        <v>0</v>
      </c>
      <c r="D4845" s="29" t="n">
        <v>0</v>
      </c>
      <c r="E4845" s="29" t="n">
        <v>0</v>
      </c>
      <c r="F4845" s="29" t="n">
        <f aca="false">Sens!E4845+(Sens!F4840+Sens!F4841)*(1-a_g3_27)</f>
        <v>758.16</v>
      </c>
      <c r="G4845" s="29" t="n">
        <f aca="false">Sens!F4845+(Sens!G4840+Sens!G4841)*(1-a_g3_28)</f>
        <v>2527.2</v>
      </c>
      <c r="H4845" s="29" t="n">
        <f aca="false">Sens!G4845+(Sens!H4840+Sens!H4841)*(1-a_g3_29)</f>
        <v>4801.68</v>
      </c>
      <c r="I4845" s="29" t="n">
        <f aca="false">Sens!H4845+(Sens!I4840+Sens!I4841)*(1-a_g3_29)</f>
        <v>6415.4844</v>
      </c>
      <c r="J4845" s="29" t="n">
        <f aca="false">Sens!I4845+(Sens!J4840+Sens!J4841)*(1-a_g3_29)</f>
        <v>7809.6132</v>
      </c>
      <c r="K4845" s="29" t="n">
        <f aca="false">Sens!J4845+(Sens!K4840+Sens!K4841)*(1-a_g3_29)</f>
        <v>8768.0664</v>
      </c>
    </row>
    <row r="4846" customFormat="false" ht="17.15" hidden="false" customHeight="false" outlineLevel="0" collapsed="false">
      <c r="A4846" s="1" t="s">
        <v>816</v>
      </c>
      <c r="B4846" s="0" t="s">
        <v>339</v>
      </c>
      <c r="C4846" s="14" t="n">
        <f aca="false">(Sens!C4842*tk_hold_h100+Sens!C4843*tk_hold_gb200+Sens!C4844*tk_hold_gb300+Sens!C4845*tk_hold_vr200)/Sens!C4834</f>
        <v>9.7235358126469</v>
      </c>
      <c r="D4846" s="14" t="n">
        <f aca="false">(Sens!D4842*tk_hold_h100+Sens!D4843*tk_hold_gb200+Sens!D4844*tk_hold_gb300+Sens!D4845*tk_hold_vr200)/Sens!D4834</f>
        <v>9.7235358126469</v>
      </c>
      <c r="E4846" s="14" t="n">
        <f aca="false">(Sens!E4842*tk_hold_h100+Sens!E4843*tk_hold_gb200+Sens!E4844*tk_hold_gb300+Sens!E4845*tk_hold_vr200)/Sens!E4834</f>
        <v>9.7235358126469</v>
      </c>
      <c r="F4846" s="14" t="n">
        <f aca="false">(Sens!F4842*tk_hold_h100+Sens!F4843*tk_hold_gb200+Sens!F4844*tk_hold_gb300+Sens!F4845*tk_hold_vr200)/Sens!F4834</f>
        <v>10.4079573161931</v>
      </c>
      <c r="G4846" s="14" t="n">
        <f aca="false">(Sens!G4842*tk_hold_h100+Sens!G4843*tk_hold_gb200+Sens!G4844*tk_hold_gb300+Sens!G4845*tk_hold_vr200)/Sens!G4834</f>
        <v>10.8388131109316</v>
      </c>
      <c r="H4846" s="14" t="n">
        <f aca="false">(Sens!H4842*tk_hold_h100+Sens!H4843*tk_hold_gb200+Sens!H4844*tk_hold_gb300+Sens!H4845*tk_hold_vr200)/Sens!H4834</f>
        <v>11.1311018388216</v>
      </c>
      <c r="I4846" s="14" t="n">
        <f aca="false">(Sens!I4842*tk_hold_h100+Sens!I4843*tk_hold_gb200+Sens!I4844*tk_hold_gb300+Sens!I4845*tk_hold_vr200)/Sens!I4834</f>
        <v>11.267518520947</v>
      </c>
      <c r="J4846" s="14" t="n">
        <f aca="false">(Sens!J4842*tk_hold_h100+Sens!J4843*tk_hold_gb200+Sens!J4844*tk_hold_gb300+Sens!J4845*tk_hold_vr200)/Sens!J4834</f>
        <v>11.4160908199491</v>
      </c>
      <c r="K4846" s="14" t="n">
        <f aca="false">(Sens!K4842*tk_hold_h100+Sens!K4843*tk_hold_gb200+Sens!K4844*tk_hold_gb300+Sens!K4845*tk_hold_vr200)/Sens!K4834</f>
        <v>11.5568487882224</v>
      </c>
    </row>
    <row r="4847" customFormat="false" ht="17.15" hidden="false" customHeight="false" outlineLevel="0" collapsed="false">
      <c r="A4847" s="0" t="s">
        <v>817</v>
      </c>
      <c r="B4847" s="0" t="s">
        <v>185</v>
      </c>
      <c r="C4847" s="14" t="n">
        <f aca="false">k_B</f>
        <v>1.17213932619116</v>
      </c>
      <c r="D4847" s="14" t="n">
        <f aca="false">k_B</f>
        <v>1.17213932619116</v>
      </c>
      <c r="E4847" s="14" t="n">
        <f aca="false">k_B</f>
        <v>1.17213932619116</v>
      </c>
      <c r="F4847" s="14" t="n">
        <f aca="false">(k_B+((ls_B*k_long+(1-ls_B)*k_spot)-k_B)*MIN(1,(Sens!F4832-base_fy)/k_ramp))</f>
        <v>1.17213932619116</v>
      </c>
      <c r="G4847" s="14" t="n">
        <f aca="false">(k_B+((ls_B*k_long+(1-ls_B)*k_spot)-k_B)*MIN(1,(Sens!G4832-base_fy)/k_ramp))</f>
        <v>1.17213932619116</v>
      </c>
      <c r="H4847" s="14" t="n">
        <f aca="false">(k_B+((ls_B*k_long+(1-ls_B)*k_spot)-k_B)*MIN(1,(Sens!H4832-base_fy)/k_ramp))</f>
        <v>1.17213932619116</v>
      </c>
      <c r="I4847" s="14" t="n">
        <f aca="false">(k_B+((ls_B*k_long+(1-ls_B)*k_spot)-k_B)*MIN(1,(Sens!I4832-base_fy)/k_ramp))</f>
        <v>1.17213932619116</v>
      </c>
      <c r="J4847" s="14" t="n">
        <f aca="false">(k_B+((ls_B*k_long+(1-ls_B)*k_spot)-k_B)*MIN(1,(Sens!J4832-base_fy)/k_ramp))</f>
        <v>1.17213932619116</v>
      </c>
      <c r="K4847" s="14" t="n">
        <f aca="false">(k_B+((ls_B*k_long+(1-ls_B)*k_spot)-k_B)*MIN(1,(Sens!K4832-base_fy)/k_ramp))</f>
        <v>1.17213932619116</v>
      </c>
      <c r="L4847" s="1" t="s">
        <v>818</v>
      </c>
    </row>
    <row r="4848" customFormat="false" ht="17.15" hidden="false" customHeight="false" outlineLevel="0" collapsed="false">
      <c r="A4848" s="1" t="s">
        <v>819</v>
      </c>
      <c r="B4848" s="0" t="s">
        <v>339</v>
      </c>
      <c r="C4848" s="14" t="n">
        <f aca="false">Sens!C4846*Sens!C4847*chip_f</f>
        <v>11.3973387156315</v>
      </c>
      <c r="D4848" s="14" t="n">
        <f aca="false">Sens!D4846*Sens!D4847*chip_f</f>
        <v>11.3973387156315</v>
      </c>
      <c r="E4848" s="14" t="n">
        <f aca="false">Sens!E4846*Sens!E4847*chip_f</f>
        <v>11.3973387156315</v>
      </c>
      <c r="F4848" s="14" t="n">
        <f aca="false">Sens!F4846*Sens!F4847*chip_f</f>
        <v>12.1995760756289</v>
      </c>
      <c r="G4848" s="14" t="n">
        <f aca="false">Sens!G4846*Sens!G4847*chip_f</f>
        <v>12.7045990965592</v>
      </c>
      <c r="H4848" s="14" t="n">
        <f aca="false">Sens!H4846*Sens!H4847*chip_f</f>
        <v>13.0472022091214</v>
      </c>
      <c r="I4848" s="14" t="n">
        <f aca="false">Sens!I4846*Sens!I4847*chip_f</f>
        <v>13.2071015669892</v>
      </c>
      <c r="J4848" s="14" t="n">
        <f aca="false">Sens!J4846*Sens!J4847*chip_f</f>
        <v>13.3812490014321</v>
      </c>
      <c r="K4848" s="14" t="n">
        <f aca="false">Sens!K4846*Sens!K4847*chip_f</f>
        <v>13.5462369515201</v>
      </c>
      <c r="L4848" s="1" t="s">
        <v>820</v>
      </c>
    </row>
    <row r="4849" customFormat="false" ht="17.15" hidden="false" customHeight="false" outlineLevel="0" collapsed="false">
      <c r="A4849" s="0" t="s">
        <v>821</v>
      </c>
      <c r="B4849" s="0" t="s">
        <v>98</v>
      </c>
      <c r="D4849" s="6" t="n">
        <f aca="false">(Sens!C4834+Sens!D4834)/2*Sens!D4848/1000</f>
        <v>12.9359794422418</v>
      </c>
      <c r="E4849" s="6" t="n">
        <f aca="false">(Sens!D4834+Sens!E4834)/2*Sens!E4848/1000</f>
        <v>27.8095064661409</v>
      </c>
      <c r="F4849" s="6" t="n">
        <f aca="false">(Sens!E4834+Sens!F4834)/2*Sens!F4848/1000</f>
        <v>55.0640065749585</v>
      </c>
      <c r="G4849" s="6" t="n">
        <f aca="false">(Sens!F4834+Sens!G4834)/2*Sens!G4848/1000</f>
        <v>89.4505413190538</v>
      </c>
      <c r="H4849" s="6" t="n">
        <f aca="false">(Sens!G4834+Sens!H4834)/2*Sens!H4848/1000</f>
        <v>124.835630736874</v>
      </c>
      <c r="I4849" s="6" t="n">
        <f aca="false">(Sens!H4834+Sens!I4834)/2*Sens!I4848/1000</f>
        <v>154.894973899697</v>
      </c>
      <c r="J4849" s="6" t="n">
        <f aca="false">(Sens!I4834+Sens!J4834)/2*Sens!J4848/1000</f>
        <v>176.020053814607</v>
      </c>
      <c r="K4849" s="6" t="n">
        <f aca="false">(Sens!J4834+Sens!K4834)/2*Sens!K4848/1000</f>
        <v>187.56420409535</v>
      </c>
      <c r="L4849" s="11" t="s">
        <v>822</v>
      </c>
    </row>
    <row r="4850" customFormat="false" ht="17.15" hidden="false" customHeight="false" outlineLevel="0" collapsed="false">
      <c r="A4850" s="1" t="s">
        <v>823</v>
      </c>
      <c r="B4850" s="0" t="s">
        <v>339</v>
      </c>
      <c r="C4850" s="14" t="n">
        <f aca="false">(Sens!C4842*tk_opex_h100+Sens!C4843*tk_opex_gb200+Sens!C4844*tk_opex_gb300+Sens!C4845*tk_opex_vr200)/Sens!C4834</f>
        <v>1.88636041306092</v>
      </c>
      <c r="D4850" s="14" t="n">
        <f aca="false">(Sens!D4842*tk_opex_h100+Sens!D4843*tk_opex_gb200+Sens!D4844*tk_opex_gb300+Sens!D4845*tk_opex_vr200)/Sens!D4834</f>
        <v>1.88636041306092</v>
      </c>
      <c r="E4850" s="14" t="n">
        <f aca="false">(Sens!E4842*tk_opex_h100+Sens!E4843*tk_opex_gb200+Sens!E4844*tk_opex_gb300+Sens!E4845*tk_opex_vr200)/Sens!E4834</f>
        <v>1.88636041306092</v>
      </c>
      <c r="F4850" s="14" t="n">
        <f aca="false">(Sens!F4842*tk_opex_h100+Sens!F4843*tk_opex_gb200+Sens!F4844*tk_opex_gb300+Sens!F4845*tk_opex_vr200)/Sens!F4834</f>
        <v>1.9430236476499</v>
      </c>
      <c r="G4850" s="14" t="n">
        <f aca="false">(Sens!G4842*tk_opex_h100+Sens!G4843*tk_opex_gb200+Sens!G4844*tk_opex_gb300+Sens!G4845*tk_opex_vr200)/Sens!G4834</f>
        <v>1.9786941852423</v>
      </c>
      <c r="H4850" s="14" t="n">
        <f aca="false">(Sens!H4842*tk_opex_h100+Sens!H4843*tk_opex_gb200+Sens!H4844*tk_opex_gb300+Sens!H4845*tk_opex_vr200)/Sens!H4834</f>
        <v>2.00289275976156</v>
      </c>
      <c r="I4850" s="14" t="n">
        <f aca="false">(Sens!I4842*tk_opex_h100+Sens!I4843*tk_opex_gb200+Sens!I4844*tk_opex_gb300+Sens!I4845*tk_opex_vr200)/Sens!I4834</f>
        <v>2.01418669255163</v>
      </c>
      <c r="J4850" s="14" t="n">
        <f aca="false">(Sens!J4842*tk_opex_h100+Sens!J4843*tk_opex_gb200+Sens!J4844*tk_opex_gb300+Sens!J4845*tk_opex_vr200)/Sens!J4834</f>
        <v>2.02648698847769</v>
      </c>
      <c r="K4850" s="14" t="n">
        <f aca="false">(Sens!K4842*tk_opex_h100+Sens!K4843*tk_opex_gb200+Sens!K4844*tk_opex_gb300+Sens!K4845*tk_opex_vr200)/Sens!K4834</f>
        <v>2.03814033621036</v>
      </c>
    </row>
    <row r="4851" customFormat="false" ht="17.15" hidden="false" customHeight="false" outlineLevel="0" collapsed="false">
      <c r="A4851" s="0" t="s">
        <v>824</v>
      </c>
      <c r="B4851" s="0" t="s">
        <v>98</v>
      </c>
      <c r="D4851" s="6" t="n">
        <f aca="false">(Sens!C4837+Sens!D4837)/2*Sens!D4850/1000</f>
        <v>2.70378325872065</v>
      </c>
      <c r="E4851" s="6" t="n">
        <f aca="false">(Sens!D4837+Sens!E4837)/2*Sens!E4850/1000</f>
        <v>6.17783035277451</v>
      </c>
      <c r="F4851" s="6" t="n">
        <f aca="false">(Sens!E4837+Sens!F4837)/2*Sens!F4850/1000</f>
        <v>12.5020618235287</v>
      </c>
      <c r="G4851" s="6" t="n">
        <f aca="false">(Sens!F4837+Sens!G4837)/2*Sens!G4850/1000</f>
        <v>20.7261620256847</v>
      </c>
      <c r="H4851" s="6" t="n">
        <f aca="false">(Sens!G4837+Sens!H4837)/2*Sens!H4850/1000</f>
        <v>29.4158183316982</v>
      </c>
      <c r="I4851" s="6" t="n">
        <f aca="false">(Sens!H4837+Sens!I4837)/2*Sens!I4850/1000</f>
        <v>36.8332910536231</v>
      </c>
      <c r="J4851" s="6" t="n">
        <f aca="false">(Sens!I4837+Sens!J4837)/2*Sens!J4850/1000</f>
        <v>41.8747597135462</v>
      </c>
      <c r="K4851" s="6" t="n">
        <f aca="false">(Sens!J4837+Sens!K4837)/2*Sens!K4850/1000</f>
        <v>44.4661824469138</v>
      </c>
    </row>
    <row r="4852" customFormat="false" ht="17.15" hidden="false" customHeight="false" outlineLevel="0" collapsed="false">
      <c r="A4852" s="0" t="s">
        <v>825</v>
      </c>
      <c r="B4852" s="0" t="s">
        <v>98</v>
      </c>
      <c r="D4852" s="6" t="n">
        <f aca="false">(Sens!C4835+Sens!D4835)/2*rent_mw/1000</f>
        <v>2.44475</v>
      </c>
      <c r="E4852" s="6" t="n">
        <f aca="false">(Sens!D4835+Sens!E4835)/2*rent_mw/1000</f>
        <v>4.22275</v>
      </c>
      <c r="F4852" s="6" t="n">
        <f aca="false">(Sens!E4835+Sens!F4835)/2*rent_mw/1000</f>
        <v>5.80517</v>
      </c>
      <c r="G4852" s="6" t="n">
        <f aca="false">(Sens!F4835+Sens!G4835)/2*rent_mw/1000</f>
        <v>6.72084</v>
      </c>
      <c r="H4852" s="6" t="n">
        <f aca="false">(Sens!G4835+Sens!H4835)/2*rent_mw/1000</f>
        <v>6.72084</v>
      </c>
      <c r="I4852" s="6" t="n">
        <f aca="false">(Sens!H4835+Sens!I4835)/2*rent_mw/1000</f>
        <v>6.72084</v>
      </c>
      <c r="J4852" s="6" t="n">
        <f aca="false">(Sens!I4835+Sens!J4835)/2*rent_mw/1000</f>
        <v>6.72084</v>
      </c>
      <c r="K4852" s="6" t="n">
        <f aca="false">(Sens!J4835+Sens!K4835)/2*rent_mw/1000</f>
        <v>6.72084</v>
      </c>
    </row>
    <row r="4853" customFormat="false" ht="17.15" hidden="false" customHeight="false" outlineLevel="0" collapsed="false">
      <c r="A4853" s="0" t="s">
        <v>826</v>
      </c>
      <c r="B4853" s="0" t="s">
        <v>98</v>
      </c>
      <c r="D4853" s="6" t="n">
        <f aca="false">(Sens!C4837+Sens!D4837)/2*(1-self_build)*fac_rent/1000</f>
        <v>0.853242375631075</v>
      </c>
      <c r="E4853" s="6" t="n">
        <f aca="false">(Sens!D4837+Sens!E4837)/2*(1-self_build)*fac_rent/1000</f>
        <v>1.94955961408728</v>
      </c>
      <c r="F4853" s="6" t="n">
        <f aca="false">(Sens!E4837+Sens!F4837)/2*(1-self_build)*fac_rent/1000</f>
        <v>3.83026455274573</v>
      </c>
      <c r="G4853" s="6" t="n">
        <f aca="false">(Sens!F4837+Sens!G4837)/2*(1-self_build)*fac_rent/1000</f>
        <v>6.23541590972812</v>
      </c>
      <c r="H4853" s="6" t="n">
        <f aca="false">(Sens!G4837+Sens!H4837)/2*(1-self_build)*fac_rent/1000</f>
        <v>8.74275792332679</v>
      </c>
      <c r="I4853" s="6" t="n">
        <f aca="false">(Sens!H4837+Sens!I4837)/2*(1-self_build)*fac_rent/1000</f>
        <v>10.8859420438599</v>
      </c>
      <c r="J4853" s="6" t="n">
        <f aca="false">(Sens!I4837+Sens!J4837)/2*(1-self_build)*fac_rent/1000</f>
        <v>12.3008103782619</v>
      </c>
      <c r="K4853" s="6" t="n">
        <f aca="false">(Sens!J4837+Sens!K4837)/2*(1-self_build)*fac_rent/1000</f>
        <v>12.9873629265328</v>
      </c>
      <c r="L4853" s="11" t="s">
        <v>827</v>
      </c>
    </row>
    <row r="4854" customFormat="false" ht="17.15" hidden="false" customHeight="false" outlineLevel="0" collapsed="false">
      <c r="A4854" s="1" t="s">
        <v>828</v>
      </c>
      <c r="B4854" s="0" t="s">
        <v>129</v>
      </c>
      <c r="D4854" s="7" t="n">
        <f aca="false">(Sens!C4836+Sens!D4836)/(Sens!C4837+Sens!D4837)</f>
        <v>0.6</v>
      </c>
      <c r="E4854" s="7" t="n">
        <f aca="false">(Sens!D4836+Sens!E4836)/(Sens!D4837+Sens!E4837)</f>
        <v>0.6</v>
      </c>
      <c r="F4854" s="7" t="n">
        <f aca="false">(Sens!E4836+Sens!F4836)/(Sens!E4837+Sens!F4837)</f>
        <v>0.6</v>
      </c>
      <c r="G4854" s="7" t="n">
        <f aca="false">(Sens!F4836+Sens!G4836)/(Sens!F4837+Sens!G4837)</f>
        <v>0.6</v>
      </c>
      <c r="H4854" s="7" t="n">
        <f aca="false">(Sens!G4836+Sens!H4836)/(Sens!G4837+Sens!H4837)</f>
        <v>0.6</v>
      </c>
      <c r="I4854" s="7" t="n">
        <f aca="false">(Sens!H4836+Sens!I4836)/(Sens!H4837+Sens!I4837)</f>
        <v>0.6</v>
      </c>
      <c r="J4854" s="7" t="n">
        <f aca="false">(Sens!I4836+Sens!J4836)/(Sens!I4837+Sens!J4837)</f>
        <v>0.6</v>
      </c>
      <c r="K4854" s="7" t="n">
        <f aca="false">(Sens!J4836+Sens!K4836)/(Sens!J4837+Sens!K4837)</f>
        <v>0.6</v>
      </c>
    </row>
    <row r="4855" customFormat="false" ht="17.15" hidden="false" customHeight="false" outlineLevel="0" collapsed="false">
      <c r="A4855" s="0" t="s">
        <v>829</v>
      </c>
      <c r="B4855" s="0" t="s">
        <v>98</v>
      </c>
      <c r="D4855" s="6" t="n">
        <f aca="false">Sens!D4849-Sens!D4854*(Sens!D4851+Sens!D4853)-Sens!D4852</f>
        <v>8.35701406163072</v>
      </c>
      <c r="E4855" s="6" t="n">
        <f aca="false">Sens!E4849-Sens!E4854*(Sens!E4851+Sens!E4853)-Sens!E4852</f>
        <v>18.7103224860238</v>
      </c>
      <c r="F4855" s="6" t="n">
        <f aca="false">Sens!F4849-Sens!F4854*(Sens!F4851+Sens!F4853)-Sens!F4852</f>
        <v>39.4594407491938</v>
      </c>
      <c r="G4855" s="6" t="n">
        <f aca="false">Sens!G4849-Sens!G4854*(Sens!G4851+Sens!G4853)-Sens!G4852</f>
        <v>66.5527545578061</v>
      </c>
      <c r="H4855" s="6" t="n">
        <f aca="false">Sens!H4849-Sens!H4854*(Sens!H4851+Sens!H4853)-Sens!H4852</f>
        <v>95.219644983859</v>
      </c>
      <c r="I4855" s="6" t="n">
        <f aca="false">Sens!I4849-Sens!I4854*(Sens!I4851+Sens!I4853)-Sens!I4852</f>
        <v>119.542594041207</v>
      </c>
      <c r="J4855" s="6" t="n">
        <f aca="false">Sens!J4849-Sens!J4854*(Sens!J4851+Sens!J4853)-Sens!J4852</f>
        <v>136.793871759522</v>
      </c>
      <c r="K4855" s="6" t="n">
        <f aca="false">Sens!K4849-Sens!K4854*(Sens!K4851+Sens!K4853)-Sens!K4852</f>
        <v>146.371236871283</v>
      </c>
    </row>
    <row r="4856" customFormat="false" ht="17.15" hidden="false" customHeight="false" outlineLevel="0" collapsed="false">
      <c r="A4856" s="1" t="s">
        <v>830</v>
      </c>
      <c r="B4856" s="0" t="s">
        <v>98</v>
      </c>
      <c r="D4856" s="6" t="n">
        <f aca="false">(1-Sens!D4854)*(Sens!D4851+Sens!D4853)</f>
        <v>1.42281025374069</v>
      </c>
      <c r="E4856" s="6" t="n">
        <f aca="false">(1-Sens!E4854)*(Sens!E4851+Sens!E4853)</f>
        <v>3.25095598674472</v>
      </c>
      <c r="F4856" s="6" t="n">
        <f aca="false">(1-Sens!F4854)*(Sens!F4851+Sens!F4853)</f>
        <v>6.53293055050977</v>
      </c>
      <c r="G4856" s="6" t="n">
        <f aca="false">(1-Sens!G4854)*(Sens!G4851+Sens!G4853)</f>
        <v>10.7846311741651</v>
      </c>
      <c r="H4856" s="6" t="n">
        <f aca="false">(1-Sens!H4854)*(Sens!H4851+Sens!H4853)</f>
        <v>15.26343050201</v>
      </c>
      <c r="I4856" s="6" t="n">
        <f aca="false">(1-Sens!I4854)*(Sens!I4851+Sens!I4853)</f>
        <v>19.0876932389932</v>
      </c>
      <c r="J4856" s="6" t="n">
        <f aca="false">(1-Sens!J4854)*(Sens!J4851+Sens!J4853)</f>
        <v>21.6702280367232</v>
      </c>
      <c r="K4856" s="6" t="n">
        <f aca="false">(1-Sens!K4854)*(Sens!K4851+Sens!K4853)</f>
        <v>22.9814181493786</v>
      </c>
    </row>
    <row r="4857" customFormat="false" ht="17.15" hidden="false" customHeight="false" outlineLevel="0" collapsed="false">
      <c r="A4857" s="1" t="s">
        <v>831</v>
      </c>
      <c r="B4857" s="0" t="s">
        <v>350</v>
      </c>
      <c r="C4857" s="8" t="n">
        <f aca="false">cxit_open</f>
        <v>27.5918995</v>
      </c>
      <c r="D4857" s="8" t="n">
        <f aca="false">cxit_open</f>
        <v>27.5918995</v>
      </c>
      <c r="E4857" s="8" t="n">
        <f aca="false">cxit_open</f>
        <v>27.5918995</v>
      </c>
      <c r="F4857" s="8" t="n">
        <f aca="false">(a_g3_27*tk_cxit_gb300+(1-a_g3_27)*tk_cxit_vr200)</f>
        <v>33.8419624</v>
      </c>
      <c r="G4857" s="8" t="n">
        <f aca="false">(a_g3_28*tk_cxit_gb300+(1-a_g3_28)*tk_cxit_vr200)</f>
        <v>35.9816136</v>
      </c>
      <c r="H4857" s="8" t="n">
        <f aca="false">(a_g3_29*tk_cxit_gb300+(1-a_g3_29)*tk_cxit_vr200)</f>
        <v>37.0514392</v>
      </c>
      <c r="I4857" s="8" t="n">
        <f aca="false">(a_g3_29*tk_cxit_gb300+(1-a_g3_29)*tk_cxit_vr200)</f>
        <v>37.0514392</v>
      </c>
      <c r="J4857" s="8" t="n">
        <f aca="false">(a_g3_29*tk_cxit_gb300+(1-a_g3_29)*tk_cxit_vr200)</f>
        <v>37.0514392</v>
      </c>
      <c r="K4857" s="8" t="n">
        <f aca="false">(a_g3_29*tk_cxit_gb300+(1-a_g3_29)*tk_cxit_vr200)</f>
        <v>37.0514392</v>
      </c>
      <c r="L4857" s="11" t="s">
        <v>832</v>
      </c>
    </row>
    <row r="4858" customFormat="false" ht="17.15" hidden="false" customHeight="false" outlineLevel="0" collapsed="false">
      <c r="A4858" s="0" t="s">
        <v>833</v>
      </c>
      <c r="B4858" s="0" t="s">
        <v>392</v>
      </c>
      <c r="F4858" s="29" t="n">
        <f aca="false">Sens!C4839*IF(Sens!F4832-Sens!C4832=life_it_hi,1,0)+Sens!D4839*IF(Sens!F4832-Sens!D4832=life_it_hi,1,0)+Sens!E4839*IF(Sens!F4832-Sens!E4832=life_it_hi,1,0)</f>
        <v>0</v>
      </c>
      <c r="G4858" s="29" t="n">
        <f aca="false">Sens!C4839*IF(Sens!G4832-Sens!C4832=life_it_hi,1,0)+Sens!D4839*IF(Sens!G4832-Sens!D4832=life_it_hi,1,0)+Sens!E4839*IF(Sens!G4832-Sens!E4832=life_it_hi,1,0)+Sens!F4839*IF(Sens!G4832-Sens!F4832=life_it_hi,1,0)</f>
        <v>0</v>
      </c>
      <c r="H4858" s="29" t="n">
        <f aca="false">Sens!C4839*IF(Sens!H4832-Sens!C4832=life_it_hi,1,0)+Sens!D4839*IF(Sens!H4832-Sens!D4832=life_it_hi,1,0)+Sens!E4839*IF(Sens!H4832-Sens!E4832=life_it_hi,1,0)+Sens!F4839*IF(Sens!H4832-Sens!F4832=life_it_hi,1,0)+Sens!G4839*IF(Sens!H4832-Sens!G4832=life_it_hi,1,0)</f>
        <v>0</v>
      </c>
      <c r="I4858" s="29" t="n">
        <f aca="false">Sens!C4839*IF(Sens!I4832-Sens!C4832=life_it_hi,1,0)+Sens!D4839*IF(Sens!I4832-Sens!D4832=life_it_hi,1,0)+Sens!E4839*IF(Sens!I4832-Sens!E4832=life_it_hi,1,0)+Sens!F4839*IF(Sens!I4832-Sens!F4832=life_it_hi,1,0)+Sens!G4839*IF(Sens!I4832-Sens!G4832=life_it_hi,1,0)+Sens!H4839*IF(Sens!I4832-Sens!H4832=life_it_hi,1,0)</f>
        <v>0</v>
      </c>
      <c r="J4858" s="29" t="n">
        <f aca="false">Sens!C4839*IF(Sens!J4832-Sens!C4832=life_it_hi,1,0)+Sens!D4839*IF(Sens!J4832-Sens!D4832=life_it_hi,1,0)+Sens!E4839*IF(Sens!J4832-Sens!E4832=life_it_hi,1,0)+Sens!F4839*IF(Sens!J4832-Sens!F4832=life_it_hi,1,0)+Sens!G4839*IF(Sens!J4832-Sens!G4832=life_it_hi,1,0)+Sens!H4839*IF(Sens!J4832-Sens!H4832=life_it_hi,1,0)+Sens!I4839*IF(Sens!J4832-Sens!I4832=life_it_hi,1,0)</f>
        <v>816.666666666667</v>
      </c>
      <c r="K4858" s="29" t="n">
        <f aca="false">Sens!C4839*IF(Sens!K4832-Sens!C4832=life_it_hi,1,0)+Sens!D4839*IF(Sens!K4832-Sens!D4832=life_it_hi,1,0)+Sens!E4839*IF(Sens!K4832-Sens!E4832=life_it_hi,1,0)+Sens!F4839*IF(Sens!K4832-Sens!F4832=life_it_hi,1,0)+Sens!G4839*IF(Sens!K4832-Sens!G4832=life_it_hi,1,0)+Sens!H4839*IF(Sens!K4832-Sens!H4832=life_it_hi,1,0)+Sens!I4839*IF(Sens!K4832-Sens!I4832=life_it_hi,1,0)+Sens!J4839*IF(Sens!K4832-Sens!J4832=life_it_hi,1,0)</f>
        <v>1233.33333333333</v>
      </c>
      <c r="L4858" s="1" t="s">
        <v>834</v>
      </c>
    </row>
    <row r="4859" customFormat="false" ht="17.15" hidden="false" customHeight="false" outlineLevel="0" collapsed="false">
      <c r="A4859" s="0" t="s">
        <v>835</v>
      </c>
      <c r="B4859" s="0" t="s">
        <v>98</v>
      </c>
      <c r="C4859" s="6" t="n">
        <f aca="false">Sens!C4839*Sens!C4857/1000</f>
        <v>22.5333845916667</v>
      </c>
      <c r="D4859" s="6" t="n">
        <f aca="false">Sens!D4839*Sens!D4857/1000</f>
        <v>34.0300093833333</v>
      </c>
      <c r="E4859" s="6" t="n">
        <f aca="false">Sens!E4839*Sens!E4857/1000</f>
        <v>67.600153775</v>
      </c>
      <c r="F4859" s="6" t="n">
        <f aca="false">(Sens!F4839+Sens!F4858)*Sens!F4857/1000</f>
        <v>130.923271871467</v>
      </c>
      <c r="G4859" s="6" t="n">
        <f aca="false">(Sens!G4839+Sens!G4858)*Sens!G4857/1000</f>
        <v>151.5545564832</v>
      </c>
      <c r="H4859" s="6" t="n">
        <f aca="false">(Sens!H4839+Sens!H4858)*Sens!H4857/1000</f>
        <v>156.0606619104</v>
      </c>
      <c r="I4859" s="6" t="n">
        <f aca="false">(Sens!I4839+Sens!I4858)*Sens!I4857/1000</f>
        <v>110.729214087579</v>
      </c>
      <c r="J4859" s="6" t="n">
        <f aca="false">(Sens!J4839+Sens!J4858)*Sens!J4857/1000</f>
        <v>95.6564416114239</v>
      </c>
      <c r="K4859" s="6" t="n">
        <f aca="false">(Sens!K4839+Sens!K4858)*Sens!K4857/1000</f>
        <v>65.7630934552694</v>
      </c>
    </row>
    <row r="4860" customFormat="false" ht="17.15" hidden="false" customHeight="false" outlineLevel="0" collapsed="false">
      <c r="A4860" s="0" t="s">
        <v>836</v>
      </c>
      <c r="B4860" s="0" t="s">
        <v>98</v>
      </c>
      <c r="C4860" s="6" t="n">
        <f aca="false">Sens!C4839*self_build*tk_cxfac/1000</f>
        <v>6.2083</v>
      </c>
      <c r="D4860" s="6" t="n">
        <f aca="false">Sens!D4839*self_build*tk_cxfac/1000</f>
        <v>9.3758</v>
      </c>
      <c r="E4860" s="6" t="n">
        <f aca="false">Sens!E4839*self_build*tk_cxfac/1000</f>
        <v>18.6249</v>
      </c>
      <c r="F4860" s="6" t="n">
        <f aca="false">Sens!F4839*self_build*tk_cxfac/1000</f>
        <v>29.409604</v>
      </c>
      <c r="G4860" s="6" t="n">
        <f aca="false">Sens!G4839*self_build*tk_cxfac/1000</f>
        <v>32.019624</v>
      </c>
      <c r="H4860" s="6" t="n">
        <f aca="false">Sens!H4839*self_build*tk_cxfac/1000</f>
        <v>32.019624</v>
      </c>
      <c r="I4860" s="6" t="n">
        <f aca="false">Sens!I4839*self_build*tk_cxfac/1000</f>
        <v>22.71877972</v>
      </c>
      <c r="J4860" s="6" t="n">
        <f aca="false">Sens!J4839*self_build*tk_cxfac/1000</f>
        <v>13.41793544</v>
      </c>
      <c r="K4860" s="6" t="n">
        <f aca="false">Sens!K4839*self_build*tk_cxfac/1000</f>
        <v>4.11709116000001</v>
      </c>
    </row>
    <row r="4861" customFormat="false" ht="17.15" hidden="false" customHeight="false" outlineLevel="0" collapsed="false">
      <c r="A4861" s="0" t="s">
        <v>837</v>
      </c>
      <c r="B4861" s="0" t="s">
        <v>98</v>
      </c>
      <c r="F4861" s="6" t="n">
        <f aca="false">MAX(0,capex_floor27-Sens!F4859-Sens!F4860-Sens!F4954)</f>
        <v>8.28777689897088</v>
      </c>
      <c r="L4861" s="1" t="s">
        <v>838</v>
      </c>
    </row>
    <row r="4862" customFormat="false" ht="17.15" hidden="false" customHeight="false" outlineLevel="0" collapsed="false">
      <c r="A4862" s="0" t="s">
        <v>839</v>
      </c>
      <c r="B4862" s="0" t="s">
        <v>98</v>
      </c>
      <c r="C4862" s="6" t="n">
        <f aca="false">Sens!C4859</f>
        <v>22.5333845916667</v>
      </c>
      <c r="D4862" s="6" t="n">
        <f aca="false">Sens!D4859</f>
        <v>34.0300093833333</v>
      </c>
      <c r="E4862" s="6" t="n">
        <f aca="false">Sens!E4859</f>
        <v>67.600153775</v>
      </c>
      <c r="F4862" s="6" t="n">
        <f aca="false">Sens!F4859+Sens!F4861</f>
        <v>139.211048770438</v>
      </c>
      <c r="G4862" s="6" t="n">
        <f aca="false">Sens!G4859</f>
        <v>151.5545564832</v>
      </c>
      <c r="H4862" s="6" t="n">
        <f aca="false">Sens!H4859</f>
        <v>156.0606619104</v>
      </c>
      <c r="I4862" s="6" t="n">
        <f aca="false">Sens!I4859</f>
        <v>110.729214087579</v>
      </c>
      <c r="J4862" s="6" t="n">
        <f aca="false">Sens!J4859</f>
        <v>95.6564416114239</v>
      </c>
      <c r="K4862" s="6" t="n">
        <f aca="false">Sens!K4859</f>
        <v>65.7630934552694</v>
      </c>
    </row>
    <row r="4863" customFormat="false" ht="17.15" hidden="false" customHeight="false" outlineLevel="0" collapsed="false">
      <c r="A4863" s="0" t="s">
        <v>840</v>
      </c>
      <c r="B4863" s="0" t="s">
        <v>98</v>
      </c>
      <c r="C4863" s="6" t="n">
        <f aca="false">Sens!C4862+Sens!C4860</f>
        <v>28.7416845916667</v>
      </c>
      <c r="D4863" s="6" t="n">
        <f aca="false">Sens!D4862+Sens!D4860</f>
        <v>43.4058093833333</v>
      </c>
      <c r="E4863" s="6" t="n">
        <f aca="false">Sens!E4862+Sens!E4860</f>
        <v>86.225053775</v>
      </c>
      <c r="F4863" s="6" t="n">
        <f aca="false">Sens!F4862+Sens!F4860</f>
        <v>168.620652770438</v>
      </c>
      <c r="G4863" s="6" t="n">
        <f aca="false">Sens!G4862+Sens!G4860</f>
        <v>183.5741804832</v>
      </c>
      <c r="H4863" s="6" t="n">
        <f aca="false">Sens!H4862+Sens!H4860</f>
        <v>188.0802859104</v>
      </c>
      <c r="I4863" s="6" t="n">
        <f aca="false">Sens!I4862+Sens!I4860</f>
        <v>133.447993807579</v>
      </c>
      <c r="J4863" s="6" t="n">
        <f aca="false">Sens!J4862+Sens!J4860</f>
        <v>109.074377051424</v>
      </c>
      <c r="K4863" s="6" t="n">
        <f aca="false">Sens!K4862+Sens!K4860</f>
        <v>69.8801846152694</v>
      </c>
      <c r="L4863" s="11" t="s">
        <v>841</v>
      </c>
    </row>
    <row r="4864" customFormat="false" ht="17.15" hidden="false" customHeight="false" outlineLevel="0" collapsed="false">
      <c r="A4864" s="0" t="s">
        <v>842</v>
      </c>
      <c r="B4864" s="0" t="s">
        <v>98</v>
      </c>
      <c r="E4864" s="6" t="n">
        <f aca="false">(Sens!C4862*IF(2&lt;life_it_hi,1,IF(2=life_it_hi,0.5,0))+Sens!D4862*IF(1&lt;life_it_hi,1,IF(1=life_it_hi,0.5,0))+Sens!E4862*0.5)/life_it_hi</f>
        <v>12.9090672660714</v>
      </c>
      <c r="F4864" s="6" t="n">
        <f aca="false">(Sens!C4862*IF(3&lt;life_it_hi,1,IF(3=life_it_hi,0.5,0))+Sens!D4862*IF(2&lt;life_it_hi,1,IF(2=life_it_hi,0.5,0))+Sens!E4862*IF(1&lt;life_it_hi,1,IF(1=life_it_hi,0.5,0))+Sens!F4862*0.5)/life_it_hi</f>
        <v>27.681296019317</v>
      </c>
      <c r="G4864" s="6" t="n">
        <f aca="false">(Sens!C4862*IF(4&lt;life_it_hi,1,IF(4=life_it_hi,0.5,0))+Sens!D4862*IF(3&lt;life_it_hi,1,IF(3=life_it_hi,0.5,0))+Sens!E4862*IF(2&lt;life_it_hi,1,IF(2=life_it_hi,0.5,0))+Sens!F4862*IF(1&lt;life_it_hi,1,IF(1=life_it_hi,0.5,0))+Sens!G4862*0.5)/life_it_hi</f>
        <v>48.4502678231482</v>
      </c>
      <c r="H4864" s="6" t="n">
        <f aca="false">(Sens!C4862*IF(5&lt;life_it_hi,1,IF(5=life_it_hi,0.5,0))+Sens!D4862*IF(4&lt;life_it_hi,1,IF(4=life_it_hi,0.5,0))+Sens!E4862*IF(3&lt;life_it_hi,1,IF(3=life_it_hi,0.5,0))+Sens!F4862*IF(2&lt;life_it_hi,1,IF(2=life_it_hi,0.5,0))+Sens!G4862*IF(1&lt;life_it_hi,1,IF(1=life_it_hi,0.5,0))+Sens!H4862*0.5)/life_it_hi</f>
        <v>70.4227834226911</v>
      </c>
      <c r="I4864" s="6" t="n">
        <f aca="false">(Sens!C4862*IF(6&lt;life_it_hi,1,IF(6=life_it_hi,0.5,0))+Sens!D4862*IF(5&lt;life_it_hi,1,IF(5=life_it_hi,0.5,0))+Sens!E4862*IF(4&lt;life_it_hi,1,IF(4=life_it_hi,0.5,0))+Sens!F4862*IF(3&lt;life_it_hi,1,IF(3=life_it_hi,0.5,0))+Sens!G4862*IF(2&lt;life_it_hi,1,IF(2=life_it_hi,0.5,0))+Sens!H4862*IF(1&lt;life_it_hi,1,IF(1=life_it_hi,0.5,0))+Sens!I4862*0.5)/life_it_hi</f>
        <v>89.4792031368324</v>
      </c>
      <c r="J4864" s="6" t="n">
        <f aca="false">(Sens!C4862*IF(7&lt;life_it_hi,1,IF(7=life_it_hi,0.5,0))+Sens!D4862*IF(6&lt;life_it_hi,1,IF(6=life_it_hi,0.5,0))+Sens!E4862*IF(5&lt;life_it_hi,1,IF(5=life_it_hi,0.5,0))+Sens!F4862*IF(4&lt;life_it_hi,1,IF(4=life_it_hi,0.5,0))+Sens!G4862*IF(3&lt;life_it_hi,1,IF(3=life_it_hi,0.5,0))+Sens!H4862*IF(2&lt;life_it_hi,1,IF(2=life_it_hi,0.5,0))+Sens!I4862*IF(1&lt;life_it_hi,1,IF(1=life_it_hi,0.5,0))+Sens!J4862*0.5)/life_it_hi</f>
        <v>102.611508215928</v>
      </c>
      <c r="K4864" s="6" t="n">
        <f aca="false">(Sens!C4862*IF(8&lt;life_it_hi,1,IF(8=life_it_hi,0.5,0))+Sens!D4862*IF(7&lt;life_it_hi,1,IF(7=life_it_hi,0.5,0))+Sens!E4862*IF(6&lt;life_it_hi,1,IF(6=life_it_hi,0.5,0))+Sens!F4862*IF(5&lt;life_it_hi,1,IF(5=life_it_hi,0.5,0))+Sens!G4862*IF(4&lt;life_it_hi,1,IF(4=life_it_hi,0.5,0))+Sens!H4862*IF(3&lt;life_it_hi,1,IF(3=life_it_hi,0.5,0))+Sens!I4862*IF(2&lt;life_it_hi,1,IF(2=life_it_hi,0.5,0))+Sens!J4862*IF(1&lt;life_it_hi,1,IF(1=life_it_hi,0.5,0))+Sens!K4862*0.5)/life_it_hi</f>
        <v>110.10123257962</v>
      </c>
    </row>
    <row r="4865" customFormat="false" ht="17.15" hidden="false" customHeight="false" outlineLevel="0" collapsed="false">
      <c r="A4865" s="0" t="s">
        <v>843</v>
      </c>
      <c r="B4865" s="0" t="s">
        <v>98</v>
      </c>
      <c r="E4865" s="6" t="n">
        <f aca="false">(Sens!C4860*IF(2&lt;life_fac,1,IF(2=life_fac,0.5,0))+Sens!D4860*IF(1&lt;life_fac,1,IF(1=life_fac,0.5,0))+Sens!E4860*0.5)/life_fac</f>
        <v>1.2448275</v>
      </c>
      <c r="F4865" s="6" t="n">
        <f aca="false">(Sens!C4860*IF(3&lt;life_fac,1,IF(3=life_fac,0.5,0))+Sens!D4860*IF(2&lt;life_fac,1,IF(2=life_fac,0.5,0))+Sens!E4860*IF(1&lt;life_fac,1,IF(1=life_fac,0.5,0))+Sens!F4860*0.5)/life_fac</f>
        <v>2.4456901</v>
      </c>
      <c r="G4865" s="6" t="n">
        <f aca="false">(Sens!C4860*IF(4&lt;life_fac,1,IF(4=life_fac,0.5,0))+Sens!D4860*IF(3&lt;life_fac,1,IF(3=life_fac,0.5,0))+Sens!E4860*IF(2&lt;life_fac,1,IF(2=life_fac,0.5,0))+Sens!F4860*IF(1&lt;life_fac,1,IF(1=life_fac,0.5,0))+Sens!G4860*0.5)/life_fac</f>
        <v>3.9814208</v>
      </c>
      <c r="H4865" s="6" t="n">
        <f aca="false">(Sens!C4860*IF(5&lt;life_fac,1,IF(5=life_fac,0.5,0))+Sens!D4860*IF(4&lt;life_fac,1,IF(4=life_fac,0.5,0))+Sens!E4860*IF(3&lt;life_fac,1,IF(3=life_fac,0.5,0))+Sens!F4860*IF(2&lt;life_fac,1,IF(2=life_fac,0.5,0))+Sens!G4860*IF(1&lt;life_fac,1,IF(1=life_fac,0.5,0))+Sens!H4860*0.5)/life_fac</f>
        <v>5.582402</v>
      </c>
      <c r="I4865" s="6" t="n">
        <f aca="false">(Sens!C4860*IF(6&lt;life_fac,1,IF(6=life_fac,0.5,0))+Sens!D4860*IF(5&lt;life_fac,1,IF(5=life_fac,0.5,0))+Sens!E4860*IF(4&lt;life_fac,1,IF(4=life_fac,0.5,0))+Sens!F4860*IF(3&lt;life_fac,1,IF(3=life_fac,0.5,0))+Sens!G4860*IF(2&lt;life_fac,1,IF(2=life_fac,0.5,0))+Sens!H4860*IF(1&lt;life_fac,1,IF(1=life_fac,0.5,0))+Sens!I4860*0.5)/life_fac</f>
        <v>6.950862093</v>
      </c>
      <c r="J4865" s="6" t="n">
        <f aca="false">(Sens!C4860*IF(7&lt;life_fac,1,IF(7=life_fac,0.5,0))+Sens!D4860*IF(6&lt;life_fac,1,IF(6=life_fac,0.5,0))+Sens!E4860*IF(5&lt;life_fac,1,IF(5=life_fac,0.5,0))+Sens!F4860*IF(4&lt;life_fac,1,IF(4=life_fac,0.5,0))+Sens!G4860*IF(3&lt;life_fac,1,IF(3=life_fac,0.5,0))+Sens!H4860*IF(2&lt;life_fac,1,IF(2=life_fac,0.5,0))+Sens!I4860*IF(1&lt;life_fac,1,IF(1=life_fac,0.5,0))+Sens!J4860*0.5)/life_fac</f>
        <v>7.854279972</v>
      </c>
      <c r="K4865" s="6" t="n">
        <f aca="false">(Sens!C4860*IF(8&lt;life_fac,1,IF(8=life_fac,0.5,0))+Sens!D4860*IF(7&lt;life_fac,1,IF(7=life_fac,0.5,0))+Sens!E4860*IF(6&lt;life_fac,1,IF(6=life_fac,0.5,0))+Sens!F4860*IF(5&lt;life_fac,1,IF(5=life_fac,0.5,0))+Sens!G4860*IF(4&lt;life_fac,1,IF(4=life_fac,0.5,0))+Sens!H4860*IF(3&lt;life_fac,1,IF(3=life_fac,0.5,0))+Sens!I4860*IF(2&lt;life_fac,1,IF(2=life_fac,0.5,0))+Sens!J4860*IF(1&lt;life_fac,1,IF(1=life_fac,0.5,0))+Sens!K4860*0.5)/life_fac</f>
        <v>8.292655637</v>
      </c>
    </row>
    <row r="4866" customFormat="false" ht="17.15" hidden="false" customHeight="false" outlineLevel="0" collapsed="false">
      <c r="A4866" s="0" t="s">
        <v>844</v>
      </c>
      <c r="B4866" s="0" t="s">
        <v>98</v>
      </c>
      <c r="E4866" s="6" t="n">
        <f aca="false">Sens!E4864+Sens!E4865</f>
        <v>14.1538947660714</v>
      </c>
      <c r="F4866" s="6" t="n">
        <f aca="false">Sens!F4864+Sens!F4865</f>
        <v>30.126986119317</v>
      </c>
      <c r="G4866" s="6" t="n">
        <f aca="false">Sens!G4864+Sens!G4865</f>
        <v>52.4316886231482</v>
      </c>
      <c r="H4866" s="6" t="n">
        <f aca="false">Sens!H4864+Sens!H4865</f>
        <v>76.0051854226911</v>
      </c>
      <c r="I4866" s="6" t="n">
        <f aca="false">Sens!I4864+Sens!I4865</f>
        <v>96.4300652298324</v>
      </c>
      <c r="J4866" s="6" t="n">
        <f aca="false">Sens!J4864+Sens!J4865</f>
        <v>110.465788187928</v>
      </c>
      <c r="K4866" s="6" t="n">
        <f aca="false">Sens!K4864+Sens!K4865</f>
        <v>118.39388821662</v>
      </c>
    </row>
    <row r="4867" customFormat="false" ht="17.15" hidden="false" customHeight="false" outlineLevel="0" collapsed="false">
      <c r="A4867" s="0" t="s">
        <v>845</v>
      </c>
      <c r="B4867" s="0" t="s">
        <v>98</v>
      </c>
      <c r="E4867" s="6" t="n">
        <f aca="false">Sens!E4855-Sens!E4854*Sens!E4866</f>
        <v>10.2179856263809</v>
      </c>
      <c r="F4867" s="6" t="n">
        <f aca="false">Sens!F4855-Sens!F4854*Sens!F4866</f>
        <v>21.3832490776037</v>
      </c>
      <c r="G4867" s="6" t="n">
        <f aca="false">Sens!G4855-Sens!G4854*Sens!G4866</f>
        <v>35.0937413839172</v>
      </c>
      <c r="H4867" s="6" t="n">
        <f aca="false">Sens!H4855-Sens!H4854*Sens!H4866</f>
        <v>49.6165337302443</v>
      </c>
      <c r="I4867" s="6" t="n">
        <f aca="false">Sens!I4855-Sens!I4854*Sens!I4866</f>
        <v>61.6845549033074</v>
      </c>
      <c r="J4867" s="6" t="n">
        <f aca="false">Sens!J4855-Sens!J4854*Sens!J4866</f>
        <v>70.5143988467652</v>
      </c>
      <c r="K4867" s="6" t="n">
        <f aca="false">Sens!K4855-Sens!K4854*Sens!K4866</f>
        <v>75.3349039413104</v>
      </c>
    </row>
    <row r="4868" customFormat="false" ht="17.15" hidden="false" customHeight="false" outlineLevel="0" collapsed="false">
      <c r="A4868" s="3" t="s">
        <v>1360</v>
      </c>
    </row>
    <row r="4869" customFormat="false" ht="15" hidden="false" customHeight="false" outlineLevel="0" collapsed="false">
      <c r="A4869" s="4" t="s">
        <v>43</v>
      </c>
      <c r="B4869" s="4" t="s">
        <v>65</v>
      </c>
      <c r="C4869" s="20" t="s">
        <v>788</v>
      </c>
      <c r="D4869" s="20" t="s">
        <v>789</v>
      </c>
      <c r="E4869" s="20" t="s">
        <v>790</v>
      </c>
      <c r="F4869" s="20" t="s">
        <v>791</v>
      </c>
      <c r="G4869" s="20" t="s">
        <v>792</v>
      </c>
      <c r="H4869" s="20" t="s">
        <v>793</v>
      </c>
      <c r="I4869" s="20" t="s">
        <v>794</v>
      </c>
      <c r="J4869" s="20" t="s">
        <v>795</v>
      </c>
      <c r="K4869" s="20" t="s">
        <v>796</v>
      </c>
      <c r="L4869" s="4" t="s">
        <v>47</v>
      </c>
    </row>
    <row r="4870" customFormat="false" ht="17.15" hidden="false" customHeight="false" outlineLevel="0" collapsed="false">
      <c r="A4870" s="0" t="s">
        <v>864</v>
      </c>
      <c r="B4870" s="0" t="s">
        <v>98</v>
      </c>
      <c r="D4870" s="6" t="n">
        <f aca="false">Sens!D4849</f>
        <v>12.9359794422418</v>
      </c>
      <c r="E4870" s="6" t="n">
        <f aca="false">Sens!E4849</f>
        <v>27.8095064661409</v>
      </c>
      <c r="F4870" s="6" t="n">
        <f aca="false">Sens!F4849</f>
        <v>55.0640065749585</v>
      </c>
      <c r="G4870" s="6" t="n">
        <f aca="false">Sens!G4849</f>
        <v>89.4505413190538</v>
      </c>
      <c r="H4870" s="6" t="n">
        <f aca="false">Sens!H4849</f>
        <v>124.835630736874</v>
      </c>
      <c r="I4870" s="6" t="n">
        <f aca="false">Sens!I4849</f>
        <v>154.894973899697</v>
      </c>
      <c r="J4870" s="6" t="n">
        <f aca="false">Sens!J4849</f>
        <v>176.020053814607</v>
      </c>
      <c r="K4870" s="6" t="n">
        <f aca="false">Sens!K4849</f>
        <v>187.56420409535</v>
      </c>
    </row>
    <row r="4871" customFormat="false" ht="17.15" hidden="false" customHeight="false" outlineLevel="0" collapsed="false">
      <c r="A4871" s="0" t="s">
        <v>865</v>
      </c>
      <c r="B4871" s="0" t="s">
        <v>98</v>
      </c>
      <c r="D4871" s="6" t="n">
        <f aca="false">Q!L6-Sens!D4870</f>
        <v>59.6740205577583</v>
      </c>
      <c r="E4871" s="6" t="n">
        <f aca="false">Q!M6-Sens!E4870</f>
        <v>74.1284935338591</v>
      </c>
      <c r="F4871" s="6" t="n">
        <f aca="false">Sens!E4871*(1+Sens!F4872)</f>
        <v>90.0799497373663</v>
      </c>
      <c r="G4871" s="6" t="n">
        <f aca="false">Sens!F4871*(1+Sens!G4872)</f>
        <v>107.02842520331</v>
      </c>
      <c r="H4871" s="6" t="n">
        <f aca="false">Sens!G4871*(1+Sens!H4872)</f>
        <v>124.271982585636</v>
      </c>
      <c r="I4871" s="6" t="n">
        <f aca="false">Sens!H4871*(1+Sens!I4872)</f>
        <v>140.933702381855</v>
      </c>
      <c r="J4871" s="6" t="n">
        <f aca="false">Sens!I4871*(1+Sens!J4872)</f>
        <v>156.018867314332</v>
      </c>
      <c r="K4871" s="6" t="n">
        <f aca="false">Sens!J4871*(1+Sens!K4872)</f>
        <v>168.500376699478</v>
      </c>
    </row>
    <row r="4872" customFormat="false" ht="15" hidden="false" customHeight="false" outlineLevel="0" collapsed="false">
      <c r="A4872" s="1" t="s">
        <v>866</v>
      </c>
      <c r="B4872" s="0" t="s">
        <v>129</v>
      </c>
      <c r="E4872" s="7" t="n">
        <f aca="false">Sens!E4871/Sens!D4871-1</f>
        <v>0.242223883039864</v>
      </c>
      <c r="F4872" s="7" t="n">
        <f aca="false">Sens!$E$4872+(glt_azo-Sens!$E$4872)*MIN(1,(Sens!F4832-base_fy)/n_conv)</f>
        <v>0.215186569199887</v>
      </c>
      <c r="G4872" s="7" t="n">
        <f aca="false">Sens!$E$4872+(glt_azo-Sens!$E$4872)*MIN(1,(Sens!G4832-base_fy)/n_conv)</f>
        <v>0.18814925535991</v>
      </c>
      <c r="H4872" s="7" t="n">
        <f aca="false">Sens!$E$4872+(glt_azo-Sens!$E$4872)*MIN(1,(Sens!H4832-base_fy)/n_conv)</f>
        <v>0.161111941519932</v>
      </c>
      <c r="I4872" s="7" t="n">
        <f aca="false">Sens!$E$4872+(glt_azo-Sens!$E$4872)*MIN(1,(Sens!I4832-base_fy)/n_conv)</f>
        <v>0.134074627679955</v>
      </c>
      <c r="J4872" s="7" t="n">
        <f aca="false">Sens!$E$4872+(glt_azo-Sens!$E$4872)*MIN(1,(Sens!J4832-base_fy)/n_conv)</f>
        <v>0.107037313839977</v>
      </c>
      <c r="K4872" s="7" t="n">
        <f aca="false">Sens!$E$4872+(glt_azo-Sens!$E$4872)*MIN(1,(Sens!K4832-base_fy)/n_conv)</f>
        <v>0.08</v>
      </c>
    </row>
    <row r="4873" customFormat="false" ht="15" hidden="false" customHeight="false" outlineLevel="0" collapsed="false">
      <c r="A4873" s="0" t="s">
        <v>867</v>
      </c>
      <c r="B4873" s="0" t="s">
        <v>98</v>
      </c>
      <c r="D4873" s="6" t="n">
        <f aca="false">Sens!D4870+Sens!D4871</f>
        <v>72.61</v>
      </c>
      <c r="E4873" s="6" t="n">
        <f aca="false">Sens!E4870+Sens!E4871</f>
        <v>101.938</v>
      </c>
      <c r="F4873" s="6" t="n">
        <f aca="false">Sens!F4870+Sens!F4871</f>
        <v>145.143956312325</v>
      </c>
      <c r="G4873" s="6" t="n">
        <f aca="false">Sens!G4870+Sens!G4871</f>
        <v>196.478966522364</v>
      </c>
      <c r="H4873" s="6" t="n">
        <f aca="false">Sens!H4870+Sens!H4871</f>
        <v>249.10761332251</v>
      </c>
      <c r="I4873" s="6" t="n">
        <f aca="false">Sens!I4870+Sens!I4871</f>
        <v>295.828676281552</v>
      </c>
      <c r="J4873" s="6" t="n">
        <f aca="false">Sens!J4870+Sens!J4871</f>
        <v>332.038921128938</v>
      </c>
      <c r="K4873" s="6" t="n">
        <f aca="false">Sens!K4870+Sens!K4871</f>
        <v>356.064580794828</v>
      </c>
    </row>
    <row r="4874" customFormat="false" ht="17.15" hidden="false" customHeight="false" outlineLevel="0" collapsed="false">
      <c r="A4874" s="0" t="s">
        <v>868</v>
      </c>
      <c r="B4874" s="1" t="s">
        <v>521</v>
      </c>
      <c r="C4874" s="29" t="n">
        <f aca="false">cop_s24</f>
        <v>1</v>
      </c>
      <c r="D4874" s="29" t="n">
        <f aca="false">cop_s25</f>
        <v>5</v>
      </c>
      <c r="E4874" s="29" t="n">
        <f aca="false">cop_s26</f>
        <v>30</v>
      </c>
      <c r="F4874" s="29" t="n">
        <f aca="false">Sens!E4874+cop_add_B</f>
        <v>50</v>
      </c>
      <c r="G4874" s="29" t="n">
        <f aca="false">Sens!F4874+cop_add_B</f>
        <v>70</v>
      </c>
      <c r="H4874" s="29" t="n">
        <f aca="false">Sens!G4874+cop_add_B</f>
        <v>90</v>
      </c>
      <c r="I4874" s="29" t="n">
        <f aca="false">Sens!H4874+cop_add_B*cop_tail</f>
        <v>100</v>
      </c>
      <c r="J4874" s="29" t="n">
        <f aca="false">Sens!I4874+cop_add_B*cop_tail</f>
        <v>110</v>
      </c>
      <c r="K4874" s="29" t="n">
        <f aca="false">Sens!J4874+cop_add_B*cop_tail</f>
        <v>120</v>
      </c>
      <c r="L4874" s="11" t="s">
        <v>869</v>
      </c>
    </row>
    <row r="4875" customFormat="false" ht="17.15" hidden="false" customHeight="false" outlineLevel="0" collapsed="false">
      <c r="A4875" s="0" t="s">
        <v>870</v>
      </c>
      <c r="B4875" s="0" t="s">
        <v>98</v>
      </c>
      <c r="D4875" s="6" t="n">
        <f aca="false">(Sens!C4874+Sens!D4874)/2*cop_px*12/1000</f>
        <v>0.9</v>
      </c>
      <c r="E4875" s="6" t="n">
        <f aca="false">(Sens!D4874+Sens!E4874)/2*cop_px*12/1000</f>
        <v>5.25</v>
      </c>
      <c r="F4875" s="6" t="n">
        <f aca="false">(Sens!E4874+Sens!F4874)/2*cop_px*12/1000</f>
        <v>12</v>
      </c>
      <c r="G4875" s="6" t="n">
        <f aca="false">(Sens!F4874+Sens!G4874)/2*cop_px*12/1000</f>
        <v>18</v>
      </c>
      <c r="H4875" s="6" t="n">
        <f aca="false">(Sens!G4874+Sens!H4874)/2*cop_px*12/1000</f>
        <v>24</v>
      </c>
      <c r="I4875" s="6" t="n">
        <f aca="false">(Sens!H4874+Sens!I4874)/2*cop_px*12/1000</f>
        <v>28.5</v>
      </c>
      <c r="J4875" s="6" t="n">
        <f aca="false">(Sens!I4874+Sens!J4874)/2*cop_px*12/1000</f>
        <v>31.5</v>
      </c>
      <c r="K4875" s="6" t="n">
        <f aca="false">(Sens!J4874+Sens!K4874)/2*cop_px*12/1000</f>
        <v>34.5</v>
      </c>
      <c r="L4875" s="1" t="s">
        <v>871</v>
      </c>
    </row>
    <row r="4876" customFormat="false" ht="17.15" hidden="false" customHeight="false" outlineLevel="0" collapsed="false">
      <c r="A4876" s="0" t="s">
        <v>872</v>
      </c>
      <c r="B4876" s="0" t="s">
        <v>98</v>
      </c>
      <c r="D4876" s="6" t="n">
        <f aca="false">Q!L7-Sens!D4875</f>
        <v>83.705</v>
      </c>
      <c r="E4876" s="6" t="n">
        <f aca="false">Q!M7-Sens!E4875</f>
        <v>95.049</v>
      </c>
      <c r="F4876" s="6" t="n">
        <f aca="false">Sens!E4876*(1+Sens!F4877)</f>
        <v>106.89238776686</v>
      </c>
      <c r="G4876" s="6" t="n">
        <f aca="false">Sens!F4876*(1+Sens!G4877)</f>
        <v>119.044168448684</v>
      </c>
      <c r="H4876" s="6" t="n">
        <f aca="false">Sens!G4876*(1+Sens!H4877)</f>
        <v>131.277359388781</v>
      </c>
      <c r="I4876" s="6" t="n">
        <f aca="false">Sens!H4876*(1+Sens!I4877)</f>
        <v>143.334028071957</v>
      </c>
      <c r="J4876" s="6" t="n">
        <f aca="false">Sens!I4876*(1+Sens!J4877)</f>
        <v>154.932702785465</v>
      </c>
      <c r="K4876" s="6" t="n">
        <f aca="false">Sens!J4876*(1+Sens!K4877)</f>
        <v>165.777991980448</v>
      </c>
    </row>
    <row r="4877" customFormat="false" ht="15" hidden="false" customHeight="false" outlineLevel="0" collapsed="false">
      <c r="A4877" s="1" t="s">
        <v>866</v>
      </c>
      <c r="B4877" s="0" t="s">
        <v>129</v>
      </c>
      <c r="E4877" s="7" t="n">
        <f aca="false">Sens!E4876/Sens!D4876-1</f>
        <v>0.135523564900544</v>
      </c>
      <c r="F4877" s="7" t="n">
        <f aca="false">Sens!$E$4877+(glt_m365b-Sens!$E$4877)*MIN(1,(Sens!F4832-base_fy)/n_conv)</f>
        <v>0.124602970750453</v>
      </c>
      <c r="G4877" s="7" t="n">
        <f aca="false">Sens!$E$4877+(glt_m365b-Sens!$E$4877)*MIN(1,(Sens!G4832-base_fy)/n_conv)</f>
        <v>0.113682376600363</v>
      </c>
      <c r="H4877" s="7" t="n">
        <f aca="false">Sens!$E$4877+(glt_m365b-Sens!$E$4877)*MIN(1,(Sens!H4832-base_fy)/n_conv)</f>
        <v>0.102761782450272</v>
      </c>
      <c r="I4877" s="7" t="n">
        <f aca="false">Sens!$E$4877+(glt_m365b-Sens!$E$4877)*MIN(1,(Sens!I4832-base_fy)/n_conv)</f>
        <v>0.0918411883001813</v>
      </c>
      <c r="J4877" s="7" t="n">
        <f aca="false">Sens!$E$4877+(glt_m365b-Sens!$E$4877)*MIN(1,(Sens!J4832-base_fy)/n_conv)</f>
        <v>0.0809205941500906</v>
      </c>
      <c r="K4877" s="7" t="n">
        <f aca="false">Sens!$E$4877+(glt_m365b-Sens!$E$4877)*MIN(1,(Sens!K4832-base_fy)/n_conv)</f>
        <v>0.07</v>
      </c>
    </row>
    <row r="4878" customFormat="false" ht="15" hidden="false" customHeight="false" outlineLevel="0" collapsed="false">
      <c r="A4878" s="0" t="s">
        <v>873</v>
      </c>
      <c r="B4878" s="0" t="s">
        <v>98</v>
      </c>
      <c r="D4878" s="6" t="n">
        <f aca="false">Sens!D4876+Sens!D4875</f>
        <v>84.605</v>
      </c>
      <c r="E4878" s="6" t="n">
        <f aca="false">Sens!E4876+Sens!E4875</f>
        <v>100.299</v>
      </c>
      <c r="F4878" s="6" t="n">
        <f aca="false">Sens!F4876+Sens!F4875</f>
        <v>118.89238776686</v>
      </c>
      <c r="G4878" s="6" t="n">
        <f aca="false">Sens!G4876+Sens!G4875</f>
        <v>137.044168448684</v>
      </c>
      <c r="H4878" s="6" t="n">
        <f aca="false">Sens!H4876+Sens!H4875</f>
        <v>155.277359388781</v>
      </c>
      <c r="I4878" s="6" t="n">
        <f aca="false">Sens!I4876+Sens!I4875</f>
        <v>171.834028071957</v>
      </c>
      <c r="J4878" s="6" t="n">
        <f aca="false">Sens!J4876+Sens!J4875</f>
        <v>186.432702785465</v>
      </c>
      <c r="K4878" s="6" t="n">
        <f aca="false">Sens!K4876+Sens!K4875</f>
        <v>200.277991980448</v>
      </c>
    </row>
    <row r="4879" customFormat="false" ht="15" hidden="false" customHeight="false" outlineLevel="0" collapsed="false">
      <c r="A4879" s="0" t="s">
        <v>874</v>
      </c>
      <c r="B4879" s="0" t="s">
        <v>98</v>
      </c>
      <c r="D4879" s="6" t="n">
        <f aca="false">Q!L8</f>
        <v>35.391</v>
      </c>
      <c r="E4879" s="6" t="n">
        <f aca="false">Q!M8</f>
        <v>37.285</v>
      </c>
      <c r="F4879" s="6" t="n">
        <f aca="false">Sens!E4879*(1+Sens!F4880)</f>
        <v>39.0720834331704</v>
      </c>
      <c r="G4879" s="6" t="n">
        <f aca="false">Sens!F4879*(1+Sens!G4880)</f>
        <v>40.726562953769</v>
      </c>
      <c r="H4879" s="6" t="n">
        <f aca="false">Sens!G4879*(1+Sens!H4880)</f>
        <v>42.2235987259198</v>
      </c>
      <c r="I4879" s="6" t="n">
        <f aca="false">Sens!H4879*(1+Sens!I4880)</f>
        <v>43.5397988077414</v>
      </c>
      <c r="J4879" s="6" t="n">
        <f aca="false">Sens!I4879*(1+Sens!J4880)</f>
        <v>44.653811225693</v>
      </c>
      <c r="K4879" s="6" t="n">
        <f aca="false">Sens!J4879*(1+Sens!K4880)</f>
        <v>45.5468874502068</v>
      </c>
    </row>
    <row r="4880" customFormat="false" ht="15" hidden="false" customHeight="false" outlineLevel="0" collapsed="false">
      <c r="A4880" s="1" t="s">
        <v>866</v>
      </c>
      <c r="B4880" s="0" t="s">
        <v>129</v>
      </c>
      <c r="E4880" s="7" t="n">
        <f aca="false">Sens!E4879/Sens!D4879-1</f>
        <v>0.0535164307309768</v>
      </c>
      <c r="F4880" s="7" t="n">
        <f aca="false">Sens!$E$4880+(glt_lic-Sens!$E$4880)*MIN(1,(Sens!F4832-base_fy)/n_conv)</f>
        <v>0.0479303589424807</v>
      </c>
      <c r="G4880" s="7" t="n">
        <f aca="false">Sens!$E$4880+(glt_lic-Sens!$E$4880)*MIN(1,(Sens!G4832-base_fy)/n_conv)</f>
        <v>0.0423442871539845</v>
      </c>
      <c r="H4880" s="7" t="n">
        <f aca="false">Sens!$E$4880+(glt_lic-Sens!$E$4880)*MIN(1,(Sens!H4832-base_fy)/n_conv)</f>
        <v>0.0367582153654884</v>
      </c>
      <c r="I4880" s="7" t="n">
        <f aca="false">Sens!$E$4880+(glt_lic-Sens!$E$4880)*MIN(1,(Sens!I4832-base_fy)/n_conv)</f>
        <v>0.0311721435769923</v>
      </c>
      <c r="J4880" s="7" t="n">
        <f aca="false">Sens!$E$4880+(glt_lic-Sens!$E$4880)*MIN(1,(Sens!J4832-base_fy)/n_conv)</f>
        <v>0.0255860717884961</v>
      </c>
      <c r="K4880" s="7" t="n">
        <f aca="false">Sens!$E$4880+(glt_lic-Sens!$E$4880)*MIN(1,(Sens!K4832-base_fy)/n_conv)</f>
        <v>0.02</v>
      </c>
    </row>
    <row r="4881" customFormat="false" ht="15" hidden="false" customHeight="false" outlineLevel="0" collapsed="false">
      <c r="A4881" s="0" t="s">
        <v>875</v>
      </c>
      <c r="B4881" s="0" t="s">
        <v>98</v>
      </c>
      <c r="D4881" s="6" t="n">
        <f aca="false">Q!L9</f>
        <v>18.417</v>
      </c>
      <c r="E4881" s="6" t="n">
        <f aca="false">Q!M9</f>
        <v>20.345</v>
      </c>
      <c r="F4881" s="6" t="n">
        <f aca="false">Sens!E4881*(1+Sens!F4882)</f>
        <v>22.3572203267814</v>
      </c>
      <c r="G4881" s="6" t="n">
        <f aca="false">Sens!F4881*(1+Sens!G4882)</f>
        <v>24.4392124437232</v>
      </c>
      <c r="H4881" s="6" t="n">
        <f aca="false">Sens!G4881*(1+Sens!H4882)</f>
        <v>26.5738052080665</v>
      </c>
      <c r="I4881" s="6" t="n">
        <f aca="false">Sens!H4881*(1+Sens!I4882)</f>
        <v>28.7412169166967</v>
      </c>
      <c r="J4881" s="6" t="n">
        <f aca="false">Sens!I4881*(1+Sens!J4882)</f>
        <v>30.9192545395413</v>
      </c>
      <c r="K4881" s="6" t="n">
        <f aca="false">Sens!J4881*(1+Sens!K4882)</f>
        <v>33.0836023573092</v>
      </c>
    </row>
    <row r="4882" customFormat="false" ht="15" hidden="false" customHeight="false" outlineLevel="0" collapsed="false">
      <c r="A4882" s="1" t="s">
        <v>866</v>
      </c>
      <c r="B4882" s="0" t="s">
        <v>129</v>
      </c>
      <c r="E4882" s="7" t="n">
        <f aca="false">Sens!E4881/Sens!D4881-1</f>
        <v>0.104685888038225</v>
      </c>
      <c r="F4882" s="7" t="n">
        <f aca="false">Sens!$E$4882+(glt_ind-Sens!$E$4882)*MIN(1,(Sens!F4832-base_fy)/n_conv)</f>
        <v>0.0989049066985211</v>
      </c>
      <c r="G4882" s="7" t="n">
        <f aca="false">Sens!$E$4882+(glt_ind-Sens!$E$4882)*MIN(1,(Sens!G4832-base_fy)/n_conv)</f>
        <v>0.0931239253588169</v>
      </c>
      <c r="H4882" s="7" t="n">
        <f aca="false">Sens!$E$4882+(glt_ind-Sens!$E$4882)*MIN(1,(Sens!H4832-base_fy)/n_conv)</f>
        <v>0.0873429440191127</v>
      </c>
      <c r="I4882" s="7" t="n">
        <f aca="false">Sens!$E$4882+(glt_ind-Sens!$E$4882)*MIN(1,(Sens!I4832-base_fy)/n_conv)</f>
        <v>0.0815619626794085</v>
      </c>
      <c r="J4882" s="7" t="n">
        <f aca="false">Sens!$E$4882+(glt_ind-Sens!$E$4882)*MIN(1,(Sens!J4832-base_fy)/n_conv)</f>
        <v>0.0757809813397042</v>
      </c>
      <c r="K4882" s="7" t="n">
        <f aca="false">Sens!$E$4882+(glt_ind-Sens!$E$4882)*MIN(1,(Sens!K4832-base_fy)/n_conv)</f>
        <v>0.07</v>
      </c>
    </row>
    <row r="4883" customFormat="false" ht="15" hidden="false" customHeight="false" outlineLevel="0" collapsed="false">
      <c r="A4883" s="0" t="s">
        <v>876</v>
      </c>
      <c r="B4883" s="0" t="s">
        <v>98</v>
      </c>
      <c r="D4883" s="6" t="n">
        <f aca="false">Q!L10</f>
        <v>7.76</v>
      </c>
      <c r="E4883" s="6" t="n">
        <f aca="false">Q!M10</f>
        <v>8.26</v>
      </c>
      <c r="F4883" s="6" t="n">
        <f aca="false">Sens!E4883*(1+Sens!F4884)</f>
        <v>8.79988041237113</v>
      </c>
      <c r="G4883" s="6" t="n">
        <f aca="false">Sens!F4883*(1+Sens!G4884)</f>
        <v>9.38321269125306</v>
      </c>
      <c r="H4883" s="6" t="n">
        <f aca="false">Sens!G4883*(1+Sens!H4884)</f>
        <v>10.0139193587476</v>
      </c>
      <c r="I4883" s="6" t="n">
        <f aca="false">Sens!H4883*(1+Sens!I4884)</f>
        <v>10.6963111830911</v>
      </c>
      <c r="J4883" s="6" t="n">
        <f aca="false">Sens!I4883*(1+Sens!J4884)</f>
        <v>11.4351285534696</v>
      </c>
      <c r="K4883" s="6" t="n">
        <f aca="false">Sens!J4883*(1+Sens!K4884)</f>
        <v>12.2355875522124</v>
      </c>
    </row>
    <row r="4884" customFormat="false" ht="15" hidden="false" customHeight="false" outlineLevel="0" collapsed="false">
      <c r="A4884" s="1" t="s">
        <v>866</v>
      </c>
      <c r="B4884" s="0" t="s">
        <v>129</v>
      </c>
      <c r="E4884" s="7" t="n">
        <f aca="false">Sens!E4883/Sens!D4883-1</f>
        <v>0.0644329896907216</v>
      </c>
      <c r="F4884" s="7" t="n">
        <f aca="false">Sens!$E$4884+(glt_fro-Sens!$E$4884)*MIN(1,(Sens!F4832-base_fy)/n_conv)</f>
        <v>0.065360824742268</v>
      </c>
      <c r="G4884" s="7" t="n">
        <f aca="false">Sens!$E$4884+(glt_fro-Sens!$E$4884)*MIN(1,(Sens!G4832-base_fy)/n_conv)</f>
        <v>0.0662886597938144</v>
      </c>
      <c r="H4884" s="7" t="n">
        <f aca="false">Sens!$E$4884+(glt_fro-Sens!$E$4884)*MIN(1,(Sens!H4832-base_fy)/n_conv)</f>
        <v>0.0672164948453608</v>
      </c>
      <c r="I4884" s="7" t="n">
        <f aca="false">Sens!$E$4884+(glt_fro-Sens!$E$4884)*MIN(1,(Sens!I4832-base_fy)/n_conv)</f>
        <v>0.0681443298969072</v>
      </c>
      <c r="J4884" s="7" t="n">
        <f aca="false">Sens!$E$4884+(glt_fro-Sens!$E$4884)*MIN(1,(Sens!J4832-base_fy)/n_conv)</f>
        <v>0.0690721649484536</v>
      </c>
      <c r="K4884" s="7" t="n">
        <f aca="false">Sens!$E$4884+(glt_fro-Sens!$E$4884)*MIN(1,(Sens!K4832-base_fy)/n_conv)</f>
        <v>0.07</v>
      </c>
    </row>
    <row r="4885" customFormat="false" ht="15" hidden="false" customHeight="false" outlineLevel="0" collapsed="false">
      <c r="A4885" s="0" t="s">
        <v>704</v>
      </c>
      <c r="B4885" s="0" t="s">
        <v>98</v>
      </c>
      <c r="D4885" s="6" t="n">
        <f aca="false">Sens!D4873+Sens!D4878+Sens!D4879+Sens!D4881+Sens!D4883</f>
        <v>218.783</v>
      </c>
      <c r="E4885" s="6" t="n">
        <f aca="false">Sens!E4873+Sens!E4878+Sens!E4879+Sens!E4881+Sens!E4883</f>
        <v>268.127</v>
      </c>
      <c r="F4885" s="6" t="n">
        <f aca="false">Sens!F4873+Sens!F4878+Sens!F4879+Sens!F4881+Sens!F4883</f>
        <v>334.265528251508</v>
      </c>
      <c r="G4885" s="6" t="n">
        <f aca="false">Sens!G4873+Sens!G4878+Sens!G4879+Sens!G4881+Sens!G4883</f>
        <v>408.072123059793</v>
      </c>
      <c r="H4885" s="6" t="n">
        <f aca="false">Sens!H4873+Sens!H4878+Sens!H4879+Sens!H4881+Sens!H4883</f>
        <v>483.196296004025</v>
      </c>
      <c r="I4885" s="6" t="n">
        <f aca="false">Sens!I4873+Sens!I4878+Sens!I4879+Sens!I4881+Sens!I4883</f>
        <v>550.640031261038</v>
      </c>
      <c r="J4885" s="6" t="n">
        <f aca="false">Sens!J4873+Sens!J4878+Sens!J4879+Sens!J4881+Sens!J4883</f>
        <v>605.479818233107</v>
      </c>
      <c r="K4885" s="6" t="n">
        <f aca="false">Sens!K4873+Sens!K4878+Sens!K4879+Sens!K4881+Sens!K4883</f>
        <v>647.208650135005</v>
      </c>
    </row>
    <row r="4886" customFormat="false" ht="15" hidden="false" customHeight="false" outlineLevel="0" collapsed="false">
      <c r="A4886" s="0" t="s">
        <v>877</v>
      </c>
      <c r="B4886" s="0" t="s">
        <v>98</v>
      </c>
      <c r="D4886" s="6" t="n">
        <f aca="false">Q!L13</f>
        <v>22.171</v>
      </c>
      <c r="E4886" s="6" t="n">
        <f aca="false">Q!M13</f>
        <v>24.835</v>
      </c>
      <c r="F4886" s="6" t="n">
        <f aca="false">Sens!E4886*(1+Sens!F4887)</f>
        <v>27.6114901218559</v>
      </c>
      <c r="G4886" s="6" t="n">
        <f aca="false">Sens!F4886*(1+Sens!G4887)</f>
        <v>30.4675667338515</v>
      </c>
      <c r="H4886" s="6" t="n">
        <f aca="false">Sens!G4886*(1+Sens!H4887)</f>
        <v>33.3643766955789</v>
      </c>
      <c r="I4886" s="6" t="n">
        <f aca="false">Sens!H4886*(1+Sens!I4887)</f>
        <v>36.2577016533691</v>
      </c>
      <c r="J4886" s="6" t="n">
        <f aca="false">Sens!I4886*(1+Sens!J4887)</f>
        <v>39.0988367952171</v>
      </c>
      <c r="K4886" s="6" t="n">
        <f aca="false">Sens!J4886*(1+Sens!K4887)</f>
        <v>41.8357553708823</v>
      </c>
    </row>
    <row r="4887" customFormat="false" ht="15" hidden="false" customHeight="false" outlineLevel="0" collapsed="false">
      <c r="A4887" s="1" t="s">
        <v>866</v>
      </c>
      <c r="B4887" s="0" t="s">
        <v>129</v>
      </c>
      <c r="E4887" s="7" t="n">
        <f aca="false">Sens!E4886/Sens!D4886-1</f>
        <v>0.120156961796942</v>
      </c>
      <c r="F4887" s="7" t="n">
        <f aca="false">Sens!$E$4887+(glt_srch-Sens!$E$4887)*MIN(1,(Sens!F4832-base_fy)/n_conv)</f>
        <v>0.111797468164118</v>
      </c>
      <c r="G4887" s="7" t="n">
        <f aca="false">Sens!$E$4887+(glt_srch-Sens!$E$4887)*MIN(1,(Sens!G4832-base_fy)/n_conv)</f>
        <v>0.103437974531295</v>
      </c>
      <c r="H4887" s="7" t="n">
        <f aca="false">Sens!$E$4887+(glt_srch-Sens!$E$4887)*MIN(1,(Sens!H4832-base_fy)/n_conv)</f>
        <v>0.095078480898471</v>
      </c>
      <c r="I4887" s="7" t="n">
        <f aca="false">Sens!$E$4887+(glt_srch-Sens!$E$4887)*MIN(1,(Sens!I4832-base_fy)/n_conv)</f>
        <v>0.0867189872656474</v>
      </c>
      <c r="J4887" s="7" t="n">
        <f aca="false">Sens!$E$4887+(glt_srch-Sens!$E$4887)*MIN(1,(Sens!J4832-base_fy)/n_conv)</f>
        <v>0.0783594936328237</v>
      </c>
      <c r="K4887" s="7" t="n">
        <f aca="false">Sens!$E$4887+(glt_srch-Sens!$E$4887)*MIN(1,(Sens!K4832-base_fy)/n_conv)</f>
        <v>0.07</v>
      </c>
    </row>
    <row r="4888" customFormat="false" ht="15" hidden="false" customHeight="false" outlineLevel="0" collapsed="false">
      <c r="A4888" s="0" t="s">
        <v>878</v>
      </c>
      <c r="B4888" s="0" t="s">
        <v>98</v>
      </c>
      <c r="D4888" s="6" t="n">
        <f aca="false">Q!L14</f>
        <v>23.455</v>
      </c>
      <c r="E4888" s="6" t="n">
        <f aca="false">Q!M14</f>
        <v>21.79</v>
      </c>
      <c r="F4888" s="6" t="n">
        <f aca="false">Sens!E4888*(1+Sens!F4889)</f>
        <v>20.5736277908051</v>
      </c>
      <c r="G4888" s="6" t="n">
        <f aca="false">Sens!F4888*(1+Sens!G4889)</f>
        <v>19.7371452817919</v>
      </c>
      <c r="H4888" s="6" t="n">
        <f aca="false">Sens!G4888*(1+Sens!H4889)</f>
        <v>19.2339764043138</v>
      </c>
      <c r="I4888" s="6" t="n">
        <f aca="false">Sens!H4888*(1+Sens!I4889)</f>
        <v>19.0353086852681</v>
      </c>
      <c r="J4888" s="6" t="n">
        <f aca="false">Sens!I4888*(1+Sens!J4889)</f>
        <v>19.1273539319129</v>
      </c>
      <c r="K4888" s="6" t="n">
        <f aca="false">Sens!J4888*(1+Sens!K4889)</f>
        <v>19.5099010105511</v>
      </c>
    </row>
    <row r="4889" customFormat="false" ht="15" hidden="false" customHeight="false" outlineLevel="0" collapsed="false">
      <c r="A4889" s="1" t="s">
        <v>866</v>
      </c>
      <c r="B4889" s="0" t="s">
        <v>129</v>
      </c>
      <c r="E4889" s="7" t="n">
        <f aca="false">Sens!E4888/Sens!D4888-1</f>
        <v>-0.0709869963760392</v>
      </c>
      <c r="F4889" s="7" t="n">
        <f aca="false">Sens!$E$4889+(glt_xbox-Sens!$E$4889)*MIN(1,(Sens!F4832-base_fy)/n_conv)</f>
        <v>-0.0558224969800327</v>
      </c>
      <c r="G4889" s="7" t="n">
        <f aca="false">Sens!$E$4889+(glt_xbox-Sens!$E$4889)*MIN(1,(Sens!G4832-base_fy)/n_conv)</f>
        <v>-0.0406579975840262</v>
      </c>
      <c r="H4889" s="7" t="n">
        <f aca="false">Sens!$E$4889+(glt_xbox-Sens!$E$4889)*MIN(1,(Sens!H4832-base_fy)/n_conv)</f>
        <v>-0.0254934981880196</v>
      </c>
      <c r="I4889" s="7" t="n">
        <f aca="false">Sens!$E$4889+(glt_xbox-Sens!$E$4889)*MIN(1,(Sens!I4832-base_fy)/n_conv)</f>
        <v>-0.0103289987920131</v>
      </c>
      <c r="J4889" s="7" t="n">
        <f aca="false">Sens!$E$4889+(glt_xbox-Sens!$E$4889)*MIN(1,(Sens!J4832-base_fy)/n_conv)</f>
        <v>0.00483550060399347</v>
      </c>
      <c r="K4889" s="7" t="n">
        <f aca="false">Sens!$E$4889+(glt_xbox-Sens!$E$4889)*MIN(1,(Sens!K4832-base_fy)/n_conv)</f>
        <v>0.02</v>
      </c>
    </row>
    <row r="4890" customFormat="false" ht="15" hidden="false" customHeight="false" outlineLevel="0" collapsed="false">
      <c r="A4890" s="0" t="s">
        <v>879</v>
      </c>
      <c r="B4890" s="0" t="s">
        <v>98</v>
      </c>
      <c r="D4890" s="6" t="n">
        <f aca="false">Q!L15</f>
        <v>17.315</v>
      </c>
      <c r="E4890" s="6" t="n">
        <f aca="false">Q!M15</f>
        <v>17.087</v>
      </c>
      <c r="F4890" s="6" t="n">
        <f aca="false">Sens!E4890*(1+Sens!F4891)</f>
        <v>16.9564585436519</v>
      </c>
      <c r="G4890" s="6" t="n">
        <f aca="false">Sens!F4890*(1+Sens!G4891)</f>
        <v>16.9206490624268</v>
      </c>
      <c r="H4890" s="6" t="n">
        <f aca="false">Sens!G4890*(1+Sens!H4891)</f>
        <v>16.9784519149849</v>
      </c>
      <c r="I4890" s="6" t="n">
        <f aca="false">Sens!H4890*(1+Sens!I4891)</f>
        <v>17.1303084701817</v>
      </c>
      <c r="J4890" s="6" t="n">
        <f aca="false">Sens!I4890*(1+Sens!J4891)</f>
        <v>17.3782189407267</v>
      </c>
      <c r="K4890" s="6" t="n">
        <f aca="false">Sens!J4890*(1+Sens!K4891)</f>
        <v>17.7257833195413</v>
      </c>
    </row>
    <row r="4891" customFormat="false" ht="15" hidden="false" customHeight="false" outlineLevel="0" collapsed="false">
      <c r="A4891" s="1" t="s">
        <v>866</v>
      </c>
      <c r="B4891" s="0" t="s">
        <v>129</v>
      </c>
      <c r="E4891" s="7" t="n">
        <f aca="false">Sens!E4890/Sens!D4890-1</f>
        <v>-0.0131677736066995</v>
      </c>
      <c r="F4891" s="7" t="n">
        <f aca="false">Sens!$E$4891+(glt_win-Sens!$E$4891)*MIN(1,(Sens!F4832-base_fy)/n_conv)</f>
        <v>-0.00763981133891627</v>
      </c>
      <c r="G4891" s="7" t="n">
        <f aca="false">Sens!$E$4891+(glt_win-Sens!$E$4891)*MIN(1,(Sens!G4832-base_fy)/n_conv)</f>
        <v>-0.00211184907113301</v>
      </c>
      <c r="H4891" s="7" t="n">
        <f aca="false">Sens!$E$4891+(glt_win-Sens!$E$4891)*MIN(1,(Sens!H4832-base_fy)/n_conv)</f>
        <v>0.00341611319665024</v>
      </c>
      <c r="I4891" s="7" t="n">
        <f aca="false">Sens!$E$4891+(glt_win-Sens!$E$4891)*MIN(1,(Sens!I4832-base_fy)/n_conv)</f>
        <v>0.00894407546443349</v>
      </c>
      <c r="J4891" s="7" t="n">
        <f aca="false">Sens!$E$4891+(glt_win-Sens!$E$4891)*MIN(1,(Sens!J4832-base_fy)/n_conv)</f>
        <v>0.0144720377322168</v>
      </c>
      <c r="K4891" s="7" t="n">
        <f aca="false">Sens!$E$4891+(glt_win-Sens!$E$4891)*MIN(1,(Sens!K4832-base_fy)/n_conv)</f>
        <v>0.02</v>
      </c>
    </row>
    <row r="4892" customFormat="false" ht="15" hidden="false" customHeight="false" outlineLevel="0" collapsed="false">
      <c r="A4892" s="0" t="s">
        <v>718</v>
      </c>
      <c r="B4892" s="0" t="s">
        <v>98</v>
      </c>
      <c r="D4892" s="6" t="n">
        <f aca="false">Sens!D4886+Sens!D4888+Sens!D4890</f>
        <v>62.941</v>
      </c>
      <c r="E4892" s="6" t="n">
        <f aca="false">Sens!E4886+Sens!E4888+Sens!E4890</f>
        <v>63.712</v>
      </c>
      <c r="F4892" s="6" t="n">
        <f aca="false">Sens!F4886+Sens!F4888+Sens!F4890</f>
        <v>65.1415764563129</v>
      </c>
      <c r="G4892" s="6" t="n">
        <f aca="false">Sens!G4886+Sens!G4888+Sens!G4890</f>
        <v>67.1253610780702</v>
      </c>
      <c r="H4892" s="6" t="n">
        <f aca="false">Sens!H4886+Sens!H4888+Sens!H4890</f>
        <v>69.5768050148776</v>
      </c>
      <c r="I4892" s="6" t="n">
        <f aca="false">Sens!I4886+Sens!I4888+Sens!I4890</f>
        <v>72.4233188088189</v>
      </c>
      <c r="J4892" s="6" t="n">
        <f aca="false">Sens!J4886+Sens!J4888+Sens!J4890</f>
        <v>75.6044096678567</v>
      </c>
      <c r="K4892" s="6" t="n">
        <f aca="false">Sens!K4886+Sens!K4888+Sens!K4890</f>
        <v>79.0714397009747</v>
      </c>
    </row>
    <row r="4893" customFormat="false" ht="15" hidden="false" customHeight="false" outlineLevel="0" collapsed="false">
      <c r="A4893" s="1" t="s">
        <v>880</v>
      </c>
      <c r="B4893" s="0" t="s">
        <v>98</v>
      </c>
      <c r="D4893" s="6" t="n">
        <f aca="false">Sens!D4885+Sens!D4892</f>
        <v>281.724</v>
      </c>
      <c r="E4893" s="6" t="n">
        <f aca="false">Sens!E4885+Sens!E4892</f>
        <v>331.839</v>
      </c>
      <c r="F4893" s="6" t="n">
        <f aca="false">Sens!F4885+Sens!F4892</f>
        <v>399.407104707821</v>
      </c>
      <c r="G4893" s="6" t="n">
        <f aca="false">Sens!G4885+Sens!G4892</f>
        <v>475.197484137863</v>
      </c>
      <c r="H4893" s="6" t="n">
        <f aca="false">Sens!H4885+Sens!H4892</f>
        <v>552.773101018903</v>
      </c>
      <c r="I4893" s="6" t="n">
        <f aca="false">Sens!I4885+Sens!I4892</f>
        <v>623.063350069856</v>
      </c>
      <c r="J4893" s="6" t="n">
        <f aca="false">Sens!J4885+Sens!J4892</f>
        <v>681.084227900964</v>
      </c>
      <c r="K4893" s="6" t="n">
        <f aca="false">Sens!K4885+Sens!K4892</f>
        <v>726.28008983598</v>
      </c>
    </row>
    <row r="4894" customFormat="false" ht="15" hidden="false" customHeight="false" outlineLevel="0" collapsed="false">
      <c r="A4894" s="23" t="s">
        <v>881</v>
      </c>
      <c r="B4894" s="30" t="s">
        <v>98</v>
      </c>
      <c r="C4894" s="30"/>
      <c r="D4894" s="24" t="n">
        <f aca="false">(Sens!D4873+Sens!D4878+Sens!D4879+Sens!D4881+Sens!D4883-Sens!D4885)+(Sens!D4886+Sens!D4888+Sens!D4890-Sens!D4892)+(Sens!D4885-Q!L5)+(Sens!D4892-Q!L12)+(Sens!D4873-Q!L6)+(Sens!D4878-Q!L7)</f>
        <v>0</v>
      </c>
      <c r="E4894" s="24" t="n">
        <f aca="false">(Sens!E4873+Sens!E4878+Sens!E4879+Sens!E4881+Sens!E4883-Sens!E4885)+(Sens!E4886+Sens!E4888+Sens!E4890-Sens!E4892)+(Sens!E4885-Q!M5)+(Sens!E4892-Q!M12)+(Sens!E4873-Q!M6)+(Sens!E4878-Q!M7)</f>
        <v>0</v>
      </c>
      <c r="F4894" s="24" t="n">
        <f aca="false">(Sens!F4873+Sens!F4878+Sens!F4879+Sens!F4881+Sens!F4883-Sens!F4885)+(Sens!F4886+Sens!F4888+Sens!F4890-Sens!F4892)</f>
        <v>0</v>
      </c>
      <c r="G4894" s="24" t="n">
        <f aca="false">(Sens!G4873+Sens!G4878+Sens!G4879+Sens!G4881+Sens!G4883-Sens!G4885)+(Sens!G4886+Sens!G4888+Sens!G4890-Sens!G4892)</f>
        <v>0</v>
      </c>
      <c r="H4894" s="24" t="n">
        <f aca="false">(Sens!H4873+Sens!H4878+Sens!H4879+Sens!H4881+Sens!H4883-Sens!H4885)+(Sens!H4886+Sens!H4888+Sens!H4890-Sens!H4892)</f>
        <v>0</v>
      </c>
      <c r="I4894" s="24" t="n">
        <f aca="false">(Sens!I4873+Sens!I4878+Sens!I4879+Sens!I4881+Sens!I4883-Sens!I4885)+(Sens!I4886+Sens!I4888+Sens!I4890-Sens!I4892)</f>
        <v>0</v>
      </c>
      <c r="J4894" s="24" t="n">
        <f aca="false">(Sens!J4873+Sens!J4878+Sens!J4879+Sens!J4881+Sens!J4883-Sens!J4885)+(Sens!J4886+Sens!J4888+Sens!J4890-Sens!J4892)</f>
        <v>0</v>
      </c>
      <c r="K4894" s="24" t="n">
        <f aca="false">(Sens!K4873+Sens!K4878+Sens!K4879+Sens!K4881+Sens!K4883-Sens!K4885)+(Sens!K4886+Sens!K4888+Sens!K4890-Sens!K4892)</f>
        <v>0</v>
      </c>
    </row>
    <row r="4895" customFormat="false" ht="17.15" hidden="false" customHeight="false" outlineLevel="0" collapsed="false">
      <c r="A4895" s="3" t="s">
        <v>1361</v>
      </c>
    </row>
    <row r="4896" customFormat="false" ht="15" hidden="false" customHeight="false" outlineLevel="0" collapsed="false">
      <c r="A4896" s="4" t="s">
        <v>43</v>
      </c>
      <c r="B4896" s="4" t="s">
        <v>65</v>
      </c>
      <c r="C4896" s="20" t="s">
        <v>788</v>
      </c>
      <c r="D4896" s="20" t="s">
        <v>789</v>
      </c>
      <c r="E4896" s="20" t="s">
        <v>790</v>
      </c>
      <c r="F4896" s="20" t="s">
        <v>791</v>
      </c>
      <c r="G4896" s="20" t="s">
        <v>792</v>
      </c>
      <c r="H4896" s="20" t="s">
        <v>793</v>
      </c>
      <c r="I4896" s="20" t="s">
        <v>794</v>
      </c>
      <c r="J4896" s="20" t="s">
        <v>795</v>
      </c>
      <c r="K4896" s="20" t="s">
        <v>796</v>
      </c>
      <c r="L4896" s="4" t="s">
        <v>47</v>
      </c>
    </row>
    <row r="4897" customFormat="false" ht="15" hidden="false" customHeight="false" outlineLevel="0" collapsed="false">
      <c r="A4897" s="0" t="s">
        <v>867</v>
      </c>
      <c r="B4897" s="0" t="s">
        <v>98</v>
      </c>
      <c r="D4897" s="6" t="n">
        <f aca="false">Sens!D4873</f>
        <v>72.61</v>
      </c>
      <c r="E4897" s="6" t="n">
        <f aca="false">Sens!E4873</f>
        <v>101.938</v>
      </c>
      <c r="F4897" s="6" t="n">
        <f aca="false">Sens!F4873</f>
        <v>145.143956312325</v>
      </c>
      <c r="G4897" s="6" t="n">
        <f aca="false">Sens!G4873</f>
        <v>196.478966522364</v>
      </c>
      <c r="H4897" s="6" t="n">
        <f aca="false">Sens!H4873</f>
        <v>249.10761332251</v>
      </c>
      <c r="I4897" s="6" t="n">
        <f aca="false">Sens!I4873</f>
        <v>295.828676281552</v>
      </c>
      <c r="J4897" s="6" t="n">
        <f aca="false">Sens!J4873</f>
        <v>332.038921128938</v>
      </c>
      <c r="K4897" s="6" t="n">
        <f aca="false">Sens!K4873</f>
        <v>356.064580794828</v>
      </c>
    </row>
    <row r="4898" customFormat="false" ht="17.15" hidden="false" customHeight="false" outlineLevel="0" collapsed="false">
      <c r="A4898" s="0" t="s">
        <v>864</v>
      </c>
      <c r="B4898" s="0" t="s">
        <v>98</v>
      </c>
      <c r="D4898" s="6" t="n">
        <f aca="false">Sens!D4870</f>
        <v>12.9359794422418</v>
      </c>
      <c r="E4898" s="6" t="n">
        <f aca="false">Sens!E4870</f>
        <v>27.8095064661409</v>
      </c>
      <c r="F4898" s="6" t="n">
        <f aca="false">Sens!F4870</f>
        <v>55.0640065749585</v>
      </c>
      <c r="G4898" s="6" t="n">
        <f aca="false">Sens!G4870</f>
        <v>89.4505413190538</v>
      </c>
      <c r="H4898" s="6" t="n">
        <f aca="false">Sens!H4870</f>
        <v>124.835630736874</v>
      </c>
      <c r="I4898" s="6" t="n">
        <f aca="false">Sens!I4870</f>
        <v>154.894973899697</v>
      </c>
      <c r="J4898" s="6" t="n">
        <f aca="false">Sens!J4870</f>
        <v>176.020053814607</v>
      </c>
      <c r="K4898" s="6" t="n">
        <f aca="false">Sens!K4870</f>
        <v>187.56420409535</v>
      </c>
    </row>
    <row r="4899" customFormat="false" ht="17.15" hidden="false" customHeight="false" outlineLevel="0" collapsed="false">
      <c r="A4899" s="0" t="s">
        <v>892</v>
      </c>
      <c r="B4899" s="0" t="s">
        <v>98</v>
      </c>
      <c r="D4899" s="6" t="n">
        <f aca="false">Sens!D4871</f>
        <v>59.6740205577583</v>
      </c>
      <c r="E4899" s="6" t="n">
        <f aca="false">Sens!E4871</f>
        <v>74.1284935338591</v>
      </c>
      <c r="F4899" s="6" t="n">
        <f aca="false">Sens!F4871</f>
        <v>90.0799497373663</v>
      </c>
      <c r="G4899" s="6" t="n">
        <f aca="false">Sens!G4871</f>
        <v>107.02842520331</v>
      </c>
      <c r="H4899" s="6" t="n">
        <f aca="false">Sens!H4871</f>
        <v>124.271982585636</v>
      </c>
      <c r="I4899" s="6" t="n">
        <f aca="false">Sens!I4871</f>
        <v>140.933702381855</v>
      </c>
      <c r="J4899" s="6" t="n">
        <f aca="false">Sens!J4871</f>
        <v>156.018867314332</v>
      </c>
      <c r="K4899" s="6" t="n">
        <f aca="false">Sens!K4871</f>
        <v>168.500376699478</v>
      </c>
    </row>
    <row r="4900" customFormat="false" ht="15" hidden="false" customHeight="false" outlineLevel="0" collapsed="false">
      <c r="A4900" s="0" t="s">
        <v>873</v>
      </c>
      <c r="B4900" s="0" t="s">
        <v>98</v>
      </c>
      <c r="D4900" s="6" t="n">
        <f aca="false">Sens!D4878</f>
        <v>84.605</v>
      </c>
      <c r="E4900" s="6" t="n">
        <f aca="false">Sens!E4878</f>
        <v>100.299</v>
      </c>
      <c r="F4900" s="6" t="n">
        <f aca="false">Sens!F4878</f>
        <v>118.89238776686</v>
      </c>
      <c r="G4900" s="6" t="n">
        <f aca="false">Sens!G4878</f>
        <v>137.044168448684</v>
      </c>
      <c r="H4900" s="6" t="n">
        <f aca="false">Sens!H4878</f>
        <v>155.277359388781</v>
      </c>
      <c r="I4900" s="6" t="n">
        <f aca="false">Sens!I4878</f>
        <v>171.834028071957</v>
      </c>
      <c r="J4900" s="6" t="n">
        <f aca="false">Sens!J4878</f>
        <v>186.432702785465</v>
      </c>
      <c r="K4900" s="6" t="n">
        <f aca="false">Sens!K4878</f>
        <v>200.277991980448</v>
      </c>
    </row>
    <row r="4901" customFormat="false" ht="17.15" hidden="false" customHeight="false" outlineLevel="0" collapsed="false">
      <c r="A4901" s="0" t="s">
        <v>893</v>
      </c>
      <c r="B4901" s="0" t="s">
        <v>98</v>
      </c>
      <c r="D4901" s="6" t="n">
        <f aca="false">Sens!D4876</f>
        <v>83.705</v>
      </c>
      <c r="E4901" s="6" t="n">
        <f aca="false">Sens!E4876</f>
        <v>95.049</v>
      </c>
      <c r="F4901" s="6" t="n">
        <f aca="false">Sens!F4876</f>
        <v>106.89238776686</v>
      </c>
      <c r="G4901" s="6" t="n">
        <f aca="false">Sens!G4876</f>
        <v>119.044168448684</v>
      </c>
      <c r="H4901" s="6" t="n">
        <f aca="false">Sens!H4876</f>
        <v>131.277359388781</v>
      </c>
      <c r="I4901" s="6" t="n">
        <f aca="false">Sens!I4876</f>
        <v>143.334028071957</v>
      </c>
      <c r="J4901" s="6" t="n">
        <f aca="false">Sens!J4876</f>
        <v>154.932702785465</v>
      </c>
      <c r="K4901" s="6" t="n">
        <f aca="false">Sens!K4876</f>
        <v>165.777991980448</v>
      </c>
    </row>
    <row r="4902" customFormat="false" ht="17.15" hidden="false" customHeight="false" outlineLevel="0" collapsed="false">
      <c r="A4902" s="0" t="s">
        <v>894</v>
      </c>
      <c r="B4902" s="0" t="s">
        <v>98</v>
      </c>
      <c r="D4902" s="6" t="n">
        <f aca="false">Sens!D4875</f>
        <v>0.9</v>
      </c>
      <c r="E4902" s="6" t="n">
        <f aca="false">Sens!E4875</f>
        <v>5.25</v>
      </c>
      <c r="F4902" s="6" t="n">
        <f aca="false">Sens!F4875</f>
        <v>12</v>
      </c>
      <c r="G4902" s="6" t="n">
        <f aca="false">Sens!G4875</f>
        <v>18</v>
      </c>
      <c r="H4902" s="6" t="n">
        <f aca="false">Sens!H4875</f>
        <v>24</v>
      </c>
      <c r="I4902" s="6" t="n">
        <f aca="false">Sens!I4875</f>
        <v>28.5</v>
      </c>
      <c r="J4902" s="6" t="n">
        <f aca="false">Sens!J4875</f>
        <v>31.5</v>
      </c>
      <c r="K4902" s="6" t="n">
        <f aca="false">Sens!K4875</f>
        <v>34.5</v>
      </c>
    </row>
    <row r="4903" customFormat="false" ht="15" hidden="false" customHeight="false" outlineLevel="0" collapsed="false">
      <c r="A4903" s="0" t="s">
        <v>874</v>
      </c>
      <c r="B4903" s="0" t="s">
        <v>98</v>
      </c>
      <c r="D4903" s="6" t="n">
        <f aca="false">Sens!D4879</f>
        <v>35.391</v>
      </c>
      <c r="E4903" s="6" t="n">
        <f aca="false">Sens!E4879</f>
        <v>37.285</v>
      </c>
      <c r="F4903" s="6" t="n">
        <f aca="false">Sens!F4879</f>
        <v>39.0720834331704</v>
      </c>
      <c r="G4903" s="6" t="n">
        <f aca="false">Sens!G4879</f>
        <v>40.726562953769</v>
      </c>
      <c r="H4903" s="6" t="n">
        <f aca="false">Sens!H4879</f>
        <v>42.2235987259198</v>
      </c>
      <c r="I4903" s="6" t="n">
        <f aca="false">Sens!I4879</f>
        <v>43.5397988077414</v>
      </c>
      <c r="J4903" s="6" t="n">
        <f aca="false">Sens!J4879</f>
        <v>44.653811225693</v>
      </c>
      <c r="K4903" s="6" t="n">
        <f aca="false">Sens!K4879</f>
        <v>45.5468874502068</v>
      </c>
    </row>
    <row r="4904" customFormat="false" ht="15" hidden="false" customHeight="false" outlineLevel="0" collapsed="false">
      <c r="A4904" s="0" t="s">
        <v>875</v>
      </c>
      <c r="B4904" s="0" t="s">
        <v>98</v>
      </c>
      <c r="D4904" s="6" t="n">
        <f aca="false">Sens!D4881</f>
        <v>18.417</v>
      </c>
      <c r="E4904" s="6" t="n">
        <f aca="false">Sens!E4881</f>
        <v>20.345</v>
      </c>
      <c r="F4904" s="6" t="n">
        <f aca="false">Sens!F4881</f>
        <v>22.3572203267814</v>
      </c>
      <c r="G4904" s="6" t="n">
        <f aca="false">Sens!G4881</f>
        <v>24.4392124437232</v>
      </c>
      <c r="H4904" s="6" t="n">
        <f aca="false">Sens!H4881</f>
        <v>26.5738052080665</v>
      </c>
      <c r="I4904" s="6" t="n">
        <f aca="false">Sens!I4881</f>
        <v>28.7412169166967</v>
      </c>
      <c r="J4904" s="6" t="n">
        <f aca="false">Sens!J4881</f>
        <v>30.9192545395413</v>
      </c>
      <c r="K4904" s="6" t="n">
        <f aca="false">Sens!K4881</f>
        <v>33.0836023573092</v>
      </c>
    </row>
    <row r="4905" customFormat="false" ht="15" hidden="false" customHeight="false" outlineLevel="0" collapsed="false">
      <c r="A4905" s="0" t="s">
        <v>876</v>
      </c>
      <c r="B4905" s="0" t="s">
        <v>98</v>
      </c>
      <c r="D4905" s="6" t="n">
        <f aca="false">Sens!D4883</f>
        <v>7.76</v>
      </c>
      <c r="E4905" s="6" t="n">
        <f aca="false">Sens!E4883</f>
        <v>8.26</v>
      </c>
      <c r="F4905" s="6" t="n">
        <f aca="false">Sens!F4883</f>
        <v>8.79988041237113</v>
      </c>
      <c r="G4905" s="6" t="n">
        <f aca="false">Sens!G4883</f>
        <v>9.38321269125306</v>
      </c>
      <c r="H4905" s="6" t="n">
        <f aca="false">Sens!H4883</f>
        <v>10.0139193587476</v>
      </c>
      <c r="I4905" s="6" t="n">
        <f aca="false">Sens!I4883</f>
        <v>10.6963111830911</v>
      </c>
      <c r="J4905" s="6" t="n">
        <f aca="false">Sens!J4883</f>
        <v>11.4351285534696</v>
      </c>
      <c r="K4905" s="6" t="n">
        <f aca="false">Sens!K4883</f>
        <v>12.2355875522124</v>
      </c>
    </row>
    <row r="4906" customFormat="false" ht="15" hidden="false" customHeight="false" outlineLevel="0" collapsed="false">
      <c r="A4906" s="0" t="s">
        <v>704</v>
      </c>
      <c r="B4906" s="0" t="s">
        <v>98</v>
      </c>
      <c r="D4906" s="6" t="n">
        <f aca="false">Sens!D4885</f>
        <v>218.783</v>
      </c>
      <c r="E4906" s="6" t="n">
        <f aca="false">Sens!E4885</f>
        <v>268.127</v>
      </c>
      <c r="F4906" s="6" t="n">
        <f aca="false">Sens!F4885</f>
        <v>334.265528251508</v>
      </c>
      <c r="G4906" s="6" t="n">
        <f aca="false">Sens!G4885</f>
        <v>408.072123059793</v>
      </c>
      <c r="H4906" s="6" t="n">
        <f aca="false">Sens!H4885</f>
        <v>483.196296004025</v>
      </c>
      <c r="I4906" s="6" t="n">
        <f aca="false">Sens!I4885</f>
        <v>550.640031261038</v>
      </c>
      <c r="J4906" s="6" t="n">
        <f aca="false">Sens!J4885</f>
        <v>605.479818233107</v>
      </c>
      <c r="K4906" s="6" t="n">
        <f aca="false">Sens!K4885</f>
        <v>647.208650135005</v>
      </c>
    </row>
    <row r="4907" customFormat="false" ht="15" hidden="false" customHeight="false" outlineLevel="0" collapsed="false">
      <c r="A4907" s="0" t="s">
        <v>877</v>
      </c>
      <c r="B4907" s="0" t="s">
        <v>98</v>
      </c>
      <c r="D4907" s="6" t="n">
        <f aca="false">Sens!D4886</f>
        <v>22.171</v>
      </c>
      <c r="E4907" s="6" t="n">
        <f aca="false">Sens!E4886</f>
        <v>24.835</v>
      </c>
      <c r="F4907" s="6" t="n">
        <f aca="false">Sens!F4886</f>
        <v>27.6114901218559</v>
      </c>
      <c r="G4907" s="6" t="n">
        <f aca="false">Sens!G4886</f>
        <v>30.4675667338515</v>
      </c>
      <c r="H4907" s="6" t="n">
        <f aca="false">Sens!H4886</f>
        <v>33.3643766955789</v>
      </c>
      <c r="I4907" s="6" t="n">
        <f aca="false">Sens!I4886</f>
        <v>36.2577016533691</v>
      </c>
      <c r="J4907" s="6" t="n">
        <f aca="false">Sens!J4886</f>
        <v>39.0988367952171</v>
      </c>
      <c r="K4907" s="6" t="n">
        <f aca="false">Sens!K4886</f>
        <v>41.8357553708823</v>
      </c>
    </row>
    <row r="4908" customFormat="false" ht="15" hidden="false" customHeight="false" outlineLevel="0" collapsed="false">
      <c r="A4908" s="0" t="s">
        <v>878</v>
      </c>
      <c r="B4908" s="0" t="s">
        <v>98</v>
      </c>
      <c r="D4908" s="6" t="n">
        <f aca="false">Sens!D4888</f>
        <v>23.455</v>
      </c>
      <c r="E4908" s="6" t="n">
        <f aca="false">Sens!E4888</f>
        <v>21.79</v>
      </c>
      <c r="F4908" s="6" t="n">
        <f aca="false">Sens!F4888</f>
        <v>20.5736277908051</v>
      </c>
      <c r="G4908" s="6" t="n">
        <f aca="false">Sens!G4888</f>
        <v>19.7371452817919</v>
      </c>
      <c r="H4908" s="6" t="n">
        <f aca="false">Sens!H4888</f>
        <v>19.2339764043138</v>
      </c>
      <c r="I4908" s="6" t="n">
        <f aca="false">Sens!I4888</f>
        <v>19.0353086852681</v>
      </c>
      <c r="J4908" s="6" t="n">
        <f aca="false">Sens!J4888</f>
        <v>19.1273539319129</v>
      </c>
      <c r="K4908" s="6" t="n">
        <f aca="false">Sens!K4888</f>
        <v>19.5099010105511</v>
      </c>
    </row>
    <row r="4909" customFormat="false" ht="15" hidden="false" customHeight="false" outlineLevel="0" collapsed="false">
      <c r="A4909" s="0" t="s">
        <v>879</v>
      </c>
      <c r="B4909" s="0" t="s">
        <v>98</v>
      </c>
      <c r="D4909" s="6" t="n">
        <f aca="false">Sens!D4890</f>
        <v>17.315</v>
      </c>
      <c r="E4909" s="6" t="n">
        <f aca="false">Sens!E4890</f>
        <v>17.087</v>
      </c>
      <c r="F4909" s="6" t="n">
        <f aca="false">Sens!F4890</f>
        <v>16.9564585436519</v>
      </c>
      <c r="G4909" s="6" t="n">
        <f aca="false">Sens!G4890</f>
        <v>16.9206490624268</v>
      </c>
      <c r="H4909" s="6" t="n">
        <f aca="false">Sens!H4890</f>
        <v>16.9784519149849</v>
      </c>
      <c r="I4909" s="6" t="n">
        <f aca="false">Sens!I4890</f>
        <v>17.1303084701817</v>
      </c>
      <c r="J4909" s="6" t="n">
        <f aca="false">Sens!J4890</f>
        <v>17.3782189407267</v>
      </c>
      <c r="K4909" s="6" t="n">
        <f aca="false">Sens!K4890</f>
        <v>17.7257833195413</v>
      </c>
    </row>
    <row r="4910" customFormat="false" ht="15" hidden="false" customHeight="false" outlineLevel="0" collapsed="false">
      <c r="A4910" s="0" t="s">
        <v>718</v>
      </c>
      <c r="B4910" s="0" t="s">
        <v>98</v>
      </c>
      <c r="D4910" s="6" t="n">
        <f aca="false">Sens!D4892</f>
        <v>62.941</v>
      </c>
      <c r="E4910" s="6" t="n">
        <f aca="false">Sens!E4892</f>
        <v>63.712</v>
      </c>
      <c r="F4910" s="6" t="n">
        <f aca="false">Sens!F4892</f>
        <v>65.1415764563129</v>
      </c>
      <c r="G4910" s="6" t="n">
        <f aca="false">Sens!G4892</f>
        <v>67.1253610780702</v>
      </c>
      <c r="H4910" s="6" t="n">
        <f aca="false">Sens!H4892</f>
        <v>69.5768050148776</v>
      </c>
      <c r="I4910" s="6" t="n">
        <f aca="false">Sens!I4892</f>
        <v>72.4233188088189</v>
      </c>
      <c r="J4910" s="6" t="n">
        <f aca="false">Sens!J4892</f>
        <v>75.6044096678567</v>
      </c>
      <c r="K4910" s="6" t="n">
        <f aca="false">Sens!K4892</f>
        <v>79.0714397009747</v>
      </c>
    </row>
    <row r="4911" customFormat="false" ht="15" hidden="false" customHeight="false" outlineLevel="0" collapsed="false">
      <c r="A4911" s="1" t="s">
        <v>895</v>
      </c>
      <c r="B4911" s="0" t="s">
        <v>98</v>
      </c>
      <c r="D4911" s="6" t="n">
        <f aca="false">Sens!D4893</f>
        <v>281.724</v>
      </c>
      <c r="E4911" s="6" t="n">
        <f aca="false">Sens!E4893</f>
        <v>331.839</v>
      </c>
      <c r="F4911" s="6" t="n">
        <f aca="false">Sens!F4893</f>
        <v>399.407104707821</v>
      </c>
      <c r="G4911" s="6" t="n">
        <f aca="false">Sens!G4893</f>
        <v>475.197484137863</v>
      </c>
      <c r="H4911" s="6" t="n">
        <f aca="false">Sens!H4893</f>
        <v>552.773101018903</v>
      </c>
      <c r="I4911" s="6" t="n">
        <f aca="false">Sens!I4893</f>
        <v>623.063350069856</v>
      </c>
      <c r="J4911" s="6" t="n">
        <f aca="false">Sens!J4893</f>
        <v>681.084227900964</v>
      </c>
      <c r="K4911" s="6" t="n">
        <f aca="false">Sens!K4893</f>
        <v>726.28008983598</v>
      </c>
    </row>
    <row r="4912" customFormat="false" ht="15" hidden="false" customHeight="false" outlineLevel="0" collapsed="false">
      <c r="A4912" s="1" t="s">
        <v>896</v>
      </c>
      <c r="B4912" s="0" t="s">
        <v>129</v>
      </c>
      <c r="E4912" s="7" t="n">
        <f aca="false">Sens!E4911/Sens!D4911-1</f>
        <v>0.177886867998467</v>
      </c>
      <c r="F4912" s="7" t="n">
        <f aca="false">Sens!F4911/Sens!E4911-1</f>
        <v>0.203617129715978</v>
      </c>
      <c r="G4912" s="7" t="n">
        <f aca="false">Sens!G4911/Sens!F4911-1</f>
        <v>0.189757213972159</v>
      </c>
      <c r="H4912" s="7" t="n">
        <f aca="false">Sens!H4911/Sens!G4911-1</f>
        <v>0.163249216316418</v>
      </c>
      <c r="I4912" s="7" t="n">
        <f aca="false">Sens!I4911/Sens!H4911-1</f>
        <v>0.127159315316521</v>
      </c>
      <c r="J4912" s="7" t="n">
        <f aca="false">Sens!J4911/Sens!I4911-1</f>
        <v>0.0931219559369081</v>
      </c>
      <c r="K4912" s="7" t="n">
        <f aca="false">Sens!K4911/Sens!J4911-1</f>
        <v>0.0663586970356147</v>
      </c>
    </row>
    <row r="4913" customFormat="false" ht="17.15" hidden="false" customHeight="false" outlineLevel="0" collapsed="false">
      <c r="A4913" s="23" t="s">
        <v>897</v>
      </c>
      <c r="B4913" s="30" t="s">
        <v>98</v>
      </c>
      <c r="C4913" s="30"/>
      <c r="D4913" s="24" t="n">
        <f aca="false">(Sens!D4906+Sens!D4910-Sens!D4911)+(Sens!D4898+Sens!D4899-Sens!D4897)+(Sens!D4901+Sens!D4902-Sens!D4900)+(Sens!D4911-Q!L18)</f>
        <v>0</v>
      </c>
      <c r="E4913" s="24" t="n">
        <f aca="false">(Sens!E4906+Sens!E4910-Sens!E4911)+(Sens!E4898+Sens!E4899-Sens!E4897)+(Sens!E4901+Sens!E4902-Sens!E4900)+(Sens!E4911-Q!M18)</f>
        <v>0</v>
      </c>
      <c r="F4913" s="24" t="n">
        <f aca="false">(Sens!F4906+Sens!F4910-Sens!F4911)+(Sens!F4898+Sens!F4899-Sens!F4897)+(Sens!F4901+Sens!F4902-Sens!F4900)</f>
        <v>0</v>
      </c>
      <c r="G4913" s="24" t="n">
        <f aca="false">(Sens!G4906+Sens!G4910-Sens!G4911)+(Sens!G4898+Sens!G4899-Sens!G4897)+(Sens!G4901+Sens!G4902-Sens!G4900)</f>
        <v>0</v>
      </c>
      <c r="H4913" s="24" t="n">
        <f aca="false">(Sens!H4906+Sens!H4910-Sens!H4911)+(Sens!H4898+Sens!H4899-Sens!H4897)+(Sens!H4901+Sens!H4902-Sens!H4900)</f>
        <v>0</v>
      </c>
      <c r="I4913" s="24" t="n">
        <f aca="false">(Sens!I4906+Sens!I4910-Sens!I4911)+(Sens!I4898+Sens!I4899-Sens!I4897)+(Sens!I4901+Sens!I4902-Sens!I4900)</f>
        <v>0</v>
      </c>
      <c r="J4913" s="24" t="n">
        <f aca="false">(Sens!J4906+Sens!J4910-Sens!J4911)+(Sens!J4898+Sens!J4899-Sens!J4897)+(Sens!J4901+Sens!J4902-Sens!J4900)</f>
        <v>0</v>
      </c>
      <c r="K4913" s="24" t="n">
        <f aca="false">(Sens!K4906+Sens!K4910-Sens!K4911)+(Sens!K4898+Sens!K4899-Sens!K4897)+(Sens!K4901+Sens!K4902-Sens!K4900)</f>
        <v>0</v>
      </c>
    </row>
    <row r="4914" customFormat="false" ht="17.15" hidden="false" customHeight="false" outlineLevel="0" collapsed="false">
      <c r="A4914" s="0" t="s">
        <v>898</v>
      </c>
      <c r="B4914" s="0" t="s">
        <v>129</v>
      </c>
      <c r="E4914" s="7" t="n">
        <f aca="false">(Q!M21+Sens!E4851+Sens!E4852+Sens!E4853+Sens!E4866-Sens!E4849)/(Q!M5-Sens!E4849)</f>
        <v>0.562004564381674</v>
      </c>
      <c r="F4914" s="7" t="n">
        <f aca="false">Sens!$E$4914+dm_seg</f>
        <v>0.562004564381674</v>
      </c>
      <c r="G4914" s="7" t="n">
        <f aca="false">Sens!$E$4914+dm_seg</f>
        <v>0.562004564381674</v>
      </c>
      <c r="H4914" s="7" t="n">
        <f aca="false">Sens!$E$4914+dm_seg</f>
        <v>0.562004564381674</v>
      </c>
      <c r="I4914" s="7" t="n">
        <f aca="false">Sens!$E$4914+dm_seg</f>
        <v>0.562004564381674</v>
      </c>
      <c r="J4914" s="7" t="n">
        <f aca="false">Sens!$E$4914+dm_seg</f>
        <v>0.562004564381674</v>
      </c>
      <c r="K4914" s="7" t="n">
        <f aca="false">Sens!$E$4914+dm_seg</f>
        <v>0.562004564381674</v>
      </c>
      <c r="L4914" s="11" t="s">
        <v>899</v>
      </c>
    </row>
    <row r="4915" customFormat="false" ht="17.15" hidden="false" customHeight="false" outlineLevel="0" collapsed="false">
      <c r="A4915" s="0" t="s">
        <v>732</v>
      </c>
      <c r="B4915" s="0" t="s">
        <v>98</v>
      </c>
      <c r="D4915" s="6" t="n">
        <f aca="false">Q!L21</f>
        <v>110.814</v>
      </c>
      <c r="E4915" s="6" t="n">
        <f aca="false">Q!M21</f>
        <v>136.365</v>
      </c>
      <c r="F4915" s="6" t="n">
        <f aca="false">Sens!F4914*(Sens!F4885-Sens!F4849)+Sens!F4849-(Sens!F4851+Sens!F4852+Sens!F4853)-Sens!F4866</f>
        <v>159.712053643897</v>
      </c>
      <c r="G4915" s="6" t="n">
        <f aca="false">Sens!G4914*(Sens!G4885-Sens!G4849)+Sens!G4849-(Sens!G4851+Sens!G4852+Sens!G4853)-Sens!G4866</f>
        <v>182.403218009297</v>
      </c>
      <c r="H4915" s="6" t="n">
        <f aca="false">Sens!H4914*(Sens!H4885-Sens!H4849)+Sens!H4849-(Sens!H4851+Sens!H4852+Sens!H4853)-Sens!H4866</f>
        <v>205.35135863415</v>
      </c>
      <c r="I4915" s="6" t="n">
        <f aca="false">Sens!I4914*(Sens!I4885-Sens!I4849)+Sens!I4849-(Sens!I4851+Sens!I4852+Sens!I4853)-Sens!I4866</f>
        <v>226.435364140942</v>
      </c>
      <c r="J4915" s="6" t="n">
        <f aca="false">Sens!J4914*(Sens!J4885-Sens!J4849)+Sens!J4849-(Sens!J4851+Sens!J4852+Sens!J4853)-Sens!J4866</f>
        <v>246.016203356347</v>
      </c>
      <c r="K4915" s="6" t="n">
        <f aca="false">Sens!K4914*(Sens!K4885-Sens!K4849)+Sens!K4849-(Sens!K4851+Sens!K4852+Sens!K4853)-Sens!K4866</f>
        <v>263.318207172256</v>
      </c>
      <c r="L4915" s="1" t="s">
        <v>900</v>
      </c>
    </row>
    <row r="4916" customFormat="false" ht="17.15" hidden="false" customHeight="false" outlineLevel="0" collapsed="false">
      <c r="A4916" s="0" t="s">
        <v>901</v>
      </c>
      <c r="B4916" s="0" t="s">
        <v>129</v>
      </c>
      <c r="E4916" s="7" t="n">
        <f aca="false">Q!M22/Q!M12</f>
        <v>0.296207935710698</v>
      </c>
      <c r="F4916" s="7" t="n">
        <f aca="false">Sens!$E$4916+dm_seg</f>
        <v>0.296207935710698</v>
      </c>
      <c r="G4916" s="7" t="n">
        <f aca="false">Sens!$E$4916+dm_seg</f>
        <v>0.296207935710698</v>
      </c>
      <c r="H4916" s="7" t="n">
        <f aca="false">Sens!$E$4916+dm_seg</f>
        <v>0.296207935710698</v>
      </c>
      <c r="I4916" s="7" t="n">
        <f aca="false">Sens!$E$4916+dm_seg</f>
        <v>0.296207935710698</v>
      </c>
      <c r="J4916" s="7" t="n">
        <f aca="false">Sens!$E$4916+dm_seg</f>
        <v>0.296207935710698</v>
      </c>
      <c r="K4916" s="7" t="n">
        <f aca="false">Sens!$E$4916+dm_seg</f>
        <v>0.296207935710698</v>
      </c>
      <c r="L4916" s="11" t="s">
        <v>902</v>
      </c>
    </row>
    <row r="4917" customFormat="false" ht="17.15" hidden="false" customHeight="false" outlineLevel="0" collapsed="false">
      <c r="A4917" s="0" t="s">
        <v>734</v>
      </c>
      <c r="B4917" s="0" t="s">
        <v>98</v>
      </c>
      <c r="D4917" s="6" t="n">
        <f aca="false">Q!L22</f>
        <v>17.714</v>
      </c>
      <c r="E4917" s="6" t="n">
        <f aca="false">Q!M22</f>
        <v>18.872</v>
      </c>
      <c r="F4917" s="6" t="n">
        <f aca="false">Sens!F4892*Sens!F4916</f>
        <v>19.2954518910651</v>
      </c>
      <c r="G4917" s="6" t="n">
        <f aca="false">Sens!G4892*Sens!G4916</f>
        <v>19.8830646387704</v>
      </c>
      <c r="H4917" s="6" t="n">
        <f aca="false">Sens!H4892*Sens!H4916</f>
        <v>20.6092017868026</v>
      </c>
      <c r="I4917" s="6" t="n">
        <f aca="false">Sens!I4892*Sens!I4916</f>
        <v>21.452361761678</v>
      </c>
      <c r="J4917" s="6" t="n">
        <f aca="false">Sens!J4892*Sens!J4916</f>
        <v>22.3946261183418</v>
      </c>
      <c r="K4917" s="6" t="n">
        <f aca="false">Sens!K4892*Sens!K4916</f>
        <v>23.4215879274986</v>
      </c>
    </row>
    <row r="4918" customFormat="false" ht="15" hidden="false" customHeight="false" outlineLevel="0" collapsed="false">
      <c r="A4918" s="1" t="s">
        <v>903</v>
      </c>
      <c r="B4918" s="0" t="s">
        <v>98</v>
      </c>
      <c r="D4918" s="6" t="n">
        <f aca="false">Sens!D4915+Sens!D4917</f>
        <v>128.528</v>
      </c>
      <c r="E4918" s="6" t="n">
        <f aca="false">Sens!E4915+Sens!E4917</f>
        <v>155.237</v>
      </c>
      <c r="F4918" s="6" t="n">
        <f aca="false">Sens!F4915+Sens!F4917</f>
        <v>179.007505534962</v>
      </c>
      <c r="G4918" s="6" t="n">
        <f aca="false">Sens!G4915+Sens!G4917</f>
        <v>202.286282648067</v>
      </c>
      <c r="H4918" s="6" t="n">
        <f aca="false">Sens!H4915+Sens!H4917</f>
        <v>225.960560420953</v>
      </c>
      <c r="I4918" s="6" t="n">
        <f aca="false">Sens!I4915+Sens!I4917</f>
        <v>247.88772590262</v>
      </c>
      <c r="J4918" s="6" t="n">
        <f aca="false">Sens!J4915+Sens!J4917</f>
        <v>268.410829474688</v>
      </c>
      <c r="K4918" s="6" t="n">
        <f aca="false">Sens!K4915+Sens!K4917</f>
        <v>286.739795099754</v>
      </c>
    </row>
    <row r="4919" customFormat="false" ht="15" hidden="false" customHeight="false" outlineLevel="0" collapsed="false">
      <c r="A4919" s="23" t="s">
        <v>904</v>
      </c>
      <c r="B4919" s="30" t="s">
        <v>98</v>
      </c>
      <c r="C4919" s="30"/>
      <c r="D4919" s="24" t="n">
        <f aca="false">Sens!D4918-Q!L23</f>
        <v>0</v>
      </c>
      <c r="E4919" s="24" t="n">
        <f aca="false">Sens!E4918-Q!M23</f>
        <v>0</v>
      </c>
      <c r="F4919" s="30"/>
      <c r="G4919" s="30"/>
      <c r="H4919" s="30"/>
      <c r="I4919" s="30"/>
      <c r="J4919" s="30"/>
      <c r="K4919" s="30"/>
    </row>
    <row r="4920" customFormat="false" ht="15" hidden="false" customHeight="false" outlineLevel="0" collapsed="false">
      <c r="A4920" s="1" t="s">
        <v>905</v>
      </c>
      <c r="B4920" s="0" t="s">
        <v>129</v>
      </c>
      <c r="D4920" s="7" t="n">
        <f aca="false">Sens!D4918/Sens!D4911</f>
        <v>0.456219562408598</v>
      </c>
      <c r="E4920" s="7" t="n">
        <f aca="false">Sens!E4918/Sens!E4911</f>
        <v>0.467808184089272</v>
      </c>
      <c r="F4920" s="7" t="n">
        <f aca="false">Sens!F4918/Sens!F4911</f>
        <v>0.448183077929752</v>
      </c>
      <c r="G4920" s="7" t="n">
        <f aca="false">Sens!G4918/Sens!G4911</f>
        <v>0.425688875468416</v>
      </c>
      <c r="H4920" s="7" t="n">
        <f aca="false">Sens!H4918/Sens!H4911</f>
        <v>0.408776331562534</v>
      </c>
      <c r="I4920" s="7" t="n">
        <f aca="false">Sens!I4918/Sens!I4911</f>
        <v>0.397853165131327</v>
      </c>
      <c r="J4920" s="7" t="n">
        <f aca="false">Sens!J4918/Sens!J4911</f>
        <v>0.394093444656478</v>
      </c>
      <c r="K4920" s="7" t="n">
        <f aca="false">Sens!K4918/Sens!K4911</f>
        <v>0.394806079792867</v>
      </c>
    </row>
    <row r="4921" customFormat="false" ht="17.15" hidden="false" customHeight="false" outlineLevel="0" collapsed="false">
      <c r="A4921" s="1" t="s">
        <v>906</v>
      </c>
      <c r="B4921" s="0" t="s">
        <v>98</v>
      </c>
      <c r="F4921" s="6" t="n">
        <f aca="false">Sens!F4936</f>
        <v>20.0432519040166</v>
      </c>
      <c r="G4921" s="6" t="n">
        <f aca="false">Sens!G4936</f>
        <v>35.2970996008516</v>
      </c>
      <c r="H4921" s="6" t="n">
        <f aca="false">Sens!H4936</f>
        <v>51.9034033906369</v>
      </c>
      <c r="I4921" s="6" t="n">
        <f aca="false">Sens!I4936</f>
        <v>66.4021989016268</v>
      </c>
      <c r="J4921" s="6" t="n">
        <f aca="false">Sens!J4936</f>
        <v>76.6564179011766</v>
      </c>
      <c r="K4921" s="6" t="n">
        <f aca="false">Sens!K4936</f>
        <v>81.4653200343405</v>
      </c>
      <c r="L4921" s="1" t="s">
        <v>907</v>
      </c>
    </row>
    <row r="4922" customFormat="false" ht="17.15" hidden="false" customHeight="false" outlineLevel="0" collapsed="false">
      <c r="A4922" s="1" t="s">
        <v>908</v>
      </c>
      <c r="B4922" s="0" t="s">
        <v>98</v>
      </c>
      <c r="D4922" s="6" t="n">
        <f aca="false">Sens!D4918</f>
        <v>128.528</v>
      </c>
      <c r="E4922" s="6" t="n">
        <f aca="false">Sens!E4918</f>
        <v>155.237</v>
      </c>
      <c r="F4922" s="6" t="n">
        <f aca="false">Sens!F4918+Sens!F4921</f>
        <v>199.050757438978</v>
      </c>
      <c r="G4922" s="6" t="n">
        <f aca="false">Sens!G4918+Sens!G4921</f>
        <v>237.583382248919</v>
      </c>
      <c r="H4922" s="6" t="n">
        <f aca="false">Sens!H4918+Sens!H4921</f>
        <v>277.86396381159</v>
      </c>
      <c r="I4922" s="6" t="n">
        <f aca="false">Sens!I4918+Sens!I4921</f>
        <v>314.289924804247</v>
      </c>
      <c r="J4922" s="6" t="n">
        <f aca="false">Sens!J4918+Sens!J4921</f>
        <v>345.067247375865</v>
      </c>
      <c r="K4922" s="6" t="n">
        <f aca="false">Sens!K4918+Sens!K4921</f>
        <v>368.205115134095</v>
      </c>
    </row>
    <row r="4923" customFormat="false" ht="17.15" hidden="false" customHeight="false" outlineLevel="0" collapsed="false">
      <c r="A4923" s="1" t="s">
        <v>909</v>
      </c>
      <c r="B4923" s="0" t="s">
        <v>98</v>
      </c>
      <c r="E4923" s="6" t="n">
        <f aca="false">Sens!E4866</f>
        <v>14.1538947660714</v>
      </c>
      <c r="F4923" s="6" t="n">
        <f aca="false">Sens!F4866</f>
        <v>30.126986119317</v>
      </c>
      <c r="G4923" s="6" t="n">
        <f aca="false">Sens!G4866</f>
        <v>52.4316886231482</v>
      </c>
      <c r="H4923" s="6" t="n">
        <f aca="false">Sens!H4866</f>
        <v>76.0051854226911</v>
      </c>
      <c r="I4923" s="6" t="n">
        <f aca="false">Sens!I4866</f>
        <v>96.4300652298324</v>
      </c>
      <c r="J4923" s="6" t="n">
        <f aca="false">Sens!J4866</f>
        <v>110.465788187928</v>
      </c>
      <c r="K4923" s="6" t="n">
        <f aca="false">Sens!K4866</f>
        <v>118.39388821662</v>
      </c>
    </row>
    <row r="4924" customFormat="false" ht="17.15" hidden="false" customHeight="false" outlineLevel="0" collapsed="false">
      <c r="A4924" s="1" t="s">
        <v>910</v>
      </c>
      <c r="B4924" s="0" t="s">
        <v>98</v>
      </c>
      <c r="E4924" s="6" t="n">
        <f aca="false">Sens!E4948</f>
        <v>24.3801052339286</v>
      </c>
      <c r="F4924" s="6" t="n">
        <f aca="false">Sens!F4948</f>
        <v>25.500029433492</v>
      </c>
      <c r="G4924" s="6" t="n">
        <f aca="false">Sens!G4948</f>
        <v>27.0653158471817</v>
      </c>
      <c r="H4924" s="6" t="n">
        <f aca="false">Sens!H4948</f>
        <v>29.0399356268725</v>
      </c>
      <c r="I4924" s="6" t="n">
        <f aca="false">Sens!I4948</f>
        <v>31.3557820953496</v>
      </c>
      <c r="J4924" s="6" t="n">
        <f aca="false">Sens!J4948</f>
        <v>33.9282952108521</v>
      </c>
      <c r="K4924" s="6" t="n">
        <f aca="false">Sens!K4948</f>
        <v>36.6723359639662</v>
      </c>
    </row>
    <row r="4925" customFormat="false" ht="17.15" hidden="false" customHeight="false" outlineLevel="0" collapsed="false">
      <c r="A4925" s="1" t="s">
        <v>911</v>
      </c>
      <c r="B4925" s="0" t="s">
        <v>98</v>
      </c>
      <c r="D4925" s="6" t="n">
        <f aca="false">Q!L27</f>
        <v>-4.901</v>
      </c>
      <c r="E4925" s="6" t="n">
        <f aca="false">Q!M27</f>
        <v>10.697</v>
      </c>
      <c r="F4925" s="6" t="n">
        <f aca="false">oie_f</f>
        <v>-0.4</v>
      </c>
      <c r="G4925" s="6" t="n">
        <f aca="false">oie_f</f>
        <v>-0.4</v>
      </c>
      <c r="H4925" s="6" t="n">
        <f aca="false">oie_f</f>
        <v>-0.4</v>
      </c>
      <c r="I4925" s="6" t="n">
        <f aca="false">oie_f</f>
        <v>-0.4</v>
      </c>
      <c r="J4925" s="6" t="n">
        <f aca="false">oie_f</f>
        <v>-0.4</v>
      </c>
      <c r="K4925" s="6" t="n">
        <f aca="false">oie_f</f>
        <v>-0.4</v>
      </c>
      <c r="L4925" s="11" t="s">
        <v>912</v>
      </c>
    </row>
    <row r="4926" customFormat="false" ht="15" hidden="false" customHeight="false" outlineLevel="0" collapsed="false">
      <c r="A4926" s="1" t="s">
        <v>913</v>
      </c>
      <c r="B4926" s="0" t="s">
        <v>98</v>
      </c>
      <c r="D4926" s="6" t="n">
        <f aca="false">Sens!D4918+Sens!D4925</f>
        <v>123.627</v>
      </c>
      <c r="E4926" s="6" t="n">
        <f aca="false">Sens!E4918+Sens!E4925</f>
        <v>165.934</v>
      </c>
      <c r="F4926" s="6" t="n">
        <f aca="false">Sens!F4918+Sens!F4925</f>
        <v>178.607505534962</v>
      </c>
      <c r="G4926" s="6" t="n">
        <f aca="false">Sens!G4918+Sens!G4925</f>
        <v>201.886282648067</v>
      </c>
      <c r="H4926" s="6" t="n">
        <f aca="false">Sens!H4918+Sens!H4925</f>
        <v>225.560560420953</v>
      </c>
      <c r="I4926" s="6" t="n">
        <f aca="false">Sens!I4918+Sens!I4925</f>
        <v>247.48772590262</v>
      </c>
      <c r="J4926" s="6" t="n">
        <f aca="false">Sens!J4918+Sens!J4925</f>
        <v>268.010829474689</v>
      </c>
      <c r="K4926" s="6" t="n">
        <f aca="false">Sens!K4918+Sens!K4925</f>
        <v>286.339795099754</v>
      </c>
    </row>
    <row r="4927" customFormat="false" ht="15" hidden="false" customHeight="false" outlineLevel="0" collapsed="false">
      <c r="A4927" s="1" t="s">
        <v>914</v>
      </c>
      <c r="B4927" s="0" t="s">
        <v>98</v>
      </c>
      <c r="D4927" s="6" t="n">
        <f aca="false">Q!L29</f>
        <v>21.795</v>
      </c>
      <c r="E4927" s="6" t="n">
        <f aca="false">Q!M29</f>
        <v>32.185</v>
      </c>
      <c r="F4927" s="6" t="n">
        <f aca="false">Sens!F4926*tax_f</f>
        <v>35.7215011069924</v>
      </c>
      <c r="G4927" s="6" t="n">
        <f aca="false">Sens!G4926*tax_f</f>
        <v>40.3772565296135</v>
      </c>
      <c r="H4927" s="6" t="n">
        <f aca="false">Sens!H4926*tax_f</f>
        <v>45.1121120841906</v>
      </c>
      <c r="I4927" s="6" t="n">
        <f aca="false">Sens!I4926*tax_f</f>
        <v>49.4975451805241</v>
      </c>
      <c r="J4927" s="6" t="n">
        <f aca="false">Sens!J4926*tax_f</f>
        <v>53.6021658949377</v>
      </c>
      <c r="K4927" s="6" t="n">
        <f aca="false">Sens!K4926*tax_f</f>
        <v>57.2679590199509</v>
      </c>
    </row>
    <row r="4928" customFormat="false" ht="15" hidden="false" customHeight="false" outlineLevel="0" collapsed="false">
      <c r="A4928" s="1" t="s">
        <v>915</v>
      </c>
      <c r="B4928" s="0" t="s">
        <v>98</v>
      </c>
      <c r="D4928" s="6" t="n">
        <f aca="false">Sens!D4926-Sens!D4927</f>
        <v>101.832</v>
      </c>
      <c r="E4928" s="6" t="n">
        <f aca="false">Sens!E4926-Sens!E4927</f>
        <v>133.749</v>
      </c>
      <c r="F4928" s="6" t="n">
        <f aca="false">Sens!F4926-Sens!F4927</f>
        <v>142.886004427969</v>
      </c>
      <c r="G4928" s="6" t="n">
        <f aca="false">Sens!G4926-Sens!G4927</f>
        <v>161.509026118454</v>
      </c>
      <c r="H4928" s="6" t="n">
        <f aca="false">Sens!H4926-Sens!H4927</f>
        <v>180.448448336762</v>
      </c>
      <c r="I4928" s="6" t="n">
        <f aca="false">Sens!I4926-Sens!I4927</f>
        <v>197.990180722096</v>
      </c>
      <c r="J4928" s="6" t="n">
        <f aca="false">Sens!J4926-Sens!J4927</f>
        <v>214.408663579751</v>
      </c>
      <c r="K4928" s="6" t="n">
        <f aca="false">Sens!K4926-Sens!K4927</f>
        <v>229.071836079804</v>
      </c>
    </row>
    <row r="4929" customFormat="false" ht="17.15" hidden="false" customHeight="false" outlineLevel="0" collapsed="false">
      <c r="A4929" s="1" t="s">
        <v>916</v>
      </c>
      <c r="B4929" s="1" t="s">
        <v>81</v>
      </c>
      <c r="D4929" s="14" t="n">
        <f aca="false">Q!L31</f>
        <v>7.465</v>
      </c>
      <c r="E4929" s="14" t="n">
        <f aca="false">Q!M31</f>
        <v>7.453</v>
      </c>
      <c r="F4929" s="14" t="n">
        <f aca="false">Sens!F4970</f>
        <v>7.4735</v>
      </c>
      <c r="G4929" s="14" t="n">
        <f aca="false">Sens!G4970</f>
        <v>7.5185</v>
      </c>
      <c r="H4929" s="14" t="n">
        <f aca="false">Sens!H4970</f>
        <v>7.54625158584995</v>
      </c>
      <c r="I4929" s="14" t="n">
        <f aca="false">Sens!I4970</f>
        <v>7.55803241785726</v>
      </c>
      <c r="J4929" s="14" t="n">
        <f aca="false">Sens!J4970</f>
        <v>7.57227392897515</v>
      </c>
      <c r="K4929" s="14" t="n">
        <f aca="false">Sens!K4970</f>
        <v>7.58879384667689</v>
      </c>
    </row>
    <row r="4930" customFormat="false" ht="17.15" hidden="false" customHeight="false" outlineLevel="0" collapsed="false">
      <c r="A4930" s="0" t="s">
        <v>917</v>
      </c>
      <c r="B4930" s="0" t="s">
        <v>75</v>
      </c>
      <c r="D4930" s="8" t="n">
        <f aca="false">Sens!D4928/Sens!D4929</f>
        <v>13.641259209645</v>
      </c>
      <c r="E4930" s="8" t="n">
        <f aca="false">Sens!E4928/Sens!E4929</f>
        <v>17.9456594659869</v>
      </c>
      <c r="F4930" s="8" t="n">
        <f aca="false">Sens!F4928/Sens!F4929</f>
        <v>19.119021131728</v>
      </c>
      <c r="G4930" s="8" t="n">
        <f aca="false">Sens!G4928/Sens!G4929</f>
        <v>21.4815489949397</v>
      </c>
      <c r="H4930" s="8" t="n">
        <f aca="false">Sens!H4928/Sens!H4929</f>
        <v>23.9123286950998</v>
      </c>
      <c r="I4930" s="8" t="n">
        <f aca="false">Sens!I4928/Sens!I4929</f>
        <v>26.1959951712178</v>
      </c>
      <c r="J4930" s="8" t="n">
        <f aca="false">Sens!J4928/Sens!J4929</f>
        <v>28.3149639845068</v>
      </c>
      <c r="K4930" s="8" t="n">
        <f aca="false">Sens!K4928/Sens!K4929</f>
        <v>30.185539455669</v>
      </c>
      <c r="L4930" s="1" t="s">
        <v>918</v>
      </c>
    </row>
    <row r="4931" customFormat="false" ht="17.15" hidden="false" customHeight="false" outlineLevel="0" collapsed="false">
      <c r="A4931" s="1" t="s">
        <v>919</v>
      </c>
      <c r="B4931" s="0" t="s">
        <v>98</v>
      </c>
      <c r="D4931" s="6" t="n">
        <f aca="false">Sens!D4928</f>
        <v>101.832</v>
      </c>
      <c r="E4931" s="6" t="n">
        <f aca="false">Sens!E4928</f>
        <v>133.749</v>
      </c>
      <c r="F4931" s="6" t="n">
        <f aca="false">Sens!F4928+Sens!F4921*(1-tax_f)</f>
        <v>158.920605951183</v>
      </c>
      <c r="G4931" s="6" t="n">
        <f aca="false">Sens!G4928+Sens!G4921*(1-tax_f)</f>
        <v>189.746705799135</v>
      </c>
      <c r="H4931" s="6" t="n">
        <f aca="false">Sens!H4928+Sens!H4921*(1-tax_f)</f>
        <v>221.971171049272</v>
      </c>
      <c r="I4931" s="6" t="n">
        <f aca="false">Sens!I4928+Sens!I4921*(1-tax_f)</f>
        <v>251.111939843398</v>
      </c>
      <c r="J4931" s="6" t="n">
        <f aca="false">Sens!J4928+Sens!J4921*(1-tax_f)</f>
        <v>275.733797900692</v>
      </c>
      <c r="K4931" s="6" t="n">
        <f aca="false">Sens!K4928+Sens!K4921*(1-tax_f)</f>
        <v>294.244092107276</v>
      </c>
    </row>
    <row r="4932" customFormat="false" ht="17.15" hidden="false" customHeight="false" outlineLevel="0" collapsed="false">
      <c r="A4932" s="0" t="s">
        <v>920</v>
      </c>
      <c r="B4932" s="0" t="s">
        <v>75</v>
      </c>
      <c r="D4932" s="8" t="n">
        <f aca="false">Sens!D4931/Sens!D4929</f>
        <v>13.641259209645</v>
      </c>
      <c r="E4932" s="8" t="n">
        <f aca="false">Sens!E4931/Sens!E4929</f>
        <v>17.9456594659869</v>
      </c>
      <c r="F4932" s="8" t="n">
        <f aca="false">Sens!F4931/Sens!F4929</f>
        <v>21.2645488661514</v>
      </c>
      <c r="G4932" s="8" t="n">
        <f aca="false">Sens!G4931/Sens!G4929</f>
        <v>25.2373087449804</v>
      </c>
      <c r="H4932" s="8" t="n">
        <f aca="false">Sens!H4931/Sens!H4929</f>
        <v>29.4147589069906</v>
      </c>
      <c r="I4932" s="8" t="n">
        <f aca="false">Sens!I4931/Sens!I4929</f>
        <v>33.2245121428824</v>
      </c>
      <c r="J4932" s="8" t="n">
        <f aca="false">Sens!J4931/Sens!J4929</f>
        <v>36.4136058054639</v>
      </c>
      <c r="K4932" s="8" t="n">
        <f aca="false">Sens!K4931/Sens!K4929</f>
        <v>38.7734991952805</v>
      </c>
      <c r="L4932" s="1" t="s">
        <v>921</v>
      </c>
    </row>
    <row r="4933" customFormat="false" ht="17.15" hidden="false" customHeight="false" outlineLevel="0" collapsed="false">
      <c r="A4933" s="0" t="s">
        <v>922</v>
      </c>
      <c r="B4933" s="0" t="s">
        <v>129</v>
      </c>
      <c r="E4933" s="7" t="n">
        <f aca="false">Sens!E4932/Sens!D4932-1</f>
        <v>0.315542736208578</v>
      </c>
      <c r="F4933" s="7" t="n">
        <f aca="false">Sens!F4932/Sens!E4932-1</f>
        <v>0.184941066470976</v>
      </c>
      <c r="G4933" s="7" t="n">
        <f aca="false">Sens!G4932/Sens!F4932-1</f>
        <v>0.186825495515343</v>
      </c>
      <c r="H4933" s="7" t="n">
        <f aca="false">Sens!H4932/Sens!G4932-1</f>
        <v>0.165526768492741</v>
      </c>
      <c r="I4933" s="7" t="n">
        <f aca="false">Sens!I4932/Sens!H4932-1</f>
        <v>0.129518424677158</v>
      </c>
      <c r="J4933" s="7" t="n">
        <f aca="false">Sens!J4932/Sens!I4932-1</f>
        <v>0.0959861697552309</v>
      </c>
      <c r="K4933" s="7" t="n">
        <f aca="false">Sens!K4932/Sens!J4932-1</f>
        <v>0.0648080116653136</v>
      </c>
    </row>
    <row r="4934" customFormat="false" ht="17.15" hidden="false" customHeight="false" outlineLevel="0" collapsed="false">
      <c r="A4934" s="0" t="s">
        <v>846</v>
      </c>
      <c r="B4934" s="0" t="s">
        <v>98</v>
      </c>
      <c r="E4934" s="6" t="n">
        <f aca="false">Sens!E4875</f>
        <v>5.25</v>
      </c>
      <c r="F4934" s="6" t="n">
        <f aca="false">Sens!F4875</f>
        <v>12</v>
      </c>
      <c r="G4934" s="6" t="n">
        <f aca="false">Sens!G4875</f>
        <v>18</v>
      </c>
      <c r="H4934" s="6" t="n">
        <f aca="false">Sens!H4875</f>
        <v>24</v>
      </c>
      <c r="I4934" s="6" t="n">
        <f aca="false">Sens!I4875</f>
        <v>28.5</v>
      </c>
      <c r="J4934" s="6" t="n">
        <f aca="false">Sens!J4875</f>
        <v>31.5</v>
      </c>
      <c r="K4934" s="6" t="n">
        <f aca="false">Sens!K4875</f>
        <v>34.5</v>
      </c>
    </row>
    <row r="4935" customFormat="false" ht="17.15" hidden="false" customHeight="false" outlineLevel="0" collapsed="false">
      <c r="A4935" s="1" t="s">
        <v>847</v>
      </c>
      <c r="B4935" s="0" t="s">
        <v>98</v>
      </c>
      <c r="F4935" s="6" t="n">
        <f aca="false">MAX(0,(Sens!E4838+Sens!F4838)/2*Sens!F4846/1000-Sens!F4934*Sens!F4914)</f>
        <v>20.0432519040166</v>
      </c>
      <c r="G4935" s="6" t="n">
        <f aca="false">MAX(0,(Sens!F4838+Sens!G4838)/2*Sens!G4846/1000-Sens!G4934*Sens!G4914)</f>
        <v>35.2970996008516</v>
      </c>
      <c r="H4935" s="6" t="n">
        <f aca="false">MAX(0,(Sens!G4838+Sens!H4838)/2*Sens!H4846/1000-Sens!H4934*Sens!H4914)</f>
        <v>51.9034033906369</v>
      </c>
      <c r="I4935" s="6" t="n">
        <f aca="false">MAX(0,(Sens!H4838+Sens!I4838)/2*Sens!I4846/1000-Sens!I4934*Sens!I4914)</f>
        <v>66.4021989016268</v>
      </c>
      <c r="J4935" s="6" t="n">
        <f aca="false">MAX(0,(Sens!I4838+Sens!J4838)/2*Sens!J4846/1000-Sens!J4934*Sens!J4914)</f>
        <v>76.6564179011766</v>
      </c>
      <c r="K4935" s="6" t="n">
        <f aca="false">MAX(0,(Sens!J4838+Sens!K4838)/2*Sens!K4846/1000-Sens!K4934*Sens!K4914)</f>
        <v>81.4653200343405</v>
      </c>
      <c r="L4935" s="1" t="s">
        <v>848</v>
      </c>
    </row>
    <row r="4936" customFormat="false" ht="17.15" hidden="false" customHeight="false" outlineLevel="0" collapsed="false">
      <c r="A4936" s="1" t="s">
        <v>849</v>
      </c>
      <c r="B4936" s="0" t="s">
        <v>98</v>
      </c>
      <c r="F4936" s="6" t="n">
        <f aca="false">IF(internal_ai_reading=2,1,0)*Sens!F4935</f>
        <v>20.0432519040166</v>
      </c>
      <c r="G4936" s="6" t="n">
        <f aca="false">IF(internal_ai_reading=2,1,0)*Sens!G4935</f>
        <v>35.2970996008516</v>
      </c>
      <c r="H4936" s="6" t="n">
        <f aca="false">IF(internal_ai_reading=2,1,0)*Sens!H4935</f>
        <v>51.9034033906369</v>
      </c>
      <c r="I4936" s="6" t="n">
        <f aca="false">IF(internal_ai_reading=2,1,0)*Sens!I4935</f>
        <v>66.4021989016268</v>
      </c>
      <c r="J4936" s="6" t="n">
        <f aca="false">IF(internal_ai_reading=2,1,0)*Sens!J4935</f>
        <v>76.6564179011766</v>
      </c>
      <c r="K4936" s="6" t="n">
        <f aca="false">IF(internal_ai_reading=2,1,0)*Sens!K4935</f>
        <v>81.4653200343405</v>
      </c>
    </row>
    <row r="4937" customFormat="false" ht="17.15" hidden="false" customHeight="false" outlineLevel="0" collapsed="false">
      <c r="A4937" s="0" t="s">
        <v>850</v>
      </c>
      <c r="B4937" s="0" t="s">
        <v>98</v>
      </c>
      <c r="F4937" s="6" t="n">
        <f aca="false">Sens!F4855+Sens!F4934*Sens!F4914+Sens!F4936-Sens!F4856-Sens!F4866</f>
        <v>29.5868307559638</v>
      </c>
      <c r="G4937" s="6" t="n">
        <f aca="false">Sens!G4855+Sens!G4934*Sens!G4914+Sens!G4936-Sens!G4856-Sens!G4866</f>
        <v>48.7496165202145</v>
      </c>
      <c r="H4937" s="6" t="n">
        <f aca="false">Sens!H4855+Sens!H4934*Sens!H4914+Sens!H4936-Sens!H4856-Sens!H4866</f>
        <v>69.342541994955</v>
      </c>
      <c r="I4937" s="6" t="n">
        <f aca="false">Sens!I4855+Sens!I4934*Sens!I4914+Sens!I4936-Sens!I4856-Sens!I4866</f>
        <v>86.4441645588857</v>
      </c>
      <c r="J4937" s="6" t="n">
        <f aca="false">Sens!J4855+Sens!J4934*Sens!J4914+Sens!J4936-Sens!J4856-Sens!J4866</f>
        <v>99.0174172140701</v>
      </c>
      <c r="K4937" s="6" t="n">
        <f aca="false">Sens!K4855+Sens!K4934*Sens!K4914+Sens!K4936-Sens!K4856-Sens!K4866</f>
        <v>105.850408010792</v>
      </c>
    </row>
    <row r="4938" customFormat="false" ht="17.15" hidden="false" customHeight="false" outlineLevel="0" collapsed="false">
      <c r="A4938" s="0" t="s">
        <v>851</v>
      </c>
      <c r="B4938" s="0" t="s">
        <v>98</v>
      </c>
      <c r="E4938" s="6" t="n">
        <f aca="false">Sens!E4837*(cxit_open+self_build*tk_cxfac)/1000*ai_net_open</f>
        <v>126.6980382</v>
      </c>
      <c r="F4938" s="6" t="n">
        <f aca="false">Sens!E4938+Sens!F4863-Sens!F4866</f>
        <v>265.191704851121</v>
      </c>
      <c r="G4938" s="6" t="n">
        <f aca="false">Sens!F4938+Sens!G4863-Sens!G4866</f>
        <v>396.334196711172</v>
      </c>
      <c r="H4938" s="6" t="n">
        <f aca="false">Sens!G4938+Sens!H4863-Sens!H4866</f>
        <v>508.409297198881</v>
      </c>
      <c r="I4938" s="6" t="n">
        <f aca="false">Sens!H4938+Sens!I4863-Sens!I4866</f>
        <v>545.427225776628</v>
      </c>
      <c r="J4938" s="6" t="n">
        <f aca="false">Sens!I4938+Sens!J4863-Sens!J4866</f>
        <v>544.035814640124</v>
      </c>
      <c r="K4938" s="6" t="n">
        <f aca="false">Sens!J4938+Sens!K4863-Sens!K4866</f>
        <v>495.522111038773</v>
      </c>
      <c r="L4938" s="1" t="s">
        <v>852</v>
      </c>
    </row>
    <row r="4939" customFormat="false" ht="17.15" hidden="false" customHeight="false" outlineLevel="0" collapsed="false">
      <c r="A4939" s="0" t="s">
        <v>853</v>
      </c>
      <c r="B4939" s="0" t="s">
        <v>129</v>
      </c>
      <c r="F4939" s="7" t="n">
        <f aca="false">Sens!F4937*(1-tax_f)/((Sens!E4938+Sens!F4938)/2)</f>
        <v>0.120796550685347</v>
      </c>
      <c r="G4939" s="7" t="n">
        <f aca="false">Sens!G4937*(1-tax_f)/((Sens!F4938+Sens!G4938)/2)</f>
        <v>0.117908287866183</v>
      </c>
      <c r="H4939" s="7" t="n">
        <f aca="false">Sens!H4937*(1-tax_f)/((Sens!G4938+Sens!H4938)/2)</f>
        <v>0.122629306470545</v>
      </c>
      <c r="I4939" s="7" t="n">
        <f aca="false">Sens!I4937*(1-tax_f)/((Sens!H4938+Sens!I4938)/2)</f>
        <v>0.13124489451523</v>
      </c>
      <c r="J4939" s="7" t="n">
        <f aca="false">Sens!J4937*(1-tax_f)/((Sens!I4938+Sens!J4938)/2)</f>
        <v>0.14541830393981</v>
      </c>
      <c r="K4939" s="7" t="n">
        <f aca="false">Sens!K4937*(1-tax_f)/((Sens!J4938+Sens!K4938)/2)</f>
        <v>0.162916032511285</v>
      </c>
    </row>
    <row r="4940" customFormat="false" ht="17.15" hidden="false" customHeight="false" outlineLevel="0" collapsed="false">
      <c r="A4940" s="1" t="s">
        <v>854</v>
      </c>
      <c r="B4940" s="0" t="s">
        <v>129</v>
      </c>
      <c r="F4940" s="7" t="n">
        <f aca="false">(Sens!F4937-Sens!F4936)*(1-tax_f)/((Sens!E4938+Sens!F4938)/2)</f>
        <v>0.0389643424812056</v>
      </c>
      <c r="G4940" s="7" t="n">
        <f aca="false">(Sens!G4937-Sens!G4936)*(1-tax_f)/((Sens!F4938+Sens!G4938)/2)</f>
        <v>0.0325369377376584</v>
      </c>
      <c r="H4940" s="7" t="n">
        <f aca="false">(Sens!H4937-Sens!H4936)*(1-tax_f)/((Sens!G4938+Sens!H4938)/2)</f>
        <v>0.0308403674132228</v>
      </c>
      <c r="I4940" s="7" t="n">
        <f aca="false">(Sens!I4937-Sens!I4936)*(1-tax_f)/((Sens!H4938+Sens!I4938)/2)</f>
        <v>0.0304289558698086</v>
      </c>
      <c r="J4940" s="7" t="n">
        <f aca="false">(Sens!J4937-Sens!J4936)*(1-tax_f)/((Sens!I4938+Sens!J4938)/2)</f>
        <v>0.0328396628186155</v>
      </c>
      <c r="K4940" s="7" t="n">
        <f aca="false">(Sens!K4937-Sens!K4936)*(1-tax_f)/((Sens!J4938+Sens!K4938)/2)</f>
        <v>0.037531473522115</v>
      </c>
    </row>
    <row r="4941" customFormat="false" ht="17.15" hidden="false" customHeight="false" outlineLevel="0" collapsed="false">
      <c r="A4941" s="1" t="s">
        <v>855</v>
      </c>
      <c r="B4941" s="0" t="s">
        <v>129</v>
      </c>
      <c r="F4941" s="7" t="n">
        <f aca="false">(Sens!F4937-Sens!F4936+Sens!F4935)*(1-tax_f)/((Sens!E4938+Sens!F4938)/2)</f>
        <v>0.120796550685347</v>
      </c>
      <c r="G4941" s="7" t="n">
        <f aca="false">(Sens!G4937-Sens!G4936+Sens!G4935)*(1-tax_f)/((Sens!F4938+Sens!G4938)/2)</f>
        <v>0.117908287866183</v>
      </c>
      <c r="H4941" s="7" t="n">
        <f aca="false">(Sens!H4937-Sens!H4936+Sens!H4935)*(1-tax_f)/((Sens!G4938+Sens!H4938)/2)</f>
        <v>0.122629306470545</v>
      </c>
      <c r="I4941" s="7" t="n">
        <f aca="false">(Sens!I4937-Sens!I4936+Sens!I4935)*(1-tax_f)/((Sens!H4938+Sens!I4938)/2)</f>
        <v>0.13124489451523</v>
      </c>
      <c r="J4941" s="7" t="n">
        <f aca="false">(Sens!J4937-Sens!J4936+Sens!J4935)*(1-tax_f)/((Sens!I4938+Sens!J4938)/2)</f>
        <v>0.14541830393981</v>
      </c>
      <c r="K4941" s="7" t="n">
        <f aca="false">(Sens!K4937-Sens!K4936+Sens!K4935)*(1-tax_f)/((Sens!J4938+Sens!K4938)/2)</f>
        <v>0.162916032511285</v>
      </c>
    </row>
    <row r="4942" customFormat="false" ht="17.15" hidden="false" customHeight="false" outlineLevel="0" collapsed="false">
      <c r="A4942" s="1" t="s">
        <v>856</v>
      </c>
      <c r="B4942" s="0" t="s">
        <v>129</v>
      </c>
      <c r="F4942" s="7" t="n">
        <f aca="false">Sens!F4867*(1-tax_f)/(Sens!F4854*(Sens!E4938+Sens!F4938)/2)</f>
        <v>0.14550520535782</v>
      </c>
      <c r="G4942" s="7" t="n">
        <f aca="false">Sens!G4867*(1-tax_f)/(Sens!G4854*(Sens!F4938+Sens!G4938)/2)</f>
        <v>0.141465829434798</v>
      </c>
      <c r="H4942" s="7" t="n">
        <f aca="false">Sens!H4867*(1-tax_f)/(Sens!H4854*(Sens!G4938+Sens!H4938)/2)</f>
        <v>0.146241180516451</v>
      </c>
      <c r="I4942" s="7" t="n">
        <f aca="false">Sens!I4867*(1-tax_f)/(Sens!I4854*(Sens!H4938+Sens!I4938)/2)</f>
        <v>0.156088864660314</v>
      </c>
      <c r="J4942" s="7" t="n">
        <f aca="false">Sens!J4867*(1-tax_f)/(Sens!J4854*(Sens!I4938+Sens!J4938)/2)</f>
        <v>0.172597316245604</v>
      </c>
      <c r="K4942" s="7" t="n">
        <f aca="false">Sens!K4867*(1-tax_f)/(Sens!K4854*(Sens!J4938+Sens!K4938)/2)</f>
        <v>0.193248564812424</v>
      </c>
    </row>
    <row r="4943" customFormat="false" ht="17.15" hidden="false" customHeight="false" outlineLevel="0" collapsed="false">
      <c r="A4943" s="0" t="s">
        <v>857</v>
      </c>
      <c r="B4943" s="0" t="s">
        <v>209</v>
      </c>
      <c r="F4943" s="7" t="n">
        <f aca="false">Sens!F4939-wacc</f>
        <v>0.0178621305924708</v>
      </c>
      <c r="G4943" s="7" t="n">
        <f aca="false">Sens!G4939-wacc</f>
        <v>0.0149738677733075</v>
      </c>
      <c r="H4943" s="7" t="n">
        <f aca="false">Sens!H4939-wacc</f>
        <v>0.0196948863776697</v>
      </c>
      <c r="I4943" s="7" t="n">
        <f aca="false">Sens!I4939-wacc</f>
        <v>0.028310474422354</v>
      </c>
      <c r="J4943" s="7" t="n">
        <f aca="false">Sens!J4939-wacc</f>
        <v>0.0424838838469339</v>
      </c>
      <c r="K4943" s="7" t="n">
        <f aca="false">Sens!K4939-wacc</f>
        <v>0.0599816124184094</v>
      </c>
    </row>
    <row r="4944" customFormat="false" ht="17.15" hidden="false" customHeight="false" outlineLevel="0" collapsed="false">
      <c r="A4944" s="0" t="s">
        <v>858</v>
      </c>
      <c r="B4944" s="0" t="s">
        <v>98</v>
      </c>
      <c r="F4944" s="6" t="n">
        <f aca="false">Sens!F4937*(1-tax_f)-wacc*(Sens!E4938+Sens!F4938)/2</f>
        <v>3.49999288411448</v>
      </c>
      <c r="G4944" s="6" t="n">
        <f aca="false">Sens!G4937*(1-tax_f)-wacc*(Sens!F4938+Sens!G4938)/2</f>
        <v>4.95280068930591</v>
      </c>
      <c r="H4944" s="6" t="n">
        <f aca="false">Sens!H4937*(1-tax_f)-wacc*(Sens!G4938+Sens!H4938)/2</f>
        <v>8.9094101567472</v>
      </c>
      <c r="I4944" s="6" t="n">
        <f aca="false">Sens!I4937*(1-tax_f)-wacc*(Sens!H4938+Sens!I4938)/2</f>
        <v>14.9173059645203</v>
      </c>
      <c r="J4944" s="6" t="n">
        <f aca="false">Sens!J4937*(1-tax_f)-wacc*(Sens!I4938+Sens!J4938)/2</f>
        <v>23.1423106322964</v>
      </c>
      <c r="K4944" s="6" t="n">
        <f aca="false">Sens!K4937*(1-tax_f)-wacc*(Sens!J4938+Sens!K4938)/2</f>
        <v>31.1771802922786</v>
      </c>
    </row>
    <row r="4945" customFormat="false" ht="17.15" hidden="false" customHeight="false" outlineLevel="0" collapsed="false">
      <c r="A4945" s="3" t="s">
        <v>1362</v>
      </c>
    </row>
    <row r="4946" customFormat="false" ht="15" hidden="false" customHeight="false" outlineLevel="0" collapsed="false">
      <c r="A4946" s="4" t="s">
        <v>43</v>
      </c>
      <c r="B4946" s="4" t="s">
        <v>65</v>
      </c>
      <c r="C4946" s="20" t="s">
        <v>788</v>
      </c>
      <c r="D4946" s="20" t="s">
        <v>789</v>
      </c>
      <c r="E4946" s="20" t="s">
        <v>790</v>
      </c>
      <c r="F4946" s="20" t="s">
        <v>791</v>
      </c>
      <c r="G4946" s="20" t="s">
        <v>792</v>
      </c>
      <c r="H4946" s="20" t="s">
        <v>793</v>
      </c>
      <c r="I4946" s="20" t="s">
        <v>794</v>
      </c>
      <c r="J4946" s="20" t="s">
        <v>795</v>
      </c>
      <c r="K4946" s="20" t="s">
        <v>796</v>
      </c>
      <c r="L4946" s="4" t="s">
        <v>47</v>
      </c>
    </row>
    <row r="4947" customFormat="false" ht="15" hidden="false" customHeight="false" outlineLevel="0" collapsed="false">
      <c r="A4947" s="1" t="s">
        <v>915</v>
      </c>
      <c r="B4947" s="0" t="s">
        <v>98</v>
      </c>
      <c r="F4947" s="6" t="n">
        <f aca="false">Sens!F4928</f>
        <v>142.886004427969</v>
      </c>
      <c r="G4947" s="6" t="n">
        <f aca="false">Sens!G4928</f>
        <v>161.509026118454</v>
      </c>
      <c r="H4947" s="6" t="n">
        <f aca="false">Sens!H4928</f>
        <v>180.448448336762</v>
      </c>
      <c r="I4947" s="6" t="n">
        <f aca="false">Sens!I4928</f>
        <v>197.990180722096</v>
      </c>
      <c r="J4947" s="6" t="n">
        <f aca="false">Sens!J4928</f>
        <v>214.408663579751</v>
      </c>
      <c r="K4947" s="6" t="n">
        <f aca="false">Sens!K4928</f>
        <v>229.071836079804</v>
      </c>
    </row>
    <row r="4948" customFormat="false" ht="17.15" hidden="false" customHeight="false" outlineLevel="0" collapsed="false">
      <c r="A4948" s="1" t="s">
        <v>937</v>
      </c>
      <c r="B4948" s="0" t="s">
        <v>98</v>
      </c>
      <c r="E4948" s="6" t="n">
        <f aca="false">Q!M38-Sens!E4866</f>
        <v>24.3801052339286</v>
      </c>
      <c r="F4948" s="6" t="n">
        <f aca="false">Sens!E4948*(1-1/life_nonai)+Sens!F4954/life_nonai</f>
        <v>25.500029433492</v>
      </c>
      <c r="G4948" s="6" t="n">
        <f aca="false">Sens!F4948*(1-1/life_nonai)+Sens!G4954/life_nonai</f>
        <v>27.0653158471817</v>
      </c>
      <c r="H4948" s="6" t="n">
        <f aca="false">Sens!G4948*(1-1/life_nonai)+Sens!H4954/life_nonai</f>
        <v>29.0399356268725</v>
      </c>
      <c r="I4948" s="6" t="n">
        <f aca="false">Sens!H4948*(1-1/life_nonai)+Sens!I4954/life_nonai</f>
        <v>31.3557820953496</v>
      </c>
      <c r="J4948" s="6" t="n">
        <f aca="false">Sens!I4948*(1-1/life_nonai)+Sens!J4954/life_nonai</f>
        <v>33.9282952108521</v>
      </c>
      <c r="K4948" s="6" t="n">
        <f aca="false">Sens!J4948*(1-1/life_nonai)+Sens!K4954/life_nonai</f>
        <v>36.6723359639662</v>
      </c>
      <c r="L4948" s="11" t="s">
        <v>938</v>
      </c>
    </row>
    <row r="4949" customFormat="false" ht="17.15" hidden="false" customHeight="false" outlineLevel="0" collapsed="false">
      <c r="A4949" s="1" t="s">
        <v>939</v>
      </c>
      <c r="B4949" s="0" t="s">
        <v>98</v>
      </c>
      <c r="E4949" s="6" t="n">
        <f aca="false">Sens!E4866+Sens!E4948</f>
        <v>38.534</v>
      </c>
      <c r="F4949" s="6" t="n">
        <f aca="false">Sens!F4866+Sens!F4948</f>
        <v>55.6270155528089</v>
      </c>
      <c r="G4949" s="6" t="n">
        <f aca="false">Sens!G4866+Sens!G4948</f>
        <v>79.4970044703299</v>
      </c>
      <c r="H4949" s="6" t="n">
        <f aca="false">Sens!H4866+Sens!H4948</f>
        <v>105.045121049564</v>
      </c>
      <c r="I4949" s="6" t="n">
        <f aca="false">Sens!I4866+Sens!I4948</f>
        <v>127.785847325182</v>
      </c>
      <c r="J4949" s="6" t="n">
        <f aca="false">Sens!J4866+Sens!J4948</f>
        <v>144.39408339878</v>
      </c>
      <c r="K4949" s="6" t="n">
        <f aca="false">Sens!K4866+Sens!K4948</f>
        <v>155.066224180586</v>
      </c>
    </row>
    <row r="4950" customFormat="false" ht="17.15" hidden="false" customHeight="false" outlineLevel="0" collapsed="false">
      <c r="A4950" s="1" t="s">
        <v>940</v>
      </c>
      <c r="B4950" s="0" t="s">
        <v>98</v>
      </c>
      <c r="F4950" s="6" t="n">
        <f aca="false">Sens!F4893*sbc_r</f>
        <v>14.9308704941267</v>
      </c>
      <c r="G4950" s="6" t="n">
        <f aca="false">Sens!G4893*sbc_r</f>
        <v>17.7641108812713</v>
      </c>
      <c r="H4950" s="6" t="n">
        <f aca="false">Sens!H4893*sbc_r</f>
        <v>20.6640880611968</v>
      </c>
      <c r="I4950" s="6" t="n">
        <f aca="false">Sens!I4893*sbc_r</f>
        <v>23.2917193506989</v>
      </c>
      <c r="J4950" s="6" t="n">
        <f aca="false">Sens!J4893*sbc_r</f>
        <v>25.4606898137695</v>
      </c>
      <c r="K4950" s="6" t="n">
        <f aca="false">Sens!K4893*sbc_r</f>
        <v>27.1502280154392</v>
      </c>
    </row>
    <row r="4951" customFormat="false" ht="17.15" hidden="false" customHeight="false" outlineLevel="0" collapsed="false">
      <c r="A4951" s="1" t="s">
        <v>941</v>
      </c>
      <c r="B4951" s="0" t="s">
        <v>98</v>
      </c>
      <c r="F4951" s="6" t="n">
        <f aca="false">wc27</f>
        <v>-4.895</v>
      </c>
      <c r="G4951" s="6" t="n">
        <f aca="false">wc_f</f>
        <v>0</v>
      </c>
      <c r="H4951" s="6" t="n">
        <f aca="false">wc_f</f>
        <v>0</v>
      </c>
      <c r="I4951" s="6" t="n">
        <f aca="false">wc_f</f>
        <v>0</v>
      </c>
      <c r="J4951" s="6" t="n">
        <f aca="false">wc_f</f>
        <v>0</v>
      </c>
      <c r="K4951" s="6" t="n">
        <f aca="false">wc_f</f>
        <v>0</v>
      </c>
      <c r="L4951" s="11" t="s">
        <v>942</v>
      </c>
    </row>
    <row r="4952" customFormat="false" ht="15" hidden="false" customHeight="false" outlineLevel="0" collapsed="false">
      <c r="A4952" s="1" t="s">
        <v>756</v>
      </c>
      <c r="B4952" s="0" t="s">
        <v>98</v>
      </c>
      <c r="E4952" s="6" t="n">
        <f aca="false">Q!M35</f>
        <v>182.935</v>
      </c>
      <c r="F4952" s="6" t="n">
        <f aca="false">Sens!F4947+Sens!F4949+Sens!F4950+Sens!F4951</f>
        <v>208.548890474905</v>
      </c>
      <c r="G4952" s="6" t="n">
        <f aca="false">Sens!G4947+Sens!G4949+Sens!G4950+Sens!G4951</f>
        <v>258.770141470055</v>
      </c>
      <c r="H4952" s="6" t="n">
        <f aca="false">Sens!H4947+Sens!H4949+Sens!H4950+Sens!H4951</f>
        <v>306.157657447523</v>
      </c>
      <c r="I4952" s="6" t="n">
        <f aca="false">Sens!I4947+Sens!I4949+Sens!I4950+Sens!I4951</f>
        <v>349.067747397977</v>
      </c>
      <c r="J4952" s="6" t="n">
        <f aca="false">Sens!J4947+Sens!J4949+Sens!J4950+Sens!J4951</f>
        <v>384.2634367923</v>
      </c>
      <c r="K4952" s="6" t="n">
        <f aca="false">Sens!K4947+Sens!K4949+Sens!K4950+Sens!K4951</f>
        <v>411.288288275829</v>
      </c>
    </row>
    <row r="4953" customFormat="false" ht="17.15" hidden="false" customHeight="false" outlineLevel="0" collapsed="false">
      <c r="A4953" s="0" t="s">
        <v>943</v>
      </c>
      <c r="B4953" s="0" t="s">
        <v>98</v>
      </c>
      <c r="F4953" s="6" t="n">
        <f aca="false">Sens!F4863</f>
        <v>168.620652770438</v>
      </c>
      <c r="G4953" s="6" t="n">
        <f aca="false">Sens!G4863</f>
        <v>183.5741804832</v>
      </c>
      <c r="H4953" s="6" t="n">
        <f aca="false">Sens!H4863</f>
        <v>188.0802859104</v>
      </c>
      <c r="I4953" s="6" t="n">
        <f aca="false">Sens!I4863</f>
        <v>133.447993807579</v>
      </c>
      <c r="J4953" s="6" t="n">
        <f aca="false">Sens!J4863</f>
        <v>109.074377051424</v>
      </c>
      <c r="K4953" s="6" t="n">
        <f aca="false">Sens!K4863</f>
        <v>69.8801846152694</v>
      </c>
    </row>
    <row r="4954" customFormat="false" ht="17.15" hidden="false" customHeight="false" outlineLevel="0" collapsed="false">
      <c r="A4954" s="1" t="s">
        <v>944</v>
      </c>
      <c r="B4954" s="0" t="s">
        <v>98</v>
      </c>
      <c r="E4954" s="6" t="n">
        <f aca="false">Sens!E4871*cx_azo+Sens!E4878*cx_m365+Sens!E4879*cx_lic+(Sens!E4881+Sens!E4883)*cx_ind+Sens!E4886*cx_srch+(Sens!E4888+Sens!E4890)*cx_dev</f>
        <v>30.1846587067718</v>
      </c>
      <c r="F4954" s="6" t="n">
        <f aca="false">Sens!F4871*cx_azo+Sens!F4878*cx_m365+Sens!F4879*cx_lic+(Sens!F4881+Sens!F4883)*cx_ind+Sens!F4886*cx_srch+(Sens!F4888+Sens!F4890)*cx_dev</f>
        <v>35.5793472295625</v>
      </c>
      <c r="G4954" s="6" t="n">
        <f aca="false">Sens!G4871*cx_azo+Sens!G4878*cx_m365+Sens!G4879*cx_lic+(Sens!G4881+Sens!G4883)*cx_ind+Sens!G4886*cx_srch+(Sens!G4888+Sens!G4890)*cx_dev</f>
        <v>41.1528935703892</v>
      </c>
      <c r="H4954" s="6" t="n">
        <f aca="false">Sens!H4871*cx_azo+Sens!H4878*cx_m365+Sens!H4879*cx_lic+(Sens!H4881+Sens!H4883)*cx_ind+Sens!H4886*cx_srch+(Sens!H4888+Sens!H4890)*cx_dev</f>
        <v>46.8115136440897</v>
      </c>
      <c r="I4954" s="6" t="n">
        <f aca="false">Sens!I4871*cx_azo+Sens!I4878*cx_m365+Sens!I4879*cx_lic+(Sens!I4881+Sens!I4883)*cx_ind+Sens!I4886*cx_srch+(Sens!I4888+Sens!I4890)*cx_dev</f>
        <v>52.1984003116439</v>
      </c>
      <c r="J4954" s="6" t="n">
        <f aca="false">Sens!J4871*cx_azo+Sens!J4878*cx_m365+Sens!J4879*cx_lic+(Sens!J4881+Sens!J4883)*cx_ind+Sens!J4886*cx_srch+(Sens!J4888+Sens!J4890)*cx_dev</f>
        <v>57.0809132503738</v>
      </c>
      <c r="K4954" s="6" t="n">
        <f aca="false">Sens!K4871*cx_azo+Sens!K4878*cx_m365+Sens!K4879*cx_lic+(Sens!K4881+Sens!K4883)*cx_ind+Sens!K4886*cx_srch+(Sens!K4888+Sens!K4890)*cx_dev</f>
        <v>61.368702741994</v>
      </c>
    </row>
    <row r="4955" customFormat="false" ht="17.15" hidden="false" customHeight="false" outlineLevel="0" collapsed="false">
      <c r="A4955" s="1" t="s">
        <v>945</v>
      </c>
      <c r="B4955" s="0" t="s">
        <v>98</v>
      </c>
      <c r="E4955" s="6" t="n">
        <f aca="false">Q!M42</f>
        <v>145.3</v>
      </c>
      <c r="F4955" s="6" t="n">
        <f aca="false">Sens!F4953+Sens!F4954</f>
        <v>204.2</v>
      </c>
      <c r="G4955" s="6" t="n">
        <f aca="false">Sens!G4953+Sens!G4954</f>
        <v>224.727074053589</v>
      </c>
      <c r="H4955" s="6" t="n">
        <f aca="false">Sens!H4953+Sens!H4954</f>
        <v>234.89179955449</v>
      </c>
      <c r="I4955" s="6" t="n">
        <f aca="false">Sens!I4953+Sens!I4954</f>
        <v>185.646394119223</v>
      </c>
      <c r="J4955" s="6" t="n">
        <f aca="false">Sens!J4953+Sens!J4954</f>
        <v>166.155290301798</v>
      </c>
      <c r="K4955" s="6" t="n">
        <f aca="false">Sens!K4953+Sens!K4954</f>
        <v>131.248887357263</v>
      </c>
      <c r="L4955" s="1" t="s">
        <v>946</v>
      </c>
    </row>
    <row r="4956" customFormat="false" ht="15" hidden="false" customHeight="false" outlineLevel="0" collapsed="false">
      <c r="A4956" s="1" t="s">
        <v>947</v>
      </c>
      <c r="B4956" s="0" t="s">
        <v>98</v>
      </c>
      <c r="E4956" s="6" t="n">
        <f aca="false">fl_liab</f>
        <v>66.594</v>
      </c>
      <c r="F4956" s="6" t="n">
        <f aca="false">Sens!E4956-Sens!F4957</f>
        <v>62.46973</v>
      </c>
      <c r="G4956" s="6" t="n">
        <f aca="false">Sens!F4956-Sens!G4957</f>
        <v>57.98686785</v>
      </c>
      <c r="H4956" s="6" t="n">
        <f aca="false">Sens!G4956-Sens!H4957</f>
        <v>53.92827690325</v>
      </c>
      <c r="I4956" s="6" t="n">
        <f aca="false">Sens!H4956-Sens!I4957</f>
        <v>49.7850493638962</v>
      </c>
      <c r="J4956" s="6" t="n">
        <f aca="false">Sens!I4956-Sens!J4957</f>
        <v>45.4823765852716</v>
      </c>
      <c r="K4956" s="6" t="n">
        <f aca="false">Sens!J4956-Sens!K4957</f>
        <v>40.9860835316088</v>
      </c>
    </row>
    <row r="4957" customFormat="false" ht="15" hidden="false" customHeight="false" outlineLevel="0" collapsed="false">
      <c r="A4957" s="1" t="s">
        <v>948</v>
      </c>
      <c r="B4957" s="0" t="s">
        <v>98</v>
      </c>
      <c r="F4957" s="6" t="n">
        <f aca="false">fl_pay_27-Sens!E4956*fl_rate</f>
        <v>4.12427</v>
      </c>
      <c r="G4957" s="6" t="n">
        <f aca="false">fl_pay_28-Sens!F4956*fl_rate</f>
        <v>4.48286215</v>
      </c>
      <c r="H4957" s="6" t="n">
        <f aca="false">fl_pay_29-Sens!G4956*fl_rate</f>
        <v>4.05859094675</v>
      </c>
      <c r="I4957" s="6" t="n">
        <f aca="false">fl_pay_30-Sens!H4956*fl_rate</f>
        <v>4.14322753935375</v>
      </c>
      <c r="J4957" s="6" t="n">
        <f aca="false">fl_pay_31-Sens!I4956*fl_rate</f>
        <v>4.30267277862467</v>
      </c>
      <c r="K4957" s="6" t="n">
        <f aca="false">fl_pay_32-Sens!J4956*fl_rate</f>
        <v>4.49629305366278</v>
      </c>
    </row>
    <row r="4958" customFormat="false" ht="17.15" hidden="false" customHeight="false" outlineLevel="0" collapsed="false">
      <c r="A4958" s="1" t="s">
        <v>949</v>
      </c>
      <c r="B4958" s="0" t="s">
        <v>98</v>
      </c>
      <c r="E4958" s="6" t="n">
        <f aca="false">Q!M35-Q!M36-Q!M43</f>
        <v>63.886</v>
      </c>
      <c r="F4958" s="6" t="n">
        <f aca="false">Sens!F4952-Sens!F4955-Sens!F4957</f>
        <v>0.224620474905004</v>
      </c>
      <c r="G4958" s="6" t="n">
        <f aca="false">Sens!G4952-Sens!G4955-Sens!G4957</f>
        <v>29.5602052664658</v>
      </c>
      <c r="H4958" s="6" t="n">
        <f aca="false">Sens!H4952-Sens!H4955-Sens!H4957</f>
        <v>67.2072669462829</v>
      </c>
      <c r="I4958" s="6" t="n">
        <f aca="false">Sens!I4952-Sens!I4955-Sens!I4957</f>
        <v>159.278125739401</v>
      </c>
      <c r="J4958" s="6" t="n">
        <f aca="false">Sens!J4952-Sens!J4955-Sens!J4957</f>
        <v>213.805473711878</v>
      </c>
      <c r="K4958" s="6" t="n">
        <f aca="false">Sens!K4952-Sens!K4955-Sens!K4957</f>
        <v>275.543107864903</v>
      </c>
      <c r="L4958" s="11" t="s">
        <v>950</v>
      </c>
    </row>
    <row r="4959" customFormat="false" ht="15" hidden="false" customHeight="false" outlineLevel="0" collapsed="false">
      <c r="A4959" s="1" t="s">
        <v>951</v>
      </c>
      <c r="B4959" s="0" t="s">
        <v>75</v>
      </c>
      <c r="F4959" s="8" t="n">
        <f aca="false">dps_27</f>
        <v>3.85</v>
      </c>
      <c r="G4959" s="8" t="n">
        <f aca="false">Sens!F4959*(1+dps_g)</f>
        <v>4.158</v>
      </c>
      <c r="H4959" s="8" t="n">
        <f aca="false">Sens!G4959*(1+dps_g)</f>
        <v>4.49064</v>
      </c>
      <c r="I4959" s="8" t="n">
        <f aca="false">Sens!H4959*(1+dps_g)</f>
        <v>4.8498912</v>
      </c>
      <c r="J4959" s="8" t="n">
        <f aca="false">Sens!I4959*(1+dps_g)</f>
        <v>5.237882496</v>
      </c>
      <c r="K4959" s="8" t="n">
        <f aca="false">Sens!J4959*(1+dps_g)</f>
        <v>5.65691309568</v>
      </c>
    </row>
    <row r="4960" customFormat="false" ht="17.15" hidden="false" customHeight="false" outlineLevel="0" collapsed="false">
      <c r="A4960" s="1" t="s">
        <v>952</v>
      </c>
      <c r="B4960" s="0" t="s">
        <v>98</v>
      </c>
      <c r="E4960" s="6" t="n">
        <f aca="false">Q!M41</f>
        <v>26.445</v>
      </c>
      <c r="F4960" s="6" t="n">
        <f aca="false">Sens!F4959*Sens!E4969</f>
        <v>28.59395</v>
      </c>
      <c r="G4960" s="6" t="n">
        <f aca="false">Sens!G4959*Sens!F4969</f>
        <v>31.068576</v>
      </c>
      <c r="H4960" s="6" t="n">
        <f aca="false">Sens!H4959*Sens!G4969</f>
        <v>33.75614088</v>
      </c>
      <c r="I4960" s="6" t="n">
        <f aca="false">Sens!I4959*Sens!H4969</f>
        <v>36.5075713903995</v>
      </c>
      <c r="J4960" s="6" t="n">
        <f aca="false">Sens!J4959*Sens!I4969</f>
        <v>39.4965759499509</v>
      </c>
      <c r="K4960" s="6" t="n">
        <f aca="false">Sens!K4959*Sens!J4969</f>
        <v>42.743557251252</v>
      </c>
      <c r="L4960" s="1" t="s">
        <v>953</v>
      </c>
    </row>
    <row r="4961" customFormat="false" ht="15" hidden="false" customHeight="false" outlineLevel="0" collapsed="false">
      <c r="A4961" s="1" t="s">
        <v>954</v>
      </c>
      <c r="B4961" s="0" t="s">
        <v>98</v>
      </c>
      <c r="E4961" s="6" t="n">
        <f aca="false">Sens!E4958-Sens!E4960</f>
        <v>37.441</v>
      </c>
      <c r="F4961" s="6" t="n">
        <f aca="false">Sens!F4958-Sens!F4960</f>
        <v>-28.369329525095</v>
      </c>
      <c r="G4961" s="6" t="n">
        <f aca="false">Sens!G4958-Sens!G4960</f>
        <v>-1.50837073353415</v>
      </c>
      <c r="H4961" s="6" t="n">
        <f aca="false">Sens!H4958-Sens!H4960</f>
        <v>33.4511260662829</v>
      </c>
      <c r="I4961" s="6" t="n">
        <f aca="false">Sens!I4958-Sens!I4960</f>
        <v>122.770554349001</v>
      </c>
      <c r="J4961" s="6" t="n">
        <f aca="false">Sens!J4958-Sens!J4960</f>
        <v>174.308897761927</v>
      </c>
      <c r="K4961" s="6" t="n">
        <f aca="false">Sens!K4958-Sens!K4960</f>
        <v>232.799550613651</v>
      </c>
    </row>
    <row r="4962" customFormat="false" ht="15" hidden="false" customHeight="false" outlineLevel="0" collapsed="false">
      <c r="A4962" s="1" t="s">
        <v>955</v>
      </c>
      <c r="B4962" s="0" t="s">
        <v>98</v>
      </c>
      <c r="F4962" s="6" t="n">
        <f aca="false">debt_mat_27</f>
        <v>9.25</v>
      </c>
      <c r="G4962" s="6" t="n">
        <f aca="false">debt_mat_28</f>
        <v>0</v>
      </c>
      <c r="H4962" s="6" t="n">
        <f aca="false">debt_mat_29</f>
        <v>2.001</v>
      </c>
      <c r="I4962" s="6" t="n">
        <f aca="false">debt_mat_30</f>
        <v>0</v>
      </c>
      <c r="J4962" s="6" t="n">
        <f aca="false">debt_mat_31</f>
        <v>0.5</v>
      </c>
      <c r="K4962" s="6" t="n">
        <f aca="false">debt_mat_32</f>
        <v>0</v>
      </c>
    </row>
    <row r="4963" customFormat="false" ht="15" hidden="false" customHeight="false" outlineLevel="0" collapsed="false">
      <c r="A4963" s="1" t="s">
        <v>956</v>
      </c>
      <c r="B4963" s="0" t="s">
        <v>98</v>
      </c>
      <c r="E4963" s="6" t="n">
        <f aca="false">Q!M40</f>
        <v>22.271</v>
      </c>
      <c r="F4963" s="6" t="n">
        <f aca="false">MAX(0,MIN(bb_target,Sens!E4965+Sens!F4961-Sens!F4962-min_cash))</f>
        <v>0</v>
      </c>
      <c r="G4963" s="6" t="n">
        <f aca="false">MAX(0,MIN(bb_target,Sens!F4965+Sens!G4961-Sens!G4962-min_cash))</f>
        <v>0</v>
      </c>
      <c r="H4963" s="6" t="n">
        <f aca="false">MAX(0,MIN(bb_target,Sens!G4965+Sens!H4961-Sens!H4962-min_cash))</f>
        <v>22.271</v>
      </c>
      <c r="I4963" s="6" t="n">
        <f aca="false">MAX(0,MIN(bb_target,Sens!H4965+Sens!I4961-Sens!I4962-min_cash))</f>
        <v>22.271</v>
      </c>
      <c r="J4963" s="6" t="n">
        <f aca="false">MAX(0,MIN(bb_target,Sens!I4965+Sens!J4961-Sens!J4962-min_cash))</f>
        <v>22.271</v>
      </c>
      <c r="K4963" s="6" t="n">
        <f aca="false">MAX(0,MIN(bb_target,Sens!J4965+Sens!K4961-Sens!K4962-min_cash))</f>
        <v>22.271</v>
      </c>
    </row>
    <row r="4964" customFormat="false" ht="15" hidden="false" customHeight="false" outlineLevel="0" collapsed="false">
      <c r="A4964" s="1" t="s">
        <v>957</v>
      </c>
      <c r="B4964" s="0" t="s">
        <v>98</v>
      </c>
      <c r="F4964" s="6" t="n">
        <f aca="false">MAX(0,min_cash-(Sens!E4965+Sens!F4961-Sens!F4962-Sens!F4963))</f>
        <v>10.776329525095</v>
      </c>
      <c r="G4964" s="6" t="n">
        <f aca="false">MAX(0,min_cash-(Sens!F4965+Sens!G4961-Sens!G4962-Sens!G4963))</f>
        <v>1.50837073353415</v>
      </c>
      <c r="H4964" s="6" t="n">
        <f aca="false">MAX(0,min_cash-(Sens!G4965+Sens!H4961-Sens!H4962-Sens!H4963))</f>
        <v>0</v>
      </c>
      <c r="I4964" s="6" t="n">
        <f aca="false">MAX(0,min_cash-(Sens!H4965+Sens!I4961-Sens!I4962-Sens!I4963))</f>
        <v>0</v>
      </c>
      <c r="J4964" s="6" t="n">
        <f aca="false">MAX(0,min_cash-(Sens!I4965+Sens!J4961-Sens!J4962-Sens!J4963))</f>
        <v>0</v>
      </c>
      <c r="K4964" s="6" t="n">
        <f aca="false">MAX(0,min_cash-(Sens!J4965+Sens!K4961-Sens!K4962-Sens!K4963))</f>
        <v>0</v>
      </c>
    </row>
    <row r="4965" customFormat="false" ht="15" hidden="false" customHeight="false" outlineLevel="0" collapsed="false">
      <c r="A4965" s="1" t="s">
        <v>958</v>
      </c>
      <c r="B4965" s="0" t="s">
        <v>98</v>
      </c>
      <c r="E4965" s="6" t="n">
        <f aca="false">cash_open</f>
        <v>76.843</v>
      </c>
      <c r="F4965" s="6" t="n">
        <f aca="false">Sens!E4965+Sens!F4961-Sens!F4962-Sens!F4963+Sens!F4964</f>
        <v>50</v>
      </c>
      <c r="G4965" s="6" t="n">
        <f aca="false">Sens!F4965+Sens!G4961-Sens!G4962-Sens!G4963+Sens!G4964</f>
        <v>50</v>
      </c>
      <c r="H4965" s="6" t="n">
        <f aca="false">Sens!G4965+Sens!H4961-Sens!H4962-Sens!H4963+Sens!H4964</f>
        <v>59.1791260662829</v>
      </c>
      <c r="I4965" s="6" t="n">
        <f aca="false">Sens!H4965+Sens!I4961-Sens!I4962-Sens!I4963+Sens!I4964</f>
        <v>159.678680415284</v>
      </c>
      <c r="J4965" s="6" t="n">
        <f aca="false">Sens!I4965+Sens!J4961-Sens!J4962-Sens!J4963+Sens!J4964</f>
        <v>311.216578177211</v>
      </c>
      <c r="K4965" s="6" t="n">
        <f aca="false">Sens!J4965+Sens!K4961-Sens!K4962-Sens!K4963+Sens!K4964</f>
        <v>521.745128790862</v>
      </c>
    </row>
    <row r="4966" customFormat="false" ht="15" hidden="false" customHeight="false" outlineLevel="0" collapsed="false">
      <c r="A4966" s="1" t="s">
        <v>959</v>
      </c>
      <c r="B4966" s="0" t="s">
        <v>98</v>
      </c>
      <c r="E4966" s="6" t="n">
        <f aca="false">debt_face</f>
        <v>46.136</v>
      </c>
      <c r="F4966" s="6" t="n">
        <f aca="false">Sens!E4966-Sens!F4962+Sens!F4964</f>
        <v>47.662329525095</v>
      </c>
      <c r="G4966" s="6" t="n">
        <f aca="false">Sens!F4966-Sens!G4962+Sens!G4964</f>
        <v>49.1707002586292</v>
      </c>
      <c r="H4966" s="6" t="n">
        <f aca="false">Sens!G4966-Sens!H4962+Sens!H4964</f>
        <v>47.1697002586292</v>
      </c>
      <c r="I4966" s="6" t="n">
        <f aca="false">Sens!H4966-Sens!I4962+Sens!I4964</f>
        <v>47.1697002586292</v>
      </c>
      <c r="J4966" s="6" t="n">
        <f aca="false">Sens!I4966-Sens!J4962+Sens!J4964</f>
        <v>46.6697002586292</v>
      </c>
      <c r="K4966" s="6" t="n">
        <f aca="false">Sens!J4966-Sens!K4962+Sens!K4964</f>
        <v>46.6697002586292</v>
      </c>
    </row>
    <row r="4967" customFormat="false" ht="15" hidden="false" customHeight="false" outlineLevel="0" collapsed="false">
      <c r="A4967" s="1" t="s">
        <v>960</v>
      </c>
      <c r="B4967" s="0" t="s">
        <v>98</v>
      </c>
      <c r="E4967" s="6" t="n">
        <f aca="false">Sens!E4965-Sens!E4966</f>
        <v>30.707</v>
      </c>
      <c r="F4967" s="6" t="n">
        <f aca="false">Sens!F4965-Sens!F4966</f>
        <v>2.337670474905</v>
      </c>
      <c r="G4967" s="6" t="n">
        <f aca="false">Sens!G4965-Sens!G4966</f>
        <v>0.829299741370853</v>
      </c>
      <c r="H4967" s="6" t="n">
        <f aca="false">Sens!H4965-Sens!H4966</f>
        <v>12.0094258076538</v>
      </c>
      <c r="I4967" s="6" t="n">
        <f aca="false">Sens!I4965-Sens!I4966</f>
        <v>112.508980156655</v>
      </c>
      <c r="J4967" s="6" t="n">
        <f aca="false">Sens!J4965-Sens!J4966</f>
        <v>264.546877918582</v>
      </c>
      <c r="K4967" s="6" t="n">
        <f aca="false">Sens!K4965-Sens!K4966</f>
        <v>475.075428532233</v>
      </c>
    </row>
    <row r="4968" customFormat="false" ht="15" hidden="false" customHeight="false" outlineLevel="0" collapsed="false">
      <c r="A4968" s="1" t="s">
        <v>961</v>
      </c>
      <c r="B4968" s="0" t="s">
        <v>75</v>
      </c>
      <c r="F4968" s="29" t="n">
        <f aca="false">px*(1+bb_g)^(Sens!F4832-base_fy-mid_yr)</f>
        <v>553.494156066711</v>
      </c>
      <c r="G4968" s="29" t="n">
        <f aca="false">px*(1+bb_g)^(Sens!G4832-base_fy-mid_yr)</f>
        <v>597.773688552047</v>
      </c>
      <c r="H4968" s="29" t="n">
        <f aca="false">px*(1+bb_g)^(Sens!H4832-base_fy-mid_yr)</f>
        <v>645.595583636211</v>
      </c>
      <c r="I4968" s="29" t="n">
        <f aca="false">px*(1+bb_g)^(Sens!I4832-base_fy-mid_yr)</f>
        <v>697.243230327108</v>
      </c>
      <c r="J4968" s="29" t="n">
        <f aca="false">px*(1+bb_g)^(Sens!J4832-base_fy-mid_yr)</f>
        <v>753.022688753277</v>
      </c>
      <c r="K4968" s="29" t="n">
        <f aca="false">px*(1+bb_g)^(Sens!K4832-base_fy-mid_yr)</f>
        <v>813.264503853539</v>
      </c>
    </row>
    <row r="4969" customFormat="false" ht="15" hidden="false" customHeight="false" outlineLevel="0" collapsed="false">
      <c r="A4969" s="1" t="s">
        <v>962</v>
      </c>
      <c r="B4969" s="1" t="s">
        <v>81</v>
      </c>
      <c r="E4969" s="14" t="n">
        <f aca="false">sh_out26</f>
        <v>7.427</v>
      </c>
      <c r="F4969" s="14" t="n">
        <f aca="false">Sens!E4969+sh_iss-Sens!F4963/Sens!F4968</f>
        <v>7.472</v>
      </c>
      <c r="G4969" s="14" t="n">
        <f aca="false">Sens!F4969+sh_iss-Sens!G4963/Sens!G4968</f>
        <v>7.517</v>
      </c>
      <c r="H4969" s="14" t="n">
        <f aca="false">Sens!G4969+sh_iss-Sens!H4963/Sens!H4968</f>
        <v>7.5275031716999</v>
      </c>
      <c r="I4969" s="14" t="n">
        <f aca="false">Sens!H4969+sh_iss-Sens!I4963/Sens!I4968</f>
        <v>7.54056166401463</v>
      </c>
      <c r="J4969" s="14" t="n">
        <f aca="false">Sens!I4969+sh_iss-Sens!J4963/Sens!J4968</f>
        <v>7.55598619393567</v>
      </c>
      <c r="K4969" s="14" t="n">
        <f aca="false">Sens!J4969+sh_iss-Sens!K4963/Sens!K4968</f>
        <v>7.57360149941811</v>
      </c>
    </row>
    <row r="4970" customFormat="false" ht="15" hidden="false" customHeight="false" outlineLevel="0" collapsed="false">
      <c r="A4970" s="1" t="s">
        <v>963</v>
      </c>
      <c r="B4970" s="1" t="s">
        <v>81</v>
      </c>
      <c r="E4970" s="14" t="n">
        <f aca="false">sh_dil26</f>
        <v>7.453</v>
      </c>
      <c r="F4970" s="14" t="n">
        <f aca="false">(Sens!E4969+Sens!F4969)/2+dil_gap</f>
        <v>7.4735</v>
      </c>
      <c r="G4970" s="14" t="n">
        <f aca="false">(Sens!F4969+Sens!G4969)/2+dil_gap</f>
        <v>7.5185</v>
      </c>
      <c r="H4970" s="14" t="n">
        <f aca="false">(Sens!G4969+Sens!H4969)/2+dil_gap</f>
        <v>7.54625158584995</v>
      </c>
      <c r="I4970" s="14" t="n">
        <f aca="false">(Sens!H4969+Sens!I4969)/2+dil_gap</f>
        <v>7.55803241785726</v>
      </c>
      <c r="J4970" s="14" t="n">
        <f aca="false">(Sens!I4969+Sens!J4969)/2+dil_gap</f>
        <v>7.57227392897515</v>
      </c>
      <c r="K4970" s="14" t="n">
        <f aca="false">(Sens!J4969+Sens!K4969)/2+dil_gap</f>
        <v>7.58879384667689</v>
      </c>
    </row>
    <row r="4971" customFormat="false" ht="17.15" hidden="false" customHeight="false" outlineLevel="0" collapsed="false">
      <c r="A4971" s="1" t="s">
        <v>964</v>
      </c>
      <c r="B4971" s="0" t="s">
        <v>98</v>
      </c>
      <c r="C4971" s="6" t="n">
        <f aca="false">SUM(Sens!F4961:J4961)</f>
        <v>300.652877918582</v>
      </c>
    </row>
    <row r="4972" customFormat="false" ht="15" hidden="false" customHeight="false" outlineLevel="0" collapsed="false">
      <c r="A4972" s="23" t="s">
        <v>935</v>
      </c>
      <c r="B4972" s="30" t="s">
        <v>98</v>
      </c>
      <c r="C4972" s="24" t="n">
        <f aca="false">Sens!$C$4971-(Sens!F4961+Sens!G4961+Sens!H4961+Sens!I4961+Sens!J4961)</f>
        <v>0</v>
      </c>
      <c r="D4972" s="30"/>
      <c r="E4972" s="30"/>
      <c r="F4972" s="30"/>
      <c r="G4972" s="30"/>
      <c r="H4972" s="30"/>
      <c r="I4972" s="30"/>
      <c r="J4972" s="30"/>
      <c r="K4972" s="30"/>
    </row>
    <row r="4973" customFormat="false" ht="17.15" hidden="false" customHeight="false" outlineLevel="0" collapsed="false">
      <c r="A4973" s="1" t="s">
        <v>929</v>
      </c>
      <c r="B4973" s="1" t="s">
        <v>965</v>
      </c>
      <c r="C4973" s="32" t="str">
        <f aca="false">IF(SUM(Sens!F4964:J4964)&gt;0.05,"需要舉債 "&amp;TEXT(SUM(Sens!F4964:J4964),"0.0")&amp;" 十億美元","不需舉債")&amp;"；"&amp;IF(SUM(Sens!F4963:J4963)&lt;COUNT(Sens!F4963:J4963)*bb_target-0.05,"回購較每年 "&amp;TEXT(bb_target,"0.0")&amp;" 的目標少 "&amp;TEXT(COUNT(Sens!F4963:J4963)*bb_target-SUM(Sens!F4963:J4963),"0.0")&amp;" 十億美元（"&amp;TEXT(COUNTIF(Sens!F4963:J4963,"&lt;"&amp;(bb_target-0.05)),"0")&amp;" 年減少）","回購不減")</f>
        <v>需要舉債 12.3 十億美元；回購較每年 22.3 的目標少 44.5 十億美元（2 年減少）</v>
      </c>
    </row>
    <row r="4974" customFormat="false" ht="17.15" hidden="false" customHeight="false" outlineLevel="0" collapsed="false">
      <c r="A4974" s="3" t="s">
        <v>1363</v>
      </c>
    </row>
    <row r="4975" customFormat="false" ht="15" hidden="false" customHeight="false" outlineLevel="0" collapsed="false">
      <c r="A4975" s="4" t="s">
        <v>43</v>
      </c>
      <c r="B4975" s="4" t="s">
        <v>65</v>
      </c>
      <c r="C4975" s="20" t="s">
        <v>788</v>
      </c>
      <c r="D4975" s="20" t="s">
        <v>789</v>
      </c>
      <c r="E4975" s="20" t="s">
        <v>790</v>
      </c>
      <c r="F4975" s="20" t="s">
        <v>791</v>
      </c>
      <c r="G4975" s="20" t="s">
        <v>792</v>
      </c>
      <c r="H4975" s="20" t="s">
        <v>793</v>
      </c>
      <c r="I4975" s="20" t="s">
        <v>794</v>
      </c>
      <c r="J4975" s="20" t="s">
        <v>795</v>
      </c>
      <c r="K4975" s="20" t="s">
        <v>796</v>
      </c>
      <c r="L4975" s="4" t="s">
        <v>47</v>
      </c>
    </row>
    <row r="4976" customFormat="false" ht="15" hidden="false" customHeight="false" outlineLevel="0" collapsed="false">
      <c r="A4976" s="1" t="s">
        <v>1042</v>
      </c>
      <c r="B4976" s="1" t="s">
        <v>235</v>
      </c>
      <c r="F4976" s="36" t="n">
        <f aca="false">Sens!F4832-base_fy-mid_yr</f>
        <v>0.5</v>
      </c>
      <c r="G4976" s="36" t="n">
        <f aca="false">Sens!G4832-base_fy-mid_yr</f>
        <v>1.5</v>
      </c>
      <c r="H4976" s="36" t="n">
        <f aca="false">Sens!H4832-base_fy-mid_yr</f>
        <v>2.5</v>
      </c>
      <c r="I4976" s="36" t="n">
        <f aca="false">Sens!I4832-base_fy-mid_yr</f>
        <v>3.5</v>
      </c>
      <c r="J4976" s="36" t="n">
        <f aca="false">Sens!J4832-base_fy-mid_yr</f>
        <v>4.5</v>
      </c>
      <c r="K4976" s="36" t="n">
        <f aca="false">Sens!K4832-base_fy-mid_yr</f>
        <v>5.5</v>
      </c>
    </row>
    <row r="4977" customFormat="false" ht="15" hidden="false" customHeight="false" outlineLevel="0" collapsed="false">
      <c r="A4977" s="1" t="s">
        <v>1043</v>
      </c>
      <c r="B4977" s="0" t="s">
        <v>185</v>
      </c>
      <c r="F4977" s="14" t="n">
        <f aca="false">1/(1+wacc)^Sens!F4976</f>
        <v>0.952193373608246</v>
      </c>
      <c r="G4977" s="14" t="n">
        <f aca="false">1/(1+wacc)^Sens!G4976</f>
        <v>0.863327280626589</v>
      </c>
      <c r="H4977" s="14" t="n">
        <f aca="false">1/(1+wacc)^Sens!H4976</f>
        <v>0.782754862754115</v>
      </c>
      <c r="I4977" s="14" t="n">
        <f aca="false">1/(1+wacc)^Sens!I4976</f>
        <v>0.709702089711011</v>
      </c>
      <c r="J4977" s="14" t="n">
        <f aca="false">1/(1+wacc)^Sens!J4976</f>
        <v>0.643467169744551</v>
      </c>
      <c r="K4977" s="14" t="n">
        <f aca="false">1/(1+wacc)^Sens!K4976</f>
        <v>0.583413807767797</v>
      </c>
    </row>
    <row r="4978" customFormat="false" ht="17.15" hidden="false" customHeight="false" outlineLevel="0" collapsed="false">
      <c r="A4978" s="1" t="s">
        <v>1044</v>
      </c>
      <c r="B4978" s="0" t="s">
        <v>98</v>
      </c>
      <c r="F4978" s="6" t="n">
        <f aca="false">Sens!F4952-Sens!F4950-Sens!F4955+Sens!F4936*(1-tax_f)</f>
        <v>5.45262150399159</v>
      </c>
      <c r="G4978" s="6" t="n">
        <f aca="false">Sens!G4952-Sens!G4950-Sens!G4955+Sens!G4936*(1-tax_f)</f>
        <v>44.5166362158758</v>
      </c>
      <c r="H4978" s="6" t="n">
        <f aca="false">Sens!H4952-Sens!H4950-Sens!H4955+Sens!H4936*(1-tax_f)</f>
        <v>92.1244925443457</v>
      </c>
      <c r="I4978" s="6" t="n">
        <f aca="false">Sens!I4952-Sens!I4950-Sens!I4955+Sens!I4936*(1-tax_f)</f>
        <v>193.251393049357</v>
      </c>
      <c r="J4978" s="6" t="n">
        <f aca="false">Sens!J4952-Sens!J4950-Sens!J4955+Sens!J4936*(1-tax_f)</f>
        <v>253.972590997674</v>
      </c>
      <c r="K4978" s="6" t="n">
        <f aca="false">Sens!K4952-Sens!K4950-Sens!K4955+Sens!K4936*(1-tax_f)</f>
        <v>318.061428930599</v>
      </c>
      <c r="L4978" s="1" t="s">
        <v>1045</v>
      </c>
    </row>
    <row r="4979" customFormat="false" ht="15" hidden="false" customHeight="false" outlineLevel="0" collapsed="false">
      <c r="A4979" s="1" t="s">
        <v>1046</v>
      </c>
      <c r="B4979" s="0" t="s">
        <v>98</v>
      </c>
      <c r="F4979" s="6" t="n">
        <f aca="false">Sens!F4978*Sens!F4977</f>
        <v>5.19195006489462</v>
      </c>
      <c r="G4979" s="6" t="n">
        <f aca="false">Sens!G4978*Sens!G4977</f>
        <v>38.4324264868952</v>
      </c>
      <c r="H4979" s="6" t="n">
        <f aca="false">Sens!H4978*Sens!H4977</f>
        <v>72.1108945178418</v>
      </c>
      <c r="I4979" s="6" t="n">
        <f aca="false">Sens!I4978*Sens!I4977</f>
        <v>137.150917486693</v>
      </c>
      <c r="J4979" s="6" t="n">
        <f aca="false">Sens!J4978*Sens!J4977</f>
        <v>163.423024321964</v>
      </c>
      <c r="K4979" s="6" t="n">
        <f aca="false">Sens!K4978*Sens!K4977</f>
        <v>185.561429356467</v>
      </c>
    </row>
    <row r="4980" customFormat="false" ht="17.15" hidden="false" customHeight="false" outlineLevel="0" collapsed="false">
      <c r="A4980" s="1" t="s">
        <v>1047</v>
      </c>
      <c r="B4980" s="0" t="s">
        <v>98</v>
      </c>
      <c r="C4980" s="6" t="n">
        <f aca="false">SUM(Sens!F4979:K4979)</f>
        <v>601.870642234755</v>
      </c>
    </row>
    <row r="4981" customFormat="false" ht="17.15" hidden="false" customHeight="false" outlineLevel="0" collapsed="false">
      <c r="A4981" s="1" t="s">
        <v>1048</v>
      </c>
      <c r="B4981" s="0" t="s">
        <v>98</v>
      </c>
      <c r="C4981" s="6" t="n">
        <f aca="false">Sens!K4922*(1+g_tv)*(1-tax_f)</f>
        <v>303.401014870494</v>
      </c>
    </row>
    <row r="4982" customFormat="false" ht="17.15" hidden="false" customHeight="false" outlineLevel="0" collapsed="false">
      <c r="A4982" s="1" t="s">
        <v>1049</v>
      </c>
      <c r="B4982" s="0" t="s">
        <v>98</v>
      </c>
      <c r="C4982" s="6" t="n">
        <f aca="false">Sens!$C$4981*(1-g_tv/(wacc+ronic_prem))</f>
        <v>214.975486870218</v>
      </c>
    </row>
    <row r="4983" customFormat="false" ht="17.15" hidden="false" customHeight="false" outlineLevel="0" collapsed="false">
      <c r="A4983" s="1" t="s">
        <v>1050</v>
      </c>
      <c r="B4983" s="0" t="s">
        <v>98</v>
      </c>
      <c r="C4983" s="6" t="n">
        <f aca="false">Sens!$C$4982/(wacc-g_tv)</f>
        <v>2947.51760000922</v>
      </c>
    </row>
    <row r="4984" customFormat="false" ht="15" hidden="false" customHeight="false" outlineLevel="0" collapsed="false">
      <c r="A4984" s="1" t="s">
        <v>1051</v>
      </c>
      <c r="B4984" s="0" t="s">
        <v>98</v>
      </c>
      <c r="C4984" s="6" t="n">
        <f aca="false">Sens!$C$4983/(1+wacc)^(Sens!K4976+mid_yr)</f>
        <v>1637.41311769391</v>
      </c>
    </row>
    <row r="4985" customFormat="false" ht="17.15" hidden="false" customHeight="false" outlineLevel="0" collapsed="false">
      <c r="A4985" s="0" t="s">
        <v>972</v>
      </c>
      <c r="B4985" s="0" t="s">
        <v>98</v>
      </c>
      <c r="C4985" s="6" t="n">
        <f aca="false">Sens!$C$4980+Sens!$C$4984</f>
        <v>2239.28375992867</v>
      </c>
    </row>
    <row r="4986" customFormat="false" ht="15" hidden="false" customHeight="false" outlineLevel="0" collapsed="false">
      <c r="A4986" s="1" t="s">
        <v>973</v>
      </c>
      <c r="B4986" s="0" t="s">
        <v>129</v>
      </c>
      <c r="C4986" s="7" t="n">
        <f aca="false">Sens!$C$4984/Sens!$C$4985</f>
        <v>0.731221807166624</v>
      </c>
    </row>
    <row r="4987" customFormat="false" ht="17.15" hidden="false" customHeight="false" outlineLevel="0" collapsed="false">
      <c r="A4987" s="1" t="s">
        <v>1052</v>
      </c>
      <c r="B4987" s="0" t="s">
        <v>98</v>
      </c>
      <c r="C4987" s="6" t="n">
        <f aca="false">Sens!$C$4985+Sens!E4967-Sens!E4956+oai_v</f>
        <v>2373.79675992867</v>
      </c>
    </row>
    <row r="4988" customFormat="false" ht="17.15" hidden="false" customHeight="false" outlineLevel="0" collapsed="false">
      <c r="A4988" s="0" t="s">
        <v>980</v>
      </c>
      <c r="B4988" s="0" t="s">
        <v>75</v>
      </c>
      <c r="C4988" s="5" t="n">
        <f aca="false">Sens!$C$4987/sh_dil26</f>
        <v>318.502181662239</v>
      </c>
    </row>
    <row r="4989" customFormat="false" ht="15" hidden="false" customHeight="false" outlineLevel="0" collapsed="false">
      <c r="A4989" s="1" t="s">
        <v>1053</v>
      </c>
      <c r="B4989" s="0" t="s">
        <v>75</v>
      </c>
      <c r="C4989" s="8" t="n">
        <f aca="false">dps_27+Sens!G4959*roll_div_q/q_per_yr</f>
        <v>4.8895</v>
      </c>
    </row>
    <row r="4990" customFormat="false" ht="17.15" hidden="false" customHeight="false" outlineLevel="0" collapsed="false">
      <c r="A4990" s="0" t="s">
        <v>1054</v>
      </c>
      <c r="B4990" s="0" t="s">
        <v>75</v>
      </c>
      <c r="C4990" s="5" t="n">
        <f aca="false">Sens!$C$4988*(1+wacc)^t_roll-Sens!$C$4989</f>
        <v>357.799568895585</v>
      </c>
    </row>
    <row r="4991" customFormat="false" ht="17.15" hidden="false" customHeight="false" outlineLevel="0" collapsed="false">
      <c r="A4991" s="1" t="s">
        <v>1055</v>
      </c>
      <c r="B4991" s="0" t="s">
        <v>129</v>
      </c>
      <c r="F4991" s="7" t="n">
        <f aca="false">Sens!F4948/(Sens!F4893-Sens!F4849)</f>
        <v>0.0740541325548886</v>
      </c>
      <c r="G4991" s="7" t="n">
        <f aca="false">Sens!G4948/(Sens!G4893-Sens!G4849)</f>
        <v>0.0701633968876188</v>
      </c>
      <c r="H4991" s="7" t="n">
        <f aca="false">Sens!H4948/(Sens!H4893-Sens!H4849)</f>
        <v>0.0678602310934211</v>
      </c>
      <c r="I4991" s="7" t="n">
        <f aca="false">Sens!I4948/(Sens!I4893-Sens!I4849)</f>
        <v>0.0669754380931383</v>
      </c>
      <c r="J4991" s="7" t="n">
        <f aca="false">Sens!J4948/(Sens!J4893-Sens!J4849)</f>
        <v>0.0671762064142188</v>
      </c>
      <c r="K4991" s="7" t="n">
        <f aca="false">Sens!K4948/(Sens!K4893-Sens!K4849)</f>
        <v>0.0680736115912917</v>
      </c>
    </row>
    <row r="4992" customFormat="false" ht="17.15" hidden="false" customHeight="false" outlineLevel="0" collapsed="false">
      <c r="A4992" s="0" t="s">
        <v>1056</v>
      </c>
      <c r="B4992" s="0" t="s">
        <v>98</v>
      </c>
      <c r="F4992" s="6" t="n">
        <f aca="false">Sens!F4878*(al_m365+Sens!F4991+sbc_r)</f>
        <v>84.5844102298986</v>
      </c>
      <c r="G4992" s="6" t="n">
        <f aca="false">Sens!G4878*(al_m365+Sens!G4991+sbc_r)</f>
        <v>96.9650508823547</v>
      </c>
      <c r="H4992" s="6" t="n">
        <f aca="false">Sens!H4878*(al_m365+Sens!H4991+sbc_r)</f>
        <v>109.508242386922</v>
      </c>
      <c r="I4992" s="6" t="n">
        <f aca="false">Sens!I4878*(al_m365+Sens!I4991+sbc_r)</f>
        <v>121.032676507692</v>
      </c>
      <c r="J4992" s="6" t="n">
        <f aca="false">Sens!J4878*(al_m365+Sens!J4991+sbc_r)</f>
        <v>131.352799965961</v>
      </c>
      <c r="K4992" s="6" t="n">
        <f aca="false">Sens!K4878*(al_m365+Sens!K4991+sbc_r)</f>
        <v>141.28735071051</v>
      </c>
      <c r="L4992" s="11" t="s">
        <v>1057</v>
      </c>
    </row>
    <row r="4993" customFormat="false" ht="17.15" hidden="false" customHeight="false" outlineLevel="0" collapsed="false">
      <c r="A4993" s="0" t="s">
        <v>1058</v>
      </c>
      <c r="B4993" s="0" t="s">
        <v>98</v>
      </c>
      <c r="F4993" s="6" t="n">
        <f aca="false">Sens!F4879*(al_lic+Sens!F4991+sbc_r)</f>
        <v>33.6581273449946</v>
      </c>
      <c r="G4993" s="6" t="n">
        <f aca="false">Sens!G4879*(al_lic+Sens!G4991+sbc_r)</f>
        <v>34.9249004632669</v>
      </c>
      <c r="H4993" s="6" t="n">
        <f aca="false">Sens!H4879*(al_lic+Sens!H4991+sbc_r)</f>
        <v>36.1114295278204</v>
      </c>
      <c r="I4993" s="6" t="n">
        <f aca="false">Sens!I4879*(al_lic+Sens!I4991+sbc_r)</f>
        <v>37.1985764846133</v>
      </c>
      <c r="J4993" s="6" t="n">
        <f aca="false">Sens!J4879*(al_lic+Sens!J4991+sbc_r)</f>
        <v>38.1593070036881</v>
      </c>
      <c r="K4993" s="6" t="n">
        <f aca="false">Sens!K4879*(al_lic+Sens!K4991+sbc_r)</f>
        <v>38.9633671563592</v>
      </c>
    </row>
    <row r="4994" customFormat="false" ht="17.15" hidden="false" customHeight="false" outlineLevel="0" collapsed="false">
      <c r="A4994" s="0" t="s">
        <v>1059</v>
      </c>
      <c r="B4994" s="0" t="s">
        <v>98</v>
      </c>
      <c r="F4994" s="6" t="n">
        <f aca="false">Sens!F4881*(al_ind+Sens!F4991+sbc_r)</f>
        <v>9.19858137024735</v>
      </c>
      <c r="G4994" s="6" t="n">
        <f aca="false">Sens!G4881*(al_ind+Sens!G4991+sbc_r)</f>
        <v>9.96010285964249</v>
      </c>
      <c r="H4994" s="6" t="n">
        <f aca="false">Sens!H4881*(al_ind+Sens!H4991+sbc_r)</f>
        <v>10.76884368696</v>
      </c>
      <c r="I4994" s="6" t="n">
        <f aca="false">Sens!I4881*(al_ind+Sens!I4991+sbc_r)</f>
        <v>11.6217416863087</v>
      </c>
      <c r="J4994" s="6" t="n">
        <f aca="false">Sens!J4881*(al_ind+Sens!J4991+sbc_r)</f>
        <v>12.5086562829967</v>
      </c>
      <c r="K4994" s="6" t="n">
        <f aca="false">Sens!K4881*(al_ind+Sens!K4991+sbc_r)</f>
        <v>13.4139516188381</v>
      </c>
    </row>
    <row r="4995" customFormat="false" ht="17.15" hidden="false" customHeight="false" outlineLevel="0" collapsed="false">
      <c r="A4995" s="0" t="s">
        <v>1060</v>
      </c>
      <c r="B4995" s="0" t="s">
        <v>98</v>
      </c>
      <c r="F4995" s="6" t="n">
        <f aca="false">Sens!F4883*(al_fro+Sens!F4991+sbc_r)</f>
        <v>3.62059392171741</v>
      </c>
      <c r="G4995" s="6" t="n">
        <f aca="false">Sens!G4883*(al_fro+Sens!G4991+sbc_r)</f>
        <v>3.82409064015425</v>
      </c>
      <c r="H4995" s="6" t="n">
        <f aca="false">Sens!H4883*(al_fro+Sens!H4991+sbc_r)</f>
        <v>4.05806889242345</v>
      </c>
      <c r="I4995" s="6" t="n">
        <f aca="false">Sens!I4883*(al_fro+Sens!I4991+sbc_r)</f>
        <v>4.32513925650949</v>
      </c>
      <c r="J4995" s="6" t="n">
        <f aca="false">Sens!J4883*(al_fro+Sens!J4991+sbc_r)</f>
        <v>4.62618180022116</v>
      </c>
      <c r="K4995" s="6" t="n">
        <f aca="false">Sens!K4883*(al_fro+Sens!K4991+sbc_r)</f>
        <v>4.96099480585052</v>
      </c>
    </row>
    <row r="4996" customFormat="false" ht="17.15" hidden="false" customHeight="false" outlineLevel="0" collapsed="false">
      <c r="A4996" s="0" t="s">
        <v>1061</v>
      </c>
      <c r="B4996" s="0" t="s">
        <v>98</v>
      </c>
      <c r="F4996" s="6" t="n">
        <f aca="false">Sens!F4886*(al_srch+Sens!F4991+sbc_r)</f>
        <v>11.360380893837</v>
      </c>
      <c r="G4996" s="6" t="n">
        <f aca="false">Sens!G4886*(al_srch+Sens!G4991+sbc_r)</f>
        <v>12.4169344348132</v>
      </c>
      <c r="H4996" s="6" t="n">
        <f aca="false">Sens!H4886*(al_srch+Sens!H4991+sbc_r)</f>
        <v>13.5206740071412</v>
      </c>
      <c r="I4996" s="6" t="n">
        <f aca="false">Sens!I4886*(al_srch+Sens!I4991+sbc_r)</f>
        <v>14.6610926035602</v>
      </c>
      <c r="J4996" s="6" t="n">
        <f aca="false">Sens!J4886*(al_srch+Sens!J4991+sbc_r)</f>
        <v>15.8177782038987</v>
      </c>
      <c r="K4996" s="6" t="n">
        <f aca="false">Sens!K4886*(al_srch+Sens!K4991+sbc_r)</f>
        <v>16.9625663016282</v>
      </c>
    </row>
    <row r="4997" customFormat="false" ht="17.15" hidden="false" customHeight="false" outlineLevel="0" collapsed="false">
      <c r="A4997" s="0" t="s">
        <v>1062</v>
      </c>
      <c r="B4997" s="0" t="s">
        <v>98</v>
      </c>
      <c r="F4997" s="6" t="n">
        <f aca="false">Sens!F4855-Sens!F4856+Sens!F4936</f>
        <v>52.9697621027007</v>
      </c>
      <c r="G4997" s="6" t="n">
        <f aca="false">Sens!G4855-Sens!G4856+Sens!G4936</f>
        <v>91.0652229844926</v>
      </c>
      <c r="H4997" s="6" t="n">
        <f aca="false">Sens!H4855-Sens!H4856+Sens!H4936</f>
        <v>131.859617872486</v>
      </c>
      <c r="I4997" s="6" t="n">
        <f aca="false">Sens!I4855-Sens!I4856+Sens!I4936</f>
        <v>166.85709970384</v>
      </c>
      <c r="J4997" s="6" t="n">
        <f aca="false">Sens!J4855-Sens!J4856+Sens!J4936</f>
        <v>191.780061623975</v>
      </c>
      <c r="K4997" s="6" t="n">
        <f aca="false">Sens!K4855-Sens!K4856+Sens!K4936</f>
        <v>204.855138756244</v>
      </c>
    </row>
    <row r="4998" customFormat="false" ht="17.15" hidden="false" customHeight="false" outlineLevel="0" collapsed="false">
      <c r="A4998" s="0" t="s">
        <v>1063</v>
      </c>
      <c r="B4998" s="0" t="s">
        <v>98</v>
      </c>
      <c r="F4998" s="6" t="n">
        <f aca="false">Sens!F4915+Sens!F4936+Sens!F4866+Sens!F4991*(Sens!F4885-Sens!F4849)+sbc_r*Sens!F4885</f>
        <v>243.05402806436</v>
      </c>
      <c r="G4998" s="6" t="n">
        <f aca="false">Sens!G4915+Sens!G4936+Sens!G4866+Sens!G4991*(Sens!G4885-Sens!G4849)+sbc_r*Sens!G4885</f>
        <v>307.742370018952</v>
      </c>
      <c r="H4998" s="6" t="n">
        <f aca="false">Sens!H4915+Sens!H4936+Sens!H4866+Sens!H4991*(Sens!H4885-Sens!H4849)+sbc_r*Sens!H4885</f>
        <v>375.641512162124</v>
      </c>
      <c r="I4998" s="6" t="n">
        <f aca="false">Sens!I4915+Sens!I4936+Sens!I4866+Sens!I4991*(Sens!I4885-Sens!I4849)+sbc_r*Sens!I4885</f>
        <v>436.357175259616</v>
      </c>
      <c r="J4998" s="6" t="n">
        <f aca="false">Sens!J4915+Sens!J4936+Sens!J4866+Sens!J4991*(Sens!J4885-Sens!J4849)+sbc_r*Sens!J4885</f>
        <v>484.622288683908</v>
      </c>
      <c r="K4998" s="6" t="n">
        <f aca="false">Sens!K4915+Sens!K4936+Sens!K4866+Sens!K4991*(Sens!K4885-Sens!K4849)+sbc_r*Sens!K4885</f>
        <v>518.661406023121</v>
      </c>
    </row>
    <row r="4999" customFormat="false" ht="17.15" hidden="false" customHeight="false" outlineLevel="0" collapsed="false">
      <c r="A4999" s="0" t="s">
        <v>1064</v>
      </c>
      <c r="B4999" s="0" t="s">
        <v>98</v>
      </c>
      <c r="F4999" s="6" t="n">
        <f aca="false">Sens!F4998-Sens!F4992-Sens!F4993-Sens!F4994-Sens!F4995-Sens!F4997</f>
        <v>59.0225530948011</v>
      </c>
      <c r="G4999" s="6" t="n">
        <f aca="false">Sens!G4998-Sens!G4992-Sens!G4993-Sens!G4994-Sens!G4995-Sens!G4997</f>
        <v>71.003002189041</v>
      </c>
      <c r="H4999" s="6" t="n">
        <f aca="false">Sens!H4998-Sens!H4992-Sens!H4993-Sens!H4994-Sens!H4995-Sens!H4997</f>
        <v>83.3353097955118</v>
      </c>
      <c r="I4999" s="6" t="n">
        <f aca="false">Sens!I4998-Sens!I4992-Sens!I4993-Sens!I4994-Sens!I4995-Sens!I4997</f>
        <v>95.3219416206522</v>
      </c>
      <c r="J4999" s="6" t="n">
        <f aca="false">Sens!J4998-Sens!J4992-Sens!J4993-Sens!J4994-Sens!J4995-Sens!J4997</f>
        <v>106.195282007066</v>
      </c>
      <c r="K4999" s="6" t="n">
        <f aca="false">Sens!K4998-Sens!K4992-Sens!K4993-Sens!K4994-Sens!K4995-Sens!K4997</f>
        <v>115.180602975318</v>
      </c>
    </row>
    <row r="5000" customFormat="false" ht="17.15" hidden="false" customHeight="false" outlineLevel="0" collapsed="false">
      <c r="A5000" s="0" t="s">
        <v>1065</v>
      </c>
      <c r="B5000" s="0" t="s">
        <v>98</v>
      </c>
      <c r="F5000" s="6" t="n">
        <f aca="false">Sens!F4917+Sens!F4991*Sens!F4892+sbc_r*Sens!F4892</f>
        <v>26.5546154215543</v>
      </c>
      <c r="G5000" s="6" t="n">
        <f aca="false">Sens!G4917+Sens!G4991*Sens!G4892+sbc_r*Sens!G4892</f>
        <v>27.1021275815682</v>
      </c>
      <c r="H5000" s="6" t="n">
        <f aca="false">Sens!H4917+Sens!H4991*Sens!H4892+sbc_r*Sens!H4892</f>
        <v>27.9316607602261</v>
      </c>
      <c r="I5000" s="6" t="n">
        <f aca="false">Sens!I4917+Sens!I4991*Sens!I4892+sbc_r*Sens!I4892</f>
        <v>29.0103162205122</v>
      </c>
      <c r="J5000" s="6" t="n">
        <f aca="false">Sens!J4917+Sens!J4991*Sens!J4892+sbc_r*Sens!J4892</f>
        <v>30.2997319045063</v>
      </c>
      <c r="K5000" s="6" t="n">
        <f aca="false">Sens!K4917+Sens!K4991*Sens!K4892+sbc_r*Sens!K4892</f>
        <v>31.7601613069994</v>
      </c>
    </row>
    <row r="5001" customFormat="false" ht="17.15" hidden="false" customHeight="false" outlineLevel="0" collapsed="false">
      <c r="A5001" s="0" t="s">
        <v>1066</v>
      </c>
      <c r="B5001" s="0" t="s">
        <v>98</v>
      </c>
      <c r="F5001" s="6" t="n">
        <f aca="false">(Sens!F5000-Sens!F4996)*Sens!F4888/(Sens!F4888+Sens!F4890)</f>
        <v>8.32933137839467</v>
      </c>
      <c r="G5001" s="6" t="n">
        <f aca="false">(Sens!G5000-Sens!G4996)*Sens!G4888/(Sens!G4888+Sens!G4890)</f>
        <v>7.90674386753957</v>
      </c>
      <c r="H5001" s="6" t="n">
        <f aca="false">(Sens!H5000-Sens!H4996)*Sens!H4888/(Sens!H4888+Sens!H4890)</f>
        <v>7.65429417568211</v>
      </c>
      <c r="I5001" s="6" t="n">
        <f aca="false">(Sens!I5000-Sens!I4996)*Sens!I4888/(Sens!I4888+Sens!I4890)</f>
        <v>7.552529790065</v>
      </c>
      <c r="J5001" s="6" t="n">
        <f aca="false">(Sens!J5000-Sens!J4996)*Sens!J4888/(Sens!J4888+Sens!J4890)</f>
        <v>7.58792239813626</v>
      </c>
      <c r="K5001" s="6" t="n">
        <f aca="false">(Sens!K5000-Sens!K4996)*Sens!K4888/(Sens!K4888+Sens!K4890)</f>
        <v>7.75330489940004</v>
      </c>
    </row>
    <row r="5002" customFormat="false" ht="17.15" hidden="false" customHeight="false" outlineLevel="0" collapsed="false">
      <c r="A5002" s="0" t="s">
        <v>1067</v>
      </c>
      <c r="B5002" s="0" t="s">
        <v>98</v>
      </c>
      <c r="F5002" s="6" t="n">
        <f aca="false">Sens!F5000-Sens!F4996-Sens!F5001</f>
        <v>6.86490314932259</v>
      </c>
      <c r="G5002" s="6" t="n">
        <f aca="false">Sens!G5000-Sens!G4996-Sens!G5001</f>
        <v>6.77844927921543</v>
      </c>
      <c r="H5002" s="6" t="n">
        <f aca="false">Sens!H5000-Sens!H4996-Sens!H5001</f>
        <v>6.75669257740277</v>
      </c>
      <c r="I5002" s="6" t="n">
        <f aca="false">Sens!I5000-Sens!I4996-Sens!I5001</f>
        <v>6.79669382688701</v>
      </c>
      <c r="J5002" s="6" t="n">
        <f aca="false">Sens!J5000-Sens!J4996-Sens!J5001</f>
        <v>6.89403130247136</v>
      </c>
      <c r="K5002" s="6" t="n">
        <f aca="false">Sens!K5000-Sens!K4996-Sens!K5001</f>
        <v>7.04429010597119</v>
      </c>
    </row>
    <row r="5003" customFormat="false" ht="17.15" hidden="false" customHeight="false" outlineLevel="0" collapsed="false">
      <c r="A5003" s="0" t="s">
        <v>1068</v>
      </c>
      <c r="B5003" s="0" t="s">
        <v>98</v>
      </c>
      <c r="F5003" s="6" t="n">
        <f aca="false">Sens!F4997-tax_f*(Sens!F4997-Sens!F4866)-Sens!F4863</f>
        <v>-120.219445864414</v>
      </c>
      <c r="G5003" s="6" t="n">
        <f aca="false">Sens!G4997-tax_f*(Sens!G4997-Sens!G4866)-Sens!G4863</f>
        <v>-100.235664370976</v>
      </c>
      <c r="H5003" s="6" t="n">
        <f aca="false">Sens!H4997-tax_f*(Sens!H4997-Sens!H4866)-Sens!H4863</f>
        <v>-67.391554527873</v>
      </c>
      <c r="I5003" s="6" t="n">
        <f aca="false">Sens!I4997-tax_f*(Sens!I4997-Sens!I4866)-Sens!I4863</f>
        <v>19.3236990014601</v>
      </c>
      <c r="J5003" s="6" t="n">
        <f aca="false">Sens!J4997-tax_f*(Sens!J4997-Sens!J4866)-Sens!J4863</f>
        <v>66.4428298853419</v>
      </c>
      <c r="K5003" s="6" t="n">
        <f aca="false">Sens!K4997-tax_f*(Sens!K4997-Sens!K4866)-Sens!K4863</f>
        <v>117.68270403305</v>
      </c>
    </row>
    <row r="5004" customFormat="false" ht="17.15" hidden="false" customHeight="false" outlineLevel="0" collapsed="false">
      <c r="A5004" s="0" t="s">
        <v>1069</v>
      </c>
      <c r="B5004" s="0" t="s">
        <v>98</v>
      </c>
      <c r="F5004" s="6" t="n">
        <f aca="false">Sens!F5003*Sens!F4977</f>
        <v>-114.47215973095</v>
      </c>
      <c r="G5004" s="6" t="n">
        <f aca="false">Sens!G5003*Sens!G4977</f>
        <v>-86.5361835431944</v>
      </c>
      <c r="H5004" s="6" t="n">
        <f aca="false">Sens!H5003*Sens!H4977</f>
        <v>-52.7510670152517</v>
      </c>
      <c r="I5004" s="6" t="n">
        <f aca="false">Sens!I5003*Sens!I4977</f>
        <v>13.7140695622828</v>
      </c>
      <c r="J5004" s="6" t="n">
        <f aca="false">Sens!J5003*Sens!J4977</f>
        <v>42.7537796961396</v>
      </c>
      <c r="K5004" s="6" t="n">
        <f aca="false">Sens!K5003*Sens!K4977</f>
        <v>68.6577144683324</v>
      </c>
    </row>
    <row r="5005" customFormat="false" ht="17.15" hidden="false" customHeight="false" outlineLevel="0" collapsed="false">
      <c r="A5005" s="0" t="s">
        <v>1070</v>
      </c>
      <c r="B5005" s="0" t="s">
        <v>98</v>
      </c>
      <c r="C5005" s="6" t="n">
        <f aca="false">(Sens!K4997-Sens!K4866)*(1-tax_f)*(1+g_tv)*(1-g_tv/(wacc+ronic_prem))/(wacc-g_tv)/(1+wacc)^(Sens!K4976+mid_yr)</f>
        <v>384.494348358636</v>
      </c>
    </row>
    <row r="5006" customFormat="false" ht="17.15" hidden="false" customHeight="false" outlineLevel="0" collapsed="false">
      <c r="A5006" s="1" t="s">
        <v>1071</v>
      </c>
      <c r="B5006" s="0" t="s">
        <v>98</v>
      </c>
      <c r="C5006" s="6" t="n">
        <f aca="false">(SUM(Sens!F5004:K5004)+Sens!$C$5005)*(1+wacc)^t_roll</f>
        <v>291.356896455911</v>
      </c>
      <c r="L5006" s="11" t="s">
        <v>1072</v>
      </c>
    </row>
    <row r="5007" customFormat="false" ht="17.15" hidden="false" customHeight="false" outlineLevel="0" collapsed="false">
      <c r="A5007" s="1" t="s">
        <v>1073</v>
      </c>
      <c r="B5007" s="0" t="s">
        <v>98</v>
      </c>
      <c r="C5007" s="6" t="n">
        <f aca="false">(w_ntm28*Sens!G4855+(1-w_ntm28)*Sens!H4855)*m_ai</f>
        <v>454.922440830797</v>
      </c>
    </row>
    <row r="5008" customFormat="false" ht="17.15" hidden="false" customHeight="false" outlineLevel="0" collapsed="false">
      <c r="A5008" s="1" t="s">
        <v>1074</v>
      </c>
      <c r="B5008" s="0" t="s">
        <v>98</v>
      </c>
      <c r="C5008" s="6" t="n">
        <f aca="false">(w_ntm28*Sens!G4999+(1-w_ntm28)*Sens!H4999)*m_cloud</f>
        <v>1036.36021340961</v>
      </c>
    </row>
    <row r="5009" customFormat="false" ht="17.15" hidden="false" customHeight="false" outlineLevel="0" collapsed="false">
      <c r="A5009" s="1" t="s">
        <v>1075</v>
      </c>
      <c r="B5009" s="0" t="s">
        <v>98</v>
      </c>
      <c r="C5009" s="6" t="n">
        <f aca="false">(w_ntm28*Sens!G4992+(1-w_ntm28)*Sens!H4992)*m_sw</f>
        <v>1091.0171885799</v>
      </c>
    </row>
    <row r="5010" customFormat="false" ht="17.15" hidden="false" customHeight="false" outlineLevel="0" collapsed="false">
      <c r="A5010" s="1" t="s">
        <v>1076</v>
      </c>
      <c r="B5010" s="0" t="s">
        <v>98</v>
      </c>
      <c r="C5010" s="6" t="n">
        <f aca="false">(w_ntm28*Sens!G4993+(1-w_ntm28)*Sens!H4993)*m_sw</f>
        <v>381.331699359083</v>
      </c>
    </row>
    <row r="5011" customFormat="false" ht="17.15" hidden="false" customHeight="false" outlineLevel="0" collapsed="false">
      <c r="A5011" s="1" t="s">
        <v>1077</v>
      </c>
      <c r="B5011" s="0" t="s">
        <v>98</v>
      </c>
      <c r="C5011" s="6" t="n">
        <f aca="false">(w_ntm28*Sens!G4994+(1-w_ntm28)*Sens!H4994)*m_sw</f>
        <v>110.392835022039</v>
      </c>
    </row>
    <row r="5012" customFormat="false" ht="17.15" hidden="false" customHeight="false" outlineLevel="0" collapsed="false">
      <c r="A5012" s="1" t="s">
        <v>1078</v>
      </c>
      <c r="B5012" s="0" t="s">
        <v>98</v>
      </c>
      <c r="C5012" s="6" t="n">
        <f aca="false">(w_ntm28*Sens!G4995+(1-w_ntm28)*Sens!H4995)*m_sw</f>
        <v>42.1171155840546</v>
      </c>
    </row>
    <row r="5013" customFormat="false" ht="17.15" hidden="false" customHeight="false" outlineLevel="0" collapsed="false">
      <c r="A5013" s="1" t="s">
        <v>1079</v>
      </c>
      <c r="B5013" s="0" t="s">
        <v>98</v>
      </c>
      <c r="C5013" s="6" t="n">
        <f aca="false">(w_ntm28*Sens!G4996+(1-w_ntm28)*Sens!H4996)*m_ads</f>
        <v>116.368952058576</v>
      </c>
    </row>
    <row r="5014" customFormat="false" ht="17.15" hidden="false" customHeight="false" outlineLevel="0" collapsed="false">
      <c r="A5014" s="1" t="s">
        <v>1080</v>
      </c>
      <c r="B5014" s="0" t="s">
        <v>98</v>
      </c>
      <c r="C5014" s="6" t="n">
        <f aca="false">(w_ntm28*Sens!G5001+(1-w_ntm28)*Sens!H5001)*m_game</f>
        <v>98.8313918312361</v>
      </c>
    </row>
    <row r="5015" customFormat="false" ht="17.15" hidden="false" customHeight="false" outlineLevel="0" collapsed="false">
      <c r="A5015" s="1" t="s">
        <v>1081</v>
      </c>
      <c r="B5015" s="0" t="s">
        <v>98</v>
      </c>
      <c r="C5015" s="6" t="n">
        <f aca="false">(w_ntm28*Sens!G5002+(1-w_ntm28)*Sens!H5002)*m_pc</f>
        <v>97.9823838152417</v>
      </c>
    </row>
    <row r="5016" customFormat="false" ht="17.15" hidden="false" customHeight="false" outlineLevel="0" collapsed="false">
      <c r="A5016" s="1" t="s">
        <v>1082</v>
      </c>
      <c r="B5016" s="0" t="s">
        <v>98</v>
      </c>
      <c r="C5016" s="6" t="n">
        <f aca="false">Sens!$C$5006+Sens!$C$5008+Sens!$C$5009+Sens!$C$5010+Sens!$C$5011+Sens!$C$5012+Sens!$C$5013+Sens!$C$5014+Sens!$C$5015</f>
        <v>3265.75867611565</v>
      </c>
    </row>
    <row r="5017" customFormat="false" ht="17.15" hidden="false" customHeight="false" outlineLevel="0" collapsed="false">
      <c r="A5017" s="1" t="s">
        <v>1000</v>
      </c>
      <c r="B5017" s="0" t="s">
        <v>98</v>
      </c>
      <c r="C5017" s="6" t="n">
        <f aca="false">Sens!F4967+oai_v-Sens!F4956</f>
        <v>110.267940474905</v>
      </c>
      <c r="L5017" s="1" t="s">
        <v>1083</v>
      </c>
    </row>
    <row r="5018" customFormat="false" ht="15" hidden="false" customHeight="false" outlineLevel="0" collapsed="false">
      <c r="A5018" s="1" t="s">
        <v>1001</v>
      </c>
      <c r="B5018" s="0" t="s">
        <v>75</v>
      </c>
      <c r="C5018" s="5" t="n">
        <f aca="false">(Sens!$C$5016+Sens!$C$5017)/Sens!F4969</f>
        <v>451.823690657194</v>
      </c>
    </row>
    <row r="5019" customFormat="false" ht="17.15" hidden="false" customHeight="false" outlineLevel="0" collapsed="false">
      <c r="A5019" s="1" t="s">
        <v>1084</v>
      </c>
      <c r="B5019" s="0" t="s">
        <v>75</v>
      </c>
      <c r="C5019" s="5" t="n">
        <f aca="false">w_dcf*Sens!$C$4990+(1-w_dcf)*Sens!$C$5018</f>
        <v>404.81162977639</v>
      </c>
    </row>
    <row r="5020" customFormat="false" ht="17.15" hidden="false" customHeight="false" outlineLevel="0" collapsed="false">
      <c r="A5020" s="3" t="s">
        <v>1364</v>
      </c>
    </row>
    <row r="5021" customFormat="false" ht="15" hidden="false" customHeight="false" outlineLevel="0" collapsed="false">
      <c r="A5021" s="4" t="s">
        <v>43</v>
      </c>
      <c r="B5021" s="4" t="s">
        <v>65</v>
      </c>
      <c r="C5021" s="20" t="s">
        <v>788</v>
      </c>
      <c r="D5021" s="20" t="s">
        <v>789</v>
      </c>
      <c r="E5021" s="20" t="s">
        <v>790</v>
      </c>
      <c r="F5021" s="20" t="s">
        <v>791</v>
      </c>
      <c r="G5021" s="20" t="s">
        <v>792</v>
      </c>
      <c r="H5021" s="20" t="s">
        <v>793</v>
      </c>
      <c r="I5021" s="20" t="s">
        <v>794</v>
      </c>
      <c r="J5021" s="20" t="s">
        <v>795</v>
      </c>
      <c r="K5021" s="20" t="s">
        <v>796</v>
      </c>
      <c r="L5021" s="4" t="s">
        <v>47</v>
      </c>
    </row>
    <row r="5022" customFormat="false" ht="17.15" hidden="false" customHeight="false" outlineLevel="0" collapsed="false">
      <c r="A5022" s="1" t="s">
        <v>797</v>
      </c>
      <c r="B5022" s="1" t="s">
        <v>235</v>
      </c>
      <c r="C5022" s="28" t="n">
        <v>2024</v>
      </c>
      <c r="D5022" s="28" t="n">
        <v>2025</v>
      </c>
      <c r="E5022" s="28" t="n">
        <v>2026</v>
      </c>
      <c r="F5022" s="28" t="n">
        <v>2027</v>
      </c>
      <c r="G5022" s="28" t="n">
        <v>2028</v>
      </c>
      <c r="H5022" s="28" t="n">
        <v>2029</v>
      </c>
      <c r="I5022" s="28" t="n">
        <v>2030</v>
      </c>
      <c r="J5022" s="28" t="n">
        <v>2031</v>
      </c>
      <c r="K5022" s="28" t="n">
        <v>2032</v>
      </c>
    </row>
    <row r="5023" customFormat="false" ht="17.15" hidden="false" customHeight="false" outlineLevel="0" collapsed="false">
      <c r="A5023" s="1" t="s">
        <v>798</v>
      </c>
      <c r="B5023" s="0" t="s">
        <v>392</v>
      </c>
      <c r="F5023" s="29" t="n">
        <f aca="false">pace</f>
        <v>2527.2</v>
      </c>
      <c r="G5023" s="29" t="n">
        <f aca="false">pace</f>
        <v>2527.2</v>
      </c>
      <c r="H5023" s="29" t="n">
        <f aca="false">pace</f>
        <v>2527.2</v>
      </c>
      <c r="I5023" s="29" t="n">
        <f aca="false">pace+(g_tv*Sens!H5024-pace)*MIN(1,(Sens!I5022-pace_y0)/(pace_y1-pace_y0))</f>
        <v>1793.116</v>
      </c>
      <c r="J5023" s="29" t="n">
        <f aca="false">pace+(g_tv*Sens!H5024-pace)*MIN(1,(Sens!J5022-pace_y0)/(pace_y1-pace_y0))</f>
        <v>1059.032</v>
      </c>
      <c r="K5023" s="29" t="n">
        <f aca="false">pace+(g_tv*Sens!H5024-pace)*MIN(1,(Sens!K5022-pace_y0)/(pace_y1-pace_y0))</f>
        <v>324.948</v>
      </c>
      <c r="L5023" s="11" t="s">
        <v>799</v>
      </c>
    </row>
    <row r="5024" customFormat="false" ht="17.15" hidden="false" customHeight="false" outlineLevel="0" collapsed="false">
      <c r="A5024" s="1" t="s">
        <v>800</v>
      </c>
      <c r="B5024" s="0" t="s">
        <v>392</v>
      </c>
      <c r="C5024" s="29" t="n">
        <f aca="false">mw_ext_24</f>
        <v>640</v>
      </c>
      <c r="D5024" s="29" t="n">
        <f aca="false">mw_ext_25</f>
        <v>1630</v>
      </c>
      <c r="E5024" s="29" t="n">
        <f aca="false">mw_ext_26</f>
        <v>3250</v>
      </c>
      <c r="F5024" s="29" t="n">
        <f aca="false">Sens!E5024+Sens!F5023</f>
        <v>5777.2</v>
      </c>
      <c r="G5024" s="29" t="n">
        <f aca="false">Sens!F5024+Sens!G5023</f>
        <v>8304.4</v>
      </c>
      <c r="H5024" s="29" t="n">
        <f aca="false">Sens!G5024+Sens!H5023</f>
        <v>10831.6</v>
      </c>
      <c r="I5024" s="29" t="n">
        <f aca="false">Sens!H5024+Sens!I5023</f>
        <v>12624.716</v>
      </c>
      <c r="J5024" s="29" t="n">
        <f aca="false">Sens!I5024+Sens!J5023</f>
        <v>13683.748</v>
      </c>
      <c r="K5024" s="29" t="n">
        <f aca="false">Sens!J5024+Sens!K5023</f>
        <v>14008.696</v>
      </c>
      <c r="L5024" s="1" t="s">
        <v>801</v>
      </c>
    </row>
    <row r="5025" customFormat="false" ht="17.15" hidden="false" customHeight="false" outlineLevel="0" collapsed="false">
      <c r="A5025" s="1" t="s">
        <v>802</v>
      </c>
      <c r="B5025" s="0" t="s">
        <v>392</v>
      </c>
      <c r="C5025" s="29" t="n">
        <f aca="false">rent_ext_24</f>
        <v>150</v>
      </c>
      <c r="D5025" s="29" t="n">
        <f aca="false">rent_ext_25</f>
        <v>400</v>
      </c>
      <c r="E5025" s="29" t="n">
        <f aca="false">rent_ext_26</f>
        <v>550</v>
      </c>
      <c r="F5025" s="29" t="n">
        <f aca="false">rent_ext_f</f>
        <v>756</v>
      </c>
      <c r="G5025" s="29" t="n">
        <f aca="false">rent_ext_f</f>
        <v>756</v>
      </c>
      <c r="H5025" s="29" t="n">
        <f aca="false">rent_ext_f</f>
        <v>756</v>
      </c>
      <c r="I5025" s="29" t="n">
        <f aca="false">rent_ext_f</f>
        <v>756</v>
      </c>
      <c r="J5025" s="29" t="n">
        <f aca="false">rent_ext_f</f>
        <v>756</v>
      </c>
      <c r="K5025" s="29" t="n">
        <f aca="false">rent_ext_f</f>
        <v>756</v>
      </c>
      <c r="L5025" s="1" t="s">
        <v>803</v>
      </c>
    </row>
    <row r="5026" customFormat="false" ht="17.15" hidden="false" customHeight="false" outlineLevel="0" collapsed="false">
      <c r="A5026" s="1" t="s">
        <v>804</v>
      </c>
      <c r="B5026" s="0" t="s">
        <v>392</v>
      </c>
      <c r="C5026" s="29" t="n">
        <f aca="false">Sens!C5024-Sens!C5025</f>
        <v>490</v>
      </c>
      <c r="D5026" s="29" t="n">
        <f aca="false">Sens!D5024-Sens!D5025</f>
        <v>1230</v>
      </c>
      <c r="E5026" s="29" t="n">
        <f aca="false">Sens!E5024-Sens!E5025</f>
        <v>2700</v>
      </c>
      <c r="F5026" s="29" t="n">
        <f aca="false">Sens!F5024-Sens!F5025</f>
        <v>5021.2</v>
      </c>
      <c r="G5026" s="29" t="n">
        <f aca="false">Sens!G5024-Sens!G5025</f>
        <v>7548.4</v>
      </c>
      <c r="H5026" s="29" t="n">
        <f aca="false">Sens!H5024-Sens!H5025</f>
        <v>10075.6</v>
      </c>
      <c r="I5026" s="29" t="n">
        <f aca="false">Sens!I5024-Sens!I5025</f>
        <v>11868.716</v>
      </c>
      <c r="J5026" s="29" t="n">
        <f aca="false">Sens!J5024-Sens!J5025</f>
        <v>12927.748</v>
      </c>
      <c r="K5026" s="29" t="n">
        <f aca="false">Sens!K5024-Sens!K5025</f>
        <v>13252.696</v>
      </c>
    </row>
    <row r="5027" customFormat="false" ht="17.15" hidden="false" customHeight="false" outlineLevel="0" collapsed="false">
      <c r="A5027" s="1" t="s">
        <v>805</v>
      </c>
      <c r="B5027" s="0" t="s">
        <v>392</v>
      </c>
      <c r="C5027" s="29" t="n">
        <f aca="false">Sens!C5026/ext_sh</f>
        <v>816.666666666667</v>
      </c>
      <c r="D5027" s="29" t="n">
        <f aca="false">Sens!D5026/ext_sh</f>
        <v>2050</v>
      </c>
      <c r="E5027" s="29" t="n">
        <f aca="false">Sens!E5026/ext_sh</f>
        <v>4500</v>
      </c>
      <c r="F5027" s="29" t="n">
        <f aca="false">Sens!F5026/ext_sh</f>
        <v>8368.66666666667</v>
      </c>
      <c r="G5027" s="29" t="n">
        <f aca="false">Sens!G5026/ext_sh</f>
        <v>12580.6666666667</v>
      </c>
      <c r="H5027" s="29" t="n">
        <f aca="false">Sens!H5026/ext_sh</f>
        <v>16792.6666666667</v>
      </c>
      <c r="I5027" s="29" t="n">
        <f aca="false">Sens!I5026/ext_sh</f>
        <v>19781.1933333333</v>
      </c>
      <c r="J5027" s="29" t="n">
        <f aca="false">Sens!J5026/ext_sh</f>
        <v>21546.2466666667</v>
      </c>
      <c r="K5027" s="29" t="n">
        <f aca="false">Sens!K5026/ext_sh</f>
        <v>22087.8266666667</v>
      </c>
      <c r="L5027" s="1" t="s">
        <v>806</v>
      </c>
    </row>
    <row r="5028" customFormat="false" ht="17.15" hidden="false" customHeight="false" outlineLevel="0" collapsed="false">
      <c r="A5028" s="1" t="s">
        <v>807</v>
      </c>
      <c r="B5028" s="0" t="s">
        <v>392</v>
      </c>
      <c r="C5028" s="29" t="n">
        <f aca="false">Sens!C5027-Sens!C5026</f>
        <v>326.666666666667</v>
      </c>
      <c r="D5028" s="29" t="n">
        <f aca="false">Sens!D5027-Sens!D5026</f>
        <v>820</v>
      </c>
      <c r="E5028" s="29" t="n">
        <f aca="false">Sens!E5027-Sens!E5026</f>
        <v>1800</v>
      </c>
      <c r="F5028" s="29" t="n">
        <f aca="false">Sens!F5027-Sens!F5026</f>
        <v>3347.46666666667</v>
      </c>
      <c r="G5028" s="29" t="n">
        <f aca="false">Sens!G5027-Sens!G5026</f>
        <v>5032.26666666667</v>
      </c>
      <c r="H5028" s="29" t="n">
        <f aca="false">Sens!H5027-Sens!H5026</f>
        <v>6717.06666666667</v>
      </c>
      <c r="I5028" s="29" t="n">
        <f aca="false">Sens!I5027-Sens!I5026</f>
        <v>7912.47733333333</v>
      </c>
      <c r="J5028" s="29" t="n">
        <f aca="false">Sens!J5027-Sens!J5026</f>
        <v>8618.49866666667</v>
      </c>
      <c r="K5028" s="29" t="n">
        <f aca="false">Sens!K5027-Sens!K5026</f>
        <v>8835.13066666667</v>
      </c>
    </row>
    <row r="5029" customFormat="false" ht="17.15" hidden="false" customHeight="false" outlineLevel="0" collapsed="false">
      <c r="A5029" s="1" t="s">
        <v>808</v>
      </c>
      <c r="B5029" s="0" t="s">
        <v>392</v>
      </c>
      <c r="C5029" s="29" t="n">
        <f aca="false">Sens!C5027</f>
        <v>816.666666666667</v>
      </c>
      <c r="D5029" s="29" t="n">
        <f aca="false">Sens!D5027-Sens!C5027</f>
        <v>1233.33333333333</v>
      </c>
      <c r="E5029" s="29" t="n">
        <f aca="false">Sens!E5027-Sens!D5027</f>
        <v>2450</v>
      </c>
      <c r="F5029" s="29" t="n">
        <f aca="false">Sens!F5027-Sens!E5027</f>
        <v>3868.66666666667</v>
      </c>
      <c r="G5029" s="29" t="n">
        <f aca="false">Sens!G5027-Sens!F5027</f>
        <v>4212</v>
      </c>
      <c r="H5029" s="29" t="n">
        <f aca="false">Sens!H5027-Sens!G5027</f>
        <v>4212</v>
      </c>
      <c r="I5029" s="29" t="n">
        <f aca="false">Sens!I5027-Sens!H5027</f>
        <v>2988.52666666667</v>
      </c>
      <c r="J5029" s="29" t="n">
        <f aca="false">Sens!J5027-Sens!I5027</f>
        <v>1765.05333333333</v>
      </c>
      <c r="K5029" s="29" t="n">
        <f aca="false">Sens!K5027-Sens!J5027</f>
        <v>541.580000000002</v>
      </c>
    </row>
    <row r="5030" customFormat="false" ht="17.15" hidden="false" customHeight="false" outlineLevel="0" collapsed="false">
      <c r="A5030" s="1" t="s">
        <v>809</v>
      </c>
      <c r="B5030" s="0" t="s">
        <v>392</v>
      </c>
      <c r="D5030" s="29" t="n">
        <f aca="false">Sens!D5024-Sens!C5024</f>
        <v>990</v>
      </c>
      <c r="E5030" s="29" t="n">
        <f aca="false">Sens!E5024-Sens!D5024</f>
        <v>1620</v>
      </c>
      <c r="F5030" s="29" t="n">
        <f aca="false">Sens!F5024-Sens!E5024</f>
        <v>2527.2</v>
      </c>
      <c r="G5030" s="29" t="n">
        <f aca="false">Sens!G5024-Sens!F5024</f>
        <v>2527.2</v>
      </c>
      <c r="H5030" s="29" t="n">
        <f aca="false">Sens!H5024-Sens!G5024</f>
        <v>2527.2</v>
      </c>
      <c r="I5030" s="29" t="n">
        <f aca="false">Sens!I5024-Sens!H5024</f>
        <v>1793.116</v>
      </c>
      <c r="J5030" s="29" t="n">
        <f aca="false">Sens!J5024-Sens!I5024</f>
        <v>1059.032</v>
      </c>
      <c r="K5030" s="29" t="n">
        <f aca="false">Sens!K5024-Sens!J5024</f>
        <v>324.948</v>
      </c>
    </row>
    <row r="5031" customFormat="false" ht="17.15" hidden="false" customHeight="false" outlineLevel="0" collapsed="false">
      <c r="A5031" s="1" t="s">
        <v>810</v>
      </c>
      <c r="B5031" s="0" t="s">
        <v>392</v>
      </c>
      <c r="F5031" s="29" t="n">
        <f aca="false">Sens!F5048*ext_sh</f>
        <v>0</v>
      </c>
      <c r="G5031" s="29" t="n">
        <f aca="false">Sens!G5048*ext_sh</f>
        <v>0</v>
      </c>
      <c r="H5031" s="29" t="n">
        <f aca="false">Sens!H5048*ext_sh</f>
        <v>0</v>
      </c>
      <c r="I5031" s="29" t="n">
        <f aca="false">Sens!I5048*ext_sh</f>
        <v>0</v>
      </c>
      <c r="J5031" s="29" t="n">
        <f aca="false">Sens!J5048*ext_sh</f>
        <v>490</v>
      </c>
      <c r="K5031" s="29" t="n">
        <f aca="false">Sens!K5048*ext_sh</f>
        <v>740</v>
      </c>
      <c r="L5031" s="1" t="s">
        <v>811</v>
      </c>
    </row>
    <row r="5032" customFormat="false" ht="17.15" hidden="false" customHeight="false" outlineLevel="0" collapsed="false">
      <c r="A5032" s="1" t="s">
        <v>812</v>
      </c>
      <c r="B5032" s="0" t="s">
        <v>392</v>
      </c>
      <c r="C5032" s="29" t="n">
        <f aca="false">mix_h*Sens!C5024</f>
        <v>128</v>
      </c>
      <c r="D5032" s="29" t="n">
        <f aca="false">mix_h*Sens!D5024</f>
        <v>326</v>
      </c>
      <c r="E5032" s="29" t="n">
        <f aca="false">mix_h*Sens!E5024</f>
        <v>650</v>
      </c>
      <c r="F5032" s="29" t="n">
        <f aca="false">Sens!E5032-Sens!F5031*mix_h</f>
        <v>650</v>
      </c>
      <c r="G5032" s="29" t="n">
        <f aca="false">Sens!F5032-Sens!G5031*mix_h</f>
        <v>650</v>
      </c>
      <c r="H5032" s="29" t="n">
        <f aca="false">Sens!G5032-Sens!H5031*mix_h</f>
        <v>650</v>
      </c>
      <c r="I5032" s="29" t="n">
        <f aca="false">Sens!H5032-Sens!I5031*mix_h</f>
        <v>650</v>
      </c>
      <c r="J5032" s="29" t="n">
        <f aca="false">Sens!I5032-Sens!J5031*mix_h</f>
        <v>552</v>
      </c>
      <c r="K5032" s="29" t="n">
        <f aca="false">Sens!J5032-Sens!K5031*mix_h</f>
        <v>404</v>
      </c>
    </row>
    <row r="5033" customFormat="false" ht="17.15" hidden="false" customHeight="false" outlineLevel="0" collapsed="false">
      <c r="A5033" s="1" t="s">
        <v>813</v>
      </c>
      <c r="B5033" s="0" t="s">
        <v>392</v>
      </c>
      <c r="C5033" s="29" t="n">
        <f aca="false">mix_g2*Sens!C5024</f>
        <v>288</v>
      </c>
      <c r="D5033" s="29" t="n">
        <f aca="false">mix_g2*Sens!D5024</f>
        <v>733.5</v>
      </c>
      <c r="E5033" s="29" t="n">
        <f aca="false">mix_g2*Sens!E5024</f>
        <v>1462.5</v>
      </c>
      <c r="F5033" s="29" t="n">
        <f aca="false">Sens!E5033-Sens!F5031*mix_g2</f>
        <v>1462.5</v>
      </c>
      <c r="G5033" s="29" t="n">
        <f aca="false">Sens!F5033-Sens!G5031*mix_g2</f>
        <v>1462.5</v>
      </c>
      <c r="H5033" s="29" t="n">
        <f aca="false">Sens!G5033-Sens!H5031*mix_g2</f>
        <v>1462.5</v>
      </c>
      <c r="I5033" s="29" t="n">
        <f aca="false">Sens!H5033-Sens!I5031*mix_g2</f>
        <v>1462.5</v>
      </c>
      <c r="J5033" s="29" t="n">
        <f aca="false">Sens!I5033-Sens!J5031*mix_g2</f>
        <v>1242</v>
      </c>
      <c r="K5033" s="29" t="n">
        <f aca="false">Sens!J5033-Sens!K5031*mix_g2</f>
        <v>909</v>
      </c>
    </row>
    <row r="5034" customFormat="false" ht="17.15" hidden="false" customHeight="false" outlineLevel="0" collapsed="false">
      <c r="A5034" s="1" t="s">
        <v>814</v>
      </c>
      <c r="B5034" s="0" t="s">
        <v>392</v>
      </c>
      <c r="C5034" s="29" t="n">
        <f aca="false">mix_g3*Sens!C5024</f>
        <v>224</v>
      </c>
      <c r="D5034" s="29" t="n">
        <f aca="false">mix_g3*Sens!D5024</f>
        <v>570.5</v>
      </c>
      <c r="E5034" s="29" t="n">
        <f aca="false">mix_g3*Sens!E5024</f>
        <v>1137.5</v>
      </c>
      <c r="F5034" s="29" t="n">
        <f aca="false">Sens!E5034+(Sens!F5030+Sens!F5031)*a_g3_27-Sens!F5031*mix_g3</f>
        <v>2906.54</v>
      </c>
      <c r="G5034" s="29" t="n">
        <f aca="false">Sens!F5034+(Sens!G5030+Sens!G5031)*a_g3_28-Sens!G5031*mix_g3</f>
        <v>3664.7</v>
      </c>
      <c r="H5034" s="29" t="n">
        <f aca="false">Sens!G5034+(Sens!H5030+Sens!H5031)*a_g3_29-Sens!H5031*mix_g3</f>
        <v>3917.42</v>
      </c>
      <c r="I5034" s="29" t="n">
        <f aca="false">Sens!H5034+(Sens!I5030+Sens!I5031)*a_g3_29-Sens!I5031*mix_g3</f>
        <v>4096.7316</v>
      </c>
      <c r="J5034" s="29" t="n">
        <f aca="false">Sens!I5034+(Sens!J5030+Sens!J5031)*a_g3_29-Sens!J5031*mix_g3</f>
        <v>4080.1348</v>
      </c>
      <c r="K5034" s="29" t="n">
        <f aca="false">Sens!J5034+(Sens!K5030+Sens!K5031)*a_g3_29-Sens!K5031*mix_g3</f>
        <v>3927.6296</v>
      </c>
    </row>
    <row r="5035" customFormat="false" ht="17.15" hidden="false" customHeight="false" outlineLevel="0" collapsed="false">
      <c r="A5035" s="1" t="s">
        <v>815</v>
      </c>
      <c r="B5035" s="0" t="s">
        <v>392</v>
      </c>
      <c r="C5035" s="29" t="n">
        <v>0</v>
      </c>
      <c r="D5035" s="29" t="n">
        <v>0</v>
      </c>
      <c r="E5035" s="29" t="n">
        <v>0</v>
      </c>
      <c r="F5035" s="29" t="n">
        <f aca="false">Sens!E5035+(Sens!F5030+Sens!F5031)*(1-a_g3_27)</f>
        <v>758.16</v>
      </c>
      <c r="G5035" s="29" t="n">
        <f aca="false">Sens!F5035+(Sens!G5030+Sens!G5031)*(1-a_g3_28)</f>
        <v>2527.2</v>
      </c>
      <c r="H5035" s="29" t="n">
        <f aca="false">Sens!G5035+(Sens!H5030+Sens!H5031)*(1-a_g3_29)</f>
        <v>4801.68</v>
      </c>
      <c r="I5035" s="29" t="n">
        <f aca="false">Sens!H5035+(Sens!I5030+Sens!I5031)*(1-a_g3_29)</f>
        <v>6415.4844</v>
      </c>
      <c r="J5035" s="29" t="n">
        <f aca="false">Sens!I5035+(Sens!J5030+Sens!J5031)*(1-a_g3_29)</f>
        <v>7809.6132</v>
      </c>
      <c r="K5035" s="29" t="n">
        <f aca="false">Sens!J5035+(Sens!K5030+Sens!K5031)*(1-a_g3_29)</f>
        <v>8768.0664</v>
      </c>
    </row>
    <row r="5036" customFormat="false" ht="17.15" hidden="false" customHeight="false" outlineLevel="0" collapsed="false">
      <c r="A5036" s="1" t="s">
        <v>816</v>
      </c>
      <c r="B5036" s="0" t="s">
        <v>339</v>
      </c>
      <c r="C5036" s="14" t="n">
        <f aca="false">(Sens!C5032*tk_hold_h100+Sens!C5033*tk_hold_gb200+Sens!C5034*tk_hold_gb300+Sens!C5035*tk_hold_vr200)/Sens!C5024</f>
        <v>9.7235358126469</v>
      </c>
      <c r="D5036" s="14" t="n">
        <f aca="false">(Sens!D5032*tk_hold_h100+Sens!D5033*tk_hold_gb200+Sens!D5034*tk_hold_gb300+Sens!D5035*tk_hold_vr200)/Sens!D5024</f>
        <v>9.7235358126469</v>
      </c>
      <c r="E5036" s="14" t="n">
        <f aca="false">(Sens!E5032*tk_hold_h100+Sens!E5033*tk_hold_gb200+Sens!E5034*tk_hold_gb300+Sens!E5035*tk_hold_vr200)/Sens!E5024</f>
        <v>9.7235358126469</v>
      </c>
      <c r="F5036" s="14" t="n">
        <f aca="false">(Sens!F5032*tk_hold_h100+Sens!F5033*tk_hold_gb200+Sens!F5034*tk_hold_gb300+Sens!F5035*tk_hold_vr200)/Sens!F5024</f>
        <v>10.4079573161931</v>
      </c>
      <c r="G5036" s="14" t="n">
        <f aca="false">(Sens!G5032*tk_hold_h100+Sens!G5033*tk_hold_gb200+Sens!G5034*tk_hold_gb300+Sens!G5035*tk_hold_vr200)/Sens!G5024</f>
        <v>10.8388131109316</v>
      </c>
      <c r="H5036" s="14" t="n">
        <f aca="false">(Sens!H5032*tk_hold_h100+Sens!H5033*tk_hold_gb200+Sens!H5034*tk_hold_gb300+Sens!H5035*tk_hold_vr200)/Sens!H5024</f>
        <v>11.1311018388216</v>
      </c>
      <c r="I5036" s="14" t="n">
        <f aca="false">(Sens!I5032*tk_hold_h100+Sens!I5033*tk_hold_gb200+Sens!I5034*tk_hold_gb300+Sens!I5035*tk_hold_vr200)/Sens!I5024</f>
        <v>11.267518520947</v>
      </c>
      <c r="J5036" s="14" t="n">
        <f aca="false">(Sens!J5032*tk_hold_h100+Sens!J5033*tk_hold_gb200+Sens!J5034*tk_hold_gb300+Sens!J5035*tk_hold_vr200)/Sens!J5024</f>
        <v>11.4160908199491</v>
      </c>
      <c r="K5036" s="14" t="n">
        <f aca="false">(Sens!K5032*tk_hold_h100+Sens!K5033*tk_hold_gb200+Sens!K5034*tk_hold_gb300+Sens!K5035*tk_hold_vr200)/Sens!K5024</f>
        <v>11.5568487882224</v>
      </c>
    </row>
    <row r="5037" customFormat="false" ht="17.15" hidden="false" customHeight="false" outlineLevel="0" collapsed="false">
      <c r="A5037" s="0" t="s">
        <v>817</v>
      </c>
      <c r="B5037" s="0" t="s">
        <v>185</v>
      </c>
      <c r="C5037" s="14" t="n">
        <f aca="false">k_B</f>
        <v>1.17213932619116</v>
      </c>
      <c r="D5037" s="14" t="n">
        <f aca="false">k_B</f>
        <v>1.17213932619116</v>
      </c>
      <c r="E5037" s="14" t="n">
        <f aca="false">k_B</f>
        <v>1.17213932619116</v>
      </c>
      <c r="F5037" s="14" t="n">
        <f aca="false">(k_B+((ls_C*k_long+(1-ls_C)*k_spot)-k_B)*MIN(1,(Sens!F5022-base_fy)/k_ramp))</f>
        <v>1.07843258004497</v>
      </c>
      <c r="G5037" s="14" t="n">
        <f aca="false">(k_B+((ls_C*k_long+(1-ls_C)*k_spot)-k_B)*MIN(1,(Sens!G5022-base_fy)/k_ramp))</f>
        <v>0.984725833898784</v>
      </c>
      <c r="H5037" s="14" t="n">
        <f aca="false">(k_B+((ls_C*k_long+(1-ls_C)*k_spot)-k_B)*MIN(1,(Sens!H5022-base_fy)/k_ramp))</f>
        <v>0.891019087752599</v>
      </c>
      <c r="I5037" s="14" t="n">
        <f aca="false">(k_B+((ls_C*k_long+(1-ls_C)*k_spot)-k_B)*MIN(1,(Sens!I5022-base_fy)/k_ramp))</f>
        <v>0.891019087752599</v>
      </c>
      <c r="J5037" s="14" t="n">
        <f aca="false">(k_B+((ls_C*k_long+(1-ls_C)*k_spot)-k_B)*MIN(1,(Sens!J5022-base_fy)/k_ramp))</f>
        <v>0.891019087752599</v>
      </c>
      <c r="K5037" s="14" t="n">
        <f aca="false">(k_B+((ls_C*k_long+(1-ls_C)*k_spot)-k_B)*MIN(1,(Sens!K5022-base_fy)/k_ramp))</f>
        <v>0.891019087752599</v>
      </c>
      <c r="L5037" s="1" t="s">
        <v>818</v>
      </c>
    </row>
    <row r="5038" customFormat="false" ht="17.15" hidden="false" customHeight="false" outlineLevel="0" collapsed="false">
      <c r="A5038" s="1" t="s">
        <v>819</v>
      </c>
      <c r="B5038" s="0" t="s">
        <v>339</v>
      </c>
      <c r="C5038" s="14" t="n">
        <f aca="false">Sens!C5036*Sens!C5037*chip_f</f>
        <v>11.3973387156315</v>
      </c>
      <c r="D5038" s="14" t="n">
        <f aca="false">Sens!D5036*Sens!D5037*chip_f</f>
        <v>11.3973387156315</v>
      </c>
      <c r="E5038" s="14" t="n">
        <f aca="false">Sens!E5036*Sens!E5037*chip_f</f>
        <v>11.3973387156315</v>
      </c>
      <c r="F5038" s="14" t="n">
        <f aca="false">Sens!F5036*Sens!F5037*chip_f</f>
        <v>11.2242802615</v>
      </c>
      <c r="G5038" s="14" t="n">
        <f aca="false">Sens!G5036*Sens!G5037*chip_f</f>
        <v>10.6732592791352</v>
      </c>
      <c r="H5038" s="14" t="n">
        <f aca="false">Sens!H5036*Sens!H5037*chip_f</f>
        <v>9.91802420610807</v>
      </c>
      <c r="I5038" s="14" t="n">
        <f aca="false">Sens!I5036*Sens!I5037*chip_f</f>
        <v>10.0395740737697</v>
      </c>
      <c r="J5038" s="14" t="n">
        <f aca="false">Sens!J5036*Sens!J5037*chip_f</f>
        <v>10.1719548280919</v>
      </c>
      <c r="K5038" s="14" t="n">
        <f aca="false">Sens!K5036*Sens!K5037*chip_f</f>
        <v>10.2973728645767</v>
      </c>
      <c r="L5038" s="1" t="s">
        <v>820</v>
      </c>
    </row>
    <row r="5039" customFormat="false" ht="17.15" hidden="false" customHeight="false" outlineLevel="0" collapsed="false">
      <c r="A5039" s="0" t="s">
        <v>821</v>
      </c>
      <c r="B5039" s="0" t="s">
        <v>98</v>
      </c>
      <c r="D5039" s="6" t="n">
        <f aca="false">(Sens!C5024+Sens!D5024)/2*Sens!D5038/1000</f>
        <v>12.9359794422418</v>
      </c>
      <c r="E5039" s="6" t="n">
        <f aca="false">(Sens!D5024+Sens!E5024)/2*Sens!E5038/1000</f>
        <v>27.8095064661409</v>
      </c>
      <c r="F5039" s="6" t="n">
        <f aca="false">(Sens!E5024+Sens!F5024)/2*Sens!F5038/1000</f>
        <v>50.6619113883066</v>
      </c>
      <c r="G5039" s="6" t="n">
        <f aca="false">(Sens!F5024+Sens!G5024)/2*Sens!G5038/1000</f>
        <v>75.1482839325348</v>
      </c>
      <c r="H5039" s="6" t="n">
        <f aca="false">(Sens!G5024+Sens!H5024)/2*Sens!H5038/1000</f>
        <v>94.895655604042</v>
      </c>
      <c r="I5039" s="6" t="n">
        <f aca="false">(Sens!H5024+Sens!I5024)/2*Sens!I5038/1000</f>
        <v>117.745710989875</v>
      </c>
      <c r="J5039" s="6" t="n">
        <f aca="false">(Sens!I5024+Sens!J5024)/2*Sens!J5038/1000</f>
        <v>133.80425370224</v>
      </c>
      <c r="K5039" s="6" t="n">
        <f aca="false">(Sens!J5024+Sens!K5024)/2*Sens!K5038/1000</f>
        <v>142.579710699705</v>
      </c>
      <c r="L5039" s="11" t="s">
        <v>822</v>
      </c>
    </row>
    <row r="5040" customFormat="false" ht="17.15" hidden="false" customHeight="false" outlineLevel="0" collapsed="false">
      <c r="A5040" s="1" t="s">
        <v>823</v>
      </c>
      <c r="B5040" s="0" t="s">
        <v>339</v>
      </c>
      <c r="C5040" s="14" t="n">
        <f aca="false">(Sens!C5032*tk_opex_h100+Sens!C5033*tk_opex_gb200+Sens!C5034*tk_opex_gb300+Sens!C5035*tk_opex_vr200)/Sens!C5024</f>
        <v>1.88636041306092</v>
      </c>
      <c r="D5040" s="14" t="n">
        <f aca="false">(Sens!D5032*tk_opex_h100+Sens!D5033*tk_opex_gb200+Sens!D5034*tk_opex_gb300+Sens!D5035*tk_opex_vr200)/Sens!D5024</f>
        <v>1.88636041306092</v>
      </c>
      <c r="E5040" s="14" t="n">
        <f aca="false">(Sens!E5032*tk_opex_h100+Sens!E5033*tk_opex_gb200+Sens!E5034*tk_opex_gb300+Sens!E5035*tk_opex_vr200)/Sens!E5024</f>
        <v>1.88636041306092</v>
      </c>
      <c r="F5040" s="14" t="n">
        <f aca="false">(Sens!F5032*tk_opex_h100+Sens!F5033*tk_opex_gb200+Sens!F5034*tk_opex_gb300+Sens!F5035*tk_opex_vr200)/Sens!F5024</f>
        <v>1.9430236476499</v>
      </c>
      <c r="G5040" s="14" t="n">
        <f aca="false">(Sens!G5032*tk_opex_h100+Sens!G5033*tk_opex_gb200+Sens!G5034*tk_opex_gb300+Sens!G5035*tk_opex_vr200)/Sens!G5024</f>
        <v>1.9786941852423</v>
      </c>
      <c r="H5040" s="14" t="n">
        <f aca="false">(Sens!H5032*tk_opex_h100+Sens!H5033*tk_opex_gb200+Sens!H5034*tk_opex_gb300+Sens!H5035*tk_opex_vr200)/Sens!H5024</f>
        <v>2.00289275976156</v>
      </c>
      <c r="I5040" s="14" t="n">
        <f aca="false">(Sens!I5032*tk_opex_h100+Sens!I5033*tk_opex_gb200+Sens!I5034*tk_opex_gb300+Sens!I5035*tk_opex_vr200)/Sens!I5024</f>
        <v>2.01418669255163</v>
      </c>
      <c r="J5040" s="14" t="n">
        <f aca="false">(Sens!J5032*tk_opex_h100+Sens!J5033*tk_opex_gb200+Sens!J5034*tk_opex_gb300+Sens!J5035*tk_opex_vr200)/Sens!J5024</f>
        <v>2.02648698847769</v>
      </c>
      <c r="K5040" s="14" t="n">
        <f aca="false">(Sens!K5032*tk_opex_h100+Sens!K5033*tk_opex_gb200+Sens!K5034*tk_opex_gb300+Sens!K5035*tk_opex_vr200)/Sens!K5024</f>
        <v>2.03814033621036</v>
      </c>
    </row>
    <row r="5041" customFormat="false" ht="17.15" hidden="false" customHeight="false" outlineLevel="0" collapsed="false">
      <c r="A5041" s="0" t="s">
        <v>824</v>
      </c>
      <c r="B5041" s="0" t="s">
        <v>98</v>
      </c>
      <c r="D5041" s="6" t="n">
        <f aca="false">(Sens!C5027+Sens!D5027)/2*Sens!D5040/1000</f>
        <v>2.70378325872065</v>
      </c>
      <c r="E5041" s="6" t="n">
        <f aca="false">(Sens!D5027+Sens!E5027)/2*Sens!E5040/1000</f>
        <v>6.17783035277451</v>
      </c>
      <c r="F5041" s="6" t="n">
        <f aca="false">(Sens!E5027+Sens!F5027)/2*Sens!F5040/1000</f>
        <v>12.5020618235287</v>
      </c>
      <c r="G5041" s="6" t="n">
        <f aca="false">(Sens!F5027+Sens!G5027)/2*Sens!G5040/1000</f>
        <v>20.7261620256847</v>
      </c>
      <c r="H5041" s="6" t="n">
        <f aca="false">(Sens!G5027+Sens!H5027)/2*Sens!H5040/1000</f>
        <v>29.4158183316982</v>
      </c>
      <c r="I5041" s="6" t="n">
        <f aca="false">(Sens!H5027+Sens!I5027)/2*Sens!I5040/1000</f>
        <v>36.8332910536231</v>
      </c>
      <c r="J5041" s="6" t="n">
        <f aca="false">(Sens!I5027+Sens!J5027)/2*Sens!J5040/1000</f>
        <v>41.8747597135462</v>
      </c>
      <c r="K5041" s="6" t="n">
        <f aca="false">(Sens!J5027+Sens!K5027)/2*Sens!K5040/1000</f>
        <v>44.4661824469138</v>
      </c>
    </row>
    <row r="5042" customFormat="false" ht="17.15" hidden="false" customHeight="false" outlineLevel="0" collapsed="false">
      <c r="A5042" s="0" t="s">
        <v>825</v>
      </c>
      <c r="B5042" s="0" t="s">
        <v>98</v>
      </c>
      <c r="D5042" s="6" t="n">
        <f aca="false">(Sens!C5025+Sens!D5025)/2*rent_mw/1000</f>
        <v>2.44475</v>
      </c>
      <c r="E5042" s="6" t="n">
        <f aca="false">(Sens!D5025+Sens!E5025)/2*rent_mw/1000</f>
        <v>4.22275</v>
      </c>
      <c r="F5042" s="6" t="n">
        <f aca="false">(Sens!E5025+Sens!F5025)/2*rent_mw/1000</f>
        <v>5.80517</v>
      </c>
      <c r="G5042" s="6" t="n">
        <f aca="false">(Sens!F5025+Sens!G5025)/2*rent_mw/1000</f>
        <v>6.72084</v>
      </c>
      <c r="H5042" s="6" t="n">
        <f aca="false">(Sens!G5025+Sens!H5025)/2*rent_mw/1000</f>
        <v>6.72084</v>
      </c>
      <c r="I5042" s="6" t="n">
        <f aca="false">(Sens!H5025+Sens!I5025)/2*rent_mw/1000</f>
        <v>6.72084</v>
      </c>
      <c r="J5042" s="6" t="n">
        <f aca="false">(Sens!I5025+Sens!J5025)/2*rent_mw/1000</f>
        <v>6.72084</v>
      </c>
      <c r="K5042" s="6" t="n">
        <f aca="false">(Sens!J5025+Sens!K5025)/2*rent_mw/1000</f>
        <v>6.72084</v>
      </c>
    </row>
    <row r="5043" customFormat="false" ht="17.15" hidden="false" customHeight="false" outlineLevel="0" collapsed="false">
      <c r="A5043" s="0" t="s">
        <v>826</v>
      </c>
      <c r="B5043" s="0" t="s">
        <v>98</v>
      </c>
      <c r="D5043" s="6" t="n">
        <f aca="false">(Sens!C5027+Sens!D5027)/2*(1-self_build)*fac_rent/1000</f>
        <v>0.853242375631075</v>
      </c>
      <c r="E5043" s="6" t="n">
        <f aca="false">(Sens!D5027+Sens!E5027)/2*(1-self_build)*fac_rent/1000</f>
        <v>1.94955961408728</v>
      </c>
      <c r="F5043" s="6" t="n">
        <f aca="false">(Sens!E5027+Sens!F5027)/2*(1-self_build)*fac_rent/1000</f>
        <v>3.83026455274573</v>
      </c>
      <c r="G5043" s="6" t="n">
        <f aca="false">(Sens!F5027+Sens!G5027)/2*(1-self_build)*fac_rent/1000</f>
        <v>6.23541590972812</v>
      </c>
      <c r="H5043" s="6" t="n">
        <f aca="false">(Sens!G5027+Sens!H5027)/2*(1-self_build)*fac_rent/1000</f>
        <v>8.74275792332679</v>
      </c>
      <c r="I5043" s="6" t="n">
        <f aca="false">(Sens!H5027+Sens!I5027)/2*(1-self_build)*fac_rent/1000</f>
        <v>10.8859420438599</v>
      </c>
      <c r="J5043" s="6" t="n">
        <f aca="false">(Sens!I5027+Sens!J5027)/2*(1-self_build)*fac_rent/1000</f>
        <v>12.3008103782619</v>
      </c>
      <c r="K5043" s="6" t="n">
        <f aca="false">(Sens!J5027+Sens!K5027)/2*(1-self_build)*fac_rent/1000</f>
        <v>12.9873629265328</v>
      </c>
      <c r="L5043" s="11" t="s">
        <v>827</v>
      </c>
    </row>
    <row r="5044" customFormat="false" ht="17.15" hidden="false" customHeight="false" outlineLevel="0" collapsed="false">
      <c r="A5044" s="1" t="s">
        <v>828</v>
      </c>
      <c r="B5044" s="0" t="s">
        <v>129</v>
      </c>
      <c r="D5044" s="7" t="n">
        <f aca="false">(Sens!C5026+Sens!D5026)/(Sens!C5027+Sens!D5027)</f>
        <v>0.6</v>
      </c>
      <c r="E5044" s="7" t="n">
        <f aca="false">(Sens!D5026+Sens!E5026)/(Sens!D5027+Sens!E5027)</f>
        <v>0.6</v>
      </c>
      <c r="F5044" s="7" t="n">
        <f aca="false">(Sens!E5026+Sens!F5026)/(Sens!E5027+Sens!F5027)</f>
        <v>0.6</v>
      </c>
      <c r="G5044" s="7" t="n">
        <f aca="false">(Sens!F5026+Sens!G5026)/(Sens!F5027+Sens!G5027)</f>
        <v>0.6</v>
      </c>
      <c r="H5044" s="7" t="n">
        <f aca="false">(Sens!G5026+Sens!H5026)/(Sens!G5027+Sens!H5027)</f>
        <v>0.6</v>
      </c>
      <c r="I5044" s="7" t="n">
        <f aca="false">(Sens!H5026+Sens!I5026)/(Sens!H5027+Sens!I5027)</f>
        <v>0.6</v>
      </c>
      <c r="J5044" s="7" t="n">
        <f aca="false">(Sens!I5026+Sens!J5026)/(Sens!I5027+Sens!J5027)</f>
        <v>0.6</v>
      </c>
      <c r="K5044" s="7" t="n">
        <f aca="false">(Sens!J5026+Sens!K5026)/(Sens!J5027+Sens!K5027)</f>
        <v>0.6</v>
      </c>
    </row>
    <row r="5045" customFormat="false" ht="17.15" hidden="false" customHeight="false" outlineLevel="0" collapsed="false">
      <c r="A5045" s="0" t="s">
        <v>829</v>
      </c>
      <c r="B5045" s="0" t="s">
        <v>98</v>
      </c>
      <c r="D5045" s="6" t="n">
        <f aca="false">Sens!D5039-Sens!D5044*(Sens!D5041+Sens!D5043)-Sens!D5042</f>
        <v>8.35701406163072</v>
      </c>
      <c r="E5045" s="6" t="n">
        <f aca="false">Sens!E5039-Sens!E5044*(Sens!E5041+Sens!E5043)-Sens!E5042</f>
        <v>18.7103224860238</v>
      </c>
      <c r="F5045" s="6" t="n">
        <f aca="false">Sens!F5039-Sens!F5044*(Sens!F5041+Sens!F5043)-Sens!F5042</f>
        <v>35.0573455625419</v>
      </c>
      <c r="G5045" s="6" t="n">
        <f aca="false">Sens!G5039-Sens!G5044*(Sens!G5041+Sens!G5043)-Sens!G5042</f>
        <v>52.2504971712871</v>
      </c>
      <c r="H5045" s="6" t="n">
        <f aca="false">Sens!H5039-Sens!H5044*(Sens!H5041+Sens!H5043)-Sens!H5042</f>
        <v>65.2796698510271</v>
      </c>
      <c r="I5045" s="6" t="n">
        <f aca="false">Sens!I5039-Sens!I5044*(Sens!I5041+Sens!I5043)-Sens!I5042</f>
        <v>82.393331131385</v>
      </c>
      <c r="J5045" s="6" t="n">
        <f aca="false">Sens!J5039-Sens!J5044*(Sens!J5041+Sens!J5043)-Sens!J5042</f>
        <v>94.5780716471555</v>
      </c>
      <c r="K5045" s="6" t="n">
        <f aca="false">Sens!K5039-Sens!K5044*(Sens!K5041+Sens!K5043)-Sens!K5042</f>
        <v>101.386743475637</v>
      </c>
    </row>
    <row r="5046" customFormat="false" ht="17.15" hidden="false" customHeight="false" outlineLevel="0" collapsed="false">
      <c r="A5046" s="1" t="s">
        <v>830</v>
      </c>
      <c r="B5046" s="0" t="s">
        <v>98</v>
      </c>
      <c r="D5046" s="6" t="n">
        <f aca="false">(1-Sens!D5044)*(Sens!D5041+Sens!D5043)</f>
        <v>1.42281025374069</v>
      </c>
      <c r="E5046" s="6" t="n">
        <f aca="false">(1-Sens!E5044)*(Sens!E5041+Sens!E5043)</f>
        <v>3.25095598674472</v>
      </c>
      <c r="F5046" s="6" t="n">
        <f aca="false">(1-Sens!F5044)*(Sens!F5041+Sens!F5043)</f>
        <v>6.53293055050977</v>
      </c>
      <c r="G5046" s="6" t="n">
        <f aca="false">(1-Sens!G5044)*(Sens!G5041+Sens!G5043)</f>
        <v>10.7846311741651</v>
      </c>
      <c r="H5046" s="6" t="n">
        <f aca="false">(1-Sens!H5044)*(Sens!H5041+Sens!H5043)</f>
        <v>15.26343050201</v>
      </c>
      <c r="I5046" s="6" t="n">
        <f aca="false">(1-Sens!I5044)*(Sens!I5041+Sens!I5043)</f>
        <v>19.0876932389932</v>
      </c>
      <c r="J5046" s="6" t="n">
        <f aca="false">(1-Sens!J5044)*(Sens!J5041+Sens!J5043)</f>
        <v>21.6702280367232</v>
      </c>
      <c r="K5046" s="6" t="n">
        <f aca="false">(1-Sens!K5044)*(Sens!K5041+Sens!K5043)</f>
        <v>22.9814181493786</v>
      </c>
    </row>
    <row r="5047" customFormat="false" ht="17.15" hidden="false" customHeight="false" outlineLevel="0" collapsed="false">
      <c r="A5047" s="1" t="s">
        <v>831</v>
      </c>
      <c r="B5047" s="0" t="s">
        <v>350</v>
      </c>
      <c r="C5047" s="8" t="n">
        <f aca="false">cxit_open</f>
        <v>27.5918995</v>
      </c>
      <c r="D5047" s="8" t="n">
        <f aca="false">cxit_open</f>
        <v>27.5918995</v>
      </c>
      <c r="E5047" s="8" t="n">
        <f aca="false">cxit_open</f>
        <v>27.5918995</v>
      </c>
      <c r="F5047" s="8" t="n">
        <f aca="false">(a_g3_27*tk_cxit_gb300+(1-a_g3_27)*tk_cxit_vr200)</f>
        <v>33.8419624</v>
      </c>
      <c r="G5047" s="8" t="n">
        <f aca="false">(a_g3_28*tk_cxit_gb300+(1-a_g3_28)*tk_cxit_vr200)</f>
        <v>35.9816136</v>
      </c>
      <c r="H5047" s="8" t="n">
        <f aca="false">(a_g3_29*tk_cxit_gb300+(1-a_g3_29)*tk_cxit_vr200)</f>
        <v>37.0514392</v>
      </c>
      <c r="I5047" s="8" t="n">
        <f aca="false">(a_g3_29*tk_cxit_gb300+(1-a_g3_29)*tk_cxit_vr200)</f>
        <v>37.0514392</v>
      </c>
      <c r="J5047" s="8" t="n">
        <f aca="false">(a_g3_29*tk_cxit_gb300+(1-a_g3_29)*tk_cxit_vr200)</f>
        <v>37.0514392</v>
      </c>
      <c r="K5047" s="8" t="n">
        <f aca="false">(a_g3_29*tk_cxit_gb300+(1-a_g3_29)*tk_cxit_vr200)</f>
        <v>37.0514392</v>
      </c>
      <c r="L5047" s="11" t="s">
        <v>832</v>
      </c>
    </row>
    <row r="5048" customFormat="false" ht="17.15" hidden="false" customHeight="false" outlineLevel="0" collapsed="false">
      <c r="A5048" s="0" t="s">
        <v>833</v>
      </c>
      <c r="B5048" s="0" t="s">
        <v>392</v>
      </c>
      <c r="F5048" s="29" t="n">
        <f aca="false">Sens!C5029*IF(Sens!F5022-Sens!C5022=life_it_hi,1,0)+Sens!D5029*IF(Sens!F5022-Sens!D5022=life_it_hi,1,0)+Sens!E5029*IF(Sens!F5022-Sens!E5022=life_it_hi,1,0)</f>
        <v>0</v>
      </c>
      <c r="G5048" s="29" t="n">
        <f aca="false">Sens!C5029*IF(Sens!G5022-Sens!C5022=life_it_hi,1,0)+Sens!D5029*IF(Sens!G5022-Sens!D5022=life_it_hi,1,0)+Sens!E5029*IF(Sens!G5022-Sens!E5022=life_it_hi,1,0)+Sens!F5029*IF(Sens!G5022-Sens!F5022=life_it_hi,1,0)</f>
        <v>0</v>
      </c>
      <c r="H5048" s="29" t="n">
        <f aca="false">Sens!C5029*IF(Sens!H5022-Sens!C5022=life_it_hi,1,0)+Sens!D5029*IF(Sens!H5022-Sens!D5022=life_it_hi,1,0)+Sens!E5029*IF(Sens!H5022-Sens!E5022=life_it_hi,1,0)+Sens!F5029*IF(Sens!H5022-Sens!F5022=life_it_hi,1,0)+Sens!G5029*IF(Sens!H5022-Sens!G5022=life_it_hi,1,0)</f>
        <v>0</v>
      </c>
      <c r="I5048" s="29" t="n">
        <f aca="false">Sens!C5029*IF(Sens!I5022-Sens!C5022=life_it_hi,1,0)+Sens!D5029*IF(Sens!I5022-Sens!D5022=life_it_hi,1,0)+Sens!E5029*IF(Sens!I5022-Sens!E5022=life_it_hi,1,0)+Sens!F5029*IF(Sens!I5022-Sens!F5022=life_it_hi,1,0)+Sens!G5029*IF(Sens!I5022-Sens!G5022=life_it_hi,1,0)+Sens!H5029*IF(Sens!I5022-Sens!H5022=life_it_hi,1,0)</f>
        <v>0</v>
      </c>
      <c r="J5048" s="29" t="n">
        <f aca="false">Sens!C5029*IF(Sens!J5022-Sens!C5022=life_it_hi,1,0)+Sens!D5029*IF(Sens!J5022-Sens!D5022=life_it_hi,1,0)+Sens!E5029*IF(Sens!J5022-Sens!E5022=life_it_hi,1,0)+Sens!F5029*IF(Sens!J5022-Sens!F5022=life_it_hi,1,0)+Sens!G5029*IF(Sens!J5022-Sens!G5022=life_it_hi,1,0)+Sens!H5029*IF(Sens!J5022-Sens!H5022=life_it_hi,1,0)+Sens!I5029*IF(Sens!J5022-Sens!I5022=life_it_hi,1,0)</f>
        <v>816.666666666667</v>
      </c>
      <c r="K5048" s="29" t="n">
        <f aca="false">Sens!C5029*IF(Sens!K5022-Sens!C5022=life_it_hi,1,0)+Sens!D5029*IF(Sens!K5022-Sens!D5022=life_it_hi,1,0)+Sens!E5029*IF(Sens!K5022-Sens!E5022=life_it_hi,1,0)+Sens!F5029*IF(Sens!K5022-Sens!F5022=life_it_hi,1,0)+Sens!G5029*IF(Sens!K5022-Sens!G5022=life_it_hi,1,0)+Sens!H5029*IF(Sens!K5022-Sens!H5022=life_it_hi,1,0)+Sens!I5029*IF(Sens!K5022-Sens!I5022=life_it_hi,1,0)+Sens!J5029*IF(Sens!K5022-Sens!J5022=life_it_hi,1,0)</f>
        <v>1233.33333333333</v>
      </c>
      <c r="L5048" s="1" t="s">
        <v>834</v>
      </c>
    </row>
    <row r="5049" customFormat="false" ht="17.15" hidden="false" customHeight="false" outlineLevel="0" collapsed="false">
      <c r="A5049" s="0" t="s">
        <v>835</v>
      </c>
      <c r="B5049" s="0" t="s">
        <v>98</v>
      </c>
      <c r="C5049" s="6" t="n">
        <f aca="false">Sens!C5029*Sens!C5047/1000</f>
        <v>22.5333845916667</v>
      </c>
      <c r="D5049" s="6" t="n">
        <f aca="false">Sens!D5029*Sens!D5047/1000</f>
        <v>34.0300093833333</v>
      </c>
      <c r="E5049" s="6" t="n">
        <f aca="false">Sens!E5029*Sens!E5047/1000</f>
        <v>67.600153775</v>
      </c>
      <c r="F5049" s="6" t="n">
        <f aca="false">(Sens!F5029+Sens!F5048)*Sens!F5047/1000</f>
        <v>130.923271871467</v>
      </c>
      <c r="G5049" s="6" t="n">
        <f aca="false">(Sens!G5029+Sens!G5048)*Sens!G5047/1000</f>
        <v>151.5545564832</v>
      </c>
      <c r="H5049" s="6" t="n">
        <f aca="false">(Sens!H5029+Sens!H5048)*Sens!H5047/1000</f>
        <v>156.0606619104</v>
      </c>
      <c r="I5049" s="6" t="n">
        <f aca="false">(Sens!I5029+Sens!I5048)*Sens!I5047/1000</f>
        <v>110.729214087579</v>
      </c>
      <c r="J5049" s="6" t="n">
        <f aca="false">(Sens!J5029+Sens!J5048)*Sens!J5047/1000</f>
        <v>95.6564416114239</v>
      </c>
      <c r="K5049" s="6" t="n">
        <f aca="false">(Sens!K5029+Sens!K5048)*Sens!K5047/1000</f>
        <v>65.7630934552694</v>
      </c>
    </row>
    <row r="5050" customFormat="false" ht="17.15" hidden="false" customHeight="false" outlineLevel="0" collapsed="false">
      <c r="A5050" s="0" t="s">
        <v>836</v>
      </c>
      <c r="B5050" s="0" t="s">
        <v>98</v>
      </c>
      <c r="C5050" s="6" t="n">
        <f aca="false">Sens!C5029*self_build*tk_cxfac/1000</f>
        <v>6.2083</v>
      </c>
      <c r="D5050" s="6" t="n">
        <f aca="false">Sens!D5029*self_build*tk_cxfac/1000</f>
        <v>9.3758</v>
      </c>
      <c r="E5050" s="6" t="n">
        <f aca="false">Sens!E5029*self_build*tk_cxfac/1000</f>
        <v>18.6249</v>
      </c>
      <c r="F5050" s="6" t="n">
        <f aca="false">Sens!F5029*self_build*tk_cxfac/1000</f>
        <v>29.409604</v>
      </c>
      <c r="G5050" s="6" t="n">
        <f aca="false">Sens!G5029*self_build*tk_cxfac/1000</f>
        <v>32.019624</v>
      </c>
      <c r="H5050" s="6" t="n">
        <f aca="false">Sens!H5029*self_build*tk_cxfac/1000</f>
        <v>32.019624</v>
      </c>
      <c r="I5050" s="6" t="n">
        <f aca="false">Sens!I5029*self_build*tk_cxfac/1000</f>
        <v>22.71877972</v>
      </c>
      <c r="J5050" s="6" t="n">
        <f aca="false">Sens!J5029*self_build*tk_cxfac/1000</f>
        <v>13.41793544</v>
      </c>
      <c r="K5050" s="6" t="n">
        <f aca="false">Sens!K5029*self_build*tk_cxfac/1000</f>
        <v>4.11709116000001</v>
      </c>
    </row>
    <row r="5051" customFormat="false" ht="17.15" hidden="false" customHeight="false" outlineLevel="0" collapsed="false">
      <c r="A5051" s="0" t="s">
        <v>837</v>
      </c>
      <c r="B5051" s="0" t="s">
        <v>98</v>
      </c>
      <c r="F5051" s="6" t="n">
        <f aca="false">MAX(0,capex_floor27-Sens!F5049-Sens!F5050-Sens!F5144)</f>
        <v>8.43777689897088</v>
      </c>
      <c r="L5051" s="1" t="s">
        <v>838</v>
      </c>
    </row>
    <row r="5052" customFormat="false" ht="17.15" hidden="false" customHeight="false" outlineLevel="0" collapsed="false">
      <c r="A5052" s="0" t="s">
        <v>839</v>
      </c>
      <c r="B5052" s="0" t="s">
        <v>98</v>
      </c>
      <c r="C5052" s="6" t="n">
        <f aca="false">Sens!C5049</f>
        <v>22.5333845916667</v>
      </c>
      <c r="D5052" s="6" t="n">
        <f aca="false">Sens!D5049</f>
        <v>34.0300093833333</v>
      </c>
      <c r="E5052" s="6" t="n">
        <f aca="false">Sens!E5049</f>
        <v>67.600153775</v>
      </c>
      <c r="F5052" s="6" t="n">
        <f aca="false">Sens!F5049+Sens!F5051</f>
        <v>139.361048770438</v>
      </c>
      <c r="G5052" s="6" t="n">
        <f aca="false">Sens!G5049</f>
        <v>151.5545564832</v>
      </c>
      <c r="H5052" s="6" t="n">
        <f aca="false">Sens!H5049</f>
        <v>156.0606619104</v>
      </c>
      <c r="I5052" s="6" t="n">
        <f aca="false">Sens!I5049</f>
        <v>110.729214087579</v>
      </c>
      <c r="J5052" s="6" t="n">
        <f aca="false">Sens!J5049</f>
        <v>95.6564416114239</v>
      </c>
      <c r="K5052" s="6" t="n">
        <f aca="false">Sens!K5049</f>
        <v>65.7630934552694</v>
      </c>
    </row>
    <row r="5053" customFormat="false" ht="17.15" hidden="false" customHeight="false" outlineLevel="0" collapsed="false">
      <c r="A5053" s="0" t="s">
        <v>840</v>
      </c>
      <c r="B5053" s="0" t="s">
        <v>98</v>
      </c>
      <c r="C5053" s="6" t="n">
        <f aca="false">Sens!C5052+Sens!C5050</f>
        <v>28.7416845916667</v>
      </c>
      <c r="D5053" s="6" t="n">
        <f aca="false">Sens!D5052+Sens!D5050</f>
        <v>43.4058093833333</v>
      </c>
      <c r="E5053" s="6" t="n">
        <f aca="false">Sens!E5052+Sens!E5050</f>
        <v>86.225053775</v>
      </c>
      <c r="F5053" s="6" t="n">
        <f aca="false">Sens!F5052+Sens!F5050</f>
        <v>168.770652770438</v>
      </c>
      <c r="G5053" s="6" t="n">
        <f aca="false">Sens!G5052+Sens!G5050</f>
        <v>183.5741804832</v>
      </c>
      <c r="H5053" s="6" t="n">
        <f aca="false">Sens!H5052+Sens!H5050</f>
        <v>188.0802859104</v>
      </c>
      <c r="I5053" s="6" t="n">
        <f aca="false">Sens!I5052+Sens!I5050</f>
        <v>133.447993807579</v>
      </c>
      <c r="J5053" s="6" t="n">
        <f aca="false">Sens!J5052+Sens!J5050</f>
        <v>109.074377051424</v>
      </c>
      <c r="K5053" s="6" t="n">
        <f aca="false">Sens!K5052+Sens!K5050</f>
        <v>69.8801846152694</v>
      </c>
      <c r="L5053" s="11" t="s">
        <v>841</v>
      </c>
    </row>
    <row r="5054" customFormat="false" ht="17.15" hidden="false" customHeight="false" outlineLevel="0" collapsed="false">
      <c r="A5054" s="0" t="s">
        <v>842</v>
      </c>
      <c r="B5054" s="0" t="s">
        <v>98</v>
      </c>
      <c r="E5054" s="6" t="n">
        <f aca="false">(Sens!C5052*IF(2&lt;life_it_hi,1,IF(2=life_it_hi,0.5,0))+Sens!D5052*IF(1&lt;life_it_hi,1,IF(1=life_it_hi,0.5,0))+Sens!E5052*0.5)/life_it_hi</f>
        <v>12.9090672660714</v>
      </c>
      <c r="F5054" s="6" t="n">
        <f aca="false">(Sens!C5052*IF(3&lt;life_it_hi,1,IF(3=life_it_hi,0.5,0))+Sens!D5052*IF(2&lt;life_it_hi,1,IF(2=life_it_hi,0.5,0))+Sens!E5052*IF(1&lt;life_it_hi,1,IF(1=life_it_hi,0.5,0))+Sens!F5052*0.5)/life_it_hi</f>
        <v>27.6920103050313</v>
      </c>
      <c r="G5054" s="6" t="n">
        <f aca="false">(Sens!C5052*IF(4&lt;life_it_hi,1,IF(4=life_it_hi,0.5,0))+Sens!D5052*IF(3&lt;life_it_hi,1,IF(3=life_it_hi,0.5,0))+Sens!E5052*IF(2&lt;life_it_hi,1,IF(2=life_it_hi,0.5,0))+Sens!F5052*IF(1&lt;life_it_hi,1,IF(1=life_it_hi,0.5,0))+Sens!G5052*0.5)/life_it_hi</f>
        <v>48.4716963945768</v>
      </c>
      <c r="H5054" s="6" t="n">
        <f aca="false">(Sens!C5052*IF(5&lt;life_it_hi,1,IF(5=life_it_hi,0.5,0))+Sens!D5052*IF(4&lt;life_it_hi,1,IF(4=life_it_hi,0.5,0))+Sens!E5052*IF(3&lt;life_it_hi,1,IF(3=life_it_hi,0.5,0))+Sens!F5052*IF(2&lt;life_it_hi,1,IF(2=life_it_hi,0.5,0))+Sens!G5052*IF(1&lt;life_it_hi,1,IF(1=life_it_hi,0.5,0))+Sens!H5052*0.5)/life_it_hi</f>
        <v>70.4442119941196</v>
      </c>
      <c r="I5054" s="6" t="n">
        <f aca="false">(Sens!C5052*IF(6&lt;life_it_hi,1,IF(6=life_it_hi,0.5,0))+Sens!D5052*IF(5&lt;life_it_hi,1,IF(5=life_it_hi,0.5,0))+Sens!E5052*IF(4&lt;life_it_hi,1,IF(4=life_it_hi,0.5,0))+Sens!F5052*IF(3&lt;life_it_hi,1,IF(3=life_it_hi,0.5,0))+Sens!G5052*IF(2&lt;life_it_hi,1,IF(2=life_it_hi,0.5,0))+Sens!H5052*IF(1&lt;life_it_hi,1,IF(1=life_it_hi,0.5,0))+Sens!I5052*0.5)/life_it_hi</f>
        <v>89.500631708261</v>
      </c>
      <c r="J5054" s="6" t="n">
        <f aca="false">(Sens!C5052*IF(7&lt;life_it_hi,1,IF(7=life_it_hi,0.5,0))+Sens!D5052*IF(6&lt;life_it_hi,1,IF(6=life_it_hi,0.5,0))+Sens!E5052*IF(5&lt;life_it_hi,1,IF(5=life_it_hi,0.5,0))+Sens!F5052*IF(4&lt;life_it_hi,1,IF(4=life_it_hi,0.5,0))+Sens!G5052*IF(3&lt;life_it_hi,1,IF(3=life_it_hi,0.5,0))+Sens!H5052*IF(2&lt;life_it_hi,1,IF(2=life_it_hi,0.5,0))+Sens!I5052*IF(1&lt;life_it_hi,1,IF(1=life_it_hi,0.5,0))+Sens!J5052*0.5)/life_it_hi</f>
        <v>102.632936787356</v>
      </c>
      <c r="K5054" s="6" t="n">
        <f aca="false">(Sens!C5052*IF(8&lt;life_it_hi,1,IF(8=life_it_hi,0.5,0))+Sens!D5052*IF(7&lt;life_it_hi,1,IF(7=life_it_hi,0.5,0))+Sens!E5052*IF(6&lt;life_it_hi,1,IF(6=life_it_hi,0.5,0))+Sens!F5052*IF(5&lt;life_it_hi,1,IF(5=life_it_hi,0.5,0))+Sens!G5052*IF(4&lt;life_it_hi,1,IF(4=life_it_hi,0.5,0))+Sens!H5052*IF(3&lt;life_it_hi,1,IF(3=life_it_hi,0.5,0))+Sens!I5052*IF(2&lt;life_it_hi,1,IF(2=life_it_hi,0.5,0))+Sens!J5052*IF(1&lt;life_it_hi,1,IF(1=life_it_hi,0.5,0))+Sens!K5052*0.5)/life_it_hi</f>
        <v>110.122661151049</v>
      </c>
    </row>
    <row r="5055" customFormat="false" ht="17.15" hidden="false" customHeight="false" outlineLevel="0" collapsed="false">
      <c r="A5055" s="0" t="s">
        <v>843</v>
      </c>
      <c r="B5055" s="0" t="s">
        <v>98</v>
      </c>
      <c r="E5055" s="6" t="n">
        <f aca="false">(Sens!C5050*IF(2&lt;life_fac,1,IF(2=life_fac,0.5,0))+Sens!D5050*IF(1&lt;life_fac,1,IF(1=life_fac,0.5,0))+Sens!E5050*0.5)/life_fac</f>
        <v>1.2448275</v>
      </c>
      <c r="F5055" s="6" t="n">
        <f aca="false">(Sens!C5050*IF(3&lt;life_fac,1,IF(3=life_fac,0.5,0))+Sens!D5050*IF(2&lt;life_fac,1,IF(2=life_fac,0.5,0))+Sens!E5050*IF(1&lt;life_fac,1,IF(1=life_fac,0.5,0))+Sens!F5050*0.5)/life_fac</f>
        <v>2.4456901</v>
      </c>
      <c r="G5055" s="6" t="n">
        <f aca="false">(Sens!C5050*IF(4&lt;life_fac,1,IF(4=life_fac,0.5,0))+Sens!D5050*IF(3&lt;life_fac,1,IF(3=life_fac,0.5,0))+Sens!E5050*IF(2&lt;life_fac,1,IF(2=life_fac,0.5,0))+Sens!F5050*IF(1&lt;life_fac,1,IF(1=life_fac,0.5,0))+Sens!G5050*0.5)/life_fac</f>
        <v>3.9814208</v>
      </c>
      <c r="H5055" s="6" t="n">
        <f aca="false">(Sens!C5050*IF(5&lt;life_fac,1,IF(5=life_fac,0.5,0))+Sens!D5050*IF(4&lt;life_fac,1,IF(4=life_fac,0.5,0))+Sens!E5050*IF(3&lt;life_fac,1,IF(3=life_fac,0.5,0))+Sens!F5050*IF(2&lt;life_fac,1,IF(2=life_fac,0.5,0))+Sens!G5050*IF(1&lt;life_fac,1,IF(1=life_fac,0.5,0))+Sens!H5050*0.5)/life_fac</f>
        <v>5.582402</v>
      </c>
      <c r="I5055" s="6" t="n">
        <f aca="false">(Sens!C5050*IF(6&lt;life_fac,1,IF(6=life_fac,0.5,0))+Sens!D5050*IF(5&lt;life_fac,1,IF(5=life_fac,0.5,0))+Sens!E5050*IF(4&lt;life_fac,1,IF(4=life_fac,0.5,0))+Sens!F5050*IF(3&lt;life_fac,1,IF(3=life_fac,0.5,0))+Sens!G5050*IF(2&lt;life_fac,1,IF(2=life_fac,0.5,0))+Sens!H5050*IF(1&lt;life_fac,1,IF(1=life_fac,0.5,0))+Sens!I5050*0.5)/life_fac</f>
        <v>6.950862093</v>
      </c>
      <c r="J5055" s="6" t="n">
        <f aca="false">(Sens!C5050*IF(7&lt;life_fac,1,IF(7=life_fac,0.5,0))+Sens!D5050*IF(6&lt;life_fac,1,IF(6=life_fac,0.5,0))+Sens!E5050*IF(5&lt;life_fac,1,IF(5=life_fac,0.5,0))+Sens!F5050*IF(4&lt;life_fac,1,IF(4=life_fac,0.5,0))+Sens!G5050*IF(3&lt;life_fac,1,IF(3=life_fac,0.5,0))+Sens!H5050*IF(2&lt;life_fac,1,IF(2=life_fac,0.5,0))+Sens!I5050*IF(1&lt;life_fac,1,IF(1=life_fac,0.5,0))+Sens!J5050*0.5)/life_fac</f>
        <v>7.854279972</v>
      </c>
      <c r="K5055" s="6" t="n">
        <f aca="false">(Sens!C5050*IF(8&lt;life_fac,1,IF(8=life_fac,0.5,0))+Sens!D5050*IF(7&lt;life_fac,1,IF(7=life_fac,0.5,0))+Sens!E5050*IF(6&lt;life_fac,1,IF(6=life_fac,0.5,0))+Sens!F5050*IF(5&lt;life_fac,1,IF(5=life_fac,0.5,0))+Sens!G5050*IF(4&lt;life_fac,1,IF(4=life_fac,0.5,0))+Sens!H5050*IF(3&lt;life_fac,1,IF(3=life_fac,0.5,0))+Sens!I5050*IF(2&lt;life_fac,1,IF(2=life_fac,0.5,0))+Sens!J5050*IF(1&lt;life_fac,1,IF(1=life_fac,0.5,0))+Sens!K5050*0.5)/life_fac</f>
        <v>8.292655637</v>
      </c>
    </row>
    <row r="5056" customFormat="false" ht="17.15" hidden="false" customHeight="false" outlineLevel="0" collapsed="false">
      <c r="A5056" s="0" t="s">
        <v>844</v>
      </c>
      <c r="B5056" s="0" t="s">
        <v>98</v>
      </c>
      <c r="E5056" s="6" t="n">
        <f aca="false">Sens!E5054+Sens!E5055</f>
        <v>14.1538947660714</v>
      </c>
      <c r="F5056" s="6" t="n">
        <f aca="false">Sens!F5054+Sens!F5055</f>
        <v>30.1377004050313</v>
      </c>
      <c r="G5056" s="6" t="n">
        <f aca="false">Sens!G5054+Sens!G5055</f>
        <v>52.4531171945768</v>
      </c>
      <c r="H5056" s="6" t="n">
        <f aca="false">Sens!H5054+Sens!H5055</f>
        <v>76.0266139941196</v>
      </c>
      <c r="I5056" s="6" t="n">
        <f aca="false">Sens!I5054+Sens!I5055</f>
        <v>96.451493801261</v>
      </c>
      <c r="J5056" s="6" t="n">
        <f aca="false">Sens!J5054+Sens!J5055</f>
        <v>110.487216759356</v>
      </c>
      <c r="K5056" s="6" t="n">
        <f aca="false">Sens!K5054+Sens!K5055</f>
        <v>118.415316788049</v>
      </c>
    </row>
    <row r="5057" customFormat="false" ht="17.15" hidden="false" customHeight="false" outlineLevel="0" collapsed="false">
      <c r="A5057" s="0" t="s">
        <v>845</v>
      </c>
      <c r="B5057" s="0" t="s">
        <v>98</v>
      </c>
      <c r="E5057" s="6" t="n">
        <f aca="false">Sens!E5045-Sens!E5044*Sens!E5056</f>
        <v>10.2179856263809</v>
      </c>
      <c r="F5057" s="6" t="n">
        <f aca="false">Sens!F5045-Sens!F5044*Sens!F5056</f>
        <v>16.9747253195232</v>
      </c>
      <c r="G5057" s="6" t="n">
        <f aca="false">Sens!G5045-Sens!G5044*Sens!G5056</f>
        <v>20.778626854541</v>
      </c>
      <c r="H5057" s="6" t="n">
        <f aca="false">Sens!H5045-Sens!H5044*Sens!H5056</f>
        <v>19.6637014545553</v>
      </c>
      <c r="I5057" s="6" t="n">
        <f aca="false">Sens!I5045-Sens!I5044*Sens!I5056</f>
        <v>24.5224348506284</v>
      </c>
      <c r="J5057" s="6" t="n">
        <f aca="false">Sens!J5045-Sens!J5044*Sens!J5056</f>
        <v>28.2857415915416</v>
      </c>
      <c r="K5057" s="6" t="n">
        <f aca="false">Sens!K5045-Sens!K5044*Sens!K5056</f>
        <v>30.3375534028073</v>
      </c>
    </row>
    <row r="5058" customFormat="false" ht="17.15" hidden="false" customHeight="false" outlineLevel="0" collapsed="false">
      <c r="A5058" s="3" t="s">
        <v>1365</v>
      </c>
    </row>
    <row r="5059" customFormat="false" ht="15" hidden="false" customHeight="false" outlineLevel="0" collapsed="false">
      <c r="A5059" s="4" t="s">
        <v>43</v>
      </c>
      <c r="B5059" s="4" t="s">
        <v>65</v>
      </c>
      <c r="C5059" s="20" t="s">
        <v>788</v>
      </c>
      <c r="D5059" s="20" t="s">
        <v>789</v>
      </c>
      <c r="E5059" s="20" t="s">
        <v>790</v>
      </c>
      <c r="F5059" s="20" t="s">
        <v>791</v>
      </c>
      <c r="G5059" s="20" t="s">
        <v>792</v>
      </c>
      <c r="H5059" s="20" t="s">
        <v>793</v>
      </c>
      <c r="I5059" s="20" t="s">
        <v>794</v>
      </c>
      <c r="J5059" s="20" t="s">
        <v>795</v>
      </c>
      <c r="K5059" s="20" t="s">
        <v>796</v>
      </c>
      <c r="L5059" s="4" t="s">
        <v>47</v>
      </c>
    </row>
    <row r="5060" customFormat="false" ht="17.15" hidden="false" customHeight="false" outlineLevel="0" collapsed="false">
      <c r="A5060" s="0" t="s">
        <v>864</v>
      </c>
      <c r="B5060" s="0" t="s">
        <v>98</v>
      </c>
      <c r="D5060" s="6" t="n">
        <f aca="false">Sens!D5039</f>
        <v>12.9359794422418</v>
      </c>
      <c r="E5060" s="6" t="n">
        <f aca="false">Sens!E5039</f>
        <v>27.8095064661409</v>
      </c>
      <c r="F5060" s="6" t="n">
        <f aca="false">Sens!F5039</f>
        <v>50.6619113883066</v>
      </c>
      <c r="G5060" s="6" t="n">
        <f aca="false">Sens!G5039</f>
        <v>75.1482839325348</v>
      </c>
      <c r="H5060" s="6" t="n">
        <f aca="false">Sens!H5039</f>
        <v>94.895655604042</v>
      </c>
      <c r="I5060" s="6" t="n">
        <f aca="false">Sens!I5039</f>
        <v>117.745710989875</v>
      </c>
      <c r="J5060" s="6" t="n">
        <f aca="false">Sens!J5039</f>
        <v>133.80425370224</v>
      </c>
      <c r="K5060" s="6" t="n">
        <f aca="false">Sens!K5039</f>
        <v>142.579710699705</v>
      </c>
    </row>
    <row r="5061" customFormat="false" ht="17.15" hidden="false" customHeight="false" outlineLevel="0" collapsed="false">
      <c r="A5061" s="0" t="s">
        <v>865</v>
      </c>
      <c r="B5061" s="0" t="s">
        <v>98</v>
      </c>
      <c r="D5061" s="6" t="n">
        <f aca="false">Q!L6-Sens!D5060</f>
        <v>59.6740205577583</v>
      </c>
      <c r="E5061" s="6" t="n">
        <f aca="false">Q!M6-Sens!E5060</f>
        <v>74.1284935338591</v>
      </c>
      <c r="F5061" s="6" t="n">
        <f aca="false">Sens!E5061*(1+Sens!F5062)</f>
        <v>90.0799497373663</v>
      </c>
      <c r="G5061" s="6" t="n">
        <f aca="false">Sens!F5061*(1+Sens!G5062)</f>
        <v>107.02842520331</v>
      </c>
      <c r="H5061" s="6" t="n">
        <f aca="false">Sens!G5061*(1+Sens!H5062)</f>
        <v>124.271982585636</v>
      </c>
      <c r="I5061" s="6" t="n">
        <f aca="false">Sens!H5061*(1+Sens!I5062)</f>
        <v>140.933702381855</v>
      </c>
      <c r="J5061" s="6" t="n">
        <f aca="false">Sens!I5061*(1+Sens!J5062)</f>
        <v>156.018867314332</v>
      </c>
      <c r="K5061" s="6" t="n">
        <f aca="false">Sens!J5061*(1+Sens!K5062)</f>
        <v>168.500376699478</v>
      </c>
    </row>
    <row r="5062" customFormat="false" ht="15" hidden="false" customHeight="false" outlineLevel="0" collapsed="false">
      <c r="A5062" s="1" t="s">
        <v>866</v>
      </c>
      <c r="B5062" s="0" t="s">
        <v>129</v>
      </c>
      <c r="E5062" s="7" t="n">
        <f aca="false">Sens!E5061/Sens!D5061-1</f>
        <v>0.242223883039864</v>
      </c>
      <c r="F5062" s="7" t="n">
        <f aca="false">Sens!$E$5062+(glt_azo-Sens!$E$5062)*MIN(1,(Sens!F5022-base_fy)/n_conv)</f>
        <v>0.215186569199887</v>
      </c>
      <c r="G5062" s="7" t="n">
        <f aca="false">Sens!$E$5062+(glt_azo-Sens!$E$5062)*MIN(1,(Sens!G5022-base_fy)/n_conv)</f>
        <v>0.18814925535991</v>
      </c>
      <c r="H5062" s="7" t="n">
        <f aca="false">Sens!$E$5062+(glt_azo-Sens!$E$5062)*MIN(1,(Sens!H5022-base_fy)/n_conv)</f>
        <v>0.161111941519932</v>
      </c>
      <c r="I5062" s="7" t="n">
        <f aca="false">Sens!$E$5062+(glt_azo-Sens!$E$5062)*MIN(1,(Sens!I5022-base_fy)/n_conv)</f>
        <v>0.134074627679955</v>
      </c>
      <c r="J5062" s="7" t="n">
        <f aca="false">Sens!$E$5062+(glt_azo-Sens!$E$5062)*MIN(1,(Sens!J5022-base_fy)/n_conv)</f>
        <v>0.107037313839977</v>
      </c>
      <c r="K5062" s="7" t="n">
        <f aca="false">Sens!$E$5062+(glt_azo-Sens!$E$5062)*MIN(1,(Sens!K5022-base_fy)/n_conv)</f>
        <v>0.08</v>
      </c>
    </row>
    <row r="5063" customFormat="false" ht="15" hidden="false" customHeight="false" outlineLevel="0" collapsed="false">
      <c r="A5063" s="0" t="s">
        <v>867</v>
      </c>
      <c r="B5063" s="0" t="s">
        <v>98</v>
      </c>
      <c r="D5063" s="6" t="n">
        <f aca="false">Sens!D5060+Sens!D5061</f>
        <v>72.61</v>
      </c>
      <c r="E5063" s="6" t="n">
        <f aca="false">Sens!E5060+Sens!E5061</f>
        <v>101.938</v>
      </c>
      <c r="F5063" s="6" t="n">
        <f aca="false">Sens!F5060+Sens!F5061</f>
        <v>140.741861125673</v>
      </c>
      <c r="G5063" s="6" t="n">
        <f aca="false">Sens!G5060+Sens!G5061</f>
        <v>182.176709135845</v>
      </c>
      <c r="H5063" s="6" t="n">
        <f aca="false">Sens!H5060+Sens!H5061</f>
        <v>219.167638189678</v>
      </c>
      <c r="I5063" s="6" t="n">
        <f aca="false">Sens!I5060+Sens!I5061</f>
        <v>258.67941337173</v>
      </c>
      <c r="J5063" s="6" t="n">
        <f aca="false">Sens!J5060+Sens!J5061</f>
        <v>289.823121016572</v>
      </c>
      <c r="K5063" s="6" t="n">
        <f aca="false">Sens!K5060+Sens!K5061</f>
        <v>311.080087399183</v>
      </c>
    </row>
    <row r="5064" customFormat="false" ht="17.15" hidden="false" customHeight="false" outlineLevel="0" collapsed="false">
      <c r="A5064" s="0" t="s">
        <v>868</v>
      </c>
      <c r="B5064" s="1" t="s">
        <v>521</v>
      </c>
      <c r="C5064" s="29" t="n">
        <f aca="false">cop_s24</f>
        <v>1</v>
      </c>
      <c r="D5064" s="29" t="n">
        <f aca="false">cop_s25</f>
        <v>5</v>
      </c>
      <c r="E5064" s="29" t="n">
        <f aca="false">cop_s26</f>
        <v>30</v>
      </c>
      <c r="F5064" s="29" t="n">
        <f aca="false">Sens!E5064+cop_add_C</f>
        <v>40</v>
      </c>
      <c r="G5064" s="29" t="n">
        <f aca="false">Sens!F5064+cop_add_C</f>
        <v>50</v>
      </c>
      <c r="H5064" s="29" t="n">
        <f aca="false">Sens!G5064+cop_add_C</f>
        <v>60</v>
      </c>
      <c r="I5064" s="29" t="n">
        <f aca="false">Sens!H5064+cop_add_C*cop_tail</f>
        <v>65</v>
      </c>
      <c r="J5064" s="29" t="n">
        <f aca="false">Sens!I5064+cop_add_C*cop_tail</f>
        <v>70</v>
      </c>
      <c r="K5064" s="29" t="n">
        <f aca="false">Sens!J5064+cop_add_C*cop_tail</f>
        <v>75</v>
      </c>
      <c r="L5064" s="11" t="s">
        <v>869</v>
      </c>
    </row>
    <row r="5065" customFormat="false" ht="17.15" hidden="false" customHeight="false" outlineLevel="0" collapsed="false">
      <c r="A5065" s="0" t="s">
        <v>870</v>
      </c>
      <c r="B5065" s="0" t="s">
        <v>98</v>
      </c>
      <c r="D5065" s="6" t="n">
        <f aca="false">(Sens!C5064+Sens!D5064)/2*cop_px*12/1000</f>
        <v>0.9</v>
      </c>
      <c r="E5065" s="6" t="n">
        <f aca="false">(Sens!D5064+Sens!E5064)/2*cop_px*12/1000</f>
        <v>5.25</v>
      </c>
      <c r="F5065" s="6" t="n">
        <f aca="false">(Sens!E5064+Sens!F5064)/2*cop_px*12/1000</f>
        <v>10.5</v>
      </c>
      <c r="G5065" s="6" t="n">
        <f aca="false">(Sens!F5064+Sens!G5064)/2*cop_px*12/1000</f>
        <v>13.5</v>
      </c>
      <c r="H5065" s="6" t="n">
        <f aca="false">(Sens!G5064+Sens!H5064)/2*cop_px*12/1000</f>
        <v>16.5</v>
      </c>
      <c r="I5065" s="6" t="n">
        <f aca="false">(Sens!H5064+Sens!I5064)/2*cop_px*12/1000</f>
        <v>18.75</v>
      </c>
      <c r="J5065" s="6" t="n">
        <f aca="false">(Sens!I5064+Sens!J5064)/2*cop_px*12/1000</f>
        <v>20.25</v>
      </c>
      <c r="K5065" s="6" t="n">
        <f aca="false">(Sens!J5064+Sens!K5064)/2*cop_px*12/1000</f>
        <v>21.75</v>
      </c>
      <c r="L5065" s="1" t="s">
        <v>871</v>
      </c>
    </row>
    <row r="5066" customFormat="false" ht="17.15" hidden="false" customHeight="false" outlineLevel="0" collapsed="false">
      <c r="A5066" s="0" t="s">
        <v>872</v>
      </c>
      <c r="B5066" s="0" t="s">
        <v>98</v>
      </c>
      <c r="D5066" s="6" t="n">
        <f aca="false">Q!L7-Sens!D5065</f>
        <v>83.705</v>
      </c>
      <c r="E5066" s="6" t="n">
        <f aca="false">Q!M7-Sens!E5065</f>
        <v>95.049</v>
      </c>
      <c r="F5066" s="6" t="n">
        <f aca="false">Sens!E5066*(1+Sens!F5067)</f>
        <v>106.89238776686</v>
      </c>
      <c r="G5066" s="6" t="n">
        <f aca="false">Sens!F5066*(1+Sens!G5067)</f>
        <v>119.044168448684</v>
      </c>
      <c r="H5066" s="6" t="n">
        <f aca="false">Sens!G5066*(1+Sens!H5067)</f>
        <v>131.277359388781</v>
      </c>
      <c r="I5066" s="6" t="n">
        <f aca="false">Sens!H5066*(1+Sens!I5067)</f>
        <v>143.334028071957</v>
      </c>
      <c r="J5066" s="6" t="n">
        <f aca="false">Sens!I5066*(1+Sens!J5067)</f>
        <v>154.932702785465</v>
      </c>
      <c r="K5066" s="6" t="n">
        <f aca="false">Sens!J5066*(1+Sens!K5067)</f>
        <v>165.777991980448</v>
      </c>
    </row>
    <row r="5067" customFormat="false" ht="15" hidden="false" customHeight="false" outlineLevel="0" collapsed="false">
      <c r="A5067" s="1" t="s">
        <v>866</v>
      </c>
      <c r="B5067" s="0" t="s">
        <v>129</v>
      </c>
      <c r="E5067" s="7" t="n">
        <f aca="false">Sens!E5066/Sens!D5066-1</f>
        <v>0.135523564900544</v>
      </c>
      <c r="F5067" s="7" t="n">
        <f aca="false">Sens!$E$5067+(glt_m365b-Sens!$E$5067)*MIN(1,(Sens!F5022-base_fy)/n_conv)</f>
        <v>0.124602970750453</v>
      </c>
      <c r="G5067" s="7" t="n">
        <f aca="false">Sens!$E$5067+(glt_m365b-Sens!$E$5067)*MIN(1,(Sens!G5022-base_fy)/n_conv)</f>
        <v>0.113682376600363</v>
      </c>
      <c r="H5067" s="7" t="n">
        <f aca="false">Sens!$E$5067+(glt_m365b-Sens!$E$5067)*MIN(1,(Sens!H5022-base_fy)/n_conv)</f>
        <v>0.102761782450272</v>
      </c>
      <c r="I5067" s="7" t="n">
        <f aca="false">Sens!$E$5067+(glt_m365b-Sens!$E$5067)*MIN(1,(Sens!I5022-base_fy)/n_conv)</f>
        <v>0.0918411883001813</v>
      </c>
      <c r="J5067" s="7" t="n">
        <f aca="false">Sens!$E$5067+(glt_m365b-Sens!$E$5067)*MIN(1,(Sens!J5022-base_fy)/n_conv)</f>
        <v>0.0809205941500906</v>
      </c>
      <c r="K5067" s="7" t="n">
        <f aca="false">Sens!$E$5067+(glt_m365b-Sens!$E$5067)*MIN(1,(Sens!K5022-base_fy)/n_conv)</f>
        <v>0.07</v>
      </c>
    </row>
    <row r="5068" customFormat="false" ht="15" hidden="false" customHeight="false" outlineLevel="0" collapsed="false">
      <c r="A5068" s="0" t="s">
        <v>873</v>
      </c>
      <c r="B5068" s="0" t="s">
        <v>98</v>
      </c>
      <c r="D5068" s="6" t="n">
        <f aca="false">Sens!D5066+Sens!D5065</f>
        <v>84.605</v>
      </c>
      <c r="E5068" s="6" t="n">
        <f aca="false">Sens!E5066+Sens!E5065</f>
        <v>100.299</v>
      </c>
      <c r="F5068" s="6" t="n">
        <f aca="false">Sens!F5066+Sens!F5065</f>
        <v>117.39238776686</v>
      </c>
      <c r="G5068" s="6" t="n">
        <f aca="false">Sens!G5066+Sens!G5065</f>
        <v>132.544168448684</v>
      </c>
      <c r="H5068" s="6" t="n">
        <f aca="false">Sens!H5066+Sens!H5065</f>
        <v>147.777359388781</v>
      </c>
      <c r="I5068" s="6" t="n">
        <f aca="false">Sens!I5066+Sens!I5065</f>
        <v>162.084028071957</v>
      </c>
      <c r="J5068" s="6" t="n">
        <f aca="false">Sens!J5066+Sens!J5065</f>
        <v>175.182702785465</v>
      </c>
      <c r="K5068" s="6" t="n">
        <f aca="false">Sens!K5066+Sens!K5065</f>
        <v>187.527991980448</v>
      </c>
    </row>
    <row r="5069" customFormat="false" ht="15" hidden="false" customHeight="false" outlineLevel="0" collapsed="false">
      <c r="A5069" s="0" t="s">
        <v>874</v>
      </c>
      <c r="B5069" s="0" t="s">
        <v>98</v>
      </c>
      <c r="D5069" s="6" t="n">
        <f aca="false">Q!L8</f>
        <v>35.391</v>
      </c>
      <c r="E5069" s="6" t="n">
        <f aca="false">Q!M8</f>
        <v>37.285</v>
      </c>
      <c r="F5069" s="6" t="n">
        <f aca="false">Sens!E5069*(1+Sens!F5070)</f>
        <v>39.0720834331704</v>
      </c>
      <c r="G5069" s="6" t="n">
        <f aca="false">Sens!F5069*(1+Sens!G5070)</f>
        <v>40.726562953769</v>
      </c>
      <c r="H5069" s="6" t="n">
        <f aca="false">Sens!G5069*(1+Sens!H5070)</f>
        <v>42.2235987259198</v>
      </c>
      <c r="I5069" s="6" t="n">
        <f aca="false">Sens!H5069*(1+Sens!I5070)</f>
        <v>43.5397988077414</v>
      </c>
      <c r="J5069" s="6" t="n">
        <f aca="false">Sens!I5069*(1+Sens!J5070)</f>
        <v>44.653811225693</v>
      </c>
      <c r="K5069" s="6" t="n">
        <f aca="false">Sens!J5069*(1+Sens!K5070)</f>
        <v>45.5468874502068</v>
      </c>
    </row>
    <row r="5070" customFormat="false" ht="15" hidden="false" customHeight="false" outlineLevel="0" collapsed="false">
      <c r="A5070" s="1" t="s">
        <v>866</v>
      </c>
      <c r="B5070" s="0" t="s">
        <v>129</v>
      </c>
      <c r="E5070" s="7" t="n">
        <f aca="false">Sens!E5069/Sens!D5069-1</f>
        <v>0.0535164307309768</v>
      </c>
      <c r="F5070" s="7" t="n">
        <f aca="false">Sens!$E$5070+(glt_lic-Sens!$E$5070)*MIN(1,(Sens!F5022-base_fy)/n_conv)</f>
        <v>0.0479303589424807</v>
      </c>
      <c r="G5070" s="7" t="n">
        <f aca="false">Sens!$E$5070+(glt_lic-Sens!$E$5070)*MIN(1,(Sens!G5022-base_fy)/n_conv)</f>
        <v>0.0423442871539845</v>
      </c>
      <c r="H5070" s="7" t="n">
        <f aca="false">Sens!$E$5070+(glt_lic-Sens!$E$5070)*MIN(1,(Sens!H5022-base_fy)/n_conv)</f>
        <v>0.0367582153654884</v>
      </c>
      <c r="I5070" s="7" t="n">
        <f aca="false">Sens!$E$5070+(glt_lic-Sens!$E$5070)*MIN(1,(Sens!I5022-base_fy)/n_conv)</f>
        <v>0.0311721435769923</v>
      </c>
      <c r="J5070" s="7" t="n">
        <f aca="false">Sens!$E$5070+(glt_lic-Sens!$E$5070)*MIN(1,(Sens!J5022-base_fy)/n_conv)</f>
        <v>0.0255860717884961</v>
      </c>
      <c r="K5070" s="7" t="n">
        <f aca="false">Sens!$E$5070+(glt_lic-Sens!$E$5070)*MIN(1,(Sens!K5022-base_fy)/n_conv)</f>
        <v>0.02</v>
      </c>
    </row>
    <row r="5071" customFormat="false" ht="15" hidden="false" customHeight="false" outlineLevel="0" collapsed="false">
      <c r="A5071" s="0" t="s">
        <v>875</v>
      </c>
      <c r="B5071" s="0" t="s">
        <v>98</v>
      </c>
      <c r="D5071" s="6" t="n">
        <f aca="false">Q!L9</f>
        <v>18.417</v>
      </c>
      <c r="E5071" s="6" t="n">
        <f aca="false">Q!M9</f>
        <v>20.345</v>
      </c>
      <c r="F5071" s="6" t="n">
        <f aca="false">Sens!E5071*(1+Sens!F5072)</f>
        <v>22.3572203267814</v>
      </c>
      <c r="G5071" s="6" t="n">
        <f aca="false">Sens!F5071*(1+Sens!G5072)</f>
        <v>24.4392124437232</v>
      </c>
      <c r="H5071" s="6" t="n">
        <f aca="false">Sens!G5071*(1+Sens!H5072)</f>
        <v>26.5738052080665</v>
      </c>
      <c r="I5071" s="6" t="n">
        <f aca="false">Sens!H5071*(1+Sens!I5072)</f>
        <v>28.7412169166967</v>
      </c>
      <c r="J5071" s="6" t="n">
        <f aca="false">Sens!I5071*(1+Sens!J5072)</f>
        <v>30.9192545395413</v>
      </c>
      <c r="K5071" s="6" t="n">
        <f aca="false">Sens!J5071*(1+Sens!K5072)</f>
        <v>33.0836023573092</v>
      </c>
    </row>
    <row r="5072" customFormat="false" ht="15" hidden="false" customHeight="false" outlineLevel="0" collapsed="false">
      <c r="A5072" s="1" t="s">
        <v>866</v>
      </c>
      <c r="B5072" s="0" t="s">
        <v>129</v>
      </c>
      <c r="E5072" s="7" t="n">
        <f aca="false">Sens!E5071/Sens!D5071-1</f>
        <v>0.104685888038225</v>
      </c>
      <c r="F5072" s="7" t="n">
        <f aca="false">Sens!$E$5072+(glt_ind-Sens!$E$5072)*MIN(1,(Sens!F5022-base_fy)/n_conv)</f>
        <v>0.0989049066985211</v>
      </c>
      <c r="G5072" s="7" t="n">
        <f aca="false">Sens!$E$5072+(glt_ind-Sens!$E$5072)*MIN(1,(Sens!G5022-base_fy)/n_conv)</f>
        <v>0.0931239253588169</v>
      </c>
      <c r="H5072" s="7" t="n">
        <f aca="false">Sens!$E$5072+(glt_ind-Sens!$E$5072)*MIN(1,(Sens!H5022-base_fy)/n_conv)</f>
        <v>0.0873429440191127</v>
      </c>
      <c r="I5072" s="7" t="n">
        <f aca="false">Sens!$E$5072+(glt_ind-Sens!$E$5072)*MIN(1,(Sens!I5022-base_fy)/n_conv)</f>
        <v>0.0815619626794085</v>
      </c>
      <c r="J5072" s="7" t="n">
        <f aca="false">Sens!$E$5072+(glt_ind-Sens!$E$5072)*MIN(1,(Sens!J5022-base_fy)/n_conv)</f>
        <v>0.0757809813397042</v>
      </c>
      <c r="K5072" s="7" t="n">
        <f aca="false">Sens!$E$5072+(glt_ind-Sens!$E$5072)*MIN(1,(Sens!K5022-base_fy)/n_conv)</f>
        <v>0.07</v>
      </c>
    </row>
    <row r="5073" customFormat="false" ht="15" hidden="false" customHeight="false" outlineLevel="0" collapsed="false">
      <c r="A5073" s="0" t="s">
        <v>876</v>
      </c>
      <c r="B5073" s="0" t="s">
        <v>98</v>
      </c>
      <c r="D5073" s="6" t="n">
        <f aca="false">Q!L10</f>
        <v>7.76</v>
      </c>
      <c r="E5073" s="6" t="n">
        <f aca="false">Q!M10</f>
        <v>8.26</v>
      </c>
      <c r="F5073" s="6" t="n">
        <f aca="false">Sens!E5073*(1+Sens!F5074)</f>
        <v>8.79988041237113</v>
      </c>
      <c r="G5073" s="6" t="n">
        <f aca="false">Sens!F5073*(1+Sens!G5074)</f>
        <v>9.38321269125306</v>
      </c>
      <c r="H5073" s="6" t="n">
        <f aca="false">Sens!G5073*(1+Sens!H5074)</f>
        <v>10.0139193587476</v>
      </c>
      <c r="I5073" s="6" t="n">
        <f aca="false">Sens!H5073*(1+Sens!I5074)</f>
        <v>10.6963111830911</v>
      </c>
      <c r="J5073" s="6" t="n">
        <f aca="false">Sens!I5073*(1+Sens!J5074)</f>
        <v>11.4351285534696</v>
      </c>
      <c r="K5073" s="6" t="n">
        <f aca="false">Sens!J5073*(1+Sens!K5074)</f>
        <v>12.2355875522124</v>
      </c>
    </row>
    <row r="5074" customFormat="false" ht="15" hidden="false" customHeight="false" outlineLevel="0" collapsed="false">
      <c r="A5074" s="1" t="s">
        <v>866</v>
      </c>
      <c r="B5074" s="0" t="s">
        <v>129</v>
      </c>
      <c r="E5074" s="7" t="n">
        <f aca="false">Sens!E5073/Sens!D5073-1</f>
        <v>0.0644329896907216</v>
      </c>
      <c r="F5074" s="7" t="n">
        <f aca="false">Sens!$E$5074+(glt_fro-Sens!$E$5074)*MIN(1,(Sens!F5022-base_fy)/n_conv)</f>
        <v>0.065360824742268</v>
      </c>
      <c r="G5074" s="7" t="n">
        <f aca="false">Sens!$E$5074+(glt_fro-Sens!$E$5074)*MIN(1,(Sens!G5022-base_fy)/n_conv)</f>
        <v>0.0662886597938144</v>
      </c>
      <c r="H5074" s="7" t="n">
        <f aca="false">Sens!$E$5074+(glt_fro-Sens!$E$5074)*MIN(1,(Sens!H5022-base_fy)/n_conv)</f>
        <v>0.0672164948453608</v>
      </c>
      <c r="I5074" s="7" t="n">
        <f aca="false">Sens!$E$5074+(glt_fro-Sens!$E$5074)*MIN(1,(Sens!I5022-base_fy)/n_conv)</f>
        <v>0.0681443298969072</v>
      </c>
      <c r="J5074" s="7" t="n">
        <f aca="false">Sens!$E$5074+(glt_fro-Sens!$E$5074)*MIN(1,(Sens!J5022-base_fy)/n_conv)</f>
        <v>0.0690721649484536</v>
      </c>
      <c r="K5074" s="7" t="n">
        <f aca="false">Sens!$E$5074+(glt_fro-Sens!$E$5074)*MIN(1,(Sens!K5022-base_fy)/n_conv)</f>
        <v>0.07</v>
      </c>
    </row>
    <row r="5075" customFormat="false" ht="15" hidden="false" customHeight="false" outlineLevel="0" collapsed="false">
      <c r="A5075" s="0" t="s">
        <v>704</v>
      </c>
      <c r="B5075" s="0" t="s">
        <v>98</v>
      </c>
      <c r="D5075" s="6" t="n">
        <f aca="false">Sens!D5063+Sens!D5068+Sens!D5069+Sens!D5071+Sens!D5073</f>
        <v>218.783</v>
      </c>
      <c r="E5075" s="6" t="n">
        <f aca="false">Sens!E5063+Sens!E5068+Sens!E5069+Sens!E5071+Sens!E5073</f>
        <v>268.127</v>
      </c>
      <c r="F5075" s="6" t="n">
        <f aca="false">Sens!F5063+Sens!F5068+Sens!F5069+Sens!F5071+Sens!F5073</f>
        <v>328.363433064856</v>
      </c>
      <c r="G5075" s="6" t="n">
        <f aca="false">Sens!G5063+Sens!G5068+Sens!G5069+Sens!G5071+Sens!G5073</f>
        <v>389.269865673274</v>
      </c>
      <c r="H5075" s="6" t="n">
        <f aca="false">Sens!H5063+Sens!H5068+Sens!H5069+Sens!H5071+Sens!H5073</f>
        <v>445.756320871193</v>
      </c>
      <c r="I5075" s="6" t="n">
        <f aca="false">Sens!I5063+Sens!I5068+Sens!I5069+Sens!I5071+Sens!I5073</f>
        <v>503.740768351216</v>
      </c>
      <c r="J5075" s="6" t="n">
        <f aca="false">Sens!J5063+Sens!J5068+Sens!J5069+Sens!J5071+Sens!J5073</f>
        <v>552.014018120741</v>
      </c>
      <c r="K5075" s="6" t="n">
        <f aca="false">Sens!K5063+Sens!K5068+Sens!K5069+Sens!K5071+Sens!K5073</f>
        <v>589.474156739359</v>
      </c>
    </row>
    <row r="5076" customFormat="false" ht="15" hidden="false" customHeight="false" outlineLevel="0" collapsed="false">
      <c r="A5076" s="0" t="s">
        <v>877</v>
      </c>
      <c r="B5076" s="0" t="s">
        <v>98</v>
      </c>
      <c r="D5076" s="6" t="n">
        <f aca="false">Q!L13</f>
        <v>22.171</v>
      </c>
      <c r="E5076" s="6" t="n">
        <f aca="false">Q!M13</f>
        <v>24.835</v>
      </c>
      <c r="F5076" s="6" t="n">
        <f aca="false">Sens!E5076*(1+Sens!F5077)</f>
        <v>27.6114901218559</v>
      </c>
      <c r="G5076" s="6" t="n">
        <f aca="false">Sens!F5076*(1+Sens!G5077)</f>
        <v>30.4675667338515</v>
      </c>
      <c r="H5076" s="6" t="n">
        <f aca="false">Sens!G5076*(1+Sens!H5077)</f>
        <v>33.3643766955789</v>
      </c>
      <c r="I5076" s="6" t="n">
        <f aca="false">Sens!H5076*(1+Sens!I5077)</f>
        <v>36.2577016533691</v>
      </c>
      <c r="J5076" s="6" t="n">
        <f aca="false">Sens!I5076*(1+Sens!J5077)</f>
        <v>39.0988367952171</v>
      </c>
      <c r="K5076" s="6" t="n">
        <f aca="false">Sens!J5076*(1+Sens!K5077)</f>
        <v>41.8357553708823</v>
      </c>
    </row>
    <row r="5077" customFormat="false" ht="15" hidden="false" customHeight="false" outlineLevel="0" collapsed="false">
      <c r="A5077" s="1" t="s">
        <v>866</v>
      </c>
      <c r="B5077" s="0" t="s">
        <v>129</v>
      </c>
      <c r="E5077" s="7" t="n">
        <f aca="false">Sens!E5076/Sens!D5076-1</f>
        <v>0.120156961796942</v>
      </c>
      <c r="F5077" s="7" t="n">
        <f aca="false">Sens!$E$5077+(glt_srch-Sens!$E$5077)*MIN(1,(Sens!F5022-base_fy)/n_conv)</f>
        <v>0.111797468164118</v>
      </c>
      <c r="G5077" s="7" t="n">
        <f aca="false">Sens!$E$5077+(glt_srch-Sens!$E$5077)*MIN(1,(Sens!G5022-base_fy)/n_conv)</f>
        <v>0.103437974531295</v>
      </c>
      <c r="H5077" s="7" t="n">
        <f aca="false">Sens!$E$5077+(glt_srch-Sens!$E$5077)*MIN(1,(Sens!H5022-base_fy)/n_conv)</f>
        <v>0.095078480898471</v>
      </c>
      <c r="I5077" s="7" t="n">
        <f aca="false">Sens!$E$5077+(glt_srch-Sens!$E$5077)*MIN(1,(Sens!I5022-base_fy)/n_conv)</f>
        <v>0.0867189872656474</v>
      </c>
      <c r="J5077" s="7" t="n">
        <f aca="false">Sens!$E$5077+(glt_srch-Sens!$E$5077)*MIN(1,(Sens!J5022-base_fy)/n_conv)</f>
        <v>0.0783594936328237</v>
      </c>
      <c r="K5077" s="7" t="n">
        <f aca="false">Sens!$E$5077+(glt_srch-Sens!$E$5077)*MIN(1,(Sens!K5022-base_fy)/n_conv)</f>
        <v>0.07</v>
      </c>
    </row>
    <row r="5078" customFormat="false" ht="15" hidden="false" customHeight="false" outlineLevel="0" collapsed="false">
      <c r="A5078" s="0" t="s">
        <v>878</v>
      </c>
      <c r="B5078" s="0" t="s">
        <v>98</v>
      </c>
      <c r="D5078" s="6" t="n">
        <f aca="false">Q!L14</f>
        <v>23.455</v>
      </c>
      <c r="E5078" s="6" t="n">
        <f aca="false">Q!M14</f>
        <v>21.79</v>
      </c>
      <c r="F5078" s="6" t="n">
        <f aca="false">Sens!E5078*(1+Sens!F5079)</f>
        <v>20.5736277908051</v>
      </c>
      <c r="G5078" s="6" t="n">
        <f aca="false">Sens!F5078*(1+Sens!G5079)</f>
        <v>19.7371452817919</v>
      </c>
      <c r="H5078" s="6" t="n">
        <f aca="false">Sens!G5078*(1+Sens!H5079)</f>
        <v>19.2339764043138</v>
      </c>
      <c r="I5078" s="6" t="n">
        <f aca="false">Sens!H5078*(1+Sens!I5079)</f>
        <v>19.0353086852681</v>
      </c>
      <c r="J5078" s="6" t="n">
        <f aca="false">Sens!I5078*(1+Sens!J5079)</f>
        <v>19.1273539319129</v>
      </c>
      <c r="K5078" s="6" t="n">
        <f aca="false">Sens!J5078*(1+Sens!K5079)</f>
        <v>19.5099010105511</v>
      </c>
    </row>
    <row r="5079" customFormat="false" ht="15" hidden="false" customHeight="false" outlineLevel="0" collapsed="false">
      <c r="A5079" s="1" t="s">
        <v>866</v>
      </c>
      <c r="B5079" s="0" t="s">
        <v>129</v>
      </c>
      <c r="E5079" s="7" t="n">
        <f aca="false">Sens!E5078/Sens!D5078-1</f>
        <v>-0.0709869963760392</v>
      </c>
      <c r="F5079" s="7" t="n">
        <f aca="false">Sens!$E$5079+(glt_xbox-Sens!$E$5079)*MIN(1,(Sens!F5022-base_fy)/n_conv)</f>
        <v>-0.0558224969800327</v>
      </c>
      <c r="G5079" s="7" t="n">
        <f aca="false">Sens!$E$5079+(glt_xbox-Sens!$E$5079)*MIN(1,(Sens!G5022-base_fy)/n_conv)</f>
        <v>-0.0406579975840262</v>
      </c>
      <c r="H5079" s="7" t="n">
        <f aca="false">Sens!$E$5079+(glt_xbox-Sens!$E$5079)*MIN(1,(Sens!H5022-base_fy)/n_conv)</f>
        <v>-0.0254934981880196</v>
      </c>
      <c r="I5079" s="7" t="n">
        <f aca="false">Sens!$E$5079+(glt_xbox-Sens!$E$5079)*MIN(1,(Sens!I5022-base_fy)/n_conv)</f>
        <v>-0.0103289987920131</v>
      </c>
      <c r="J5079" s="7" t="n">
        <f aca="false">Sens!$E$5079+(glt_xbox-Sens!$E$5079)*MIN(1,(Sens!J5022-base_fy)/n_conv)</f>
        <v>0.00483550060399347</v>
      </c>
      <c r="K5079" s="7" t="n">
        <f aca="false">Sens!$E$5079+(glt_xbox-Sens!$E$5079)*MIN(1,(Sens!K5022-base_fy)/n_conv)</f>
        <v>0.02</v>
      </c>
    </row>
    <row r="5080" customFormat="false" ht="15" hidden="false" customHeight="false" outlineLevel="0" collapsed="false">
      <c r="A5080" s="0" t="s">
        <v>879</v>
      </c>
      <c r="B5080" s="0" t="s">
        <v>98</v>
      </c>
      <c r="D5080" s="6" t="n">
        <f aca="false">Q!L15</f>
        <v>17.315</v>
      </c>
      <c r="E5080" s="6" t="n">
        <f aca="false">Q!M15</f>
        <v>17.087</v>
      </c>
      <c r="F5080" s="6" t="n">
        <f aca="false">Sens!E5080*(1+Sens!F5081)</f>
        <v>16.9564585436519</v>
      </c>
      <c r="G5080" s="6" t="n">
        <f aca="false">Sens!F5080*(1+Sens!G5081)</f>
        <v>16.9206490624268</v>
      </c>
      <c r="H5080" s="6" t="n">
        <f aca="false">Sens!G5080*(1+Sens!H5081)</f>
        <v>16.9784519149849</v>
      </c>
      <c r="I5080" s="6" t="n">
        <f aca="false">Sens!H5080*(1+Sens!I5081)</f>
        <v>17.1303084701817</v>
      </c>
      <c r="J5080" s="6" t="n">
        <f aca="false">Sens!I5080*(1+Sens!J5081)</f>
        <v>17.3782189407267</v>
      </c>
      <c r="K5080" s="6" t="n">
        <f aca="false">Sens!J5080*(1+Sens!K5081)</f>
        <v>17.7257833195413</v>
      </c>
    </row>
    <row r="5081" customFormat="false" ht="15" hidden="false" customHeight="false" outlineLevel="0" collapsed="false">
      <c r="A5081" s="1" t="s">
        <v>866</v>
      </c>
      <c r="B5081" s="0" t="s">
        <v>129</v>
      </c>
      <c r="E5081" s="7" t="n">
        <f aca="false">Sens!E5080/Sens!D5080-1</f>
        <v>-0.0131677736066995</v>
      </c>
      <c r="F5081" s="7" t="n">
        <f aca="false">Sens!$E$5081+(glt_win-Sens!$E$5081)*MIN(1,(Sens!F5022-base_fy)/n_conv)</f>
        <v>-0.00763981133891627</v>
      </c>
      <c r="G5081" s="7" t="n">
        <f aca="false">Sens!$E$5081+(glt_win-Sens!$E$5081)*MIN(1,(Sens!G5022-base_fy)/n_conv)</f>
        <v>-0.00211184907113301</v>
      </c>
      <c r="H5081" s="7" t="n">
        <f aca="false">Sens!$E$5081+(glt_win-Sens!$E$5081)*MIN(1,(Sens!H5022-base_fy)/n_conv)</f>
        <v>0.00341611319665024</v>
      </c>
      <c r="I5081" s="7" t="n">
        <f aca="false">Sens!$E$5081+(glt_win-Sens!$E$5081)*MIN(1,(Sens!I5022-base_fy)/n_conv)</f>
        <v>0.00894407546443349</v>
      </c>
      <c r="J5081" s="7" t="n">
        <f aca="false">Sens!$E$5081+(glt_win-Sens!$E$5081)*MIN(1,(Sens!J5022-base_fy)/n_conv)</f>
        <v>0.0144720377322168</v>
      </c>
      <c r="K5081" s="7" t="n">
        <f aca="false">Sens!$E$5081+(glt_win-Sens!$E$5081)*MIN(1,(Sens!K5022-base_fy)/n_conv)</f>
        <v>0.02</v>
      </c>
    </row>
    <row r="5082" customFormat="false" ht="15" hidden="false" customHeight="false" outlineLevel="0" collapsed="false">
      <c r="A5082" s="0" t="s">
        <v>718</v>
      </c>
      <c r="B5082" s="0" t="s">
        <v>98</v>
      </c>
      <c r="D5082" s="6" t="n">
        <f aca="false">Sens!D5076+Sens!D5078+Sens!D5080</f>
        <v>62.941</v>
      </c>
      <c r="E5082" s="6" t="n">
        <f aca="false">Sens!E5076+Sens!E5078+Sens!E5080</f>
        <v>63.712</v>
      </c>
      <c r="F5082" s="6" t="n">
        <f aca="false">Sens!F5076+Sens!F5078+Sens!F5080</f>
        <v>65.1415764563129</v>
      </c>
      <c r="G5082" s="6" t="n">
        <f aca="false">Sens!G5076+Sens!G5078+Sens!G5080</f>
        <v>67.1253610780702</v>
      </c>
      <c r="H5082" s="6" t="n">
        <f aca="false">Sens!H5076+Sens!H5078+Sens!H5080</f>
        <v>69.5768050148776</v>
      </c>
      <c r="I5082" s="6" t="n">
        <f aca="false">Sens!I5076+Sens!I5078+Sens!I5080</f>
        <v>72.4233188088189</v>
      </c>
      <c r="J5082" s="6" t="n">
        <f aca="false">Sens!J5076+Sens!J5078+Sens!J5080</f>
        <v>75.6044096678567</v>
      </c>
      <c r="K5082" s="6" t="n">
        <f aca="false">Sens!K5076+Sens!K5078+Sens!K5080</f>
        <v>79.0714397009747</v>
      </c>
    </row>
    <row r="5083" customFormat="false" ht="15" hidden="false" customHeight="false" outlineLevel="0" collapsed="false">
      <c r="A5083" s="1" t="s">
        <v>880</v>
      </c>
      <c r="B5083" s="0" t="s">
        <v>98</v>
      </c>
      <c r="D5083" s="6" t="n">
        <f aca="false">Sens!D5075+Sens!D5082</f>
        <v>281.724</v>
      </c>
      <c r="E5083" s="6" t="n">
        <f aca="false">Sens!E5075+Sens!E5082</f>
        <v>331.839</v>
      </c>
      <c r="F5083" s="6" t="n">
        <f aca="false">Sens!F5075+Sens!F5082</f>
        <v>393.505009521169</v>
      </c>
      <c r="G5083" s="6" t="n">
        <f aca="false">Sens!G5075+Sens!G5082</f>
        <v>456.395226751344</v>
      </c>
      <c r="H5083" s="6" t="n">
        <f aca="false">Sens!H5075+Sens!H5082</f>
        <v>515.333125886071</v>
      </c>
      <c r="I5083" s="6" t="n">
        <f aca="false">Sens!I5075+Sens!I5082</f>
        <v>576.164087160035</v>
      </c>
      <c r="J5083" s="6" t="n">
        <f aca="false">Sens!J5075+Sens!J5082</f>
        <v>627.618427788598</v>
      </c>
      <c r="K5083" s="6" t="n">
        <f aca="false">Sens!K5075+Sens!K5082</f>
        <v>668.545596440334</v>
      </c>
    </row>
    <row r="5084" customFormat="false" ht="15" hidden="false" customHeight="false" outlineLevel="0" collapsed="false">
      <c r="A5084" s="23" t="s">
        <v>881</v>
      </c>
      <c r="B5084" s="30" t="s">
        <v>98</v>
      </c>
      <c r="C5084" s="30"/>
      <c r="D5084" s="24" t="n">
        <f aca="false">(Sens!D5063+Sens!D5068+Sens!D5069+Sens!D5071+Sens!D5073-Sens!D5075)+(Sens!D5076+Sens!D5078+Sens!D5080-Sens!D5082)+(Sens!D5075-Q!L5)+(Sens!D5082-Q!L12)+(Sens!D5063-Q!L6)+(Sens!D5068-Q!L7)</f>
        <v>0</v>
      </c>
      <c r="E5084" s="24" t="n">
        <f aca="false">(Sens!E5063+Sens!E5068+Sens!E5069+Sens!E5071+Sens!E5073-Sens!E5075)+(Sens!E5076+Sens!E5078+Sens!E5080-Sens!E5082)+(Sens!E5075-Q!M5)+(Sens!E5082-Q!M12)+(Sens!E5063-Q!M6)+(Sens!E5068-Q!M7)</f>
        <v>0</v>
      </c>
      <c r="F5084" s="24" t="n">
        <f aca="false">(Sens!F5063+Sens!F5068+Sens!F5069+Sens!F5071+Sens!F5073-Sens!F5075)+(Sens!F5076+Sens!F5078+Sens!F5080-Sens!F5082)</f>
        <v>0</v>
      </c>
      <c r="G5084" s="24" t="n">
        <f aca="false">(Sens!G5063+Sens!G5068+Sens!G5069+Sens!G5071+Sens!G5073-Sens!G5075)+(Sens!G5076+Sens!G5078+Sens!G5080-Sens!G5082)</f>
        <v>0</v>
      </c>
      <c r="H5084" s="24" t="n">
        <f aca="false">(Sens!H5063+Sens!H5068+Sens!H5069+Sens!H5071+Sens!H5073-Sens!H5075)+(Sens!H5076+Sens!H5078+Sens!H5080-Sens!H5082)</f>
        <v>0</v>
      </c>
      <c r="I5084" s="24" t="n">
        <f aca="false">(Sens!I5063+Sens!I5068+Sens!I5069+Sens!I5071+Sens!I5073-Sens!I5075)+(Sens!I5076+Sens!I5078+Sens!I5080-Sens!I5082)</f>
        <v>0</v>
      </c>
      <c r="J5084" s="24" t="n">
        <f aca="false">(Sens!J5063+Sens!J5068+Sens!J5069+Sens!J5071+Sens!J5073-Sens!J5075)+(Sens!J5076+Sens!J5078+Sens!J5080-Sens!J5082)</f>
        <v>0</v>
      </c>
      <c r="K5084" s="24" t="n">
        <f aca="false">(Sens!K5063+Sens!K5068+Sens!K5069+Sens!K5071+Sens!K5073-Sens!K5075)+(Sens!K5076+Sens!K5078+Sens!K5080-Sens!K5082)</f>
        <v>0</v>
      </c>
    </row>
    <row r="5085" customFormat="false" ht="17.15" hidden="false" customHeight="false" outlineLevel="0" collapsed="false">
      <c r="A5085" s="3" t="s">
        <v>1366</v>
      </c>
    </row>
    <row r="5086" customFormat="false" ht="15" hidden="false" customHeight="false" outlineLevel="0" collapsed="false">
      <c r="A5086" s="4" t="s">
        <v>43</v>
      </c>
      <c r="B5086" s="4" t="s">
        <v>65</v>
      </c>
      <c r="C5086" s="20" t="s">
        <v>788</v>
      </c>
      <c r="D5086" s="20" t="s">
        <v>789</v>
      </c>
      <c r="E5086" s="20" t="s">
        <v>790</v>
      </c>
      <c r="F5086" s="20" t="s">
        <v>791</v>
      </c>
      <c r="G5086" s="20" t="s">
        <v>792</v>
      </c>
      <c r="H5086" s="20" t="s">
        <v>793</v>
      </c>
      <c r="I5086" s="20" t="s">
        <v>794</v>
      </c>
      <c r="J5086" s="20" t="s">
        <v>795</v>
      </c>
      <c r="K5086" s="20" t="s">
        <v>796</v>
      </c>
      <c r="L5086" s="4" t="s">
        <v>47</v>
      </c>
    </row>
    <row r="5087" customFormat="false" ht="15" hidden="false" customHeight="false" outlineLevel="0" collapsed="false">
      <c r="A5087" s="0" t="s">
        <v>867</v>
      </c>
      <c r="B5087" s="0" t="s">
        <v>98</v>
      </c>
      <c r="D5087" s="6" t="n">
        <f aca="false">Sens!D5063</f>
        <v>72.61</v>
      </c>
      <c r="E5087" s="6" t="n">
        <f aca="false">Sens!E5063</f>
        <v>101.938</v>
      </c>
      <c r="F5087" s="6" t="n">
        <f aca="false">Sens!F5063</f>
        <v>140.741861125673</v>
      </c>
      <c r="G5087" s="6" t="n">
        <f aca="false">Sens!G5063</f>
        <v>182.176709135845</v>
      </c>
      <c r="H5087" s="6" t="n">
        <f aca="false">Sens!H5063</f>
        <v>219.167638189678</v>
      </c>
      <c r="I5087" s="6" t="n">
        <f aca="false">Sens!I5063</f>
        <v>258.67941337173</v>
      </c>
      <c r="J5087" s="6" t="n">
        <f aca="false">Sens!J5063</f>
        <v>289.823121016572</v>
      </c>
      <c r="K5087" s="6" t="n">
        <f aca="false">Sens!K5063</f>
        <v>311.080087399183</v>
      </c>
    </row>
    <row r="5088" customFormat="false" ht="17.15" hidden="false" customHeight="false" outlineLevel="0" collapsed="false">
      <c r="A5088" s="0" t="s">
        <v>864</v>
      </c>
      <c r="B5088" s="0" t="s">
        <v>98</v>
      </c>
      <c r="D5088" s="6" t="n">
        <f aca="false">Sens!D5060</f>
        <v>12.9359794422418</v>
      </c>
      <c r="E5088" s="6" t="n">
        <f aca="false">Sens!E5060</f>
        <v>27.8095064661409</v>
      </c>
      <c r="F5088" s="6" t="n">
        <f aca="false">Sens!F5060</f>
        <v>50.6619113883066</v>
      </c>
      <c r="G5088" s="6" t="n">
        <f aca="false">Sens!G5060</f>
        <v>75.1482839325348</v>
      </c>
      <c r="H5088" s="6" t="n">
        <f aca="false">Sens!H5060</f>
        <v>94.895655604042</v>
      </c>
      <c r="I5088" s="6" t="n">
        <f aca="false">Sens!I5060</f>
        <v>117.745710989875</v>
      </c>
      <c r="J5088" s="6" t="n">
        <f aca="false">Sens!J5060</f>
        <v>133.80425370224</v>
      </c>
      <c r="K5088" s="6" t="n">
        <f aca="false">Sens!K5060</f>
        <v>142.579710699705</v>
      </c>
    </row>
    <row r="5089" customFormat="false" ht="17.15" hidden="false" customHeight="false" outlineLevel="0" collapsed="false">
      <c r="A5089" s="0" t="s">
        <v>892</v>
      </c>
      <c r="B5089" s="0" t="s">
        <v>98</v>
      </c>
      <c r="D5089" s="6" t="n">
        <f aca="false">Sens!D5061</f>
        <v>59.6740205577583</v>
      </c>
      <c r="E5089" s="6" t="n">
        <f aca="false">Sens!E5061</f>
        <v>74.1284935338591</v>
      </c>
      <c r="F5089" s="6" t="n">
        <f aca="false">Sens!F5061</f>
        <v>90.0799497373663</v>
      </c>
      <c r="G5089" s="6" t="n">
        <f aca="false">Sens!G5061</f>
        <v>107.02842520331</v>
      </c>
      <c r="H5089" s="6" t="n">
        <f aca="false">Sens!H5061</f>
        <v>124.271982585636</v>
      </c>
      <c r="I5089" s="6" t="n">
        <f aca="false">Sens!I5061</f>
        <v>140.933702381855</v>
      </c>
      <c r="J5089" s="6" t="n">
        <f aca="false">Sens!J5061</f>
        <v>156.018867314332</v>
      </c>
      <c r="K5089" s="6" t="n">
        <f aca="false">Sens!K5061</f>
        <v>168.500376699478</v>
      </c>
    </row>
    <row r="5090" customFormat="false" ht="15" hidden="false" customHeight="false" outlineLevel="0" collapsed="false">
      <c r="A5090" s="0" t="s">
        <v>873</v>
      </c>
      <c r="B5090" s="0" t="s">
        <v>98</v>
      </c>
      <c r="D5090" s="6" t="n">
        <f aca="false">Sens!D5068</f>
        <v>84.605</v>
      </c>
      <c r="E5090" s="6" t="n">
        <f aca="false">Sens!E5068</f>
        <v>100.299</v>
      </c>
      <c r="F5090" s="6" t="n">
        <f aca="false">Sens!F5068</f>
        <v>117.39238776686</v>
      </c>
      <c r="G5090" s="6" t="n">
        <f aca="false">Sens!G5068</f>
        <v>132.544168448684</v>
      </c>
      <c r="H5090" s="6" t="n">
        <f aca="false">Sens!H5068</f>
        <v>147.777359388781</v>
      </c>
      <c r="I5090" s="6" t="n">
        <f aca="false">Sens!I5068</f>
        <v>162.084028071957</v>
      </c>
      <c r="J5090" s="6" t="n">
        <f aca="false">Sens!J5068</f>
        <v>175.182702785465</v>
      </c>
      <c r="K5090" s="6" t="n">
        <f aca="false">Sens!K5068</f>
        <v>187.527991980448</v>
      </c>
    </row>
    <row r="5091" customFormat="false" ht="17.15" hidden="false" customHeight="false" outlineLevel="0" collapsed="false">
      <c r="A5091" s="0" t="s">
        <v>893</v>
      </c>
      <c r="B5091" s="0" t="s">
        <v>98</v>
      </c>
      <c r="D5091" s="6" t="n">
        <f aca="false">Sens!D5066</f>
        <v>83.705</v>
      </c>
      <c r="E5091" s="6" t="n">
        <f aca="false">Sens!E5066</f>
        <v>95.049</v>
      </c>
      <c r="F5091" s="6" t="n">
        <f aca="false">Sens!F5066</f>
        <v>106.89238776686</v>
      </c>
      <c r="G5091" s="6" t="n">
        <f aca="false">Sens!G5066</f>
        <v>119.044168448684</v>
      </c>
      <c r="H5091" s="6" t="n">
        <f aca="false">Sens!H5066</f>
        <v>131.277359388781</v>
      </c>
      <c r="I5091" s="6" t="n">
        <f aca="false">Sens!I5066</f>
        <v>143.334028071957</v>
      </c>
      <c r="J5091" s="6" t="n">
        <f aca="false">Sens!J5066</f>
        <v>154.932702785465</v>
      </c>
      <c r="K5091" s="6" t="n">
        <f aca="false">Sens!K5066</f>
        <v>165.777991980448</v>
      </c>
    </row>
    <row r="5092" customFormat="false" ht="17.15" hidden="false" customHeight="false" outlineLevel="0" collapsed="false">
      <c r="A5092" s="0" t="s">
        <v>894</v>
      </c>
      <c r="B5092" s="0" t="s">
        <v>98</v>
      </c>
      <c r="D5092" s="6" t="n">
        <f aca="false">Sens!D5065</f>
        <v>0.9</v>
      </c>
      <c r="E5092" s="6" t="n">
        <f aca="false">Sens!E5065</f>
        <v>5.25</v>
      </c>
      <c r="F5092" s="6" t="n">
        <f aca="false">Sens!F5065</f>
        <v>10.5</v>
      </c>
      <c r="G5092" s="6" t="n">
        <f aca="false">Sens!G5065</f>
        <v>13.5</v>
      </c>
      <c r="H5092" s="6" t="n">
        <f aca="false">Sens!H5065</f>
        <v>16.5</v>
      </c>
      <c r="I5092" s="6" t="n">
        <f aca="false">Sens!I5065</f>
        <v>18.75</v>
      </c>
      <c r="J5092" s="6" t="n">
        <f aca="false">Sens!J5065</f>
        <v>20.25</v>
      </c>
      <c r="K5092" s="6" t="n">
        <f aca="false">Sens!K5065</f>
        <v>21.75</v>
      </c>
    </row>
    <row r="5093" customFormat="false" ht="15" hidden="false" customHeight="false" outlineLevel="0" collapsed="false">
      <c r="A5093" s="0" t="s">
        <v>874</v>
      </c>
      <c r="B5093" s="0" t="s">
        <v>98</v>
      </c>
      <c r="D5093" s="6" t="n">
        <f aca="false">Sens!D5069</f>
        <v>35.391</v>
      </c>
      <c r="E5093" s="6" t="n">
        <f aca="false">Sens!E5069</f>
        <v>37.285</v>
      </c>
      <c r="F5093" s="6" t="n">
        <f aca="false">Sens!F5069</f>
        <v>39.0720834331704</v>
      </c>
      <c r="G5093" s="6" t="n">
        <f aca="false">Sens!G5069</f>
        <v>40.726562953769</v>
      </c>
      <c r="H5093" s="6" t="n">
        <f aca="false">Sens!H5069</f>
        <v>42.2235987259198</v>
      </c>
      <c r="I5093" s="6" t="n">
        <f aca="false">Sens!I5069</f>
        <v>43.5397988077414</v>
      </c>
      <c r="J5093" s="6" t="n">
        <f aca="false">Sens!J5069</f>
        <v>44.653811225693</v>
      </c>
      <c r="K5093" s="6" t="n">
        <f aca="false">Sens!K5069</f>
        <v>45.5468874502068</v>
      </c>
    </row>
    <row r="5094" customFormat="false" ht="15" hidden="false" customHeight="false" outlineLevel="0" collapsed="false">
      <c r="A5094" s="0" t="s">
        <v>875</v>
      </c>
      <c r="B5094" s="0" t="s">
        <v>98</v>
      </c>
      <c r="D5094" s="6" t="n">
        <f aca="false">Sens!D5071</f>
        <v>18.417</v>
      </c>
      <c r="E5094" s="6" t="n">
        <f aca="false">Sens!E5071</f>
        <v>20.345</v>
      </c>
      <c r="F5094" s="6" t="n">
        <f aca="false">Sens!F5071</f>
        <v>22.3572203267814</v>
      </c>
      <c r="G5094" s="6" t="n">
        <f aca="false">Sens!G5071</f>
        <v>24.4392124437232</v>
      </c>
      <c r="H5094" s="6" t="n">
        <f aca="false">Sens!H5071</f>
        <v>26.5738052080665</v>
      </c>
      <c r="I5094" s="6" t="n">
        <f aca="false">Sens!I5071</f>
        <v>28.7412169166967</v>
      </c>
      <c r="J5094" s="6" t="n">
        <f aca="false">Sens!J5071</f>
        <v>30.9192545395413</v>
      </c>
      <c r="K5094" s="6" t="n">
        <f aca="false">Sens!K5071</f>
        <v>33.0836023573092</v>
      </c>
    </row>
    <row r="5095" customFormat="false" ht="15" hidden="false" customHeight="false" outlineLevel="0" collapsed="false">
      <c r="A5095" s="0" t="s">
        <v>876</v>
      </c>
      <c r="B5095" s="0" t="s">
        <v>98</v>
      </c>
      <c r="D5095" s="6" t="n">
        <f aca="false">Sens!D5073</f>
        <v>7.76</v>
      </c>
      <c r="E5095" s="6" t="n">
        <f aca="false">Sens!E5073</f>
        <v>8.26</v>
      </c>
      <c r="F5095" s="6" t="n">
        <f aca="false">Sens!F5073</f>
        <v>8.79988041237113</v>
      </c>
      <c r="G5095" s="6" t="n">
        <f aca="false">Sens!G5073</f>
        <v>9.38321269125306</v>
      </c>
      <c r="H5095" s="6" t="n">
        <f aca="false">Sens!H5073</f>
        <v>10.0139193587476</v>
      </c>
      <c r="I5095" s="6" t="n">
        <f aca="false">Sens!I5073</f>
        <v>10.6963111830911</v>
      </c>
      <c r="J5095" s="6" t="n">
        <f aca="false">Sens!J5073</f>
        <v>11.4351285534696</v>
      </c>
      <c r="K5095" s="6" t="n">
        <f aca="false">Sens!K5073</f>
        <v>12.2355875522124</v>
      </c>
    </row>
    <row r="5096" customFormat="false" ht="15" hidden="false" customHeight="false" outlineLevel="0" collapsed="false">
      <c r="A5096" s="0" t="s">
        <v>704</v>
      </c>
      <c r="B5096" s="0" t="s">
        <v>98</v>
      </c>
      <c r="D5096" s="6" t="n">
        <f aca="false">Sens!D5075</f>
        <v>218.783</v>
      </c>
      <c r="E5096" s="6" t="n">
        <f aca="false">Sens!E5075</f>
        <v>268.127</v>
      </c>
      <c r="F5096" s="6" t="n">
        <f aca="false">Sens!F5075</f>
        <v>328.363433064856</v>
      </c>
      <c r="G5096" s="6" t="n">
        <f aca="false">Sens!G5075</f>
        <v>389.269865673274</v>
      </c>
      <c r="H5096" s="6" t="n">
        <f aca="false">Sens!H5075</f>
        <v>445.756320871193</v>
      </c>
      <c r="I5096" s="6" t="n">
        <f aca="false">Sens!I5075</f>
        <v>503.740768351216</v>
      </c>
      <c r="J5096" s="6" t="n">
        <f aca="false">Sens!J5075</f>
        <v>552.014018120741</v>
      </c>
      <c r="K5096" s="6" t="n">
        <f aca="false">Sens!K5075</f>
        <v>589.474156739359</v>
      </c>
    </row>
    <row r="5097" customFormat="false" ht="15" hidden="false" customHeight="false" outlineLevel="0" collapsed="false">
      <c r="A5097" s="0" t="s">
        <v>877</v>
      </c>
      <c r="B5097" s="0" t="s">
        <v>98</v>
      </c>
      <c r="D5097" s="6" t="n">
        <f aca="false">Sens!D5076</f>
        <v>22.171</v>
      </c>
      <c r="E5097" s="6" t="n">
        <f aca="false">Sens!E5076</f>
        <v>24.835</v>
      </c>
      <c r="F5097" s="6" t="n">
        <f aca="false">Sens!F5076</f>
        <v>27.6114901218559</v>
      </c>
      <c r="G5097" s="6" t="n">
        <f aca="false">Sens!G5076</f>
        <v>30.4675667338515</v>
      </c>
      <c r="H5097" s="6" t="n">
        <f aca="false">Sens!H5076</f>
        <v>33.3643766955789</v>
      </c>
      <c r="I5097" s="6" t="n">
        <f aca="false">Sens!I5076</f>
        <v>36.2577016533691</v>
      </c>
      <c r="J5097" s="6" t="n">
        <f aca="false">Sens!J5076</f>
        <v>39.0988367952171</v>
      </c>
      <c r="K5097" s="6" t="n">
        <f aca="false">Sens!K5076</f>
        <v>41.8357553708823</v>
      </c>
    </row>
    <row r="5098" customFormat="false" ht="15" hidden="false" customHeight="false" outlineLevel="0" collapsed="false">
      <c r="A5098" s="0" t="s">
        <v>878</v>
      </c>
      <c r="B5098" s="0" t="s">
        <v>98</v>
      </c>
      <c r="D5098" s="6" t="n">
        <f aca="false">Sens!D5078</f>
        <v>23.455</v>
      </c>
      <c r="E5098" s="6" t="n">
        <f aca="false">Sens!E5078</f>
        <v>21.79</v>
      </c>
      <c r="F5098" s="6" t="n">
        <f aca="false">Sens!F5078</f>
        <v>20.5736277908051</v>
      </c>
      <c r="G5098" s="6" t="n">
        <f aca="false">Sens!G5078</f>
        <v>19.7371452817919</v>
      </c>
      <c r="H5098" s="6" t="n">
        <f aca="false">Sens!H5078</f>
        <v>19.2339764043138</v>
      </c>
      <c r="I5098" s="6" t="n">
        <f aca="false">Sens!I5078</f>
        <v>19.0353086852681</v>
      </c>
      <c r="J5098" s="6" t="n">
        <f aca="false">Sens!J5078</f>
        <v>19.1273539319129</v>
      </c>
      <c r="K5098" s="6" t="n">
        <f aca="false">Sens!K5078</f>
        <v>19.5099010105511</v>
      </c>
    </row>
    <row r="5099" customFormat="false" ht="15" hidden="false" customHeight="false" outlineLevel="0" collapsed="false">
      <c r="A5099" s="0" t="s">
        <v>879</v>
      </c>
      <c r="B5099" s="0" t="s">
        <v>98</v>
      </c>
      <c r="D5099" s="6" t="n">
        <f aca="false">Sens!D5080</f>
        <v>17.315</v>
      </c>
      <c r="E5099" s="6" t="n">
        <f aca="false">Sens!E5080</f>
        <v>17.087</v>
      </c>
      <c r="F5099" s="6" t="n">
        <f aca="false">Sens!F5080</f>
        <v>16.9564585436519</v>
      </c>
      <c r="G5099" s="6" t="n">
        <f aca="false">Sens!G5080</f>
        <v>16.9206490624268</v>
      </c>
      <c r="H5099" s="6" t="n">
        <f aca="false">Sens!H5080</f>
        <v>16.9784519149849</v>
      </c>
      <c r="I5099" s="6" t="n">
        <f aca="false">Sens!I5080</f>
        <v>17.1303084701817</v>
      </c>
      <c r="J5099" s="6" t="n">
        <f aca="false">Sens!J5080</f>
        <v>17.3782189407267</v>
      </c>
      <c r="K5099" s="6" t="n">
        <f aca="false">Sens!K5080</f>
        <v>17.7257833195413</v>
      </c>
    </row>
    <row r="5100" customFormat="false" ht="15" hidden="false" customHeight="false" outlineLevel="0" collapsed="false">
      <c r="A5100" s="0" t="s">
        <v>718</v>
      </c>
      <c r="B5100" s="0" t="s">
        <v>98</v>
      </c>
      <c r="D5100" s="6" t="n">
        <f aca="false">Sens!D5082</f>
        <v>62.941</v>
      </c>
      <c r="E5100" s="6" t="n">
        <f aca="false">Sens!E5082</f>
        <v>63.712</v>
      </c>
      <c r="F5100" s="6" t="n">
        <f aca="false">Sens!F5082</f>
        <v>65.1415764563129</v>
      </c>
      <c r="G5100" s="6" t="n">
        <f aca="false">Sens!G5082</f>
        <v>67.1253610780702</v>
      </c>
      <c r="H5100" s="6" t="n">
        <f aca="false">Sens!H5082</f>
        <v>69.5768050148776</v>
      </c>
      <c r="I5100" s="6" t="n">
        <f aca="false">Sens!I5082</f>
        <v>72.4233188088189</v>
      </c>
      <c r="J5100" s="6" t="n">
        <f aca="false">Sens!J5082</f>
        <v>75.6044096678567</v>
      </c>
      <c r="K5100" s="6" t="n">
        <f aca="false">Sens!K5082</f>
        <v>79.0714397009747</v>
      </c>
    </row>
    <row r="5101" customFormat="false" ht="15" hidden="false" customHeight="false" outlineLevel="0" collapsed="false">
      <c r="A5101" s="1" t="s">
        <v>895</v>
      </c>
      <c r="B5101" s="0" t="s">
        <v>98</v>
      </c>
      <c r="D5101" s="6" t="n">
        <f aca="false">Sens!D5083</f>
        <v>281.724</v>
      </c>
      <c r="E5101" s="6" t="n">
        <f aca="false">Sens!E5083</f>
        <v>331.839</v>
      </c>
      <c r="F5101" s="6" t="n">
        <f aca="false">Sens!F5083</f>
        <v>393.505009521169</v>
      </c>
      <c r="G5101" s="6" t="n">
        <f aca="false">Sens!G5083</f>
        <v>456.395226751344</v>
      </c>
      <c r="H5101" s="6" t="n">
        <f aca="false">Sens!H5083</f>
        <v>515.333125886071</v>
      </c>
      <c r="I5101" s="6" t="n">
        <f aca="false">Sens!I5083</f>
        <v>576.164087160035</v>
      </c>
      <c r="J5101" s="6" t="n">
        <f aca="false">Sens!J5083</f>
        <v>627.618427788598</v>
      </c>
      <c r="K5101" s="6" t="n">
        <f aca="false">Sens!K5083</f>
        <v>668.545596440334</v>
      </c>
    </row>
    <row r="5102" customFormat="false" ht="15" hidden="false" customHeight="false" outlineLevel="0" collapsed="false">
      <c r="A5102" s="1" t="s">
        <v>896</v>
      </c>
      <c r="B5102" s="0" t="s">
        <v>129</v>
      </c>
      <c r="E5102" s="7" t="n">
        <f aca="false">Sens!E5101/Sens!D5101-1</f>
        <v>0.177886867998467</v>
      </c>
      <c r="F5102" s="7" t="n">
        <f aca="false">Sens!F5101/Sens!E5101-1</f>
        <v>0.185831109427067</v>
      </c>
      <c r="G5102" s="7" t="n">
        <f aca="false">Sens!G5101/Sens!F5101-1</f>
        <v>0.159820626697237</v>
      </c>
      <c r="H5102" s="7" t="n">
        <f aca="false">Sens!H5101/Sens!G5101-1</f>
        <v>0.129137851756801</v>
      </c>
      <c r="I5102" s="7" t="n">
        <f aca="false">Sens!I5101/Sens!H5101-1</f>
        <v>0.118042016354703</v>
      </c>
      <c r="J5102" s="7" t="n">
        <f aca="false">Sens!J5101/Sens!I5101-1</f>
        <v>0.0893050118451257</v>
      </c>
      <c r="K5102" s="7" t="n">
        <f aca="false">Sens!K5101/Sens!J5101-1</f>
        <v>0.0652102724197283</v>
      </c>
    </row>
    <row r="5103" customFormat="false" ht="17.15" hidden="false" customHeight="false" outlineLevel="0" collapsed="false">
      <c r="A5103" s="23" t="s">
        <v>897</v>
      </c>
      <c r="B5103" s="30" t="s">
        <v>98</v>
      </c>
      <c r="C5103" s="30"/>
      <c r="D5103" s="24" t="n">
        <f aca="false">(Sens!D5096+Sens!D5100-Sens!D5101)+(Sens!D5088+Sens!D5089-Sens!D5087)+(Sens!D5091+Sens!D5092-Sens!D5090)+(Sens!D5101-Q!L18)</f>
        <v>0</v>
      </c>
      <c r="E5103" s="24" t="n">
        <f aca="false">(Sens!E5096+Sens!E5100-Sens!E5101)+(Sens!E5088+Sens!E5089-Sens!E5087)+(Sens!E5091+Sens!E5092-Sens!E5090)+(Sens!E5101-Q!M18)</f>
        <v>0</v>
      </c>
      <c r="F5103" s="24" t="n">
        <f aca="false">(Sens!F5096+Sens!F5100-Sens!F5101)+(Sens!F5088+Sens!F5089-Sens!F5087)+(Sens!F5091+Sens!F5092-Sens!F5090)</f>
        <v>0</v>
      </c>
      <c r="G5103" s="24" t="n">
        <f aca="false">(Sens!G5096+Sens!G5100-Sens!G5101)+(Sens!G5088+Sens!G5089-Sens!G5087)+(Sens!G5091+Sens!G5092-Sens!G5090)</f>
        <v>0</v>
      </c>
      <c r="H5103" s="24" t="n">
        <f aca="false">(Sens!H5096+Sens!H5100-Sens!H5101)+(Sens!H5088+Sens!H5089-Sens!H5087)+(Sens!H5091+Sens!H5092-Sens!H5090)</f>
        <v>0</v>
      </c>
      <c r="I5103" s="24" t="n">
        <f aca="false">(Sens!I5096+Sens!I5100-Sens!I5101)+(Sens!I5088+Sens!I5089-Sens!I5087)+(Sens!I5091+Sens!I5092-Sens!I5090)</f>
        <v>0</v>
      </c>
      <c r="J5103" s="24" t="n">
        <f aca="false">(Sens!J5096+Sens!J5100-Sens!J5101)+(Sens!J5088+Sens!J5089-Sens!J5087)+(Sens!J5091+Sens!J5092-Sens!J5090)</f>
        <v>0</v>
      </c>
      <c r="K5103" s="24" t="n">
        <f aca="false">(Sens!K5096+Sens!K5100-Sens!K5101)+(Sens!K5088+Sens!K5089-Sens!K5087)+(Sens!K5091+Sens!K5092-Sens!K5090)</f>
        <v>0</v>
      </c>
    </row>
    <row r="5104" customFormat="false" ht="17.15" hidden="false" customHeight="false" outlineLevel="0" collapsed="false">
      <c r="A5104" s="0" t="s">
        <v>898</v>
      </c>
      <c r="B5104" s="0" t="s">
        <v>129</v>
      </c>
      <c r="E5104" s="7" t="n">
        <f aca="false">(Q!M21+Sens!E5041+Sens!E5042+Sens!E5043+Sens!E5056-Sens!E5039)/(Q!M5-Sens!E5039)</f>
        <v>0.562004564381674</v>
      </c>
      <c r="F5104" s="7" t="n">
        <f aca="false">Sens!$E$5104+dm_seg</f>
        <v>0.562004564381674</v>
      </c>
      <c r="G5104" s="7" t="n">
        <f aca="false">Sens!$E$5104+dm_seg</f>
        <v>0.562004564381674</v>
      </c>
      <c r="H5104" s="7" t="n">
        <f aca="false">Sens!$E$5104+dm_seg</f>
        <v>0.562004564381674</v>
      </c>
      <c r="I5104" s="7" t="n">
        <f aca="false">Sens!$E$5104+dm_seg</f>
        <v>0.562004564381674</v>
      </c>
      <c r="J5104" s="7" t="n">
        <f aca="false">Sens!$E$5104+dm_seg</f>
        <v>0.562004564381674</v>
      </c>
      <c r="K5104" s="7" t="n">
        <f aca="false">Sens!$E$5104+dm_seg</f>
        <v>0.562004564381674</v>
      </c>
      <c r="L5104" s="11" t="s">
        <v>899</v>
      </c>
    </row>
    <row r="5105" customFormat="false" ht="17.15" hidden="false" customHeight="false" outlineLevel="0" collapsed="false">
      <c r="A5105" s="0" t="s">
        <v>732</v>
      </c>
      <c r="B5105" s="0" t="s">
        <v>98</v>
      </c>
      <c r="D5105" s="6" t="n">
        <f aca="false">Q!L21</f>
        <v>110.814</v>
      </c>
      <c r="E5105" s="6" t="n">
        <f aca="false">Q!M21</f>
        <v>136.365</v>
      </c>
      <c r="F5105" s="6" t="n">
        <f aca="false">Sens!F5104*(Sens!F5075-Sens!F5039)+Sens!F5039-(Sens!F5041+Sens!F5042+Sens!F5043)-Sens!F5056</f>
        <v>154.456237324958</v>
      </c>
      <c r="G5105" s="6" t="n">
        <f aca="false">Sens!G5104*(Sens!G5075-Sens!G5039)+Sens!G5039-(Sens!G5041+Sens!G5042+Sens!G5043)-Sens!G5056</f>
        <v>165.550511511632</v>
      </c>
      <c r="H5105" s="6" t="n">
        <f aca="false">Sens!H5104*(Sens!H5075-Sens!H5039)+Sens!H5039-(Sens!H5041+Sens!H5042+Sens!H5043)-Sens!H5056</f>
        <v>171.174920697027</v>
      </c>
      <c r="I5105" s="6" t="n">
        <f aca="false">Sens!I5104*(Sens!I5075-Sens!I5039)+Sens!I5039-(Sens!I5041+Sens!I5042+Sens!I5043)-Sens!I5056</f>
        <v>183.785128156971</v>
      </c>
      <c r="J5105" s="6" t="n">
        <f aca="false">Sens!J5104*(Sens!J5075-Sens!J5039)+Sens!J5039-(Sens!J5041+Sens!J5042+Sens!J5043)-Sens!J5056</f>
        <v>197.456423323258</v>
      </c>
      <c r="K5105" s="6" t="n">
        <f aca="false">Sens!K5104*(Sens!K5075-Sens!K5039)+Sens!K5039-(Sens!K5041+Sens!K5042+Sens!K5043)-Sens!K5056</f>
        <v>211.146727009315</v>
      </c>
      <c r="L5105" s="1" t="s">
        <v>900</v>
      </c>
    </row>
    <row r="5106" customFormat="false" ht="17.15" hidden="false" customHeight="false" outlineLevel="0" collapsed="false">
      <c r="A5106" s="0" t="s">
        <v>901</v>
      </c>
      <c r="B5106" s="0" t="s">
        <v>129</v>
      </c>
      <c r="E5106" s="7" t="n">
        <f aca="false">Q!M22/Q!M12</f>
        <v>0.296207935710698</v>
      </c>
      <c r="F5106" s="7" t="n">
        <f aca="false">Sens!$E$5106+dm_seg</f>
        <v>0.296207935710698</v>
      </c>
      <c r="G5106" s="7" t="n">
        <f aca="false">Sens!$E$5106+dm_seg</f>
        <v>0.296207935710698</v>
      </c>
      <c r="H5106" s="7" t="n">
        <f aca="false">Sens!$E$5106+dm_seg</f>
        <v>0.296207935710698</v>
      </c>
      <c r="I5106" s="7" t="n">
        <f aca="false">Sens!$E$5106+dm_seg</f>
        <v>0.296207935710698</v>
      </c>
      <c r="J5106" s="7" t="n">
        <f aca="false">Sens!$E$5106+dm_seg</f>
        <v>0.296207935710698</v>
      </c>
      <c r="K5106" s="7" t="n">
        <f aca="false">Sens!$E$5106+dm_seg</f>
        <v>0.296207935710698</v>
      </c>
      <c r="L5106" s="11" t="s">
        <v>902</v>
      </c>
    </row>
    <row r="5107" customFormat="false" ht="17.15" hidden="false" customHeight="false" outlineLevel="0" collapsed="false">
      <c r="A5107" s="0" t="s">
        <v>734</v>
      </c>
      <c r="B5107" s="0" t="s">
        <v>98</v>
      </c>
      <c r="D5107" s="6" t="n">
        <f aca="false">Q!L22</f>
        <v>17.714</v>
      </c>
      <c r="E5107" s="6" t="n">
        <f aca="false">Q!M22</f>
        <v>18.872</v>
      </c>
      <c r="F5107" s="6" t="n">
        <f aca="false">Sens!F5082*Sens!F5106</f>
        <v>19.2954518910651</v>
      </c>
      <c r="G5107" s="6" t="n">
        <f aca="false">Sens!G5082*Sens!G5106</f>
        <v>19.8830646387704</v>
      </c>
      <c r="H5107" s="6" t="n">
        <f aca="false">Sens!H5082*Sens!H5106</f>
        <v>20.6092017868026</v>
      </c>
      <c r="I5107" s="6" t="n">
        <f aca="false">Sens!I5082*Sens!I5106</f>
        <v>21.452361761678</v>
      </c>
      <c r="J5107" s="6" t="n">
        <f aca="false">Sens!J5082*Sens!J5106</f>
        <v>22.3946261183418</v>
      </c>
      <c r="K5107" s="6" t="n">
        <f aca="false">Sens!K5082*Sens!K5106</f>
        <v>23.4215879274986</v>
      </c>
    </row>
    <row r="5108" customFormat="false" ht="15" hidden="false" customHeight="false" outlineLevel="0" collapsed="false">
      <c r="A5108" s="1" t="s">
        <v>903</v>
      </c>
      <c r="B5108" s="0" t="s">
        <v>98</v>
      </c>
      <c r="D5108" s="6" t="n">
        <f aca="false">Sens!D5105+Sens!D5107</f>
        <v>128.528</v>
      </c>
      <c r="E5108" s="6" t="n">
        <f aca="false">Sens!E5105+Sens!E5107</f>
        <v>155.237</v>
      </c>
      <c r="F5108" s="6" t="n">
        <f aca="false">Sens!F5105+Sens!F5107</f>
        <v>173.751689216023</v>
      </c>
      <c r="G5108" s="6" t="n">
        <f aca="false">Sens!G5105+Sens!G5107</f>
        <v>185.433576150402</v>
      </c>
      <c r="H5108" s="6" t="n">
        <f aca="false">Sens!H5105+Sens!H5107</f>
        <v>191.78412248383</v>
      </c>
      <c r="I5108" s="6" t="n">
        <f aca="false">Sens!I5105+Sens!I5107</f>
        <v>205.237489918649</v>
      </c>
      <c r="J5108" s="6" t="n">
        <f aca="false">Sens!J5105+Sens!J5107</f>
        <v>219.8510494416</v>
      </c>
      <c r="K5108" s="6" t="n">
        <f aca="false">Sens!K5105+Sens!K5107</f>
        <v>234.568314936813</v>
      </c>
    </row>
    <row r="5109" customFormat="false" ht="15" hidden="false" customHeight="false" outlineLevel="0" collapsed="false">
      <c r="A5109" s="23" t="s">
        <v>904</v>
      </c>
      <c r="B5109" s="30" t="s">
        <v>98</v>
      </c>
      <c r="C5109" s="30"/>
      <c r="D5109" s="24" t="n">
        <f aca="false">Sens!D5108-Q!L23</f>
        <v>0</v>
      </c>
      <c r="E5109" s="24" t="n">
        <f aca="false">Sens!E5108-Q!M23</f>
        <v>0</v>
      </c>
      <c r="F5109" s="30"/>
      <c r="G5109" s="30"/>
      <c r="H5109" s="30"/>
      <c r="I5109" s="30"/>
      <c r="J5109" s="30"/>
      <c r="K5109" s="30"/>
    </row>
    <row r="5110" customFormat="false" ht="15" hidden="false" customHeight="false" outlineLevel="0" collapsed="false">
      <c r="A5110" s="1" t="s">
        <v>905</v>
      </c>
      <c r="B5110" s="0" t="s">
        <v>129</v>
      </c>
      <c r="D5110" s="7" t="n">
        <f aca="false">Sens!D5108/Sens!D5101</f>
        <v>0.456219562408598</v>
      </c>
      <c r="E5110" s="7" t="n">
        <f aca="false">Sens!E5108/Sens!E5101</f>
        <v>0.467808184089272</v>
      </c>
      <c r="F5110" s="7" t="n">
        <f aca="false">Sens!F5108/Sens!F5101</f>
        <v>0.441548862179545</v>
      </c>
      <c r="G5110" s="7" t="n">
        <f aca="false">Sens!G5108/Sens!G5101</f>
        <v>0.406300428403541</v>
      </c>
      <c r="H5110" s="7" t="n">
        <f aca="false">Sens!H5108/Sens!H5101</f>
        <v>0.372155626817262</v>
      </c>
      <c r="I5110" s="7" t="n">
        <f aca="false">Sens!I5108/Sens!I5101</f>
        <v>0.356213610831392</v>
      </c>
      <c r="J5110" s="7" t="n">
        <f aca="false">Sens!J5108/Sens!J5101</f>
        <v>0.350294127303178</v>
      </c>
      <c r="K5110" s="7" t="n">
        <f aca="false">Sens!K5108/Sens!K5101</f>
        <v>0.35086360030755</v>
      </c>
    </row>
    <row r="5111" customFormat="false" ht="17.15" hidden="false" customHeight="false" outlineLevel="0" collapsed="false">
      <c r="A5111" s="1" t="s">
        <v>906</v>
      </c>
      <c r="B5111" s="0" t="s">
        <v>98</v>
      </c>
      <c r="F5111" s="6" t="n">
        <f aca="false">Sens!F5126</f>
        <v>20.8862587505891</v>
      </c>
      <c r="G5111" s="6" t="n">
        <f aca="false">Sens!G5126</f>
        <v>37.8261201405691</v>
      </c>
      <c r="H5111" s="6" t="n">
        <f aca="false">Sens!H5126</f>
        <v>56.1184376234995</v>
      </c>
      <c r="I5111" s="6" t="n">
        <f aca="false">Sens!I5126</f>
        <v>71.8817434043481</v>
      </c>
      <c r="J5111" s="6" t="n">
        <f aca="false">Sens!J5126</f>
        <v>82.9789692504704</v>
      </c>
      <c r="K5111" s="6" t="n">
        <f aca="false">Sens!K5126</f>
        <v>88.6308782302069</v>
      </c>
      <c r="L5111" s="1" t="s">
        <v>907</v>
      </c>
    </row>
    <row r="5112" customFormat="false" ht="17.15" hidden="false" customHeight="false" outlineLevel="0" collapsed="false">
      <c r="A5112" s="1" t="s">
        <v>908</v>
      </c>
      <c r="B5112" s="0" t="s">
        <v>98</v>
      </c>
      <c r="D5112" s="6" t="n">
        <f aca="false">Sens!D5108</f>
        <v>128.528</v>
      </c>
      <c r="E5112" s="6" t="n">
        <f aca="false">Sens!E5108</f>
        <v>155.237</v>
      </c>
      <c r="F5112" s="6" t="n">
        <f aca="false">Sens!F5108+Sens!F5111</f>
        <v>194.637947966612</v>
      </c>
      <c r="G5112" s="6" t="n">
        <f aca="false">Sens!G5108+Sens!G5111</f>
        <v>223.259696290971</v>
      </c>
      <c r="H5112" s="6" t="n">
        <f aca="false">Sens!H5108+Sens!H5111</f>
        <v>247.902560107329</v>
      </c>
      <c r="I5112" s="6" t="n">
        <f aca="false">Sens!I5108+Sens!I5111</f>
        <v>277.119233322997</v>
      </c>
      <c r="J5112" s="6" t="n">
        <f aca="false">Sens!J5108+Sens!J5111</f>
        <v>302.83001869207</v>
      </c>
      <c r="K5112" s="6" t="n">
        <f aca="false">Sens!K5108+Sens!K5111</f>
        <v>323.19919316702</v>
      </c>
    </row>
    <row r="5113" customFormat="false" ht="17.15" hidden="false" customHeight="false" outlineLevel="0" collapsed="false">
      <c r="A5113" s="1" t="s">
        <v>909</v>
      </c>
      <c r="B5113" s="0" t="s">
        <v>98</v>
      </c>
      <c r="E5113" s="6" t="n">
        <f aca="false">Sens!E5056</f>
        <v>14.1538947660714</v>
      </c>
      <c r="F5113" s="6" t="n">
        <f aca="false">Sens!F5056</f>
        <v>30.1377004050313</v>
      </c>
      <c r="G5113" s="6" t="n">
        <f aca="false">Sens!G5056</f>
        <v>52.4531171945768</v>
      </c>
      <c r="H5113" s="6" t="n">
        <f aca="false">Sens!H5056</f>
        <v>76.0266139941196</v>
      </c>
      <c r="I5113" s="6" t="n">
        <f aca="false">Sens!I5056</f>
        <v>96.451493801261</v>
      </c>
      <c r="J5113" s="6" t="n">
        <f aca="false">Sens!J5056</f>
        <v>110.487216759356</v>
      </c>
      <c r="K5113" s="6" t="n">
        <f aca="false">Sens!K5056</f>
        <v>118.415316788049</v>
      </c>
    </row>
    <row r="5114" customFormat="false" ht="17.15" hidden="false" customHeight="false" outlineLevel="0" collapsed="false">
      <c r="A5114" s="1" t="s">
        <v>910</v>
      </c>
      <c r="B5114" s="0" t="s">
        <v>98</v>
      </c>
      <c r="E5114" s="6" t="n">
        <f aca="false">Sens!E5138</f>
        <v>24.3801052339286</v>
      </c>
      <c r="F5114" s="6" t="n">
        <f aca="false">Sens!F5138</f>
        <v>25.485029433492</v>
      </c>
      <c r="G5114" s="6" t="n">
        <f aca="false">Sens!G5138</f>
        <v>27.0068158471817</v>
      </c>
      <c r="H5114" s="6" t="n">
        <f aca="false">Sens!H5138</f>
        <v>28.9122856268725</v>
      </c>
      <c r="I5114" s="6" t="n">
        <f aca="false">Sens!I5138</f>
        <v>31.1433970953496</v>
      </c>
      <c r="J5114" s="6" t="n">
        <f aca="false">Sens!J5138</f>
        <v>33.624648710852</v>
      </c>
      <c r="K5114" s="6" t="n">
        <f aca="false">Sens!K5138</f>
        <v>36.2715541139662</v>
      </c>
    </row>
    <row r="5115" customFormat="false" ht="17.15" hidden="false" customHeight="false" outlineLevel="0" collapsed="false">
      <c r="A5115" s="1" t="s">
        <v>911</v>
      </c>
      <c r="B5115" s="0" t="s">
        <v>98</v>
      </c>
      <c r="D5115" s="6" t="n">
        <f aca="false">Q!L27</f>
        <v>-4.901</v>
      </c>
      <c r="E5115" s="6" t="n">
        <f aca="false">Q!M27</f>
        <v>10.697</v>
      </c>
      <c r="F5115" s="6" t="n">
        <f aca="false">oie_f</f>
        <v>-0.4</v>
      </c>
      <c r="G5115" s="6" t="n">
        <f aca="false">oie_f</f>
        <v>-0.4</v>
      </c>
      <c r="H5115" s="6" t="n">
        <f aca="false">oie_f</f>
        <v>-0.4</v>
      </c>
      <c r="I5115" s="6" t="n">
        <f aca="false">oie_f</f>
        <v>-0.4</v>
      </c>
      <c r="J5115" s="6" t="n">
        <f aca="false">oie_f</f>
        <v>-0.4</v>
      </c>
      <c r="K5115" s="6" t="n">
        <f aca="false">oie_f</f>
        <v>-0.4</v>
      </c>
      <c r="L5115" s="11" t="s">
        <v>912</v>
      </c>
    </row>
    <row r="5116" customFormat="false" ht="15" hidden="false" customHeight="false" outlineLevel="0" collapsed="false">
      <c r="A5116" s="1" t="s">
        <v>913</v>
      </c>
      <c r="B5116" s="0" t="s">
        <v>98</v>
      </c>
      <c r="D5116" s="6" t="n">
        <f aca="false">Sens!D5108+Sens!D5115</f>
        <v>123.627</v>
      </c>
      <c r="E5116" s="6" t="n">
        <f aca="false">Sens!E5108+Sens!E5115</f>
        <v>165.934</v>
      </c>
      <c r="F5116" s="6" t="n">
        <f aca="false">Sens!F5108+Sens!F5115</f>
        <v>173.351689216023</v>
      </c>
      <c r="G5116" s="6" t="n">
        <f aca="false">Sens!G5108+Sens!G5115</f>
        <v>185.033576150402</v>
      </c>
      <c r="H5116" s="6" t="n">
        <f aca="false">Sens!H5108+Sens!H5115</f>
        <v>191.38412248383</v>
      </c>
      <c r="I5116" s="6" t="n">
        <f aca="false">Sens!I5108+Sens!I5115</f>
        <v>204.837489918649</v>
      </c>
      <c r="J5116" s="6" t="n">
        <f aca="false">Sens!J5108+Sens!J5115</f>
        <v>219.4510494416</v>
      </c>
      <c r="K5116" s="6" t="n">
        <f aca="false">Sens!K5108+Sens!K5115</f>
        <v>234.168314936813</v>
      </c>
    </row>
    <row r="5117" customFormat="false" ht="15" hidden="false" customHeight="false" outlineLevel="0" collapsed="false">
      <c r="A5117" s="1" t="s">
        <v>914</v>
      </c>
      <c r="B5117" s="0" t="s">
        <v>98</v>
      </c>
      <c r="D5117" s="6" t="n">
        <f aca="false">Q!L29</f>
        <v>21.795</v>
      </c>
      <c r="E5117" s="6" t="n">
        <f aca="false">Q!M29</f>
        <v>32.185</v>
      </c>
      <c r="F5117" s="6" t="n">
        <f aca="false">Sens!F5116*tax_f</f>
        <v>34.6703378432046</v>
      </c>
      <c r="G5117" s="6" t="n">
        <f aca="false">Sens!G5116*tax_f</f>
        <v>37.0067152300804</v>
      </c>
      <c r="H5117" s="6" t="n">
        <f aca="false">Sens!H5116*tax_f</f>
        <v>38.276824496766</v>
      </c>
      <c r="I5117" s="6" t="n">
        <f aca="false">Sens!I5116*tax_f</f>
        <v>40.9674979837297</v>
      </c>
      <c r="J5117" s="6" t="n">
        <f aca="false">Sens!J5116*tax_f</f>
        <v>43.8902098883199</v>
      </c>
      <c r="K5117" s="6" t="n">
        <f aca="false">Sens!K5116*tax_f</f>
        <v>46.8336629873627</v>
      </c>
    </row>
    <row r="5118" customFormat="false" ht="15" hidden="false" customHeight="false" outlineLevel="0" collapsed="false">
      <c r="A5118" s="1" t="s">
        <v>915</v>
      </c>
      <c r="B5118" s="0" t="s">
        <v>98</v>
      </c>
      <c r="D5118" s="6" t="n">
        <f aca="false">Sens!D5116-Sens!D5117</f>
        <v>101.832</v>
      </c>
      <c r="E5118" s="6" t="n">
        <f aca="false">Sens!E5116-Sens!E5117</f>
        <v>133.749</v>
      </c>
      <c r="F5118" s="6" t="n">
        <f aca="false">Sens!F5116-Sens!F5117</f>
        <v>138.681351372818</v>
      </c>
      <c r="G5118" s="6" t="n">
        <f aca="false">Sens!G5116-Sens!G5117</f>
        <v>148.026860920322</v>
      </c>
      <c r="H5118" s="6" t="n">
        <f aca="false">Sens!H5116-Sens!H5117</f>
        <v>153.107297987064</v>
      </c>
      <c r="I5118" s="6" t="n">
        <f aca="false">Sens!I5116-Sens!I5117</f>
        <v>163.869991934919</v>
      </c>
      <c r="J5118" s="6" t="n">
        <f aca="false">Sens!J5116-Sens!J5117</f>
        <v>175.56083955328</v>
      </c>
      <c r="K5118" s="6" t="n">
        <f aca="false">Sens!K5116-Sens!K5117</f>
        <v>187.334651949451</v>
      </c>
    </row>
    <row r="5119" customFormat="false" ht="17.15" hidden="false" customHeight="false" outlineLevel="0" collapsed="false">
      <c r="A5119" s="1" t="s">
        <v>916</v>
      </c>
      <c r="B5119" s="1" t="s">
        <v>81</v>
      </c>
      <c r="D5119" s="14" t="n">
        <f aca="false">Q!L31</f>
        <v>7.465</v>
      </c>
      <c r="E5119" s="14" t="n">
        <f aca="false">Q!M31</f>
        <v>7.453</v>
      </c>
      <c r="F5119" s="14" t="n">
        <f aca="false">Sens!F5160</f>
        <v>7.4735</v>
      </c>
      <c r="G5119" s="14" t="n">
        <f aca="false">Sens!G5160</f>
        <v>7.5185</v>
      </c>
      <c r="H5119" s="14" t="n">
        <f aca="false">Sens!H5160</f>
        <v>7.56090305597052</v>
      </c>
      <c r="I5119" s="14" t="n">
        <f aca="false">Sens!I5160</f>
        <v>7.5873353580984</v>
      </c>
      <c r="J5119" s="14" t="n">
        <f aca="false">Sens!J5160</f>
        <v>7.60157686921628</v>
      </c>
      <c r="K5119" s="14" t="n">
        <f aca="false">Sens!K5160</f>
        <v>7.61809678691802</v>
      </c>
    </row>
    <row r="5120" customFormat="false" ht="17.15" hidden="false" customHeight="false" outlineLevel="0" collapsed="false">
      <c r="A5120" s="0" t="s">
        <v>917</v>
      </c>
      <c r="B5120" s="0" t="s">
        <v>75</v>
      </c>
      <c r="D5120" s="8" t="n">
        <f aca="false">Sens!D5118/Sens!D5119</f>
        <v>13.641259209645</v>
      </c>
      <c r="E5120" s="8" t="n">
        <f aca="false">Sens!E5118/Sens!E5119</f>
        <v>17.9456594659869</v>
      </c>
      <c r="F5120" s="8" t="n">
        <f aca="false">Sens!F5118/Sens!F5119</f>
        <v>18.55641284175</v>
      </c>
      <c r="G5120" s="8" t="n">
        <f aca="false">Sens!G5118/Sens!G5119</f>
        <v>19.6883501922354</v>
      </c>
      <c r="H5120" s="8" t="n">
        <f aca="false">Sens!H5118/Sens!H5119</f>
        <v>20.2498692092291</v>
      </c>
      <c r="I5120" s="8" t="n">
        <f aca="false">Sens!I5118/Sens!I5119</f>
        <v>21.5978316761775</v>
      </c>
      <c r="J5120" s="8" t="n">
        <f aca="false">Sens!J5118/Sens!J5119</f>
        <v>23.0953185863633</v>
      </c>
      <c r="K5120" s="8" t="n">
        <f aca="false">Sens!K5118/Sens!K5119</f>
        <v>24.5907419122249</v>
      </c>
      <c r="L5120" s="1" t="s">
        <v>918</v>
      </c>
    </row>
    <row r="5121" customFormat="false" ht="17.15" hidden="false" customHeight="false" outlineLevel="0" collapsed="false">
      <c r="A5121" s="1" t="s">
        <v>919</v>
      </c>
      <c r="B5121" s="0" t="s">
        <v>98</v>
      </c>
      <c r="D5121" s="6" t="n">
        <f aca="false">Sens!D5118</f>
        <v>101.832</v>
      </c>
      <c r="E5121" s="6" t="n">
        <f aca="false">Sens!E5118</f>
        <v>133.749</v>
      </c>
      <c r="F5121" s="6" t="n">
        <f aca="false">Sens!F5118+Sens!F5111*(1-tax_f)</f>
        <v>155.39035837329</v>
      </c>
      <c r="G5121" s="6" t="n">
        <f aca="false">Sens!G5118+Sens!G5111*(1-tax_f)</f>
        <v>178.287757032777</v>
      </c>
      <c r="H5121" s="6" t="n">
        <f aca="false">Sens!H5118+Sens!H5111*(1-tax_f)</f>
        <v>198.002048085863</v>
      </c>
      <c r="I5121" s="6" t="n">
        <f aca="false">Sens!I5118+Sens!I5111*(1-tax_f)</f>
        <v>221.375386658397</v>
      </c>
      <c r="J5121" s="6" t="n">
        <f aca="false">Sens!J5118+Sens!J5111*(1-tax_f)</f>
        <v>241.944014953656</v>
      </c>
      <c r="K5121" s="6" t="n">
        <f aca="false">Sens!K5118+Sens!K5111*(1-tax_f)</f>
        <v>258.239354533616</v>
      </c>
    </row>
    <row r="5122" customFormat="false" ht="17.15" hidden="false" customHeight="false" outlineLevel="0" collapsed="false">
      <c r="A5122" s="0" t="s">
        <v>920</v>
      </c>
      <c r="B5122" s="0" t="s">
        <v>75</v>
      </c>
      <c r="D5122" s="8" t="n">
        <f aca="false">Sens!D5121/Sens!D5119</f>
        <v>13.641259209645</v>
      </c>
      <c r="E5122" s="8" t="n">
        <f aca="false">Sens!E5121/Sens!E5119</f>
        <v>17.9456594659869</v>
      </c>
      <c r="F5122" s="8" t="n">
        <f aca="false">Sens!F5121/Sens!F5119</f>
        <v>20.7921801529792</v>
      </c>
      <c r="G5122" s="8" t="n">
        <f aca="false">Sens!G5121/Sens!G5119</f>
        <v>23.7132083570895</v>
      </c>
      <c r="H5122" s="8" t="n">
        <f aca="false">Sens!H5121/Sens!H5119</f>
        <v>26.1876189418286</v>
      </c>
      <c r="I5122" s="8" t="n">
        <f aca="false">Sens!I5121/Sens!I5119</f>
        <v>29.176960844641</v>
      </c>
      <c r="J5122" s="8" t="n">
        <f aca="false">Sens!J5121/Sens!J5119</f>
        <v>31.8281350193858</v>
      </c>
      <c r="K5122" s="8" t="n">
        <f aca="false">Sens!K5121/Sens!K5119</f>
        <v>33.8981456598282</v>
      </c>
      <c r="L5122" s="1" t="s">
        <v>921</v>
      </c>
    </row>
    <row r="5123" customFormat="false" ht="17.15" hidden="false" customHeight="false" outlineLevel="0" collapsed="false">
      <c r="A5123" s="0" t="s">
        <v>922</v>
      </c>
      <c r="B5123" s="0" t="s">
        <v>129</v>
      </c>
      <c r="E5123" s="7" t="n">
        <f aca="false">Sens!E5122/Sens!D5122-1</f>
        <v>0.315542736208578</v>
      </c>
      <c r="F5123" s="7" t="n">
        <f aca="false">Sens!F5122/Sens!E5122-1</f>
        <v>0.158618895693827</v>
      </c>
      <c r="G5123" s="7" t="n">
        <f aca="false">Sens!G5122/Sens!F5122-1</f>
        <v>0.140486864899147</v>
      </c>
      <c r="H5123" s="7" t="n">
        <f aca="false">Sens!H5122/Sens!G5122-1</f>
        <v>0.104347355595153</v>
      </c>
      <c r="I5123" s="7" t="n">
        <f aca="false">Sens!I5122/Sens!H5122-1</f>
        <v>0.114150962309813</v>
      </c>
      <c r="J5123" s="7" t="n">
        <f aca="false">Sens!J5122/Sens!I5122-1</f>
        <v>0.090865329972561</v>
      </c>
      <c r="K5123" s="7" t="n">
        <f aca="false">Sens!K5122/Sens!J5122-1</f>
        <v>0.0650371326872141</v>
      </c>
    </row>
    <row r="5124" customFormat="false" ht="17.15" hidden="false" customHeight="false" outlineLevel="0" collapsed="false">
      <c r="A5124" s="0" t="s">
        <v>846</v>
      </c>
      <c r="B5124" s="0" t="s">
        <v>98</v>
      </c>
      <c r="E5124" s="6" t="n">
        <f aca="false">Sens!E5065</f>
        <v>5.25</v>
      </c>
      <c r="F5124" s="6" t="n">
        <f aca="false">Sens!F5065</f>
        <v>10.5</v>
      </c>
      <c r="G5124" s="6" t="n">
        <f aca="false">Sens!G5065</f>
        <v>13.5</v>
      </c>
      <c r="H5124" s="6" t="n">
        <f aca="false">Sens!H5065</f>
        <v>16.5</v>
      </c>
      <c r="I5124" s="6" t="n">
        <f aca="false">Sens!I5065</f>
        <v>18.75</v>
      </c>
      <c r="J5124" s="6" t="n">
        <f aca="false">Sens!J5065</f>
        <v>20.25</v>
      </c>
      <c r="K5124" s="6" t="n">
        <f aca="false">Sens!K5065</f>
        <v>21.75</v>
      </c>
    </row>
    <row r="5125" customFormat="false" ht="17.15" hidden="false" customHeight="false" outlineLevel="0" collapsed="false">
      <c r="A5125" s="1" t="s">
        <v>847</v>
      </c>
      <c r="B5125" s="0" t="s">
        <v>98</v>
      </c>
      <c r="F5125" s="6" t="n">
        <f aca="false">MAX(0,(Sens!E5028+Sens!F5028)/2*Sens!F5036/1000-Sens!F5124*Sens!F5104)</f>
        <v>20.8862587505891</v>
      </c>
      <c r="G5125" s="6" t="n">
        <f aca="false">MAX(0,(Sens!F5028+Sens!G5028)/2*Sens!G5036/1000-Sens!G5124*Sens!G5104)</f>
        <v>37.8261201405691</v>
      </c>
      <c r="H5125" s="6" t="n">
        <f aca="false">MAX(0,(Sens!G5028+Sens!H5028)/2*Sens!H5036/1000-Sens!H5124*Sens!H5104)</f>
        <v>56.1184376234995</v>
      </c>
      <c r="I5125" s="6" t="n">
        <f aca="false">MAX(0,(Sens!H5028+Sens!I5028)/2*Sens!I5036/1000-Sens!I5124*Sens!I5104)</f>
        <v>71.8817434043481</v>
      </c>
      <c r="J5125" s="6" t="n">
        <f aca="false">MAX(0,(Sens!I5028+Sens!J5028)/2*Sens!J5036/1000-Sens!J5124*Sens!J5104)</f>
        <v>82.9789692504704</v>
      </c>
      <c r="K5125" s="6" t="n">
        <f aca="false">MAX(0,(Sens!J5028+Sens!K5028)/2*Sens!K5036/1000-Sens!K5124*Sens!K5104)</f>
        <v>88.6308782302069</v>
      </c>
      <c r="L5125" s="1" t="s">
        <v>848</v>
      </c>
    </row>
    <row r="5126" customFormat="false" ht="17.15" hidden="false" customHeight="false" outlineLevel="0" collapsed="false">
      <c r="A5126" s="1" t="s">
        <v>849</v>
      </c>
      <c r="B5126" s="0" t="s">
        <v>98</v>
      </c>
      <c r="F5126" s="6" t="n">
        <f aca="false">IF(internal_ai_reading=2,1,0)*Sens!F5125</f>
        <v>20.8862587505891</v>
      </c>
      <c r="G5126" s="6" t="n">
        <f aca="false">IF(internal_ai_reading=2,1,0)*Sens!G5125</f>
        <v>37.8261201405691</v>
      </c>
      <c r="H5126" s="6" t="n">
        <f aca="false">IF(internal_ai_reading=2,1,0)*Sens!H5125</f>
        <v>56.1184376234995</v>
      </c>
      <c r="I5126" s="6" t="n">
        <f aca="false">IF(internal_ai_reading=2,1,0)*Sens!I5125</f>
        <v>71.8817434043481</v>
      </c>
      <c r="J5126" s="6" t="n">
        <f aca="false">IF(internal_ai_reading=2,1,0)*Sens!J5125</f>
        <v>82.9789692504704</v>
      </c>
      <c r="K5126" s="6" t="n">
        <f aca="false">IF(internal_ai_reading=2,1,0)*Sens!K5125</f>
        <v>88.6308782302069</v>
      </c>
    </row>
    <row r="5127" customFormat="false" ht="17.15" hidden="false" customHeight="false" outlineLevel="0" collapsed="false">
      <c r="A5127" s="0" t="s">
        <v>850</v>
      </c>
      <c r="B5127" s="0" t="s">
        <v>98</v>
      </c>
      <c r="F5127" s="6" t="n">
        <f aca="false">Sens!F5045+Sens!F5124*Sens!F5104+Sens!F5126-Sens!F5046-Sens!F5056</f>
        <v>25.1740212835976</v>
      </c>
      <c r="G5127" s="6" t="n">
        <f aca="false">Sens!G5045+Sens!G5124*Sens!G5104+Sens!G5126-Sens!G5046-Sens!G5056</f>
        <v>34.4259305622669</v>
      </c>
      <c r="H5127" s="6" t="n">
        <f aca="false">Sens!H5045+Sens!H5124*Sens!H5104+Sens!H5126-Sens!H5046-Sens!H5056</f>
        <v>39.3811382906945</v>
      </c>
      <c r="I5127" s="6" t="n">
        <f aca="false">Sens!I5045+Sens!I5124*Sens!I5104+Sens!I5126-Sens!I5046-Sens!I5056</f>
        <v>49.2734730776353</v>
      </c>
      <c r="J5127" s="6" t="n">
        <f aca="false">Sens!J5045+Sens!J5124*Sens!J5104+Sens!J5126-Sens!J5046-Sens!J5056</f>
        <v>56.7801885302751</v>
      </c>
      <c r="K5127" s="6" t="n">
        <f aca="false">Sens!K5045+Sens!K5124*Sens!K5104+Sens!K5126-Sens!K5046-Sens!K5056</f>
        <v>60.8444860437175</v>
      </c>
    </row>
    <row r="5128" customFormat="false" ht="17.15" hidden="false" customHeight="false" outlineLevel="0" collapsed="false">
      <c r="A5128" s="0" t="s">
        <v>851</v>
      </c>
      <c r="B5128" s="0" t="s">
        <v>98</v>
      </c>
      <c r="E5128" s="6" t="n">
        <f aca="false">Sens!E5027*(cxit_open+self_build*tk_cxfac)/1000*ai_net_open</f>
        <v>126.6980382</v>
      </c>
      <c r="F5128" s="6" t="n">
        <f aca="false">Sens!E5128+Sens!F5053-Sens!F5056</f>
        <v>265.330990565406</v>
      </c>
      <c r="G5128" s="6" t="n">
        <f aca="false">Sens!F5128+Sens!G5053-Sens!G5056</f>
        <v>396.45205385403</v>
      </c>
      <c r="H5128" s="6" t="n">
        <f aca="false">Sens!G5128+Sens!H5053-Sens!H5056</f>
        <v>508.50572577031</v>
      </c>
      <c r="I5128" s="6" t="n">
        <f aca="false">Sens!H5128+Sens!I5053-Sens!I5056</f>
        <v>545.502225776628</v>
      </c>
      <c r="J5128" s="6" t="n">
        <f aca="false">Sens!I5128+Sens!J5053-Sens!J5056</f>
        <v>544.089386068695</v>
      </c>
      <c r="K5128" s="6" t="n">
        <f aca="false">Sens!J5128+Sens!K5053-Sens!K5056</f>
        <v>495.554253895916</v>
      </c>
      <c r="L5128" s="1" t="s">
        <v>852</v>
      </c>
    </row>
    <row r="5129" customFormat="false" ht="17.15" hidden="false" customHeight="false" outlineLevel="0" collapsed="false">
      <c r="A5129" s="0" t="s">
        <v>853</v>
      </c>
      <c r="B5129" s="0" t="s">
        <v>129</v>
      </c>
      <c r="F5129" s="7" t="n">
        <f aca="false">Sens!F5127*(1-tax_f)/((Sens!E5128+Sens!F5128)/2)</f>
        <v>0.102743498818449</v>
      </c>
      <c r="G5129" s="7" t="n">
        <f aca="false">Sens!G5127*(1-tax_f)/((Sens!F5128+Sens!G5128)/2)</f>
        <v>0.0832319434051814</v>
      </c>
      <c r="H5129" s="7" t="n">
        <f aca="false">Sens!H5127*(1-tax_f)/((Sens!G5128+Sens!H5128)/2)</f>
        <v>0.0696273601750432</v>
      </c>
      <c r="I5129" s="7" t="n">
        <f aca="false">Sens!I5127*(1-tax_f)/((Sens!H5128+Sens!I5128)/2)</f>
        <v>0.0747978768172564</v>
      </c>
      <c r="J5129" s="7" t="n">
        <f aca="false">Sens!J5127*(1-tax_f)/((Sens!I5128+Sens!J5128)/2)</f>
        <v>0.0833783049179135</v>
      </c>
      <c r="K5129" s="7" t="n">
        <f aca="false">Sens!K5127*(1-tax_f)/((Sens!J5128+Sens!K5128)/2)</f>
        <v>0.0936389873680773</v>
      </c>
    </row>
    <row r="5130" customFormat="false" ht="17.15" hidden="false" customHeight="false" outlineLevel="0" collapsed="false">
      <c r="A5130" s="1" t="s">
        <v>854</v>
      </c>
      <c r="B5130" s="0" t="s">
        <v>129</v>
      </c>
      <c r="F5130" s="7" t="n">
        <f aca="false">(Sens!F5127-Sens!F5126)*(1-tax_f)/((Sens!E5128+Sens!F5128)/2)</f>
        <v>0.0174997756528864</v>
      </c>
      <c r="G5130" s="7" t="n">
        <f aca="false">(Sens!G5127-Sens!G5126)*(1-tax_f)/((Sens!F5128+Sens!G5128)/2)</f>
        <v>-0.00822067499486355</v>
      </c>
      <c r="H5130" s="7" t="n">
        <f aca="false">(Sens!H5127-Sens!H5126)*(1-tax_f)/((Sens!G5128+Sens!H5128)/2)</f>
        <v>-0.0295921859952456</v>
      </c>
      <c r="I5130" s="7" t="n">
        <f aca="false">(Sens!I5127-Sens!I5126)*(1-tax_f)/((Sens!H5128+Sens!I5128)/2)</f>
        <v>-0.0343196960418089</v>
      </c>
      <c r="J5130" s="7" t="n">
        <f aca="false">(Sens!J5127-Sens!J5126)*(1-tax_f)/((Sens!I5128+Sens!J5128)/2)</f>
        <v>-0.0384713398089771</v>
      </c>
      <c r="K5130" s="7" t="n">
        <f aca="false">(Sens!K5127-Sens!K5126)*(1-tax_f)/((Sens!J5128+Sens!K5128)/2)</f>
        <v>-0.0427629485617748</v>
      </c>
    </row>
    <row r="5131" customFormat="false" ht="17.15" hidden="false" customHeight="false" outlineLevel="0" collapsed="false">
      <c r="A5131" s="1" t="s">
        <v>855</v>
      </c>
      <c r="B5131" s="0" t="s">
        <v>129</v>
      </c>
      <c r="F5131" s="7" t="n">
        <f aca="false">(Sens!F5127-Sens!F5126+Sens!F5125)*(1-tax_f)/((Sens!E5128+Sens!F5128)/2)</f>
        <v>0.102743498818449</v>
      </c>
      <c r="G5131" s="7" t="n">
        <f aca="false">(Sens!G5127-Sens!G5126+Sens!G5125)*(1-tax_f)/((Sens!F5128+Sens!G5128)/2)</f>
        <v>0.0832319434051814</v>
      </c>
      <c r="H5131" s="7" t="n">
        <f aca="false">(Sens!H5127-Sens!H5126+Sens!H5125)*(1-tax_f)/((Sens!G5128+Sens!H5128)/2)</f>
        <v>0.0696273601750432</v>
      </c>
      <c r="I5131" s="7" t="n">
        <f aca="false">(Sens!I5127-Sens!I5126+Sens!I5125)*(1-tax_f)/((Sens!H5128+Sens!I5128)/2)</f>
        <v>0.0747978768172564</v>
      </c>
      <c r="J5131" s="7" t="n">
        <f aca="false">(Sens!J5127-Sens!J5126+Sens!J5125)*(1-tax_f)/((Sens!I5128+Sens!J5128)/2)</f>
        <v>0.0833783049179135</v>
      </c>
      <c r="K5131" s="7" t="n">
        <f aca="false">(Sens!K5127-Sens!K5126+Sens!K5125)*(1-tax_f)/((Sens!J5128+Sens!K5128)/2)</f>
        <v>0.0936389873680773</v>
      </c>
    </row>
    <row r="5132" customFormat="false" ht="17.15" hidden="false" customHeight="false" outlineLevel="0" collapsed="false">
      <c r="A5132" s="1" t="s">
        <v>856</v>
      </c>
      <c r="B5132" s="0" t="s">
        <v>129</v>
      </c>
      <c r="F5132" s="7" t="n">
        <f aca="false">Sens!F5057*(1-tax_f)/(Sens!F5044*(Sens!E5128+Sens!F5128)/2)</f>
        <v>0.115465771317875</v>
      </c>
      <c r="G5132" s="7" t="n">
        <f aca="false">Sens!G5057*(1-tax_f)/(Sens!G5044*(Sens!F5128+Sens!G5128)/2)</f>
        <v>0.0837278502061334</v>
      </c>
      <c r="H5132" s="7" t="n">
        <f aca="false">Sens!H5057*(1-tax_f)/(Sens!H5044*(Sens!G5128+Sens!H5128)/2)</f>
        <v>0.0579436283026535</v>
      </c>
      <c r="I5132" s="7" t="n">
        <f aca="false">Sens!I5057*(1-tax_f)/(Sens!I5044*(Sens!H5128+Sens!I5128)/2)</f>
        <v>0.0620423778641329</v>
      </c>
      <c r="J5132" s="7" t="n">
        <f aca="false">Sens!J5057*(1-tax_f)/(Sens!J5044*(Sens!I5128+Sens!J5128)/2)</f>
        <v>0.0692265280166445</v>
      </c>
      <c r="K5132" s="7" t="n">
        <f aca="false">Sens!K5057*(1-tax_f)/(Sens!K5044*(Sens!J5128+Sens!K5128)/2)</f>
        <v>0.0778152621702568</v>
      </c>
    </row>
    <row r="5133" customFormat="false" ht="17.15" hidden="false" customHeight="false" outlineLevel="0" collapsed="false">
      <c r="A5133" s="0" t="s">
        <v>857</v>
      </c>
      <c r="B5133" s="0" t="s">
        <v>209</v>
      </c>
      <c r="F5133" s="7" t="n">
        <f aca="false">Sens!F5129-wacc</f>
        <v>-0.000190921274426867</v>
      </c>
      <c r="G5133" s="7" t="n">
        <f aca="false">Sens!G5129-wacc</f>
        <v>-0.0197024766876944</v>
      </c>
      <c r="H5133" s="7" t="n">
        <f aca="false">Sens!H5129-wacc</f>
        <v>-0.0333070599178325</v>
      </c>
      <c r="I5133" s="7" t="n">
        <f aca="false">Sens!I5129-wacc</f>
        <v>-0.0281365432756194</v>
      </c>
      <c r="J5133" s="7" t="n">
        <f aca="false">Sens!J5129-wacc</f>
        <v>-0.0195561151749622</v>
      </c>
      <c r="K5133" s="7" t="n">
        <f aca="false">Sens!K5129-wacc</f>
        <v>-0.00929543272479845</v>
      </c>
    </row>
    <row r="5134" customFormat="false" ht="17.15" hidden="false" customHeight="false" outlineLevel="0" collapsed="false">
      <c r="A5134" s="0" t="s">
        <v>858</v>
      </c>
      <c r="B5134" s="0" t="s">
        <v>98</v>
      </c>
      <c r="F5134" s="6" t="n">
        <f aca="false">Sens!F5127*(1-tax_f)-wacc*(Sens!E5128+Sens!F5128)/2</f>
        <v>-0.0374233408921079</v>
      </c>
      <c r="G5134" s="6" t="n">
        <f aca="false">Sens!G5127*(1-tax_f)-wacc*(Sens!F5128+Sens!G5128)/2</f>
        <v>-6.51938250249267</v>
      </c>
      <c r="H5134" s="6" t="n">
        <f aca="false">Sens!H5127*(1-tax_f)-wacc*(Sens!G5128+Sens!H5128)/2</f>
        <v>-15.0707414945283</v>
      </c>
      <c r="I5134" s="6" t="n">
        <f aca="false">Sens!I5127*(1-tax_f)-wacc*(Sens!H5128+Sens!I5128)/2</f>
        <v>-14.8280701707737</v>
      </c>
      <c r="J5134" s="6" t="n">
        <f aca="false">Sens!J5127*(1-tax_f)-wacc*(Sens!I5128+Sens!J5128)/2</f>
        <v>-10.6540895274599</v>
      </c>
      <c r="K5134" s="6" t="n">
        <f aca="false">Sens!K5127*(1-tax_f)-wacc*(Sens!J5128+Sens!K5128)/2</f>
        <v>-4.83196875652781</v>
      </c>
    </row>
    <row r="5135" customFormat="false" ht="17.15" hidden="false" customHeight="false" outlineLevel="0" collapsed="false">
      <c r="A5135" s="3" t="s">
        <v>1367</v>
      </c>
    </row>
    <row r="5136" customFormat="false" ht="15" hidden="false" customHeight="false" outlineLevel="0" collapsed="false">
      <c r="A5136" s="4" t="s">
        <v>43</v>
      </c>
      <c r="B5136" s="4" t="s">
        <v>65</v>
      </c>
      <c r="C5136" s="20" t="s">
        <v>788</v>
      </c>
      <c r="D5136" s="20" t="s">
        <v>789</v>
      </c>
      <c r="E5136" s="20" t="s">
        <v>790</v>
      </c>
      <c r="F5136" s="20" t="s">
        <v>791</v>
      </c>
      <c r="G5136" s="20" t="s">
        <v>792</v>
      </c>
      <c r="H5136" s="20" t="s">
        <v>793</v>
      </c>
      <c r="I5136" s="20" t="s">
        <v>794</v>
      </c>
      <c r="J5136" s="20" t="s">
        <v>795</v>
      </c>
      <c r="K5136" s="20" t="s">
        <v>796</v>
      </c>
      <c r="L5136" s="4" t="s">
        <v>47</v>
      </c>
    </row>
    <row r="5137" customFormat="false" ht="15" hidden="false" customHeight="false" outlineLevel="0" collapsed="false">
      <c r="A5137" s="1" t="s">
        <v>915</v>
      </c>
      <c r="B5137" s="0" t="s">
        <v>98</v>
      </c>
      <c r="F5137" s="6" t="n">
        <f aca="false">Sens!F5118</f>
        <v>138.681351372818</v>
      </c>
      <c r="G5137" s="6" t="n">
        <f aca="false">Sens!G5118</f>
        <v>148.026860920322</v>
      </c>
      <c r="H5137" s="6" t="n">
        <f aca="false">Sens!H5118</f>
        <v>153.107297987064</v>
      </c>
      <c r="I5137" s="6" t="n">
        <f aca="false">Sens!I5118</f>
        <v>163.869991934919</v>
      </c>
      <c r="J5137" s="6" t="n">
        <f aca="false">Sens!J5118</f>
        <v>175.56083955328</v>
      </c>
      <c r="K5137" s="6" t="n">
        <f aca="false">Sens!K5118</f>
        <v>187.334651949451</v>
      </c>
    </row>
    <row r="5138" customFormat="false" ht="17.15" hidden="false" customHeight="false" outlineLevel="0" collapsed="false">
      <c r="A5138" s="1" t="s">
        <v>937</v>
      </c>
      <c r="B5138" s="0" t="s">
        <v>98</v>
      </c>
      <c r="E5138" s="6" t="n">
        <f aca="false">Q!M38-Sens!E5056</f>
        <v>24.3801052339286</v>
      </c>
      <c r="F5138" s="6" t="n">
        <f aca="false">Sens!E5138*(1-1/life_nonai)+Sens!F5144/life_nonai</f>
        <v>25.485029433492</v>
      </c>
      <c r="G5138" s="6" t="n">
        <f aca="false">Sens!F5138*(1-1/life_nonai)+Sens!G5144/life_nonai</f>
        <v>27.0068158471817</v>
      </c>
      <c r="H5138" s="6" t="n">
        <f aca="false">Sens!G5138*(1-1/life_nonai)+Sens!H5144/life_nonai</f>
        <v>28.9122856268725</v>
      </c>
      <c r="I5138" s="6" t="n">
        <f aca="false">Sens!H5138*(1-1/life_nonai)+Sens!I5144/life_nonai</f>
        <v>31.1433970953496</v>
      </c>
      <c r="J5138" s="6" t="n">
        <f aca="false">Sens!I5138*(1-1/life_nonai)+Sens!J5144/life_nonai</f>
        <v>33.624648710852</v>
      </c>
      <c r="K5138" s="6" t="n">
        <f aca="false">Sens!J5138*(1-1/life_nonai)+Sens!K5144/life_nonai</f>
        <v>36.2715541139662</v>
      </c>
      <c r="L5138" s="11" t="s">
        <v>938</v>
      </c>
    </row>
    <row r="5139" customFormat="false" ht="17.15" hidden="false" customHeight="false" outlineLevel="0" collapsed="false">
      <c r="A5139" s="1" t="s">
        <v>939</v>
      </c>
      <c r="B5139" s="0" t="s">
        <v>98</v>
      </c>
      <c r="E5139" s="6" t="n">
        <f aca="false">Sens!E5056+Sens!E5138</f>
        <v>38.534</v>
      </c>
      <c r="F5139" s="6" t="n">
        <f aca="false">Sens!F5056+Sens!F5138</f>
        <v>55.6227298385232</v>
      </c>
      <c r="G5139" s="6" t="n">
        <f aca="false">Sens!G5056+Sens!G5138</f>
        <v>79.4599330417585</v>
      </c>
      <c r="H5139" s="6" t="n">
        <f aca="false">Sens!H5056+Sens!H5138</f>
        <v>104.938899620992</v>
      </c>
      <c r="I5139" s="6" t="n">
        <f aca="false">Sens!I5056+Sens!I5138</f>
        <v>127.594890896611</v>
      </c>
      <c r="J5139" s="6" t="n">
        <f aca="false">Sens!J5056+Sens!J5138</f>
        <v>144.111865470208</v>
      </c>
      <c r="K5139" s="6" t="n">
        <f aca="false">Sens!K5056+Sens!K5138</f>
        <v>154.686870902015</v>
      </c>
    </row>
    <row r="5140" customFormat="false" ht="17.15" hidden="false" customHeight="false" outlineLevel="0" collapsed="false">
      <c r="A5140" s="1" t="s">
        <v>940</v>
      </c>
      <c r="B5140" s="0" t="s">
        <v>98</v>
      </c>
      <c r="F5140" s="6" t="n">
        <f aca="false">Sens!F5083*sbc_r</f>
        <v>14.7102349124428</v>
      </c>
      <c r="G5140" s="6" t="n">
        <f aca="false">Sens!G5083*sbc_r</f>
        <v>17.061233875013</v>
      </c>
      <c r="H5140" s="6" t="n">
        <f aca="false">Sens!H5083*sbc_r</f>
        <v>19.2644849659525</v>
      </c>
      <c r="I5140" s="6" t="n">
        <f aca="false">Sens!I5083*sbc_r</f>
        <v>21.5385036153684</v>
      </c>
      <c r="J5140" s="6" t="n">
        <f aca="false">Sens!J5083*sbc_r</f>
        <v>23.4619999358651</v>
      </c>
      <c r="K5140" s="6" t="n">
        <f aca="false">Sens!K5083*sbc_r</f>
        <v>24.9919633431946</v>
      </c>
    </row>
    <row r="5141" customFormat="false" ht="17.15" hidden="false" customHeight="false" outlineLevel="0" collapsed="false">
      <c r="A5141" s="1" t="s">
        <v>941</v>
      </c>
      <c r="B5141" s="0" t="s">
        <v>98</v>
      </c>
      <c r="F5141" s="6" t="n">
        <f aca="false">wc27</f>
        <v>-4.895</v>
      </c>
      <c r="G5141" s="6" t="n">
        <f aca="false">wc_f</f>
        <v>0</v>
      </c>
      <c r="H5141" s="6" t="n">
        <f aca="false">wc_f</f>
        <v>0</v>
      </c>
      <c r="I5141" s="6" t="n">
        <f aca="false">wc_f</f>
        <v>0</v>
      </c>
      <c r="J5141" s="6" t="n">
        <f aca="false">wc_f</f>
        <v>0</v>
      </c>
      <c r="K5141" s="6" t="n">
        <f aca="false">wc_f</f>
        <v>0</v>
      </c>
      <c r="L5141" s="11" t="s">
        <v>942</v>
      </c>
    </row>
    <row r="5142" customFormat="false" ht="15" hidden="false" customHeight="false" outlineLevel="0" collapsed="false">
      <c r="A5142" s="1" t="s">
        <v>756</v>
      </c>
      <c r="B5142" s="0" t="s">
        <v>98</v>
      </c>
      <c r="E5142" s="6" t="n">
        <f aca="false">Q!M35</f>
        <v>182.935</v>
      </c>
      <c r="F5142" s="6" t="n">
        <f aca="false">Sens!F5137+Sens!F5139+Sens!F5140+Sens!F5141</f>
        <v>204.119316123784</v>
      </c>
      <c r="G5142" s="6" t="n">
        <f aca="false">Sens!G5137+Sens!G5139+Sens!G5140+Sens!G5141</f>
        <v>244.548027837093</v>
      </c>
      <c r="H5142" s="6" t="n">
        <f aca="false">Sens!H5137+Sens!H5139+Sens!H5140+Sens!H5141</f>
        <v>277.310682574008</v>
      </c>
      <c r="I5142" s="6" t="n">
        <f aca="false">Sens!I5137+Sens!I5139+Sens!I5140+Sens!I5141</f>
        <v>313.003386446898</v>
      </c>
      <c r="J5142" s="6" t="n">
        <f aca="false">Sens!J5137+Sens!J5139+Sens!J5140+Sens!J5141</f>
        <v>343.134704959353</v>
      </c>
      <c r="K5142" s="6" t="n">
        <f aca="false">Sens!K5137+Sens!K5139+Sens!K5140+Sens!K5141</f>
        <v>367.01348619466</v>
      </c>
    </row>
    <row r="5143" customFormat="false" ht="17.15" hidden="false" customHeight="false" outlineLevel="0" collapsed="false">
      <c r="A5143" s="0" t="s">
        <v>943</v>
      </c>
      <c r="B5143" s="0" t="s">
        <v>98</v>
      </c>
      <c r="F5143" s="6" t="n">
        <f aca="false">Sens!F5053</f>
        <v>168.770652770438</v>
      </c>
      <c r="G5143" s="6" t="n">
        <f aca="false">Sens!G5053</f>
        <v>183.5741804832</v>
      </c>
      <c r="H5143" s="6" t="n">
        <f aca="false">Sens!H5053</f>
        <v>188.0802859104</v>
      </c>
      <c r="I5143" s="6" t="n">
        <f aca="false">Sens!I5053</f>
        <v>133.447993807579</v>
      </c>
      <c r="J5143" s="6" t="n">
        <f aca="false">Sens!J5053</f>
        <v>109.074377051424</v>
      </c>
      <c r="K5143" s="6" t="n">
        <f aca="false">Sens!K5053</f>
        <v>69.8801846152694</v>
      </c>
    </row>
    <row r="5144" customFormat="false" ht="17.15" hidden="false" customHeight="false" outlineLevel="0" collapsed="false">
      <c r="A5144" s="1" t="s">
        <v>944</v>
      </c>
      <c r="B5144" s="0" t="s">
        <v>98</v>
      </c>
      <c r="E5144" s="6" t="n">
        <f aca="false">Sens!E5061*cx_azo+Sens!E5068*cx_m365+Sens!E5069*cx_lic+(Sens!E5071+Sens!E5073)*cx_ind+Sens!E5076*cx_srch+(Sens!E5078+Sens!E5080)*cx_dev</f>
        <v>30.1846587067718</v>
      </c>
      <c r="F5144" s="6" t="n">
        <f aca="false">Sens!F5061*cx_azo+Sens!F5068*cx_m365+Sens!F5069*cx_lic+(Sens!F5071+Sens!F5073)*cx_ind+Sens!F5076*cx_srch+(Sens!F5078+Sens!F5080)*cx_dev</f>
        <v>35.4293472295625</v>
      </c>
      <c r="G5144" s="6" t="n">
        <f aca="false">Sens!G5061*cx_azo+Sens!G5068*cx_m365+Sens!G5069*cx_lic+(Sens!G5071+Sens!G5073)*cx_ind+Sens!G5076*cx_srch+(Sens!G5078+Sens!G5080)*cx_dev</f>
        <v>40.7028935703892</v>
      </c>
      <c r="H5144" s="6" t="n">
        <f aca="false">Sens!H5061*cx_azo+Sens!H5068*cx_m365+Sens!H5069*cx_lic+(Sens!H5071+Sens!H5073)*cx_ind+Sens!H5076*cx_srch+(Sens!H5078+Sens!H5080)*cx_dev</f>
        <v>46.0615136440897</v>
      </c>
      <c r="I5144" s="6" t="n">
        <f aca="false">Sens!I5061*cx_azo+Sens!I5068*cx_m365+Sens!I5069*cx_lic+(Sens!I5071+Sens!I5073)*cx_ind+Sens!I5076*cx_srch+(Sens!I5078+Sens!I5080)*cx_dev</f>
        <v>51.2234003116439</v>
      </c>
      <c r="J5144" s="6" t="n">
        <f aca="false">Sens!J5061*cx_azo+Sens!J5068*cx_m365+Sens!J5069*cx_lic+(Sens!J5071+Sens!J5073)*cx_ind+Sens!J5076*cx_srch+(Sens!J5078+Sens!J5080)*cx_dev</f>
        <v>55.9559132503738</v>
      </c>
      <c r="K5144" s="6" t="n">
        <f aca="false">Sens!K5061*cx_azo+Sens!K5068*cx_m365+Sens!K5069*cx_lic+(Sens!K5071+Sens!K5073)*cx_ind+Sens!K5076*cx_srch+(Sens!K5078+Sens!K5080)*cx_dev</f>
        <v>60.093702741994</v>
      </c>
    </row>
    <row r="5145" customFormat="false" ht="17.15" hidden="false" customHeight="false" outlineLevel="0" collapsed="false">
      <c r="A5145" s="1" t="s">
        <v>945</v>
      </c>
      <c r="B5145" s="0" t="s">
        <v>98</v>
      </c>
      <c r="E5145" s="6" t="n">
        <f aca="false">Q!M42</f>
        <v>145.3</v>
      </c>
      <c r="F5145" s="6" t="n">
        <f aca="false">Sens!F5143+Sens!F5144</f>
        <v>204.2</v>
      </c>
      <c r="G5145" s="6" t="n">
        <f aca="false">Sens!G5143+Sens!G5144</f>
        <v>224.277074053589</v>
      </c>
      <c r="H5145" s="6" t="n">
        <f aca="false">Sens!H5143+Sens!H5144</f>
        <v>234.14179955449</v>
      </c>
      <c r="I5145" s="6" t="n">
        <f aca="false">Sens!I5143+Sens!I5144</f>
        <v>184.671394119223</v>
      </c>
      <c r="J5145" s="6" t="n">
        <f aca="false">Sens!J5143+Sens!J5144</f>
        <v>165.030290301798</v>
      </c>
      <c r="K5145" s="6" t="n">
        <f aca="false">Sens!K5143+Sens!K5144</f>
        <v>129.973887357263</v>
      </c>
      <c r="L5145" s="1" t="s">
        <v>946</v>
      </c>
    </row>
    <row r="5146" customFormat="false" ht="15" hidden="false" customHeight="false" outlineLevel="0" collapsed="false">
      <c r="A5146" s="1" t="s">
        <v>947</v>
      </c>
      <c r="B5146" s="0" t="s">
        <v>98</v>
      </c>
      <c r="E5146" s="6" t="n">
        <f aca="false">fl_liab</f>
        <v>66.594</v>
      </c>
      <c r="F5146" s="6" t="n">
        <f aca="false">Sens!E5146-Sens!F5147</f>
        <v>62.46973</v>
      </c>
      <c r="G5146" s="6" t="n">
        <f aca="false">Sens!F5146-Sens!G5147</f>
        <v>57.98686785</v>
      </c>
      <c r="H5146" s="6" t="n">
        <f aca="false">Sens!G5146-Sens!H5147</f>
        <v>53.92827690325</v>
      </c>
      <c r="I5146" s="6" t="n">
        <f aca="false">Sens!H5146-Sens!I5147</f>
        <v>49.7850493638962</v>
      </c>
      <c r="J5146" s="6" t="n">
        <f aca="false">Sens!I5146-Sens!J5147</f>
        <v>45.4823765852716</v>
      </c>
      <c r="K5146" s="6" t="n">
        <f aca="false">Sens!J5146-Sens!K5147</f>
        <v>40.9860835316088</v>
      </c>
    </row>
    <row r="5147" customFormat="false" ht="15" hidden="false" customHeight="false" outlineLevel="0" collapsed="false">
      <c r="A5147" s="1" t="s">
        <v>948</v>
      </c>
      <c r="B5147" s="0" t="s">
        <v>98</v>
      </c>
      <c r="F5147" s="6" t="n">
        <f aca="false">fl_pay_27-Sens!E5146*fl_rate</f>
        <v>4.12427</v>
      </c>
      <c r="G5147" s="6" t="n">
        <f aca="false">fl_pay_28-Sens!F5146*fl_rate</f>
        <v>4.48286215</v>
      </c>
      <c r="H5147" s="6" t="n">
        <f aca="false">fl_pay_29-Sens!G5146*fl_rate</f>
        <v>4.05859094675</v>
      </c>
      <c r="I5147" s="6" t="n">
        <f aca="false">fl_pay_30-Sens!H5146*fl_rate</f>
        <v>4.14322753935375</v>
      </c>
      <c r="J5147" s="6" t="n">
        <f aca="false">fl_pay_31-Sens!I5146*fl_rate</f>
        <v>4.30267277862467</v>
      </c>
      <c r="K5147" s="6" t="n">
        <f aca="false">fl_pay_32-Sens!J5146*fl_rate</f>
        <v>4.49629305366278</v>
      </c>
    </row>
    <row r="5148" customFormat="false" ht="17.15" hidden="false" customHeight="false" outlineLevel="0" collapsed="false">
      <c r="A5148" s="1" t="s">
        <v>949</v>
      </c>
      <c r="B5148" s="0" t="s">
        <v>98</v>
      </c>
      <c r="E5148" s="6" t="n">
        <f aca="false">Q!M35-Q!M36-Q!M43</f>
        <v>63.886</v>
      </c>
      <c r="F5148" s="6" t="n">
        <f aca="false">Sens!F5142-Sens!F5145-Sens!F5147</f>
        <v>-4.20495387621566</v>
      </c>
      <c r="G5148" s="6" t="n">
        <f aca="false">Sens!G5142-Sens!G5145-Sens!G5147</f>
        <v>15.788091633504</v>
      </c>
      <c r="H5148" s="6" t="n">
        <f aca="false">Sens!H5142-Sens!H5145-Sens!H5147</f>
        <v>39.1102920727688</v>
      </c>
      <c r="I5148" s="6" t="n">
        <f aca="false">Sens!I5142-Sens!I5145-Sens!I5147</f>
        <v>124.188764788321</v>
      </c>
      <c r="J5148" s="6" t="n">
        <f aca="false">Sens!J5142-Sens!J5145-Sens!J5147</f>
        <v>173.801741878931</v>
      </c>
      <c r="K5148" s="6" t="n">
        <f aca="false">Sens!K5142-Sens!K5145-Sens!K5147</f>
        <v>232.543305783734</v>
      </c>
      <c r="L5148" s="11" t="s">
        <v>950</v>
      </c>
    </row>
    <row r="5149" customFormat="false" ht="15" hidden="false" customHeight="false" outlineLevel="0" collapsed="false">
      <c r="A5149" s="1" t="s">
        <v>951</v>
      </c>
      <c r="B5149" s="0" t="s">
        <v>75</v>
      </c>
      <c r="F5149" s="8" t="n">
        <f aca="false">dps_27</f>
        <v>3.85</v>
      </c>
      <c r="G5149" s="8" t="n">
        <f aca="false">Sens!F5149*(1+dps_g)</f>
        <v>4.158</v>
      </c>
      <c r="H5149" s="8" t="n">
        <f aca="false">Sens!G5149*(1+dps_g)</f>
        <v>4.49064</v>
      </c>
      <c r="I5149" s="8" t="n">
        <f aca="false">Sens!H5149*(1+dps_g)</f>
        <v>4.8498912</v>
      </c>
      <c r="J5149" s="8" t="n">
        <f aca="false">Sens!I5149*(1+dps_g)</f>
        <v>5.237882496</v>
      </c>
      <c r="K5149" s="8" t="n">
        <f aca="false">Sens!J5149*(1+dps_g)</f>
        <v>5.65691309568</v>
      </c>
    </row>
    <row r="5150" customFormat="false" ht="17.15" hidden="false" customHeight="false" outlineLevel="0" collapsed="false">
      <c r="A5150" s="1" t="s">
        <v>952</v>
      </c>
      <c r="B5150" s="0" t="s">
        <v>98</v>
      </c>
      <c r="E5150" s="6" t="n">
        <f aca="false">Q!M41</f>
        <v>26.445</v>
      </c>
      <c r="F5150" s="6" t="n">
        <f aca="false">Sens!F5149*Sens!E5159</f>
        <v>28.59395</v>
      </c>
      <c r="G5150" s="6" t="n">
        <f aca="false">Sens!G5149*Sens!F5159</f>
        <v>31.068576</v>
      </c>
      <c r="H5150" s="6" t="n">
        <f aca="false">Sens!H5149*Sens!G5159</f>
        <v>33.75614088</v>
      </c>
      <c r="I5150" s="6" t="n">
        <f aca="false">Sens!I5149*Sens!H5159</f>
        <v>36.649687462409</v>
      </c>
      <c r="J5150" s="6" t="n">
        <f aca="false">Sens!J5149*Sens!I5159</f>
        <v>39.6500613077212</v>
      </c>
      <c r="K5150" s="6" t="n">
        <f aca="false">Sens!K5149*Sens!J5159</f>
        <v>42.909321437644</v>
      </c>
      <c r="L5150" s="1" t="s">
        <v>953</v>
      </c>
    </row>
    <row r="5151" customFormat="false" ht="15" hidden="false" customHeight="false" outlineLevel="0" collapsed="false">
      <c r="A5151" s="1" t="s">
        <v>954</v>
      </c>
      <c r="B5151" s="0" t="s">
        <v>98</v>
      </c>
      <c r="E5151" s="6" t="n">
        <f aca="false">Sens!E5148-Sens!E5150</f>
        <v>37.441</v>
      </c>
      <c r="F5151" s="6" t="n">
        <f aca="false">Sens!F5148-Sens!F5150</f>
        <v>-32.7989038762157</v>
      </c>
      <c r="G5151" s="6" t="n">
        <f aca="false">Sens!G5148-Sens!G5150</f>
        <v>-15.280484366496</v>
      </c>
      <c r="H5151" s="6" t="n">
        <f aca="false">Sens!H5148-Sens!H5150</f>
        <v>5.35415119276883</v>
      </c>
      <c r="I5151" s="6" t="n">
        <f aca="false">Sens!I5148-Sens!I5150</f>
        <v>87.5390773259124</v>
      </c>
      <c r="J5151" s="6" t="n">
        <f aca="false">Sens!J5148-Sens!J5150</f>
        <v>134.15168057121</v>
      </c>
      <c r="K5151" s="6" t="n">
        <f aca="false">Sens!K5148-Sens!K5150</f>
        <v>189.63398434609</v>
      </c>
    </row>
    <row r="5152" customFormat="false" ht="15" hidden="false" customHeight="false" outlineLevel="0" collapsed="false">
      <c r="A5152" s="1" t="s">
        <v>955</v>
      </c>
      <c r="B5152" s="0" t="s">
        <v>98</v>
      </c>
      <c r="F5152" s="6" t="n">
        <f aca="false">debt_mat_27</f>
        <v>9.25</v>
      </c>
      <c r="G5152" s="6" t="n">
        <f aca="false">debt_mat_28</f>
        <v>0</v>
      </c>
      <c r="H5152" s="6" t="n">
        <f aca="false">debt_mat_29</f>
        <v>2.001</v>
      </c>
      <c r="I5152" s="6" t="n">
        <f aca="false">debt_mat_30</f>
        <v>0</v>
      </c>
      <c r="J5152" s="6" t="n">
        <f aca="false">debt_mat_31</f>
        <v>0.5</v>
      </c>
      <c r="K5152" s="6" t="n">
        <f aca="false">debt_mat_32</f>
        <v>0</v>
      </c>
    </row>
    <row r="5153" customFormat="false" ht="15" hidden="false" customHeight="false" outlineLevel="0" collapsed="false">
      <c r="A5153" s="1" t="s">
        <v>956</v>
      </c>
      <c r="B5153" s="0" t="s">
        <v>98</v>
      </c>
      <c r="E5153" s="6" t="n">
        <f aca="false">Q!M40</f>
        <v>22.271</v>
      </c>
      <c r="F5153" s="6" t="n">
        <f aca="false">MAX(0,MIN(bb_target,Sens!E5155+Sens!F5151-Sens!F5152-min_cash))</f>
        <v>0</v>
      </c>
      <c r="G5153" s="6" t="n">
        <f aca="false">MAX(0,MIN(bb_target,Sens!F5155+Sens!G5151-Sens!G5152-min_cash))</f>
        <v>0</v>
      </c>
      <c r="H5153" s="6" t="n">
        <f aca="false">MAX(0,MIN(bb_target,Sens!G5155+Sens!H5151-Sens!H5152-min_cash))</f>
        <v>3.35315119276883</v>
      </c>
      <c r="I5153" s="6" t="n">
        <f aca="false">MAX(0,MIN(bb_target,Sens!H5155+Sens!I5151-Sens!I5152-min_cash))</f>
        <v>22.271</v>
      </c>
      <c r="J5153" s="6" t="n">
        <f aca="false">MAX(0,MIN(bb_target,Sens!I5155+Sens!J5151-Sens!J5152-min_cash))</f>
        <v>22.271</v>
      </c>
      <c r="K5153" s="6" t="n">
        <f aca="false">MAX(0,MIN(bb_target,Sens!J5155+Sens!K5151-Sens!K5152-min_cash))</f>
        <v>22.271</v>
      </c>
    </row>
    <row r="5154" customFormat="false" ht="15" hidden="false" customHeight="false" outlineLevel="0" collapsed="false">
      <c r="A5154" s="1" t="s">
        <v>957</v>
      </c>
      <c r="B5154" s="0" t="s">
        <v>98</v>
      </c>
      <c r="F5154" s="6" t="n">
        <f aca="false">MAX(0,min_cash-(Sens!E5155+Sens!F5151-Sens!F5152-Sens!F5153))</f>
        <v>15.2059038762157</v>
      </c>
      <c r="G5154" s="6" t="n">
        <f aca="false">MAX(0,min_cash-(Sens!F5155+Sens!G5151-Sens!G5152-Sens!G5153))</f>
        <v>15.280484366496</v>
      </c>
      <c r="H5154" s="6" t="n">
        <f aca="false">MAX(0,min_cash-(Sens!G5155+Sens!H5151-Sens!H5152-Sens!H5153))</f>
        <v>0</v>
      </c>
      <c r="I5154" s="6" t="n">
        <f aca="false">MAX(0,min_cash-(Sens!H5155+Sens!I5151-Sens!I5152-Sens!I5153))</f>
        <v>0</v>
      </c>
      <c r="J5154" s="6" t="n">
        <f aca="false">MAX(0,min_cash-(Sens!I5155+Sens!J5151-Sens!J5152-Sens!J5153))</f>
        <v>0</v>
      </c>
      <c r="K5154" s="6" t="n">
        <f aca="false">MAX(0,min_cash-(Sens!J5155+Sens!K5151-Sens!K5152-Sens!K5153))</f>
        <v>0</v>
      </c>
    </row>
    <row r="5155" customFormat="false" ht="15" hidden="false" customHeight="false" outlineLevel="0" collapsed="false">
      <c r="A5155" s="1" t="s">
        <v>958</v>
      </c>
      <c r="B5155" s="0" t="s">
        <v>98</v>
      </c>
      <c r="E5155" s="6" t="n">
        <f aca="false">cash_open</f>
        <v>76.843</v>
      </c>
      <c r="F5155" s="6" t="n">
        <f aca="false">Sens!E5155+Sens!F5151-Sens!F5152-Sens!F5153+Sens!F5154</f>
        <v>50</v>
      </c>
      <c r="G5155" s="6" t="n">
        <f aca="false">Sens!F5155+Sens!G5151-Sens!G5152-Sens!G5153+Sens!G5154</f>
        <v>50</v>
      </c>
      <c r="H5155" s="6" t="n">
        <f aca="false">Sens!G5155+Sens!H5151-Sens!H5152-Sens!H5153+Sens!H5154</f>
        <v>50</v>
      </c>
      <c r="I5155" s="6" t="n">
        <f aca="false">Sens!H5155+Sens!I5151-Sens!I5152-Sens!I5153+Sens!I5154</f>
        <v>115.268077325912</v>
      </c>
      <c r="J5155" s="6" t="n">
        <f aca="false">Sens!I5155+Sens!J5151-Sens!J5152-Sens!J5153+Sens!J5154</f>
        <v>226.648757897122</v>
      </c>
      <c r="K5155" s="6" t="n">
        <f aca="false">Sens!J5155+Sens!K5151-Sens!K5152-Sens!K5153+Sens!K5154</f>
        <v>394.011742243212</v>
      </c>
    </row>
    <row r="5156" customFormat="false" ht="15" hidden="false" customHeight="false" outlineLevel="0" collapsed="false">
      <c r="A5156" s="1" t="s">
        <v>959</v>
      </c>
      <c r="B5156" s="0" t="s">
        <v>98</v>
      </c>
      <c r="E5156" s="6" t="n">
        <f aca="false">debt_face</f>
        <v>46.136</v>
      </c>
      <c r="F5156" s="6" t="n">
        <f aca="false">Sens!E5156-Sens!F5152+Sens!F5154</f>
        <v>52.0919038762157</v>
      </c>
      <c r="G5156" s="6" t="n">
        <f aca="false">Sens!F5156-Sens!G5152+Sens!G5154</f>
        <v>67.3723882427117</v>
      </c>
      <c r="H5156" s="6" t="n">
        <f aca="false">Sens!G5156-Sens!H5152+Sens!H5154</f>
        <v>65.3713882427117</v>
      </c>
      <c r="I5156" s="6" t="n">
        <f aca="false">Sens!H5156-Sens!I5152+Sens!I5154</f>
        <v>65.3713882427117</v>
      </c>
      <c r="J5156" s="6" t="n">
        <f aca="false">Sens!I5156-Sens!J5152+Sens!J5154</f>
        <v>64.8713882427117</v>
      </c>
      <c r="K5156" s="6" t="n">
        <f aca="false">Sens!J5156-Sens!K5152+Sens!K5154</f>
        <v>64.8713882427117</v>
      </c>
    </row>
    <row r="5157" customFormat="false" ht="15" hidden="false" customHeight="false" outlineLevel="0" collapsed="false">
      <c r="A5157" s="1" t="s">
        <v>960</v>
      </c>
      <c r="B5157" s="0" t="s">
        <v>98</v>
      </c>
      <c r="E5157" s="6" t="n">
        <f aca="false">Sens!E5155-Sens!E5156</f>
        <v>30.707</v>
      </c>
      <c r="F5157" s="6" t="n">
        <f aca="false">Sens!F5155-Sens!F5156</f>
        <v>-2.09190387621566</v>
      </c>
      <c r="G5157" s="6" t="n">
        <f aca="false">Sens!G5155-Sens!G5156</f>
        <v>-17.3723882427117</v>
      </c>
      <c r="H5157" s="6" t="n">
        <f aca="false">Sens!H5155-Sens!H5156</f>
        <v>-15.3713882427117</v>
      </c>
      <c r="I5157" s="6" t="n">
        <f aca="false">Sens!I5155-Sens!I5156</f>
        <v>49.8966890832007</v>
      </c>
      <c r="J5157" s="6" t="n">
        <f aca="false">Sens!J5155-Sens!J5156</f>
        <v>161.777369654411</v>
      </c>
      <c r="K5157" s="6" t="n">
        <f aca="false">Sens!K5155-Sens!K5156</f>
        <v>329.140354000501</v>
      </c>
    </row>
    <row r="5158" customFormat="false" ht="15" hidden="false" customHeight="false" outlineLevel="0" collapsed="false">
      <c r="A5158" s="1" t="s">
        <v>961</v>
      </c>
      <c r="B5158" s="0" t="s">
        <v>75</v>
      </c>
      <c r="F5158" s="29" t="n">
        <f aca="false">px*(1+bb_g)^(Sens!F5022-base_fy-mid_yr)</f>
        <v>553.494156066711</v>
      </c>
      <c r="G5158" s="29" t="n">
        <f aca="false">px*(1+bb_g)^(Sens!G5022-base_fy-mid_yr)</f>
        <v>597.773688552047</v>
      </c>
      <c r="H5158" s="29" t="n">
        <f aca="false">px*(1+bb_g)^(Sens!H5022-base_fy-mid_yr)</f>
        <v>645.595583636211</v>
      </c>
      <c r="I5158" s="29" t="n">
        <f aca="false">px*(1+bb_g)^(Sens!I5022-base_fy-mid_yr)</f>
        <v>697.243230327108</v>
      </c>
      <c r="J5158" s="29" t="n">
        <f aca="false">px*(1+bb_g)^(Sens!J5022-base_fy-mid_yr)</f>
        <v>753.022688753277</v>
      </c>
      <c r="K5158" s="29" t="n">
        <f aca="false">px*(1+bb_g)^(Sens!K5022-base_fy-mid_yr)</f>
        <v>813.264503853539</v>
      </c>
    </row>
    <row r="5159" customFormat="false" ht="15" hidden="false" customHeight="false" outlineLevel="0" collapsed="false">
      <c r="A5159" s="1" t="s">
        <v>962</v>
      </c>
      <c r="B5159" s="1" t="s">
        <v>81</v>
      </c>
      <c r="E5159" s="14" t="n">
        <f aca="false">sh_out26</f>
        <v>7.427</v>
      </c>
      <c r="F5159" s="14" t="n">
        <f aca="false">Sens!E5159+sh_iss-Sens!F5153/Sens!F5158</f>
        <v>7.472</v>
      </c>
      <c r="G5159" s="14" t="n">
        <f aca="false">Sens!F5159+sh_iss-Sens!G5153/Sens!G5158</f>
        <v>7.517</v>
      </c>
      <c r="H5159" s="14" t="n">
        <f aca="false">Sens!G5159+sh_iss-Sens!H5153/Sens!H5158</f>
        <v>7.55680611194103</v>
      </c>
      <c r="I5159" s="14" t="n">
        <f aca="false">Sens!H5159+sh_iss-Sens!I5153/Sens!I5158</f>
        <v>7.56986460425576</v>
      </c>
      <c r="J5159" s="14" t="n">
        <f aca="false">Sens!I5159+sh_iss-Sens!J5153/Sens!J5158</f>
        <v>7.5852891341768</v>
      </c>
      <c r="K5159" s="14" t="n">
        <f aca="false">Sens!J5159+sh_iss-Sens!K5153/Sens!K5158</f>
        <v>7.60290443965924</v>
      </c>
    </row>
    <row r="5160" customFormat="false" ht="15" hidden="false" customHeight="false" outlineLevel="0" collapsed="false">
      <c r="A5160" s="1" t="s">
        <v>963</v>
      </c>
      <c r="B5160" s="1" t="s">
        <v>81</v>
      </c>
      <c r="E5160" s="14" t="n">
        <f aca="false">sh_dil26</f>
        <v>7.453</v>
      </c>
      <c r="F5160" s="14" t="n">
        <f aca="false">(Sens!E5159+Sens!F5159)/2+dil_gap</f>
        <v>7.4735</v>
      </c>
      <c r="G5160" s="14" t="n">
        <f aca="false">(Sens!F5159+Sens!G5159)/2+dil_gap</f>
        <v>7.5185</v>
      </c>
      <c r="H5160" s="14" t="n">
        <f aca="false">(Sens!G5159+Sens!H5159)/2+dil_gap</f>
        <v>7.56090305597052</v>
      </c>
      <c r="I5160" s="14" t="n">
        <f aca="false">(Sens!H5159+Sens!I5159)/2+dil_gap</f>
        <v>7.5873353580984</v>
      </c>
      <c r="J5160" s="14" t="n">
        <f aca="false">(Sens!I5159+Sens!J5159)/2+dil_gap</f>
        <v>7.60157686921628</v>
      </c>
      <c r="K5160" s="14" t="n">
        <f aca="false">(Sens!J5159+Sens!K5159)/2+dil_gap</f>
        <v>7.61809678691802</v>
      </c>
    </row>
    <row r="5161" customFormat="false" ht="17.15" hidden="false" customHeight="false" outlineLevel="0" collapsed="false">
      <c r="A5161" s="1" t="s">
        <v>964</v>
      </c>
      <c r="B5161" s="0" t="s">
        <v>98</v>
      </c>
      <c r="C5161" s="6" t="n">
        <f aca="false">SUM(Sens!F5151:J5151)</f>
        <v>178.965520847179</v>
      </c>
    </row>
    <row r="5162" customFormat="false" ht="15" hidden="false" customHeight="false" outlineLevel="0" collapsed="false">
      <c r="A5162" s="23" t="s">
        <v>935</v>
      </c>
      <c r="B5162" s="30" t="s">
        <v>98</v>
      </c>
      <c r="C5162" s="24" t="n">
        <f aca="false">Sens!$C$5161-(Sens!F5151+Sens!G5151+Sens!H5151+Sens!I5151+Sens!J5151)</f>
        <v>0</v>
      </c>
      <c r="D5162" s="30"/>
      <c r="E5162" s="30"/>
      <c r="F5162" s="30"/>
      <c r="G5162" s="30"/>
      <c r="H5162" s="30"/>
      <c r="I5162" s="30"/>
      <c r="J5162" s="30"/>
      <c r="K5162" s="30"/>
    </row>
    <row r="5163" customFormat="false" ht="17.15" hidden="false" customHeight="false" outlineLevel="0" collapsed="false">
      <c r="A5163" s="1" t="s">
        <v>929</v>
      </c>
      <c r="B5163" s="1" t="s">
        <v>965</v>
      </c>
      <c r="C5163" s="32" t="str">
        <f aca="false">IF(SUM(Sens!F5154:J5154)&gt;0.05,"需要舉債 "&amp;TEXT(SUM(Sens!F5154:J5154),"0.0")&amp;" 十億美元","不需舉債")&amp;"；"&amp;IF(SUM(Sens!F5153:J5153)&lt;COUNT(Sens!F5153:J5153)*bb_target-0.05,"回購較每年 "&amp;TEXT(bb_target,"0.0")&amp;" 的目標少 "&amp;TEXT(COUNT(Sens!F5153:J5153)*bb_target-SUM(Sens!F5153:J5153),"0.0")&amp;" 十億美元（"&amp;TEXT(COUNTIF(Sens!F5153:J5153,"&lt;"&amp;(bb_target-0.05)),"0")&amp;" 年減少）","回購不減")</f>
        <v>需要舉債 30.5 十億美元；回購較每年 22.3 的目標少 63.5 十億美元（3 年減少）</v>
      </c>
    </row>
    <row r="5164" customFormat="false" ht="17.15" hidden="false" customHeight="false" outlineLevel="0" collapsed="false">
      <c r="A5164" s="3" t="s">
        <v>1368</v>
      </c>
    </row>
    <row r="5165" customFormat="false" ht="15" hidden="false" customHeight="false" outlineLevel="0" collapsed="false">
      <c r="A5165" s="4" t="s">
        <v>43</v>
      </c>
      <c r="B5165" s="4" t="s">
        <v>65</v>
      </c>
      <c r="C5165" s="20" t="s">
        <v>788</v>
      </c>
      <c r="D5165" s="20" t="s">
        <v>789</v>
      </c>
      <c r="E5165" s="20" t="s">
        <v>790</v>
      </c>
      <c r="F5165" s="20" t="s">
        <v>791</v>
      </c>
      <c r="G5165" s="20" t="s">
        <v>792</v>
      </c>
      <c r="H5165" s="20" t="s">
        <v>793</v>
      </c>
      <c r="I5165" s="20" t="s">
        <v>794</v>
      </c>
      <c r="J5165" s="20" t="s">
        <v>795</v>
      </c>
      <c r="K5165" s="20" t="s">
        <v>796</v>
      </c>
      <c r="L5165" s="4" t="s">
        <v>47</v>
      </c>
    </row>
    <row r="5166" customFormat="false" ht="15" hidden="false" customHeight="false" outlineLevel="0" collapsed="false">
      <c r="A5166" s="1" t="s">
        <v>1042</v>
      </c>
      <c r="B5166" s="1" t="s">
        <v>235</v>
      </c>
      <c r="F5166" s="36" t="n">
        <f aca="false">Sens!F5022-base_fy-mid_yr</f>
        <v>0.5</v>
      </c>
      <c r="G5166" s="36" t="n">
        <f aca="false">Sens!G5022-base_fy-mid_yr</f>
        <v>1.5</v>
      </c>
      <c r="H5166" s="36" t="n">
        <f aca="false">Sens!H5022-base_fy-mid_yr</f>
        <v>2.5</v>
      </c>
      <c r="I5166" s="36" t="n">
        <f aca="false">Sens!I5022-base_fy-mid_yr</f>
        <v>3.5</v>
      </c>
      <c r="J5166" s="36" t="n">
        <f aca="false">Sens!J5022-base_fy-mid_yr</f>
        <v>4.5</v>
      </c>
      <c r="K5166" s="36" t="n">
        <f aca="false">Sens!K5022-base_fy-mid_yr</f>
        <v>5.5</v>
      </c>
    </row>
    <row r="5167" customFormat="false" ht="15" hidden="false" customHeight="false" outlineLevel="0" collapsed="false">
      <c r="A5167" s="1" t="s">
        <v>1043</v>
      </c>
      <c r="B5167" s="0" t="s">
        <v>185</v>
      </c>
      <c r="F5167" s="14" t="n">
        <f aca="false">1/(1+wacc)^Sens!F5166</f>
        <v>0.952193373608246</v>
      </c>
      <c r="G5167" s="14" t="n">
        <f aca="false">1/(1+wacc)^Sens!G5166</f>
        <v>0.863327280626589</v>
      </c>
      <c r="H5167" s="14" t="n">
        <f aca="false">1/(1+wacc)^Sens!H5166</f>
        <v>0.782754862754115</v>
      </c>
      <c r="I5167" s="14" t="n">
        <f aca="false">1/(1+wacc)^Sens!I5166</f>
        <v>0.709702089711011</v>
      </c>
      <c r="J5167" s="14" t="n">
        <f aca="false">1/(1+wacc)^Sens!J5166</f>
        <v>0.643467169744551</v>
      </c>
      <c r="K5167" s="14" t="n">
        <f aca="false">1/(1+wacc)^Sens!K5166</f>
        <v>0.583413807767797</v>
      </c>
    </row>
    <row r="5168" customFormat="false" ht="17.15" hidden="false" customHeight="false" outlineLevel="0" collapsed="false">
      <c r="A5168" s="1" t="s">
        <v>1044</v>
      </c>
      <c r="B5168" s="0" t="s">
        <v>98</v>
      </c>
      <c r="F5168" s="6" t="n">
        <f aca="false">Sens!F5142-Sens!F5140-Sens!F5145+Sens!F5126*(1-tax_f)</f>
        <v>1.91808821181289</v>
      </c>
      <c r="G5168" s="6" t="n">
        <f aca="false">Sens!G5142-Sens!G5140-Sens!G5145+Sens!G5126*(1-tax_f)</f>
        <v>33.4706160209463</v>
      </c>
      <c r="H5168" s="6" t="n">
        <f aca="false">Sens!H5142-Sens!H5140-Sens!H5145+Sens!H5126*(1-tax_f)</f>
        <v>68.7991481523659</v>
      </c>
      <c r="I5168" s="6" t="n">
        <f aca="false">Sens!I5142-Sens!I5140-Sens!I5145+Sens!I5126*(1-tax_f)</f>
        <v>164.298883435785</v>
      </c>
      <c r="J5168" s="6" t="n">
        <f aca="false">Sens!J5142-Sens!J5140-Sens!J5145+Sens!J5126*(1-tax_f)</f>
        <v>221.025590122067</v>
      </c>
      <c r="K5168" s="6" t="n">
        <f aca="false">Sens!K5142-Sens!K5140-Sens!K5145+Sens!K5126*(1-tax_f)</f>
        <v>282.952338078368</v>
      </c>
      <c r="L5168" s="1" t="s">
        <v>1045</v>
      </c>
    </row>
    <row r="5169" customFormat="false" ht="15" hidden="false" customHeight="false" outlineLevel="0" collapsed="false">
      <c r="A5169" s="1" t="s">
        <v>1046</v>
      </c>
      <c r="B5169" s="0" t="s">
        <v>98</v>
      </c>
      <c r="F5169" s="6" t="n">
        <f aca="false">Sens!F5168*Sens!F5167</f>
        <v>1.82639088528432</v>
      </c>
      <c r="G5169" s="6" t="n">
        <f aca="false">Sens!G5168*Sens!G5167</f>
        <v>28.8960959102603</v>
      </c>
      <c r="H5169" s="6" t="n">
        <f aca="false">Sens!H5168*Sens!H5167</f>
        <v>53.8528677696053</v>
      </c>
      <c r="I5169" s="6" t="n">
        <f aca="false">Sens!I5168*Sens!I5167</f>
        <v>116.603260911563</v>
      </c>
      <c r="J5169" s="6" t="n">
        <f aca="false">Sens!J5168*Sens!J5167</f>
        <v>142.222710916966</v>
      </c>
      <c r="K5169" s="6" t="n">
        <f aca="false">Sens!K5168*Sens!K5167</f>
        <v>165.078300975102</v>
      </c>
    </row>
    <row r="5170" customFormat="false" ht="17.15" hidden="false" customHeight="false" outlineLevel="0" collapsed="false">
      <c r="A5170" s="1" t="s">
        <v>1047</v>
      </c>
      <c r="B5170" s="0" t="s">
        <v>98</v>
      </c>
      <c r="C5170" s="6" t="n">
        <f aca="false">SUM(Sens!F5169:K5169)</f>
        <v>508.47962736878</v>
      </c>
    </row>
    <row r="5171" customFormat="false" ht="17.15" hidden="false" customHeight="false" outlineLevel="0" collapsed="false">
      <c r="A5171" s="1" t="s">
        <v>1048</v>
      </c>
      <c r="B5171" s="0" t="s">
        <v>98</v>
      </c>
      <c r="C5171" s="6" t="n">
        <f aca="false">Sens!K5112*(1+g_tv)*(1-tax_f)</f>
        <v>266.316135169625</v>
      </c>
    </row>
    <row r="5172" customFormat="false" ht="17.15" hidden="false" customHeight="false" outlineLevel="0" collapsed="false">
      <c r="A5172" s="1" t="s">
        <v>1049</v>
      </c>
      <c r="B5172" s="0" t="s">
        <v>98</v>
      </c>
      <c r="C5172" s="6" t="n">
        <f aca="false">Sens!$C$5171*(1-g_tv/(wacc+ronic_prem))</f>
        <v>188.698910067662</v>
      </c>
    </row>
    <row r="5173" customFormat="false" ht="17.15" hidden="false" customHeight="false" outlineLevel="0" collapsed="false">
      <c r="A5173" s="1" t="s">
        <v>1050</v>
      </c>
      <c r="B5173" s="0" t="s">
        <v>98</v>
      </c>
      <c r="C5173" s="6" t="n">
        <f aca="false">Sens!$C$5172/(wacc-g_tv)</f>
        <v>2587.2408367321</v>
      </c>
    </row>
    <row r="5174" customFormat="false" ht="15" hidden="false" customHeight="false" outlineLevel="0" collapsed="false">
      <c r="A5174" s="1" t="s">
        <v>1051</v>
      </c>
      <c r="B5174" s="0" t="s">
        <v>98</v>
      </c>
      <c r="C5174" s="6" t="n">
        <f aca="false">Sens!$C$5173/(1+wacc)^(Sens!K5166+mid_yr)</f>
        <v>1437.27117513573</v>
      </c>
    </row>
    <row r="5175" customFormat="false" ht="17.15" hidden="false" customHeight="false" outlineLevel="0" collapsed="false">
      <c r="A5175" s="0" t="s">
        <v>972</v>
      </c>
      <c r="B5175" s="0" t="s">
        <v>98</v>
      </c>
      <c r="C5175" s="6" t="n">
        <f aca="false">Sens!$C$5170+Sens!$C$5174</f>
        <v>1945.75080250451</v>
      </c>
    </row>
    <row r="5176" customFormat="false" ht="15" hidden="false" customHeight="false" outlineLevel="0" collapsed="false">
      <c r="A5176" s="1" t="s">
        <v>973</v>
      </c>
      <c r="B5176" s="0" t="s">
        <v>129</v>
      </c>
      <c r="C5176" s="7" t="n">
        <f aca="false">Sens!$C$5174/Sens!$C$5175</f>
        <v>0.738671762738435</v>
      </c>
    </row>
    <row r="5177" customFormat="false" ht="17.15" hidden="false" customHeight="false" outlineLevel="0" collapsed="false">
      <c r="A5177" s="1" t="s">
        <v>1052</v>
      </c>
      <c r="B5177" s="0" t="s">
        <v>98</v>
      </c>
      <c r="C5177" s="6" t="n">
        <f aca="false">Sens!$C$5175+Sens!E5157-Sens!E5146+oai_v</f>
        <v>2080.26380250451</v>
      </c>
    </row>
    <row r="5178" customFormat="false" ht="17.15" hidden="false" customHeight="false" outlineLevel="0" collapsed="false">
      <c r="A5178" s="0" t="s">
        <v>980</v>
      </c>
      <c r="B5178" s="0" t="s">
        <v>75</v>
      </c>
      <c r="C5178" s="5" t="n">
        <f aca="false">Sens!$C$5177/sh_dil26</f>
        <v>279.117644237825</v>
      </c>
    </row>
    <row r="5179" customFormat="false" ht="15" hidden="false" customHeight="false" outlineLevel="0" collapsed="false">
      <c r="A5179" s="1" t="s">
        <v>1053</v>
      </c>
      <c r="B5179" s="0" t="s">
        <v>75</v>
      </c>
      <c r="C5179" s="8" t="n">
        <f aca="false">dps_27+Sens!G5149*roll_div_q/q_per_yr</f>
        <v>4.8895</v>
      </c>
    </row>
    <row r="5180" customFormat="false" ht="17.15" hidden="false" customHeight="false" outlineLevel="0" collapsed="false">
      <c r="A5180" s="0" t="s">
        <v>1054</v>
      </c>
      <c r="B5180" s="0" t="s">
        <v>75</v>
      </c>
      <c r="C5180" s="5" t="n">
        <f aca="false">Sens!$C$5178*(1+wacc)^t_roll-Sens!$C$5179</f>
        <v>312.951081099379</v>
      </c>
    </row>
    <row r="5181" customFormat="false" ht="17.15" hidden="false" customHeight="false" outlineLevel="0" collapsed="false">
      <c r="A5181" s="1" t="s">
        <v>1055</v>
      </c>
      <c r="B5181" s="0" t="s">
        <v>129</v>
      </c>
      <c r="F5181" s="7" t="n">
        <f aca="false">Sens!F5138/(Sens!F5083-Sens!F5039)</f>
        <v>0.0743343808648461</v>
      </c>
      <c r="G5181" s="7" t="n">
        <f aca="false">Sens!G5138/(Sens!G5083-Sens!G5039)</f>
        <v>0.0708381178023424</v>
      </c>
      <c r="H5181" s="7" t="n">
        <f aca="false">Sens!H5138/(Sens!H5083-Sens!H5039)</f>
        <v>0.0687671477222955</v>
      </c>
      <c r="I5181" s="7" t="n">
        <f aca="false">Sens!I5138/(Sens!I5083-Sens!I5039)</f>
        <v>0.067936624520893</v>
      </c>
      <c r="J5181" s="7" t="n">
        <f aca="false">Sens!J5138/(Sens!J5083-Sens!J5039)</f>
        <v>0.068091704279375</v>
      </c>
      <c r="K5181" s="7" t="n">
        <f aca="false">Sens!K5138/(Sens!K5083-Sens!K5039)</f>
        <v>0.0689617997997933</v>
      </c>
    </row>
    <row r="5182" customFormat="false" ht="17.15" hidden="false" customHeight="false" outlineLevel="0" collapsed="false">
      <c r="A5182" s="0" t="s">
        <v>1056</v>
      </c>
      <c r="B5182" s="0" t="s">
        <v>98</v>
      </c>
      <c r="F5182" s="6" t="n">
        <f aca="false">Sens!F5068*(al_m365+Sens!F5181+sbc_r)</f>
        <v>83.5501541701393</v>
      </c>
      <c r="G5182" s="6" t="n">
        <f aca="false">Sens!G5068*(al_m365+Sens!G5181+sbc_r)</f>
        <v>93.870524281336</v>
      </c>
      <c r="H5182" s="6" t="n">
        <f aca="false">Sens!H5068*(al_m365+Sens!H5181+sbc_r)</f>
        <v>104.35294300232</v>
      </c>
      <c r="I5182" s="6" t="n">
        <f aca="false">Sens!I5068*(al_m365+Sens!I5181+sbc_r)</f>
        <v>114.320978739419</v>
      </c>
      <c r="J5182" s="6" t="n">
        <f aca="false">Sens!J5068*(al_m365+Sens!J5181+sbc_r)</f>
        <v>123.58689294021</v>
      </c>
      <c r="K5182" s="6" t="n">
        <f aca="false">Sens!K5068*(al_m365+Sens!K5181+sbc_r)</f>
        <v>132.459344340759</v>
      </c>
      <c r="L5182" s="11" t="s">
        <v>1057</v>
      </c>
    </row>
    <row r="5183" customFormat="false" ht="17.15" hidden="false" customHeight="false" outlineLevel="0" collapsed="false">
      <c r="A5183" s="0" t="s">
        <v>1058</v>
      </c>
      <c r="B5183" s="0" t="s">
        <v>98</v>
      </c>
      <c r="F5183" s="6" t="n">
        <f aca="false">Sens!F5069*(al_lic+Sens!F5181+sbc_r)</f>
        <v>33.6690772303433</v>
      </c>
      <c r="G5183" s="6" t="n">
        <f aca="false">Sens!G5069*(al_lic+Sens!G5181+sbc_r)</f>
        <v>34.9523795270766</v>
      </c>
      <c r="H5183" s="6" t="n">
        <f aca="false">Sens!H5069*(al_lic+Sens!H5181+sbc_r)</f>
        <v>36.1497228116359</v>
      </c>
      <c r="I5183" s="6" t="n">
        <f aca="false">Sens!I5069*(al_lic+Sens!I5181+sbc_r)</f>
        <v>37.2404263482945</v>
      </c>
      <c r="J5183" s="6" t="n">
        <f aca="false">Sens!J5069*(al_lic+Sens!J5181+sbc_r)</f>
        <v>38.2001874725363</v>
      </c>
      <c r="K5183" s="6" t="n">
        <f aca="false">Sens!K5069*(al_lic+Sens!K5181+sbc_r)</f>
        <v>39.0038213647264</v>
      </c>
    </row>
    <row r="5184" customFormat="false" ht="17.15" hidden="false" customHeight="false" outlineLevel="0" collapsed="false">
      <c r="A5184" s="0" t="s">
        <v>1059</v>
      </c>
      <c r="B5184" s="0" t="s">
        <v>98</v>
      </c>
      <c r="F5184" s="6" t="n">
        <f aca="false">Sens!F5071*(al_ind+Sens!F5181+sbc_r)</f>
        <v>9.20484694345928</v>
      </c>
      <c r="G5184" s="6" t="n">
        <f aca="false">Sens!G5071*(al_ind+Sens!G5181+sbc_r)</f>
        <v>9.97659250741764</v>
      </c>
      <c r="H5184" s="6" t="n">
        <f aca="false">Sens!H5071*(al_ind+Sens!H5181+sbc_r)</f>
        <v>10.7929439127956</v>
      </c>
      <c r="I5184" s="6" t="n">
        <f aca="false">Sens!I5071*(al_ind+Sens!I5181+sbc_r)</f>
        <v>11.6493673539261</v>
      </c>
      <c r="J5184" s="6" t="n">
        <f aca="false">Sens!J5071*(al_ind+Sens!J5181+sbc_r)</f>
        <v>12.5369627945198</v>
      </c>
      <c r="K5184" s="6" t="n">
        <f aca="false">Sens!K5071*(al_ind+Sens!K5181+sbc_r)</f>
        <v>13.4433360843466</v>
      </c>
    </row>
    <row r="5185" customFormat="false" ht="17.15" hidden="false" customHeight="false" outlineLevel="0" collapsed="false">
      <c r="A5185" s="0" t="s">
        <v>1060</v>
      </c>
      <c r="B5185" s="0" t="s">
        <v>98</v>
      </c>
      <c r="F5185" s="6" t="n">
        <f aca="false">Sens!F5073*(al_fro+Sens!F5181+sbc_r)</f>
        <v>3.6230600733308</v>
      </c>
      <c r="G5185" s="6" t="n">
        <f aca="false">Sens!G5073*(al_fro+Sens!G5181+sbc_r)</f>
        <v>3.83042169000434</v>
      </c>
      <c r="H5185" s="6" t="n">
        <f aca="false">Sens!H5073*(al_fro+Sens!H5181+sbc_r)</f>
        <v>4.06715068241011</v>
      </c>
      <c r="I5185" s="6" t="n">
        <f aca="false">Sens!I5073*(al_fro+Sens!I5181+sbc_r)</f>
        <v>4.33542040564571</v>
      </c>
      <c r="J5185" s="6" t="n">
        <f aca="false">Sens!J5073*(al_fro+Sens!J5181+sbc_r)</f>
        <v>4.63665063599965</v>
      </c>
      <c r="K5185" s="6" t="n">
        <f aca="false">Sens!K5073*(al_fro+Sens!K5181+sbc_r)</f>
        <v>4.97186231043849</v>
      </c>
    </row>
    <row r="5186" customFormat="false" ht="17.15" hidden="false" customHeight="false" outlineLevel="0" collapsed="false">
      <c r="A5186" s="0" t="s">
        <v>1061</v>
      </c>
      <c r="B5186" s="0" t="s">
        <v>98</v>
      </c>
      <c r="F5186" s="6" t="n">
        <f aca="false">Sens!F5076*(al_srch+Sens!F5181+sbc_r)</f>
        <v>11.3681189672791</v>
      </c>
      <c r="G5186" s="6" t="n">
        <f aca="false">Sens!G5076*(al_srch+Sens!G5181+sbc_r)</f>
        <v>12.4374915393093</v>
      </c>
      <c r="H5186" s="6" t="n">
        <f aca="false">Sens!H5076*(al_srch+Sens!H5181+sbc_r)</f>
        <v>13.5509327151784</v>
      </c>
      <c r="I5186" s="6" t="n">
        <f aca="false">Sens!I5076*(al_srch+Sens!I5181+sbc_r)</f>
        <v>14.695943014291</v>
      </c>
      <c r="J5186" s="6" t="n">
        <f aca="false">Sens!J5076*(al_srch+Sens!J5181+sbc_r)</f>
        <v>15.8535731055148</v>
      </c>
      <c r="K5186" s="6" t="n">
        <f aca="false">Sens!K5076*(al_srch+Sens!K5181+sbc_r)</f>
        <v>16.9997243262424</v>
      </c>
    </row>
    <row r="5187" customFormat="false" ht="17.15" hidden="false" customHeight="false" outlineLevel="0" collapsed="false">
      <c r="A5187" s="0" t="s">
        <v>1062</v>
      </c>
      <c r="B5187" s="0" t="s">
        <v>98</v>
      </c>
      <c r="F5187" s="6" t="n">
        <f aca="false">Sens!F5045-Sens!F5046+Sens!F5126</f>
        <v>49.4106737626213</v>
      </c>
      <c r="G5187" s="6" t="n">
        <f aca="false">Sens!G5045-Sens!G5046+Sens!G5126</f>
        <v>79.2919861376911</v>
      </c>
      <c r="H5187" s="6" t="n">
        <f aca="false">Sens!H5045-Sens!H5046+Sens!H5126</f>
        <v>106.134676972517</v>
      </c>
      <c r="I5187" s="6" t="n">
        <f aca="false">Sens!I5045-Sens!I5046+Sens!I5126</f>
        <v>135.18738129674</v>
      </c>
      <c r="J5187" s="6" t="n">
        <f aca="false">Sens!J5045-Sens!J5046+Sens!J5126</f>
        <v>155.886812860903</v>
      </c>
      <c r="K5187" s="6" t="n">
        <f aca="false">Sens!K5045-Sens!K5046+Sens!K5126</f>
        <v>167.036203556465</v>
      </c>
    </row>
    <row r="5188" customFormat="false" ht="17.15" hidden="false" customHeight="false" outlineLevel="0" collapsed="false">
      <c r="A5188" s="0" t="s">
        <v>1063</v>
      </c>
      <c r="B5188" s="0" t="s">
        <v>98</v>
      </c>
      <c r="F5188" s="6" t="n">
        <f aca="false">Sens!F5105+Sens!F5126+Sens!F5056+Sens!F5181*(Sens!F5075-Sens!F5039)+sbc_r*Sens!F5075</f>
        <v>238.398041479314</v>
      </c>
      <c r="G5188" s="6" t="n">
        <f aca="false">Sens!G5105+Sens!G5126+Sens!G5056+Sens!G5181*(Sens!G5075-Sens!G5039)+sbc_r*Sens!G5075</f>
        <v>292.633444741147</v>
      </c>
      <c r="H5188" s="6" t="n">
        <f aca="false">Sens!H5105+Sens!H5126+Sens!H5056+Sens!H5181*(Sens!H5075-Sens!H5039)+sbc_r*Sens!H5075</f>
        <v>344.111183572596</v>
      </c>
      <c r="I5188" s="6" t="n">
        <f aca="false">Sens!I5105+Sens!I5126+Sens!I5056+Sens!I5181*(Sens!I5075-Sens!I5039)+sbc_r*Sens!I5075</f>
        <v>397.172699303372</v>
      </c>
      <c r="J5188" s="6" t="n">
        <f aca="false">Sens!J5105+Sens!J5126+Sens!J5056+Sens!J5181*(Sens!J5075-Sens!J5039)+sbc_r*Sens!J5075</f>
        <v>440.03493651799</v>
      </c>
      <c r="K5188" s="6" t="n">
        <f aca="false">Sens!K5105+Sens!K5126+Sens!K5056+Sens!K5181*(Sens!K5075-Sens!K5039)+sbc_r*Sens!K5075</f>
        <v>471.047635784859</v>
      </c>
    </row>
    <row r="5189" customFormat="false" ht="17.15" hidden="false" customHeight="false" outlineLevel="0" collapsed="false">
      <c r="A5189" s="0" t="s">
        <v>1064</v>
      </c>
      <c r="B5189" s="0" t="s">
        <v>98</v>
      </c>
      <c r="F5189" s="6" t="n">
        <f aca="false">Sens!F5188-Sens!F5182-Sens!F5183-Sens!F5184-Sens!F5185-Sens!F5187</f>
        <v>58.9402292994201</v>
      </c>
      <c r="G5189" s="6" t="n">
        <f aca="false">Sens!G5188-Sens!G5182-Sens!G5183-Sens!G5184-Sens!G5185-Sens!G5187</f>
        <v>70.7115405976211</v>
      </c>
      <c r="H5189" s="6" t="n">
        <f aca="false">Sens!H5188-Sens!H5182-Sens!H5183-Sens!H5184-Sens!H5185-Sens!H5187</f>
        <v>82.6137461909174</v>
      </c>
      <c r="I5189" s="6" t="n">
        <f aca="false">Sens!I5188-Sens!I5182-Sens!I5183-Sens!I5184-Sens!I5185-Sens!I5187</f>
        <v>94.4391251593461</v>
      </c>
      <c r="J5189" s="6" t="n">
        <f aca="false">Sens!J5188-Sens!J5182-Sens!J5183-Sens!J5184-Sens!J5185-Sens!J5187</f>
        <v>105.187429813822</v>
      </c>
      <c r="K5189" s="6" t="n">
        <f aca="false">Sens!K5188-Sens!K5182-Sens!K5183-Sens!K5184-Sens!K5185-Sens!K5187</f>
        <v>114.133068128124</v>
      </c>
    </row>
    <row r="5190" customFormat="false" ht="17.15" hidden="false" customHeight="false" outlineLevel="0" collapsed="false">
      <c r="A5190" s="0" t="s">
        <v>1065</v>
      </c>
      <c r="B5190" s="0" t="s">
        <v>98</v>
      </c>
      <c r="F5190" s="6" t="n">
        <f aca="false">Sens!F5107+Sens!F5181*Sens!F5082+sbc_r*Sens!F5082</f>
        <v>26.5728712382641</v>
      </c>
      <c r="G5190" s="6" t="n">
        <f aca="false">Sens!G5107+Sens!G5181*Sens!G5082+sbc_r*Sens!G5082</f>
        <v>27.147418466596</v>
      </c>
      <c r="H5190" s="6" t="n">
        <f aca="false">Sens!H5107+Sens!H5181*Sens!H5082+sbc_r*Sens!H5082</f>
        <v>27.994761121678</v>
      </c>
      <c r="I5190" s="6" t="n">
        <f aca="false">Sens!I5107+Sens!I5181*Sens!I5082+sbc_r*Sens!I5082</f>
        <v>29.0799285316042</v>
      </c>
      <c r="J5190" s="6" t="n">
        <f aca="false">Sens!J5107+Sens!J5181*Sens!J5082+sbc_r*Sens!J5082</f>
        <v>30.3689475801536</v>
      </c>
      <c r="K5190" s="6" t="n">
        <f aca="false">Sens!K5107+Sens!K5181*Sens!K5082+sbc_r*Sens!K5082</f>
        <v>31.8303916273711</v>
      </c>
    </row>
    <row r="5191" customFormat="false" ht="17.15" hidden="false" customHeight="false" outlineLevel="0" collapsed="false">
      <c r="A5191" s="0" t="s">
        <v>1066</v>
      </c>
      <c r="B5191" s="0" t="s">
        <v>98</v>
      </c>
      <c r="F5191" s="6" t="n">
        <f aca="false">(Sens!F5190-Sens!F5186)*Sens!F5078/(Sens!F5078+Sens!F5080)</f>
        <v>8.33509710281274</v>
      </c>
      <c r="G5191" s="6" t="n">
        <f aca="false">(Sens!G5190-Sens!G5186)*Sens!G5078/(Sens!G5078+Sens!G5080)</f>
        <v>7.92006093225813</v>
      </c>
      <c r="H5191" s="6" t="n">
        <f aca="false">(Sens!H5190-Sens!H5186)*Sens!H5078/(Sens!H5078+Sens!H5080)</f>
        <v>7.67173778872256</v>
      </c>
      <c r="I5191" s="6" t="n">
        <f aca="false">(Sens!I5190-Sens!I5186)*Sens!I5078/(Sens!I5078+Sens!I5080)</f>
        <v>7.5708262704214</v>
      </c>
      <c r="J5191" s="6" t="n">
        <f aca="false">(Sens!J5190-Sens!J5186)*Sens!J5078/(Sens!J5078+Sens!J5080)</f>
        <v>7.60543344982701</v>
      </c>
      <c r="K5191" s="6" t="n">
        <f aca="false">(Sens!K5190-Sens!K5186)*Sens!K5078/(Sens!K5078+Sens!K5080)</f>
        <v>7.77063336342664</v>
      </c>
    </row>
    <row r="5192" customFormat="false" ht="17.15" hidden="false" customHeight="false" outlineLevel="0" collapsed="false">
      <c r="A5192" s="0" t="s">
        <v>1067</v>
      </c>
      <c r="B5192" s="0" t="s">
        <v>98</v>
      </c>
      <c r="F5192" s="6" t="n">
        <f aca="false">Sens!F5190-Sens!F5186-Sens!F5191</f>
        <v>6.86965516817231</v>
      </c>
      <c r="G5192" s="6" t="n">
        <f aca="false">Sens!G5190-Sens!G5186-Sens!G5191</f>
        <v>6.78986599502855</v>
      </c>
      <c r="H5192" s="6" t="n">
        <f aca="false">Sens!H5190-Sens!H5186-Sens!H5191</f>
        <v>6.77209061777701</v>
      </c>
      <c r="I5192" s="6" t="n">
        <f aca="false">Sens!I5190-Sens!I5186-Sens!I5191</f>
        <v>6.8131592468918</v>
      </c>
      <c r="J5192" s="6" t="n">
        <f aca="false">Sens!J5190-Sens!J5186-Sens!J5191</f>
        <v>6.90994102481181</v>
      </c>
      <c r="K5192" s="6" t="n">
        <f aca="false">Sens!K5190-Sens!K5186-Sens!K5191</f>
        <v>7.06003393770206</v>
      </c>
    </row>
    <row r="5193" customFormat="false" ht="17.15" hidden="false" customHeight="false" outlineLevel="0" collapsed="false">
      <c r="A5193" s="0" t="s">
        <v>1068</v>
      </c>
      <c r="B5193" s="0" t="s">
        <v>98</v>
      </c>
      <c r="F5193" s="6" t="n">
        <f aca="false">Sens!F5187-tax_f*(Sens!F5187-Sens!F5056)-Sens!F5053</f>
        <v>-123.214573679334</v>
      </c>
      <c r="G5193" s="6" t="n">
        <f aca="false">Sens!G5187-tax_f*(Sens!G5187-Sens!G5056)-Sens!G5053</f>
        <v>-109.649968134132</v>
      </c>
      <c r="H5193" s="6" t="n">
        <f aca="false">Sens!H5187-tax_f*(Sens!H5187-Sens!H5056)-Sens!H5053</f>
        <v>-87.9672215335628</v>
      </c>
      <c r="I5193" s="6" t="n">
        <f aca="false">Sens!I5187-tax_f*(Sens!I5187-Sens!I5056)-Sens!I5053</f>
        <v>-6.00779000993461</v>
      </c>
      <c r="J5193" s="6" t="n">
        <f aca="false">Sens!J5187-tax_f*(Sens!J5187-Sens!J5056)-Sens!J5053</f>
        <v>37.7325165891695</v>
      </c>
      <c r="K5193" s="6" t="n">
        <f aca="false">Sens!K5187-tax_f*(Sens!K5187-Sens!K5056)-Sens!K5053</f>
        <v>87.4318415875123</v>
      </c>
    </row>
    <row r="5194" customFormat="false" ht="17.15" hidden="false" customHeight="false" outlineLevel="0" collapsed="false">
      <c r="A5194" s="0" t="s">
        <v>1069</v>
      </c>
      <c r="B5194" s="0" t="s">
        <v>98</v>
      </c>
      <c r="F5194" s="6" t="n">
        <f aca="false">Sens!F5193*Sens!F5167</f>
        <v>-117.324100589427</v>
      </c>
      <c r="G5194" s="6" t="n">
        <f aca="false">Sens!G5193*Sens!G5167</f>
        <v>-94.6638088100321</v>
      </c>
      <c r="H5194" s="6" t="n">
        <f aca="false">Sens!H5193*Sens!H5167</f>
        <v>-68.8567704183648</v>
      </c>
      <c r="I5194" s="6" t="n">
        <f aca="false">Sens!I5193*Sens!I5167</f>
        <v>-4.26374112459553</v>
      </c>
      <c r="J5194" s="6" t="n">
        <f aca="false">Sens!J5193*Sens!J5167</f>
        <v>24.2796356569722</v>
      </c>
      <c r="K5194" s="6" t="n">
        <f aca="false">Sens!K5193*Sens!K5167</f>
        <v>51.0089436207213</v>
      </c>
    </row>
    <row r="5195" customFormat="false" ht="17.15" hidden="false" customHeight="false" outlineLevel="0" collapsed="false">
      <c r="A5195" s="0" t="s">
        <v>1070</v>
      </c>
      <c r="B5195" s="0" t="s">
        <v>98</v>
      </c>
      <c r="C5195" s="6" t="n">
        <f aca="false">(Sens!K5187-Sens!K5056)*(1-tax_f)*(1+g_tv)*(1-g_tv/(wacc+ronic_prem))/(wacc-g_tv)/(1+wacc)^(Sens!K5166+mid_yr)</f>
        <v>216.217739831021</v>
      </c>
    </row>
    <row r="5196" customFormat="false" ht="17.15" hidden="false" customHeight="false" outlineLevel="0" collapsed="false">
      <c r="A5196" s="1" t="s">
        <v>1071</v>
      </c>
      <c r="B5196" s="0" t="s">
        <v>98</v>
      </c>
      <c r="C5196" s="6" t="n">
        <f aca="false">(SUM(Sens!F5194:K5194)+Sens!$C$5195)*(1+wacc)^t_roll</f>
        <v>7.28550026474593</v>
      </c>
      <c r="L5196" s="11" t="s">
        <v>1072</v>
      </c>
    </row>
    <row r="5197" customFormat="false" ht="17.15" hidden="false" customHeight="false" outlineLevel="0" collapsed="false">
      <c r="A5197" s="1" t="s">
        <v>1073</v>
      </c>
      <c r="B5197" s="0" t="s">
        <v>98</v>
      </c>
      <c r="C5197" s="6" t="n">
        <f aca="false">(w_ntm28*Sens!G5045+(1-w_ntm28)*Sens!H5045)*m_ai</f>
        <v>338.776008390068</v>
      </c>
    </row>
    <row r="5198" customFormat="false" ht="17.15" hidden="false" customHeight="false" outlineLevel="0" collapsed="false">
      <c r="A5198" s="1" t="s">
        <v>1074</v>
      </c>
      <c r="B5198" s="0" t="s">
        <v>98</v>
      </c>
      <c r="C5198" s="6" t="n">
        <f aca="false">(w_ntm28*Sens!G5189+(1-w_ntm28)*Sens!H5189)*m_cloud</f>
        <v>1030.41058912303</v>
      </c>
    </row>
    <row r="5199" customFormat="false" ht="17.15" hidden="false" customHeight="false" outlineLevel="0" collapsed="false">
      <c r="A5199" s="1" t="s">
        <v>1075</v>
      </c>
      <c r="B5199" s="0" t="s">
        <v>98</v>
      </c>
      <c r="C5199" s="6" t="n">
        <f aca="false">(w_ntm28*Sens!G5182+(1-w_ntm28)*Sens!H5182)*m_sw</f>
        <v>1050.40109900013</v>
      </c>
    </row>
    <row r="5200" customFormat="false" ht="17.15" hidden="false" customHeight="false" outlineLevel="0" collapsed="false">
      <c r="A5200" s="1" t="s">
        <v>1076</v>
      </c>
      <c r="B5200" s="0" t="s">
        <v>98</v>
      </c>
      <c r="C5200" s="6" t="n">
        <f aca="false">(w_ntm28*Sens!G5183+(1-w_ntm28)*Sens!H5183)*m_sw</f>
        <v>381.666231171448</v>
      </c>
    </row>
    <row r="5201" customFormat="false" ht="17.15" hidden="false" customHeight="false" outlineLevel="0" collapsed="false">
      <c r="A5201" s="1" t="s">
        <v>1077</v>
      </c>
      <c r="B5201" s="0" t="s">
        <v>98</v>
      </c>
      <c r="C5201" s="6" t="n">
        <f aca="false">(w_ntm28*Sens!G5184+(1-w_ntm28)*Sens!H5184)*m_sw</f>
        <v>110.597495603436</v>
      </c>
    </row>
    <row r="5202" customFormat="false" ht="17.15" hidden="false" customHeight="false" outlineLevel="0" collapsed="false">
      <c r="A5202" s="1" t="s">
        <v>1078</v>
      </c>
      <c r="B5202" s="0" t="s">
        <v>98</v>
      </c>
      <c r="C5202" s="6" t="n">
        <f aca="false">(w_ntm28*Sens!G5185+(1-w_ntm28)*Sens!H5185)*m_sw</f>
        <v>42.195095150463</v>
      </c>
    </row>
    <row r="5203" customFormat="false" ht="17.15" hidden="false" customHeight="false" outlineLevel="0" collapsed="false">
      <c r="A5203" s="1" t="s">
        <v>1079</v>
      </c>
      <c r="B5203" s="0" t="s">
        <v>98</v>
      </c>
      <c r="C5203" s="6" t="n">
        <f aca="false">(w_ntm28*Sens!G5186+(1-w_ntm28)*Sens!H5186)*m_ads</f>
        <v>116.58479996485</v>
      </c>
    </row>
    <row r="5204" customFormat="false" ht="17.15" hidden="false" customHeight="false" outlineLevel="0" collapsed="false">
      <c r="A5204" s="1" t="s">
        <v>1080</v>
      </c>
      <c r="B5204" s="0" t="s">
        <v>98</v>
      </c>
      <c r="C5204" s="6" t="n">
        <f aca="false">(w_ntm28*Sens!G5191+(1-w_ntm28)*Sens!H5191)*m_game</f>
        <v>99.0164355641824</v>
      </c>
    </row>
    <row r="5205" customFormat="false" ht="17.15" hidden="false" customHeight="false" outlineLevel="0" collapsed="false">
      <c r="A5205" s="1" t="s">
        <v>1081</v>
      </c>
      <c r="B5205" s="0" t="s">
        <v>98</v>
      </c>
      <c r="C5205" s="6" t="n">
        <f aca="false">(w_ntm28*Sens!G5192+(1-w_ntm28)*Sens!H5192)*m_pc</f>
        <v>98.166208220277</v>
      </c>
    </row>
    <row r="5206" customFormat="false" ht="17.15" hidden="false" customHeight="false" outlineLevel="0" collapsed="false">
      <c r="A5206" s="1" t="s">
        <v>1082</v>
      </c>
      <c r="B5206" s="0" t="s">
        <v>98</v>
      </c>
      <c r="C5206" s="6" t="n">
        <f aca="false">Sens!$C$5196+Sens!$C$5198+Sens!$C$5199+Sens!$C$5200+Sens!$C$5201+Sens!$C$5202+Sens!$C$5203+Sens!$C$5204+Sens!$C$5205</f>
        <v>2936.32345406256</v>
      </c>
    </row>
    <row r="5207" customFormat="false" ht="17.15" hidden="false" customHeight="false" outlineLevel="0" collapsed="false">
      <c r="A5207" s="1" t="s">
        <v>1000</v>
      </c>
      <c r="B5207" s="0" t="s">
        <v>98</v>
      </c>
      <c r="C5207" s="6" t="n">
        <f aca="false">Sens!F5157+oai_v-Sens!F5146</f>
        <v>105.838366123784</v>
      </c>
      <c r="L5207" s="1" t="s">
        <v>1083</v>
      </c>
    </row>
    <row r="5208" customFormat="false" ht="15" hidden="false" customHeight="false" outlineLevel="0" collapsed="false">
      <c r="A5208" s="1" t="s">
        <v>1001</v>
      </c>
      <c r="B5208" s="0" t="s">
        <v>75</v>
      </c>
      <c r="C5208" s="5" t="n">
        <f aca="false">(Sens!$C$5206+Sens!$C$5207)/Sens!F5159</f>
        <v>407.141571224083</v>
      </c>
    </row>
    <row r="5209" customFormat="false" ht="17.15" hidden="false" customHeight="false" outlineLevel="0" collapsed="false">
      <c r="A5209" s="1" t="s">
        <v>1084</v>
      </c>
      <c r="B5209" s="0" t="s">
        <v>75</v>
      </c>
      <c r="C5209" s="5" t="n">
        <f aca="false">w_dcf*Sens!$C$5180+(1-w_dcf)*Sens!$C$5208</f>
        <v>360.046326161731</v>
      </c>
    </row>
    <row r="5210" customFormat="false" ht="17.15" hidden="false" customHeight="false" outlineLevel="0" collapsed="false">
      <c r="A5210" s="3" t="s">
        <v>1369</v>
      </c>
    </row>
    <row r="5211" customFormat="false" ht="15" hidden="false" customHeight="false" outlineLevel="0" collapsed="false">
      <c r="A5211" s="4" t="s">
        <v>43</v>
      </c>
      <c r="B5211" s="4" t="s">
        <v>65</v>
      </c>
      <c r="C5211" s="20" t="s">
        <v>788</v>
      </c>
      <c r="D5211" s="20" t="s">
        <v>789</v>
      </c>
      <c r="E5211" s="20" t="s">
        <v>790</v>
      </c>
      <c r="F5211" s="20" t="s">
        <v>791</v>
      </c>
      <c r="G5211" s="20" t="s">
        <v>792</v>
      </c>
      <c r="H5211" s="20" t="s">
        <v>793</v>
      </c>
      <c r="I5211" s="20" t="s">
        <v>794</v>
      </c>
      <c r="J5211" s="20" t="s">
        <v>795</v>
      </c>
      <c r="K5211" s="20" t="s">
        <v>796</v>
      </c>
      <c r="L5211" s="4" t="s">
        <v>47</v>
      </c>
    </row>
    <row r="5212" customFormat="false" ht="17.15" hidden="false" customHeight="false" outlineLevel="0" collapsed="false">
      <c r="A5212" s="1" t="s">
        <v>797</v>
      </c>
      <c r="B5212" s="1" t="s">
        <v>235</v>
      </c>
      <c r="C5212" s="28" t="n">
        <v>2024</v>
      </c>
      <c r="D5212" s="28" t="n">
        <v>2025</v>
      </c>
      <c r="E5212" s="28" t="n">
        <v>2026</v>
      </c>
      <c r="F5212" s="28" t="n">
        <v>2027</v>
      </c>
      <c r="G5212" s="28" t="n">
        <v>2028</v>
      </c>
      <c r="H5212" s="28" t="n">
        <v>2029</v>
      </c>
      <c r="I5212" s="28" t="n">
        <v>2030</v>
      </c>
      <c r="J5212" s="28" t="n">
        <v>2031</v>
      </c>
      <c r="K5212" s="28" t="n">
        <v>2032</v>
      </c>
    </row>
    <row r="5213" customFormat="false" ht="17.15" hidden="false" customHeight="false" outlineLevel="0" collapsed="false">
      <c r="A5213" s="1" t="s">
        <v>798</v>
      </c>
      <c r="B5213" s="0" t="s">
        <v>392</v>
      </c>
      <c r="F5213" s="29" t="n">
        <f aca="false">pace</f>
        <v>2527.2</v>
      </c>
      <c r="G5213" s="29" t="n">
        <f aca="false">pace</f>
        <v>2527.2</v>
      </c>
      <c r="H5213" s="29" t="n">
        <f aca="false">pace</f>
        <v>2527.2</v>
      </c>
      <c r="I5213" s="29" t="n">
        <f aca="false">pace+(g_tv*Sens!H5214-pace)*MIN(1,(Sens!I5212-pace_y0)/(pace_y1-pace_y0))</f>
        <v>1793.116</v>
      </c>
      <c r="J5213" s="29" t="n">
        <f aca="false">pace+(g_tv*Sens!H5214-pace)*MIN(1,(Sens!J5212-pace_y0)/(pace_y1-pace_y0))</f>
        <v>1059.032</v>
      </c>
      <c r="K5213" s="29" t="n">
        <f aca="false">pace+(g_tv*Sens!H5214-pace)*MIN(1,(Sens!K5212-pace_y0)/(pace_y1-pace_y0))</f>
        <v>324.948</v>
      </c>
      <c r="L5213" s="11" t="s">
        <v>799</v>
      </c>
    </row>
    <row r="5214" customFormat="false" ht="17.15" hidden="false" customHeight="false" outlineLevel="0" collapsed="false">
      <c r="A5214" s="1" t="s">
        <v>800</v>
      </c>
      <c r="B5214" s="0" t="s">
        <v>392</v>
      </c>
      <c r="C5214" s="29" t="n">
        <f aca="false">mw_ext_24</f>
        <v>640</v>
      </c>
      <c r="D5214" s="29" t="n">
        <f aca="false">mw_ext_25</f>
        <v>1630</v>
      </c>
      <c r="E5214" s="29" t="n">
        <f aca="false">mw_ext_26</f>
        <v>3250</v>
      </c>
      <c r="F5214" s="29" t="n">
        <f aca="false">Sens!E5214+Sens!F5213</f>
        <v>5777.2</v>
      </c>
      <c r="G5214" s="29" t="n">
        <f aca="false">Sens!F5214+Sens!G5213</f>
        <v>8304.4</v>
      </c>
      <c r="H5214" s="29" t="n">
        <f aca="false">Sens!G5214+Sens!H5213</f>
        <v>10831.6</v>
      </c>
      <c r="I5214" s="29" t="n">
        <f aca="false">Sens!H5214+Sens!I5213</f>
        <v>12624.716</v>
      </c>
      <c r="J5214" s="29" t="n">
        <f aca="false">Sens!I5214+Sens!J5213</f>
        <v>13683.748</v>
      </c>
      <c r="K5214" s="29" t="n">
        <f aca="false">Sens!J5214+Sens!K5213</f>
        <v>14008.696</v>
      </c>
      <c r="L5214" s="1" t="s">
        <v>801</v>
      </c>
    </row>
    <row r="5215" customFormat="false" ht="17.15" hidden="false" customHeight="false" outlineLevel="0" collapsed="false">
      <c r="A5215" s="1" t="s">
        <v>802</v>
      </c>
      <c r="B5215" s="0" t="s">
        <v>392</v>
      </c>
      <c r="C5215" s="29" t="n">
        <f aca="false">rent_ext_24</f>
        <v>150</v>
      </c>
      <c r="D5215" s="29" t="n">
        <f aca="false">rent_ext_25</f>
        <v>400</v>
      </c>
      <c r="E5215" s="29" t="n">
        <f aca="false">rent_ext_26</f>
        <v>550</v>
      </c>
      <c r="F5215" s="29" t="n">
        <f aca="false">rent_ext_f</f>
        <v>756</v>
      </c>
      <c r="G5215" s="29" t="n">
        <f aca="false">rent_ext_f</f>
        <v>756</v>
      </c>
      <c r="H5215" s="29" t="n">
        <f aca="false">rent_ext_f</f>
        <v>756</v>
      </c>
      <c r="I5215" s="29" t="n">
        <f aca="false">rent_ext_f</f>
        <v>756</v>
      </c>
      <c r="J5215" s="29" t="n">
        <f aca="false">rent_ext_f</f>
        <v>756</v>
      </c>
      <c r="K5215" s="29" t="n">
        <f aca="false">rent_ext_f</f>
        <v>756</v>
      </c>
      <c r="L5215" s="1" t="s">
        <v>803</v>
      </c>
    </row>
    <row r="5216" customFormat="false" ht="17.15" hidden="false" customHeight="false" outlineLevel="0" collapsed="false">
      <c r="A5216" s="1" t="s">
        <v>804</v>
      </c>
      <c r="B5216" s="0" t="s">
        <v>392</v>
      </c>
      <c r="C5216" s="29" t="n">
        <f aca="false">Sens!C5214-Sens!C5215</f>
        <v>490</v>
      </c>
      <c r="D5216" s="29" t="n">
        <f aca="false">Sens!D5214-Sens!D5215</f>
        <v>1230</v>
      </c>
      <c r="E5216" s="29" t="n">
        <f aca="false">Sens!E5214-Sens!E5215</f>
        <v>2700</v>
      </c>
      <c r="F5216" s="29" t="n">
        <f aca="false">Sens!F5214-Sens!F5215</f>
        <v>5021.2</v>
      </c>
      <c r="G5216" s="29" t="n">
        <f aca="false">Sens!G5214-Sens!G5215</f>
        <v>7548.4</v>
      </c>
      <c r="H5216" s="29" t="n">
        <f aca="false">Sens!H5214-Sens!H5215</f>
        <v>10075.6</v>
      </c>
      <c r="I5216" s="29" t="n">
        <f aca="false">Sens!I5214-Sens!I5215</f>
        <v>11868.716</v>
      </c>
      <c r="J5216" s="29" t="n">
        <f aca="false">Sens!J5214-Sens!J5215</f>
        <v>12927.748</v>
      </c>
      <c r="K5216" s="29" t="n">
        <f aca="false">Sens!K5214-Sens!K5215</f>
        <v>13252.696</v>
      </c>
    </row>
    <row r="5217" customFormat="false" ht="17.15" hidden="false" customHeight="false" outlineLevel="0" collapsed="false">
      <c r="A5217" s="1" t="s">
        <v>805</v>
      </c>
      <c r="B5217" s="0" t="s">
        <v>392</v>
      </c>
      <c r="C5217" s="29" t="n">
        <f aca="false">Sens!C5216/ext_sh</f>
        <v>816.666666666667</v>
      </c>
      <c r="D5217" s="29" t="n">
        <f aca="false">Sens!D5216/ext_sh</f>
        <v>2050</v>
      </c>
      <c r="E5217" s="29" t="n">
        <f aca="false">Sens!E5216/ext_sh</f>
        <v>4500</v>
      </c>
      <c r="F5217" s="29" t="n">
        <f aca="false">Sens!F5216/ext_sh</f>
        <v>8368.66666666667</v>
      </c>
      <c r="G5217" s="29" t="n">
        <f aca="false">Sens!G5216/ext_sh</f>
        <v>12580.6666666667</v>
      </c>
      <c r="H5217" s="29" t="n">
        <f aca="false">Sens!H5216/ext_sh</f>
        <v>16792.6666666667</v>
      </c>
      <c r="I5217" s="29" t="n">
        <f aca="false">Sens!I5216/ext_sh</f>
        <v>19781.1933333333</v>
      </c>
      <c r="J5217" s="29" t="n">
        <f aca="false">Sens!J5216/ext_sh</f>
        <v>21546.2466666667</v>
      </c>
      <c r="K5217" s="29" t="n">
        <f aca="false">Sens!K5216/ext_sh</f>
        <v>22087.8266666667</v>
      </c>
      <c r="L5217" s="1" t="s">
        <v>806</v>
      </c>
    </row>
    <row r="5218" customFormat="false" ht="17.15" hidden="false" customHeight="false" outlineLevel="0" collapsed="false">
      <c r="A5218" s="1" t="s">
        <v>807</v>
      </c>
      <c r="B5218" s="0" t="s">
        <v>392</v>
      </c>
      <c r="C5218" s="29" t="n">
        <f aca="false">Sens!C5217-Sens!C5216</f>
        <v>326.666666666667</v>
      </c>
      <c r="D5218" s="29" t="n">
        <f aca="false">Sens!D5217-Sens!D5216</f>
        <v>820</v>
      </c>
      <c r="E5218" s="29" t="n">
        <f aca="false">Sens!E5217-Sens!E5216</f>
        <v>1800</v>
      </c>
      <c r="F5218" s="29" t="n">
        <f aca="false">Sens!F5217-Sens!F5216</f>
        <v>3347.46666666667</v>
      </c>
      <c r="G5218" s="29" t="n">
        <f aca="false">Sens!G5217-Sens!G5216</f>
        <v>5032.26666666667</v>
      </c>
      <c r="H5218" s="29" t="n">
        <f aca="false">Sens!H5217-Sens!H5216</f>
        <v>6717.06666666667</v>
      </c>
      <c r="I5218" s="29" t="n">
        <f aca="false">Sens!I5217-Sens!I5216</f>
        <v>7912.47733333333</v>
      </c>
      <c r="J5218" s="29" t="n">
        <f aca="false">Sens!J5217-Sens!J5216</f>
        <v>8618.49866666667</v>
      </c>
      <c r="K5218" s="29" t="n">
        <f aca="false">Sens!K5217-Sens!K5216</f>
        <v>8835.13066666667</v>
      </c>
    </row>
    <row r="5219" customFormat="false" ht="17.15" hidden="false" customHeight="false" outlineLevel="0" collapsed="false">
      <c r="A5219" s="1" t="s">
        <v>808</v>
      </c>
      <c r="B5219" s="0" t="s">
        <v>392</v>
      </c>
      <c r="C5219" s="29" t="n">
        <f aca="false">Sens!C5217</f>
        <v>816.666666666667</v>
      </c>
      <c r="D5219" s="29" t="n">
        <f aca="false">Sens!D5217-Sens!C5217</f>
        <v>1233.33333333333</v>
      </c>
      <c r="E5219" s="29" t="n">
        <f aca="false">Sens!E5217-Sens!D5217</f>
        <v>2450</v>
      </c>
      <c r="F5219" s="29" t="n">
        <f aca="false">Sens!F5217-Sens!E5217</f>
        <v>3868.66666666667</v>
      </c>
      <c r="G5219" s="29" t="n">
        <f aca="false">Sens!G5217-Sens!F5217</f>
        <v>4212</v>
      </c>
      <c r="H5219" s="29" t="n">
        <f aca="false">Sens!H5217-Sens!G5217</f>
        <v>4212</v>
      </c>
      <c r="I5219" s="29" t="n">
        <f aca="false">Sens!I5217-Sens!H5217</f>
        <v>2988.52666666667</v>
      </c>
      <c r="J5219" s="29" t="n">
        <f aca="false">Sens!J5217-Sens!I5217</f>
        <v>1765.05333333333</v>
      </c>
      <c r="K5219" s="29" t="n">
        <f aca="false">Sens!K5217-Sens!J5217</f>
        <v>541.580000000002</v>
      </c>
    </row>
    <row r="5220" customFormat="false" ht="17.15" hidden="false" customHeight="false" outlineLevel="0" collapsed="false">
      <c r="A5220" s="1" t="s">
        <v>809</v>
      </c>
      <c r="B5220" s="0" t="s">
        <v>392</v>
      </c>
      <c r="D5220" s="29" t="n">
        <f aca="false">Sens!D5214-Sens!C5214</f>
        <v>990</v>
      </c>
      <c r="E5220" s="29" t="n">
        <f aca="false">Sens!E5214-Sens!D5214</f>
        <v>1620</v>
      </c>
      <c r="F5220" s="29" t="n">
        <f aca="false">Sens!F5214-Sens!E5214</f>
        <v>2527.2</v>
      </c>
      <c r="G5220" s="29" t="n">
        <f aca="false">Sens!G5214-Sens!F5214</f>
        <v>2527.2</v>
      </c>
      <c r="H5220" s="29" t="n">
        <f aca="false">Sens!H5214-Sens!G5214</f>
        <v>2527.2</v>
      </c>
      <c r="I5220" s="29" t="n">
        <f aca="false">Sens!I5214-Sens!H5214</f>
        <v>1793.116</v>
      </c>
      <c r="J5220" s="29" t="n">
        <f aca="false">Sens!J5214-Sens!I5214</f>
        <v>1059.032</v>
      </c>
      <c r="K5220" s="29" t="n">
        <f aca="false">Sens!K5214-Sens!J5214</f>
        <v>324.948</v>
      </c>
    </row>
    <row r="5221" customFormat="false" ht="17.15" hidden="false" customHeight="false" outlineLevel="0" collapsed="false">
      <c r="A5221" s="1" t="s">
        <v>810</v>
      </c>
      <c r="B5221" s="0" t="s">
        <v>392</v>
      </c>
      <c r="F5221" s="29" t="n">
        <f aca="false">Sens!F5238*ext_sh</f>
        <v>0</v>
      </c>
      <c r="G5221" s="29" t="n">
        <f aca="false">Sens!G5238*ext_sh</f>
        <v>0</v>
      </c>
      <c r="H5221" s="29" t="n">
        <f aca="false">Sens!H5238*ext_sh</f>
        <v>0</v>
      </c>
      <c r="I5221" s="29" t="n">
        <f aca="false">Sens!I5238*ext_sh</f>
        <v>490</v>
      </c>
      <c r="J5221" s="29" t="n">
        <f aca="false">Sens!J5238*ext_sh</f>
        <v>740</v>
      </c>
      <c r="K5221" s="29" t="n">
        <f aca="false">Sens!K5238*ext_sh</f>
        <v>1470</v>
      </c>
      <c r="L5221" s="1" t="s">
        <v>811</v>
      </c>
    </row>
    <row r="5222" customFormat="false" ht="17.15" hidden="false" customHeight="false" outlineLevel="0" collapsed="false">
      <c r="A5222" s="1" t="s">
        <v>812</v>
      </c>
      <c r="B5222" s="0" t="s">
        <v>392</v>
      </c>
      <c r="C5222" s="29" t="n">
        <f aca="false">mix_h*Sens!C5214</f>
        <v>128</v>
      </c>
      <c r="D5222" s="29" t="n">
        <f aca="false">mix_h*Sens!D5214</f>
        <v>326</v>
      </c>
      <c r="E5222" s="29" t="n">
        <f aca="false">mix_h*Sens!E5214</f>
        <v>650</v>
      </c>
      <c r="F5222" s="29" t="n">
        <f aca="false">Sens!E5222-Sens!F5221*mix_h</f>
        <v>650</v>
      </c>
      <c r="G5222" s="29" t="n">
        <f aca="false">Sens!F5222-Sens!G5221*mix_h</f>
        <v>650</v>
      </c>
      <c r="H5222" s="29" t="n">
        <f aca="false">Sens!G5222-Sens!H5221*mix_h</f>
        <v>650</v>
      </c>
      <c r="I5222" s="29" t="n">
        <f aca="false">Sens!H5222-Sens!I5221*mix_h</f>
        <v>552</v>
      </c>
      <c r="J5222" s="29" t="n">
        <f aca="false">Sens!I5222-Sens!J5221*mix_h</f>
        <v>404</v>
      </c>
      <c r="K5222" s="29" t="n">
        <f aca="false">Sens!J5222-Sens!K5221*mix_h</f>
        <v>110</v>
      </c>
    </row>
    <row r="5223" customFormat="false" ht="17.15" hidden="false" customHeight="false" outlineLevel="0" collapsed="false">
      <c r="A5223" s="1" t="s">
        <v>813</v>
      </c>
      <c r="B5223" s="0" t="s">
        <v>392</v>
      </c>
      <c r="C5223" s="29" t="n">
        <f aca="false">mix_g2*Sens!C5214</f>
        <v>288</v>
      </c>
      <c r="D5223" s="29" t="n">
        <f aca="false">mix_g2*Sens!D5214</f>
        <v>733.5</v>
      </c>
      <c r="E5223" s="29" t="n">
        <f aca="false">mix_g2*Sens!E5214</f>
        <v>1462.5</v>
      </c>
      <c r="F5223" s="29" t="n">
        <f aca="false">Sens!E5223-Sens!F5221*mix_g2</f>
        <v>1462.5</v>
      </c>
      <c r="G5223" s="29" t="n">
        <f aca="false">Sens!F5223-Sens!G5221*mix_g2</f>
        <v>1462.5</v>
      </c>
      <c r="H5223" s="29" t="n">
        <f aca="false">Sens!G5223-Sens!H5221*mix_g2</f>
        <v>1462.5</v>
      </c>
      <c r="I5223" s="29" t="n">
        <f aca="false">Sens!H5223-Sens!I5221*mix_g2</f>
        <v>1242</v>
      </c>
      <c r="J5223" s="29" t="n">
        <f aca="false">Sens!I5223-Sens!J5221*mix_g2</f>
        <v>909</v>
      </c>
      <c r="K5223" s="29" t="n">
        <f aca="false">Sens!J5223-Sens!K5221*mix_g2</f>
        <v>247.5</v>
      </c>
    </row>
    <row r="5224" customFormat="false" ht="17.15" hidden="false" customHeight="false" outlineLevel="0" collapsed="false">
      <c r="A5224" s="1" t="s">
        <v>814</v>
      </c>
      <c r="B5224" s="0" t="s">
        <v>392</v>
      </c>
      <c r="C5224" s="29" t="n">
        <f aca="false">mix_g3*Sens!C5214</f>
        <v>224</v>
      </c>
      <c r="D5224" s="29" t="n">
        <f aca="false">mix_g3*Sens!D5214</f>
        <v>570.5</v>
      </c>
      <c r="E5224" s="29" t="n">
        <f aca="false">mix_g3*Sens!E5214</f>
        <v>1137.5</v>
      </c>
      <c r="F5224" s="29" t="n">
        <f aca="false">Sens!E5224+(Sens!F5220+Sens!F5221)*a_g3_27-Sens!F5221*mix_g3</f>
        <v>2906.54</v>
      </c>
      <c r="G5224" s="29" t="n">
        <f aca="false">Sens!F5224+(Sens!G5220+Sens!G5221)*a_g3_28-Sens!G5221*mix_g3</f>
        <v>3664.7</v>
      </c>
      <c r="H5224" s="29" t="n">
        <f aca="false">Sens!G5224+(Sens!H5220+Sens!H5221)*a_g3_29-Sens!H5221*mix_g3</f>
        <v>3917.42</v>
      </c>
      <c r="I5224" s="29" t="n">
        <f aca="false">Sens!H5224+(Sens!I5220+Sens!I5221)*a_g3_29-Sens!I5221*mix_g3</f>
        <v>3974.2316</v>
      </c>
      <c r="J5224" s="29" t="n">
        <f aca="false">Sens!I5224+(Sens!J5220+Sens!J5221)*a_g3_29-Sens!J5221*mix_g3</f>
        <v>3895.1348</v>
      </c>
      <c r="K5224" s="29" t="n">
        <f aca="false">Sens!J5224+(Sens!K5220+Sens!K5221)*a_g3_29-Sens!K5221*mix_g3</f>
        <v>3560.1296</v>
      </c>
    </row>
    <row r="5225" customFormat="false" ht="17.15" hidden="false" customHeight="false" outlineLevel="0" collapsed="false">
      <c r="A5225" s="1" t="s">
        <v>815</v>
      </c>
      <c r="B5225" s="0" t="s">
        <v>392</v>
      </c>
      <c r="C5225" s="29" t="n">
        <v>0</v>
      </c>
      <c r="D5225" s="29" t="n">
        <v>0</v>
      </c>
      <c r="E5225" s="29" t="n">
        <v>0</v>
      </c>
      <c r="F5225" s="29" t="n">
        <f aca="false">Sens!E5225+(Sens!F5220+Sens!F5221)*(1-a_g3_27)</f>
        <v>758.16</v>
      </c>
      <c r="G5225" s="29" t="n">
        <f aca="false">Sens!F5225+(Sens!G5220+Sens!G5221)*(1-a_g3_28)</f>
        <v>2527.2</v>
      </c>
      <c r="H5225" s="29" t="n">
        <f aca="false">Sens!G5225+(Sens!H5220+Sens!H5221)*(1-a_g3_29)</f>
        <v>4801.68</v>
      </c>
      <c r="I5225" s="29" t="n">
        <f aca="false">Sens!H5225+(Sens!I5220+Sens!I5221)*(1-a_g3_29)</f>
        <v>6856.4844</v>
      </c>
      <c r="J5225" s="29" t="n">
        <f aca="false">Sens!I5225+(Sens!J5220+Sens!J5221)*(1-a_g3_29)</f>
        <v>8475.6132</v>
      </c>
      <c r="K5225" s="29" t="n">
        <f aca="false">Sens!J5225+(Sens!K5220+Sens!K5221)*(1-a_g3_29)</f>
        <v>10091.0664</v>
      </c>
    </row>
    <row r="5226" customFormat="false" ht="17.15" hidden="false" customHeight="false" outlineLevel="0" collapsed="false">
      <c r="A5226" s="1" t="s">
        <v>816</v>
      </c>
      <c r="B5226" s="0" t="s">
        <v>339</v>
      </c>
      <c r="C5226" s="14" t="n">
        <f aca="false">(Sens!C5222*tk_hold_h100+Sens!C5223*tk_hold_gb200+Sens!C5224*tk_hold_gb300+Sens!C5225*tk_hold_vr200)/Sens!C5214</f>
        <v>9.7235358126469</v>
      </c>
      <c r="D5226" s="14" t="n">
        <f aca="false">(Sens!D5222*tk_hold_h100+Sens!D5223*tk_hold_gb200+Sens!D5224*tk_hold_gb300+Sens!D5225*tk_hold_vr200)/Sens!D5214</f>
        <v>9.7235358126469</v>
      </c>
      <c r="E5226" s="14" t="n">
        <f aca="false">(Sens!E5222*tk_hold_h100+Sens!E5223*tk_hold_gb200+Sens!E5224*tk_hold_gb300+Sens!E5225*tk_hold_vr200)/Sens!E5214</f>
        <v>9.7235358126469</v>
      </c>
      <c r="F5226" s="14" t="n">
        <f aca="false">(Sens!F5222*tk_hold_h100+Sens!F5223*tk_hold_gb200+Sens!F5224*tk_hold_gb300+Sens!F5225*tk_hold_vr200)/Sens!F5214</f>
        <v>10.4079573161931</v>
      </c>
      <c r="G5226" s="14" t="n">
        <f aca="false">(Sens!G5222*tk_hold_h100+Sens!G5223*tk_hold_gb200+Sens!G5224*tk_hold_gb300+Sens!G5225*tk_hold_vr200)/Sens!G5214</f>
        <v>10.8388131109316</v>
      </c>
      <c r="H5226" s="14" t="n">
        <f aca="false">(Sens!H5222*tk_hold_h100+Sens!H5223*tk_hold_gb200+Sens!H5224*tk_hold_gb300+Sens!H5225*tk_hold_vr200)/Sens!H5214</f>
        <v>11.1311018388216</v>
      </c>
      <c r="I5226" s="14" t="n">
        <f aca="false">(Sens!I5222*tk_hold_h100+Sens!I5223*tk_hold_gb200+Sens!I5224*tk_hold_gb300+Sens!I5225*tk_hold_vr200)/Sens!I5214</f>
        <v>11.3594282560989</v>
      </c>
      <c r="J5226" s="14" t="n">
        <f aca="false">(Sens!J5222*tk_hold_h100+Sens!J5223*tk_hold_gb200+Sens!J5224*tk_hold_gb300+Sens!J5225*tk_hold_vr200)/Sens!J5214</f>
        <v>11.5441508808221</v>
      </c>
      <c r="K5226" s="14" t="n">
        <f aca="false">(Sens!K5222*tk_hold_h100+Sens!K5223*tk_hold_gb200+Sens!K5224*tk_hold_gb300+Sens!K5225*tk_hold_vr200)/Sens!K5214</f>
        <v>11.8053375063575</v>
      </c>
    </row>
    <row r="5227" customFormat="false" ht="17.15" hidden="false" customHeight="false" outlineLevel="0" collapsed="false">
      <c r="A5227" s="0" t="s">
        <v>817</v>
      </c>
      <c r="B5227" s="0" t="s">
        <v>185</v>
      </c>
      <c r="C5227" s="14" t="n">
        <f aca="false">k_B</f>
        <v>1.17213932619116</v>
      </c>
      <c r="D5227" s="14" t="n">
        <f aca="false">k_B</f>
        <v>1.17213932619116</v>
      </c>
      <c r="E5227" s="14" t="n">
        <f aca="false">k_B</f>
        <v>1.17213932619116</v>
      </c>
      <c r="F5227" s="14" t="n">
        <f aca="false">(k_B+((ls_A*k_long+(1-ls_A)*k_spot)-k_B)*MIN(1,(Sens!F5212-base_fy)/k_ramp))</f>
        <v>1.25022828131298</v>
      </c>
      <c r="G5227" s="14" t="n">
        <f aca="false">(k_B+((ls_A*k_long+(1-ls_A)*k_spot)-k_B)*MIN(1,(Sens!G5212-base_fy)/k_ramp))</f>
        <v>1.3283172364348</v>
      </c>
      <c r="H5227" s="14" t="n">
        <f aca="false">(k_B+((ls_A*k_long+(1-ls_A)*k_spot)-k_B)*MIN(1,(Sens!H5212-base_fy)/k_ramp))</f>
        <v>1.40640619155662</v>
      </c>
      <c r="I5227" s="14" t="n">
        <f aca="false">(k_B+((ls_A*k_long+(1-ls_A)*k_spot)-k_B)*MIN(1,(Sens!I5212-base_fy)/k_ramp))</f>
        <v>1.40640619155662</v>
      </c>
      <c r="J5227" s="14" t="n">
        <f aca="false">(k_B+((ls_A*k_long+(1-ls_A)*k_spot)-k_B)*MIN(1,(Sens!J5212-base_fy)/k_ramp))</f>
        <v>1.40640619155662</v>
      </c>
      <c r="K5227" s="14" t="n">
        <f aca="false">(k_B+((ls_A*k_long+(1-ls_A)*k_spot)-k_B)*MIN(1,(Sens!K5212-base_fy)/k_ramp))</f>
        <v>1.40640619155662</v>
      </c>
      <c r="L5227" s="1" t="s">
        <v>818</v>
      </c>
    </row>
    <row r="5228" customFormat="false" ht="17.15" hidden="false" customHeight="false" outlineLevel="0" collapsed="false">
      <c r="A5228" s="1" t="s">
        <v>819</v>
      </c>
      <c r="B5228" s="0" t="s">
        <v>339</v>
      </c>
      <c r="C5228" s="14" t="n">
        <f aca="false">Sens!C5226*Sens!C5227*chip_f</f>
        <v>11.3973387156315</v>
      </c>
      <c r="D5228" s="14" t="n">
        <f aca="false">Sens!D5226*Sens!D5227*chip_f</f>
        <v>11.3973387156315</v>
      </c>
      <c r="E5228" s="14" t="n">
        <f aca="false">Sens!E5226*Sens!E5227*chip_f</f>
        <v>11.3973387156315</v>
      </c>
      <c r="F5228" s="14" t="n">
        <f aca="false">Sens!F5226*Sens!F5227*chip_f</f>
        <v>13.0123225874029</v>
      </c>
      <c r="G5228" s="14" t="n">
        <f aca="false">Sens!G5226*Sens!G5227*chip_f</f>
        <v>14.3973822777458</v>
      </c>
      <c r="H5228" s="14" t="n">
        <f aca="false">Sens!H5226*Sens!H5227*chip_f</f>
        <v>15.6548505449659</v>
      </c>
      <c r="I5228" s="14" t="n">
        <f aca="false">Sens!I5226*Sens!I5227*chip_f</f>
        <v>15.9759702319207</v>
      </c>
      <c r="J5228" s="14" t="n">
        <f aca="false">Sens!J5226*Sens!J5227*chip_f</f>
        <v>16.2357652750519</v>
      </c>
      <c r="K5228" s="14" t="n">
        <f aca="false">Sens!K5226*Sens!K5227*chip_f</f>
        <v>16.6030997623568</v>
      </c>
      <c r="L5228" s="1" t="s">
        <v>820</v>
      </c>
    </row>
    <row r="5229" customFormat="false" ht="17.15" hidden="false" customHeight="false" outlineLevel="0" collapsed="false">
      <c r="A5229" s="0" t="s">
        <v>821</v>
      </c>
      <c r="B5229" s="0" t="s">
        <v>98</v>
      </c>
      <c r="D5229" s="6" t="n">
        <f aca="false">(Sens!C5214+Sens!D5214)/2*Sens!D5228/1000</f>
        <v>12.9359794422418</v>
      </c>
      <c r="E5229" s="6" t="n">
        <f aca="false">(Sens!D5214+Sens!E5214)/2*Sens!E5228/1000</f>
        <v>27.8095064661409</v>
      </c>
      <c r="F5229" s="6" t="n">
        <f aca="false">(Sens!E5214+Sens!F5214)/2*Sens!F5228/1000</f>
        <v>58.7324192305018</v>
      </c>
      <c r="G5229" s="6" t="n">
        <f aca="false">(Sens!F5214+Sens!G5214)/2*Sens!G5228/1000</f>
        <v>101.369089141153</v>
      </c>
      <c r="H5229" s="6" t="n">
        <f aca="false">(Sens!G5214+Sens!H5214)/2*Sens!H5228/1000</f>
        <v>149.785610014234</v>
      </c>
      <c r="I5229" s="6" t="n">
        <f aca="false">(Sens!H5214+Sens!I5214)/2*Sens!I5228/1000</f>
        <v>187.368703083263</v>
      </c>
      <c r="J5229" s="6" t="n">
        <f aca="false">(Sens!I5214+Sens!J5214)/2*Sens!J5228/1000</f>
        <v>213.569023125577</v>
      </c>
      <c r="K5229" s="6" t="n">
        <f aca="false">(Sens!J5214+Sens!K5214)/2*Sens!K5228/1000</f>
        <v>229.890205197739</v>
      </c>
      <c r="L5229" s="11" t="s">
        <v>822</v>
      </c>
    </row>
    <row r="5230" customFormat="false" ht="17.15" hidden="false" customHeight="false" outlineLevel="0" collapsed="false">
      <c r="A5230" s="1" t="s">
        <v>823</v>
      </c>
      <c r="B5230" s="0" t="s">
        <v>339</v>
      </c>
      <c r="C5230" s="14" t="n">
        <f aca="false">(Sens!C5222*tk_opex_h100+Sens!C5223*tk_opex_gb200+Sens!C5224*tk_opex_gb300+Sens!C5225*tk_opex_vr200)/Sens!C5214</f>
        <v>1.88636041306092</v>
      </c>
      <c r="D5230" s="14" t="n">
        <f aca="false">(Sens!D5222*tk_opex_h100+Sens!D5223*tk_opex_gb200+Sens!D5224*tk_opex_gb300+Sens!D5225*tk_opex_vr200)/Sens!D5214</f>
        <v>1.88636041306092</v>
      </c>
      <c r="E5230" s="14" t="n">
        <f aca="false">(Sens!E5222*tk_opex_h100+Sens!E5223*tk_opex_gb200+Sens!E5224*tk_opex_gb300+Sens!E5225*tk_opex_vr200)/Sens!E5214</f>
        <v>1.88636041306092</v>
      </c>
      <c r="F5230" s="14" t="n">
        <f aca="false">(Sens!F5222*tk_opex_h100+Sens!F5223*tk_opex_gb200+Sens!F5224*tk_opex_gb300+Sens!F5225*tk_opex_vr200)/Sens!F5214</f>
        <v>1.9430236476499</v>
      </c>
      <c r="G5230" s="14" t="n">
        <f aca="false">(Sens!G5222*tk_opex_h100+Sens!G5223*tk_opex_gb200+Sens!G5224*tk_opex_gb300+Sens!G5225*tk_opex_vr200)/Sens!G5214</f>
        <v>1.9786941852423</v>
      </c>
      <c r="H5230" s="14" t="n">
        <f aca="false">(Sens!H5222*tk_opex_h100+Sens!H5223*tk_opex_gb200+Sens!H5224*tk_opex_gb300+Sens!H5225*tk_opex_vr200)/Sens!H5214</f>
        <v>2.00289275976156</v>
      </c>
      <c r="I5230" s="14" t="n">
        <f aca="false">(Sens!I5222*tk_opex_h100+Sens!I5223*tk_opex_gb200+Sens!I5224*tk_opex_gb300+Sens!I5225*tk_opex_vr200)/Sens!I5214</f>
        <v>2.02179589661219</v>
      </c>
      <c r="J5230" s="14" t="n">
        <f aca="false">(Sens!J5222*tk_opex_h100+Sens!J5223*tk_opex_gb200+Sens!J5224*tk_opex_gb300+Sens!J5225*tk_opex_vr200)/Sens!J5214</f>
        <v>2.03708907685909</v>
      </c>
      <c r="K5230" s="14" t="n">
        <f aca="false">(Sens!K5222*tk_opex_h100+Sens!K5223*tk_opex_gb200+Sens!K5224*tk_opex_gb300+Sens!K5225*tk_opex_vr200)/Sens!K5214</f>
        <v>2.05871270931005</v>
      </c>
    </row>
    <row r="5231" customFormat="false" ht="17.15" hidden="false" customHeight="false" outlineLevel="0" collapsed="false">
      <c r="A5231" s="0" t="s">
        <v>824</v>
      </c>
      <c r="B5231" s="0" t="s">
        <v>98</v>
      </c>
      <c r="D5231" s="6" t="n">
        <f aca="false">(Sens!C5217+Sens!D5217)/2*Sens!D5230/1000</f>
        <v>2.70378325872065</v>
      </c>
      <c r="E5231" s="6" t="n">
        <f aca="false">(Sens!D5217+Sens!E5217)/2*Sens!E5230/1000</f>
        <v>6.17783035277451</v>
      </c>
      <c r="F5231" s="6" t="n">
        <f aca="false">(Sens!E5217+Sens!F5217)/2*Sens!F5230/1000</f>
        <v>12.5020618235287</v>
      </c>
      <c r="G5231" s="6" t="n">
        <f aca="false">(Sens!F5217+Sens!G5217)/2*Sens!G5230/1000</f>
        <v>20.7261620256847</v>
      </c>
      <c r="H5231" s="6" t="n">
        <f aca="false">(Sens!G5217+Sens!H5217)/2*Sens!H5230/1000</f>
        <v>29.4158183316982</v>
      </c>
      <c r="I5231" s="6" t="n">
        <f aca="false">(Sens!H5217+Sens!I5217)/2*Sens!I5230/1000</f>
        <v>36.9724400356344</v>
      </c>
      <c r="J5231" s="6" t="n">
        <f aca="false">(Sens!I5217+Sens!J5217)/2*Sens!J5230/1000</f>
        <v>42.0938382992747</v>
      </c>
      <c r="K5231" s="6" t="n">
        <f aca="false">(Sens!J5217+Sens!K5217)/2*Sens!K5230/1000</f>
        <v>44.9150106651501</v>
      </c>
    </row>
    <row r="5232" customFormat="false" ht="17.15" hidden="false" customHeight="false" outlineLevel="0" collapsed="false">
      <c r="A5232" s="0" t="s">
        <v>825</v>
      </c>
      <c r="B5232" s="0" t="s">
        <v>98</v>
      </c>
      <c r="D5232" s="6" t="n">
        <f aca="false">(Sens!C5215+Sens!D5215)/2*rent_mw/1000</f>
        <v>2.44475</v>
      </c>
      <c r="E5232" s="6" t="n">
        <f aca="false">(Sens!D5215+Sens!E5215)/2*rent_mw/1000</f>
        <v>4.22275</v>
      </c>
      <c r="F5232" s="6" t="n">
        <f aca="false">(Sens!E5215+Sens!F5215)/2*rent_mw/1000</f>
        <v>5.80517</v>
      </c>
      <c r="G5232" s="6" t="n">
        <f aca="false">(Sens!F5215+Sens!G5215)/2*rent_mw/1000</f>
        <v>6.72084</v>
      </c>
      <c r="H5232" s="6" t="n">
        <f aca="false">(Sens!G5215+Sens!H5215)/2*rent_mw/1000</f>
        <v>6.72084</v>
      </c>
      <c r="I5232" s="6" t="n">
        <f aca="false">(Sens!H5215+Sens!I5215)/2*rent_mw/1000</f>
        <v>6.72084</v>
      </c>
      <c r="J5232" s="6" t="n">
        <f aca="false">(Sens!I5215+Sens!J5215)/2*rent_mw/1000</f>
        <v>6.72084</v>
      </c>
      <c r="K5232" s="6" t="n">
        <f aca="false">(Sens!J5215+Sens!K5215)/2*rent_mw/1000</f>
        <v>6.72084</v>
      </c>
    </row>
    <row r="5233" customFormat="false" ht="17.15" hidden="false" customHeight="false" outlineLevel="0" collapsed="false">
      <c r="A5233" s="0" t="s">
        <v>826</v>
      </c>
      <c r="B5233" s="0" t="s">
        <v>98</v>
      </c>
      <c r="D5233" s="6" t="n">
        <f aca="false">(Sens!C5217+Sens!D5217)/2*(1-self_build)*fac_rent/1000</f>
        <v>0.853242375631075</v>
      </c>
      <c r="E5233" s="6" t="n">
        <f aca="false">(Sens!D5217+Sens!E5217)/2*(1-self_build)*fac_rent/1000</f>
        <v>1.94955961408728</v>
      </c>
      <c r="F5233" s="6" t="n">
        <f aca="false">(Sens!E5217+Sens!F5217)/2*(1-self_build)*fac_rent/1000</f>
        <v>3.83026455274573</v>
      </c>
      <c r="G5233" s="6" t="n">
        <f aca="false">(Sens!F5217+Sens!G5217)/2*(1-self_build)*fac_rent/1000</f>
        <v>6.23541590972812</v>
      </c>
      <c r="H5233" s="6" t="n">
        <f aca="false">(Sens!G5217+Sens!H5217)/2*(1-self_build)*fac_rent/1000</f>
        <v>8.74275792332679</v>
      </c>
      <c r="I5233" s="6" t="n">
        <f aca="false">(Sens!H5217+Sens!I5217)/2*(1-self_build)*fac_rent/1000</f>
        <v>10.8859420438599</v>
      </c>
      <c r="J5233" s="6" t="n">
        <f aca="false">(Sens!I5217+Sens!J5217)/2*(1-self_build)*fac_rent/1000</f>
        <v>12.3008103782619</v>
      </c>
      <c r="K5233" s="6" t="n">
        <f aca="false">(Sens!J5217+Sens!K5217)/2*(1-self_build)*fac_rent/1000</f>
        <v>12.9873629265328</v>
      </c>
      <c r="L5233" s="11" t="s">
        <v>827</v>
      </c>
    </row>
    <row r="5234" customFormat="false" ht="17.15" hidden="false" customHeight="false" outlineLevel="0" collapsed="false">
      <c r="A5234" s="1" t="s">
        <v>828</v>
      </c>
      <c r="B5234" s="0" t="s">
        <v>129</v>
      </c>
      <c r="D5234" s="7" t="n">
        <f aca="false">(Sens!C5216+Sens!D5216)/(Sens!C5217+Sens!D5217)</f>
        <v>0.6</v>
      </c>
      <c r="E5234" s="7" t="n">
        <f aca="false">(Sens!D5216+Sens!E5216)/(Sens!D5217+Sens!E5217)</f>
        <v>0.6</v>
      </c>
      <c r="F5234" s="7" t="n">
        <f aca="false">(Sens!E5216+Sens!F5216)/(Sens!E5217+Sens!F5217)</f>
        <v>0.6</v>
      </c>
      <c r="G5234" s="7" t="n">
        <f aca="false">(Sens!F5216+Sens!G5216)/(Sens!F5217+Sens!G5217)</f>
        <v>0.6</v>
      </c>
      <c r="H5234" s="7" t="n">
        <f aca="false">(Sens!G5216+Sens!H5216)/(Sens!G5217+Sens!H5217)</f>
        <v>0.6</v>
      </c>
      <c r="I5234" s="7" t="n">
        <f aca="false">(Sens!H5216+Sens!I5216)/(Sens!H5217+Sens!I5217)</f>
        <v>0.6</v>
      </c>
      <c r="J5234" s="7" t="n">
        <f aca="false">(Sens!I5216+Sens!J5216)/(Sens!I5217+Sens!J5217)</f>
        <v>0.6</v>
      </c>
      <c r="K5234" s="7" t="n">
        <f aca="false">(Sens!J5216+Sens!K5216)/(Sens!J5217+Sens!K5217)</f>
        <v>0.6</v>
      </c>
    </row>
    <row r="5235" customFormat="false" ht="17.15" hidden="false" customHeight="false" outlineLevel="0" collapsed="false">
      <c r="A5235" s="0" t="s">
        <v>829</v>
      </c>
      <c r="B5235" s="0" t="s">
        <v>98</v>
      </c>
      <c r="D5235" s="6" t="n">
        <f aca="false">Sens!D5229-Sens!D5234*(Sens!D5231+Sens!D5233)-Sens!D5232</f>
        <v>8.35701406163072</v>
      </c>
      <c r="E5235" s="6" t="n">
        <f aca="false">Sens!E5229-Sens!E5234*(Sens!E5231+Sens!E5233)-Sens!E5232</f>
        <v>18.7103224860238</v>
      </c>
      <c r="F5235" s="6" t="n">
        <f aca="false">Sens!F5229-Sens!F5234*(Sens!F5231+Sens!F5233)-Sens!F5232</f>
        <v>43.1278534047371</v>
      </c>
      <c r="G5235" s="6" t="n">
        <f aca="false">Sens!G5229-Sens!G5234*(Sens!G5231+Sens!G5233)-Sens!G5232</f>
        <v>78.4713023799053</v>
      </c>
      <c r="H5235" s="6" t="n">
        <f aca="false">Sens!H5229-Sens!H5234*(Sens!H5231+Sens!H5233)-Sens!H5232</f>
        <v>120.169624261219</v>
      </c>
      <c r="I5235" s="6" t="n">
        <f aca="false">Sens!I5229-Sens!I5234*(Sens!I5231+Sens!I5233)-Sens!I5232</f>
        <v>151.932833835566</v>
      </c>
      <c r="J5235" s="6" t="n">
        <f aca="false">Sens!J5229-Sens!J5234*(Sens!J5231+Sens!J5233)-Sens!J5232</f>
        <v>174.211393919055</v>
      </c>
      <c r="K5235" s="6" t="n">
        <f aca="false">Sens!K5229-Sens!K5234*(Sens!K5231+Sens!K5233)-Sens!K5232</f>
        <v>188.427941042729</v>
      </c>
    </row>
    <row r="5236" customFormat="false" ht="17.15" hidden="false" customHeight="false" outlineLevel="0" collapsed="false">
      <c r="A5236" s="1" t="s">
        <v>830</v>
      </c>
      <c r="B5236" s="0" t="s">
        <v>98</v>
      </c>
      <c r="D5236" s="6" t="n">
        <f aca="false">(1-Sens!D5234)*(Sens!D5231+Sens!D5233)</f>
        <v>1.42281025374069</v>
      </c>
      <c r="E5236" s="6" t="n">
        <f aca="false">(1-Sens!E5234)*(Sens!E5231+Sens!E5233)</f>
        <v>3.25095598674472</v>
      </c>
      <c r="F5236" s="6" t="n">
        <f aca="false">(1-Sens!F5234)*(Sens!F5231+Sens!F5233)</f>
        <v>6.53293055050977</v>
      </c>
      <c r="G5236" s="6" t="n">
        <f aca="false">(1-Sens!G5234)*(Sens!G5231+Sens!G5233)</f>
        <v>10.7846311741651</v>
      </c>
      <c r="H5236" s="6" t="n">
        <f aca="false">(1-Sens!H5234)*(Sens!H5231+Sens!H5233)</f>
        <v>15.26343050201</v>
      </c>
      <c r="I5236" s="6" t="n">
        <f aca="false">(1-Sens!I5234)*(Sens!I5231+Sens!I5233)</f>
        <v>19.1433528317977</v>
      </c>
      <c r="J5236" s="6" t="n">
        <f aca="false">(1-Sens!J5234)*(Sens!J5231+Sens!J5233)</f>
        <v>21.7578594710146</v>
      </c>
      <c r="K5236" s="6" t="n">
        <f aca="false">(1-Sens!K5234)*(Sens!K5231+Sens!K5233)</f>
        <v>23.1609494366731</v>
      </c>
    </row>
    <row r="5237" customFormat="false" ht="17.15" hidden="false" customHeight="false" outlineLevel="0" collapsed="false">
      <c r="A5237" s="1" t="s">
        <v>831</v>
      </c>
      <c r="B5237" s="0" t="s">
        <v>350</v>
      </c>
      <c r="C5237" s="8" t="n">
        <f aca="false">cxit_open</f>
        <v>27.5918995</v>
      </c>
      <c r="D5237" s="8" t="n">
        <f aca="false">cxit_open</f>
        <v>27.5918995</v>
      </c>
      <c r="E5237" s="8" t="n">
        <f aca="false">cxit_open</f>
        <v>27.5918995</v>
      </c>
      <c r="F5237" s="8" t="n">
        <f aca="false">(a_g3_27*tk_cxit_gb300+(1-a_g3_27)*tk_cxit_vr200)</f>
        <v>33.8419624</v>
      </c>
      <c r="G5237" s="8" t="n">
        <f aca="false">(a_g3_28*tk_cxit_gb300+(1-a_g3_28)*tk_cxit_vr200)</f>
        <v>35.9816136</v>
      </c>
      <c r="H5237" s="8" t="n">
        <f aca="false">(a_g3_29*tk_cxit_gb300+(1-a_g3_29)*tk_cxit_vr200)</f>
        <v>37.0514392</v>
      </c>
      <c r="I5237" s="8" t="n">
        <f aca="false">(a_g3_29*tk_cxit_gb300+(1-a_g3_29)*tk_cxit_vr200)</f>
        <v>37.0514392</v>
      </c>
      <c r="J5237" s="8" t="n">
        <f aca="false">(a_g3_29*tk_cxit_gb300+(1-a_g3_29)*tk_cxit_vr200)</f>
        <v>37.0514392</v>
      </c>
      <c r="K5237" s="8" t="n">
        <f aca="false">(a_g3_29*tk_cxit_gb300+(1-a_g3_29)*tk_cxit_vr200)</f>
        <v>37.0514392</v>
      </c>
      <c r="L5237" s="11" t="s">
        <v>832</v>
      </c>
    </row>
    <row r="5238" customFormat="false" ht="17.15" hidden="false" customHeight="false" outlineLevel="0" collapsed="false">
      <c r="A5238" s="0" t="s">
        <v>833</v>
      </c>
      <c r="B5238" s="0" t="s">
        <v>392</v>
      </c>
      <c r="F5238" s="29" t="n">
        <f aca="false">Sens!C5219*IF(Sens!F5212-Sens!C5212=life_it,1,0)+Sens!D5219*IF(Sens!F5212-Sens!D5212=life_it,1,0)+Sens!E5219*IF(Sens!F5212-Sens!E5212=life_it,1,0)</f>
        <v>0</v>
      </c>
      <c r="G5238" s="29" t="n">
        <f aca="false">Sens!C5219*IF(Sens!G5212-Sens!C5212=life_it,1,0)+Sens!D5219*IF(Sens!G5212-Sens!D5212=life_it,1,0)+Sens!E5219*IF(Sens!G5212-Sens!E5212=life_it,1,0)+Sens!F5219*IF(Sens!G5212-Sens!F5212=life_it,1,0)</f>
        <v>0</v>
      </c>
      <c r="H5238" s="29" t="n">
        <f aca="false">Sens!C5219*IF(Sens!H5212-Sens!C5212=life_it,1,0)+Sens!D5219*IF(Sens!H5212-Sens!D5212=life_it,1,0)+Sens!E5219*IF(Sens!H5212-Sens!E5212=life_it,1,0)+Sens!F5219*IF(Sens!H5212-Sens!F5212=life_it,1,0)+Sens!G5219*IF(Sens!H5212-Sens!G5212=life_it,1,0)</f>
        <v>0</v>
      </c>
      <c r="I5238" s="29" t="n">
        <f aca="false">Sens!C5219*IF(Sens!I5212-Sens!C5212=life_it,1,0)+Sens!D5219*IF(Sens!I5212-Sens!D5212=life_it,1,0)+Sens!E5219*IF(Sens!I5212-Sens!E5212=life_it,1,0)+Sens!F5219*IF(Sens!I5212-Sens!F5212=life_it,1,0)+Sens!G5219*IF(Sens!I5212-Sens!G5212=life_it,1,0)+Sens!H5219*IF(Sens!I5212-Sens!H5212=life_it,1,0)</f>
        <v>816.666666666667</v>
      </c>
      <c r="J5238" s="29" t="n">
        <f aca="false">Sens!C5219*IF(Sens!J5212-Sens!C5212=life_it,1,0)+Sens!D5219*IF(Sens!J5212-Sens!D5212=life_it,1,0)+Sens!E5219*IF(Sens!J5212-Sens!E5212=life_it,1,0)+Sens!F5219*IF(Sens!J5212-Sens!F5212=life_it,1,0)+Sens!G5219*IF(Sens!J5212-Sens!G5212=life_it,1,0)+Sens!H5219*IF(Sens!J5212-Sens!H5212=life_it,1,0)+Sens!I5219*IF(Sens!J5212-Sens!I5212=life_it,1,0)</f>
        <v>1233.33333333333</v>
      </c>
      <c r="K5238" s="29" t="n">
        <f aca="false">Sens!C5219*IF(Sens!K5212-Sens!C5212=life_it,1,0)+Sens!D5219*IF(Sens!K5212-Sens!D5212=life_it,1,0)+Sens!E5219*IF(Sens!K5212-Sens!E5212=life_it,1,0)+Sens!F5219*IF(Sens!K5212-Sens!F5212=life_it,1,0)+Sens!G5219*IF(Sens!K5212-Sens!G5212=life_it,1,0)+Sens!H5219*IF(Sens!K5212-Sens!H5212=life_it,1,0)+Sens!I5219*IF(Sens!K5212-Sens!I5212=life_it,1,0)+Sens!J5219*IF(Sens!K5212-Sens!J5212=life_it,1,0)</f>
        <v>2450</v>
      </c>
      <c r="L5238" s="1" t="s">
        <v>834</v>
      </c>
    </row>
    <row r="5239" customFormat="false" ht="17.15" hidden="false" customHeight="false" outlineLevel="0" collapsed="false">
      <c r="A5239" s="0" t="s">
        <v>835</v>
      </c>
      <c r="B5239" s="0" t="s">
        <v>98</v>
      </c>
      <c r="C5239" s="6" t="n">
        <f aca="false">Sens!C5219*Sens!C5237/1000</f>
        <v>22.5333845916667</v>
      </c>
      <c r="D5239" s="6" t="n">
        <f aca="false">Sens!D5219*Sens!D5237/1000</f>
        <v>34.0300093833333</v>
      </c>
      <c r="E5239" s="6" t="n">
        <f aca="false">Sens!E5219*Sens!E5237/1000</f>
        <v>67.600153775</v>
      </c>
      <c r="F5239" s="6" t="n">
        <f aca="false">(Sens!F5219+Sens!F5238)*Sens!F5237/1000</f>
        <v>130.923271871467</v>
      </c>
      <c r="G5239" s="6" t="n">
        <f aca="false">(Sens!G5219+Sens!G5238)*Sens!G5237/1000</f>
        <v>151.5545564832</v>
      </c>
      <c r="H5239" s="6" t="n">
        <f aca="false">(Sens!H5219+Sens!H5238)*Sens!H5237/1000</f>
        <v>156.0606619104</v>
      </c>
      <c r="I5239" s="6" t="n">
        <f aca="false">(Sens!I5219+Sens!I5238)*Sens!I5237/1000</f>
        <v>140.987889434245</v>
      </c>
      <c r="J5239" s="6" t="n">
        <f aca="false">(Sens!J5219+Sens!J5238)*Sens!J5237/1000</f>
        <v>111.094541278091</v>
      </c>
      <c r="K5239" s="6" t="n">
        <f aca="false">(Sens!K5219+Sens!K5238)*Sens!K5237/1000</f>
        <v>110.842344481936</v>
      </c>
    </row>
    <row r="5240" customFormat="false" ht="17.15" hidden="false" customHeight="false" outlineLevel="0" collapsed="false">
      <c r="A5240" s="0" t="s">
        <v>836</v>
      </c>
      <c r="B5240" s="0" t="s">
        <v>98</v>
      </c>
      <c r="C5240" s="6" t="n">
        <f aca="false">Sens!C5219*self_build*tk_cxfac/1000</f>
        <v>6.2083</v>
      </c>
      <c r="D5240" s="6" t="n">
        <f aca="false">Sens!D5219*self_build*tk_cxfac/1000</f>
        <v>9.3758</v>
      </c>
      <c r="E5240" s="6" t="n">
        <f aca="false">Sens!E5219*self_build*tk_cxfac/1000</f>
        <v>18.6249</v>
      </c>
      <c r="F5240" s="6" t="n">
        <f aca="false">Sens!F5219*self_build*tk_cxfac/1000</f>
        <v>29.409604</v>
      </c>
      <c r="G5240" s="6" t="n">
        <f aca="false">Sens!G5219*self_build*tk_cxfac/1000</f>
        <v>32.019624</v>
      </c>
      <c r="H5240" s="6" t="n">
        <f aca="false">Sens!H5219*self_build*tk_cxfac/1000</f>
        <v>32.019624</v>
      </c>
      <c r="I5240" s="6" t="n">
        <f aca="false">Sens!I5219*self_build*tk_cxfac/1000</f>
        <v>22.71877972</v>
      </c>
      <c r="J5240" s="6" t="n">
        <f aca="false">Sens!J5219*self_build*tk_cxfac/1000</f>
        <v>13.41793544</v>
      </c>
      <c r="K5240" s="6" t="n">
        <f aca="false">Sens!K5219*self_build*tk_cxfac/1000</f>
        <v>4.11709116000001</v>
      </c>
    </row>
    <row r="5241" customFormat="false" ht="17.15" hidden="false" customHeight="false" outlineLevel="0" collapsed="false">
      <c r="A5241" s="0" t="s">
        <v>837</v>
      </c>
      <c r="B5241" s="0" t="s">
        <v>98</v>
      </c>
      <c r="F5241" s="6" t="n">
        <f aca="false">MAX(0,capex_floor27-Sens!F5239-Sens!F5240-Sens!F5334)</f>
        <v>8.36277689897089</v>
      </c>
      <c r="L5241" s="1" t="s">
        <v>838</v>
      </c>
    </row>
    <row r="5242" customFormat="false" ht="17.15" hidden="false" customHeight="false" outlineLevel="0" collapsed="false">
      <c r="A5242" s="0" t="s">
        <v>839</v>
      </c>
      <c r="B5242" s="0" t="s">
        <v>98</v>
      </c>
      <c r="C5242" s="6" t="n">
        <f aca="false">Sens!C5239</f>
        <v>22.5333845916667</v>
      </c>
      <c r="D5242" s="6" t="n">
        <f aca="false">Sens!D5239</f>
        <v>34.0300093833333</v>
      </c>
      <c r="E5242" s="6" t="n">
        <f aca="false">Sens!E5239</f>
        <v>67.600153775</v>
      </c>
      <c r="F5242" s="6" t="n">
        <f aca="false">Sens!F5239+Sens!F5241</f>
        <v>139.286048770438</v>
      </c>
      <c r="G5242" s="6" t="n">
        <f aca="false">Sens!G5239</f>
        <v>151.5545564832</v>
      </c>
      <c r="H5242" s="6" t="n">
        <f aca="false">Sens!H5239</f>
        <v>156.0606619104</v>
      </c>
      <c r="I5242" s="6" t="n">
        <f aca="false">Sens!I5239</f>
        <v>140.987889434245</v>
      </c>
      <c r="J5242" s="6" t="n">
        <f aca="false">Sens!J5239</f>
        <v>111.094541278091</v>
      </c>
      <c r="K5242" s="6" t="n">
        <f aca="false">Sens!K5239</f>
        <v>110.842344481936</v>
      </c>
    </row>
    <row r="5243" customFormat="false" ht="17.15" hidden="false" customHeight="false" outlineLevel="0" collapsed="false">
      <c r="A5243" s="0" t="s">
        <v>840</v>
      </c>
      <c r="B5243" s="0" t="s">
        <v>98</v>
      </c>
      <c r="C5243" s="6" t="n">
        <f aca="false">Sens!C5242+Sens!C5240</f>
        <v>28.7416845916667</v>
      </c>
      <c r="D5243" s="6" t="n">
        <f aca="false">Sens!D5242+Sens!D5240</f>
        <v>43.4058093833333</v>
      </c>
      <c r="E5243" s="6" t="n">
        <f aca="false">Sens!E5242+Sens!E5240</f>
        <v>86.225053775</v>
      </c>
      <c r="F5243" s="6" t="n">
        <f aca="false">Sens!F5242+Sens!F5240</f>
        <v>168.695652770438</v>
      </c>
      <c r="G5243" s="6" t="n">
        <f aca="false">Sens!G5242+Sens!G5240</f>
        <v>183.5741804832</v>
      </c>
      <c r="H5243" s="6" t="n">
        <f aca="false">Sens!H5242+Sens!H5240</f>
        <v>188.0802859104</v>
      </c>
      <c r="I5243" s="6" t="n">
        <f aca="false">Sens!I5242+Sens!I5240</f>
        <v>163.706669154245</v>
      </c>
      <c r="J5243" s="6" t="n">
        <f aca="false">Sens!J5242+Sens!J5240</f>
        <v>124.51247671809</v>
      </c>
      <c r="K5243" s="6" t="n">
        <f aca="false">Sens!K5242+Sens!K5240</f>
        <v>114.959435641936</v>
      </c>
      <c r="L5243" s="11" t="s">
        <v>841</v>
      </c>
    </row>
    <row r="5244" customFormat="false" ht="17.15" hidden="false" customHeight="false" outlineLevel="0" collapsed="false">
      <c r="A5244" s="0" t="s">
        <v>842</v>
      </c>
      <c r="B5244" s="0" t="s">
        <v>98</v>
      </c>
      <c r="E5244" s="6" t="n">
        <f aca="false">(Sens!C5242*IF(2&lt;life_it,1,IF(2=life_it,0.5,0))+Sens!D5242*IF(1&lt;life_it,1,IF(1=life_it,0.5,0))+Sens!E5242*0.5)/life_it</f>
        <v>15.0605784770833</v>
      </c>
      <c r="F5244" s="6" t="n">
        <f aca="false">(Sens!C5242*IF(3&lt;life_it,1,IF(3=life_it,0.5,0))+Sens!D5242*IF(2&lt;life_it,1,IF(2=life_it,0.5,0))+Sens!E5242*IF(1&lt;life_it,1,IF(1=life_it,0.5,0))+Sens!F5242*0.5)/life_it</f>
        <v>32.3010953558698</v>
      </c>
      <c r="G5244" s="6" t="n">
        <f aca="false">(Sens!C5242*IF(4&lt;life_it,1,IF(4=life_it,0.5,0))+Sens!D5242*IF(3&lt;life_it,1,IF(3=life_it,0.5,0))+Sens!E5242*IF(2&lt;life_it,1,IF(2=life_it,0.5,0))+Sens!F5242*IF(1&lt;life_it,1,IF(1=life_it,0.5,0))+Sens!G5242*0.5)/life_it</f>
        <v>56.5378124603396</v>
      </c>
      <c r="H5244" s="6" t="n">
        <f aca="false">(Sens!C5242*IF(5&lt;life_it,1,IF(5=life_it,0.5,0))+Sens!D5242*IF(4&lt;life_it,1,IF(4=life_it,0.5,0))+Sens!E5242*IF(3&lt;life_it,1,IF(3=life_it,0.5,0))+Sens!F5242*IF(2&lt;life_it,1,IF(2=life_it,0.5,0))+Sens!G5242*IF(1&lt;life_it,1,IF(1=life_it,0.5,0))+Sens!H5242*0.5)/life_it</f>
        <v>82.1724139931396</v>
      </c>
      <c r="I5244" s="6" t="n">
        <f aca="false">(Sens!C5242*IF(6&lt;life_it,1,IF(6=life_it,0.5,0))+Sens!D5242*IF(5&lt;life_it,1,IF(5=life_it,0.5,0))+Sens!E5242*IF(4&lt;life_it,1,IF(4=life_it,0.5,0))+Sens!F5242*IF(3&lt;life_it,1,IF(3=life_it,0.5,0))+Sens!G5242*IF(2&lt;life_it,1,IF(2=life_it,0.5,0))+Sens!H5242*IF(1&lt;life_it,1,IF(1=life_it,0.5,0))+Sens!I5242*0.5)/life_it</f>
        <v>105.048677889221</v>
      </c>
      <c r="J5244" s="6" t="n">
        <f aca="false">(Sens!C5242*IF(7&lt;life_it,1,IF(7=life_it,0.5,0))+Sens!D5242*IF(6&lt;life_it,1,IF(6=life_it,0.5,0))+Sens!E5242*IF(5&lt;life_it,1,IF(5=life_it,0.5,0))+Sens!F5242*IF(4&lt;life_it,1,IF(4=life_it,0.5,0))+Sens!G5242*IF(3&lt;life_it,1,IF(3=life_it,0.5,0))+Sens!H5242*IF(2&lt;life_it,1,IF(2=life_it,0.5,0))+Sens!I5242*IF(1&lt;life_it,1,IF(1=life_it,0.5,0))+Sens!J5242*0.5)/life_it</f>
        <v>121.341930950666</v>
      </c>
      <c r="K5244" s="6" t="n">
        <f aca="false">(Sens!C5242*IF(8&lt;life_it,1,IF(8=life_it,0.5,0))+Sens!D5242*IF(7&lt;life_it,1,IF(7=life_it,0.5,0))+Sens!E5242*IF(6&lt;life_it,1,IF(6=life_it,0.5,0))+Sens!F5242*IF(5&lt;life_it,1,IF(5=life_it,0.5,0))+Sens!G5242*IF(4&lt;life_it,1,IF(4=life_it,0.5,0))+Sens!H5242*IF(3&lt;life_it,1,IF(3=life_it,0.5,0))+Sens!I5242*IF(2&lt;life_it,1,IF(2=life_it,0.5,0))+Sens!J5242*IF(1&lt;life_it,1,IF(1=life_it,0.5,0))+Sens!K5242*0.5)/life_it</f>
        <v>131.367491167474</v>
      </c>
    </row>
    <row r="5245" customFormat="false" ht="17.15" hidden="false" customHeight="false" outlineLevel="0" collapsed="false">
      <c r="A5245" s="0" t="s">
        <v>843</v>
      </c>
      <c r="B5245" s="0" t="s">
        <v>98</v>
      </c>
      <c r="E5245" s="6" t="n">
        <f aca="false">(Sens!C5240*IF(2&lt;life_fac,1,IF(2=life_fac,0.5,0))+Sens!D5240*IF(1&lt;life_fac,1,IF(1=life_fac,0.5,0))+Sens!E5240*0.5)/life_fac</f>
        <v>1.2448275</v>
      </c>
      <c r="F5245" s="6" t="n">
        <f aca="false">(Sens!C5240*IF(3&lt;life_fac,1,IF(3=life_fac,0.5,0))+Sens!D5240*IF(2&lt;life_fac,1,IF(2=life_fac,0.5,0))+Sens!E5240*IF(1&lt;life_fac,1,IF(1=life_fac,0.5,0))+Sens!F5240*0.5)/life_fac</f>
        <v>2.4456901</v>
      </c>
      <c r="G5245" s="6" t="n">
        <f aca="false">(Sens!C5240*IF(4&lt;life_fac,1,IF(4=life_fac,0.5,0))+Sens!D5240*IF(3&lt;life_fac,1,IF(3=life_fac,0.5,0))+Sens!E5240*IF(2&lt;life_fac,1,IF(2=life_fac,0.5,0))+Sens!F5240*IF(1&lt;life_fac,1,IF(1=life_fac,0.5,0))+Sens!G5240*0.5)/life_fac</f>
        <v>3.9814208</v>
      </c>
      <c r="H5245" s="6" t="n">
        <f aca="false">(Sens!C5240*IF(5&lt;life_fac,1,IF(5=life_fac,0.5,0))+Sens!D5240*IF(4&lt;life_fac,1,IF(4=life_fac,0.5,0))+Sens!E5240*IF(3&lt;life_fac,1,IF(3=life_fac,0.5,0))+Sens!F5240*IF(2&lt;life_fac,1,IF(2=life_fac,0.5,0))+Sens!G5240*IF(1&lt;life_fac,1,IF(1=life_fac,0.5,0))+Sens!H5240*0.5)/life_fac</f>
        <v>5.582402</v>
      </c>
      <c r="I5245" s="6" t="n">
        <f aca="false">(Sens!C5240*IF(6&lt;life_fac,1,IF(6=life_fac,0.5,0))+Sens!D5240*IF(5&lt;life_fac,1,IF(5=life_fac,0.5,0))+Sens!E5240*IF(4&lt;life_fac,1,IF(4=life_fac,0.5,0))+Sens!F5240*IF(3&lt;life_fac,1,IF(3=life_fac,0.5,0))+Sens!G5240*IF(2&lt;life_fac,1,IF(2=life_fac,0.5,0))+Sens!H5240*IF(1&lt;life_fac,1,IF(1=life_fac,0.5,0))+Sens!I5240*0.5)/life_fac</f>
        <v>6.950862093</v>
      </c>
      <c r="J5245" s="6" t="n">
        <f aca="false">(Sens!C5240*IF(7&lt;life_fac,1,IF(7=life_fac,0.5,0))+Sens!D5240*IF(6&lt;life_fac,1,IF(6=life_fac,0.5,0))+Sens!E5240*IF(5&lt;life_fac,1,IF(5=life_fac,0.5,0))+Sens!F5240*IF(4&lt;life_fac,1,IF(4=life_fac,0.5,0))+Sens!G5240*IF(3&lt;life_fac,1,IF(3=life_fac,0.5,0))+Sens!H5240*IF(2&lt;life_fac,1,IF(2=life_fac,0.5,0))+Sens!I5240*IF(1&lt;life_fac,1,IF(1=life_fac,0.5,0))+Sens!J5240*0.5)/life_fac</f>
        <v>7.854279972</v>
      </c>
      <c r="K5245" s="6" t="n">
        <f aca="false">(Sens!C5240*IF(8&lt;life_fac,1,IF(8=life_fac,0.5,0))+Sens!D5240*IF(7&lt;life_fac,1,IF(7=life_fac,0.5,0))+Sens!E5240*IF(6&lt;life_fac,1,IF(6=life_fac,0.5,0))+Sens!F5240*IF(5&lt;life_fac,1,IF(5=life_fac,0.5,0))+Sens!G5240*IF(4&lt;life_fac,1,IF(4=life_fac,0.5,0))+Sens!H5240*IF(3&lt;life_fac,1,IF(3=life_fac,0.5,0))+Sens!I5240*IF(2&lt;life_fac,1,IF(2=life_fac,0.5,0))+Sens!J5240*IF(1&lt;life_fac,1,IF(1=life_fac,0.5,0))+Sens!K5240*0.5)/life_fac</f>
        <v>8.292655637</v>
      </c>
    </row>
    <row r="5246" customFormat="false" ht="17.15" hidden="false" customHeight="false" outlineLevel="0" collapsed="false">
      <c r="A5246" s="0" t="s">
        <v>844</v>
      </c>
      <c r="B5246" s="0" t="s">
        <v>98</v>
      </c>
      <c r="E5246" s="6" t="n">
        <f aca="false">Sens!E5244+Sens!E5245</f>
        <v>16.3054059770833</v>
      </c>
      <c r="F5246" s="6" t="n">
        <f aca="false">Sens!F5244+Sens!F5245</f>
        <v>34.7467854558698</v>
      </c>
      <c r="G5246" s="6" t="n">
        <f aca="false">Sens!G5244+Sens!G5245</f>
        <v>60.5192332603396</v>
      </c>
      <c r="H5246" s="6" t="n">
        <f aca="false">Sens!H5244+Sens!H5245</f>
        <v>87.7548159931396</v>
      </c>
      <c r="I5246" s="6" t="n">
        <f aca="false">Sens!I5244+Sens!I5245</f>
        <v>111.999539982221</v>
      </c>
      <c r="J5246" s="6" t="n">
        <f aca="false">Sens!J5244+Sens!J5245</f>
        <v>129.196210922666</v>
      </c>
      <c r="K5246" s="6" t="n">
        <f aca="false">Sens!K5244+Sens!K5245</f>
        <v>139.660146804474</v>
      </c>
    </row>
    <row r="5247" customFormat="false" ht="17.15" hidden="false" customHeight="false" outlineLevel="0" collapsed="false">
      <c r="A5247" s="0" t="s">
        <v>845</v>
      </c>
      <c r="B5247" s="0" t="s">
        <v>98</v>
      </c>
      <c r="E5247" s="6" t="n">
        <f aca="false">Sens!E5235-Sens!E5234*Sens!E5246</f>
        <v>8.92707889977379</v>
      </c>
      <c r="F5247" s="6" t="n">
        <f aca="false">Sens!F5235-Sens!F5234*Sens!F5246</f>
        <v>22.2797821312152</v>
      </c>
      <c r="G5247" s="6" t="n">
        <f aca="false">Sens!G5235-Sens!G5234*Sens!G5246</f>
        <v>42.1597624237015</v>
      </c>
      <c r="H5247" s="6" t="n">
        <f aca="false">Sens!H5235-Sens!H5234*Sens!H5246</f>
        <v>67.5167346653351</v>
      </c>
      <c r="I5247" s="6" t="n">
        <f aca="false">Sens!I5235-Sens!I5234*Sens!I5246</f>
        <v>84.7331098462332</v>
      </c>
      <c r="J5247" s="6" t="n">
        <f aca="false">Sens!J5235-Sens!J5234*Sens!J5246</f>
        <v>96.6936673654554</v>
      </c>
      <c r="K5247" s="6" t="n">
        <f aca="false">Sens!K5235-Sens!K5234*Sens!K5246</f>
        <v>104.631852960045</v>
      </c>
    </row>
    <row r="5248" customFormat="false" ht="17.15" hidden="false" customHeight="false" outlineLevel="0" collapsed="false">
      <c r="A5248" s="3" t="s">
        <v>1370</v>
      </c>
    </row>
    <row r="5249" customFormat="false" ht="15" hidden="false" customHeight="false" outlineLevel="0" collapsed="false">
      <c r="A5249" s="4" t="s">
        <v>43</v>
      </c>
      <c r="B5249" s="4" t="s">
        <v>65</v>
      </c>
      <c r="C5249" s="20" t="s">
        <v>788</v>
      </c>
      <c r="D5249" s="20" t="s">
        <v>789</v>
      </c>
      <c r="E5249" s="20" t="s">
        <v>790</v>
      </c>
      <c r="F5249" s="20" t="s">
        <v>791</v>
      </c>
      <c r="G5249" s="20" t="s">
        <v>792</v>
      </c>
      <c r="H5249" s="20" t="s">
        <v>793</v>
      </c>
      <c r="I5249" s="20" t="s">
        <v>794</v>
      </c>
      <c r="J5249" s="20" t="s">
        <v>795</v>
      </c>
      <c r="K5249" s="20" t="s">
        <v>796</v>
      </c>
      <c r="L5249" s="4" t="s">
        <v>47</v>
      </c>
    </row>
    <row r="5250" customFormat="false" ht="17.15" hidden="false" customHeight="false" outlineLevel="0" collapsed="false">
      <c r="A5250" s="0" t="s">
        <v>864</v>
      </c>
      <c r="B5250" s="0" t="s">
        <v>98</v>
      </c>
      <c r="D5250" s="6" t="n">
        <f aca="false">Sens!D5229</f>
        <v>12.9359794422418</v>
      </c>
      <c r="E5250" s="6" t="n">
        <f aca="false">Sens!E5229</f>
        <v>27.8095064661409</v>
      </c>
      <c r="F5250" s="6" t="n">
        <f aca="false">Sens!F5229</f>
        <v>58.7324192305018</v>
      </c>
      <c r="G5250" s="6" t="n">
        <f aca="false">Sens!G5229</f>
        <v>101.369089141153</v>
      </c>
      <c r="H5250" s="6" t="n">
        <f aca="false">Sens!H5229</f>
        <v>149.785610014234</v>
      </c>
      <c r="I5250" s="6" t="n">
        <f aca="false">Sens!I5229</f>
        <v>187.368703083263</v>
      </c>
      <c r="J5250" s="6" t="n">
        <f aca="false">Sens!J5229</f>
        <v>213.569023125577</v>
      </c>
      <c r="K5250" s="6" t="n">
        <f aca="false">Sens!K5229</f>
        <v>229.890205197739</v>
      </c>
    </row>
    <row r="5251" customFormat="false" ht="17.15" hidden="false" customHeight="false" outlineLevel="0" collapsed="false">
      <c r="A5251" s="0" t="s">
        <v>865</v>
      </c>
      <c r="B5251" s="0" t="s">
        <v>98</v>
      </c>
      <c r="D5251" s="6" t="n">
        <f aca="false">Q!L6-Sens!D5250</f>
        <v>59.6740205577583</v>
      </c>
      <c r="E5251" s="6" t="n">
        <f aca="false">Q!M6-Sens!E5250</f>
        <v>74.1284935338591</v>
      </c>
      <c r="F5251" s="6" t="n">
        <f aca="false">Sens!E5251*(1+Sens!F5252)</f>
        <v>90.0799497373663</v>
      </c>
      <c r="G5251" s="6" t="n">
        <f aca="false">Sens!F5251*(1+Sens!G5252)</f>
        <v>107.02842520331</v>
      </c>
      <c r="H5251" s="6" t="n">
        <f aca="false">Sens!G5251*(1+Sens!H5252)</f>
        <v>124.271982585636</v>
      </c>
      <c r="I5251" s="6" t="n">
        <f aca="false">Sens!H5251*(1+Sens!I5252)</f>
        <v>140.933702381855</v>
      </c>
      <c r="J5251" s="6" t="n">
        <f aca="false">Sens!I5251*(1+Sens!J5252)</f>
        <v>156.018867314332</v>
      </c>
      <c r="K5251" s="6" t="n">
        <f aca="false">Sens!J5251*(1+Sens!K5252)</f>
        <v>168.500376699478</v>
      </c>
    </row>
    <row r="5252" customFormat="false" ht="15" hidden="false" customHeight="false" outlineLevel="0" collapsed="false">
      <c r="A5252" s="1" t="s">
        <v>866</v>
      </c>
      <c r="B5252" s="0" t="s">
        <v>129</v>
      </c>
      <c r="E5252" s="7" t="n">
        <f aca="false">Sens!E5251/Sens!D5251-1</f>
        <v>0.242223883039864</v>
      </c>
      <c r="F5252" s="7" t="n">
        <f aca="false">Sens!$E$5252+(glt_azo-Sens!$E$5252)*MIN(1,(Sens!F5212-base_fy)/n_conv)</f>
        <v>0.215186569199887</v>
      </c>
      <c r="G5252" s="7" t="n">
        <f aca="false">Sens!$E$5252+(glt_azo-Sens!$E$5252)*MIN(1,(Sens!G5212-base_fy)/n_conv)</f>
        <v>0.18814925535991</v>
      </c>
      <c r="H5252" s="7" t="n">
        <f aca="false">Sens!$E$5252+(glt_azo-Sens!$E$5252)*MIN(1,(Sens!H5212-base_fy)/n_conv)</f>
        <v>0.161111941519932</v>
      </c>
      <c r="I5252" s="7" t="n">
        <f aca="false">Sens!$E$5252+(glt_azo-Sens!$E$5252)*MIN(1,(Sens!I5212-base_fy)/n_conv)</f>
        <v>0.134074627679955</v>
      </c>
      <c r="J5252" s="7" t="n">
        <f aca="false">Sens!$E$5252+(glt_azo-Sens!$E$5252)*MIN(1,(Sens!J5212-base_fy)/n_conv)</f>
        <v>0.107037313839977</v>
      </c>
      <c r="K5252" s="7" t="n">
        <f aca="false">Sens!$E$5252+(glt_azo-Sens!$E$5252)*MIN(1,(Sens!K5212-base_fy)/n_conv)</f>
        <v>0.08</v>
      </c>
    </row>
    <row r="5253" customFormat="false" ht="15" hidden="false" customHeight="false" outlineLevel="0" collapsed="false">
      <c r="A5253" s="0" t="s">
        <v>867</v>
      </c>
      <c r="B5253" s="0" t="s">
        <v>98</v>
      </c>
      <c r="D5253" s="6" t="n">
        <f aca="false">Sens!D5250+Sens!D5251</f>
        <v>72.61</v>
      </c>
      <c r="E5253" s="6" t="n">
        <f aca="false">Sens!E5250+Sens!E5251</f>
        <v>101.938</v>
      </c>
      <c r="F5253" s="6" t="n">
        <f aca="false">Sens!F5250+Sens!F5251</f>
        <v>148.812368967868</v>
      </c>
      <c r="G5253" s="6" t="n">
        <f aca="false">Sens!G5250+Sens!G5251</f>
        <v>208.397514344463</v>
      </c>
      <c r="H5253" s="6" t="n">
        <f aca="false">Sens!H5250+Sens!H5251</f>
        <v>274.05759259987</v>
      </c>
      <c r="I5253" s="6" t="n">
        <f aca="false">Sens!I5250+Sens!I5251</f>
        <v>328.302405465117</v>
      </c>
      <c r="J5253" s="6" t="n">
        <f aca="false">Sens!J5250+Sens!J5251</f>
        <v>369.587890439908</v>
      </c>
      <c r="K5253" s="6" t="n">
        <f aca="false">Sens!K5250+Sens!K5251</f>
        <v>398.390581897217</v>
      </c>
    </row>
    <row r="5254" customFormat="false" ht="17.15" hidden="false" customHeight="false" outlineLevel="0" collapsed="false">
      <c r="A5254" s="0" t="s">
        <v>868</v>
      </c>
      <c r="B5254" s="1" t="s">
        <v>521</v>
      </c>
      <c r="C5254" s="29" t="n">
        <f aca="false">cop_s24</f>
        <v>1</v>
      </c>
      <c r="D5254" s="29" t="n">
        <f aca="false">cop_s25</f>
        <v>5</v>
      </c>
      <c r="E5254" s="29" t="n">
        <f aca="false">cop_s26</f>
        <v>30</v>
      </c>
      <c r="F5254" s="29" t="n">
        <f aca="false">Sens!E5254+cop_add_A*0.5</f>
        <v>45</v>
      </c>
      <c r="G5254" s="29" t="n">
        <f aca="false">Sens!F5254+cop_add_A*0.5</f>
        <v>60</v>
      </c>
      <c r="H5254" s="29" t="n">
        <f aca="false">Sens!G5254+cop_add_A*0.5</f>
        <v>75</v>
      </c>
      <c r="I5254" s="29" t="n">
        <f aca="false">Sens!H5254+cop_add_A*0.5*cop_tail</f>
        <v>82.5</v>
      </c>
      <c r="J5254" s="29" t="n">
        <f aca="false">Sens!I5254+cop_add_A*0.5*cop_tail</f>
        <v>90</v>
      </c>
      <c r="K5254" s="29" t="n">
        <f aca="false">Sens!J5254+cop_add_A*0.5*cop_tail</f>
        <v>97.5</v>
      </c>
      <c r="L5254" s="11" t="s">
        <v>869</v>
      </c>
    </row>
    <row r="5255" customFormat="false" ht="17.15" hidden="false" customHeight="false" outlineLevel="0" collapsed="false">
      <c r="A5255" s="0" t="s">
        <v>870</v>
      </c>
      <c r="B5255" s="0" t="s">
        <v>98</v>
      </c>
      <c r="D5255" s="6" t="n">
        <f aca="false">(Sens!C5254+Sens!D5254)/2*cop_px*12/1000</f>
        <v>0.9</v>
      </c>
      <c r="E5255" s="6" t="n">
        <f aca="false">(Sens!D5254+Sens!E5254)/2*cop_px*12/1000</f>
        <v>5.25</v>
      </c>
      <c r="F5255" s="6" t="n">
        <f aca="false">(Sens!E5254+Sens!F5254)/2*cop_px*12/1000</f>
        <v>11.25</v>
      </c>
      <c r="G5255" s="6" t="n">
        <f aca="false">(Sens!F5254+Sens!G5254)/2*cop_px*12/1000</f>
        <v>15.75</v>
      </c>
      <c r="H5255" s="6" t="n">
        <f aca="false">(Sens!G5254+Sens!H5254)/2*cop_px*12/1000</f>
        <v>20.25</v>
      </c>
      <c r="I5255" s="6" t="n">
        <f aca="false">(Sens!H5254+Sens!I5254)/2*cop_px*12/1000</f>
        <v>23.625</v>
      </c>
      <c r="J5255" s="6" t="n">
        <f aca="false">(Sens!I5254+Sens!J5254)/2*cop_px*12/1000</f>
        <v>25.875</v>
      </c>
      <c r="K5255" s="6" t="n">
        <f aca="false">(Sens!J5254+Sens!K5254)/2*cop_px*12/1000</f>
        <v>28.125</v>
      </c>
      <c r="L5255" s="1" t="s">
        <v>871</v>
      </c>
    </row>
    <row r="5256" customFormat="false" ht="17.15" hidden="false" customHeight="false" outlineLevel="0" collapsed="false">
      <c r="A5256" s="0" t="s">
        <v>872</v>
      </c>
      <c r="B5256" s="0" t="s">
        <v>98</v>
      </c>
      <c r="D5256" s="6" t="n">
        <f aca="false">Q!L7-Sens!D5255</f>
        <v>83.705</v>
      </c>
      <c r="E5256" s="6" t="n">
        <f aca="false">Q!M7-Sens!E5255</f>
        <v>95.049</v>
      </c>
      <c r="F5256" s="6" t="n">
        <f aca="false">Sens!E5256*(1+Sens!F5257)</f>
        <v>106.89238776686</v>
      </c>
      <c r="G5256" s="6" t="n">
        <f aca="false">Sens!F5256*(1+Sens!G5257)</f>
        <v>119.044168448684</v>
      </c>
      <c r="H5256" s="6" t="n">
        <f aca="false">Sens!G5256*(1+Sens!H5257)</f>
        <v>131.277359388781</v>
      </c>
      <c r="I5256" s="6" t="n">
        <f aca="false">Sens!H5256*(1+Sens!I5257)</f>
        <v>143.334028071957</v>
      </c>
      <c r="J5256" s="6" t="n">
        <f aca="false">Sens!I5256*(1+Sens!J5257)</f>
        <v>154.932702785465</v>
      </c>
      <c r="K5256" s="6" t="n">
        <f aca="false">Sens!J5256*(1+Sens!K5257)</f>
        <v>165.777991980448</v>
      </c>
    </row>
    <row r="5257" customFormat="false" ht="15" hidden="false" customHeight="false" outlineLevel="0" collapsed="false">
      <c r="A5257" s="1" t="s">
        <v>866</v>
      </c>
      <c r="B5257" s="0" t="s">
        <v>129</v>
      </c>
      <c r="E5257" s="7" t="n">
        <f aca="false">Sens!E5256/Sens!D5256-1</f>
        <v>0.135523564900544</v>
      </c>
      <c r="F5257" s="7" t="n">
        <f aca="false">Sens!$E$5257+(glt_m365b-Sens!$E$5257)*MIN(1,(Sens!F5212-base_fy)/n_conv)</f>
        <v>0.124602970750453</v>
      </c>
      <c r="G5257" s="7" t="n">
        <f aca="false">Sens!$E$5257+(glt_m365b-Sens!$E$5257)*MIN(1,(Sens!G5212-base_fy)/n_conv)</f>
        <v>0.113682376600363</v>
      </c>
      <c r="H5257" s="7" t="n">
        <f aca="false">Sens!$E$5257+(glt_m365b-Sens!$E$5257)*MIN(1,(Sens!H5212-base_fy)/n_conv)</f>
        <v>0.102761782450272</v>
      </c>
      <c r="I5257" s="7" t="n">
        <f aca="false">Sens!$E$5257+(glt_m365b-Sens!$E$5257)*MIN(1,(Sens!I5212-base_fy)/n_conv)</f>
        <v>0.0918411883001813</v>
      </c>
      <c r="J5257" s="7" t="n">
        <f aca="false">Sens!$E$5257+(glt_m365b-Sens!$E$5257)*MIN(1,(Sens!J5212-base_fy)/n_conv)</f>
        <v>0.0809205941500906</v>
      </c>
      <c r="K5257" s="7" t="n">
        <f aca="false">Sens!$E$5257+(glt_m365b-Sens!$E$5257)*MIN(1,(Sens!K5212-base_fy)/n_conv)</f>
        <v>0.07</v>
      </c>
    </row>
    <row r="5258" customFormat="false" ht="15" hidden="false" customHeight="false" outlineLevel="0" collapsed="false">
      <c r="A5258" s="0" t="s">
        <v>873</v>
      </c>
      <c r="B5258" s="0" t="s">
        <v>98</v>
      </c>
      <c r="D5258" s="6" t="n">
        <f aca="false">Sens!D5256+Sens!D5255</f>
        <v>84.605</v>
      </c>
      <c r="E5258" s="6" t="n">
        <f aca="false">Sens!E5256+Sens!E5255</f>
        <v>100.299</v>
      </c>
      <c r="F5258" s="6" t="n">
        <f aca="false">Sens!F5256+Sens!F5255</f>
        <v>118.14238776686</v>
      </c>
      <c r="G5258" s="6" t="n">
        <f aca="false">Sens!G5256+Sens!G5255</f>
        <v>134.794168448684</v>
      </c>
      <c r="H5258" s="6" t="n">
        <f aca="false">Sens!H5256+Sens!H5255</f>
        <v>151.527359388781</v>
      </c>
      <c r="I5258" s="6" t="n">
        <f aca="false">Sens!I5256+Sens!I5255</f>
        <v>166.959028071957</v>
      </c>
      <c r="J5258" s="6" t="n">
        <f aca="false">Sens!J5256+Sens!J5255</f>
        <v>180.807702785465</v>
      </c>
      <c r="K5258" s="6" t="n">
        <f aca="false">Sens!K5256+Sens!K5255</f>
        <v>193.902991980448</v>
      </c>
    </row>
    <row r="5259" customFormat="false" ht="15" hidden="false" customHeight="false" outlineLevel="0" collapsed="false">
      <c r="A5259" s="0" t="s">
        <v>874</v>
      </c>
      <c r="B5259" s="0" t="s">
        <v>98</v>
      </c>
      <c r="D5259" s="6" t="n">
        <f aca="false">Q!L8</f>
        <v>35.391</v>
      </c>
      <c r="E5259" s="6" t="n">
        <f aca="false">Q!M8</f>
        <v>37.285</v>
      </c>
      <c r="F5259" s="6" t="n">
        <f aca="false">Sens!E5259*(1+Sens!F5260)</f>
        <v>39.0720834331704</v>
      </c>
      <c r="G5259" s="6" t="n">
        <f aca="false">Sens!F5259*(1+Sens!G5260)</f>
        <v>40.726562953769</v>
      </c>
      <c r="H5259" s="6" t="n">
        <f aca="false">Sens!G5259*(1+Sens!H5260)</f>
        <v>42.2235987259198</v>
      </c>
      <c r="I5259" s="6" t="n">
        <f aca="false">Sens!H5259*(1+Sens!I5260)</f>
        <v>43.5397988077414</v>
      </c>
      <c r="J5259" s="6" t="n">
        <f aca="false">Sens!I5259*(1+Sens!J5260)</f>
        <v>44.653811225693</v>
      </c>
      <c r="K5259" s="6" t="n">
        <f aca="false">Sens!J5259*(1+Sens!K5260)</f>
        <v>45.5468874502068</v>
      </c>
    </row>
    <row r="5260" customFormat="false" ht="15" hidden="false" customHeight="false" outlineLevel="0" collapsed="false">
      <c r="A5260" s="1" t="s">
        <v>866</v>
      </c>
      <c r="B5260" s="0" t="s">
        <v>129</v>
      </c>
      <c r="E5260" s="7" t="n">
        <f aca="false">Sens!E5259/Sens!D5259-1</f>
        <v>0.0535164307309768</v>
      </c>
      <c r="F5260" s="7" t="n">
        <f aca="false">Sens!$E$5260+(glt_lic-Sens!$E$5260)*MIN(1,(Sens!F5212-base_fy)/n_conv)</f>
        <v>0.0479303589424807</v>
      </c>
      <c r="G5260" s="7" t="n">
        <f aca="false">Sens!$E$5260+(glt_lic-Sens!$E$5260)*MIN(1,(Sens!G5212-base_fy)/n_conv)</f>
        <v>0.0423442871539845</v>
      </c>
      <c r="H5260" s="7" t="n">
        <f aca="false">Sens!$E$5260+(glt_lic-Sens!$E$5260)*MIN(1,(Sens!H5212-base_fy)/n_conv)</f>
        <v>0.0367582153654884</v>
      </c>
      <c r="I5260" s="7" t="n">
        <f aca="false">Sens!$E$5260+(glt_lic-Sens!$E$5260)*MIN(1,(Sens!I5212-base_fy)/n_conv)</f>
        <v>0.0311721435769923</v>
      </c>
      <c r="J5260" s="7" t="n">
        <f aca="false">Sens!$E$5260+(glt_lic-Sens!$E$5260)*MIN(1,(Sens!J5212-base_fy)/n_conv)</f>
        <v>0.0255860717884961</v>
      </c>
      <c r="K5260" s="7" t="n">
        <f aca="false">Sens!$E$5260+(glt_lic-Sens!$E$5260)*MIN(1,(Sens!K5212-base_fy)/n_conv)</f>
        <v>0.02</v>
      </c>
    </row>
    <row r="5261" customFormat="false" ht="15" hidden="false" customHeight="false" outlineLevel="0" collapsed="false">
      <c r="A5261" s="0" t="s">
        <v>875</v>
      </c>
      <c r="B5261" s="0" t="s">
        <v>98</v>
      </c>
      <c r="D5261" s="6" t="n">
        <f aca="false">Q!L9</f>
        <v>18.417</v>
      </c>
      <c r="E5261" s="6" t="n">
        <f aca="false">Q!M9</f>
        <v>20.345</v>
      </c>
      <c r="F5261" s="6" t="n">
        <f aca="false">Sens!E5261*(1+Sens!F5262)</f>
        <v>22.3572203267814</v>
      </c>
      <c r="G5261" s="6" t="n">
        <f aca="false">Sens!F5261*(1+Sens!G5262)</f>
        <v>24.4392124437232</v>
      </c>
      <c r="H5261" s="6" t="n">
        <f aca="false">Sens!G5261*(1+Sens!H5262)</f>
        <v>26.5738052080665</v>
      </c>
      <c r="I5261" s="6" t="n">
        <f aca="false">Sens!H5261*(1+Sens!I5262)</f>
        <v>28.7412169166967</v>
      </c>
      <c r="J5261" s="6" t="n">
        <f aca="false">Sens!I5261*(1+Sens!J5262)</f>
        <v>30.9192545395413</v>
      </c>
      <c r="K5261" s="6" t="n">
        <f aca="false">Sens!J5261*(1+Sens!K5262)</f>
        <v>33.0836023573092</v>
      </c>
    </row>
    <row r="5262" customFormat="false" ht="15" hidden="false" customHeight="false" outlineLevel="0" collapsed="false">
      <c r="A5262" s="1" t="s">
        <v>866</v>
      </c>
      <c r="B5262" s="0" t="s">
        <v>129</v>
      </c>
      <c r="E5262" s="7" t="n">
        <f aca="false">Sens!E5261/Sens!D5261-1</f>
        <v>0.104685888038225</v>
      </c>
      <c r="F5262" s="7" t="n">
        <f aca="false">Sens!$E$5262+(glt_ind-Sens!$E$5262)*MIN(1,(Sens!F5212-base_fy)/n_conv)</f>
        <v>0.0989049066985211</v>
      </c>
      <c r="G5262" s="7" t="n">
        <f aca="false">Sens!$E$5262+(glt_ind-Sens!$E$5262)*MIN(1,(Sens!G5212-base_fy)/n_conv)</f>
        <v>0.0931239253588169</v>
      </c>
      <c r="H5262" s="7" t="n">
        <f aca="false">Sens!$E$5262+(glt_ind-Sens!$E$5262)*MIN(1,(Sens!H5212-base_fy)/n_conv)</f>
        <v>0.0873429440191127</v>
      </c>
      <c r="I5262" s="7" t="n">
        <f aca="false">Sens!$E$5262+(glt_ind-Sens!$E$5262)*MIN(1,(Sens!I5212-base_fy)/n_conv)</f>
        <v>0.0815619626794085</v>
      </c>
      <c r="J5262" s="7" t="n">
        <f aca="false">Sens!$E$5262+(glt_ind-Sens!$E$5262)*MIN(1,(Sens!J5212-base_fy)/n_conv)</f>
        <v>0.0757809813397042</v>
      </c>
      <c r="K5262" s="7" t="n">
        <f aca="false">Sens!$E$5262+(glt_ind-Sens!$E$5262)*MIN(1,(Sens!K5212-base_fy)/n_conv)</f>
        <v>0.07</v>
      </c>
    </row>
    <row r="5263" customFormat="false" ht="15" hidden="false" customHeight="false" outlineLevel="0" collapsed="false">
      <c r="A5263" s="0" t="s">
        <v>876</v>
      </c>
      <c r="B5263" s="0" t="s">
        <v>98</v>
      </c>
      <c r="D5263" s="6" t="n">
        <f aca="false">Q!L10</f>
        <v>7.76</v>
      </c>
      <c r="E5263" s="6" t="n">
        <f aca="false">Q!M10</f>
        <v>8.26</v>
      </c>
      <c r="F5263" s="6" t="n">
        <f aca="false">Sens!E5263*(1+Sens!F5264)</f>
        <v>8.79988041237113</v>
      </c>
      <c r="G5263" s="6" t="n">
        <f aca="false">Sens!F5263*(1+Sens!G5264)</f>
        <v>9.38321269125306</v>
      </c>
      <c r="H5263" s="6" t="n">
        <f aca="false">Sens!G5263*(1+Sens!H5264)</f>
        <v>10.0139193587476</v>
      </c>
      <c r="I5263" s="6" t="n">
        <f aca="false">Sens!H5263*(1+Sens!I5264)</f>
        <v>10.6963111830911</v>
      </c>
      <c r="J5263" s="6" t="n">
        <f aca="false">Sens!I5263*(1+Sens!J5264)</f>
        <v>11.4351285534696</v>
      </c>
      <c r="K5263" s="6" t="n">
        <f aca="false">Sens!J5263*(1+Sens!K5264)</f>
        <v>12.2355875522124</v>
      </c>
    </row>
    <row r="5264" customFormat="false" ht="15" hidden="false" customHeight="false" outlineLevel="0" collapsed="false">
      <c r="A5264" s="1" t="s">
        <v>866</v>
      </c>
      <c r="B5264" s="0" t="s">
        <v>129</v>
      </c>
      <c r="E5264" s="7" t="n">
        <f aca="false">Sens!E5263/Sens!D5263-1</f>
        <v>0.0644329896907216</v>
      </c>
      <c r="F5264" s="7" t="n">
        <f aca="false">Sens!$E$5264+(glt_fro-Sens!$E$5264)*MIN(1,(Sens!F5212-base_fy)/n_conv)</f>
        <v>0.065360824742268</v>
      </c>
      <c r="G5264" s="7" t="n">
        <f aca="false">Sens!$E$5264+(glt_fro-Sens!$E$5264)*MIN(1,(Sens!G5212-base_fy)/n_conv)</f>
        <v>0.0662886597938144</v>
      </c>
      <c r="H5264" s="7" t="n">
        <f aca="false">Sens!$E$5264+(glt_fro-Sens!$E$5264)*MIN(1,(Sens!H5212-base_fy)/n_conv)</f>
        <v>0.0672164948453608</v>
      </c>
      <c r="I5264" s="7" t="n">
        <f aca="false">Sens!$E$5264+(glt_fro-Sens!$E$5264)*MIN(1,(Sens!I5212-base_fy)/n_conv)</f>
        <v>0.0681443298969072</v>
      </c>
      <c r="J5264" s="7" t="n">
        <f aca="false">Sens!$E$5264+(glt_fro-Sens!$E$5264)*MIN(1,(Sens!J5212-base_fy)/n_conv)</f>
        <v>0.0690721649484536</v>
      </c>
      <c r="K5264" s="7" t="n">
        <f aca="false">Sens!$E$5264+(glt_fro-Sens!$E$5264)*MIN(1,(Sens!K5212-base_fy)/n_conv)</f>
        <v>0.07</v>
      </c>
    </row>
    <row r="5265" customFormat="false" ht="15" hidden="false" customHeight="false" outlineLevel="0" collapsed="false">
      <c r="A5265" s="0" t="s">
        <v>704</v>
      </c>
      <c r="B5265" s="0" t="s">
        <v>98</v>
      </c>
      <c r="D5265" s="6" t="n">
        <f aca="false">Sens!D5253+Sens!D5258+Sens!D5259+Sens!D5261+Sens!D5263</f>
        <v>218.783</v>
      </c>
      <c r="E5265" s="6" t="n">
        <f aca="false">Sens!E5253+Sens!E5258+Sens!E5259+Sens!E5261+Sens!E5263</f>
        <v>268.127</v>
      </c>
      <c r="F5265" s="6" t="n">
        <f aca="false">Sens!F5253+Sens!F5258+Sens!F5259+Sens!F5261+Sens!F5263</f>
        <v>337.183940907051</v>
      </c>
      <c r="G5265" s="6" t="n">
        <f aca="false">Sens!G5253+Sens!G5258+Sens!G5259+Sens!G5261+Sens!G5263</f>
        <v>417.740670881892</v>
      </c>
      <c r="H5265" s="6" t="n">
        <f aca="false">Sens!H5253+Sens!H5258+Sens!H5259+Sens!H5261+Sens!H5263</f>
        <v>504.396275281385</v>
      </c>
      <c r="I5265" s="6" t="n">
        <f aca="false">Sens!I5253+Sens!I5258+Sens!I5259+Sens!I5261+Sens!I5263</f>
        <v>578.238760444604</v>
      </c>
      <c r="J5265" s="6" t="n">
        <f aca="false">Sens!J5253+Sens!J5258+Sens!J5259+Sens!J5261+Sens!J5263</f>
        <v>637.403787544077</v>
      </c>
      <c r="K5265" s="6" t="n">
        <f aca="false">Sens!K5253+Sens!K5258+Sens!K5259+Sens!K5261+Sens!K5263</f>
        <v>683.159651237393</v>
      </c>
    </row>
    <row r="5266" customFormat="false" ht="15" hidden="false" customHeight="false" outlineLevel="0" collapsed="false">
      <c r="A5266" s="0" t="s">
        <v>877</v>
      </c>
      <c r="B5266" s="0" t="s">
        <v>98</v>
      </c>
      <c r="D5266" s="6" t="n">
        <f aca="false">Q!L13</f>
        <v>22.171</v>
      </c>
      <c r="E5266" s="6" t="n">
        <f aca="false">Q!M13</f>
        <v>24.835</v>
      </c>
      <c r="F5266" s="6" t="n">
        <f aca="false">Sens!E5266*(1+Sens!F5267)</f>
        <v>27.6114901218559</v>
      </c>
      <c r="G5266" s="6" t="n">
        <f aca="false">Sens!F5266*(1+Sens!G5267)</f>
        <v>30.4675667338515</v>
      </c>
      <c r="H5266" s="6" t="n">
        <f aca="false">Sens!G5266*(1+Sens!H5267)</f>
        <v>33.3643766955789</v>
      </c>
      <c r="I5266" s="6" t="n">
        <f aca="false">Sens!H5266*(1+Sens!I5267)</f>
        <v>36.2577016533691</v>
      </c>
      <c r="J5266" s="6" t="n">
        <f aca="false">Sens!I5266*(1+Sens!J5267)</f>
        <v>39.0988367952171</v>
      </c>
      <c r="K5266" s="6" t="n">
        <f aca="false">Sens!J5266*(1+Sens!K5267)</f>
        <v>41.8357553708823</v>
      </c>
    </row>
    <row r="5267" customFormat="false" ht="15" hidden="false" customHeight="false" outlineLevel="0" collapsed="false">
      <c r="A5267" s="1" t="s">
        <v>866</v>
      </c>
      <c r="B5267" s="0" t="s">
        <v>129</v>
      </c>
      <c r="E5267" s="7" t="n">
        <f aca="false">Sens!E5266/Sens!D5266-1</f>
        <v>0.120156961796942</v>
      </c>
      <c r="F5267" s="7" t="n">
        <f aca="false">Sens!$E$5267+(glt_srch-Sens!$E$5267)*MIN(1,(Sens!F5212-base_fy)/n_conv)</f>
        <v>0.111797468164118</v>
      </c>
      <c r="G5267" s="7" t="n">
        <f aca="false">Sens!$E$5267+(glt_srch-Sens!$E$5267)*MIN(1,(Sens!G5212-base_fy)/n_conv)</f>
        <v>0.103437974531295</v>
      </c>
      <c r="H5267" s="7" t="n">
        <f aca="false">Sens!$E$5267+(glt_srch-Sens!$E$5267)*MIN(1,(Sens!H5212-base_fy)/n_conv)</f>
        <v>0.095078480898471</v>
      </c>
      <c r="I5267" s="7" t="n">
        <f aca="false">Sens!$E$5267+(glt_srch-Sens!$E$5267)*MIN(1,(Sens!I5212-base_fy)/n_conv)</f>
        <v>0.0867189872656474</v>
      </c>
      <c r="J5267" s="7" t="n">
        <f aca="false">Sens!$E$5267+(glt_srch-Sens!$E$5267)*MIN(1,(Sens!J5212-base_fy)/n_conv)</f>
        <v>0.0783594936328237</v>
      </c>
      <c r="K5267" s="7" t="n">
        <f aca="false">Sens!$E$5267+(glt_srch-Sens!$E$5267)*MIN(1,(Sens!K5212-base_fy)/n_conv)</f>
        <v>0.07</v>
      </c>
    </row>
    <row r="5268" customFormat="false" ht="15" hidden="false" customHeight="false" outlineLevel="0" collapsed="false">
      <c r="A5268" s="0" t="s">
        <v>878</v>
      </c>
      <c r="B5268" s="0" t="s">
        <v>98</v>
      </c>
      <c r="D5268" s="6" t="n">
        <f aca="false">Q!L14</f>
        <v>23.455</v>
      </c>
      <c r="E5268" s="6" t="n">
        <f aca="false">Q!M14</f>
        <v>21.79</v>
      </c>
      <c r="F5268" s="6" t="n">
        <f aca="false">Sens!E5268*(1+Sens!F5269)</f>
        <v>20.5736277908051</v>
      </c>
      <c r="G5268" s="6" t="n">
        <f aca="false">Sens!F5268*(1+Sens!G5269)</f>
        <v>19.7371452817919</v>
      </c>
      <c r="H5268" s="6" t="n">
        <f aca="false">Sens!G5268*(1+Sens!H5269)</f>
        <v>19.2339764043138</v>
      </c>
      <c r="I5268" s="6" t="n">
        <f aca="false">Sens!H5268*(1+Sens!I5269)</f>
        <v>19.0353086852681</v>
      </c>
      <c r="J5268" s="6" t="n">
        <f aca="false">Sens!I5268*(1+Sens!J5269)</f>
        <v>19.1273539319129</v>
      </c>
      <c r="K5268" s="6" t="n">
        <f aca="false">Sens!J5268*(1+Sens!K5269)</f>
        <v>19.5099010105511</v>
      </c>
    </row>
    <row r="5269" customFormat="false" ht="15" hidden="false" customHeight="false" outlineLevel="0" collapsed="false">
      <c r="A5269" s="1" t="s">
        <v>866</v>
      </c>
      <c r="B5269" s="0" t="s">
        <v>129</v>
      </c>
      <c r="E5269" s="7" t="n">
        <f aca="false">Sens!E5268/Sens!D5268-1</f>
        <v>-0.0709869963760392</v>
      </c>
      <c r="F5269" s="7" t="n">
        <f aca="false">Sens!$E$5269+(glt_xbox-Sens!$E$5269)*MIN(1,(Sens!F5212-base_fy)/n_conv)</f>
        <v>-0.0558224969800327</v>
      </c>
      <c r="G5269" s="7" t="n">
        <f aca="false">Sens!$E$5269+(glt_xbox-Sens!$E$5269)*MIN(1,(Sens!G5212-base_fy)/n_conv)</f>
        <v>-0.0406579975840262</v>
      </c>
      <c r="H5269" s="7" t="n">
        <f aca="false">Sens!$E$5269+(glt_xbox-Sens!$E$5269)*MIN(1,(Sens!H5212-base_fy)/n_conv)</f>
        <v>-0.0254934981880196</v>
      </c>
      <c r="I5269" s="7" t="n">
        <f aca="false">Sens!$E$5269+(glt_xbox-Sens!$E$5269)*MIN(1,(Sens!I5212-base_fy)/n_conv)</f>
        <v>-0.0103289987920131</v>
      </c>
      <c r="J5269" s="7" t="n">
        <f aca="false">Sens!$E$5269+(glt_xbox-Sens!$E$5269)*MIN(1,(Sens!J5212-base_fy)/n_conv)</f>
        <v>0.00483550060399347</v>
      </c>
      <c r="K5269" s="7" t="n">
        <f aca="false">Sens!$E$5269+(glt_xbox-Sens!$E$5269)*MIN(1,(Sens!K5212-base_fy)/n_conv)</f>
        <v>0.02</v>
      </c>
    </row>
    <row r="5270" customFormat="false" ht="15" hidden="false" customHeight="false" outlineLevel="0" collapsed="false">
      <c r="A5270" s="0" t="s">
        <v>879</v>
      </c>
      <c r="B5270" s="0" t="s">
        <v>98</v>
      </c>
      <c r="D5270" s="6" t="n">
        <f aca="false">Q!L15</f>
        <v>17.315</v>
      </c>
      <c r="E5270" s="6" t="n">
        <f aca="false">Q!M15</f>
        <v>17.087</v>
      </c>
      <c r="F5270" s="6" t="n">
        <f aca="false">Sens!E5270*(1+Sens!F5271)</f>
        <v>16.9564585436519</v>
      </c>
      <c r="G5270" s="6" t="n">
        <f aca="false">Sens!F5270*(1+Sens!G5271)</f>
        <v>16.9206490624268</v>
      </c>
      <c r="H5270" s="6" t="n">
        <f aca="false">Sens!G5270*(1+Sens!H5271)</f>
        <v>16.9784519149849</v>
      </c>
      <c r="I5270" s="6" t="n">
        <f aca="false">Sens!H5270*(1+Sens!I5271)</f>
        <v>17.1303084701817</v>
      </c>
      <c r="J5270" s="6" t="n">
        <f aca="false">Sens!I5270*(1+Sens!J5271)</f>
        <v>17.3782189407267</v>
      </c>
      <c r="K5270" s="6" t="n">
        <f aca="false">Sens!J5270*(1+Sens!K5271)</f>
        <v>17.7257833195413</v>
      </c>
    </row>
    <row r="5271" customFormat="false" ht="15" hidden="false" customHeight="false" outlineLevel="0" collapsed="false">
      <c r="A5271" s="1" t="s">
        <v>866</v>
      </c>
      <c r="B5271" s="0" t="s">
        <v>129</v>
      </c>
      <c r="E5271" s="7" t="n">
        <f aca="false">Sens!E5270/Sens!D5270-1</f>
        <v>-0.0131677736066995</v>
      </c>
      <c r="F5271" s="7" t="n">
        <f aca="false">Sens!$E$5271+(glt_win-Sens!$E$5271)*MIN(1,(Sens!F5212-base_fy)/n_conv)</f>
        <v>-0.00763981133891627</v>
      </c>
      <c r="G5271" s="7" t="n">
        <f aca="false">Sens!$E$5271+(glt_win-Sens!$E$5271)*MIN(1,(Sens!G5212-base_fy)/n_conv)</f>
        <v>-0.00211184907113301</v>
      </c>
      <c r="H5271" s="7" t="n">
        <f aca="false">Sens!$E$5271+(glt_win-Sens!$E$5271)*MIN(1,(Sens!H5212-base_fy)/n_conv)</f>
        <v>0.00341611319665024</v>
      </c>
      <c r="I5271" s="7" t="n">
        <f aca="false">Sens!$E$5271+(glt_win-Sens!$E$5271)*MIN(1,(Sens!I5212-base_fy)/n_conv)</f>
        <v>0.00894407546443349</v>
      </c>
      <c r="J5271" s="7" t="n">
        <f aca="false">Sens!$E$5271+(glt_win-Sens!$E$5271)*MIN(1,(Sens!J5212-base_fy)/n_conv)</f>
        <v>0.0144720377322168</v>
      </c>
      <c r="K5271" s="7" t="n">
        <f aca="false">Sens!$E$5271+(glt_win-Sens!$E$5271)*MIN(1,(Sens!K5212-base_fy)/n_conv)</f>
        <v>0.02</v>
      </c>
    </row>
    <row r="5272" customFormat="false" ht="15" hidden="false" customHeight="false" outlineLevel="0" collapsed="false">
      <c r="A5272" s="0" t="s">
        <v>718</v>
      </c>
      <c r="B5272" s="0" t="s">
        <v>98</v>
      </c>
      <c r="D5272" s="6" t="n">
        <f aca="false">Sens!D5266+Sens!D5268+Sens!D5270</f>
        <v>62.941</v>
      </c>
      <c r="E5272" s="6" t="n">
        <f aca="false">Sens!E5266+Sens!E5268+Sens!E5270</f>
        <v>63.712</v>
      </c>
      <c r="F5272" s="6" t="n">
        <f aca="false">Sens!F5266+Sens!F5268+Sens!F5270</f>
        <v>65.1415764563129</v>
      </c>
      <c r="G5272" s="6" t="n">
        <f aca="false">Sens!G5266+Sens!G5268+Sens!G5270</f>
        <v>67.1253610780702</v>
      </c>
      <c r="H5272" s="6" t="n">
        <f aca="false">Sens!H5266+Sens!H5268+Sens!H5270</f>
        <v>69.5768050148776</v>
      </c>
      <c r="I5272" s="6" t="n">
        <f aca="false">Sens!I5266+Sens!I5268+Sens!I5270</f>
        <v>72.4233188088189</v>
      </c>
      <c r="J5272" s="6" t="n">
        <f aca="false">Sens!J5266+Sens!J5268+Sens!J5270</f>
        <v>75.6044096678567</v>
      </c>
      <c r="K5272" s="6" t="n">
        <f aca="false">Sens!K5266+Sens!K5268+Sens!K5270</f>
        <v>79.0714397009747</v>
      </c>
    </row>
    <row r="5273" customFormat="false" ht="15" hidden="false" customHeight="false" outlineLevel="0" collapsed="false">
      <c r="A5273" s="1" t="s">
        <v>880</v>
      </c>
      <c r="B5273" s="0" t="s">
        <v>98</v>
      </c>
      <c r="D5273" s="6" t="n">
        <f aca="false">Sens!D5265+Sens!D5272</f>
        <v>281.724</v>
      </c>
      <c r="E5273" s="6" t="n">
        <f aca="false">Sens!E5265+Sens!E5272</f>
        <v>331.839</v>
      </c>
      <c r="F5273" s="6" t="n">
        <f aca="false">Sens!F5265+Sens!F5272</f>
        <v>402.325517363364</v>
      </c>
      <c r="G5273" s="6" t="n">
        <f aca="false">Sens!G5265+Sens!G5272</f>
        <v>484.866031959962</v>
      </c>
      <c r="H5273" s="6" t="n">
        <f aca="false">Sens!H5265+Sens!H5272</f>
        <v>573.973080296262</v>
      </c>
      <c r="I5273" s="6" t="n">
        <f aca="false">Sens!I5265+Sens!I5272</f>
        <v>650.662079253422</v>
      </c>
      <c r="J5273" s="6" t="n">
        <f aca="false">Sens!J5265+Sens!J5272</f>
        <v>713.008197211934</v>
      </c>
      <c r="K5273" s="6" t="n">
        <f aca="false">Sens!K5265+Sens!K5272</f>
        <v>762.231090938368</v>
      </c>
    </row>
    <row r="5274" customFormat="false" ht="15" hidden="false" customHeight="false" outlineLevel="0" collapsed="false">
      <c r="A5274" s="23" t="s">
        <v>881</v>
      </c>
      <c r="B5274" s="30" t="s">
        <v>98</v>
      </c>
      <c r="C5274" s="30"/>
      <c r="D5274" s="24" t="n">
        <f aca="false">(Sens!D5253+Sens!D5258+Sens!D5259+Sens!D5261+Sens!D5263-Sens!D5265)+(Sens!D5266+Sens!D5268+Sens!D5270-Sens!D5272)+(Sens!D5265-Q!L5)+(Sens!D5272-Q!L12)+(Sens!D5253-Q!L6)+(Sens!D5258-Q!L7)</f>
        <v>0</v>
      </c>
      <c r="E5274" s="24" t="n">
        <f aca="false">(Sens!E5253+Sens!E5258+Sens!E5259+Sens!E5261+Sens!E5263-Sens!E5265)+(Sens!E5266+Sens!E5268+Sens!E5270-Sens!E5272)+(Sens!E5265-Q!M5)+(Sens!E5272-Q!M12)+(Sens!E5253-Q!M6)+(Sens!E5258-Q!M7)</f>
        <v>0</v>
      </c>
      <c r="F5274" s="24" t="n">
        <f aca="false">(Sens!F5253+Sens!F5258+Sens!F5259+Sens!F5261+Sens!F5263-Sens!F5265)+(Sens!F5266+Sens!F5268+Sens!F5270-Sens!F5272)</f>
        <v>0</v>
      </c>
      <c r="G5274" s="24" t="n">
        <f aca="false">(Sens!G5253+Sens!G5258+Sens!G5259+Sens!G5261+Sens!G5263-Sens!G5265)+(Sens!G5266+Sens!G5268+Sens!G5270-Sens!G5272)</f>
        <v>0</v>
      </c>
      <c r="H5274" s="24" t="n">
        <f aca="false">(Sens!H5253+Sens!H5258+Sens!H5259+Sens!H5261+Sens!H5263-Sens!H5265)+(Sens!H5266+Sens!H5268+Sens!H5270-Sens!H5272)</f>
        <v>0</v>
      </c>
      <c r="I5274" s="24" t="n">
        <f aca="false">(Sens!I5253+Sens!I5258+Sens!I5259+Sens!I5261+Sens!I5263-Sens!I5265)+(Sens!I5266+Sens!I5268+Sens!I5270-Sens!I5272)</f>
        <v>0</v>
      </c>
      <c r="J5274" s="24" t="n">
        <f aca="false">(Sens!J5253+Sens!J5258+Sens!J5259+Sens!J5261+Sens!J5263-Sens!J5265)+(Sens!J5266+Sens!J5268+Sens!J5270-Sens!J5272)</f>
        <v>0</v>
      </c>
      <c r="K5274" s="24" t="n">
        <f aca="false">(Sens!K5253+Sens!K5258+Sens!K5259+Sens!K5261+Sens!K5263-Sens!K5265)+(Sens!K5266+Sens!K5268+Sens!K5270-Sens!K5272)</f>
        <v>0</v>
      </c>
    </row>
    <row r="5275" customFormat="false" ht="17.15" hidden="false" customHeight="false" outlineLevel="0" collapsed="false">
      <c r="A5275" s="3" t="s">
        <v>1371</v>
      </c>
    </row>
    <row r="5276" customFormat="false" ht="15" hidden="false" customHeight="false" outlineLevel="0" collapsed="false">
      <c r="A5276" s="4" t="s">
        <v>43</v>
      </c>
      <c r="B5276" s="4" t="s">
        <v>65</v>
      </c>
      <c r="C5276" s="20" t="s">
        <v>788</v>
      </c>
      <c r="D5276" s="20" t="s">
        <v>789</v>
      </c>
      <c r="E5276" s="20" t="s">
        <v>790</v>
      </c>
      <c r="F5276" s="20" t="s">
        <v>791</v>
      </c>
      <c r="G5276" s="20" t="s">
        <v>792</v>
      </c>
      <c r="H5276" s="20" t="s">
        <v>793</v>
      </c>
      <c r="I5276" s="20" t="s">
        <v>794</v>
      </c>
      <c r="J5276" s="20" t="s">
        <v>795</v>
      </c>
      <c r="K5276" s="20" t="s">
        <v>796</v>
      </c>
      <c r="L5276" s="4" t="s">
        <v>47</v>
      </c>
    </row>
    <row r="5277" customFormat="false" ht="15" hidden="false" customHeight="false" outlineLevel="0" collapsed="false">
      <c r="A5277" s="0" t="s">
        <v>867</v>
      </c>
      <c r="B5277" s="0" t="s">
        <v>98</v>
      </c>
      <c r="D5277" s="6" t="n">
        <f aca="false">Sens!D5253</f>
        <v>72.61</v>
      </c>
      <c r="E5277" s="6" t="n">
        <f aca="false">Sens!E5253</f>
        <v>101.938</v>
      </c>
      <c r="F5277" s="6" t="n">
        <f aca="false">Sens!F5253</f>
        <v>148.812368967868</v>
      </c>
      <c r="G5277" s="6" t="n">
        <f aca="false">Sens!G5253</f>
        <v>208.397514344463</v>
      </c>
      <c r="H5277" s="6" t="n">
        <f aca="false">Sens!H5253</f>
        <v>274.05759259987</v>
      </c>
      <c r="I5277" s="6" t="n">
        <f aca="false">Sens!I5253</f>
        <v>328.302405465117</v>
      </c>
      <c r="J5277" s="6" t="n">
        <f aca="false">Sens!J5253</f>
        <v>369.587890439908</v>
      </c>
      <c r="K5277" s="6" t="n">
        <f aca="false">Sens!K5253</f>
        <v>398.390581897217</v>
      </c>
    </row>
    <row r="5278" customFormat="false" ht="17.15" hidden="false" customHeight="false" outlineLevel="0" collapsed="false">
      <c r="A5278" s="0" t="s">
        <v>864</v>
      </c>
      <c r="B5278" s="0" t="s">
        <v>98</v>
      </c>
      <c r="D5278" s="6" t="n">
        <f aca="false">Sens!D5250</f>
        <v>12.9359794422418</v>
      </c>
      <c r="E5278" s="6" t="n">
        <f aca="false">Sens!E5250</f>
        <v>27.8095064661409</v>
      </c>
      <c r="F5278" s="6" t="n">
        <f aca="false">Sens!F5250</f>
        <v>58.7324192305018</v>
      </c>
      <c r="G5278" s="6" t="n">
        <f aca="false">Sens!G5250</f>
        <v>101.369089141153</v>
      </c>
      <c r="H5278" s="6" t="n">
        <f aca="false">Sens!H5250</f>
        <v>149.785610014234</v>
      </c>
      <c r="I5278" s="6" t="n">
        <f aca="false">Sens!I5250</f>
        <v>187.368703083263</v>
      </c>
      <c r="J5278" s="6" t="n">
        <f aca="false">Sens!J5250</f>
        <v>213.569023125577</v>
      </c>
      <c r="K5278" s="6" t="n">
        <f aca="false">Sens!K5250</f>
        <v>229.890205197739</v>
      </c>
    </row>
    <row r="5279" customFormat="false" ht="17.15" hidden="false" customHeight="false" outlineLevel="0" collapsed="false">
      <c r="A5279" s="0" t="s">
        <v>892</v>
      </c>
      <c r="B5279" s="0" t="s">
        <v>98</v>
      </c>
      <c r="D5279" s="6" t="n">
        <f aca="false">Sens!D5251</f>
        <v>59.6740205577583</v>
      </c>
      <c r="E5279" s="6" t="n">
        <f aca="false">Sens!E5251</f>
        <v>74.1284935338591</v>
      </c>
      <c r="F5279" s="6" t="n">
        <f aca="false">Sens!F5251</f>
        <v>90.0799497373663</v>
      </c>
      <c r="G5279" s="6" t="n">
        <f aca="false">Sens!G5251</f>
        <v>107.02842520331</v>
      </c>
      <c r="H5279" s="6" t="n">
        <f aca="false">Sens!H5251</f>
        <v>124.271982585636</v>
      </c>
      <c r="I5279" s="6" t="n">
        <f aca="false">Sens!I5251</f>
        <v>140.933702381855</v>
      </c>
      <c r="J5279" s="6" t="n">
        <f aca="false">Sens!J5251</f>
        <v>156.018867314332</v>
      </c>
      <c r="K5279" s="6" t="n">
        <f aca="false">Sens!K5251</f>
        <v>168.500376699478</v>
      </c>
    </row>
    <row r="5280" customFormat="false" ht="15" hidden="false" customHeight="false" outlineLevel="0" collapsed="false">
      <c r="A5280" s="0" t="s">
        <v>873</v>
      </c>
      <c r="B5280" s="0" t="s">
        <v>98</v>
      </c>
      <c r="D5280" s="6" t="n">
        <f aca="false">Sens!D5258</f>
        <v>84.605</v>
      </c>
      <c r="E5280" s="6" t="n">
        <f aca="false">Sens!E5258</f>
        <v>100.299</v>
      </c>
      <c r="F5280" s="6" t="n">
        <f aca="false">Sens!F5258</f>
        <v>118.14238776686</v>
      </c>
      <c r="G5280" s="6" t="n">
        <f aca="false">Sens!G5258</f>
        <v>134.794168448684</v>
      </c>
      <c r="H5280" s="6" t="n">
        <f aca="false">Sens!H5258</f>
        <v>151.527359388781</v>
      </c>
      <c r="I5280" s="6" t="n">
        <f aca="false">Sens!I5258</f>
        <v>166.959028071957</v>
      </c>
      <c r="J5280" s="6" t="n">
        <f aca="false">Sens!J5258</f>
        <v>180.807702785465</v>
      </c>
      <c r="K5280" s="6" t="n">
        <f aca="false">Sens!K5258</f>
        <v>193.902991980448</v>
      </c>
    </row>
    <row r="5281" customFormat="false" ht="17.15" hidden="false" customHeight="false" outlineLevel="0" collapsed="false">
      <c r="A5281" s="0" t="s">
        <v>893</v>
      </c>
      <c r="B5281" s="0" t="s">
        <v>98</v>
      </c>
      <c r="D5281" s="6" t="n">
        <f aca="false">Sens!D5256</f>
        <v>83.705</v>
      </c>
      <c r="E5281" s="6" t="n">
        <f aca="false">Sens!E5256</f>
        <v>95.049</v>
      </c>
      <c r="F5281" s="6" t="n">
        <f aca="false">Sens!F5256</f>
        <v>106.89238776686</v>
      </c>
      <c r="G5281" s="6" t="n">
        <f aca="false">Sens!G5256</f>
        <v>119.044168448684</v>
      </c>
      <c r="H5281" s="6" t="n">
        <f aca="false">Sens!H5256</f>
        <v>131.277359388781</v>
      </c>
      <c r="I5281" s="6" t="n">
        <f aca="false">Sens!I5256</f>
        <v>143.334028071957</v>
      </c>
      <c r="J5281" s="6" t="n">
        <f aca="false">Sens!J5256</f>
        <v>154.932702785465</v>
      </c>
      <c r="K5281" s="6" t="n">
        <f aca="false">Sens!K5256</f>
        <v>165.777991980448</v>
      </c>
    </row>
    <row r="5282" customFormat="false" ht="17.15" hidden="false" customHeight="false" outlineLevel="0" collapsed="false">
      <c r="A5282" s="0" t="s">
        <v>894</v>
      </c>
      <c r="B5282" s="0" t="s">
        <v>98</v>
      </c>
      <c r="D5282" s="6" t="n">
        <f aca="false">Sens!D5255</f>
        <v>0.9</v>
      </c>
      <c r="E5282" s="6" t="n">
        <f aca="false">Sens!E5255</f>
        <v>5.25</v>
      </c>
      <c r="F5282" s="6" t="n">
        <f aca="false">Sens!F5255</f>
        <v>11.25</v>
      </c>
      <c r="G5282" s="6" t="n">
        <f aca="false">Sens!G5255</f>
        <v>15.75</v>
      </c>
      <c r="H5282" s="6" t="n">
        <f aca="false">Sens!H5255</f>
        <v>20.25</v>
      </c>
      <c r="I5282" s="6" t="n">
        <f aca="false">Sens!I5255</f>
        <v>23.625</v>
      </c>
      <c r="J5282" s="6" t="n">
        <f aca="false">Sens!J5255</f>
        <v>25.875</v>
      </c>
      <c r="K5282" s="6" t="n">
        <f aca="false">Sens!K5255</f>
        <v>28.125</v>
      </c>
    </row>
    <row r="5283" customFormat="false" ht="15" hidden="false" customHeight="false" outlineLevel="0" collapsed="false">
      <c r="A5283" s="0" t="s">
        <v>874</v>
      </c>
      <c r="B5283" s="0" t="s">
        <v>98</v>
      </c>
      <c r="D5283" s="6" t="n">
        <f aca="false">Sens!D5259</f>
        <v>35.391</v>
      </c>
      <c r="E5283" s="6" t="n">
        <f aca="false">Sens!E5259</f>
        <v>37.285</v>
      </c>
      <c r="F5283" s="6" t="n">
        <f aca="false">Sens!F5259</f>
        <v>39.0720834331704</v>
      </c>
      <c r="G5283" s="6" t="n">
        <f aca="false">Sens!G5259</f>
        <v>40.726562953769</v>
      </c>
      <c r="H5283" s="6" t="n">
        <f aca="false">Sens!H5259</f>
        <v>42.2235987259198</v>
      </c>
      <c r="I5283" s="6" t="n">
        <f aca="false">Sens!I5259</f>
        <v>43.5397988077414</v>
      </c>
      <c r="J5283" s="6" t="n">
        <f aca="false">Sens!J5259</f>
        <v>44.653811225693</v>
      </c>
      <c r="K5283" s="6" t="n">
        <f aca="false">Sens!K5259</f>
        <v>45.5468874502068</v>
      </c>
    </row>
    <row r="5284" customFormat="false" ht="15" hidden="false" customHeight="false" outlineLevel="0" collapsed="false">
      <c r="A5284" s="0" t="s">
        <v>875</v>
      </c>
      <c r="B5284" s="0" t="s">
        <v>98</v>
      </c>
      <c r="D5284" s="6" t="n">
        <f aca="false">Sens!D5261</f>
        <v>18.417</v>
      </c>
      <c r="E5284" s="6" t="n">
        <f aca="false">Sens!E5261</f>
        <v>20.345</v>
      </c>
      <c r="F5284" s="6" t="n">
        <f aca="false">Sens!F5261</f>
        <v>22.3572203267814</v>
      </c>
      <c r="G5284" s="6" t="n">
        <f aca="false">Sens!G5261</f>
        <v>24.4392124437232</v>
      </c>
      <c r="H5284" s="6" t="n">
        <f aca="false">Sens!H5261</f>
        <v>26.5738052080665</v>
      </c>
      <c r="I5284" s="6" t="n">
        <f aca="false">Sens!I5261</f>
        <v>28.7412169166967</v>
      </c>
      <c r="J5284" s="6" t="n">
        <f aca="false">Sens!J5261</f>
        <v>30.9192545395413</v>
      </c>
      <c r="K5284" s="6" t="n">
        <f aca="false">Sens!K5261</f>
        <v>33.0836023573092</v>
      </c>
    </row>
    <row r="5285" customFormat="false" ht="15" hidden="false" customHeight="false" outlineLevel="0" collapsed="false">
      <c r="A5285" s="0" t="s">
        <v>876</v>
      </c>
      <c r="B5285" s="0" t="s">
        <v>98</v>
      </c>
      <c r="D5285" s="6" t="n">
        <f aca="false">Sens!D5263</f>
        <v>7.76</v>
      </c>
      <c r="E5285" s="6" t="n">
        <f aca="false">Sens!E5263</f>
        <v>8.26</v>
      </c>
      <c r="F5285" s="6" t="n">
        <f aca="false">Sens!F5263</f>
        <v>8.79988041237113</v>
      </c>
      <c r="G5285" s="6" t="n">
        <f aca="false">Sens!G5263</f>
        <v>9.38321269125306</v>
      </c>
      <c r="H5285" s="6" t="n">
        <f aca="false">Sens!H5263</f>
        <v>10.0139193587476</v>
      </c>
      <c r="I5285" s="6" t="n">
        <f aca="false">Sens!I5263</f>
        <v>10.6963111830911</v>
      </c>
      <c r="J5285" s="6" t="n">
        <f aca="false">Sens!J5263</f>
        <v>11.4351285534696</v>
      </c>
      <c r="K5285" s="6" t="n">
        <f aca="false">Sens!K5263</f>
        <v>12.2355875522124</v>
      </c>
    </row>
    <row r="5286" customFormat="false" ht="15" hidden="false" customHeight="false" outlineLevel="0" collapsed="false">
      <c r="A5286" s="0" t="s">
        <v>704</v>
      </c>
      <c r="B5286" s="0" t="s">
        <v>98</v>
      </c>
      <c r="D5286" s="6" t="n">
        <f aca="false">Sens!D5265</f>
        <v>218.783</v>
      </c>
      <c r="E5286" s="6" t="n">
        <f aca="false">Sens!E5265</f>
        <v>268.127</v>
      </c>
      <c r="F5286" s="6" t="n">
        <f aca="false">Sens!F5265</f>
        <v>337.183940907051</v>
      </c>
      <c r="G5286" s="6" t="n">
        <f aca="false">Sens!G5265</f>
        <v>417.740670881892</v>
      </c>
      <c r="H5286" s="6" t="n">
        <f aca="false">Sens!H5265</f>
        <v>504.396275281385</v>
      </c>
      <c r="I5286" s="6" t="n">
        <f aca="false">Sens!I5265</f>
        <v>578.238760444604</v>
      </c>
      <c r="J5286" s="6" t="n">
        <f aca="false">Sens!J5265</f>
        <v>637.403787544077</v>
      </c>
      <c r="K5286" s="6" t="n">
        <f aca="false">Sens!K5265</f>
        <v>683.159651237393</v>
      </c>
    </row>
    <row r="5287" customFormat="false" ht="15" hidden="false" customHeight="false" outlineLevel="0" collapsed="false">
      <c r="A5287" s="0" t="s">
        <v>877</v>
      </c>
      <c r="B5287" s="0" t="s">
        <v>98</v>
      </c>
      <c r="D5287" s="6" t="n">
        <f aca="false">Sens!D5266</f>
        <v>22.171</v>
      </c>
      <c r="E5287" s="6" t="n">
        <f aca="false">Sens!E5266</f>
        <v>24.835</v>
      </c>
      <c r="F5287" s="6" t="n">
        <f aca="false">Sens!F5266</f>
        <v>27.6114901218559</v>
      </c>
      <c r="G5287" s="6" t="n">
        <f aca="false">Sens!G5266</f>
        <v>30.4675667338515</v>
      </c>
      <c r="H5287" s="6" t="n">
        <f aca="false">Sens!H5266</f>
        <v>33.3643766955789</v>
      </c>
      <c r="I5287" s="6" t="n">
        <f aca="false">Sens!I5266</f>
        <v>36.2577016533691</v>
      </c>
      <c r="J5287" s="6" t="n">
        <f aca="false">Sens!J5266</f>
        <v>39.0988367952171</v>
      </c>
      <c r="K5287" s="6" t="n">
        <f aca="false">Sens!K5266</f>
        <v>41.8357553708823</v>
      </c>
    </row>
    <row r="5288" customFormat="false" ht="15" hidden="false" customHeight="false" outlineLevel="0" collapsed="false">
      <c r="A5288" s="0" t="s">
        <v>878</v>
      </c>
      <c r="B5288" s="0" t="s">
        <v>98</v>
      </c>
      <c r="D5288" s="6" t="n">
        <f aca="false">Sens!D5268</f>
        <v>23.455</v>
      </c>
      <c r="E5288" s="6" t="n">
        <f aca="false">Sens!E5268</f>
        <v>21.79</v>
      </c>
      <c r="F5288" s="6" t="n">
        <f aca="false">Sens!F5268</f>
        <v>20.5736277908051</v>
      </c>
      <c r="G5288" s="6" t="n">
        <f aca="false">Sens!G5268</f>
        <v>19.7371452817919</v>
      </c>
      <c r="H5288" s="6" t="n">
        <f aca="false">Sens!H5268</f>
        <v>19.2339764043138</v>
      </c>
      <c r="I5288" s="6" t="n">
        <f aca="false">Sens!I5268</f>
        <v>19.0353086852681</v>
      </c>
      <c r="J5288" s="6" t="n">
        <f aca="false">Sens!J5268</f>
        <v>19.1273539319129</v>
      </c>
      <c r="K5288" s="6" t="n">
        <f aca="false">Sens!K5268</f>
        <v>19.5099010105511</v>
      </c>
    </row>
    <row r="5289" customFormat="false" ht="15" hidden="false" customHeight="false" outlineLevel="0" collapsed="false">
      <c r="A5289" s="0" t="s">
        <v>879</v>
      </c>
      <c r="B5289" s="0" t="s">
        <v>98</v>
      </c>
      <c r="D5289" s="6" t="n">
        <f aca="false">Sens!D5270</f>
        <v>17.315</v>
      </c>
      <c r="E5289" s="6" t="n">
        <f aca="false">Sens!E5270</f>
        <v>17.087</v>
      </c>
      <c r="F5289" s="6" t="n">
        <f aca="false">Sens!F5270</f>
        <v>16.9564585436519</v>
      </c>
      <c r="G5289" s="6" t="n">
        <f aca="false">Sens!G5270</f>
        <v>16.9206490624268</v>
      </c>
      <c r="H5289" s="6" t="n">
        <f aca="false">Sens!H5270</f>
        <v>16.9784519149849</v>
      </c>
      <c r="I5289" s="6" t="n">
        <f aca="false">Sens!I5270</f>
        <v>17.1303084701817</v>
      </c>
      <c r="J5289" s="6" t="n">
        <f aca="false">Sens!J5270</f>
        <v>17.3782189407267</v>
      </c>
      <c r="K5289" s="6" t="n">
        <f aca="false">Sens!K5270</f>
        <v>17.7257833195413</v>
      </c>
    </row>
    <row r="5290" customFormat="false" ht="15" hidden="false" customHeight="false" outlineLevel="0" collapsed="false">
      <c r="A5290" s="0" t="s">
        <v>718</v>
      </c>
      <c r="B5290" s="0" t="s">
        <v>98</v>
      </c>
      <c r="D5290" s="6" t="n">
        <f aca="false">Sens!D5272</f>
        <v>62.941</v>
      </c>
      <c r="E5290" s="6" t="n">
        <f aca="false">Sens!E5272</f>
        <v>63.712</v>
      </c>
      <c r="F5290" s="6" t="n">
        <f aca="false">Sens!F5272</f>
        <v>65.1415764563129</v>
      </c>
      <c r="G5290" s="6" t="n">
        <f aca="false">Sens!G5272</f>
        <v>67.1253610780702</v>
      </c>
      <c r="H5290" s="6" t="n">
        <f aca="false">Sens!H5272</f>
        <v>69.5768050148776</v>
      </c>
      <c r="I5290" s="6" t="n">
        <f aca="false">Sens!I5272</f>
        <v>72.4233188088189</v>
      </c>
      <c r="J5290" s="6" t="n">
        <f aca="false">Sens!J5272</f>
        <v>75.6044096678567</v>
      </c>
      <c r="K5290" s="6" t="n">
        <f aca="false">Sens!K5272</f>
        <v>79.0714397009747</v>
      </c>
    </row>
    <row r="5291" customFormat="false" ht="15" hidden="false" customHeight="false" outlineLevel="0" collapsed="false">
      <c r="A5291" s="1" t="s">
        <v>895</v>
      </c>
      <c r="B5291" s="0" t="s">
        <v>98</v>
      </c>
      <c r="D5291" s="6" t="n">
        <f aca="false">Sens!D5273</f>
        <v>281.724</v>
      </c>
      <c r="E5291" s="6" t="n">
        <f aca="false">Sens!E5273</f>
        <v>331.839</v>
      </c>
      <c r="F5291" s="6" t="n">
        <f aca="false">Sens!F5273</f>
        <v>402.325517363364</v>
      </c>
      <c r="G5291" s="6" t="n">
        <f aca="false">Sens!G5273</f>
        <v>484.866031959962</v>
      </c>
      <c r="H5291" s="6" t="n">
        <f aca="false">Sens!H5273</f>
        <v>573.973080296262</v>
      </c>
      <c r="I5291" s="6" t="n">
        <f aca="false">Sens!I5273</f>
        <v>650.662079253422</v>
      </c>
      <c r="J5291" s="6" t="n">
        <f aca="false">Sens!J5273</f>
        <v>713.008197211934</v>
      </c>
      <c r="K5291" s="6" t="n">
        <f aca="false">Sens!K5273</f>
        <v>762.231090938368</v>
      </c>
    </row>
    <row r="5292" customFormat="false" ht="15" hidden="false" customHeight="false" outlineLevel="0" collapsed="false">
      <c r="A5292" s="1" t="s">
        <v>896</v>
      </c>
      <c r="B5292" s="0" t="s">
        <v>129</v>
      </c>
      <c r="E5292" s="7" t="n">
        <f aca="false">Sens!E5291/Sens!D5291-1</f>
        <v>0.177886867998467</v>
      </c>
      <c r="F5292" s="7" t="n">
        <f aca="false">Sens!F5291/Sens!E5291-1</f>
        <v>0.212411794163325</v>
      </c>
      <c r="G5292" s="7" t="n">
        <f aca="false">Sens!G5291/Sens!F5291-1</f>
        <v>0.205158537140589</v>
      </c>
      <c r="H5292" s="7" t="n">
        <f aca="false">Sens!H5291/Sens!G5291-1</f>
        <v>0.183776636148556</v>
      </c>
      <c r="I5292" s="7" t="n">
        <f aca="false">Sens!I5291/Sens!H5291-1</f>
        <v>0.133610793937542</v>
      </c>
      <c r="J5292" s="7" t="n">
        <f aca="false">Sens!J5291/Sens!I5291-1</f>
        <v>0.0958195043885888</v>
      </c>
      <c r="K5292" s="7" t="n">
        <f aca="false">Sens!K5291/Sens!J5291-1</f>
        <v>0.0690355228998902</v>
      </c>
    </row>
    <row r="5293" customFormat="false" ht="17.15" hidden="false" customHeight="false" outlineLevel="0" collapsed="false">
      <c r="A5293" s="23" t="s">
        <v>897</v>
      </c>
      <c r="B5293" s="30" t="s">
        <v>98</v>
      </c>
      <c r="C5293" s="30"/>
      <c r="D5293" s="24" t="n">
        <f aca="false">(Sens!D5286+Sens!D5290-Sens!D5291)+(Sens!D5278+Sens!D5279-Sens!D5277)+(Sens!D5281+Sens!D5282-Sens!D5280)+(Sens!D5291-Q!L18)</f>
        <v>0</v>
      </c>
      <c r="E5293" s="24" t="n">
        <f aca="false">(Sens!E5286+Sens!E5290-Sens!E5291)+(Sens!E5278+Sens!E5279-Sens!E5277)+(Sens!E5281+Sens!E5282-Sens!E5280)+(Sens!E5291-Q!M18)</f>
        <v>0</v>
      </c>
      <c r="F5293" s="24" t="n">
        <f aca="false">(Sens!F5286+Sens!F5290-Sens!F5291)+(Sens!F5278+Sens!F5279-Sens!F5277)+(Sens!F5281+Sens!F5282-Sens!F5280)</f>
        <v>0</v>
      </c>
      <c r="G5293" s="24" t="n">
        <f aca="false">(Sens!G5286+Sens!G5290-Sens!G5291)+(Sens!G5278+Sens!G5279-Sens!G5277)+(Sens!G5281+Sens!G5282-Sens!G5280)</f>
        <v>0</v>
      </c>
      <c r="H5293" s="24" t="n">
        <f aca="false">(Sens!H5286+Sens!H5290-Sens!H5291)+(Sens!H5278+Sens!H5279-Sens!H5277)+(Sens!H5281+Sens!H5282-Sens!H5280)</f>
        <v>0</v>
      </c>
      <c r="I5293" s="24" t="n">
        <f aca="false">(Sens!I5286+Sens!I5290-Sens!I5291)+(Sens!I5278+Sens!I5279-Sens!I5277)+(Sens!I5281+Sens!I5282-Sens!I5280)</f>
        <v>0</v>
      </c>
      <c r="J5293" s="24" t="n">
        <f aca="false">(Sens!J5286+Sens!J5290-Sens!J5291)+(Sens!J5278+Sens!J5279-Sens!J5277)+(Sens!J5281+Sens!J5282-Sens!J5280)</f>
        <v>0</v>
      </c>
      <c r="K5293" s="24" t="n">
        <f aca="false">(Sens!K5286+Sens!K5290-Sens!K5291)+(Sens!K5278+Sens!K5279-Sens!K5277)+(Sens!K5281+Sens!K5282-Sens!K5280)</f>
        <v>0</v>
      </c>
    </row>
    <row r="5294" customFormat="false" ht="17.15" hidden="false" customHeight="false" outlineLevel="0" collapsed="false">
      <c r="A5294" s="0" t="s">
        <v>898</v>
      </c>
      <c r="B5294" s="0" t="s">
        <v>129</v>
      </c>
      <c r="E5294" s="7" t="n">
        <f aca="false">(Q!M21+Sens!E5231+Sens!E5232+Sens!E5233+Sens!E5246-Sens!E5229)/(Q!M5-Sens!E5229)</f>
        <v>0.570957350878296</v>
      </c>
      <c r="F5294" s="7" t="n">
        <f aca="false">Sens!$E$5294+dm_seg</f>
        <v>0.570957350878296</v>
      </c>
      <c r="G5294" s="7" t="n">
        <f aca="false">Sens!$E$5294+dm_seg</f>
        <v>0.570957350878296</v>
      </c>
      <c r="H5294" s="7" t="n">
        <f aca="false">Sens!$E$5294+dm_seg</f>
        <v>0.570957350878296</v>
      </c>
      <c r="I5294" s="7" t="n">
        <f aca="false">Sens!$E$5294+dm_seg</f>
        <v>0.570957350878296</v>
      </c>
      <c r="J5294" s="7" t="n">
        <f aca="false">Sens!$E$5294+dm_seg</f>
        <v>0.570957350878296</v>
      </c>
      <c r="K5294" s="7" t="n">
        <f aca="false">Sens!$E$5294+dm_seg</f>
        <v>0.570957350878296</v>
      </c>
      <c r="L5294" s="11" t="s">
        <v>899</v>
      </c>
    </row>
    <row r="5295" customFormat="false" ht="17.15" hidden="false" customHeight="false" outlineLevel="0" collapsed="false">
      <c r="A5295" s="0" t="s">
        <v>732</v>
      </c>
      <c r="B5295" s="0" t="s">
        <v>98</v>
      </c>
      <c r="D5295" s="6" t="n">
        <f aca="false">Q!L21</f>
        <v>110.814</v>
      </c>
      <c r="E5295" s="6" t="n">
        <f aca="false">Q!M21</f>
        <v>136.365</v>
      </c>
      <c r="F5295" s="6" t="n">
        <f aca="false">Sens!F5294*(Sens!F5265-Sens!F5229)+Sens!F5229-(Sens!F5231+Sens!F5232+Sens!F5233)-Sens!F5246</f>
        <v>160.83208056283</v>
      </c>
      <c r="G5295" s="6" t="n">
        <f aca="false">Sens!G5294*(Sens!G5265-Sens!G5229)+Sens!G5229-(Sens!G5231+Sens!G5232+Sens!G5233)-Sens!G5246</f>
        <v>187.802118149269</v>
      </c>
      <c r="H5295" s="6" t="n">
        <f aca="false">Sens!H5294*(Sens!H5265-Sens!H5229)+Sens!H5229-(Sens!H5231+Sens!H5232+Sens!H5233)-Sens!H5246</f>
        <v>219.618943800192</v>
      </c>
      <c r="I5295" s="6" t="n">
        <f aca="false">Sens!I5294*(Sens!I5265-Sens!I5229)+Sens!I5229-(Sens!I5231+Sens!I5232+Sens!I5233)-Sens!I5246</f>
        <v>243.960073510226</v>
      </c>
      <c r="J5295" s="6" t="n">
        <f aca="false">Sens!J5294*(Sens!J5265-Sens!J5229)+Sens!J5229-(Sens!J5231+Sens!J5232+Sens!J5233)-Sens!J5246</f>
        <v>265.248897827888</v>
      </c>
      <c r="K5295" s="6" t="n">
        <f aca="false">Sens!K5294*(Sens!K5265-Sens!K5229)+Sens!K5229-(Sens!K5231+Sens!K5232+Sens!K5233)-Sens!K5246</f>
        <v>284.404366946456</v>
      </c>
      <c r="L5295" s="1" t="s">
        <v>900</v>
      </c>
    </row>
    <row r="5296" customFormat="false" ht="17.15" hidden="false" customHeight="false" outlineLevel="0" collapsed="false">
      <c r="A5296" s="0" t="s">
        <v>901</v>
      </c>
      <c r="B5296" s="0" t="s">
        <v>129</v>
      </c>
      <c r="E5296" s="7" t="n">
        <f aca="false">Q!M22/Q!M12</f>
        <v>0.296207935710698</v>
      </c>
      <c r="F5296" s="7" t="n">
        <f aca="false">Sens!$E$5296+dm_seg</f>
        <v>0.296207935710698</v>
      </c>
      <c r="G5296" s="7" t="n">
        <f aca="false">Sens!$E$5296+dm_seg</f>
        <v>0.296207935710698</v>
      </c>
      <c r="H5296" s="7" t="n">
        <f aca="false">Sens!$E$5296+dm_seg</f>
        <v>0.296207935710698</v>
      </c>
      <c r="I5296" s="7" t="n">
        <f aca="false">Sens!$E$5296+dm_seg</f>
        <v>0.296207935710698</v>
      </c>
      <c r="J5296" s="7" t="n">
        <f aca="false">Sens!$E$5296+dm_seg</f>
        <v>0.296207935710698</v>
      </c>
      <c r="K5296" s="7" t="n">
        <f aca="false">Sens!$E$5296+dm_seg</f>
        <v>0.296207935710698</v>
      </c>
      <c r="L5296" s="11" t="s">
        <v>902</v>
      </c>
    </row>
    <row r="5297" customFormat="false" ht="17.15" hidden="false" customHeight="false" outlineLevel="0" collapsed="false">
      <c r="A5297" s="0" t="s">
        <v>734</v>
      </c>
      <c r="B5297" s="0" t="s">
        <v>98</v>
      </c>
      <c r="D5297" s="6" t="n">
        <f aca="false">Q!L22</f>
        <v>17.714</v>
      </c>
      <c r="E5297" s="6" t="n">
        <f aca="false">Q!M22</f>
        <v>18.872</v>
      </c>
      <c r="F5297" s="6" t="n">
        <f aca="false">Sens!F5272*Sens!F5296</f>
        <v>19.2954518910651</v>
      </c>
      <c r="G5297" s="6" t="n">
        <f aca="false">Sens!G5272*Sens!G5296</f>
        <v>19.8830646387704</v>
      </c>
      <c r="H5297" s="6" t="n">
        <f aca="false">Sens!H5272*Sens!H5296</f>
        <v>20.6092017868026</v>
      </c>
      <c r="I5297" s="6" t="n">
        <f aca="false">Sens!I5272*Sens!I5296</f>
        <v>21.452361761678</v>
      </c>
      <c r="J5297" s="6" t="n">
        <f aca="false">Sens!J5272*Sens!J5296</f>
        <v>22.3946261183418</v>
      </c>
      <c r="K5297" s="6" t="n">
        <f aca="false">Sens!K5272*Sens!K5296</f>
        <v>23.4215879274986</v>
      </c>
    </row>
    <row r="5298" customFormat="false" ht="15" hidden="false" customHeight="false" outlineLevel="0" collapsed="false">
      <c r="A5298" s="1" t="s">
        <v>903</v>
      </c>
      <c r="B5298" s="0" t="s">
        <v>98</v>
      </c>
      <c r="D5298" s="6" t="n">
        <f aca="false">Sens!D5295+Sens!D5297</f>
        <v>128.528</v>
      </c>
      <c r="E5298" s="6" t="n">
        <f aca="false">Sens!E5295+Sens!E5297</f>
        <v>155.237</v>
      </c>
      <c r="F5298" s="6" t="n">
        <f aca="false">Sens!F5295+Sens!F5297</f>
        <v>180.127532453896</v>
      </c>
      <c r="G5298" s="6" t="n">
        <f aca="false">Sens!G5295+Sens!G5297</f>
        <v>207.68518278804</v>
      </c>
      <c r="H5298" s="6" t="n">
        <f aca="false">Sens!H5295+Sens!H5297</f>
        <v>240.228145586995</v>
      </c>
      <c r="I5298" s="6" t="n">
        <f aca="false">Sens!I5295+Sens!I5297</f>
        <v>265.412435271904</v>
      </c>
      <c r="J5298" s="6" t="n">
        <f aca="false">Sens!J5295+Sens!J5297</f>
        <v>287.64352394623</v>
      </c>
      <c r="K5298" s="6" t="n">
        <f aca="false">Sens!K5295+Sens!K5297</f>
        <v>307.825954873955</v>
      </c>
    </row>
    <row r="5299" customFormat="false" ht="15" hidden="false" customHeight="false" outlineLevel="0" collapsed="false">
      <c r="A5299" s="23" t="s">
        <v>904</v>
      </c>
      <c r="B5299" s="30" t="s">
        <v>98</v>
      </c>
      <c r="C5299" s="30"/>
      <c r="D5299" s="24" t="n">
        <f aca="false">Sens!D5298-Q!L23</f>
        <v>0</v>
      </c>
      <c r="E5299" s="24" t="n">
        <f aca="false">Sens!E5298-Q!M23</f>
        <v>0</v>
      </c>
      <c r="F5299" s="30"/>
      <c r="G5299" s="30"/>
      <c r="H5299" s="30"/>
      <c r="I5299" s="30"/>
      <c r="J5299" s="30"/>
      <c r="K5299" s="30"/>
    </row>
    <row r="5300" customFormat="false" ht="15" hidden="false" customHeight="false" outlineLevel="0" collapsed="false">
      <c r="A5300" s="1" t="s">
        <v>905</v>
      </c>
      <c r="B5300" s="0" t="s">
        <v>129</v>
      </c>
      <c r="D5300" s="7" t="n">
        <f aca="false">Sens!D5298/Sens!D5291</f>
        <v>0.456219562408598</v>
      </c>
      <c r="E5300" s="7" t="n">
        <f aca="false">Sens!E5298/Sens!E5291</f>
        <v>0.467808184089272</v>
      </c>
      <c r="F5300" s="7" t="n">
        <f aca="false">Sens!F5298/Sens!F5291</f>
        <v>0.447715903366904</v>
      </c>
      <c r="G5300" s="7" t="n">
        <f aca="false">Sens!G5298/Sens!G5291</f>
        <v>0.428335187656926</v>
      </c>
      <c r="H5300" s="7" t="n">
        <f aca="false">Sens!H5298/Sens!H5291</f>
        <v>0.418535561742719</v>
      </c>
      <c r="I5300" s="7" t="n">
        <f aca="false">Sens!I5298/Sens!I5291</f>
        <v>0.407911331756787</v>
      </c>
      <c r="J5300" s="7" t="n">
        <f aca="false">Sens!J5298/Sens!J5291</f>
        <v>0.40342246424515</v>
      </c>
      <c r="K5300" s="7" t="n">
        <f aca="false">Sens!K5298/Sens!K5291</f>
        <v>0.403848594649946</v>
      </c>
    </row>
    <row r="5301" customFormat="false" ht="17.15" hidden="false" customHeight="false" outlineLevel="0" collapsed="false">
      <c r="A5301" s="1" t="s">
        <v>906</v>
      </c>
      <c r="B5301" s="0" t="s">
        <v>98</v>
      </c>
      <c r="F5301" s="6" t="n">
        <f aca="false">Sens!F5316</f>
        <v>20.3640364792159</v>
      </c>
      <c r="G5301" s="6" t="n">
        <f aca="false">Sens!G5316</f>
        <v>36.4206034833886</v>
      </c>
      <c r="H5301" s="6" t="n">
        <f aca="false">Sens!H5316</f>
        <v>53.8296265805116</v>
      </c>
      <c r="I5301" s="6" t="n">
        <f aca="false">Sens!I5316</f>
        <v>69.6027603292213</v>
      </c>
      <c r="J5301" s="6" t="n">
        <f aca="false">Sens!J5316</f>
        <v>80.6445191216482</v>
      </c>
      <c r="K5301" s="6" t="n">
        <f aca="false">Sens!K5316</f>
        <v>86.9648170019786</v>
      </c>
      <c r="L5301" s="1" t="s">
        <v>907</v>
      </c>
    </row>
    <row r="5302" customFormat="false" ht="17.15" hidden="false" customHeight="false" outlineLevel="0" collapsed="false">
      <c r="A5302" s="1" t="s">
        <v>908</v>
      </c>
      <c r="B5302" s="0" t="s">
        <v>98</v>
      </c>
      <c r="D5302" s="6" t="n">
        <f aca="false">Sens!D5298</f>
        <v>128.528</v>
      </c>
      <c r="E5302" s="6" t="n">
        <f aca="false">Sens!E5298</f>
        <v>155.237</v>
      </c>
      <c r="F5302" s="6" t="n">
        <f aca="false">Sens!F5298+Sens!F5301</f>
        <v>200.491568933111</v>
      </c>
      <c r="G5302" s="6" t="n">
        <f aca="false">Sens!G5298+Sens!G5301</f>
        <v>244.105786271428</v>
      </c>
      <c r="H5302" s="6" t="n">
        <f aca="false">Sens!H5298+Sens!H5301</f>
        <v>294.057772167506</v>
      </c>
      <c r="I5302" s="6" t="n">
        <f aca="false">Sens!I5298+Sens!I5301</f>
        <v>335.015195601125</v>
      </c>
      <c r="J5302" s="6" t="n">
        <f aca="false">Sens!J5298+Sens!J5301</f>
        <v>368.288043067878</v>
      </c>
      <c r="K5302" s="6" t="n">
        <f aca="false">Sens!K5298+Sens!K5301</f>
        <v>394.790771875934</v>
      </c>
    </row>
    <row r="5303" customFormat="false" ht="17.15" hidden="false" customHeight="false" outlineLevel="0" collapsed="false">
      <c r="A5303" s="1" t="s">
        <v>909</v>
      </c>
      <c r="B5303" s="0" t="s">
        <v>98</v>
      </c>
      <c r="E5303" s="6" t="n">
        <f aca="false">Sens!E5246</f>
        <v>16.3054059770833</v>
      </c>
      <c r="F5303" s="6" t="n">
        <f aca="false">Sens!F5246</f>
        <v>34.7467854558698</v>
      </c>
      <c r="G5303" s="6" t="n">
        <f aca="false">Sens!G5246</f>
        <v>60.5192332603396</v>
      </c>
      <c r="H5303" s="6" t="n">
        <f aca="false">Sens!H5246</f>
        <v>87.7548159931396</v>
      </c>
      <c r="I5303" s="6" t="n">
        <f aca="false">Sens!I5246</f>
        <v>111.999539982221</v>
      </c>
      <c r="J5303" s="6" t="n">
        <f aca="false">Sens!J5246</f>
        <v>129.196210922666</v>
      </c>
      <c r="K5303" s="6" t="n">
        <f aca="false">Sens!K5246</f>
        <v>139.660146804474</v>
      </c>
    </row>
    <row r="5304" customFormat="false" ht="17.15" hidden="false" customHeight="false" outlineLevel="0" collapsed="false">
      <c r="A5304" s="1" t="s">
        <v>910</v>
      </c>
      <c r="B5304" s="0" t="s">
        <v>98</v>
      </c>
      <c r="E5304" s="6" t="n">
        <f aca="false">Sens!E5328</f>
        <v>22.2285940229167</v>
      </c>
      <c r="F5304" s="6" t="n">
        <f aca="false">Sens!F5328</f>
        <v>23.5561693435813</v>
      </c>
      <c r="G5304" s="6" t="n">
        <f aca="false">Sens!G5328</f>
        <v>25.2933417662621</v>
      </c>
      <c r="H5304" s="6" t="n">
        <f aca="false">Sens!H5328</f>
        <v>27.4076589540448</v>
      </c>
      <c r="I5304" s="6" t="n">
        <f aca="false">Sens!I5328</f>
        <v>29.8379830898047</v>
      </c>
      <c r="J5304" s="6" t="n">
        <f aca="false">Sens!J5328</f>
        <v>32.5060261058616</v>
      </c>
      <c r="K5304" s="6" t="n">
        <f aca="false">Sens!K5328</f>
        <v>35.3285437694749</v>
      </c>
    </row>
    <row r="5305" customFormat="false" ht="17.15" hidden="false" customHeight="false" outlineLevel="0" collapsed="false">
      <c r="A5305" s="1" t="s">
        <v>911</v>
      </c>
      <c r="B5305" s="0" t="s">
        <v>98</v>
      </c>
      <c r="D5305" s="6" t="n">
        <f aca="false">Q!L27</f>
        <v>-4.901</v>
      </c>
      <c r="E5305" s="6" t="n">
        <f aca="false">Q!M27</f>
        <v>10.697</v>
      </c>
      <c r="F5305" s="6" t="n">
        <f aca="false">oie_f</f>
        <v>-0.4</v>
      </c>
      <c r="G5305" s="6" t="n">
        <f aca="false">oie_f</f>
        <v>-0.4</v>
      </c>
      <c r="H5305" s="6" t="n">
        <f aca="false">oie_f</f>
        <v>-0.4</v>
      </c>
      <c r="I5305" s="6" t="n">
        <f aca="false">oie_f</f>
        <v>-0.4</v>
      </c>
      <c r="J5305" s="6" t="n">
        <f aca="false">oie_f</f>
        <v>-0.4</v>
      </c>
      <c r="K5305" s="6" t="n">
        <f aca="false">oie_f</f>
        <v>-0.4</v>
      </c>
      <c r="L5305" s="11" t="s">
        <v>912</v>
      </c>
    </row>
    <row r="5306" customFormat="false" ht="15" hidden="false" customHeight="false" outlineLevel="0" collapsed="false">
      <c r="A5306" s="1" t="s">
        <v>913</v>
      </c>
      <c r="B5306" s="0" t="s">
        <v>98</v>
      </c>
      <c r="D5306" s="6" t="n">
        <f aca="false">Sens!D5298+Sens!D5305</f>
        <v>123.627</v>
      </c>
      <c r="E5306" s="6" t="n">
        <f aca="false">Sens!E5298+Sens!E5305</f>
        <v>165.934</v>
      </c>
      <c r="F5306" s="6" t="n">
        <f aca="false">Sens!F5298+Sens!F5305</f>
        <v>179.727532453896</v>
      </c>
      <c r="G5306" s="6" t="n">
        <f aca="false">Sens!G5298+Sens!G5305</f>
        <v>207.28518278804</v>
      </c>
      <c r="H5306" s="6" t="n">
        <f aca="false">Sens!H5298+Sens!H5305</f>
        <v>239.828145586995</v>
      </c>
      <c r="I5306" s="6" t="n">
        <f aca="false">Sens!I5298+Sens!I5305</f>
        <v>265.012435271904</v>
      </c>
      <c r="J5306" s="6" t="n">
        <f aca="false">Sens!J5298+Sens!J5305</f>
        <v>287.24352394623</v>
      </c>
      <c r="K5306" s="6" t="n">
        <f aca="false">Sens!K5298+Sens!K5305</f>
        <v>307.425954873955</v>
      </c>
    </row>
    <row r="5307" customFormat="false" ht="15" hidden="false" customHeight="false" outlineLevel="0" collapsed="false">
      <c r="A5307" s="1" t="s">
        <v>914</v>
      </c>
      <c r="B5307" s="0" t="s">
        <v>98</v>
      </c>
      <c r="D5307" s="6" t="n">
        <f aca="false">Q!L29</f>
        <v>21.795</v>
      </c>
      <c r="E5307" s="6" t="n">
        <f aca="false">Q!M29</f>
        <v>32.185</v>
      </c>
      <c r="F5307" s="6" t="n">
        <f aca="false">Sens!F5306*tax_f</f>
        <v>35.9455064907791</v>
      </c>
      <c r="G5307" s="6" t="n">
        <f aca="false">Sens!G5306*tax_f</f>
        <v>41.4570365576079</v>
      </c>
      <c r="H5307" s="6" t="n">
        <f aca="false">Sens!H5306*tax_f</f>
        <v>47.9656291173989</v>
      </c>
      <c r="I5307" s="6" t="n">
        <f aca="false">Sens!I5306*tax_f</f>
        <v>53.0024870543808</v>
      </c>
      <c r="J5307" s="6" t="n">
        <f aca="false">Sens!J5306*tax_f</f>
        <v>57.448704789246</v>
      </c>
      <c r="K5307" s="6" t="n">
        <f aca="false">Sens!K5306*tax_f</f>
        <v>61.485190974791</v>
      </c>
    </row>
    <row r="5308" customFormat="false" ht="15" hidden="false" customHeight="false" outlineLevel="0" collapsed="false">
      <c r="A5308" s="1" t="s">
        <v>915</v>
      </c>
      <c r="B5308" s="0" t="s">
        <v>98</v>
      </c>
      <c r="D5308" s="6" t="n">
        <f aca="false">Sens!D5306-Sens!D5307</f>
        <v>101.832</v>
      </c>
      <c r="E5308" s="6" t="n">
        <f aca="false">Sens!E5306-Sens!E5307</f>
        <v>133.749</v>
      </c>
      <c r="F5308" s="6" t="n">
        <f aca="false">Sens!F5306-Sens!F5307</f>
        <v>143.782025963116</v>
      </c>
      <c r="G5308" s="6" t="n">
        <f aca="false">Sens!G5306-Sens!G5307</f>
        <v>165.828146230432</v>
      </c>
      <c r="H5308" s="6" t="n">
        <f aca="false">Sens!H5306-Sens!H5307</f>
        <v>191.862516469596</v>
      </c>
      <c r="I5308" s="6" t="n">
        <f aca="false">Sens!I5306-Sens!I5307</f>
        <v>212.009948217523</v>
      </c>
      <c r="J5308" s="6" t="n">
        <f aca="false">Sens!J5306-Sens!J5307</f>
        <v>229.794819156984</v>
      </c>
      <c r="K5308" s="6" t="n">
        <f aca="false">Sens!K5306-Sens!K5307</f>
        <v>245.940763899164</v>
      </c>
    </row>
    <row r="5309" customFormat="false" ht="17.15" hidden="false" customHeight="false" outlineLevel="0" collapsed="false">
      <c r="A5309" s="1" t="s">
        <v>916</v>
      </c>
      <c r="B5309" s="1" t="s">
        <v>81</v>
      </c>
      <c r="D5309" s="14" t="n">
        <f aca="false">Q!L31</f>
        <v>7.465</v>
      </c>
      <c r="E5309" s="14" t="n">
        <f aca="false">Q!M31</f>
        <v>7.453</v>
      </c>
      <c r="F5309" s="14" t="n">
        <f aca="false">Sens!F5350</f>
        <v>7.4735</v>
      </c>
      <c r="G5309" s="14" t="n">
        <f aca="false">Sens!G5350</f>
        <v>7.51037589263088</v>
      </c>
      <c r="H5309" s="14" t="n">
        <f aca="false">Sens!H5350</f>
        <v>7.53000337111171</v>
      </c>
      <c r="I5309" s="14" t="n">
        <f aca="false">Sens!I5350</f>
        <v>7.54178420311903</v>
      </c>
      <c r="J5309" s="14" t="n">
        <f aca="false">Sens!J5350</f>
        <v>7.55602571423691</v>
      </c>
      <c r="K5309" s="14" t="n">
        <f aca="false">Sens!K5350</f>
        <v>7.57254563193865</v>
      </c>
    </row>
    <row r="5310" customFormat="false" ht="17.15" hidden="false" customHeight="false" outlineLevel="0" collapsed="false">
      <c r="A5310" s="0" t="s">
        <v>917</v>
      </c>
      <c r="B5310" s="0" t="s">
        <v>75</v>
      </c>
      <c r="D5310" s="8" t="n">
        <f aca="false">Sens!D5308/Sens!D5309</f>
        <v>13.641259209645</v>
      </c>
      <c r="E5310" s="8" t="n">
        <f aca="false">Sens!E5308/Sens!E5309</f>
        <v>17.9456594659869</v>
      </c>
      <c r="F5310" s="8" t="n">
        <f aca="false">Sens!F5308/Sens!F5309</f>
        <v>19.2389142922481</v>
      </c>
      <c r="G5310" s="8" t="n">
        <f aca="false">Sens!G5308/Sens!G5309</f>
        <v>22.0798730451216</v>
      </c>
      <c r="H5310" s="8" t="n">
        <f aca="false">Sens!H5308/Sens!H5309</f>
        <v>25.4797384561157</v>
      </c>
      <c r="I5310" s="8" t="n">
        <f aca="false">Sens!I5308/Sens!I5309</f>
        <v>28.1113782239809</v>
      </c>
      <c r="J5310" s="8" t="n">
        <f aca="false">Sens!J5308/Sens!J5309</f>
        <v>30.4121277305885</v>
      </c>
      <c r="K5310" s="8" t="n">
        <f aca="false">Sens!K5308/Sens!K5309</f>
        <v>32.4779507252967</v>
      </c>
      <c r="L5310" s="1" t="s">
        <v>918</v>
      </c>
    </row>
    <row r="5311" customFormat="false" ht="17.15" hidden="false" customHeight="false" outlineLevel="0" collapsed="false">
      <c r="A5311" s="1" t="s">
        <v>919</v>
      </c>
      <c r="B5311" s="0" t="s">
        <v>98</v>
      </c>
      <c r="D5311" s="6" t="n">
        <f aca="false">Sens!D5308</f>
        <v>101.832</v>
      </c>
      <c r="E5311" s="6" t="n">
        <f aca="false">Sens!E5308</f>
        <v>133.749</v>
      </c>
      <c r="F5311" s="6" t="n">
        <f aca="false">Sens!F5308+Sens!F5301*(1-tax_f)</f>
        <v>160.073255146489</v>
      </c>
      <c r="G5311" s="6" t="n">
        <f aca="false">Sens!G5308+Sens!G5301*(1-tax_f)</f>
        <v>194.964629017143</v>
      </c>
      <c r="H5311" s="6" t="n">
        <f aca="false">Sens!H5308+Sens!H5301*(1-tax_f)</f>
        <v>234.926217734005</v>
      </c>
      <c r="I5311" s="6" t="n">
        <f aca="false">Sens!I5308+Sens!I5301*(1-tax_f)</f>
        <v>267.6921564809</v>
      </c>
      <c r="J5311" s="6" t="n">
        <f aca="false">Sens!J5308+Sens!J5301*(1-tax_f)</f>
        <v>294.310434454303</v>
      </c>
      <c r="K5311" s="6" t="n">
        <f aca="false">Sens!K5308+Sens!K5301*(1-tax_f)</f>
        <v>315.512617500747</v>
      </c>
    </row>
    <row r="5312" customFormat="false" ht="17.15" hidden="false" customHeight="false" outlineLevel="0" collapsed="false">
      <c r="A5312" s="0" t="s">
        <v>920</v>
      </c>
      <c r="B5312" s="0" t="s">
        <v>75</v>
      </c>
      <c r="D5312" s="8" t="n">
        <f aca="false">Sens!D5311/Sens!D5309</f>
        <v>13.641259209645</v>
      </c>
      <c r="E5312" s="8" t="n">
        <f aca="false">Sens!E5311/Sens!E5309</f>
        <v>17.9456594659869</v>
      </c>
      <c r="F5312" s="8" t="n">
        <f aca="false">Sens!F5311/Sens!F5309</f>
        <v>21.4187803768635</v>
      </c>
      <c r="G5312" s="8" t="n">
        <f aca="false">Sens!G5311/Sens!G5309</f>
        <v>25.9593703170623</v>
      </c>
      <c r="H5312" s="8" t="n">
        <f aca="false">Sens!H5311/Sens!H5309</f>
        <v>31.1986869269251</v>
      </c>
      <c r="I5312" s="8" t="n">
        <f aca="false">Sens!I5311/Sens!I5309</f>
        <v>35.4945393916458</v>
      </c>
      <c r="J5312" s="8" t="n">
        <f aca="false">Sens!J5311/Sens!J5309</f>
        <v>38.9504278551844</v>
      </c>
      <c r="K5312" s="8" t="n">
        <f aca="false">Sens!K5311/Sens!K5309</f>
        <v>41.6653306346564</v>
      </c>
      <c r="L5312" s="1" t="s">
        <v>921</v>
      </c>
    </row>
    <row r="5313" customFormat="false" ht="17.15" hidden="false" customHeight="false" outlineLevel="0" collapsed="false">
      <c r="A5313" s="0" t="s">
        <v>922</v>
      </c>
      <c r="B5313" s="0" t="s">
        <v>129</v>
      </c>
      <c r="E5313" s="7" t="n">
        <f aca="false">Sens!E5312/Sens!D5312-1</f>
        <v>0.315542736208578</v>
      </c>
      <c r="F5313" s="7" t="n">
        <f aca="false">Sens!F5312/Sens!E5312-1</f>
        <v>0.193535429414526</v>
      </c>
      <c r="G5313" s="7" t="n">
        <f aca="false">Sens!G5312/Sens!F5312-1</f>
        <v>0.211991059262347</v>
      </c>
      <c r="H5313" s="7" t="n">
        <f aca="false">Sens!H5312/Sens!G5312-1</f>
        <v>0.201827569231105</v>
      </c>
      <c r="I5313" s="7" t="n">
        <f aca="false">Sens!I5312/Sens!H5312-1</f>
        <v>0.137693373916107</v>
      </c>
      <c r="J5313" s="7" t="n">
        <f aca="false">Sens!J5312/Sens!I5312-1</f>
        <v>0.0973639473217669</v>
      </c>
      <c r="K5313" s="7" t="n">
        <f aca="false">Sens!K5312/Sens!J5312-1</f>
        <v>0.0697014879930429</v>
      </c>
    </row>
    <row r="5314" customFormat="false" ht="17.15" hidden="false" customHeight="false" outlineLevel="0" collapsed="false">
      <c r="A5314" s="0" t="s">
        <v>846</v>
      </c>
      <c r="B5314" s="0" t="s">
        <v>98</v>
      </c>
      <c r="E5314" s="6" t="n">
        <f aca="false">Sens!E5255</f>
        <v>5.25</v>
      </c>
      <c r="F5314" s="6" t="n">
        <f aca="false">Sens!F5255</f>
        <v>11.25</v>
      </c>
      <c r="G5314" s="6" t="n">
        <f aca="false">Sens!G5255</f>
        <v>15.75</v>
      </c>
      <c r="H5314" s="6" t="n">
        <f aca="false">Sens!H5255</f>
        <v>20.25</v>
      </c>
      <c r="I5314" s="6" t="n">
        <f aca="false">Sens!I5255</f>
        <v>23.625</v>
      </c>
      <c r="J5314" s="6" t="n">
        <f aca="false">Sens!J5255</f>
        <v>25.875</v>
      </c>
      <c r="K5314" s="6" t="n">
        <f aca="false">Sens!K5255</f>
        <v>28.125</v>
      </c>
    </row>
    <row r="5315" customFormat="false" ht="17.15" hidden="false" customHeight="false" outlineLevel="0" collapsed="false">
      <c r="A5315" s="1" t="s">
        <v>847</v>
      </c>
      <c r="B5315" s="0" t="s">
        <v>98</v>
      </c>
      <c r="F5315" s="6" t="n">
        <f aca="false">MAX(0,(Sens!E5218+Sens!F5218)/2*Sens!F5226/1000-Sens!F5314*Sens!F5294)</f>
        <v>20.3640364792159</v>
      </c>
      <c r="G5315" s="6" t="n">
        <f aca="false">MAX(0,(Sens!F5218+Sens!G5218)/2*Sens!G5226/1000-Sens!G5314*Sens!G5294)</f>
        <v>36.4206034833886</v>
      </c>
      <c r="H5315" s="6" t="n">
        <f aca="false">MAX(0,(Sens!G5218+Sens!H5218)/2*Sens!H5226/1000-Sens!H5314*Sens!H5294)</f>
        <v>53.8296265805116</v>
      </c>
      <c r="I5315" s="6" t="n">
        <f aca="false">MAX(0,(Sens!H5218+Sens!I5218)/2*Sens!I5226/1000-Sens!I5314*Sens!I5294)</f>
        <v>69.6027603292213</v>
      </c>
      <c r="J5315" s="6" t="n">
        <f aca="false">MAX(0,(Sens!I5218+Sens!J5218)/2*Sens!J5226/1000-Sens!J5314*Sens!J5294)</f>
        <v>80.6445191216482</v>
      </c>
      <c r="K5315" s="6" t="n">
        <f aca="false">MAX(0,(Sens!J5218+Sens!K5218)/2*Sens!K5226/1000-Sens!K5314*Sens!K5294)</f>
        <v>86.9648170019786</v>
      </c>
      <c r="L5315" s="1" t="s">
        <v>848</v>
      </c>
    </row>
    <row r="5316" customFormat="false" ht="17.15" hidden="false" customHeight="false" outlineLevel="0" collapsed="false">
      <c r="A5316" s="1" t="s">
        <v>849</v>
      </c>
      <c r="B5316" s="0" t="s">
        <v>98</v>
      </c>
      <c r="F5316" s="6" t="n">
        <f aca="false">IF(internal_ai_reading=2,1,0)*Sens!F5315</f>
        <v>20.3640364792159</v>
      </c>
      <c r="G5316" s="6" t="n">
        <f aca="false">IF(internal_ai_reading=2,1,0)*Sens!G5315</f>
        <v>36.4206034833886</v>
      </c>
      <c r="H5316" s="6" t="n">
        <f aca="false">IF(internal_ai_reading=2,1,0)*Sens!H5315</f>
        <v>53.8296265805116</v>
      </c>
      <c r="I5316" s="6" t="n">
        <f aca="false">IF(internal_ai_reading=2,1,0)*Sens!I5315</f>
        <v>69.6027603292213</v>
      </c>
      <c r="J5316" s="6" t="n">
        <f aca="false">IF(internal_ai_reading=2,1,0)*Sens!J5315</f>
        <v>80.6445191216482</v>
      </c>
      <c r="K5316" s="6" t="n">
        <f aca="false">IF(internal_ai_reading=2,1,0)*Sens!K5315</f>
        <v>86.9648170019786</v>
      </c>
    </row>
    <row r="5317" customFormat="false" ht="17.15" hidden="false" customHeight="false" outlineLevel="0" collapsed="false">
      <c r="A5317" s="0" t="s">
        <v>850</v>
      </c>
      <c r="B5317" s="0" t="s">
        <v>98</v>
      </c>
      <c r="F5317" s="6" t="n">
        <f aca="false">Sens!F5235+Sens!F5314*Sens!F5294+Sens!F5316-Sens!F5236-Sens!F5246</f>
        <v>28.6354440749543</v>
      </c>
      <c r="G5317" s="6" t="n">
        <f aca="false">Sens!G5235+Sens!G5314*Sens!G5294+Sens!G5316-Sens!G5236-Sens!G5246</f>
        <v>52.5806197051223</v>
      </c>
      <c r="H5317" s="6" t="n">
        <f aca="false">Sens!H5235+Sens!H5314*Sens!H5294+Sens!H5316-Sens!H5236-Sens!H5246</f>
        <v>82.5428907018664</v>
      </c>
      <c r="I5317" s="6" t="n">
        <f aca="false">Sens!I5235+Sens!I5314*Sens!I5294+Sens!I5316-Sens!I5236-Sens!I5246</f>
        <v>103.881568765268</v>
      </c>
      <c r="J5317" s="6" t="n">
        <f aca="false">Sens!J5235+Sens!J5314*Sens!J5294+Sens!J5316-Sens!J5236-Sens!J5246</f>
        <v>118.675364100999</v>
      </c>
      <c r="K5317" s="6" t="n">
        <f aca="false">Sens!K5235+Sens!K5314*Sens!K5294+Sens!K5316-Sens!K5236-Sens!K5246</f>
        <v>128.629837297013</v>
      </c>
    </row>
    <row r="5318" customFormat="false" ht="17.15" hidden="false" customHeight="false" outlineLevel="0" collapsed="false">
      <c r="A5318" s="0" t="s">
        <v>851</v>
      </c>
      <c r="B5318" s="0" t="s">
        <v>98</v>
      </c>
      <c r="E5318" s="6" t="n">
        <f aca="false">Sens!E5217*(cxit_open+self_build*tk_cxfac)/1000*ai_net_open</f>
        <v>126.6980382</v>
      </c>
      <c r="F5318" s="6" t="n">
        <f aca="false">Sens!E5318+Sens!F5243-Sens!F5246</f>
        <v>260.646905514568</v>
      </c>
      <c r="G5318" s="6" t="n">
        <f aca="false">Sens!F5318+Sens!G5243-Sens!G5246</f>
        <v>383.701852737428</v>
      </c>
      <c r="H5318" s="6" t="n">
        <f aca="false">Sens!G5318+Sens!H5243-Sens!H5246</f>
        <v>484.027322654689</v>
      </c>
      <c r="I5318" s="6" t="n">
        <f aca="false">Sens!H5318+Sens!I5243-Sens!I5246</f>
        <v>535.734451826713</v>
      </c>
      <c r="J5318" s="6" t="n">
        <f aca="false">Sens!I5318+Sens!J5243-Sens!J5246</f>
        <v>531.050717622138</v>
      </c>
      <c r="K5318" s="6" t="n">
        <f aca="false">Sens!J5318+Sens!K5243-Sens!K5246</f>
        <v>506.3500064596</v>
      </c>
      <c r="L5318" s="1" t="s">
        <v>852</v>
      </c>
    </row>
    <row r="5319" customFormat="false" ht="17.15" hidden="false" customHeight="false" outlineLevel="0" collapsed="false">
      <c r="A5319" s="0" t="s">
        <v>853</v>
      </c>
      <c r="B5319" s="0" t="s">
        <v>129</v>
      </c>
      <c r="F5319" s="7" t="n">
        <f aca="false">Sens!F5317*(1-tax_f)/((Sens!E5318+Sens!F5318)/2)</f>
        <v>0.118284003091799</v>
      </c>
      <c r="G5319" s="7" t="n">
        <f aca="false">Sens!G5317*(1-tax_f)/((Sens!F5318+Sens!G5318)/2)</f>
        <v>0.130564372866059</v>
      </c>
      <c r="H5319" s="7" t="n">
        <f aca="false">Sens!H5317*(1-tax_f)/((Sens!G5318+Sens!H5318)/2)</f>
        <v>0.152200281917807</v>
      </c>
      <c r="I5319" s="7" t="n">
        <f aca="false">Sens!I5317*(1-tax_f)/((Sens!H5318+Sens!I5318)/2)</f>
        <v>0.162989547346933</v>
      </c>
      <c r="J5319" s="7" t="n">
        <f aca="false">Sens!J5317*(1-tax_f)/((Sens!I5318+Sens!J5318)/2)</f>
        <v>0.177993271747205</v>
      </c>
      <c r="K5319" s="7" t="n">
        <f aca="false">Sens!K5317*(1-tax_f)/((Sens!J5318+Sens!K5318)/2)</f>
        <v>0.198387888978382</v>
      </c>
    </row>
    <row r="5320" customFormat="false" ht="17.15" hidden="false" customHeight="false" outlineLevel="0" collapsed="false">
      <c r="A5320" s="1" t="s">
        <v>854</v>
      </c>
      <c r="B5320" s="0" t="s">
        <v>129</v>
      </c>
      <c r="F5320" s="7" t="n">
        <f aca="false">(Sens!F5317-Sens!F5316)*(1-tax_f)/((Sens!E5318+Sens!F5318)/2)</f>
        <v>0.0341665803773436</v>
      </c>
      <c r="G5320" s="7" t="n">
        <f aca="false">(Sens!G5317-Sens!G5316)*(1-tax_f)/((Sens!F5318+Sens!G5318)/2)</f>
        <v>0.0401273776408242</v>
      </c>
      <c r="H5320" s="7" t="n">
        <f aca="false">(Sens!H5317-Sens!H5316)*(1-tax_f)/((Sens!G5318+Sens!H5318)/2)</f>
        <v>0.0529441949135886</v>
      </c>
      <c r="I5320" s="7" t="n">
        <f aca="false">(Sens!I5317-Sens!I5316)*(1-tax_f)/((Sens!H5318+Sens!I5318)/2)</f>
        <v>0.0537832412139264</v>
      </c>
      <c r="J5320" s="7" t="n">
        <f aca="false">(Sens!J5317-Sens!J5316)*(1-tax_f)/((Sens!I5318+Sens!J5318)/2)</f>
        <v>0.057039930540465</v>
      </c>
      <c r="K5320" s="7" t="n">
        <f aca="false">(Sens!K5317-Sens!K5316)*(1-tax_f)/((Sens!J5318+Sens!K5318)/2)</f>
        <v>0.064260638077984</v>
      </c>
    </row>
    <row r="5321" customFormat="false" ht="17.15" hidden="false" customHeight="false" outlineLevel="0" collapsed="false">
      <c r="A5321" s="1" t="s">
        <v>855</v>
      </c>
      <c r="B5321" s="0" t="s">
        <v>129</v>
      </c>
      <c r="F5321" s="7" t="n">
        <f aca="false">(Sens!F5317-Sens!F5316+Sens!F5315)*(1-tax_f)/((Sens!E5318+Sens!F5318)/2)</f>
        <v>0.118284003091799</v>
      </c>
      <c r="G5321" s="7" t="n">
        <f aca="false">(Sens!G5317-Sens!G5316+Sens!G5315)*(1-tax_f)/((Sens!F5318+Sens!G5318)/2)</f>
        <v>0.130564372866059</v>
      </c>
      <c r="H5321" s="7" t="n">
        <f aca="false">(Sens!H5317-Sens!H5316+Sens!H5315)*(1-tax_f)/((Sens!G5318+Sens!H5318)/2)</f>
        <v>0.152200281917807</v>
      </c>
      <c r="I5321" s="7" t="n">
        <f aca="false">(Sens!I5317-Sens!I5316+Sens!I5315)*(1-tax_f)/((Sens!H5318+Sens!I5318)/2)</f>
        <v>0.162989547346933</v>
      </c>
      <c r="J5321" s="7" t="n">
        <f aca="false">(Sens!J5317-Sens!J5316+Sens!J5315)*(1-tax_f)/((Sens!I5318+Sens!J5318)/2)</f>
        <v>0.177993271747205</v>
      </c>
      <c r="K5321" s="7" t="n">
        <f aca="false">(Sens!K5317-Sens!K5316+Sens!K5315)*(1-tax_f)/((Sens!J5318+Sens!K5318)/2)</f>
        <v>0.198387888978382</v>
      </c>
    </row>
    <row r="5322" customFormat="false" ht="17.15" hidden="false" customHeight="false" outlineLevel="0" collapsed="false">
      <c r="A5322" s="1" t="s">
        <v>856</v>
      </c>
      <c r="B5322" s="0" t="s">
        <v>129</v>
      </c>
      <c r="F5322" s="7" t="n">
        <f aca="false">Sens!F5247*(1-tax_f)/(Sens!F5234*(Sens!E5318+Sens!F5318)/2)</f>
        <v>0.153384607993459</v>
      </c>
      <c r="G5322" s="7" t="n">
        <f aca="false">Sens!G5247*(1-tax_f)/(Sens!G5234*(Sens!F5318+Sens!G5318)/2)</f>
        <v>0.17448009589537</v>
      </c>
      <c r="H5322" s="7" t="n">
        <f aca="false">Sens!H5247*(1-tax_f)/(Sens!H5234*(Sens!G5318+Sens!H5318)/2)</f>
        <v>0.207489422829268</v>
      </c>
      <c r="I5322" s="7" t="n">
        <f aca="false">Sens!I5247*(1-tax_f)/(Sens!I5234*(Sens!H5318+Sens!I5318)/2)</f>
        <v>0.221576220294063</v>
      </c>
      <c r="J5322" s="7" t="n">
        <f aca="false">Sens!J5247*(1-tax_f)/(Sens!J5234*(Sens!I5318+Sens!J5318)/2)</f>
        <v>0.2417073156111</v>
      </c>
      <c r="K5322" s="7" t="n">
        <f aca="false">Sens!K5247*(1-tax_f)/(Sens!K5234*(Sens!J5318+Sens!K5318)/2)</f>
        <v>0.268959012735503</v>
      </c>
    </row>
    <row r="5323" customFormat="false" ht="17.15" hidden="false" customHeight="false" outlineLevel="0" collapsed="false">
      <c r="A5323" s="0" t="s">
        <v>857</v>
      </c>
      <c r="B5323" s="0" t="s">
        <v>209</v>
      </c>
      <c r="F5323" s="7" t="n">
        <f aca="false">Sens!F5319-wacc</f>
        <v>0.0153495829989238</v>
      </c>
      <c r="G5323" s="7" t="n">
        <f aca="false">Sens!G5319-wacc</f>
        <v>0.0276299527731833</v>
      </c>
      <c r="H5323" s="7" t="n">
        <f aca="false">Sens!H5319-wacc</f>
        <v>0.0492658618249312</v>
      </c>
      <c r="I5323" s="7" t="n">
        <f aca="false">Sens!I5319-wacc</f>
        <v>0.0600551272540574</v>
      </c>
      <c r="J5323" s="7" t="n">
        <f aca="false">Sens!J5319-wacc</f>
        <v>0.0750588516543296</v>
      </c>
      <c r="K5323" s="7" t="n">
        <f aca="false">Sens!K5319-wacc</f>
        <v>0.0954534688855063</v>
      </c>
    </row>
    <row r="5324" customFormat="false" ht="17.15" hidden="false" customHeight="false" outlineLevel="0" collapsed="false">
      <c r="A5324" s="0" t="s">
        <v>858</v>
      </c>
      <c r="B5324" s="0" t="s">
        <v>98</v>
      </c>
      <c r="F5324" s="6" t="n">
        <f aca="false">Sens!F5317*(1-tax_f)-wacc*(Sens!E5318+Sens!F5318)/2</f>
        <v>2.9727916813801</v>
      </c>
      <c r="G5324" s="6" t="n">
        <f aca="false">Sens!G5317*(1-tax_f)-wacc*(Sens!F5318+Sens!G5318)/2</f>
        <v>8.90166287998097</v>
      </c>
      <c r="H5324" s="6" t="n">
        <f aca="false">Sens!H5317*(1-tax_f)-wacc*(Sens!G5318+Sens!H5318)/2</f>
        <v>21.3747128281647</v>
      </c>
      <c r="I5324" s="6" t="n">
        <f aca="false">Sens!I5317*(1-tax_f)-wacc*(Sens!H5318+Sens!I5318)/2</f>
        <v>30.620961567652</v>
      </c>
      <c r="J5324" s="6" t="n">
        <f aca="false">Sens!J5317*(1-tax_f)-wacc*(Sens!I5318+Sens!J5318)/2</f>
        <v>40.0358348903501</v>
      </c>
      <c r="K5324" s="6" t="n">
        <f aca="false">Sens!K5317*(1-tax_f)-wacc*(Sens!J5318+Sens!K5318)/2</f>
        <v>49.5117488689689</v>
      </c>
    </row>
    <row r="5325" customFormat="false" ht="17.15" hidden="false" customHeight="false" outlineLevel="0" collapsed="false">
      <c r="A5325" s="3" t="s">
        <v>1372</v>
      </c>
    </row>
    <row r="5326" customFormat="false" ht="15" hidden="false" customHeight="false" outlineLevel="0" collapsed="false">
      <c r="A5326" s="4" t="s">
        <v>43</v>
      </c>
      <c r="B5326" s="4" t="s">
        <v>65</v>
      </c>
      <c r="C5326" s="20" t="s">
        <v>788</v>
      </c>
      <c r="D5326" s="20" t="s">
        <v>789</v>
      </c>
      <c r="E5326" s="20" t="s">
        <v>790</v>
      </c>
      <c r="F5326" s="20" t="s">
        <v>791</v>
      </c>
      <c r="G5326" s="20" t="s">
        <v>792</v>
      </c>
      <c r="H5326" s="20" t="s">
        <v>793</v>
      </c>
      <c r="I5326" s="20" t="s">
        <v>794</v>
      </c>
      <c r="J5326" s="20" t="s">
        <v>795</v>
      </c>
      <c r="K5326" s="20" t="s">
        <v>796</v>
      </c>
      <c r="L5326" s="4" t="s">
        <v>47</v>
      </c>
    </row>
    <row r="5327" customFormat="false" ht="15" hidden="false" customHeight="false" outlineLevel="0" collapsed="false">
      <c r="A5327" s="1" t="s">
        <v>915</v>
      </c>
      <c r="B5327" s="0" t="s">
        <v>98</v>
      </c>
      <c r="F5327" s="6" t="n">
        <f aca="false">Sens!F5308</f>
        <v>143.782025963116</v>
      </c>
      <c r="G5327" s="6" t="n">
        <f aca="false">Sens!G5308</f>
        <v>165.828146230432</v>
      </c>
      <c r="H5327" s="6" t="n">
        <f aca="false">Sens!H5308</f>
        <v>191.862516469596</v>
      </c>
      <c r="I5327" s="6" t="n">
        <f aca="false">Sens!I5308</f>
        <v>212.009948217523</v>
      </c>
      <c r="J5327" s="6" t="n">
        <f aca="false">Sens!J5308</f>
        <v>229.794819156984</v>
      </c>
      <c r="K5327" s="6" t="n">
        <f aca="false">Sens!K5308</f>
        <v>245.940763899164</v>
      </c>
    </row>
    <row r="5328" customFormat="false" ht="17.15" hidden="false" customHeight="false" outlineLevel="0" collapsed="false">
      <c r="A5328" s="1" t="s">
        <v>937</v>
      </c>
      <c r="B5328" s="0" t="s">
        <v>98</v>
      </c>
      <c r="E5328" s="6" t="n">
        <f aca="false">Q!M38-Sens!E5246</f>
        <v>22.2285940229167</v>
      </c>
      <c r="F5328" s="6" t="n">
        <f aca="false">Sens!E5328*(1-1/life_nonai)+Sens!F5334/life_nonai</f>
        <v>23.5561693435813</v>
      </c>
      <c r="G5328" s="6" t="n">
        <f aca="false">Sens!F5328*(1-1/life_nonai)+Sens!G5334/life_nonai</f>
        <v>25.2933417662621</v>
      </c>
      <c r="H5328" s="6" t="n">
        <f aca="false">Sens!G5328*(1-1/life_nonai)+Sens!H5334/life_nonai</f>
        <v>27.4076589540448</v>
      </c>
      <c r="I5328" s="6" t="n">
        <f aca="false">Sens!H5328*(1-1/life_nonai)+Sens!I5334/life_nonai</f>
        <v>29.8379830898047</v>
      </c>
      <c r="J5328" s="6" t="n">
        <f aca="false">Sens!I5328*(1-1/life_nonai)+Sens!J5334/life_nonai</f>
        <v>32.5060261058616</v>
      </c>
      <c r="K5328" s="6" t="n">
        <f aca="false">Sens!J5328*(1-1/life_nonai)+Sens!K5334/life_nonai</f>
        <v>35.3285437694749</v>
      </c>
      <c r="L5328" s="11" t="s">
        <v>938</v>
      </c>
    </row>
    <row r="5329" customFormat="false" ht="17.15" hidden="false" customHeight="false" outlineLevel="0" collapsed="false">
      <c r="A5329" s="1" t="s">
        <v>939</v>
      </c>
      <c r="B5329" s="0" t="s">
        <v>98</v>
      </c>
      <c r="E5329" s="6" t="n">
        <f aca="false">Sens!E5246+Sens!E5328</f>
        <v>38.534</v>
      </c>
      <c r="F5329" s="6" t="n">
        <f aca="false">Sens!F5246+Sens!F5328</f>
        <v>58.302954799451</v>
      </c>
      <c r="G5329" s="6" t="n">
        <f aca="false">Sens!G5246+Sens!G5328</f>
        <v>85.8125750266016</v>
      </c>
      <c r="H5329" s="6" t="n">
        <f aca="false">Sens!H5246+Sens!H5328</f>
        <v>115.162474947184</v>
      </c>
      <c r="I5329" s="6" t="n">
        <f aca="false">Sens!I5246+Sens!I5328</f>
        <v>141.837523072026</v>
      </c>
      <c r="J5329" s="6" t="n">
        <f aca="false">Sens!J5246+Sens!J5328</f>
        <v>161.702237028527</v>
      </c>
      <c r="K5329" s="6" t="n">
        <f aca="false">Sens!K5246+Sens!K5328</f>
        <v>174.988690573948</v>
      </c>
    </row>
    <row r="5330" customFormat="false" ht="17.15" hidden="false" customHeight="false" outlineLevel="0" collapsed="false">
      <c r="A5330" s="1" t="s">
        <v>940</v>
      </c>
      <c r="B5330" s="0" t="s">
        <v>98</v>
      </c>
      <c r="F5330" s="6" t="n">
        <f aca="false">Sens!F5273*sbc_r</f>
        <v>15.0399683065961</v>
      </c>
      <c r="G5330" s="6" t="n">
        <f aca="false">Sens!G5273*sbc_r</f>
        <v>18.1255462030181</v>
      </c>
      <c r="H5330" s="6" t="n">
        <f aca="false">Sens!H5273*sbc_r</f>
        <v>21.456598112564</v>
      </c>
      <c r="I5330" s="6" t="n">
        <f aca="false">Sens!I5273*sbc_r</f>
        <v>24.3234312215825</v>
      </c>
      <c r="J5330" s="6" t="n">
        <f aca="false">Sens!J5273*sbc_r</f>
        <v>26.6540903462644</v>
      </c>
      <c r="K5330" s="6" t="n">
        <f aca="false">Sens!K5273*sbc_r</f>
        <v>28.4941694107397</v>
      </c>
    </row>
    <row r="5331" customFormat="false" ht="17.15" hidden="false" customHeight="false" outlineLevel="0" collapsed="false">
      <c r="A5331" s="1" t="s">
        <v>941</v>
      </c>
      <c r="B5331" s="0" t="s">
        <v>98</v>
      </c>
      <c r="F5331" s="6" t="n">
        <f aca="false">wc27</f>
        <v>-4.895</v>
      </c>
      <c r="G5331" s="6" t="n">
        <f aca="false">wc_f</f>
        <v>0</v>
      </c>
      <c r="H5331" s="6" t="n">
        <f aca="false">wc_f</f>
        <v>0</v>
      </c>
      <c r="I5331" s="6" t="n">
        <f aca="false">wc_f</f>
        <v>0</v>
      </c>
      <c r="J5331" s="6" t="n">
        <f aca="false">wc_f</f>
        <v>0</v>
      </c>
      <c r="K5331" s="6" t="n">
        <f aca="false">wc_f</f>
        <v>0</v>
      </c>
      <c r="L5331" s="11" t="s">
        <v>942</v>
      </c>
    </row>
    <row r="5332" customFormat="false" ht="15" hidden="false" customHeight="false" outlineLevel="0" collapsed="false">
      <c r="A5332" s="1" t="s">
        <v>756</v>
      </c>
      <c r="B5332" s="0" t="s">
        <v>98</v>
      </c>
      <c r="E5332" s="6" t="n">
        <f aca="false">Q!M35</f>
        <v>182.935</v>
      </c>
      <c r="F5332" s="6" t="n">
        <f aca="false">Sens!F5327+Sens!F5329+Sens!F5330+Sens!F5331</f>
        <v>212.229949069163</v>
      </c>
      <c r="G5332" s="6" t="n">
        <f aca="false">Sens!G5327+Sens!G5329+Sens!G5330+Sens!G5331</f>
        <v>269.766267460051</v>
      </c>
      <c r="H5332" s="6" t="n">
        <f aca="false">Sens!H5327+Sens!H5329+Sens!H5330+Sens!H5331</f>
        <v>328.481589529344</v>
      </c>
      <c r="I5332" s="6" t="n">
        <f aca="false">Sens!I5327+Sens!I5329+Sens!I5330+Sens!I5331</f>
        <v>378.170902511131</v>
      </c>
      <c r="J5332" s="6" t="n">
        <f aca="false">Sens!J5327+Sens!J5329+Sens!J5330+Sens!J5331</f>
        <v>418.151146531776</v>
      </c>
      <c r="K5332" s="6" t="n">
        <f aca="false">Sens!K5327+Sens!K5329+Sens!K5330+Sens!K5331</f>
        <v>449.423623883852</v>
      </c>
    </row>
    <row r="5333" customFormat="false" ht="17.15" hidden="false" customHeight="false" outlineLevel="0" collapsed="false">
      <c r="A5333" s="0" t="s">
        <v>943</v>
      </c>
      <c r="B5333" s="0" t="s">
        <v>98</v>
      </c>
      <c r="F5333" s="6" t="n">
        <f aca="false">Sens!F5243</f>
        <v>168.695652770438</v>
      </c>
      <c r="G5333" s="6" t="n">
        <f aca="false">Sens!G5243</f>
        <v>183.5741804832</v>
      </c>
      <c r="H5333" s="6" t="n">
        <f aca="false">Sens!H5243</f>
        <v>188.0802859104</v>
      </c>
      <c r="I5333" s="6" t="n">
        <f aca="false">Sens!I5243</f>
        <v>163.706669154245</v>
      </c>
      <c r="J5333" s="6" t="n">
        <f aca="false">Sens!J5243</f>
        <v>124.51247671809</v>
      </c>
      <c r="K5333" s="6" t="n">
        <f aca="false">Sens!K5243</f>
        <v>114.959435641936</v>
      </c>
    </row>
    <row r="5334" customFormat="false" ht="17.15" hidden="false" customHeight="false" outlineLevel="0" collapsed="false">
      <c r="A5334" s="1" t="s">
        <v>944</v>
      </c>
      <c r="B5334" s="0" t="s">
        <v>98</v>
      </c>
      <c r="E5334" s="6" t="n">
        <f aca="false">Sens!E5251*cx_azo+Sens!E5258*cx_m365+Sens!E5259*cx_lic+(Sens!E5261+Sens!E5263)*cx_ind+Sens!E5266*cx_srch+(Sens!E5268+Sens!E5270)*cx_dev</f>
        <v>30.1846587067718</v>
      </c>
      <c r="F5334" s="6" t="n">
        <f aca="false">Sens!F5251*cx_azo+Sens!F5258*cx_m365+Sens!F5259*cx_lic+(Sens!F5261+Sens!F5263)*cx_ind+Sens!F5266*cx_srch+(Sens!F5268+Sens!F5270)*cx_dev</f>
        <v>35.5043472295625</v>
      </c>
      <c r="G5334" s="6" t="n">
        <f aca="false">Sens!G5251*cx_azo+Sens!G5258*cx_m365+Sens!G5259*cx_lic+(Sens!G5261+Sens!G5263)*cx_ind+Sens!G5266*cx_srch+(Sens!G5268+Sens!G5270)*cx_dev</f>
        <v>40.9278935703892</v>
      </c>
      <c r="H5334" s="6" t="n">
        <f aca="false">Sens!H5251*cx_azo+Sens!H5258*cx_m365+Sens!H5259*cx_lic+(Sens!H5261+Sens!H5263)*cx_ind+Sens!H5266*cx_srch+(Sens!H5268+Sens!H5270)*cx_dev</f>
        <v>46.4365136440897</v>
      </c>
      <c r="I5334" s="6" t="n">
        <f aca="false">Sens!I5251*cx_azo+Sens!I5258*cx_m365+Sens!I5259*cx_lic+(Sens!I5261+Sens!I5263)*cx_ind+Sens!I5266*cx_srch+(Sens!I5268+Sens!I5270)*cx_dev</f>
        <v>51.7109003116439</v>
      </c>
      <c r="J5334" s="6" t="n">
        <f aca="false">Sens!J5251*cx_azo+Sens!J5258*cx_m365+Sens!J5259*cx_lic+(Sens!J5261+Sens!J5263)*cx_ind+Sens!J5266*cx_srch+(Sens!J5268+Sens!J5270)*cx_dev</f>
        <v>56.5184132503738</v>
      </c>
      <c r="K5334" s="6" t="n">
        <f aca="false">Sens!K5251*cx_azo+Sens!K5258*cx_m365+Sens!K5259*cx_lic+(Sens!K5261+Sens!K5263)*cx_ind+Sens!K5266*cx_srch+(Sens!K5268+Sens!K5270)*cx_dev</f>
        <v>60.731202741994</v>
      </c>
    </row>
    <row r="5335" customFormat="false" ht="17.15" hidden="false" customHeight="false" outlineLevel="0" collapsed="false">
      <c r="A5335" s="1" t="s">
        <v>945</v>
      </c>
      <c r="B5335" s="0" t="s">
        <v>98</v>
      </c>
      <c r="E5335" s="6" t="n">
        <f aca="false">Q!M42</f>
        <v>145.3</v>
      </c>
      <c r="F5335" s="6" t="n">
        <f aca="false">Sens!F5333+Sens!F5334</f>
        <v>204.2</v>
      </c>
      <c r="G5335" s="6" t="n">
        <f aca="false">Sens!G5333+Sens!G5334</f>
        <v>224.502074053589</v>
      </c>
      <c r="H5335" s="6" t="n">
        <f aca="false">Sens!H5333+Sens!H5334</f>
        <v>234.51679955449</v>
      </c>
      <c r="I5335" s="6" t="n">
        <f aca="false">Sens!I5333+Sens!I5334</f>
        <v>215.417569465889</v>
      </c>
      <c r="J5335" s="6" t="n">
        <f aca="false">Sens!J5333+Sens!J5334</f>
        <v>181.030889968464</v>
      </c>
      <c r="K5335" s="6" t="n">
        <f aca="false">Sens!K5333+Sens!K5334</f>
        <v>175.69063838393</v>
      </c>
      <c r="L5335" s="1" t="s">
        <v>946</v>
      </c>
    </row>
    <row r="5336" customFormat="false" ht="15" hidden="false" customHeight="false" outlineLevel="0" collapsed="false">
      <c r="A5336" s="1" t="s">
        <v>947</v>
      </c>
      <c r="B5336" s="0" t="s">
        <v>98</v>
      </c>
      <c r="E5336" s="6" t="n">
        <f aca="false">fl_liab</f>
        <v>66.594</v>
      </c>
      <c r="F5336" s="6" t="n">
        <f aca="false">Sens!E5336-Sens!F5337</f>
        <v>62.46973</v>
      </c>
      <c r="G5336" s="6" t="n">
        <f aca="false">Sens!F5336-Sens!G5337</f>
        <v>57.98686785</v>
      </c>
      <c r="H5336" s="6" t="n">
        <f aca="false">Sens!G5336-Sens!H5337</f>
        <v>53.92827690325</v>
      </c>
      <c r="I5336" s="6" t="n">
        <f aca="false">Sens!H5336-Sens!I5337</f>
        <v>49.7850493638962</v>
      </c>
      <c r="J5336" s="6" t="n">
        <f aca="false">Sens!I5336-Sens!J5337</f>
        <v>45.4823765852716</v>
      </c>
      <c r="K5336" s="6" t="n">
        <f aca="false">Sens!J5336-Sens!K5337</f>
        <v>40.9860835316088</v>
      </c>
    </row>
    <row r="5337" customFormat="false" ht="15" hidden="false" customHeight="false" outlineLevel="0" collapsed="false">
      <c r="A5337" s="1" t="s">
        <v>948</v>
      </c>
      <c r="B5337" s="0" t="s">
        <v>98</v>
      </c>
      <c r="F5337" s="6" t="n">
        <f aca="false">fl_pay_27-Sens!E5336*fl_rate</f>
        <v>4.12427</v>
      </c>
      <c r="G5337" s="6" t="n">
        <f aca="false">fl_pay_28-Sens!F5336*fl_rate</f>
        <v>4.48286215</v>
      </c>
      <c r="H5337" s="6" t="n">
        <f aca="false">fl_pay_29-Sens!G5336*fl_rate</f>
        <v>4.05859094675</v>
      </c>
      <c r="I5337" s="6" t="n">
        <f aca="false">fl_pay_30-Sens!H5336*fl_rate</f>
        <v>4.14322753935375</v>
      </c>
      <c r="J5337" s="6" t="n">
        <f aca="false">fl_pay_31-Sens!I5336*fl_rate</f>
        <v>4.30267277862467</v>
      </c>
      <c r="K5337" s="6" t="n">
        <f aca="false">fl_pay_32-Sens!J5336*fl_rate</f>
        <v>4.49629305366278</v>
      </c>
    </row>
    <row r="5338" customFormat="false" ht="17.15" hidden="false" customHeight="false" outlineLevel="0" collapsed="false">
      <c r="A5338" s="1" t="s">
        <v>949</v>
      </c>
      <c r="B5338" s="0" t="s">
        <v>98</v>
      </c>
      <c r="E5338" s="6" t="n">
        <f aca="false">Q!M35-Q!M36-Q!M43</f>
        <v>63.886</v>
      </c>
      <c r="F5338" s="6" t="n">
        <f aca="false">Sens!F5332-Sens!F5335-Sens!F5337</f>
        <v>3.90567906916348</v>
      </c>
      <c r="G5338" s="6" t="n">
        <f aca="false">Sens!G5332-Sens!G5335-Sens!G5337</f>
        <v>40.7813312564622</v>
      </c>
      <c r="H5338" s="6" t="n">
        <f aca="false">Sens!H5332-Sens!H5335-Sens!H5337</f>
        <v>89.9061990281046</v>
      </c>
      <c r="I5338" s="6" t="n">
        <f aca="false">Sens!I5332-Sens!I5335-Sens!I5337</f>
        <v>158.610105505888</v>
      </c>
      <c r="J5338" s="6" t="n">
        <f aca="false">Sens!J5332-Sens!J5335-Sens!J5337</f>
        <v>232.817583784687</v>
      </c>
      <c r="K5338" s="6" t="n">
        <f aca="false">Sens!K5332-Sens!K5335-Sens!K5337</f>
        <v>269.236692446259</v>
      </c>
      <c r="L5338" s="11" t="s">
        <v>950</v>
      </c>
    </row>
    <row r="5339" customFormat="false" ht="15" hidden="false" customHeight="false" outlineLevel="0" collapsed="false">
      <c r="A5339" s="1" t="s">
        <v>951</v>
      </c>
      <c r="B5339" s="0" t="s">
        <v>75</v>
      </c>
      <c r="F5339" s="8" t="n">
        <f aca="false">dps_27</f>
        <v>3.85</v>
      </c>
      <c r="G5339" s="8" t="n">
        <f aca="false">Sens!F5339*(1+dps_g)</f>
        <v>4.158</v>
      </c>
      <c r="H5339" s="8" t="n">
        <f aca="false">Sens!G5339*(1+dps_g)</f>
        <v>4.49064</v>
      </c>
      <c r="I5339" s="8" t="n">
        <f aca="false">Sens!H5339*(1+dps_g)</f>
        <v>4.8498912</v>
      </c>
      <c r="J5339" s="8" t="n">
        <f aca="false">Sens!I5339*(1+dps_g)</f>
        <v>5.237882496</v>
      </c>
      <c r="K5339" s="8" t="n">
        <f aca="false">Sens!J5339*(1+dps_g)</f>
        <v>5.65691309568</v>
      </c>
    </row>
    <row r="5340" customFormat="false" ht="17.15" hidden="false" customHeight="false" outlineLevel="0" collapsed="false">
      <c r="A5340" s="1" t="s">
        <v>952</v>
      </c>
      <c r="B5340" s="0" t="s">
        <v>98</v>
      </c>
      <c r="E5340" s="6" t="n">
        <f aca="false">Q!M41</f>
        <v>26.445</v>
      </c>
      <c r="F5340" s="6" t="n">
        <f aca="false">Sens!F5339*Sens!E5349</f>
        <v>28.59395</v>
      </c>
      <c r="G5340" s="6" t="n">
        <f aca="false">Sens!G5339*Sens!F5349</f>
        <v>31.068576</v>
      </c>
      <c r="H5340" s="6" t="n">
        <f aca="false">Sens!H5339*Sens!G5349</f>
        <v>33.6831759969679</v>
      </c>
      <c r="I5340" s="6" t="n">
        <f aca="false">Sens!I5339*Sens!H5349</f>
        <v>36.4287693167248</v>
      </c>
      <c r="J5340" s="6" t="n">
        <f aca="false">Sens!J5339*Sens!I5349</f>
        <v>39.4114697103822</v>
      </c>
      <c r="K5340" s="6" t="n">
        <f aca="false">Sens!K5339*Sens!J5349</f>
        <v>42.6516425125178</v>
      </c>
      <c r="L5340" s="1" t="s">
        <v>953</v>
      </c>
    </row>
    <row r="5341" customFormat="false" ht="15" hidden="false" customHeight="false" outlineLevel="0" collapsed="false">
      <c r="A5341" s="1" t="s">
        <v>954</v>
      </c>
      <c r="B5341" s="0" t="s">
        <v>98</v>
      </c>
      <c r="E5341" s="6" t="n">
        <f aca="false">Sens!E5338-Sens!E5340</f>
        <v>37.441</v>
      </c>
      <c r="F5341" s="6" t="n">
        <f aca="false">Sens!F5338-Sens!F5340</f>
        <v>-24.6882709308365</v>
      </c>
      <c r="G5341" s="6" t="n">
        <f aca="false">Sens!G5338-Sens!G5340</f>
        <v>9.7127552564622</v>
      </c>
      <c r="H5341" s="6" t="n">
        <f aca="false">Sens!H5338-Sens!H5340</f>
        <v>56.2230230311367</v>
      </c>
      <c r="I5341" s="6" t="n">
        <f aca="false">Sens!I5338-Sens!I5340</f>
        <v>122.181336189164</v>
      </c>
      <c r="J5341" s="6" t="n">
        <f aca="false">Sens!J5338-Sens!J5340</f>
        <v>193.406114074305</v>
      </c>
      <c r="K5341" s="6" t="n">
        <f aca="false">Sens!K5338-Sens!K5340</f>
        <v>226.585049933741</v>
      </c>
    </row>
    <row r="5342" customFormat="false" ht="15" hidden="false" customHeight="false" outlineLevel="0" collapsed="false">
      <c r="A5342" s="1" t="s">
        <v>955</v>
      </c>
      <c r="B5342" s="0" t="s">
        <v>98</v>
      </c>
      <c r="F5342" s="6" t="n">
        <f aca="false">debt_mat_27</f>
        <v>9.25</v>
      </c>
      <c r="G5342" s="6" t="n">
        <f aca="false">debt_mat_28</f>
        <v>0</v>
      </c>
      <c r="H5342" s="6" t="n">
        <f aca="false">debt_mat_29</f>
        <v>2.001</v>
      </c>
      <c r="I5342" s="6" t="n">
        <f aca="false">debt_mat_30</f>
        <v>0</v>
      </c>
      <c r="J5342" s="6" t="n">
        <f aca="false">debt_mat_31</f>
        <v>0.5</v>
      </c>
      <c r="K5342" s="6" t="n">
        <f aca="false">debt_mat_32</f>
        <v>0</v>
      </c>
    </row>
    <row r="5343" customFormat="false" ht="15" hidden="false" customHeight="false" outlineLevel="0" collapsed="false">
      <c r="A5343" s="1" t="s">
        <v>956</v>
      </c>
      <c r="B5343" s="0" t="s">
        <v>98</v>
      </c>
      <c r="E5343" s="6" t="n">
        <f aca="false">Q!M40</f>
        <v>22.271</v>
      </c>
      <c r="F5343" s="6" t="n">
        <f aca="false">MAX(0,MIN(bb_target,Sens!E5345+Sens!F5341-Sens!F5342-min_cash))</f>
        <v>0</v>
      </c>
      <c r="G5343" s="6" t="n">
        <f aca="false">MAX(0,MIN(bb_target,Sens!F5345+Sens!G5341-Sens!G5342-min_cash))</f>
        <v>9.7127552564622</v>
      </c>
      <c r="H5343" s="6" t="n">
        <f aca="false">MAX(0,MIN(bb_target,Sens!G5345+Sens!H5341-Sens!H5342-min_cash))</f>
        <v>22.271</v>
      </c>
      <c r="I5343" s="6" t="n">
        <f aca="false">MAX(0,MIN(bb_target,Sens!H5345+Sens!I5341-Sens!I5342-min_cash))</f>
        <v>22.271</v>
      </c>
      <c r="J5343" s="6" t="n">
        <f aca="false">MAX(0,MIN(bb_target,Sens!I5345+Sens!J5341-Sens!J5342-min_cash))</f>
        <v>22.271</v>
      </c>
      <c r="K5343" s="6" t="n">
        <f aca="false">MAX(0,MIN(bb_target,Sens!J5345+Sens!K5341-Sens!K5342-min_cash))</f>
        <v>22.271</v>
      </c>
    </row>
    <row r="5344" customFormat="false" ht="15" hidden="false" customHeight="false" outlineLevel="0" collapsed="false">
      <c r="A5344" s="1" t="s">
        <v>957</v>
      </c>
      <c r="B5344" s="0" t="s">
        <v>98</v>
      </c>
      <c r="F5344" s="6" t="n">
        <f aca="false">MAX(0,min_cash-(Sens!E5345+Sens!F5341-Sens!F5342-Sens!F5343))</f>
        <v>7.09527093083652</v>
      </c>
      <c r="G5344" s="6" t="n">
        <f aca="false">MAX(0,min_cash-(Sens!F5345+Sens!G5341-Sens!G5342-Sens!G5343))</f>
        <v>0</v>
      </c>
      <c r="H5344" s="6" t="n">
        <f aca="false">MAX(0,min_cash-(Sens!G5345+Sens!H5341-Sens!H5342-Sens!H5343))</f>
        <v>0</v>
      </c>
      <c r="I5344" s="6" t="n">
        <f aca="false">MAX(0,min_cash-(Sens!H5345+Sens!I5341-Sens!I5342-Sens!I5343))</f>
        <v>0</v>
      </c>
      <c r="J5344" s="6" t="n">
        <f aca="false">MAX(0,min_cash-(Sens!I5345+Sens!J5341-Sens!J5342-Sens!J5343))</f>
        <v>0</v>
      </c>
      <c r="K5344" s="6" t="n">
        <f aca="false">MAX(0,min_cash-(Sens!J5345+Sens!K5341-Sens!K5342-Sens!K5343))</f>
        <v>0</v>
      </c>
    </row>
    <row r="5345" customFormat="false" ht="15" hidden="false" customHeight="false" outlineLevel="0" collapsed="false">
      <c r="A5345" s="1" t="s">
        <v>958</v>
      </c>
      <c r="B5345" s="0" t="s">
        <v>98</v>
      </c>
      <c r="E5345" s="6" t="n">
        <f aca="false">cash_open</f>
        <v>76.843</v>
      </c>
      <c r="F5345" s="6" t="n">
        <f aca="false">Sens!E5345+Sens!F5341-Sens!F5342-Sens!F5343+Sens!F5344</f>
        <v>50</v>
      </c>
      <c r="G5345" s="6" t="n">
        <f aca="false">Sens!F5345+Sens!G5341-Sens!G5342-Sens!G5343+Sens!G5344</f>
        <v>50</v>
      </c>
      <c r="H5345" s="6" t="n">
        <f aca="false">Sens!G5345+Sens!H5341-Sens!H5342-Sens!H5343+Sens!H5344</f>
        <v>81.9510230311367</v>
      </c>
      <c r="I5345" s="6" t="n">
        <f aca="false">Sens!H5345+Sens!I5341-Sens!I5342-Sens!I5343+Sens!I5344</f>
        <v>181.8613592203</v>
      </c>
      <c r="J5345" s="6" t="n">
        <f aca="false">Sens!I5345+Sens!J5341-Sens!J5342-Sens!J5343+Sens!J5344</f>
        <v>352.496473294605</v>
      </c>
      <c r="K5345" s="6" t="n">
        <f aca="false">Sens!J5345+Sens!K5341-Sens!K5342-Sens!K5343+Sens!K5344</f>
        <v>556.810523228346</v>
      </c>
    </row>
    <row r="5346" customFormat="false" ht="15" hidden="false" customHeight="false" outlineLevel="0" collapsed="false">
      <c r="A5346" s="1" t="s">
        <v>959</v>
      </c>
      <c r="B5346" s="0" t="s">
        <v>98</v>
      </c>
      <c r="E5346" s="6" t="n">
        <f aca="false">debt_face</f>
        <v>46.136</v>
      </c>
      <c r="F5346" s="6" t="n">
        <f aca="false">Sens!E5346-Sens!F5342+Sens!F5344</f>
        <v>43.9812709308365</v>
      </c>
      <c r="G5346" s="6" t="n">
        <f aca="false">Sens!F5346-Sens!G5342+Sens!G5344</f>
        <v>43.9812709308365</v>
      </c>
      <c r="H5346" s="6" t="n">
        <f aca="false">Sens!G5346-Sens!H5342+Sens!H5344</f>
        <v>41.9802709308365</v>
      </c>
      <c r="I5346" s="6" t="n">
        <f aca="false">Sens!H5346-Sens!I5342+Sens!I5344</f>
        <v>41.9802709308365</v>
      </c>
      <c r="J5346" s="6" t="n">
        <f aca="false">Sens!I5346-Sens!J5342+Sens!J5344</f>
        <v>41.4802709308365</v>
      </c>
      <c r="K5346" s="6" t="n">
        <f aca="false">Sens!J5346-Sens!K5342+Sens!K5344</f>
        <v>41.4802709308365</v>
      </c>
    </row>
    <row r="5347" customFormat="false" ht="15" hidden="false" customHeight="false" outlineLevel="0" collapsed="false">
      <c r="A5347" s="1" t="s">
        <v>960</v>
      </c>
      <c r="B5347" s="0" t="s">
        <v>98</v>
      </c>
      <c r="E5347" s="6" t="n">
        <f aca="false">Sens!E5345-Sens!E5346</f>
        <v>30.707</v>
      </c>
      <c r="F5347" s="6" t="n">
        <f aca="false">Sens!F5345-Sens!F5346</f>
        <v>6.01872906916348</v>
      </c>
      <c r="G5347" s="6" t="n">
        <f aca="false">Sens!G5345-Sens!G5346</f>
        <v>6.01872906916348</v>
      </c>
      <c r="H5347" s="6" t="n">
        <f aca="false">Sens!H5345-Sens!H5346</f>
        <v>39.9707521003002</v>
      </c>
      <c r="I5347" s="6" t="n">
        <f aca="false">Sens!I5345-Sens!I5346</f>
        <v>139.881088289464</v>
      </c>
      <c r="J5347" s="6" t="n">
        <f aca="false">Sens!J5345-Sens!J5346</f>
        <v>311.016202363768</v>
      </c>
      <c r="K5347" s="6" t="n">
        <f aca="false">Sens!K5345-Sens!K5346</f>
        <v>515.33025229751</v>
      </c>
    </row>
    <row r="5348" customFormat="false" ht="15" hidden="false" customHeight="false" outlineLevel="0" collapsed="false">
      <c r="A5348" s="1" t="s">
        <v>961</v>
      </c>
      <c r="B5348" s="0" t="s">
        <v>75</v>
      </c>
      <c r="F5348" s="29" t="n">
        <f aca="false">px*(1+bb_g)^(Sens!F5212-base_fy-mid_yr)</f>
        <v>553.494156066711</v>
      </c>
      <c r="G5348" s="29" t="n">
        <f aca="false">px*(1+bb_g)^(Sens!G5212-base_fy-mid_yr)</f>
        <v>597.773688552047</v>
      </c>
      <c r="H5348" s="29" t="n">
        <f aca="false">px*(1+bb_g)^(Sens!H5212-base_fy-mid_yr)</f>
        <v>645.595583636211</v>
      </c>
      <c r="I5348" s="29" t="n">
        <f aca="false">px*(1+bb_g)^(Sens!I5212-base_fy-mid_yr)</f>
        <v>697.243230327108</v>
      </c>
      <c r="J5348" s="29" t="n">
        <f aca="false">px*(1+bb_g)^(Sens!J5212-base_fy-mid_yr)</f>
        <v>753.022688753277</v>
      </c>
      <c r="K5348" s="29" t="n">
        <f aca="false">px*(1+bb_g)^(Sens!K5212-base_fy-mid_yr)</f>
        <v>813.264503853539</v>
      </c>
    </row>
    <row r="5349" customFormat="false" ht="15" hidden="false" customHeight="false" outlineLevel="0" collapsed="false">
      <c r="A5349" s="1" t="s">
        <v>962</v>
      </c>
      <c r="B5349" s="1" t="s">
        <v>81</v>
      </c>
      <c r="E5349" s="14" t="n">
        <f aca="false">sh_out26</f>
        <v>7.427</v>
      </c>
      <c r="F5349" s="14" t="n">
        <f aca="false">Sens!E5349+sh_iss-Sens!F5343/Sens!F5348</f>
        <v>7.472</v>
      </c>
      <c r="G5349" s="14" t="n">
        <f aca="false">Sens!F5349+sh_iss-Sens!G5343/Sens!G5348</f>
        <v>7.50075178526176</v>
      </c>
      <c r="H5349" s="14" t="n">
        <f aca="false">Sens!G5349+sh_iss-Sens!H5343/Sens!H5348</f>
        <v>7.51125495696166</v>
      </c>
      <c r="I5349" s="14" t="n">
        <f aca="false">Sens!H5349+sh_iss-Sens!I5343/Sens!I5348</f>
        <v>7.52431344927639</v>
      </c>
      <c r="J5349" s="14" t="n">
        <f aca="false">Sens!I5349+sh_iss-Sens!J5343/Sens!J5348</f>
        <v>7.53973797919743</v>
      </c>
      <c r="K5349" s="14" t="n">
        <f aca="false">Sens!J5349+sh_iss-Sens!K5343/Sens!K5348</f>
        <v>7.55735328467987</v>
      </c>
    </row>
    <row r="5350" customFormat="false" ht="15" hidden="false" customHeight="false" outlineLevel="0" collapsed="false">
      <c r="A5350" s="1" t="s">
        <v>963</v>
      </c>
      <c r="B5350" s="1" t="s">
        <v>81</v>
      </c>
      <c r="E5350" s="14" t="n">
        <f aca="false">sh_dil26</f>
        <v>7.453</v>
      </c>
      <c r="F5350" s="14" t="n">
        <f aca="false">(Sens!E5349+Sens!F5349)/2+dil_gap</f>
        <v>7.4735</v>
      </c>
      <c r="G5350" s="14" t="n">
        <f aca="false">(Sens!F5349+Sens!G5349)/2+dil_gap</f>
        <v>7.51037589263088</v>
      </c>
      <c r="H5350" s="14" t="n">
        <f aca="false">(Sens!G5349+Sens!H5349)/2+dil_gap</f>
        <v>7.53000337111171</v>
      </c>
      <c r="I5350" s="14" t="n">
        <f aca="false">(Sens!H5349+Sens!I5349)/2+dil_gap</f>
        <v>7.54178420311903</v>
      </c>
      <c r="J5350" s="14" t="n">
        <f aca="false">(Sens!I5349+Sens!J5349)/2+dil_gap</f>
        <v>7.55602571423691</v>
      </c>
      <c r="K5350" s="14" t="n">
        <f aca="false">(Sens!J5349+Sens!K5349)/2+dil_gap</f>
        <v>7.57254563193865</v>
      </c>
    </row>
    <row r="5351" customFormat="false" ht="17.15" hidden="false" customHeight="false" outlineLevel="0" collapsed="false">
      <c r="A5351" s="1" t="s">
        <v>964</v>
      </c>
      <c r="B5351" s="0" t="s">
        <v>98</v>
      </c>
      <c r="C5351" s="6" t="n">
        <f aca="false">SUM(Sens!F5341:J5341)</f>
        <v>356.834957620231</v>
      </c>
    </row>
    <row r="5352" customFormat="false" ht="15" hidden="false" customHeight="false" outlineLevel="0" collapsed="false">
      <c r="A5352" s="23" t="s">
        <v>935</v>
      </c>
      <c r="B5352" s="30" t="s">
        <v>98</v>
      </c>
      <c r="C5352" s="24" t="n">
        <f aca="false">Sens!$C$5351-(Sens!F5341+Sens!G5341+Sens!H5341+Sens!I5341+Sens!J5341)</f>
        <v>0</v>
      </c>
      <c r="D5352" s="30"/>
      <c r="E5352" s="30"/>
      <c r="F5352" s="30"/>
      <c r="G5352" s="30"/>
      <c r="H5352" s="30"/>
      <c r="I5352" s="30"/>
      <c r="J5352" s="30"/>
      <c r="K5352" s="30"/>
    </row>
    <row r="5353" customFormat="false" ht="17.15" hidden="false" customHeight="false" outlineLevel="0" collapsed="false">
      <c r="A5353" s="1" t="s">
        <v>929</v>
      </c>
      <c r="B5353" s="1" t="s">
        <v>965</v>
      </c>
      <c r="C5353" s="32" t="str">
        <f aca="false">IF(SUM(Sens!F5344:J5344)&gt;0.05,"需要舉債 "&amp;TEXT(SUM(Sens!F5344:J5344),"0.0")&amp;" 十億美元","不需舉債")&amp;"；"&amp;IF(SUM(Sens!F5343:J5343)&lt;COUNT(Sens!F5343:J5343)*bb_target-0.05,"回購較每年 "&amp;TEXT(bb_target,"0.0")&amp;" 的目標少 "&amp;TEXT(COUNT(Sens!F5343:J5343)*bb_target-SUM(Sens!F5343:J5343),"0.0")&amp;" 十億美元（"&amp;TEXT(COUNTIF(Sens!F5343:J5343,"&lt;"&amp;(bb_target-0.05)),"0")&amp;" 年減少）","回購不減")</f>
        <v>需要舉債 7.1 十億美元；回購較每年 22.3 的目標少 34.8 十億美元（2 年減少）</v>
      </c>
    </row>
    <row r="5354" customFormat="false" ht="17.15" hidden="false" customHeight="false" outlineLevel="0" collapsed="false">
      <c r="A5354" s="3" t="s">
        <v>1373</v>
      </c>
    </row>
    <row r="5355" customFormat="false" ht="15" hidden="false" customHeight="false" outlineLevel="0" collapsed="false">
      <c r="A5355" s="4" t="s">
        <v>43</v>
      </c>
      <c r="B5355" s="4" t="s">
        <v>65</v>
      </c>
      <c r="C5355" s="20" t="s">
        <v>788</v>
      </c>
      <c r="D5355" s="20" t="s">
        <v>789</v>
      </c>
      <c r="E5355" s="20" t="s">
        <v>790</v>
      </c>
      <c r="F5355" s="20" t="s">
        <v>791</v>
      </c>
      <c r="G5355" s="20" t="s">
        <v>792</v>
      </c>
      <c r="H5355" s="20" t="s">
        <v>793</v>
      </c>
      <c r="I5355" s="20" t="s">
        <v>794</v>
      </c>
      <c r="J5355" s="20" t="s">
        <v>795</v>
      </c>
      <c r="K5355" s="20" t="s">
        <v>796</v>
      </c>
      <c r="L5355" s="4" t="s">
        <v>47</v>
      </c>
    </row>
    <row r="5356" customFormat="false" ht="15" hidden="false" customHeight="false" outlineLevel="0" collapsed="false">
      <c r="A5356" s="1" t="s">
        <v>1042</v>
      </c>
      <c r="B5356" s="1" t="s">
        <v>235</v>
      </c>
      <c r="F5356" s="36" t="n">
        <f aca="false">Sens!F5212-base_fy-mid_yr</f>
        <v>0.5</v>
      </c>
      <c r="G5356" s="36" t="n">
        <f aca="false">Sens!G5212-base_fy-mid_yr</f>
        <v>1.5</v>
      </c>
      <c r="H5356" s="36" t="n">
        <f aca="false">Sens!H5212-base_fy-mid_yr</f>
        <v>2.5</v>
      </c>
      <c r="I5356" s="36" t="n">
        <f aca="false">Sens!I5212-base_fy-mid_yr</f>
        <v>3.5</v>
      </c>
      <c r="J5356" s="36" t="n">
        <f aca="false">Sens!J5212-base_fy-mid_yr</f>
        <v>4.5</v>
      </c>
      <c r="K5356" s="36" t="n">
        <f aca="false">Sens!K5212-base_fy-mid_yr</f>
        <v>5.5</v>
      </c>
    </row>
    <row r="5357" customFormat="false" ht="15" hidden="false" customHeight="false" outlineLevel="0" collapsed="false">
      <c r="A5357" s="1" t="s">
        <v>1043</v>
      </c>
      <c r="B5357" s="0" t="s">
        <v>185</v>
      </c>
      <c r="F5357" s="14" t="n">
        <f aca="false">1/(1+wacc)^Sens!F5356</f>
        <v>0.952193373608246</v>
      </c>
      <c r="G5357" s="14" t="n">
        <f aca="false">1/(1+wacc)^Sens!G5356</f>
        <v>0.863327280626589</v>
      </c>
      <c r="H5357" s="14" t="n">
        <f aca="false">1/(1+wacc)^Sens!H5356</f>
        <v>0.782754862754115</v>
      </c>
      <c r="I5357" s="14" t="n">
        <f aca="false">1/(1+wacc)^Sens!I5356</f>
        <v>0.709702089711011</v>
      </c>
      <c r="J5357" s="14" t="n">
        <f aca="false">1/(1+wacc)^Sens!J5356</f>
        <v>0.643467169744551</v>
      </c>
      <c r="K5357" s="14" t="n">
        <f aca="false">1/(1+wacc)^Sens!K5356</f>
        <v>0.583413807767797</v>
      </c>
    </row>
    <row r="5358" customFormat="false" ht="17.15" hidden="false" customHeight="false" outlineLevel="0" collapsed="false">
      <c r="A5358" s="1" t="s">
        <v>1044</v>
      </c>
      <c r="B5358" s="0" t="s">
        <v>98</v>
      </c>
      <c r="F5358" s="6" t="n">
        <f aca="false">Sens!F5332-Sens!F5330-Sens!F5335+Sens!F5316*(1-tax_f)</f>
        <v>9.28120994594013</v>
      </c>
      <c r="G5358" s="6" t="n">
        <f aca="false">Sens!G5332-Sens!G5330-Sens!G5335+Sens!G5316*(1-tax_f)</f>
        <v>56.2751299901549</v>
      </c>
      <c r="H5358" s="6" t="n">
        <f aca="false">Sens!H5332-Sens!H5330-Sens!H5335+Sens!H5316*(1-tax_f)</f>
        <v>115.5718931267</v>
      </c>
      <c r="I5358" s="6" t="n">
        <f aca="false">Sens!I5332-Sens!I5330-Sens!I5335+Sens!I5316*(1-tax_f)</f>
        <v>194.112110087037</v>
      </c>
      <c r="J5358" s="6" t="n">
        <f aca="false">Sens!J5332-Sens!J5330-Sens!J5335+Sens!J5316*(1-tax_f)</f>
        <v>274.981781514366</v>
      </c>
      <c r="K5358" s="6" t="n">
        <f aca="false">Sens!K5332-Sens!K5330-Sens!K5335+Sens!K5316*(1-tax_f)</f>
        <v>314.810669690765</v>
      </c>
      <c r="L5358" s="1" t="s">
        <v>1045</v>
      </c>
    </row>
    <row r="5359" customFormat="false" ht="15" hidden="false" customHeight="false" outlineLevel="0" collapsed="false">
      <c r="A5359" s="1" t="s">
        <v>1046</v>
      </c>
      <c r="B5359" s="0" t="s">
        <v>98</v>
      </c>
      <c r="F5359" s="6" t="n">
        <f aca="false">Sens!F5358*Sens!F5357</f>
        <v>8.83750660959114</v>
      </c>
      <c r="G5359" s="6" t="n">
        <f aca="false">Sens!G5358*Sens!G5357</f>
        <v>48.5838549413083</v>
      </c>
      <c r="H5359" s="6" t="n">
        <f aca="false">Sens!H5358*Sens!H5357</f>
        <v>90.4644613426232</v>
      </c>
      <c r="I5359" s="6" t="n">
        <f aca="false">Sens!I5358*Sens!I5357</f>
        <v>137.761770166984</v>
      </c>
      <c r="J5359" s="6" t="n">
        <f aca="false">Sens!J5358*Sens!J5357</f>
        <v>176.941748682363</v>
      </c>
      <c r="K5359" s="6" t="n">
        <f aca="false">Sens!K5358*Sens!K5357</f>
        <v>183.664891530219</v>
      </c>
    </row>
    <row r="5360" customFormat="false" ht="17.15" hidden="false" customHeight="false" outlineLevel="0" collapsed="false">
      <c r="A5360" s="1" t="s">
        <v>1047</v>
      </c>
      <c r="B5360" s="0" t="s">
        <v>98</v>
      </c>
      <c r="C5360" s="6" t="n">
        <f aca="false">SUM(Sens!F5359:K5359)</f>
        <v>646.254233273089</v>
      </c>
    </row>
    <row r="5361" customFormat="false" ht="17.15" hidden="false" customHeight="false" outlineLevel="0" collapsed="false">
      <c r="A5361" s="1" t="s">
        <v>1048</v>
      </c>
      <c r="B5361" s="0" t="s">
        <v>98</v>
      </c>
      <c r="C5361" s="6" t="n">
        <f aca="false">Sens!K5302*(1+g_tv)*(1-tax_f)</f>
        <v>325.307596025769</v>
      </c>
    </row>
    <row r="5362" customFormat="false" ht="17.15" hidden="false" customHeight="false" outlineLevel="0" collapsed="false">
      <c r="A5362" s="1" t="s">
        <v>1049</v>
      </c>
      <c r="B5362" s="0" t="s">
        <v>98</v>
      </c>
      <c r="C5362" s="6" t="n">
        <f aca="false">Sens!$C$5361*(1-g_tv/(wacc+ronic_prem))</f>
        <v>230.497445330137</v>
      </c>
    </row>
    <row r="5363" customFormat="false" ht="17.15" hidden="false" customHeight="false" outlineLevel="0" collapsed="false">
      <c r="A5363" s="1" t="s">
        <v>1050</v>
      </c>
      <c r="B5363" s="0" t="s">
        <v>98</v>
      </c>
      <c r="C5363" s="6" t="n">
        <f aca="false">Sens!$C$5362/(wacc-g_tv)</f>
        <v>3160.33835652108</v>
      </c>
    </row>
    <row r="5364" customFormat="false" ht="15" hidden="false" customHeight="false" outlineLevel="0" collapsed="false">
      <c r="A5364" s="1" t="s">
        <v>1051</v>
      </c>
      <c r="B5364" s="0" t="s">
        <v>98</v>
      </c>
      <c r="C5364" s="6" t="n">
        <f aca="false">Sens!$C$5363/(1+wacc)^(Sens!K5356+mid_yr)</f>
        <v>1755.63989212571</v>
      </c>
    </row>
    <row r="5365" customFormat="false" ht="17.15" hidden="false" customHeight="false" outlineLevel="0" collapsed="false">
      <c r="A5365" s="0" t="s">
        <v>972</v>
      </c>
      <c r="B5365" s="0" t="s">
        <v>98</v>
      </c>
      <c r="C5365" s="6" t="n">
        <f aca="false">Sens!$C$5360+Sens!$C$5364</f>
        <v>2401.8941253988</v>
      </c>
    </row>
    <row r="5366" customFormat="false" ht="15" hidden="false" customHeight="false" outlineLevel="0" collapsed="false">
      <c r="A5366" s="1" t="s">
        <v>973</v>
      </c>
      <c r="B5366" s="0" t="s">
        <v>129</v>
      </c>
      <c r="C5366" s="7" t="n">
        <f aca="false">Sens!$C$5364/Sens!$C$5365</f>
        <v>0.730939750241578</v>
      </c>
    </row>
    <row r="5367" customFormat="false" ht="17.15" hidden="false" customHeight="false" outlineLevel="0" collapsed="false">
      <c r="A5367" s="1" t="s">
        <v>1052</v>
      </c>
      <c r="B5367" s="0" t="s">
        <v>98</v>
      </c>
      <c r="C5367" s="6" t="n">
        <f aca="false">Sens!$C$5365+Sens!E5347-Sens!E5336+oai_v</f>
        <v>2536.4071253988</v>
      </c>
    </row>
    <row r="5368" customFormat="false" ht="17.15" hidden="false" customHeight="false" outlineLevel="0" collapsed="false">
      <c r="A5368" s="0" t="s">
        <v>980</v>
      </c>
      <c r="B5368" s="0" t="s">
        <v>75</v>
      </c>
      <c r="C5368" s="5" t="n">
        <f aca="false">Sens!$C$5367/sh_dil26</f>
        <v>340.320290540561</v>
      </c>
    </row>
    <row r="5369" customFormat="false" ht="15" hidden="false" customHeight="false" outlineLevel="0" collapsed="false">
      <c r="A5369" s="1" t="s">
        <v>1053</v>
      </c>
      <c r="B5369" s="0" t="s">
        <v>75</v>
      </c>
      <c r="C5369" s="8" t="n">
        <f aca="false">dps_27+Sens!G5339*roll_div_q/q_per_yr</f>
        <v>4.8895</v>
      </c>
    </row>
    <row r="5370" customFormat="false" ht="17.15" hidden="false" customHeight="false" outlineLevel="0" collapsed="false">
      <c r="A5370" s="0" t="s">
        <v>1054</v>
      </c>
      <c r="B5370" s="0" t="s">
        <v>75</v>
      </c>
      <c r="C5370" s="5" t="n">
        <f aca="false">Sens!$C$5368*(1+wacc)^t_roll-Sens!$C$5369</f>
        <v>382.644577971639</v>
      </c>
    </row>
    <row r="5371" customFormat="false" ht="17.15" hidden="false" customHeight="false" outlineLevel="0" collapsed="false">
      <c r="A5371" s="1" t="s">
        <v>1055</v>
      </c>
      <c r="B5371" s="0" t="s">
        <v>129</v>
      </c>
      <c r="F5371" s="7" t="n">
        <f aca="false">Sens!F5328/(Sens!F5273-Sens!F5229)</f>
        <v>0.0685583309780933</v>
      </c>
      <c r="G5371" s="7" t="n">
        <f aca="false">Sens!G5328/(Sens!G5273-Sens!G5229)</f>
        <v>0.0659544808371847</v>
      </c>
      <c r="H5371" s="7" t="n">
        <f aca="false">Sens!H5328/(Sens!H5273-Sens!H5229)</f>
        <v>0.0646121370247507</v>
      </c>
      <c r="I5371" s="7" t="n">
        <f aca="false">Sens!I5328/(Sens!I5273-Sens!I5229)</f>
        <v>0.0644040787642208</v>
      </c>
      <c r="J5371" s="7" t="n">
        <f aca="false">Sens!J5328/(Sens!J5273-Sens!J5229)</f>
        <v>0.0650850549825734</v>
      </c>
      <c r="K5371" s="7" t="n">
        <f aca="false">Sens!K5328/(Sens!K5273-Sens!K5229)</f>
        <v>0.066364513257935</v>
      </c>
    </row>
    <row r="5372" customFormat="false" ht="17.15" hidden="false" customHeight="false" outlineLevel="0" collapsed="false">
      <c r="A5372" s="0" t="s">
        <v>1056</v>
      </c>
      <c r="B5372" s="0" t="s">
        <v>98</v>
      </c>
      <c r="F5372" s="6" t="n">
        <f aca="false">Sens!F5258*(al_m365+Sens!F5371+sbc_r)</f>
        <v>83.4015455699067</v>
      </c>
      <c r="G5372" s="6" t="n">
        <f aca="false">Sens!G5258*(al_m365+Sens!G5371+sbc_r)</f>
        <v>94.8057350814682</v>
      </c>
      <c r="H5372" s="6" t="n">
        <f aca="false">Sens!H5258*(al_m365+Sens!H5371+sbc_r)</f>
        <v>106.371406705049</v>
      </c>
      <c r="I5372" s="6" t="n">
        <f aca="false">Sens!I5258*(al_m365+Sens!I5371+sbc_r)</f>
        <v>117.169619485206</v>
      </c>
      <c r="J5372" s="6" t="n">
        <f aca="false">Sens!J5258*(al_m365+Sens!J5371+sbc_r)</f>
        <v>127.011560471347</v>
      </c>
      <c r="K5372" s="6" t="n">
        <f aca="false">Sens!K5258*(al_m365+Sens!K5371+sbc_r)</f>
        <v>136.458668169587</v>
      </c>
      <c r="L5372" s="11" t="s">
        <v>1057</v>
      </c>
    </row>
    <row r="5373" customFormat="false" ht="17.15" hidden="false" customHeight="false" outlineLevel="0" collapsed="false">
      <c r="A5373" s="0" t="s">
        <v>1058</v>
      </c>
      <c r="B5373" s="0" t="s">
        <v>98</v>
      </c>
      <c r="F5373" s="6" t="n">
        <f aca="false">Sens!F5259*(al_lic+Sens!F5371+sbc_r)</f>
        <v>33.4433949272539</v>
      </c>
      <c r="G5373" s="6" t="n">
        <f aca="false">Sens!G5259*(al_lic+Sens!G5371+sbc_r)</f>
        <v>34.7534857787718</v>
      </c>
      <c r="H5373" s="6" t="n">
        <f aca="false">Sens!H5259*(al_lic+Sens!H5371+sbc_r)</f>
        <v>35.9742833072409</v>
      </c>
      <c r="I5373" s="6" t="n">
        <f aca="false">Sens!I5259*(al_lic+Sens!I5371+sbc_r)</f>
        <v>37.0866200167698</v>
      </c>
      <c r="J5373" s="6" t="n">
        <f aca="false">Sens!J5259*(al_lic+Sens!J5371+sbc_r)</f>
        <v>38.0659291224151</v>
      </c>
      <c r="K5373" s="6" t="n">
        <f aca="false">Sens!K5259*(al_lic+Sens!K5371+sbc_r)</f>
        <v>38.8855230469285</v>
      </c>
    </row>
    <row r="5374" customFormat="false" ht="17.15" hidden="false" customHeight="false" outlineLevel="0" collapsed="false">
      <c r="A5374" s="0" t="s">
        <v>1059</v>
      </c>
      <c r="B5374" s="0" t="s">
        <v>98</v>
      </c>
      <c r="F5374" s="6" t="n">
        <f aca="false">Sens!F5261*(al_ind+Sens!F5371+sbc_r)</f>
        <v>9.07571052352267</v>
      </c>
      <c r="G5374" s="6" t="n">
        <f aca="false">Sens!G5261*(al_ind+Sens!G5371+sbc_r)</f>
        <v>9.85724026612813</v>
      </c>
      <c r="H5374" s="6" t="n">
        <f aca="false">Sens!H5261*(al_ind+Sens!H5371+sbc_r)</f>
        <v>10.6825294678816</v>
      </c>
      <c r="I5374" s="6" t="n">
        <f aca="false">Sens!I5261*(al_ind+Sens!I5371+sbc_r)</f>
        <v>11.5478376900655</v>
      </c>
      <c r="J5374" s="6" t="n">
        <f aca="false">Sens!J5261*(al_ind+Sens!J5371+sbc_r)</f>
        <v>12.4439994396009</v>
      </c>
      <c r="K5374" s="6" t="n">
        <f aca="false">Sens!K5261*(al_ind+Sens!K5371+sbc_r)</f>
        <v>13.3574084891878</v>
      </c>
    </row>
    <row r="5375" customFormat="false" ht="17.15" hidden="false" customHeight="false" outlineLevel="0" collapsed="false">
      <c r="A5375" s="0" t="s">
        <v>1060</v>
      </c>
      <c r="B5375" s="0" t="s">
        <v>98</v>
      </c>
      <c r="F5375" s="6" t="n">
        <f aca="false">Sens!F5263*(al_fro+Sens!F5371+sbc_r)</f>
        <v>3.57223152507149</v>
      </c>
      <c r="G5375" s="6" t="n">
        <f aca="false">Sens!G5263*(al_fro+Sens!G5371+sbc_r)</f>
        <v>3.7845974856534</v>
      </c>
      <c r="H5375" s="6" t="n">
        <f aca="false">Sens!H5263*(al_fro+Sens!H5371+sbc_r)</f>
        <v>4.02554274035016</v>
      </c>
      <c r="I5375" s="6" t="n">
        <f aca="false">Sens!I5263*(al_fro+Sens!I5371+sbc_r)</f>
        <v>4.29763519696384</v>
      </c>
      <c r="J5375" s="6" t="n">
        <f aca="false">Sens!J5263*(al_fro+Sens!J5371+sbc_r)</f>
        <v>4.60226921477552</v>
      </c>
      <c r="K5375" s="6" t="n">
        <f aca="false">Sens!K5263*(al_fro+Sens!K5371+sbc_r)</f>
        <v>4.9400829835574</v>
      </c>
    </row>
    <row r="5376" customFormat="false" ht="17.15" hidden="false" customHeight="false" outlineLevel="0" collapsed="false">
      <c r="A5376" s="0" t="s">
        <v>1061</v>
      </c>
      <c r="B5376" s="0" t="s">
        <v>98</v>
      </c>
      <c r="F5376" s="6" t="n">
        <f aca="false">Sens!F5266*(al_srch+Sens!F5371+sbc_r)</f>
        <v>11.2086336228877</v>
      </c>
      <c r="G5376" s="6" t="n">
        <f aca="false">Sens!G5266*(al_srch+Sens!G5371+sbc_r)</f>
        <v>12.2886990041694</v>
      </c>
      <c r="H5376" s="6" t="n">
        <f aca="false">Sens!H5266*(al_srch+Sens!H5371+sbc_r)</f>
        <v>13.4123033730914</v>
      </c>
      <c r="I5376" s="6" t="n">
        <f aca="false">Sens!I5266*(al_srch+Sens!I5371+sbc_r)</f>
        <v>14.5678610241687</v>
      </c>
      <c r="J5376" s="6" t="n">
        <f aca="false">Sens!J5266*(al_srch+Sens!J5371+sbc_r)</f>
        <v>15.7360166153587</v>
      </c>
      <c r="K5376" s="6" t="n">
        <f aca="false">Sens!K5266*(al_srch+Sens!K5371+sbc_r)</f>
        <v>16.8910648818491</v>
      </c>
    </row>
    <row r="5377" customFormat="false" ht="17.15" hidden="false" customHeight="false" outlineLevel="0" collapsed="false">
      <c r="A5377" s="0" t="s">
        <v>1062</v>
      </c>
      <c r="B5377" s="0" t="s">
        <v>98</v>
      </c>
      <c r="F5377" s="6" t="n">
        <f aca="false">Sens!F5235-Sens!F5236+Sens!F5316</f>
        <v>56.9589593334432</v>
      </c>
      <c r="G5377" s="6" t="n">
        <f aca="false">Sens!G5235-Sens!G5236+Sens!G5316</f>
        <v>104.107274689129</v>
      </c>
      <c r="H5377" s="6" t="n">
        <f aca="false">Sens!H5235-Sens!H5236+Sens!H5316</f>
        <v>158.735820339721</v>
      </c>
      <c r="I5377" s="6" t="n">
        <f aca="false">Sens!I5235-Sens!I5236+Sens!I5316</f>
        <v>202.39224133299</v>
      </c>
      <c r="J5377" s="6" t="n">
        <f aca="false">Sens!J5235-Sens!J5236+Sens!J5316</f>
        <v>233.098053569689</v>
      </c>
      <c r="K5377" s="6" t="n">
        <f aca="false">Sens!K5235-Sens!K5236+Sens!K5316</f>
        <v>252.231808608035</v>
      </c>
    </row>
    <row r="5378" customFormat="false" ht="17.15" hidden="false" customHeight="false" outlineLevel="0" collapsed="false">
      <c r="A5378" s="0" t="s">
        <v>1063</v>
      </c>
      <c r="B5378" s="0" t="s">
        <v>98</v>
      </c>
      <c r="F5378" s="6" t="n">
        <f aca="false">Sens!F5295+Sens!F5316+Sens!F5246+Sens!F5371*(Sens!F5265-Sens!F5229)+sbc_r*Sens!F5265</f>
        <v>247.637881796208</v>
      </c>
      <c r="G5378" s="6" t="n">
        <f aca="false">Sens!G5295+Sens!G5316+Sens!G5246+Sens!G5371*(Sens!G5265-Sens!G5229)+sbc_r*Sens!G5265</f>
        <v>321.224304929112</v>
      </c>
      <c r="H5378" s="6" t="n">
        <f aca="false">Sens!H5295+Sens!H5316+Sens!H5246+Sens!H5371*(Sens!H5265-Sens!H5229)+sbc_r*Sens!H5265</f>
        <v>402.971176474715</v>
      </c>
      <c r="I5378" s="6" t="n">
        <f aca="false">Sens!I5295+Sens!I5316+Sens!I5246+Sens!I5371*(Sens!I5265-Sens!I5229)+sbc_r*Sens!I5265</f>
        <v>472.352060050672</v>
      </c>
      <c r="J5378" s="6" t="n">
        <f aca="false">Sens!J5295+Sens!J5316+Sens!J5246+Sens!J5371*(Sens!J5265-Sens!J5229)+sbc_r*Sens!J5265</f>
        <v>526.502738807679</v>
      </c>
      <c r="K5378" s="6" t="n">
        <f aca="false">Sens!K5295+Sens!K5316+Sens!K5246+Sens!K5371*(Sens!K5265-Sens!K5229)+sbc_r*Sens!K5265</f>
        <v>566.648611419431</v>
      </c>
    </row>
    <row r="5379" customFormat="false" ht="17.15" hidden="false" customHeight="false" outlineLevel="0" collapsed="false">
      <c r="A5379" s="0" t="s">
        <v>1064</v>
      </c>
      <c r="B5379" s="0" t="s">
        <v>98</v>
      </c>
      <c r="F5379" s="6" t="n">
        <f aca="false">Sens!F5378-Sens!F5372-Sens!F5373-Sens!F5374-Sens!F5375-Sens!F5377</f>
        <v>61.1860399170098</v>
      </c>
      <c r="G5379" s="6" t="n">
        <f aca="false">Sens!G5378-Sens!G5372-Sens!G5373-Sens!G5374-Sens!G5375-Sens!G5377</f>
        <v>73.9159716279621</v>
      </c>
      <c r="H5379" s="6" t="n">
        <f aca="false">Sens!H5378-Sens!H5372-Sens!H5373-Sens!H5374-Sens!H5375-Sens!H5377</f>
        <v>87.1815939144725</v>
      </c>
      <c r="I5379" s="6" t="n">
        <f aca="false">Sens!I5378-Sens!I5372-Sens!I5373-Sens!I5374-Sens!I5375-Sens!I5377</f>
        <v>99.8581063286766</v>
      </c>
      <c r="J5379" s="6" t="n">
        <f aca="false">Sens!J5378-Sens!J5372-Sens!J5373-Sens!J5374-Sens!J5375-Sens!J5377</f>
        <v>111.280926989853</v>
      </c>
      <c r="K5379" s="6" t="n">
        <f aca="false">Sens!K5378-Sens!K5372-Sens!K5373-Sens!K5374-Sens!K5375-Sens!K5377</f>
        <v>120.775120122136</v>
      </c>
    </row>
    <row r="5380" customFormat="false" ht="17.15" hidden="false" customHeight="false" outlineLevel="0" collapsed="false">
      <c r="A5380" s="0" t="s">
        <v>1065</v>
      </c>
      <c r="B5380" s="0" t="s">
        <v>98</v>
      </c>
      <c r="F5380" s="6" t="n">
        <f aca="false">Sens!F5297+Sens!F5371*Sens!F5272+sbc_r*Sens!F5272</f>
        <v>26.1966102429508</v>
      </c>
      <c r="G5380" s="6" t="n">
        <f aca="false">Sens!G5297+Sens!G5371*Sens!G5272+sbc_r*Sens!G5272</f>
        <v>26.8196025719355</v>
      </c>
      <c r="H5380" s="6" t="n">
        <f aca="false">Sens!H5297+Sens!H5371*Sens!H5272+sbc_r*Sens!H5272</f>
        <v>27.7056687525402</v>
      </c>
      <c r="I5380" s="6" t="n">
        <f aca="false">Sens!I5297+Sens!I5371*Sens!I5272+sbc_r*Sens!I5272</f>
        <v>28.824089844062</v>
      </c>
      <c r="J5380" s="6" t="n">
        <f aca="false">Sens!J5297+Sens!J5371*Sens!J5272+sbc_r*Sens!J5272</f>
        <v>30.1416316349907</v>
      </c>
      <c r="K5380" s="6" t="n">
        <f aca="false">Sens!K5297+Sens!K5371*Sens!K5272+sbc_r*Sens!K5272</f>
        <v>31.6250204411904</v>
      </c>
    </row>
    <row r="5381" customFormat="false" ht="17.15" hidden="false" customHeight="false" outlineLevel="0" collapsed="false">
      <c r="A5381" s="0" t="s">
        <v>1066</v>
      </c>
      <c r="B5381" s="0" t="s">
        <v>98</v>
      </c>
      <c r="F5381" s="6" t="n">
        <f aca="false">(Sens!F5380-Sens!F5376)*Sens!F5268/(Sens!F5268+Sens!F5270)</f>
        <v>8.21626280234157</v>
      </c>
      <c r="G5381" s="6" t="n">
        <f aca="false">(Sens!G5380-Sens!G5376)*Sens!G5268/(Sens!G5268+Sens!G5270)</f>
        <v>7.82367187997329</v>
      </c>
      <c r="H5381" s="6" t="n">
        <f aca="false">(Sens!H5380-Sens!H5376)*Sens!H5268/(Sens!H5268+Sens!H5270)</f>
        <v>7.59182041100631</v>
      </c>
      <c r="I5381" s="6" t="n">
        <f aca="false">(Sens!I5380-Sens!I5376)*Sens!I5268/(Sens!I5268+Sens!I5270)</f>
        <v>7.5035831714983</v>
      </c>
      <c r="J5381" s="6" t="n">
        <f aca="false">(Sens!J5380-Sens!J5376)*Sens!J5268/(Sens!J5268+Sens!J5270)</f>
        <v>7.54792420457795</v>
      </c>
      <c r="K5381" s="6" t="n">
        <f aca="false">(Sens!K5380-Sens!K5376)*Sens!K5268/(Sens!K5268+Sens!K5270)</f>
        <v>7.71996056009895</v>
      </c>
    </row>
    <row r="5382" customFormat="false" ht="17.15" hidden="false" customHeight="false" outlineLevel="0" collapsed="false">
      <c r="A5382" s="0" t="s">
        <v>1067</v>
      </c>
      <c r="B5382" s="0" t="s">
        <v>98</v>
      </c>
      <c r="F5382" s="6" t="n">
        <f aca="false">Sens!F5380-Sens!F5376-Sens!F5381</f>
        <v>6.77171381772152</v>
      </c>
      <c r="G5382" s="6" t="n">
        <f aca="false">Sens!G5380-Sens!G5376-Sens!G5381</f>
        <v>6.70723168779282</v>
      </c>
      <c r="H5382" s="6" t="n">
        <f aca="false">Sens!H5380-Sens!H5376-Sens!H5381</f>
        <v>6.7015449684425</v>
      </c>
      <c r="I5382" s="6" t="n">
        <f aca="false">Sens!I5380-Sens!I5376-Sens!I5381</f>
        <v>6.75264564839497</v>
      </c>
      <c r="J5382" s="6" t="n">
        <f aca="false">Sens!J5380-Sens!J5376-Sens!J5381</f>
        <v>6.85769081505401</v>
      </c>
      <c r="K5382" s="6" t="n">
        <f aca="false">Sens!K5380-Sens!K5376-Sens!K5381</f>
        <v>7.01399499924232</v>
      </c>
    </row>
    <row r="5383" customFormat="false" ht="17.15" hidden="false" customHeight="false" outlineLevel="0" collapsed="false">
      <c r="A5383" s="0" t="s">
        <v>1068</v>
      </c>
      <c r="B5383" s="0" t="s">
        <v>98</v>
      </c>
      <c r="F5383" s="6" t="n">
        <f aca="false">Sens!F5377-tax_f*(Sens!F5377-Sens!F5246)-Sens!F5243</f>
        <v>-116.179128212509</v>
      </c>
      <c r="G5383" s="6" t="n">
        <f aca="false">Sens!G5377-tax_f*(Sens!G5377-Sens!G5246)-Sens!G5243</f>
        <v>-88.1845140798291</v>
      </c>
      <c r="H5383" s="6" t="n">
        <f aca="false">Sens!H5377-tax_f*(Sens!H5377-Sens!H5246)-Sens!H5243</f>
        <v>-43.5406664399956</v>
      </c>
      <c r="I5383" s="6" t="n">
        <f aca="false">Sens!I5377-tax_f*(Sens!I5377-Sens!I5246)-Sens!I5243</f>
        <v>20.6070319085904</v>
      </c>
      <c r="J5383" s="6" t="n">
        <f aca="false">Sens!J5377-tax_f*(Sens!J5377-Sens!J5246)-Sens!J5243</f>
        <v>87.8052083221935</v>
      </c>
      <c r="K5383" s="6" t="n">
        <f aca="false">Sens!K5377-tax_f*(Sens!K5377-Sens!K5246)-Sens!K5243</f>
        <v>114.758040605386</v>
      </c>
    </row>
    <row r="5384" customFormat="false" ht="17.15" hidden="false" customHeight="false" outlineLevel="0" collapsed="false">
      <c r="A5384" s="0" t="s">
        <v>1069</v>
      </c>
      <c r="B5384" s="0" t="s">
        <v>98</v>
      </c>
      <c r="F5384" s="6" t="n">
        <f aca="false">Sens!F5383*Sens!F5357</f>
        <v>-110.624996035534</v>
      </c>
      <c r="G5384" s="6" t="n">
        <f aca="false">Sens!G5383*Sens!G5357</f>
        <v>-76.132096733916</v>
      </c>
      <c r="H5384" s="6" t="n">
        <f aca="false">Sens!H5383*Sens!H5357</f>
        <v>-34.0816683834615</v>
      </c>
      <c r="I5384" s="6" t="n">
        <f aca="false">Sens!I5383*Sens!I5357</f>
        <v>14.6248536082681</v>
      </c>
      <c r="J5384" s="6" t="n">
        <f aca="false">Sens!J5383*Sens!J5357</f>
        <v>56.4997688879125</v>
      </c>
      <c r="K5384" s="6" t="n">
        <f aca="false">Sens!K5383*Sens!K5357</f>
        <v>66.9514254415598</v>
      </c>
    </row>
    <row r="5385" customFormat="false" ht="17.15" hidden="false" customHeight="false" outlineLevel="0" collapsed="false">
      <c r="A5385" s="0" t="s">
        <v>1070</v>
      </c>
      <c r="B5385" s="0" t="s">
        <v>98</v>
      </c>
      <c r="C5385" s="6" t="n">
        <f aca="false">(Sens!K5377-Sens!K5246)*(1-tax_f)*(1+g_tv)*(1-g_tv/(wacc+ronic_prem))/(wacc-g_tv)/(1+wacc)^(Sens!K5356+mid_yr)</f>
        <v>500.607699734493</v>
      </c>
    </row>
    <row r="5386" customFormat="false" ht="17.15" hidden="false" customHeight="false" outlineLevel="0" collapsed="false">
      <c r="A5386" s="1" t="s">
        <v>1071</v>
      </c>
      <c r="B5386" s="0" t="s">
        <v>98</v>
      </c>
      <c r="C5386" s="6" t="n">
        <f aca="false">(SUM(Sens!F5384:K5384)+Sens!$C$5385)*(1+wacc)^t_roll</f>
        <v>475.814037795486</v>
      </c>
      <c r="L5386" s="11" t="s">
        <v>1072</v>
      </c>
    </row>
    <row r="5387" customFormat="false" ht="17.15" hidden="false" customHeight="false" outlineLevel="0" collapsed="false">
      <c r="A5387" s="1" t="s">
        <v>1073</v>
      </c>
      <c r="B5387" s="0" t="s">
        <v>98</v>
      </c>
      <c r="C5387" s="6" t="n">
        <f aca="false">(w_ntm28*Sens!G5235+(1-w_ntm28)*Sens!H5235)*m_ai</f>
        <v>551.711134531404</v>
      </c>
    </row>
    <row r="5388" customFormat="false" ht="17.15" hidden="false" customHeight="false" outlineLevel="0" collapsed="false">
      <c r="A5388" s="1" t="s">
        <v>1074</v>
      </c>
      <c r="B5388" s="0" t="s">
        <v>98</v>
      </c>
      <c r="C5388" s="6" t="n">
        <f aca="false">(w_ntm28*Sens!G5379+(1-w_ntm28)*Sens!H5379)*m_cloud</f>
        <v>1080.78734762433</v>
      </c>
    </row>
    <row r="5389" customFormat="false" ht="17.15" hidden="false" customHeight="false" outlineLevel="0" collapsed="false">
      <c r="A5389" s="1" t="s">
        <v>1075</v>
      </c>
      <c r="B5389" s="0" t="s">
        <v>98</v>
      </c>
      <c r="C5389" s="6" t="n">
        <f aca="false">(w_ntm28*Sens!G5372+(1-w_ntm28)*Sens!H5372)*m_sw</f>
        <v>1064.28356057052</v>
      </c>
    </row>
    <row r="5390" customFormat="false" ht="17.15" hidden="false" customHeight="false" outlineLevel="0" collapsed="false">
      <c r="A5390" s="1" t="s">
        <v>1076</v>
      </c>
      <c r="B5390" s="0" t="s">
        <v>98</v>
      </c>
      <c r="C5390" s="6" t="n">
        <f aca="false">(w_ntm28*Sens!G5373+(1-w_ntm28)*Sens!H5373)*m_sw</f>
        <v>379.600069343012</v>
      </c>
    </row>
    <row r="5391" customFormat="false" ht="17.15" hidden="false" customHeight="false" outlineLevel="0" collapsed="false">
      <c r="A5391" s="1" t="s">
        <v>1077</v>
      </c>
      <c r="B5391" s="0" t="s">
        <v>98</v>
      </c>
      <c r="C5391" s="6" t="n">
        <f aca="false">(w_ntm28*Sens!G5374+(1-w_ntm28)*Sens!H5374)*m_sw</f>
        <v>109.339697774772</v>
      </c>
    </row>
    <row r="5392" customFormat="false" ht="17.15" hidden="false" customHeight="false" outlineLevel="0" collapsed="false">
      <c r="A5392" s="1" t="s">
        <v>1078</v>
      </c>
      <c r="B5392" s="0" t="s">
        <v>98</v>
      </c>
      <c r="C5392" s="6" t="n">
        <f aca="false">(w_ntm28*Sens!G5375+(1-w_ntm28)*Sens!H5375)*m_sw</f>
        <v>41.7149148521404</v>
      </c>
    </row>
    <row r="5393" customFormat="false" ht="17.15" hidden="false" customHeight="false" outlineLevel="0" collapsed="false">
      <c r="A5393" s="1" t="s">
        <v>1079</v>
      </c>
      <c r="B5393" s="0" t="s">
        <v>98</v>
      </c>
      <c r="C5393" s="6" t="n">
        <f aca="false">(w_ntm28*Sens!G5376+(1-w_ntm28)*Sens!H5376)*m_ads</f>
        <v>115.259232104706</v>
      </c>
    </row>
    <row r="5394" customFormat="false" ht="17.15" hidden="false" customHeight="false" outlineLevel="0" collapsed="false">
      <c r="A5394" s="1" t="s">
        <v>1080</v>
      </c>
      <c r="B5394" s="0" t="s">
        <v>98</v>
      </c>
      <c r="C5394" s="6" t="n">
        <f aca="false">(w_ntm28*Sens!G5381+(1-w_ntm28)*Sens!H5381)*m_game</f>
        <v>97.8662977118428</v>
      </c>
    </row>
    <row r="5395" customFormat="false" ht="17.15" hidden="false" customHeight="false" outlineLevel="0" collapsed="false">
      <c r="A5395" s="1" t="s">
        <v>1081</v>
      </c>
      <c r="B5395" s="0" t="s">
        <v>98</v>
      </c>
      <c r="C5395" s="6" t="n">
        <f aca="false">(w_ntm28*Sens!G5382+(1-w_ntm28)*Sens!H5382)*m_pc</f>
        <v>97.0270402050418</v>
      </c>
    </row>
    <row r="5396" customFormat="false" ht="17.15" hidden="false" customHeight="false" outlineLevel="0" collapsed="false">
      <c r="A5396" s="1" t="s">
        <v>1082</v>
      </c>
      <c r="B5396" s="0" t="s">
        <v>98</v>
      </c>
      <c r="C5396" s="6" t="n">
        <f aca="false">Sens!$C$5386+Sens!$C$5388+Sens!$C$5389+Sens!$C$5390+Sens!$C$5391+Sens!$C$5392+Sens!$C$5393+Sens!$C$5394+Sens!$C$5395</f>
        <v>3461.69219798185</v>
      </c>
    </row>
    <row r="5397" customFormat="false" ht="17.15" hidden="false" customHeight="false" outlineLevel="0" collapsed="false">
      <c r="A5397" s="1" t="s">
        <v>1000</v>
      </c>
      <c r="B5397" s="0" t="s">
        <v>98</v>
      </c>
      <c r="C5397" s="6" t="n">
        <f aca="false">Sens!F5347+oai_v-Sens!F5336</f>
        <v>113.948999069163</v>
      </c>
      <c r="L5397" s="1" t="s">
        <v>1083</v>
      </c>
    </row>
    <row r="5398" customFormat="false" ht="15" hidden="false" customHeight="false" outlineLevel="0" collapsed="false">
      <c r="A5398" s="1" t="s">
        <v>1001</v>
      </c>
      <c r="B5398" s="0" t="s">
        <v>75</v>
      </c>
      <c r="C5398" s="5" t="n">
        <f aca="false">(Sens!$C$5396+Sens!$C$5397)/Sens!F5349</f>
        <v>478.538704102116</v>
      </c>
    </row>
    <row r="5399" customFormat="false" ht="17.15" hidden="false" customHeight="false" outlineLevel="0" collapsed="false">
      <c r="A5399" s="1" t="s">
        <v>1084</v>
      </c>
      <c r="B5399" s="0" t="s">
        <v>75</v>
      </c>
      <c r="C5399" s="5" t="n">
        <f aca="false">w_dcf*Sens!$C$5370+(1-w_dcf)*Sens!$C$5398</f>
        <v>430.591641036877</v>
      </c>
    </row>
    <row r="5400" customFormat="false" ht="17.15" hidden="false" customHeight="false" outlineLevel="0" collapsed="false">
      <c r="A5400" s="3" t="s">
        <v>1374</v>
      </c>
    </row>
    <row r="5401" customFormat="false" ht="15" hidden="false" customHeight="false" outlineLevel="0" collapsed="false">
      <c r="A5401" s="4" t="s">
        <v>43</v>
      </c>
      <c r="B5401" s="4" t="s">
        <v>65</v>
      </c>
      <c r="C5401" s="20" t="s">
        <v>788</v>
      </c>
      <c r="D5401" s="20" t="s">
        <v>789</v>
      </c>
      <c r="E5401" s="20" t="s">
        <v>790</v>
      </c>
      <c r="F5401" s="20" t="s">
        <v>791</v>
      </c>
      <c r="G5401" s="20" t="s">
        <v>792</v>
      </c>
      <c r="H5401" s="20" t="s">
        <v>793</v>
      </c>
      <c r="I5401" s="20" t="s">
        <v>794</v>
      </c>
      <c r="J5401" s="20" t="s">
        <v>795</v>
      </c>
      <c r="K5401" s="20" t="s">
        <v>796</v>
      </c>
      <c r="L5401" s="4" t="s">
        <v>47</v>
      </c>
    </row>
    <row r="5402" customFormat="false" ht="17.15" hidden="false" customHeight="false" outlineLevel="0" collapsed="false">
      <c r="A5402" s="1" t="s">
        <v>797</v>
      </c>
      <c r="B5402" s="1" t="s">
        <v>235</v>
      </c>
      <c r="C5402" s="28" t="n">
        <v>2024</v>
      </c>
      <c r="D5402" s="28" t="n">
        <v>2025</v>
      </c>
      <c r="E5402" s="28" t="n">
        <v>2026</v>
      </c>
      <c r="F5402" s="28" t="n">
        <v>2027</v>
      </c>
      <c r="G5402" s="28" t="n">
        <v>2028</v>
      </c>
      <c r="H5402" s="28" t="n">
        <v>2029</v>
      </c>
      <c r="I5402" s="28" t="n">
        <v>2030</v>
      </c>
      <c r="J5402" s="28" t="n">
        <v>2031</v>
      </c>
      <c r="K5402" s="28" t="n">
        <v>2032</v>
      </c>
    </row>
    <row r="5403" customFormat="false" ht="17.15" hidden="false" customHeight="false" outlineLevel="0" collapsed="false">
      <c r="A5403" s="1" t="s">
        <v>798</v>
      </c>
      <c r="B5403" s="0" t="s">
        <v>392</v>
      </c>
      <c r="F5403" s="29" t="n">
        <f aca="false">pace</f>
        <v>2527.2</v>
      </c>
      <c r="G5403" s="29" t="n">
        <f aca="false">pace</f>
        <v>2527.2</v>
      </c>
      <c r="H5403" s="29" t="n">
        <f aca="false">pace</f>
        <v>2527.2</v>
      </c>
      <c r="I5403" s="29" t="n">
        <f aca="false">pace+(g_tv*Sens!H5404-pace)*MIN(1,(Sens!I5402-pace_y0)/(pace_y1-pace_y0))</f>
        <v>1793.116</v>
      </c>
      <c r="J5403" s="29" t="n">
        <f aca="false">pace+(g_tv*Sens!H5404-pace)*MIN(1,(Sens!J5402-pace_y0)/(pace_y1-pace_y0))</f>
        <v>1059.032</v>
      </c>
      <c r="K5403" s="29" t="n">
        <f aca="false">pace+(g_tv*Sens!H5404-pace)*MIN(1,(Sens!K5402-pace_y0)/(pace_y1-pace_y0))</f>
        <v>324.948</v>
      </c>
      <c r="L5403" s="11" t="s">
        <v>799</v>
      </c>
    </row>
    <row r="5404" customFormat="false" ht="17.15" hidden="false" customHeight="false" outlineLevel="0" collapsed="false">
      <c r="A5404" s="1" t="s">
        <v>800</v>
      </c>
      <c r="B5404" s="0" t="s">
        <v>392</v>
      </c>
      <c r="C5404" s="29" t="n">
        <f aca="false">mw_ext_24</f>
        <v>640</v>
      </c>
      <c r="D5404" s="29" t="n">
        <f aca="false">mw_ext_25</f>
        <v>1630</v>
      </c>
      <c r="E5404" s="29" t="n">
        <f aca="false">mw_ext_26</f>
        <v>3250</v>
      </c>
      <c r="F5404" s="29" t="n">
        <f aca="false">Sens!E5404+Sens!F5403</f>
        <v>5777.2</v>
      </c>
      <c r="G5404" s="29" t="n">
        <f aca="false">Sens!F5404+Sens!G5403</f>
        <v>8304.4</v>
      </c>
      <c r="H5404" s="29" t="n">
        <f aca="false">Sens!G5404+Sens!H5403</f>
        <v>10831.6</v>
      </c>
      <c r="I5404" s="29" t="n">
        <f aca="false">Sens!H5404+Sens!I5403</f>
        <v>12624.716</v>
      </c>
      <c r="J5404" s="29" t="n">
        <f aca="false">Sens!I5404+Sens!J5403</f>
        <v>13683.748</v>
      </c>
      <c r="K5404" s="29" t="n">
        <f aca="false">Sens!J5404+Sens!K5403</f>
        <v>14008.696</v>
      </c>
      <c r="L5404" s="1" t="s">
        <v>801</v>
      </c>
    </row>
    <row r="5405" customFormat="false" ht="17.15" hidden="false" customHeight="false" outlineLevel="0" collapsed="false">
      <c r="A5405" s="1" t="s">
        <v>802</v>
      </c>
      <c r="B5405" s="0" t="s">
        <v>392</v>
      </c>
      <c r="C5405" s="29" t="n">
        <f aca="false">rent_ext_24</f>
        <v>150</v>
      </c>
      <c r="D5405" s="29" t="n">
        <f aca="false">rent_ext_25</f>
        <v>400</v>
      </c>
      <c r="E5405" s="29" t="n">
        <f aca="false">rent_ext_26</f>
        <v>550</v>
      </c>
      <c r="F5405" s="29" t="n">
        <f aca="false">rent_ext_f</f>
        <v>756</v>
      </c>
      <c r="G5405" s="29" t="n">
        <f aca="false">rent_ext_f</f>
        <v>756</v>
      </c>
      <c r="H5405" s="29" t="n">
        <f aca="false">rent_ext_f</f>
        <v>756</v>
      </c>
      <c r="I5405" s="29" t="n">
        <f aca="false">rent_ext_f</f>
        <v>756</v>
      </c>
      <c r="J5405" s="29" t="n">
        <f aca="false">rent_ext_f</f>
        <v>756</v>
      </c>
      <c r="K5405" s="29" t="n">
        <f aca="false">rent_ext_f</f>
        <v>756</v>
      </c>
      <c r="L5405" s="1" t="s">
        <v>803</v>
      </c>
    </row>
    <row r="5406" customFormat="false" ht="17.15" hidden="false" customHeight="false" outlineLevel="0" collapsed="false">
      <c r="A5406" s="1" t="s">
        <v>804</v>
      </c>
      <c r="B5406" s="0" t="s">
        <v>392</v>
      </c>
      <c r="C5406" s="29" t="n">
        <f aca="false">Sens!C5404-Sens!C5405</f>
        <v>490</v>
      </c>
      <c r="D5406" s="29" t="n">
        <f aca="false">Sens!D5404-Sens!D5405</f>
        <v>1230</v>
      </c>
      <c r="E5406" s="29" t="n">
        <f aca="false">Sens!E5404-Sens!E5405</f>
        <v>2700</v>
      </c>
      <c r="F5406" s="29" t="n">
        <f aca="false">Sens!F5404-Sens!F5405</f>
        <v>5021.2</v>
      </c>
      <c r="G5406" s="29" t="n">
        <f aca="false">Sens!G5404-Sens!G5405</f>
        <v>7548.4</v>
      </c>
      <c r="H5406" s="29" t="n">
        <f aca="false">Sens!H5404-Sens!H5405</f>
        <v>10075.6</v>
      </c>
      <c r="I5406" s="29" t="n">
        <f aca="false">Sens!I5404-Sens!I5405</f>
        <v>11868.716</v>
      </c>
      <c r="J5406" s="29" t="n">
        <f aca="false">Sens!J5404-Sens!J5405</f>
        <v>12927.748</v>
      </c>
      <c r="K5406" s="29" t="n">
        <f aca="false">Sens!K5404-Sens!K5405</f>
        <v>13252.696</v>
      </c>
    </row>
    <row r="5407" customFormat="false" ht="17.15" hidden="false" customHeight="false" outlineLevel="0" collapsed="false">
      <c r="A5407" s="1" t="s">
        <v>805</v>
      </c>
      <c r="B5407" s="0" t="s">
        <v>392</v>
      </c>
      <c r="C5407" s="29" t="n">
        <f aca="false">Sens!C5406/ext_sh</f>
        <v>816.666666666667</v>
      </c>
      <c r="D5407" s="29" t="n">
        <f aca="false">Sens!D5406/ext_sh</f>
        <v>2050</v>
      </c>
      <c r="E5407" s="29" t="n">
        <f aca="false">Sens!E5406/ext_sh</f>
        <v>4500</v>
      </c>
      <c r="F5407" s="29" t="n">
        <f aca="false">Sens!F5406/ext_sh</f>
        <v>8368.66666666667</v>
      </c>
      <c r="G5407" s="29" t="n">
        <f aca="false">Sens!G5406/ext_sh</f>
        <v>12580.6666666667</v>
      </c>
      <c r="H5407" s="29" t="n">
        <f aca="false">Sens!H5406/ext_sh</f>
        <v>16792.6666666667</v>
      </c>
      <c r="I5407" s="29" t="n">
        <f aca="false">Sens!I5406/ext_sh</f>
        <v>19781.1933333333</v>
      </c>
      <c r="J5407" s="29" t="n">
        <f aca="false">Sens!J5406/ext_sh</f>
        <v>21546.2466666667</v>
      </c>
      <c r="K5407" s="29" t="n">
        <f aca="false">Sens!K5406/ext_sh</f>
        <v>22087.8266666667</v>
      </c>
      <c r="L5407" s="1" t="s">
        <v>806</v>
      </c>
    </row>
    <row r="5408" customFormat="false" ht="17.15" hidden="false" customHeight="false" outlineLevel="0" collapsed="false">
      <c r="A5408" s="1" t="s">
        <v>807</v>
      </c>
      <c r="B5408" s="0" t="s">
        <v>392</v>
      </c>
      <c r="C5408" s="29" t="n">
        <f aca="false">Sens!C5407-Sens!C5406</f>
        <v>326.666666666667</v>
      </c>
      <c r="D5408" s="29" t="n">
        <f aca="false">Sens!D5407-Sens!D5406</f>
        <v>820</v>
      </c>
      <c r="E5408" s="29" t="n">
        <f aca="false">Sens!E5407-Sens!E5406</f>
        <v>1800</v>
      </c>
      <c r="F5408" s="29" t="n">
        <f aca="false">Sens!F5407-Sens!F5406</f>
        <v>3347.46666666667</v>
      </c>
      <c r="G5408" s="29" t="n">
        <f aca="false">Sens!G5407-Sens!G5406</f>
        <v>5032.26666666667</v>
      </c>
      <c r="H5408" s="29" t="n">
        <f aca="false">Sens!H5407-Sens!H5406</f>
        <v>6717.06666666667</v>
      </c>
      <c r="I5408" s="29" t="n">
        <f aca="false">Sens!I5407-Sens!I5406</f>
        <v>7912.47733333333</v>
      </c>
      <c r="J5408" s="29" t="n">
        <f aca="false">Sens!J5407-Sens!J5406</f>
        <v>8618.49866666667</v>
      </c>
      <c r="K5408" s="29" t="n">
        <f aca="false">Sens!K5407-Sens!K5406</f>
        <v>8835.13066666667</v>
      </c>
    </row>
    <row r="5409" customFormat="false" ht="17.15" hidden="false" customHeight="false" outlineLevel="0" collapsed="false">
      <c r="A5409" s="1" t="s">
        <v>808</v>
      </c>
      <c r="B5409" s="0" t="s">
        <v>392</v>
      </c>
      <c r="C5409" s="29" t="n">
        <f aca="false">Sens!C5407</f>
        <v>816.666666666667</v>
      </c>
      <c r="D5409" s="29" t="n">
        <f aca="false">Sens!D5407-Sens!C5407</f>
        <v>1233.33333333333</v>
      </c>
      <c r="E5409" s="29" t="n">
        <f aca="false">Sens!E5407-Sens!D5407</f>
        <v>2450</v>
      </c>
      <c r="F5409" s="29" t="n">
        <f aca="false">Sens!F5407-Sens!E5407</f>
        <v>3868.66666666667</v>
      </c>
      <c r="G5409" s="29" t="n">
        <f aca="false">Sens!G5407-Sens!F5407</f>
        <v>4212</v>
      </c>
      <c r="H5409" s="29" t="n">
        <f aca="false">Sens!H5407-Sens!G5407</f>
        <v>4212</v>
      </c>
      <c r="I5409" s="29" t="n">
        <f aca="false">Sens!I5407-Sens!H5407</f>
        <v>2988.52666666667</v>
      </c>
      <c r="J5409" s="29" t="n">
        <f aca="false">Sens!J5407-Sens!I5407</f>
        <v>1765.05333333333</v>
      </c>
      <c r="K5409" s="29" t="n">
        <f aca="false">Sens!K5407-Sens!J5407</f>
        <v>541.580000000002</v>
      </c>
    </row>
    <row r="5410" customFormat="false" ht="17.15" hidden="false" customHeight="false" outlineLevel="0" collapsed="false">
      <c r="A5410" s="1" t="s">
        <v>809</v>
      </c>
      <c r="B5410" s="0" t="s">
        <v>392</v>
      </c>
      <c r="D5410" s="29" t="n">
        <f aca="false">Sens!D5404-Sens!C5404</f>
        <v>990</v>
      </c>
      <c r="E5410" s="29" t="n">
        <f aca="false">Sens!E5404-Sens!D5404</f>
        <v>1620</v>
      </c>
      <c r="F5410" s="29" t="n">
        <f aca="false">Sens!F5404-Sens!E5404</f>
        <v>2527.2</v>
      </c>
      <c r="G5410" s="29" t="n">
        <f aca="false">Sens!G5404-Sens!F5404</f>
        <v>2527.2</v>
      </c>
      <c r="H5410" s="29" t="n">
        <f aca="false">Sens!H5404-Sens!G5404</f>
        <v>2527.2</v>
      </c>
      <c r="I5410" s="29" t="n">
        <f aca="false">Sens!I5404-Sens!H5404</f>
        <v>1793.116</v>
      </c>
      <c r="J5410" s="29" t="n">
        <f aca="false">Sens!J5404-Sens!I5404</f>
        <v>1059.032</v>
      </c>
      <c r="K5410" s="29" t="n">
        <f aca="false">Sens!K5404-Sens!J5404</f>
        <v>324.948</v>
      </c>
    </row>
    <row r="5411" customFormat="false" ht="17.15" hidden="false" customHeight="false" outlineLevel="0" collapsed="false">
      <c r="A5411" s="1" t="s">
        <v>810</v>
      </c>
      <c r="B5411" s="0" t="s">
        <v>392</v>
      </c>
      <c r="F5411" s="29" t="n">
        <f aca="false">Sens!F5428*ext_sh</f>
        <v>0</v>
      </c>
      <c r="G5411" s="29" t="n">
        <f aca="false">Sens!G5428*ext_sh</f>
        <v>0</v>
      </c>
      <c r="H5411" s="29" t="n">
        <f aca="false">Sens!H5428*ext_sh</f>
        <v>0</v>
      </c>
      <c r="I5411" s="29" t="n">
        <f aca="false">Sens!I5428*ext_sh</f>
        <v>490</v>
      </c>
      <c r="J5411" s="29" t="n">
        <f aca="false">Sens!J5428*ext_sh</f>
        <v>740</v>
      </c>
      <c r="K5411" s="29" t="n">
        <f aca="false">Sens!K5428*ext_sh</f>
        <v>1470</v>
      </c>
      <c r="L5411" s="1" t="s">
        <v>811</v>
      </c>
    </row>
    <row r="5412" customFormat="false" ht="17.15" hidden="false" customHeight="false" outlineLevel="0" collapsed="false">
      <c r="A5412" s="1" t="s">
        <v>812</v>
      </c>
      <c r="B5412" s="0" t="s">
        <v>392</v>
      </c>
      <c r="C5412" s="29" t="n">
        <f aca="false">mix_h*Sens!C5404</f>
        <v>128</v>
      </c>
      <c r="D5412" s="29" t="n">
        <f aca="false">mix_h*Sens!D5404</f>
        <v>326</v>
      </c>
      <c r="E5412" s="29" t="n">
        <f aca="false">mix_h*Sens!E5404</f>
        <v>650</v>
      </c>
      <c r="F5412" s="29" t="n">
        <f aca="false">Sens!E5412-Sens!F5411*mix_h</f>
        <v>650</v>
      </c>
      <c r="G5412" s="29" t="n">
        <f aca="false">Sens!F5412-Sens!G5411*mix_h</f>
        <v>650</v>
      </c>
      <c r="H5412" s="29" t="n">
        <f aca="false">Sens!G5412-Sens!H5411*mix_h</f>
        <v>650</v>
      </c>
      <c r="I5412" s="29" t="n">
        <f aca="false">Sens!H5412-Sens!I5411*mix_h</f>
        <v>552</v>
      </c>
      <c r="J5412" s="29" t="n">
        <f aca="false">Sens!I5412-Sens!J5411*mix_h</f>
        <v>404</v>
      </c>
      <c r="K5412" s="29" t="n">
        <f aca="false">Sens!J5412-Sens!K5411*mix_h</f>
        <v>110</v>
      </c>
    </row>
    <row r="5413" customFormat="false" ht="17.15" hidden="false" customHeight="false" outlineLevel="0" collapsed="false">
      <c r="A5413" s="1" t="s">
        <v>813</v>
      </c>
      <c r="B5413" s="0" t="s">
        <v>392</v>
      </c>
      <c r="C5413" s="29" t="n">
        <f aca="false">mix_g2*Sens!C5404</f>
        <v>288</v>
      </c>
      <c r="D5413" s="29" t="n">
        <f aca="false">mix_g2*Sens!D5404</f>
        <v>733.5</v>
      </c>
      <c r="E5413" s="29" t="n">
        <f aca="false">mix_g2*Sens!E5404</f>
        <v>1462.5</v>
      </c>
      <c r="F5413" s="29" t="n">
        <f aca="false">Sens!E5413-Sens!F5411*mix_g2</f>
        <v>1462.5</v>
      </c>
      <c r="G5413" s="29" t="n">
        <f aca="false">Sens!F5413-Sens!G5411*mix_g2</f>
        <v>1462.5</v>
      </c>
      <c r="H5413" s="29" t="n">
        <f aca="false">Sens!G5413-Sens!H5411*mix_g2</f>
        <v>1462.5</v>
      </c>
      <c r="I5413" s="29" t="n">
        <f aca="false">Sens!H5413-Sens!I5411*mix_g2</f>
        <v>1242</v>
      </c>
      <c r="J5413" s="29" t="n">
        <f aca="false">Sens!I5413-Sens!J5411*mix_g2</f>
        <v>909</v>
      </c>
      <c r="K5413" s="29" t="n">
        <f aca="false">Sens!J5413-Sens!K5411*mix_g2</f>
        <v>247.5</v>
      </c>
    </row>
    <row r="5414" customFormat="false" ht="17.15" hidden="false" customHeight="false" outlineLevel="0" collapsed="false">
      <c r="A5414" s="1" t="s">
        <v>814</v>
      </c>
      <c r="B5414" s="0" t="s">
        <v>392</v>
      </c>
      <c r="C5414" s="29" t="n">
        <f aca="false">mix_g3*Sens!C5404</f>
        <v>224</v>
      </c>
      <c r="D5414" s="29" t="n">
        <f aca="false">mix_g3*Sens!D5404</f>
        <v>570.5</v>
      </c>
      <c r="E5414" s="29" t="n">
        <f aca="false">mix_g3*Sens!E5404</f>
        <v>1137.5</v>
      </c>
      <c r="F5414" s="29" t="n">
        <f aca="false">Sens!E5414+(Sens!F5410+Sens!F5411)*a_g3_27-Sens!F5411*mix_g3</f>
        <v>2906.54</v>
      </c>
      <c r="G5414" s="29" t="n">
        <f aca="false">Sens!F5414+(Sens!G5410+Sens!G5411)*a_g3_28-Sens!G5411*mix_g3</f>
        <v>3664.7</v>
      </c>
      <c r="H5414" s="29" t="n">
        <f aca="false">Sens!G5414+(Sens!H5410+Sens!H5411)*a_g3_29-Sens!H5411*mix_g3</f>
        <v>3917.42</v>
      </c>
      <c r="I5414" s="29" t="n">
        <f aca="false">Sens!H5414+(Sens!I5410+Sens!I5411)*a_g3_29-Sens!I5411*mix_g3</f>
        <v>3974.2316</v>
      </c>
      <c r="J5414" s="29" t="n">
        <f aca="false">Sens!I5414+(Sens!J5410+Sens!J5411)*a_g3_29-Sens!J5411*mix_g3</f>
        <v>3895.1348</v>
      </c>
      <c r="K5414" s="29" t="n">
        <f aca="false">Sens!J5414+(Sens!K5410+Sens!K5411)*a_g3_29-Sens!K5411*mix_g3</f>
        <v>3560.1296</v>
      </c>
    </row>
    <row r="5415" customFormat="false" ht="17.15" hidden="false" customHeight="false" outlineLevel="0" collapsed="false">
      <c r="A5415" s="1" t="s">
        <v>815</v>
      </c>
      <c r="B5415" s="0" t="s">
        <v>392</v>
      </c>
      <c r="C5415" s="29" t="n">
        <v>0</v>
      </c>
      <c r="D5415" s="29" t="n">
        <v>0</v>
      </c>
      <c r="E5415" s="29" t="n">
        <v>0</v>
      </c>
      <c r="F5415" s="29" t="n">
        <f aca="false">Sens!E5415+(Sens!F5410+Sens!F5411)*(1-a_g3_27)</f>
        <v>758.16</v>
      </c>
      <c r="G5415" s="29" t="n">
        <f aca="false">Sens!F5415+(Sens!G5410+Sens!G5411)*(1-a_g3_28)</f>
        <v>2527.2</v>
      </c>
      <c r="H5415" s="29" t="n">
        <f aca="false">Sens!G5415+(Sens!H5410+Sens!H5411)*(1-a_g3_29)</f>
        <v>4801.68</v>
      </c>
      <c r="I5415" s="29" t="n">
        <f aca="false">Sens!H5415+(Sens!I5410+Sens!I5411)*(1-a_g3_29)</f>
        <v>6856.4844</v>
      </c>
      <c r="J5415" s="29" t="n">
        <f aca="false">Sens!I5415+(Sens!J5410+Sens!J5411)*(1-a_g3_29)</f>
        <v>8475.6132</v>
      </c>
      <c r="K5415" s="29" t="n">
        <f aca="false">Sens!J5415+(Sens!K5410+Sens!K5411)*(1-a_g3_29)</f>
        <v>10091.0664</v>
      </c>
    </row>
    <row r="5416" customFormat="false" ht="17.15" hidden="false" customHeight="false" outlineLevel="0" collapsed="false">
      <c r="A5416" s="1" t="s">
        <v>816</v>
      </c>
      <c r="B5416" s="0" t="s">
        <v>339</v>
      </c>
      <c r="C5416" s="14" t="n">
        <f aca="false">(Sens!C5412*tk_hold_h100+Sens!C5413*tk_hold_gb200+Sens!C5414*tk_hold_gb300+Sens!C5415*tk_hold_vr200)/Sens!C5404</f>
        <v>9.7235358126469</v>
      </c>
      <c r="D5416" s="14" t="n">
        <f aca="false">(Sens!D5412*tk_hold_h100+Sens!D5413*tk_hold_gb200+Sens!D5414*tk_hold_gb300+Sens!D5415*tk_hold_vr200)/Sens!D5404</f>
        <v>9.7235358126469</v>
      </c>
      <c r="E5416" s="14" t="n">
        <f aca="false">(Sens!E5412*tk_hold_h100+Sens!E5413*tk_hold_gb200+Sens!E5414*tk_hold_gb300+Sens!E5415*tk_hold_vr200)/Sens!E5404</f>
        <v>9.7235358126469</v>
      </c>
      <c r="F5416" s="14" t="n">
        <f aca="false">(Sens!F5412*tk_hold_h100+Sens!F5413*tk_hold_gb200+Sens!F5414*tk_hold_gb300+Sens!F5415*tk_hold_vr200)/Sens!F5404</f>
        <v>10.4079573161931</v>
      </c>
      <c r="G5416" s="14" t="n">
        <f aca="false">(Sens!G5412*tk_hold_h100+Sens!G5413*tk_hold_gb200+Sens!G5414*tk_hold_gb300+Sens!G5415*tk_hold_vr200)/Sens!G5404</f>
        <v>10.8388131109316</v>
      </c>
      <c r="H5416" s="14" t="n">
        <f aca="false">(Sens!H5412*tk_hold_h100+Sens!H5413*tk_hold_gb200+Sens!H5414*tk_hold_gb300+Sens!H5415*tk_hold_vr200)/Sens!H5404</f>
        <v>11.1311018388216</v>
      </c>
      <c r="I5416" s="14" t="n">
        <f aca="false">(Sens!I5412*tk_hold_h100+Sens!I5413*tk_hold_gb200+Sens!I5414*tk_hold_gb300+Sens!I5415*tk_hold_vr200)/Sens!I5404</f>
        <v>11.3594282560989</v>
      </c>
      <c r="J5416" s="14" t="n">
        <f aca="false">(Sens!J5412*tk_hold_h100+Sens!J5413*tk_hold_gb200+Sens!J5414*tk_hold_gb300+Sens!J5415*tk_hold_vr200)/Sens!J5404</f>
        <v>11.5441508808221</v>
      </c>
      <c r="K5416" s="14" t="n">
        <f aca="false">(Sens!K5412*tk_hold_h100+Sens!K5413*tk_hold_gb200+Sens!K5414*tk_hold_gb300+Sens!K5415*tk_hold_vr200)/Sens!K5404</f>
        <v>11.8053375063575</v>
      </c>
    </row>
    <row r="5417" customFormat="false" ht="17.15" hidden="false" customHeight="false" outlineLevel="0" collapsed="false">
      <c r="A5417" s="0" t="s">
        <v>817</v>
      </c>
      <c r="B5417" s="0" t="s">
        <v>185</v>
      </c>
      <c r="C5417" s="14" t="n">
        <f aca="false">k_B</f>
        <v>1.17213932619116</v>
      </c>
      <c r="D5417" s="14" t="n">
        <f aca="false">k_B</f>
        <v>1.17213932619116</v>
      </c>
      <c r="E5417" s="14" t="n">
        <f aca="false">k_B</f>
        <v>1.17213932619116</v>
      </c>
      <c r="F5417" s="14" t="n">
        <f aca="false">(k_B+((ls_B*k_long+(1-ls_B)*k_spot)-k_B)*MIN(1,(Sens!F5402-base_fy)/k_ramp))</f>
        <v>1.17213932619116</v>
      </c>
      <c r="G5417" s="14" t="n">
        <f aca="false">(k_B+((ls_B*k_long+(1-ls_B)*k_spot)-k_B)*MIN(1,(Sens!G5402-base_fy)/k_ramp))</f>
        <v>1.17213932619116</v>
      </c>
      <c r="H5417" s="14" t="n">
        <f aca="false">(k_B+((ls_B*k_long+(1-ls_B)*k_spot)-k_B)*MIN(1,(Sens!H5402-base_fy)/k_ramp))</f>
        <v>1.17213932619116</v>
      </c>
      <c r="I5417" s="14" t="n">
        <f aca="false">(k_B+((ls_B*k_long+(1-ls_B)*k_spot)-k_B)*MIN(1,(Sens!I5402-base_fy)/k_ramp))</f>
        <v>1.17213932619116</v>
      </c>
      <c r="J5417" s="14" t="n">
        <f aca="false">(k_B+((ls_B*k_long+(1-ls_B)*k_spot)-k_B)*MIN(1,(Sens!J5402-base_fy)/k_ramp))</f>
        <v>1.17213932619116</v>
      </c>
      <c r="K5417" s="14" t="n">
        <f aca="false">(k_B+((ls_B*k_long+(1-ls_B)*k_spot)-k_B)*MIN(1,(Sens!K5402-base_fy)/k_ramp))</f>
        <v>1.17213932619116</v>
      </c>
      <c r="L5417" s="1" t="s">
        <v>818</v>
      </c>
    </row>
    <row r="5418" customFormat="false" ht="17.15" hidden="false" customHeight="false" outlineLevel="0" collapsed="false">
      <c r="A5418" s="1" t="s">
        <v>819</v>
      </c>
      <c r="B5418" s="0" t="s">
        <v>339</v>
      </c>
      <c r="C5418" s="14" t="n">
        <f aca="false">Sens!C5416*Sens!C5417*chip_f</f>
        <v>11.3973387156315</v>
      </c>
      <c r="D5418" s="14" t="n">
        <f aca="false">Sens!D5416*Sens!D5417*chip_f</f>
        <v>11.3973387156315</v>
      </c>
      <c r="E5418" s="14" t="n">
        <f aca="false">Sens!E5416*Sens!E5417*chip_f</f>
        <v>11.3973387156315</v>
      </c>
      <c r="F5418" s="14" t="n">
        <f aca="false">Sens!F5416*Sens!F5417*chip_f</f>
        <v>12.1995760756289</v>
      </c>
      <c r="G5418" s="14" t="n">
        <f aca="false">Sens!G5416*Sens!G5417*chip_f</f>
        <v>12.7045990965592</v>
      </c>
      <c r="H5418" s="14" t="n">
        <f aca="false">Sens!H5416*Sens!H5417*chip_f</f>
        <v>13.0472022091214</v>
      </c>
      <c r="I5418" s="14" t="n">
        <f aca="false">Sens!I5416*Sens!I5417*chip_f</f>
        <v>13.3148325820205</v>
      </c>
      <c r="J5418" s="14" t="n">
        <f aca="false">Sens!J5416*Sens!J5417*chip_f</f>
        <v>13.5313532348958</v>
      </c>
      <c r="K5418" s="14" t="n">
        <f aca="false">Sens!K5416*Sens!K5417*chip_f</f>
        <v>13.8375003501611</v>
      </c>
      <c r="L5418" s="1" t="s">
        <v>820</v>
      </c>
    </row>
    <row r="5419" customFormat="false" ht="17.15" hidden="false" customHeight="false" outlineLevel="0" collapsed="false">
      <c r="A5419" s="0" t="s">
        <v>821</v>
      </c>
      <c r="B5419" s="0" t="s">
        <v>98</v>
      </c>
      <c r="D5419" s="6" t="n">
        <f aca="false">(Sens!C5404+Sens!D5404)/2*Sens!D5418/1000</f>
        <v>12.9359794422418</v>
      </c>
      <c r="E5419" s="6" t="n">
        <f aca="false">(Sens!D5404+Sens!E5404)/2*Sens!E5418/1000</f>
        <v>27.8095064661409</v>
      </c>
      <c r="F5419" s="6" t="n">
        <f aca="false">(Sens!E5404+Sens!F5404)/2*Sens!F5418/1000</f>
        <v>55.0640065749585</v>
      </c>
      <c r="G5419" s="6" t="n">
        <f aca="false">(Sens!F5404+Sens!G5404)/2*Sens!G5418/1000</f>
        <v>89.4505413190538</v>
      </c>
      <c r="H5419" s="6" t="n">
        <f aca="false">(Sens!G5404+Sens!H5404)/2*Sens!H5418/1000</f>
        <v>124.835630736874</v>
      </c>
      <c r="I5419" s="6" t="n">
        <f aca="false">(Sens!H5404+Sens!I5404)/2*Sens!I5418/1000</f>
        <v>156.158460265485</v>
      </c>
      <c r="J5419" s="6" t="n">
        <f aca="false">(Sens!I5404+Sens!J5404)/2*Sens!J5418/1000</f>
        <v>177.99455972577</v>
      </c>
      <c r="K5419" s="6" t="n">
        <f aca="false">(Sens!J5404+Sens!K5404)/2*Sens!K5418/1000</f>
        <v>191.597101773408</v>
      </c>
      <c r="L5419" s="11" t="s">
        <v>822</v>
      </c>
    </row>
    <row r="5420" customFormat="false" ht="17.15" hidden="false" customHeight="false" outlineLevel="0" collapsed="false">
      <c r="A5420" s="1" t="s">
        <v>823</v>
      </c>
      <c r="B5420" s="0" t="s">
        <v>339</v>
      </c>
      <c r="C5420" s="14" t="n">
        <f aca="false">(Sens!C5412*tk_opex_h100+Sens!C5413*tk_opex_gb200+Sens!C5414*tk_opex_gb300+Sens!C5415*tk_opex_vr200)/Sens!C5404</f>
        <v>1.88636041306092</v>
      </c>
      <c r="D5420" s="14" t="n">
        <f aca="false">(Sens!D5412*tk_opex_h100+Sens!D5413*tk_opex_gb200+Sens!D5414*tk_opex_gb300+Sens!D5415*tk_opex_vr200)/Sens!D5404</f>
        <v>1.88636041306092</v>
      </c>
      <c r="E5420" s="14" t="n">
        <f aca="false">(Sens!E5412*tk_opex_h100+Sens!E5413*tk_opex_gb200+Sens!E5414*tk_opex_gb300+Sens!E5415*tk_opex_vr200)/Sens!E5404</f>
        <v>1.88636041306092</v>
      </c>
      <c r="F5420" s="14" t="n">
        <f aca="false">(Sens!F5412*tk_opex_h100+Sens!F5413*tk_opex_gb200+Sens!F5414*tk_opex_gb300+Sens!F5415*tk_opex_vr200)/Sens!F5404</f>
        <v>1.9430236476499</v>
      </c>
      <c r="G5420" s="14" t="n">
        <f aca="false">(Sens!G5412*tk_opex_h100+Sens!G5413*tk_opex_gb200+Sens!G5414*tk_opex_gb300+Sens!G5415*tk_opex_vr200)/Sens!G5404</f>
        <v>1.9786941852423</v>
      </c>
      <c r="H5420" s="14" t="n">
        <f aca="false">(Sens!H5412*tk_opex_h100+Sens!H5413*tk_opex_gb200+Sens!H5414*tk_opex_gb300+Sens!H5415*tk_opex_vr200)/Sens!H5404</f>
        <v>2.00289275976156</v>
      </c>
      <c r="I5420" s="14" t="n">
        <f aca="false">(Sens!I5412*tk_opex_h100+Sens!I5413*tk_opex_gb200+Sens!I5414*tk_opex_gb300+Sens!I5415*tk_opex_vr200)/Sens!I5404</f>
        <v>2.02179589661219</v>
      </c>
      <c r="J5420" s="14" t="n">
        <f aca="false">(Sens!J5412*tk_opex_h100+Sens!J5413*tk_opex_gb200+Sens!J5414*tk_opex_gb300+Sens!J5415*tk_opex_vr200)/Sens!J5404</f>
        <v>2.03708907685909</v>
      </c>
      <c r="K5420" s="14" t="n">
        <f aca="false">(Sens!K5412*tk_opex_h100+Sens!K5413*tk_opex_gb200+Sens!K5414*tk_opex_gb300+Sens!K5415*tk_opex_vr200)/Sens!K5404</f>
        <v>2.05871270931005</v>
      </c>
    </row>
    <row r="5421" customFormat="false" ht="17.15" hidden="false" customHeight="false" outlineLevel="0" collapsed="false">
      <c r="A5421" s="0" t="s">
        <v>824</v>
      </c>
      <c r="B5421" s="0" t="s">
        <v>98</v>
      </c>
      <c r="D5421" s="6" t="n">
        <f aca="false">(Sens!C5407+Sens!D5407)/2*Sens!D5420/1000</f>
        <v>2.70378325872065</v>
      </c>
      <c r="E5421" s="6" t="n">
        <f aca="false">(Sens!D5407+Sens!E5407)/2*Sens!E5420/1000</f>
        <v>6.17783035277451</v>
      </c>
      <c r="F5421" s="6" t="n">
        <f aca="false">(Sens!E5407+Sens!F5407)/2*Sens!F5420/1000</f>
        <v>12.5020618235287</v>
      </c>
      <c r="G5421" s="6" t="n">
        <f aca="false">(Sens!F5407+Sens!G5407)/2*Sens!G5420/1000</f>
        <v>20.7261620256847</v>
      </c>
      <c r="H5421" s="6" t="n">
        <f aca="false">(Sens!G5407+Sens!H5407)/2*Sens!H5420/1000</f>
        <v>29.4158183316982</v>
      </c>
      <c r="I5421" s="6" t="n">
        <f aca="false">(Sens!H5407+Sens!I5407)/2*Sens!I5420/1000</f>
        <v>36.9724400356344</v>
      </c>
      <c r="J5421" s="6" t="n">
        <f aca="false">(Sens!I5407+Sens!J5407)/2*Sens!J5420/1000</f>
        <v>42.0938382992747</v>
      </c>
      <c r="K5421" s="6" t="n">
        <f aca="false">(Sens!J5407+Sens!K5407)/2*Sens!K5420/1000</f>
        <v>44.9150106651501</v>
      </c>
    </row>
    <row r="5422" customFormat="false" ht="17.15" hidden="false" customHeight="false" outlineLevel="0" collapsed="false">
      <c r="A5422" s="0" t="s">
        <v>825</v>
      </c>
      <c r="B5422" s="0" t="s">
        <v>98</v>
      </c>
      <c r="D5422" s="6" t="n">
        <f aca="false">(Sens!C5405+Sens!D5405)/2*rent_mw/1000</f>
        <v>2.44475</v>
      </c>
      <c r="E5422" s="6" t="n">
        <f aca="false">(Sens!D5405+Sens!E5405)/2*rent_mw/1000</f>
        <v>4.22275</v>
      </c>
      <c r="F5422" s="6" t="n">
        <f aca="false">(Sens!E5405+Sens!F5405)/2*rent_mw/1000</f>
        <v>5.80517</v>
      </c>
      <c r="G5422" s="6" t="n">
        <f aca="false">(Sens!F5405+Sens!G5405)/2*rent_mw/1000</f>
        <v>6.72084</v>
      </c>
      <c r="H5422" s="6" t="n">
        <f aca="false">(Sens!G5405+Sens!H5405)/2*rent_mw/1000</f>
        <v>6.72084</v>
      </c>
      <c r="I5422" s="6" t="n">
        <f aca="false">(Sens!H5405+Sens!I5405)/2*rent_mw/1000</f>
        <v>6.72084</v>
      </c>
      <c r="J5422" s="6" t="n">
        <f aca="false">(Sens!I5405+Sens!J5405)/2*rent_mw/1000</f>
        <v>6.72084</v>
      </c>
      <c r="K5422" s="6" t="n">
        <f aca="false">(Sens!J5405+Sens!K5405)/2*rent_mw/1000</f>
        <v>6.72084</v>
      </c>
    </row>
    <row r="5423" customFormat="false" ht="17.15" hidden="false" customHeight="false" outlineLevel="0" collapsed="false">
      <c r="A5423" s="0" t="s">
        <v>826</v>
      </c>
      <c r="B5423" s="0" t="s">
        <v>98</v>
      </c>
      <c r="D5423" s="6" t="n">
        <f aca="false">(Sens!C5407+Sens!D5407)/2*(1-self_build)*fac_rent/1000</f>
        <v>0.853242375631075</v>
      </c>
      <c r="E5423" s="6" t="n">
        <f aca="false">(Sens!D5407+Sens!E5407)/2*(1-self_build)*fac_rent/1000</f>
        <v>1.94955961408728</v>
      </c>
      <c r="F5423" s="6" t="n">
        <f aca="false">(Sens!E5407+Sens!F5407)/2*(1-self_build)*fac_rent/1000</f>
        <v>3.83026455274573</v>
      </c>
      <c r="G5423" s="6" t="n">
        <f aca="false">(Sens!F5407+Sens!G5407)/2*(1-self_build)*fac_rent/1000</f>
        <v>6.23541590972812</v>
      </c>
      <c r="H5423" s="6" t="n">
        <f aca="false">(Sens!G5407+Sens!H5407)/2*(1-self_build)*fac_rent/1000</f>
        <v>8.74275792332679</v>
      </c>
      <c r="I5423" s="6" t="n">
        <f aca="false">(Sens!H5407+Sens!I5407)/2*(1-self_build)*fac_rent/1000</f>
        <v>10.8859420438599</v>
      </c>
      <c r="J5423" s="6" t="n">
        <f aca="false">(Sens!I5407+Sens!J5407)/2*(1-self_build)*fac_rent/1000</f>
        <v>12.3008103782619</v>
      </c>
      <c r="K5423" s="6" t="n">
        <f aca="false">(Sens!J5407+Sens!K5407)/2*(1-self_build)*fac_rent/1000</f>
        <v>12.9873629265328</v>
      </c>
      <c r="L5423" s="11" t="s">
        <v>827</v>
      </c>
    </row>
    <row r="5424" customFormat="false" ht="17.15" hidden="false" customHeight="false" outlineLevel="0" collapsed="false">
      <c r="A5424" s="1" t="s">
        <v>828</v>
      </c>
      <c r="B5424" s="0" t="s">
        <v>129</v>
      </c>
      <c r="D5424" s="7" t="n">
        <f aca="false">(Sens!C5406+Sens!D5406)/(Sens!C5407+Sens!D5407)</f>
        <v>0.6</v>
      </c>
      <c r="E5424" s="7" t="n">
        <f aca="false">(Sens!D5406+Sens!E5406)/(Sens!D5407+Sens!E5407)</f>
        <v>0.6</v>
      </c>
      <c r="F5424" s="7" t="n">
        <f aca="false">(Sens!E5406+Sens!F5406)/(Sens!E5407+Sens!F5407)</f>
        <v>0.6</v>
      </c>
      <c r="G5424" s="7" t="n">
        <f aca="false">(Sens!F5406+Sens!G5406)/(Sens!F5407+Sens!G5407)</f>
        <v>0.6</v>
      </c>
      <c r="H5424" s="7" t="n">
        <f aca="false">(Sens!G5406+Sens!H5406)/(Sens!G5407+Sens!H5407)</f>
        <v>0.6</v>
      </c>
      <c r="I5424" s="7" t="n">
        <f aca="false">(Sens!H5406+Sens!I5406)/(Sens!H5407+Sens!I5407)</f>
        <v>0.6</v>
      </c>
      <c r="J5424" s="7" t="n">
        <f aca="false">(Sens!I5406+Sens!J5406)/(Sens!I5407+Sens!J5407)</f>
        <v>0.6</v>
      </c>
      <c r="K5424" s="7" t="n">
        <f aca="false">(Sens!J5406+Sens!K5406)/(Sens!J5407+Sens!K5407)</f>
        <v>0.6</v>
      </c>
    </row>
    <row r="5425" customFormat="false" ht="17.15" hidden="false" customHeight="false" outlineLevel="0" collapsed="false">
      <c r="A5425" s="0" t="s">
        <v>829</v>
      </c>
      <c r="B5425" s="0" t="s">
        <v>98</v>
      </c>
      <c r="D5425" s="6" t="n">
        <f aca="false">Sens!D5419-Sens!D5424*(Sens!D5421+Sens!D5423)-Sens!D5422</f>
        <v>8.35701406163072</v>
      </c>
      <c r="E5425" s="6" t="n">
        <f aca="false">Sens!E5419-Sens!E5424*(Sens!E5421+Sens!E5423)-Sens!E5422</f>
        <v>18.7103224860238</v>
      </c>
      <c r="F5425" s="6" t="n">
        <f aca="false">Sens!F5419-Sens!F5424*(Sens!F5421+Sens!F5423)-Sens!F5422</f>
        <v>39.4594407491938</v>
      </c>
      <c r="G5425" s="6" t="n">
        <f aca="false">Sens!G5419-Sens!G5424*(Sens!G5421+Sens!G5423)-Sens!G5422</f>
        <v>66.5527545578061</v>
      </c>
      <c r="H5425" s="6" t="n">
        <f aca="false">Sens!H5419-Sens!H5424*(Sens!H5421+Sens!H5423)-Sens!H5422</f>
        <v>95.219644983859</v>
      </c>
      <c r="I5425" s="6" t="n">
        <f aca="false">Sens!I5419-Sens!I5424*(Sens!I5421+Sens!I5423)-Sens!I5422</f>
        <v>120.722591017788</v>
      </c>
      <c r="J5425" s="6" t="n">
        <f aca="false">Sens!J5419-Sens!J5424*(Sens!J5421+Sens!J5423)-Sens!J5422</f>
        <v>138.636930519248</v>
      </c>
      <c r="K5425" s="6" t="n">
        <f aca="false">Sens!K5419-Sens!K5424*(Sens!K5421+Sens!K5423)-Sens!K5422</f>
        <v>150.134837618398</v>
      </c>
    </row>
    <row r="5426" customFormat="false" ht="17.15" hidden="false" customHeight="false" outlineLevel="0" collapsed="false">
      <c r="A5426" s="1" t="s">
        <v>830</v>
      </c>
      <c r="B5426" s="0" t="s">
        <v>98</v>
      </c>
      <c r="D5426" s="6" t="n">
        <f aca="false">(1-Sens!D5424)*(Sens!D5421+Sens!D5423)</f>
        <v>1.42281025374069</v>
      </c>
      <c r="E5426" s="6" t="n">
        <f aca="false">(1-Sens!E5424)*(Sens!E5421+Sens!E5423)</f>
        <v>3.25095598674472</v>
      </c>
      <c r="F5426" s="6" t="n">
        <f aca="false">(1-Sens!F5424)*(Sens!F5421+Sens!F5423)</f>
        <v>6.53293055050977</v>
      </c>
      <c r="G5426" s="6" t="n">
        <f aca="false">(1-Sens!G5424)*(Sens!G5421+Sens!G5423)</f>
        <v>10.7846311741651</v>
      </c>
      <c r="H5426" s="6" t="n">
        <f aca="false">(1-Sens!H5424)*(Sens!H5421+Sens!H5423)</f>
        <v>15.26343050201</v>
      </c>
      <c r="I5426" s="6" t="n">
        <f aca="false">(1-Sens!I5424)*(Sens!I5421+Sens!I5423)</f>
        <v>19.1433528317977</v>
      </c>
      <c r="J5426" s="6" t="n">
        <f aca="false">(1-Sens!J5424)*(Sens!J5421+Sens!J5423)</f>
        <v>21.7578594710146</v>
      </c>
      <c r="K5426" s="6" t="n">
        <f aca="false">(1-Sens!K5424)*(Sens!K5421+Sens!K5423)</f>
        <v>23.1609494366731</v>
      </c>
    </row>
    <row r="5427" customFormat="false" ht="17.15" hidden="false" customHeight="false" outlineLevel="0" collapsed="false">
      <c r="A5427" s="1" t="s">
        <v>831</v>
      </c>
      <c r="B5427" s="0" t="s">
        <v>350</v>
      </c>
      <c r="C5427" s="8" t="n">
        <f aca="false">cxit_open</f>
        <v>27.5918995</v>
      </c>
      <c r="D5427" s="8" t="n">
        <f aca="false">cxit_open</f>
        <v>27.5918995</v>
      </c>
      <c r="E5427" s="8" t="n">
        <f aca="false">cxit_open</f>
        <v>27.5918995</v>
      </c>
      <c r="F5427" s="8" t="n">
        <f aca="false">(a_g3_27*tk_cxit_gb300+(1-a_g3_27)*tk_cxit_vr200)</f>
        <v>33.8419624</v>
      </c>
      <c r="G5427" s="8" t="n">
        <f aca="false">(a_g3_28*tk_cxit_gb300+(1-a_g3_28)*tk_cxit_vr200)</f>
        <v>35.9816136</v>
      </c>
      <c r="H5427" s="8" t="n">
        <f aca="false">(a_g3_29*tk_cxit_gb300+(1-a_g3_29)*tk_cxit_vr200)</f>
        <v>37.0514392</v>
      </c>
      <c r="I5427" s="8" t="n">
        <f aca="false">(a_g3_29*tk_cxit_gb300+(1-a_g3_29)*tk_cxit_vr200)</f>
        <v>37.0514392</v>
      </c>
      <c r="J5427" s="8" t="n">
        <f aca="false">(a_g3_29*tk_cxit_gb300+(1-a_g3_29)*tk_cxit_vr200)</f>
        <v>37.0514392</v>
      </c>
      <c r="K5427" s="8" t="n">
        <f aca="false">(a_g3_29*tk_cxit_gb300+(1-a_g3_29)*tk_cxit_vr200)</f>
        <v>37.0514392</v>
      </c>
      <c r="L5427" s="11" t="s">
        <v>832</v>
      </c>
    </row>
    <row r="5428" customFormat="false" ht="17.15" hidden="false" customHeight="false" outlineLevel="0" collapsed="false">
      <c r="A5428" s="0" t="s">
        <v>833</v>
      </c>
      <c r="B5428" s="0" t="s">
        <v>392</v>
      </c>
      <c r="F5428" s="29" t="n">
        <f aca="false">Sens!C5409*IF(Sens!F5402-Sens!C5402=life_it,1,0)+Sens!D5409*IF(Sens!F5402-Sens!D5402=life_it,1,0)+Sens!E5409*IF(Sens!F5402-Sens!E5402=life_it,1,0)</f>
        <v>0</v>
      </c>
      <c r="G5428" s="29" t="n">
        <f aca="false">Sens!C5409*IF(Sens!G5402-Sens!C5402=life_it,1,0)+Sens!D5409*IF(Sens!G5402-Sens!D5402=life_it,1,0)+Sens!E5409*IF(Sens!G5402-Sens!E5402=life_it,1,0)+Sens!F5409*IF(Sens!G5402-Sens!F5402=life_it,1,0)</f>
        <v>0</v>
      </c>
      <c r="H5428" s="29" t="n">
        <f aca="false">Sens!C5409*IF(Sens!H5402-Sens!C5402=life_it,1,0)+Sens!D5409*IF(Sens!H5402-Sens!D5402=life_it,1,0)+Sens!E5409*IF(Sens!H5402-Sens!E5402=life_it,1,0)+Sens!F5409*IF(Sens!H5402-Sens!F5402=life_it,1,0)+Sens!G5409*IF(Sens!H5402-Sens!G5402=life_it,1,0)</f>
        <v>0</v>
      </c>
      <c r="I5428" s="29" t="n">
        <f aca="false">Sens!C5409*IF(Sens!I5402-Sens!C5402=life_it,1,0)+Sens!D5409*IF(Sens!I5402-Sens!D5402=life_it,1,0)+Sens!E5409*IF(Sens!I5402-Sens!E5402=life_it,1,0)+Sens!F5409*IF(Sens!I5402-Sens!F5402=life_it,1,0)+Sens!G5409*IF(Sens!I5402-Sens!G5402=life_it,1,0)+Sens!H5409*IF(Sens!I5402-Sens!H5402=life_it,1,0)</f>
        <v>816.666666666667</v>
      </c>
      <c r="J5428" s="29" t="n">
        <f aca="false">Sens!C5409*IF(Sens!J5402-Sens!C5402=life_it,1,0)+Sens!D5409*IF(Sens!J5402-Sens!D5402=life_it,1,0)+Sens!E5409*IF(Sens!J5402-Sens!E5402=life_it,1,0)+Sens!F5409*IF(Sens!J5402-Sens!F5402=life_it,1,0)+Sens!G5409*IF(Sens!J5402-Sens!G5402=life_it,1,0)+Sens!H5409*IF(Sens!J5402-Sens!H5402=life_it,1,0)+Sens!I5409*IF(Sens!J5402-Sens!I5402=life_it,1,0)</f>
        <v>1233.33333333333</v>
      </c>
      <c r="K5428" s="29" t="n">
        <f aca="false">Sens!C5409*IF(Sens!K5402-Sens!C5402=life_it,1,0)+Sens!D5409*IF(Sens!K5402-Sens!D5402=life_it,1,0)+Sens!E5409*IF(Sens!K5402-Sens!E5402=life_it,1,0)+Sens!F5409*IF(Sens!K5402-Sens!F5402=life_it,1,0)+Sens!G5409*IF(Sens!K5402-Sens!G5402=life_it,1,0)+Sens!H5409*IF(Sens!K5402-Sens!H5402=life_it,1,0)+Sens!I5409*IF(Sens!K5402-Sens!I5402=life_it,1,0)+Sens!J5409*IF(Sens!K5402-Sens!J5402=life_it,1,0)</f>
        <v>2450</v>
      </c>
      <c r="L5428" s="1" t="s">
        <v>834</v>
      </c>
    </row>
    <row r="5429" customFormat="false" ht="17.15" hidden="false" customHeight="false" outlineLevel="0" collapsed="false">
      <c r="A5429" s="0" t="s">
        <v>835</v>
      </c>
      <c r="B5429" s="0" t="s">
        <v>98</v>
      </c>
      <c r="C5429" s="6" t="n">
        <f aca="false">Sens!C5409*Sens!C5427/1000</f>
        <v>22.5333845916667</v>
      </c>
      <c r="D5429" s="6" t="n">
        <f aca="false">Sens!D5409*Sens!D5427/1000</f>
        <v>34.0300093833333</v>
      </c>
      <c r="E5429" s="6" t="n">
        <f aca="false">Sens!E5409*Sens!E5427/1000</f>
        <v>67.600153775</v>
      </c>
      <c r="F5429" s="6" t="n">
        <f aca="false">(Sens!F5409+Sens!F5428)*Sens!F5427/1000</f>
        <v>130.923271871467</v>
      </c>
      <c r="G5429" s="6" t="n">
        <f aca="false">(Sens!G5409+Sens!G5428)*Sens!G5427/1000</f>
        <v>151.5545564832</v>
      </c>
      <c r="H5429" s="6" t="n">
        <f aca="false">(Sens!H5409+Sens!H5428)*Sens!H5427/1000</f>
        <v>156.0606619104</v>
      </c>
      <c r="I5429" s="6" t="n">
        <f aca="false">(Sens!I5409+Sens!I5428)*Sens!I5427/1000</f>
        <v>140.987889434245</v>
      </c>
      <c r="J5429" s="6" t="n">
        <f aca="false">(Sens!J5409+Sens!J5428)*Sens!J5427/1000</f>
        <v>111.094541278091</v>
      </c>
      <c r="K5429" s="6" t="n">
        <f aca="false">(Sens!K5409+Sens!K5428)*Sens!K5427/1000</f>
        <v>110.842344481936</v>
      </c>
    </row>
    <row r="5430" customFormat="false" ht="17.15" hidden="false" customHeight="false" outlineLevel="0" collapsed="false">
      <c r="A5430" s="0" t="s">
        <v>836</v>
      </c>
      <c r="B5430" s="0" t="s">
        <v>98</v>
      </c>
      <c r="C5430" s="6" t="n">
        <f aca="false">Sens!C5409*self_build*tk_cxfac/1000</f>
        <v>6.2083</v>
      </c>
      <c r="D5430" s="6" t="n">
        <f aca="false">Sens!D5409*self_build*tk_cxfac/1000</f>
        <v>9.3758</v>
      </c>
      <c r="E5430" s="6" t="n">
        <f aca="false">Sens!E5409*self_build*tk_cxfac/1000</f>
        <v>18.6249</v>
      </c>
      <c r="F5430" s="6" t="n">
        <f aca="false">Sens!F5409*self_build*tk_cxfac/1000</f>
        <v>29.409604</v>
      </c>
      <c r="G5430" s="6" t="n">
        <f aca="false">Sens!G5409*self_build*tk_cxfac/1000</f>
        <v>32.019624</v>
      </c>
      <c r="H5430" s="6" t="n">
        <f aca="false">Sens!H5409*self_build*tk_cxfac/1000</f>
        <v>32.019624</v>
      </c>
      <c r="I5430" s="6" t="n">
        <f aca="false">Sens!I5409*self_build*tk_cxfac/1000</f>
        <v>22.71877972</v>
      </c>
      <c r="J5430" s="6" t="n">
        <f aca="false">Sens!J5409*self_build*tk_cxfac/1000</f>
        <v>13.41793544</v>
      </c>
      <c r="K5430" s="6" t="n">
        <f aca="false">Sens!K5409*self_build*tk_cxfac/1000</f>
        <v>4.11709116000001</v>
      </c>
    </row>
    <row r="5431" customFormat="false" ht="17.15" hidden="false" customHeight="false" outlineLevel="0" collapsed="false">
      <c r="A5431" s="0" t="s">
        <v>837</v>
      </c>
      <c r="B5431" s="0" t="s">
        <v>98</v>
      </c>
      <c r="F5431" s="6" t="n">
        <f aca="false">MAX(0,capex_floor27-Sens!F5429-Sens!F5430-Sens!F5524)</f>
        <v>8.43777689897088</v>
      </c>
      <c r="L5431" s="1" t="s">
        <v>838</v>
      </c>
    </row>
    <row r="5432" customFormat="false" ht="17.15" hidden="false" customHeight="false" outlineLevel="0" collapsed="false">
      <c r="A5432" s="0" t="s">
        <v>839</v>
      </c>
      <c r="B5432" s="0" t="s">
        <v>98</v>
      </c>
      <c r="C5432" s="6" t="n">
        <f aca="false">Sens!C5429</f>
        <v>22.5333845916667</v>
      </c>
      <c r="D5432" s="6" t="n">
        <f aca="false">Sens!D5429</f>
        <v>34.0300093833333</v>
      </c>
      <c r="E5432" s="6" t="n">
        <f aca="false">Sens!E5429</f>
        <v>67.600153775</v>
      </c>
      <c r="F5432" s="6" t="n">
        <f aca="false">Sens!F5429+Sens!F5431</f>
        <v>139.361048770438</v>
      </c>
      <c r="G5432" s="6" t="n">
        <f aca="false">Sens!G5429</f>
        <v>151.5545564832</v>
      </c>
      <c r="H5432" s="6" t="n">
        <f aca="false">Sens!H5429</f>
        <v>156.0606619104</v>
      </c>
      <c r="I5432" s="6" t="n">
        <f aca="false">Sens!I5429</f>
        <v>140.987889434245</v>
      </c>
      <c r="J5432" s="6" t="n">
        <f aca="false">Sens!J5429</f>
        <v>111.094541278091</v>
      </c>
      <c r="K5432" s="6" t="n">
        <f aca="false">Sens!K5429</f>
        <v>110.842344481936</v>
      </c>
    </row>
    <row r="5433" customFormat="false" ht="17.15" hidden="false" customHeight="false" outlineLevel="0" collapsed="false">
      <c r="A5433" s="0" t="s">
        <v>840</v>
      </c>
      <c r="B5433" s="0" t="s">
        <v>98</v>
      </c>
      <c r="C5433" s="6" t="n">
        <f aca="false">Sens!C5432+Sens!C5430</f>
        <v>28.7416845916667</v>
      </c>
      <c r="D5433" s="6" t="n">
        <f aca="false">Sens!D5432+Sens!D5430</f>
        <v>43.4058093833333</v>
      </c>
      <c r="E5433" s="6" t="n">
        <f aca="false">Sens!E5432+Sens!E5430</f>
        <v>86.225053775</v>
      </c>
      <c r="F5433" s="6" t="n">
        <f aca="false">Sens!F5432+Sens!F5430</f>
        <v>168.770652770438</v>
      </c>
      <c r="G5433" s="6" t="n">
        <f aca="false">Sens!G5432+Sens!G5430</f>
        <v>183.5741804832</v>
      </c>
      <c r="H5433" s="6" t="n">
        <f aca="false">Sens!H5432+Sens!H5430</f>
        <v>188.0802859104</v>
      </c>
      <c r="I5433" s="6" t="n">
        <f aca="false">Sens!I5432+Sens!I5430</f>
        <v>163.706669154245</v>
      </c>
      <c r="J5433" s="6" t="n">
        <f aca="false">Sens!J5432+Sens!J5430</f>
        <v>124.51247671809</v>
      </c>
      <c r="K5433" s="6" t="n">
        <f aca="false">Sens!K5432+Sens!K5430</f>
        <v>114.959435641936</v>
      </c>
      <c r="L5433" s="11" t="s">
        <v>841</v>
      </c>
    </row>
    <row r="5434" customFormat="false" ht="17.15" hidden="false" customHeight="false" outlineLevel="0" collapsed="false">
      <c r="A5434" s="0" t="s">
        <v>842</v>
      </c>
      <c r="B5434" s="0" t="s">
        <v>98</v>
      </c>
      <c r="E5434" s="6" t="n">
        <f aca="false">(Sens!C5432*IF(2&lt;life_it,1,IF(2=life_it,0.5,0))+Sens!D5432*IF(1&lt;life_it,1,IF(1=life_it,0.5,0))+Sens!E5432*0.5)/life_it</f>
        <v>15.0605784770833</v>
      </c>
      <c r="F5434" s="6" t="n">
        <f aca="false">(Sens!C5432*IF(3&lt;life_it,1,IF(3=life_it,0.5,0))+Sens!D5432*IF(2&lt;life_it,1,IF(2=life_it,0.5,0))+Sens!E5432*IF(1&lt;life_it,1,IF(1=life_it,0.5,0))+Sens!F5432*0.5)/life_it</f>
        <v>32.3073453558698</v>
      </c>
      <c r="G5434" s="6" t="n">
        <f aca="false">(Sens!C5432*IF(4&lt;life_it,1,IF(4=life_it,0.5,0))+Sens!D5432*IF(3&lt;life_it,1,IF(3=life_it,0.5,0))+Sens!E5432*IF(2&lt;life_it,1,IF(2=life_it,0.5,0))+Sens!F5432*IF(1&lt;life_it,1,IF(1=life_it,0.5,0))+Sens!G5432*0.5)/life_it</f>
        <v>56.5503124603396</v>
      </c>
      <c r="H5434" s="6" t="n">
        <f aca="false">(Sens!C5432*IF(5&lt;life_it,1,IF(5=life_it,0.5,0))+Sens!D5432*IF(4&lt;life_it,1,IF(4=life_it,0.5,0))+Sens!E5432*IF(3&lt;life_it,1,IF(3=life_it,0.5,0))+Sens!F5432*IF(2&lt;life_it,1,IF(2=life_it,0.5,0))+Sens!G5432*IF(1&lt;life_it,1,IF(1=life_it,0.5,0))+Sens!H5432*0.5)/life_it</f>
        <v>82.1849139931396</v>
      </c>
      <c r="I5434" s="6" t="n">
        <f aca="false">(Sens!C5432*IF(6&lt;life_it,1,IF(6=life_it,0.5,0))+Sens!D5432*IF(5&lt;life_it,1,IF(5=life_it,0.5,0))+Sens!E5432*IF(4&lt;life_it,1,IF(4=life_it,0.5,0))+Sens!F5432*IF(3&lt;life_it,1,IF(3=life_it,0.5,0))+Sens!G5432*IF(2&lt;life_it,1,IF(2=life_it,0.5,0))+Sens!H5432*IF(1&lt;life_it,1,IF(1=life_it,0.5,0))+Sens!I5432*0.5)/life_it</f>
        <v>105.061177889221</v>
      </c>
      <c r="J5434" s="6" t="n">
        <f aca="false">(Sens!C5432*IF(7&lt;life_it,1,IF(7=life_it,0.5,0))+Sens!D5432*IF(6&lt;life_it,1,IF(6=life_it,0.5,0))+Sens!E5432*IF(5&lt;life_it,1,IF(5=life_it,0.5,0))+Sens!F5432*IF(4&lt;life_it,1,IF(4=life_it,0.5,0))+Sens!G5432*IF(3&lt;life_it,1,IF(3=life_it,0.5,0))+Sens!H5432*IF(2&lt;life_it,1,IF(2=life_it,0.5,0))+Sens!I5432*IF(1&lt;life_it,1,IF(1=life_it,0.5,0))+Sens!J5432*0.5)/life_it</f>
        <v>121.354430950666</v>
      </c>
      <c r="K5434" s="6" t="n">
        <f aca="false">(Sens!C5432*IF(8&lt;life_it,1,IF(8=life_it,0.5,0))+Sens!D5432*IF(7&lt;life_it,1,IF(7=life_it,0.5,0))+Sens!E5432*IF(6&lt;life_it,1,IF(6=life_it,0.5,0))+Sens!F5432*IF(5&lt;life_it,1,IF(5=life_it,0.5,0))+Sens!G5432*IF(4&lt;life_it,1,IF(4=life_it,0.5,0))+Sens!H5432*IF(3&lt;life_it,1,IF(3=life_it,0.5,0))+Sens!I5432*IF(2&lt;life_it,1,IF(2=life_it,0.5,0))+Sens!J5432*IF(1&lt;life_it,1,IF(1=life_it,0.5,0))+Sens!K5432*0.5)/life_it</f>
        <v>131.379991167474</v>
      </c>
    </row>
    <row r="5435" customFormat="false" ht="17.15" hidden="false" customHeight="false" outlineLevel="0" collapsed="false">
      <c r="A5435" s="0" t="s">
        <v>843</v>
      </c>
      <c r="B5435" s="0" t="s">
        <v>98</v>
      </c>
      <c r="E5435" s="6" t="n">
        <f aca="false">(Sens!C5430*IF(2&lt;life_fac,1,IF(2=life_fac,0.5,0))+Sens!D5430*IF(1&lt;life_fac,1,IF(1=life_fac,0.5,0))+Sens!E5430*0.5)/life_fac</f>
        <v>1.2448275</v>
      </c>
      <c r="F5435" s="6" t="n">
        <f aca="false">(Sens!C5430*IF(3&lt;life_fac,1,IF(3=life_fac,0.5,0))+Sens!D5430*IF(2&lt;life_fac,1,IF(2=life_fac,0.5,0))+Sens!E5430*IF(1&lt;life_fac,1,IF(1=life_fac,0.5,0))+Sens!F5430*0.5)/life_fac</f>
        <v>2.4456901</v>
      </c>
      <c r="G5435" s="6" t="n">
        <f aca="false">(Sens!C5430*IF(4&lt;life_fac,1,IF(4=life_fac,0.5,0))+Sens!D5430*IF(3&lt;life_fac,1,IF(3=life_fac,0.5,0))+Sens!E5430*IF(2&lt;life_fac,1,IF(2=life_fac,0.5,0))+Sens!F5430*IF(1&lt;life_fac,1,IF(1=life_fac,0.5,0))+Sens!G5430*0.5)/life_fac</f>
        <v>3.9814208</v>
      </c>
      <c r="H5435" s="6" t="n">
        <f aca="false">(Sens!C5430*IF(5&lt;life_fac,1,IF(5=life_fac,0.5,0))+Sens!D5430*IF(4&lt;life_fac,1,IF(4=life_fac,0.5,0))+Sens!E5430*IF(3&lt;life_fac,1,IF(3=life_fac,0.5,0))+Sens!F5430*IF(2&lt;life_fac,1,IF(2=life_fac,0.5,0))+Sens!G5430*IF(1&lt;life_fac,1,IF(1=life_fac,0.5,0))+Sens!H5430*0.5)/life_fac</f>
        <v>5.582402</v>
      </c>
      <c r="I5435" s="6" t="n">
        <f aca="false">(Sens!C5430*IF(6&lt;life_fac,1,IF(6=life_fac,0.5,0))+Sens!D5430*IF(5&lt;life_fac,1,IF(5=life_fac,0.5,0))+Sens!E5430*IF(4&lt;life_fac,1,IF(4=life_fac,0.5,0))+Sens!F5430*IF(3&lt;life_fac,1,IF(3=life_fac,0.5,0))+Sens!G5430*IF(2&lt;life_fac,1,IF(2=life_fac,0.5,0))+Sens!H5430*IF(1&lt;life_fac,1,IF(1=life_fac,0.5,0))+Sens!I5430*0.5)/life_fac</f>
        <v>6.950862093</v>
      </c>
      <c r="J5435" s="6" t="n">
        <f aca="false">(Sens!C5430*IF(7&lt;life_fac,1,IF(7=life_fac,0.5,0))+Sens!D5430*IF(6&lt;life_fac,1,IF(6=life_fac,0.5,0))+Sens!E5430*IF(5&lt;life_fac,1,IF(5=life_fac,0.5,0))+Sens!F5430*IF(4&lt;life_fac,1,IF(4=life_fac,0.5,0))+Sens!G5430*IF(3&lt;life_fac,1,IF(3=life_fac,0.5,0))+Sens!H5430*IF(2&lt;life_fac,1,IF(2=life_fac,0.5,0))+Sens!I5430*IF(1&lt;life_fac,1,IF(1=life_fac,0.5,0))+Sens!J5430*0.5)/life_fac</f>
        <v>7.854279972</v>
      </c>
      <c r="K5435" s="6" t="n">
        <f aca="false">(Sens!C5430*IF(8&lt;life_fac,1,IF(8=life_fac,0.5,0))+Sens!D5430*IF(7&lt;life_fac,1,IF(7=life_fac,0.5,0))+Sens!E5430*IF(6&lt;life_fac,1,IF(6=life_fac,0.5,0))+Sens!F5430*IF(5&lt;life_fac,1,IF(5=life_fac,0.5,0))+Sens!G5430*IF(4&lt;life_fac,1,IF(4=life_fac,0.5,0))+Sens!H5430*IF(3&lt;life_fac,1,IF(3=life_fac,0.5,0))+Sens!I5430*IF(2&lt;life_fac,1,IF(2=life_fac,0.5,0))+Sens!J5430*IF(1&lt;life_fac,1,IF(1=life_fac,0.5,0))+Sens!K5430*0.5)/life_fac</f>
        <v>8.292655637</v>
      </c>
    </row>
    <row r="5436" customFormat="false" ht="17.15" hidden="false" customHeight="false" outlineLevel="0" collapsed="false">
      <c r="A5436" s="0" t="s">
        <v>844</v>
      </c>
      <c r="B5436" s="0" t="s">
        <v>98</v>
      </c>
      <c r="E5436" s="6" t="n">
        <f aca="false">Sens!E5434+Sens!E5435</f>
        <v>16.3054059770833</v>
      </c>
      <c r="F5436" s="6" t="n">
        <f aca="false">Sens!F5434+Sens!F5435</f>
        <v>34.7530354558698</v>
      </c>
      <c r="G5436" s="6" t="n">
        <f aca="false">Sens!G5434+Sens!G5435</f>
        <v>60.5317332603396</v>
      </c>
      <c r="H5436" s="6" t="n">
        <f aca="false">Sens!H5434+Sens!H5435</f>
        <v>87.7673159931396</v>
      </c>
      <c r="I5436" s="6" t="n">
        <f aca="false">Sens!I5434+Sens!I5435</f>
        <v>112.012039982221</v>
      </c>
      <c r="J5436" s="6" t="n">
        <f aca="false">Sens!J5434+Sens!J5435</f>
        <v>129.208710922666</v>
      </c>
      <c r="K5436" s="6" t="n">
        <f aca="false">Sens!K5434+Sens!K5435</f>
        <v>139.672646804474</v>
      </c>
    </row>
    <row r="5437" customFormat="false" ht="17.15" hidden="false" customHeight="false" outlineLevel="0" collapsed="false">
      <c r="A5437" s="0" t="s">
        <v>845</v>
      </c>
      <c r="B5437" s="0" t="s">
        <v>98</v>
      </c>
      <c r="E5437" s="6" t="n">
        <f aca="false">Sens!E5425-Sens!E5424*Sens!E5436</f>
        <v>8.92707889977379</v>
      </c>
      <c r="F5437" s="6" t="n">
        <f aca="false">Sens!F5425-Sens!F5424*Sens!F5436</f>
        <v>18.607619475672</v>
      </c>
      <c r="G5437" s="6" t="n">
        <f aca="false">Sens!G5425-Sens!G5424*Sens!G5436</f>
        <v>30.2337146016024</v>
      </c>
      <c r="H5437" s="6" t="n">
        <f aca="false">Sens!H5425-Sens!H5424*Sens!H5436</f>
        <v>42.5592553879752</v>
      </c>
      <c r="I5437" s="6" t="n">
        <f aca="false">Sens!I5425-Sens!I5424*Sens!I5436</f>
        <v>53.5153670284555</v>
      </c>
      <c r="J5437" s="6" t="n">
        <f aca="false">Sens!J5425-Sens!J5424*Sens!J5436</f>
        <v>61.1117039656484</v>
      </c>
      <c r="K5437" s="6" t="n">
        <f aca="false">Sens!K5425-Sens!K5424*Sens!K5436</f>
        <v>66.3312495357137</v>
      </c>
    </row>
    <row r="5438" customFormat="false" ht="17.15" hidden="false" customHeight="false" outlineLevel="0" collapsed="false">
      <c r="A5438" s="3" t="s">
        <v>1375</v>
      </c>
    </row>
    <row r="5439" customFormat="false" ht="15" hidden="false" customHeight="false" outlineLevel="0" collapsed="false">
      <c r="A5439" s="4" t="s">
        <v>43</v>
      </c>
      <c r="B5439" s="4" t="s">
        <v>65</v>
      </c>
      <c r="C5439" s="20" t="s">
        <v>788</v>
      </c>
      <c r="D5439" s="20" t="s">
        <v>789</v>
      </c>
      <c r="E5439" s="20" t="s">
        <v>790</v>
      </c>
      <c r="F5439" s="20" t="s">
        <v>791</v>
      </c>
      <c r="G5439" s="20" t="s">
        <v>792</v>
      </c>
      <c r="H5439" s="20" t="s">
        <v>793</v>
      </c>
      <c r="I5439" s="20" t="s">
        <v>794</v>
      </c>
      <c r="J5439" s="20" t="s">
        <v>795</v>
      </c>
      <c r="K5439" s="20" t="s">
        <v>796</v>
      </c>
      <c r="L5439" s="4" t="s">
        <v>47</v>
      </c>
    </row>
    <row r="5440" customFormat="false" ht="17.15" hidden="false" customHeight="false" outlineLevel="0" collapsed="false">
      <c r="A5440" s="0" t="s">
        <v>864</v>
      </c>
      <c r="B5440" s="0" t="s">
        <v>98</v>
      </c>
      <c r="D5440" s="6" t="n">
        <f aca="false">Sens!D5419</f>
        <v>12.9359794422418</v>
      </c>
      <c r="E5440" s="6" t="n">
        <f aca="false">Sens!E5419</f>
        <v>27.8095064661409</v>
      </c>
      <c r="F5440" s="6" t="n">
        <f aca="false">Sens!F5419</f>
        <v>55.0640065749585</v>
      </c>
      <c r="G5440" s="6" t="n">
        <f aca="false">Sens!G5419</f>
        <v>89.4505413190538</v>
      </c>
      <c r="H5440" s="6" t="n">
        <f aca="false">Sens!H5419</f>
        <v>124.835630736874</v>
      </c>
      <c r="I5440" s="6" t="n">
        <f aca="false">Sens!I5419</f>
        <v>156.158460265485</v>
      </c>
      <c r="J5440" s="6" t="n">
        <f aca="false">Sens!J5419</f>
        <v>177.99455972577</v>
      </c>
      <c r="K5440" s="6" t="n">
        <f aca="false">Sens!K5419</f>
        <v>191.597101773408</v>
      </c>
    </row>
    <row r="5441" customFormat="false" ht="17.15" hidden="false" customHeight="false" outlineLevel="0" collapsed="false">
      <c r="A5441" s="0" t="s">
        <v>865</v>
      </c>
      <c r="B5441" s="0" t="s">
        <v>98</v>
      </c>
      <c r="D5441" s="6" t="n">
        <f aca="false">Q!L6-Sens!D5440</f>
        <v>59.6740205577583</v>
      </c>
      <c r="E5441" s="6" t="n">
        <f aca="false">Q!M6-Sens!E5440</f>
        <v>74.1284935338591</v>
      </c>
      <c r="F5441" s="6" t="n">
        <f aca="false">Sens!E5441*(1+Sens!F5442)</f>
        <v>90.0799497373663</v>
      </c>
      <c r="G5441" s="6" t="n">
        <f aca="false">Sens!F5441*(1+Sens!G5442)</f>
        <v>107.02842520331</v>
      </c>
      <c r="H5441" s="6" t="n">
        <f aca="false">Sens!G5441*(1+Sens!H5442)</f>
        <v>124.271982585636</v>
      </c>
      <c r="I5441" s="6" t="n">
        <f aca="false">Sens!H5441*(1+Sens!I5442)</f>
        <v>140.933702381855</v>
      </c>
      <c r="J5441" s="6" t="n">
        <f aca="false">Sens!I5441*(1+Sens!J5442)</f>
        <v>156.018867314332</v>
      </c>
      <c r="K5441" s="6" t="n">
        <f aca="false">Sens!J5441*(1+Sens!K5442)</f>
        <v>168.500376699478</v>
      </c>
    </row>
    <row r="5442" customFormat="false" ht="15" hidden="false" customHeight="false" outlineLevel="0" collapsed="false">
      <c r="A5442" s="1" t="s">
        <v>866</v>
      </c>
      <c r="B5442" s="0" t="s">
        <v>129</v>
      </c>
      <c r="E5442" s="7" t="n">
        <f aca="false">Sens!E5441/Sens!D5441-1</f>
        <v>0.242223883039864</v>
      </c>
      <c r="F5442" s="7" t="n">
        <f aca="false">Sens!$E$5442+(glt_azo-Sens!$E$5442)*MIN(1,(Sens!F5402-base_fy)/n_conv)</f>
        <v>0.215186569199887</v>
      </c>
      <c r="G5442" s="7" t="n">
        <f aca="false">Sens!$E$5442+(glt_azo-Sens!$E$5442)*MIN(1,(Sens!G5402-base_fy)/n_conv)</f>
        <v>0.18814925535991</v>
      </c>
      <c r="H5442" s="7" t="n">
        <f aca="false">Sens!$E$5442+(glt_azo-Sens!$E$5442)*MIN(1,(Sens!H5402-base_fy)/n_conv)</f>
        <v>0.161111941519932</v>
      </c>
      <c r="I5442" s="7" t="n">
        <f aca="false">Sens!$E$5442+(glt_azo-Sens!$E$5442)*MIN(1,(Sens!I5402-base_fy)/n_conv)</f>
        <v>0.134074627679955</v>
      </c>
      <c r="J5442" s="7" t="n">
        <f aca="false">Sens!$E$5442+(glt_azo-Sens!$E$5442)*MIN(1,(Sens!J5402-base_fy)/n_conv)</f>
        <v>0.107037313839977</v>
      </c>
      <c r="K5442" s="7" t="n">
        <f aca="false">Sens!$E$5442+(glt_azo-Sens!$E$5442)*MIN(1,(Sens!K5402-base_fy)/n_conv)</f>
        <v>0.08</v>
      </c>
    </row>
    <row r="5443" customFormat="false" ht="15" hidden="false" customHeight="false" outlineLevel="0" collapsed="false">
      <c r="A5443" s="0" t="s">
        <v>867</v>
      </c>
      <c r="B5443" s="0" t="s">
        <v>98</v>
      </c>
      <c r="D5443" s="6" t="n">
        <f aca="false">Sens!D5440+Sens!D5441</f>
        <v>72.61</v>
      </c>
      <c r="E5443" s="6" t="n">
        <f aca="false">Sens!E5440+Sens!E5441</f>
        <v>101.938</v>
      </c>
      <c r="F5443" s="6" t="n">
        <f aca="false">Sens!F5440+Sens!F5441</f>
        <v>145.143956312325</v>
      </c>
      <c r="G5443" s="6" t="n">
        <f aca="false">Sens!G5440+Sens!G5441</f>
        <v>196.478966522364</v>
      </c>
      <c r="H5443" s="6" t="n">
        <f aca="false">Sens!H5440+Sens!H5441</f>
        <v>249.10761332251</v>
      </c>
      <c r="I5443" s="6" t="n">
        <f aca="false">Sens!I5440+Sens!I5441</f>
        <v>297.09216264734</v>
      </c>
      <c r="J5443" s="6" t="n">
        <f aca="false">Sens!J5440+Sens!J5441</f>
        <v>334.013427040101</v>
      </c>
      <c r="K5443" s="6" t="n">
        <f aca="false">Sens!K5440+Sens!K5441</f>
        <v>360.097478472886</v>
      </c>
    </row>
    <row r="5444" customFormat="false" ht="17.15" hidden="false" customHeight="false" outlineLevel="0" collapsed="false">
      <c r="A5444" s="0" t="s">
        <v>868</v>
      </c>
      <c r="B5444" s="1" t="s">
        <v>521</v>
      </c>
      <c r="C5444" s="29" t="n">
        <f aca="false">cop_s24</f>
        <v>1</v>
      </c>
      <c r="D5444" s="29" t="n">
        <f aca="false">cop_s25</f>
        <v>5</v>
      </c>
      <c r="E5444" s="29" t="n">
        <f aca="false">cop_s26</f>
        <v>30</v>
      </c>
      <c r="F5444" s="29" t="n">
        <f aca="false">Sens!E5444+cop_add_B*0.5</f>
        <v>40</v>
      </c>
      <c r="G5444" s="29" t="n">
        <f aca="false">Sens!F5444+cop_add_B*0.5</f>
        <v>50</v>
      </c>
      <c r="H5444" s="29" t="n">
        <f aca="false">Sens!G5444+cop_add_B*0.5</f>
        <v>60</v>
      </c>
      <c r="I5444" s="29" t="n">
        <f aca="false">Sens!H5444+cop_add_B*0.5*cop_tail</f>
        <v>65</v>
      </c>
      <c r="J5444" s="29" t="n">
        <f aca="false">Sens!I5444+cop_add_B*0.5*cop_tail</f>
        <v>70</v>
      </c>
      <c r="K5444" s="29" t="n">
        <f aca="false">Sens!J5444+cop_add_B*0.5*cop_tail</f>
        <v>75</v>
      </c>
      <c r="L5444" s="11" t="s">
        <v>869</v>
      </c>
    </row>
    <row r="5445" customFormat="false" ht="17.15" hidden="false" customHeight="false" outlineLevel="0" collapsed="false">
      <c r="A5445" s="0" t="s">
        <v>870</v>
      </c>
      <c r="B5445" s="0" t="s">
        <v>98</v>
      </c>
      <c r="D5445" s="6" t="n">
        <f aca="false">(Sens!C5444+Sens!D5444)/2*cop_px*12/1000</f>
        <v>0.9</v>
      </c>
      <c r="E5445" s="6" t="n">
        <f aca="false">(Sens!D5444+Sens!E5444)/2*cop_px*12/1000</f>
        <v>5.25</v>
      </c>
      <c r="F5445" s="6" t="n">
        <f aca="false">(Sens!E5444+Sens!F5444)/2*cop_px*12/1000</f>
        <v>10.5</v>
      </c>
      <c r="G5445" s="6" t="n">
        <f aca="false">(Sens!F5444+Sens!G5444)/2*cop_px*12/1000</f>
        <v>13.5</v>
      </c>
      <c r="H5445" s="6" t="n">
        <f aca="false">(Sens!G5444+Sens!H5444)/2*cop_px*12/1000</f>
        <v>16.5</v>
      </c>
      <c r="I5445" s="6" t="n">
        <f aca="false">(Sens!H5444+Sens!I5444)/2*cop_px*12/1000</f>
        <v>18.75</v>
      </c>
      <c r="J5445" s="6" t="n">
        <f aca="false">(Sens!I5444+Sens!J5444)/2*cop_px*12/1000</f>
        <v>20.25</v>
      </c>
      <c r="K5445" s="6" t="n">
        <f aca="false">(Sens!J5444+Sens!K5444)/2*cop_px*12/1000</f>
        <v>21.75</v>
      </c>
      <c r="L5445" s="1" t="s">
        <v>871</v>
      </c>
    </row>
    <row r="5446" customFormat="false" ht="17.15" hidden="false" customHeight="false" outlineLevel="0" collapsed="false">
      <c r="A5446" s="0" t="s">
        <v>872</v>
      </c>
      <c r="B5446" s="0" t="s">
        <v>98</v>
      </c>
      <c r="D5446" s="6" t="n">
        <f aca="false">Q!L7-Sens!D5445</f>
        <v>83.705</v>
      </c>
      <c r="E5446" s="6" t="n">
        <f aca="false">Q!M7-Sens!E5445</f>
        <v>95.049</v>
      </c>
      <c r="F5446" s="6" t="n">
        <f aca="false">Sens!E5446*(1+Sens!F5447)</f>
        <v>106.89238776686</v>
      </c>
      <c r="G5446" s="6" t="n">
        <f aca="false">Sens!F5446*(1+Sens!G5447)</f>
        <v>119.044168448684</v>
      </c>
      <c r="H5446" s="6" t="n">
        <f aca="false">Sens!G5446*(1+Sens!H5447)</f>
        <v>131.277359388781</v>
      </c>
      <c r="I5446" s="6" t="n">
        <f aca="false">Sens!H5446*(1+Sens!I5447)</f>
        <v>143.334028071957</v>
      </c>
      <c r="J5446" s="6" t="n">
        <f aca="false">Sens!I5446*(1+Sens!J5447)</f>
        <v>154.932702785465</v>
      </c>
      <c r="K5446" s="6" t="n">
        <f aca="false">Sens!J5446*(1+Sens!K5447)</f>
        <v>165.777991980448</v>
      </c>
    </row>
    <row r="5447" customFormat="false" ht="15" hidden="false" customHeight="false" outlineLevel="0" collapsed="false">
      <c r="A5447" s="1" t="s">
        <v>866</v>
      </c>
      <c r="B5447" s="0" t="s">
        <v>129</v>
      </c>
      <c r="E5447" s="7" t="n">
        <f aca="false">Sens!E5446/Sens!D5446-1</f>
        <v>0.135523564900544</v>
      </c>
      <c r="F5447" s="7" t="n">
        <f aca="false">Sens!$E$5447+(glt_m365b-Sens!$E$5447)*MIN(1,(Sens!F5402-base_fy)/n_conv)</f>
        <v>0.124602970750453</v>
      </c>
      <c r="G5447" s="7" t="n">
        <f aca="false">Sens!$E$5447+(glt_m365b-Sens!$E$5447)*MIN(1,(Sens!G5402-base_fy)/n_conv)</f>
        <v>0.113682376600363</v>
      </c>
      <c r="H5447" s="7" t="n">
        <f aca="false">Sens!$E$5447+(glt_m365b-Sens!$E$5447)*MIN(1,(Sens!H5402-base_fy)/n_conv)</f>
        <v>0.102761782450272</v>
      </c>
      <c r="I5447" s="7" t="n">
        <f aca="false">Sens!$E$5447+(glt_m365b-Sens!$E$5447)*MIN(1,(Sens!I5402-base_fy)/n_conv)</f>
        <v>0.0918411883001813</v>
      </c>
      <c r="J5447" s="7" t="n">
        <f aca="false">Sens!$E$5447+(glt_m365b-Sens!$E$5447)*MIN(1,(Sens!J5402-base_fy)/n_conv)</f>
        <v>0.0809205941500906</v>
      </c>
      <c r="K5447" s="7" t="n">
        <f aca="false">Sens!$E$5447+(glt_m365b-Sens!$E$5447)*MIN(1,(Sens!K5402-base_fy)/n_conv)</f>
        <v>0.07</v>
      </c>
    </row>
    <row r="5448" customFormat="false" ht="15" hidden="false" customHeight="false" outlineLevel="0" collapsed="false">
      <c r="A5448" s="0" t="s">
        <v>873</v>
      </c>
      <c r="B5448" s="0" t="s">
        <v>98</v>
      </c>
      <c r="D5448" s="6" t="n">
        <f aca="false">Sens!D5446+Sens!D5445</f>
        <v>84.605</v>
      </c>
      <c r="E5448" s="6" t="n">
        <f aca="false">Sens!E5446+Sens!E5445</f>
        <v>100.299</v>
      </c>
      <c r="F5448" s="6" t="n">
        <f aca="false">Sens!F5446+Sens!F5445</f>
        <v>117.39238776686</v>
      </c>
      <c r="G5448" s="6" t="n">
        <f aca="false">Sens!G5446+Sens!G5445</f>
        <v>132.544168448684</v>
      </c>
      <c r="H5448" s="6" t="n">
        <f aca="false">Sens!H5446+Sens!H5445</f>
        <v>147.777359388781</v>
      </c>
      <c r="I5448" s="6" t="n">
        <f aca="false">Sens!I5446+Sens!I5445</f>
        <v>162.084028071957</v>
      </c>
      <c r="J5448" s="6" t="n">
        <f aca="false">Sens!J5446+Sens!J5445</f>
        <v>175.182702785465</v>
      </c>
      <c r="K5448" s="6" t="n">
        <f aca="false">Sens!K5446+Sens!K5445</f>
        <v>187.527991980448</v>
      </c>
    </row>
    <row r="5449" customFormat="false" ht="15" hidden="false" customHeight="false" outlineLevel="0" collapsed="false">
      <c r="A5449" s="0" t="s">
        <v>874</v>
      </c>
      <c r="B5449" s="0" t="s">
        <v>98</v>
      </c>
      <c r="D5449" s="6" t="n">
        <f aca="false">Q!L8</f>
        <v>35.391</v>
      </c>
      <c r="E5449" s="6" t="n">
        <f aca="false">Q!M8</f>
        <v>37.285</v>
      </c>
      <c r="F5449" s="6" t="n">
        <f aca="false">Sens!E5449*(1+Sens!F5450)</f>
        <v>39.0720834331704</v>
      </c>
      <c r="G5449" s="6" t="n">
        <f aca="false">Sens!F5449*(1+Sens!G5450)</f>
        <v>40.726562953769</v>
      </c>
      <c r="H5449" s="6" t="n">
        <f aca="false">Sens!G5449*(1+Sens!H5450)</f>
        <v>42.2235987259198</v>
      </c>
      <c r="I5449" s="6" t="n">
        <f aca="false">Sens!H5449*(1+Sens!I5450)</f>
        <v>43.5397988077414</v>
      </c>
      <c r="J5449" s="6" t="n">
        <f aca="false">Sens!I5449*(1+Sens!J5450)</f>
        <v>44.653811225693</v>
      </c>
      <c r="K5449" s="6" t="n">
        <f aca="false">Sens!J5449*(1+Sens!K5450)</f>
        <v>45.5468874502068</v>
      </c>
    </row>
    <row r="5450" customFormat="false" ht="15" hidden="false" customHeight="false" outlineLevel="0" collapsed="false">
      <c r="A5450" s="1" t="s">
        <v>866</v>
      </c>
      <c r="B5450" s="0" t="s">
        <v>129</v>
      </c>
      <c r="E5450" s="7" t="n">
        <f aca="false">Sens!E5449/Sens!D5449-1</f>
        <v>0.0535164307309768</v>
      </c>
      <c r="F5450" s="7" t="n">
        <f aca="false">Sens!$E$5450+(glt_lic-Sens!$E$5450)*MIN(1,(Sens!F5402-base_fy)/n_conv)</f>
        <v>0.0479303589424807</v>
      </c>
      <c r="G5450" s="7" t="n">
        <f aca="false">Sens!$E$5450+(glt_lic-Sens!$E$5450)*MIN(1,(Sens!G5402-base_fy)/n_conv)</f>
        <v>0.0423442871539845</v>
      </c>
      <c r="H5450" s="7" t="n">
        <f aca="false">Sens!$E$5450+(glt_lic-Sens!$E$5450)*MIN(1,(Sens!H5402-base_fy)/n_conv)</f>
        <v>0.0367582153654884</v>
      </c>
      <c r="I5450" s="7" t="n">
        <f aca="false">Sens!$E$5450+(glt_lic-Sens!$E$5450)*MIN(1,(Sens!I5402-base_fy)/n_conv)</f>
        <v>0.0311721435769923</v>
      </c>
      <c r="J5450" s="7" t="n">
        <f aca="false">Sens!$E$5450+(glt_lic-Sens!$E$5450)*MIN(1,(Sens!J5402-base_fy)/n_conv)</f>
        <v>0.0255860717884961</v>
      </c>
      <c r="K5450" s="7" t="n">
        <f aca="false">Sens!$E$5450+(glt_lic-Sens!$E$5450)*MIN(1,(Sens!K5402-base_fy)/n_conv)</f>
        <v>0.02</v>
      </c>
    </row>
    <row r="5451" customFormat="false" ht="15" hidden="false" customHeight="false" outlineLevel="0" collapsed="false">
      <c r="A5451" s="0" t="s">
        <v>875</v>
      </c>
      <c r="B5451" s="0" t="s">
        <v>98</v>
      </c>
      <c r="D5451" s="6" t="n">
        <f aca="false">Q!L9</f>
        <v>18.417</v>
      </c>
      <c r="E5451" s="6" t="n">
        <f aca="false">Q!M9</f>
        <v>20.345</v>
      </c>
      <c r="F5451" s="6" t="n">
        <f aca="false">Sens!E5451*(1+Sens!F5452)</f>
        <v>22.3572203267814</v>
      </c>
      <c r="G5451" s="6" t="n">
        <f aca="false">Sens!F5451*(1+Sens!G5452)</f>
        <v>24.4392124437232</v>
      </c>
      <c r="H5451" s="6" t="n">
        <f aca="false">Sens!G5451*(1+Sens!H5452)</f>
        <v>26.5738052080665</v>
      </c>
      <c r="I5451" s="6" t="n">
        <f aca="false">Sens!H5451*(1+Sens!I5452)</f>
        <v>28.7412169166967</v>
      </c>
      <c r="J5451" s="6" t="n">
        <f aca="false">Sens!I5451*(1+Sens!J5452)</f>
        <v>30.9192545395413</v>
      </c>
      <c r="K5451" s="6" t="n">
        <f aca="false">Sens!J5451*(1+Sens!K5452)</f>
        <v>33.0836023573092</v>
      </c>
    </row>
    <row r="5452" customFormat="false" ht="15" hidden="false" customHeight="false" outlineLevel="0" collapsed="false">
      <c r="A5452" s="1" t="s">
        <v>866</v>
      </c>
      <c r="B5452" s="0" t="s">
        <v>129</v>
      </c>
      <c r="E5452" s="7" t="n">
        <f aca="false">Sens!E5451/Sens!D5451-1</f>
        <v>0.104685888038225</v>
      </c>
      <c r="F5452" s="7" t="n">
        <f aca="false">Sens!$E$5452+(glt_ind-Sens!$E$5452)*MIN(1,(Sens!F5402-base_fy)/n_conv)</f>
        <v>0.0989049066985211</v>
      </c>
      <c r="G5452" s="7" t="n">
        <f aca="false">Sens!$E$5452+(glt_ind-Sens!$E$5452)*MIN(1,(Sens!G5402-base_fy)/n_conv)</f>
        <v>0.0931239253588169</v>
      </c>
      <c r="H5452" s="7" t="n">
        <f aca="false">Sens!$E$5452+(glt_ind-Sens!$E$5452)*MIN(1,(Sens!H5402-base_fy)/n_conv)</f>
        <v>0.0873429440191127</v>
      </c>
      <c r="I5452" s="7" t="n">
        <f aca="false">Sens!$E$5452+(glt_ind-Sens!$E$5452)*MIN(1,(Sens!I5402-base_fy)/n_conv)</f>
        <v>0.0815619626794085</v>
      </c>
      <c r="J5452" s="7" t="n">
        <f aca="false">Sens!$E$5452+(glt_ind-Sens!$E$5452)*MIN(1,(Sens!J5402-base_fy)/n_conv)</f>
        <v>0.0757809813397042</v>
      </c>
      <c r="K5452" s="7" t="n">
        <f aca="false">Sens!$E$5452+(glt_ind-Sens!$E$5452)*MIN(1,(Sens!K5402-base_fy)/n_conv)</f>
        <v>0.07</v>
      </c>
    </row>
    <row r="5453" customFormat="false" ht="15" hidden="false" customHeight="false" outlineLevel="0" collapsed="false">
      <c r="A5453" s="0" t="s">
        <v>876</v>
      </c>
      <c r="B5453" s="0" t="s">
        <v>98</v>
      </c>
      <c r="D5453" s="6" t="n">
        <f aca="false">Q!L10</f>
        <v>7.76</v>
      </c>
      <c r="E5453" s="6" t="n">
        <f aca="false">Q!M10</f>
        <v>8.26</v>
      </c>
      <c r="F5453" s="6" t="n">
        <f aca="false">Sens!E5453*(1+Sens!F5454)</f>
        <v>8.79988041237113</v>
      </c>
      <c r="G5453" s="6" t="n">
        <f aca="false">Sens!F5453*(1+Sens!G5454)</f>
        <v>9.38321269125306</v>
      </c>
      <c r="H5453" s="6" t="n">
        <f aca="false">Sens!G5453*(1+Sens!H5454)</f>
        <v>10.0139193587476</v>
      </c>
      <c r="I5453" s="6" t="n">
        <f aca="false">Sens!H5453*(1+Sens!I5454)</f>
        <v>10.6963111830911</v>
      </c>
      <c r="J5453" s="6" t="n">
        <f aca="false">Sens!I5453*(1+Sens!J5454)</f>
        <v>11.4351285534696</v>
      </c>
      <c r="K5453" s="6" t="n">
        <f aca="false">Sens!J5453*(1+Sens!K5454)</f>
        <v>12.2355875522124</v>
      </c>
    </row>
    <row r="5454" customFormat="false" ht="15" hidden="false" customHeight="false" outlineLevel="0" collapsed="false">
      <c r="A5454" s="1" t="s">
        <v>866</v>
      </c>
      <c r="B5454" s="0" t="s">
        <v>129</v>
      </c>
      <c r="E5454" s="7" t="n">
        <f aca="false">Sens!E5453/Sens!D5453-1</f>
        <v>0.0644329896907216</v>
      </c>
      <c r="F5454" s="7" t="n">
        <f aca="false">Sens!$E$5454+(glt_fro-Sens!$E$5454)*MIN(1,(Sens!F5402-base_fy)/n_conv)</f>
        <v>0.065360824742268</v>
      </c>
      <c r="G5454" s="7" t="n">
        <f aca="false">Sens!$E$5454+(glt_fro-Sens!$E$5454)*MIN(1,(Sens!G5402-base_fy)/n_conv)</f>
        <v>0.0662886597938144</v>
      </c>
      <c r="H5454" s="7" t="n">
        <f aca="false">Sens!$E$5454+(glt_fro-Sens!$E$5454)*MIN(1,(Sens!H5402-base_fy)/n_conv)</f>
        <v>0.0672164948453608</v>
      </c>
      <c r="I5454" s="7" t="n">
        <f aca="false">Sens!$E$5454+(glt_fro-Sens!$E$5454)*MIN(1,(Sens!I5402-base_fy)/n_conv)</f>
        <v>0.0681443298969072</v>
      </c>
      <c r="J5454" s="7" t="n">
        <f aca="false">Sens!$E$5454+(glt_fro-Sens!$E$5454)*MIN(1,(Sens!J5402-base_fy)/n_conv)</f>
        <v>0.0690721649484536</v>
      </c>
      <c r="K5454" s="7" t="n">
        <f aca="false">Sens!$E$5454+(glt_fro-Sens!$E$5454)*MIN(1,(Sens!K5402-base_fy)/n_conv)</f>
        <v>0.07</v>
      </c>
    </row>
    <row r="5455" customFormat="false" ht="15" hidden="false" customHeight="false" outlineLevel="0" collapsed="false">
      <c r="A5455" s="0" t="s">
        <v>704</v>
      </c>
      <c r="B5455" s="0" t="s">
        <v>98</v>
      </c>
      <c r="D5455" s="6" t="n">
        <f aca="false">Sens!D5443+Sens!D5448+Sens!D5449+Sens!D5451+Sens!D5453</f>
        <v>218.783</v>
      </c>
      <c r="E5455" s="6" t="n">
        <f aca="false">Sens!E5443+Sens!E5448+Sens!E5449+Sens!E5451+Sens!E5453</f>
        <v>268.127</v>
      </c>
      <c r="F5455" s="6" t="n">
        <f aca="false">Sens!F5443+Sens!F5448+Sens!F5449+Sens!F5451+Sens!F5453</f>
        <v>332.765528251508</v>
      </c>
      <c r="G5455" s="6" t="n">
        <f aca="false">Sens!G5443+Sens!G5448+Sens!G5449+Sens!G5451+Sens!G5453</f>
        <v>403.572123059793</v>
      </c>
      <c r="H5455" s="6" t="n">
        <f aca="false">Sens!H5443+Sens!H5448+Sens!H5449+Sens!H5451+Sens!H5453</f>
        <v>475.696296004025</v>
      </c>
      <c r="I5455" s="6" t="n">
        <f aca="false">Sens!I5443+Sens!I5448+Sens!I5449+Sens!I5451+Sens!I5453</f>
        <v>542.153517626826</v>
      </c>
      <c r="J5455" s="6" t="n">
        <f aca="false">Sens!J5443+Sens!J5448+Sens!J5449+Sens!J5451+Sens!J5453</f>
        <v>596.20432414427</v>
      </c>
      <c r="K5455" s="6" t="n">
        <f aca="false">Sens!K5443+Sens!K5448+Sens!K5449+Sens!K5451+Sens!K5453</f>
        <v>638.491547813062</v>
      </c>
    </row>
    <row r="5456" customFormat="false" ht="15" hidden="false" customHeight="false" outlineLevel="0" collapsed="false">
      <c r="A5456" s="0" t="s">
        <v>877</v>
      </c>
      <c r="B5456" s="0" t="s">
        <v>98</v>
      </c>
      <c r="D5456" s="6" t="n">
        <f aca="false">Q!L13</f>
        <v>22.171</v>
      </c>
      <c r="E5456" s="6" t="n">
        <f aca="false">Q!M13</f>
        <v>24.835</v>
      </c>
      <c r="F5456" s="6" t="n">
        <f aca="false">Sens!E5456*(1+Sens!F5457)</f>
        <v>27.6114901218559</v>
      </c>
      <c r="G5456" s="6" t="n">
        <f aca="false">Sens!F5456*(1+Sens!G5457)</f>
        <v>30.4675667338515</v>
      </c>
      <c r="H5456" s="6" t="n">
        <f aca="false">Sens!G5456*(1+Sens!H5457)</f>
        <v>33.3643766955789</v>
      </c>
      <c r="I5456" s="6" t="n">
        <f aca="false">Sens!H5456*(1+Sens!I5457)</f>
        <v>36.2577016533691</v>
      </c>
      <c r="J5456" s="6" t="n">
        <f aca="false">Sens!I5456*(1+Sens!J5457)</f>
        <v>39.0988367952171</v>
      </c>
      <c r="K5456" s="6" t="n">
        <f aca="false">Sens!J5456*(1+Sens!K5457)</f>
        <v>41.8357553708823</v>
      </c>
    </row>
    <row r="5457" customFormat="false" ht="15" hidden="false" customHeight="false" outlineLevel="0" collapsed="false">
      <c r="A5457" s="1" t="s">
        <v>866</v>
      </c>
      <c r="B5457" s="0" t="s">
        <v>129</v>
      </c>
      <c r="E5457" s="7" t="n">
        <f aca="false">Sens!E5456/Sens!D5456-1</f>
        <v>0.120156961796942</v>
      </c>
      <c r="F5457" s="7" t="n">
        <f aca="false">Sens!$E$5457+(glt_srch-Sens!$E$5457)*MIN(1,(Sens!F5402-base_fy)/n_conv)</f>
        <v>0.111797468164118</v>
      </c>
      <c r="G5457" s="7" t="n">
        <f aca="false">Sens!$E$5457+(glt_srch-Sens!$E$5457)*MIN(1,(Sens!G5402-base_fy)/n_conv)</f>
        <v>0.103437974531295</v>
      </c>
      <c r="H5457" s="7" t="n">
        <f aca="false">Sens!$E$5457+(glt_srch-Sens!$E$5457)*MIN(1,(Sens!H5402-base_fy)/n_conv)</f>
        <v>0.095078480898471</v>
      </c>
      <c r="I5457" s="7" t="n">
        <f aca="false">Sens!$E$5457+(glt_srch-Sens!$E$5457)*MIN(1,(Sens!I5402-base_fy)/n_conv)</f>
        <v>0.0867189872656474</v>
      </c>
      <c r="J5457" s="7" t="n">
        <f aca="false">Sens!$E$5457+(glt_srch-Sens!$E$5457)*MIN(1,(Sens!J5402-base_fy)/n_conv)</f>
        <v>0.0783594936328237</v>
      </c>
      <c r="K5457" s="7" t="n">
        <f aca="false">Sens!$E$5457+(glt_srch-Sens!$E$5457)*MIN(1,(Sens!K5402-base_fy)/n_conv)</f>
        <v>0.07</v>
      </c>
    </row>
    <row r="5458" customFormat="false" ht="15" hidden="false" customHeight="false" outlineLevel="0" collapsed="false">
      <c r="A5458" s="0" t="s">
        <v>878</v>
      </c>
      <c r="B5458" s="0" t="s">
        <v>98</v>
      </c>
      <c r="D5458" s="6" t="n">
        <f aca="false">Q!L14</f>
        <v>23.455</v>
      </c>
      <c r="E5458" s="6" t="n">
        <f aca="false">Q!M14</f>
        <v>21.79</v>
      </c>
      <c r="F5458" s="6" t="n">
        <f aca="false">Sens!E5458*(1+Sens!F5459)</f>
        <v>20.5736277908051</v>
      </c>
      <c r="G5458" s="6" t="n">
        <f aca="false">Sens!F5458*(1+Sens!G5459)</f>
        <v>19.7371452817919</v>
      </c>
      <c r="H5458" s="6" t="n">
        <f aca="false">Sens!G5458*(1+Sens!H5459)</f>
        <v>19.2339764043138</v>
      </c>
      <c r="I5458" s="6" t="n">
        <f aca="false">Sens!H5458*(1+Sens!I5459)</f>
        <v>19.0353086852681</v>
      </c>
      <c r="J5458" s="6" t="n">
        <f aca="false">Sens!I5458*(1+Sens!J5459)</f>
        <v>19.1273539319129</v>
      </c>
      <c r="K5458" s="6" t="n">
        <f aca="false">Sens!J5458*(1+Sens!K5459)</f>
        <v>19.5099010105511</v>
      </c>
    </row>
    <row r="5459" customFormat="false" ht="15" hidden="false" customHeight="false" outlineLevel="0" collapsed="false">
      <c r="A5459" s="1" t="s">
        <v>866</v>
      </c>
      <c r="B5459" s="0" t="s">
        <v>129</v>
      </c>
      <c r="E5459" s="7" t="n">
        <f aca="false">Sens!E5458/Sens!D5458-1</f>
        <v>-0.0709869963760392</v>
      </c>
      <c r="F5459" s="7" t="n">
        <f aca="false">Sens!$E$5459+(glt_xbox-Sens!$E$5459)*MIN(1,(Sens!F5402-base_fy)/n_conv)</f>
        <v>-0.0558224969800327</v>
      </c>
      <c r="G5459" s="7" t="n">
        <f aca="false">Sens!$E$5459+(glt_xbox-Sens!$E$5459)*MIN(1,(Sens!G5402-base_fy)/n_conv)</f>
        <v>-0.0406579975840262</v>
      </c>
      <c r="H5459" s="7" t="n">
        <f aca="false">Sens!$E$5459+(glt_xbox-Sens!$E$5459)*MIN(1,(Sens!H5402-base_fy)/n_conv)</f>
        <v>-0.0254934981880196</v>
      </c>
      <c r="I5459" s="7" t="n">
        <f aca="false">Sens!$E$5459+(glt_xbox-Sens!$E$5459)*MIN(1,(Sens!I5402-base_fy)/n_conv)</f>
        <v>-0.0103289987920131</v>
      </c>
      <c r="J5459" s="7" t="n">
        <f aca="false">Sens!$E$5459+(glt_xbox-Sens!$E$5459)*MIN(1,(Sens!J5402-base_fy)/n_conv)</f>
        <v>0.00483550060399347</v>
      </c>
      <c r="K5459" s="7" t="n">
        <f aca="false">Sens!$E$5459+(glt_xbox-Sens!$E$5459)*MIN(1,(Sens!K5402-base_fy)/n_conv)</f>
        <v>0.02</v>
      </c>
    </row>
    <row r="5460" customFormat="false" ht="15" hidden="false" customHeight="false" outlineLevel="0" collapsed="false">
      <c r="A5460" s="0" t="s">
        <v>879</v>
      </c>
      <c r="B5460" s="0" t="s">
        <v>98</v>
      </c>
      <c r="D5460" s="6" t="n">
        <f aca="false">Q!L15</f>
        <v>17.315</v>
      </c>
      <c r="E5460" s="6" t="n">
        <f aca="false">Q!M15</f>
        <v>17.087</v>
      </c>
      <c r="F5460" s="6" t="n">
        <f aca="false">Sens!E5460*(1+Sens!F5461)</f>
        <v>16.9564585436519</v>
      </c>
      <c r="G5460" s="6" t="n">
        <f aca="false">Sens!F5460*(1+Sens!G5461)</f>
        <v>16.9206490624268</v>
      </c>
      <c r="H5460" s="6" t="n">
        <f aca="false">Sens!G5460*(1+Sens!H5461)</f>
        <v>16.9784519149849</v>
      </c>
      <c r="I5460" s="6" t="n">
        <f aca="false">Sens!H5460*(1+Sens!I5461)</f>
        <v>17.1303084701817</v>
      </c>
      <c r="J5460" s="6" t="n">
        <f aca="false">Sens!I5460*(1+Sens!J5461)</f>
        <v>17.3782189407267</v>
      </c>
      <c r="K5460" s="6" t="n">
        <f aca="false">Sens!J5460*(1+Sens!K5461)</f>
        <v>17.7257833195413</v>
      </c>
    </row>
    <row r="5461" customFormat="false" ht="15" hidden="false" customHeight="false" outlineLevel="0" collapsed="false">
      <c r="A5461" s="1" t="s">
        <v>866</v>
      </c>
      <c r="B5461" s="0" t="s">
        <v>129</v>
      </c>
      <c r="E5461" s="7" t="n">
        <f aca="false">Sens!E5460/Sens!D5460-1</f>
        <v>-0.0131677736066995</v>
      </c>
      <c r="F5461" s="7" t="n">
        <f aca="false">Sens!$E$5461+(glt_win-Sens!$E$5461)*MIN(1,(Sens!F5402-base_fy)/n_conv)</f>
        <v>-0.00763981133891627</v>
      </c>
      <c r="G5461" s="7" t="n">
        <f aca="false">Sens!$E$5461+(glt_win-Sens!$E$5461)*MIN(1,(Sens!G5402-base_fy)/n_conv)</f>
        <v>-0.00211184907113301</v>
      </c>
      <c r="H5461" s="7" t="n">
        <f aca="false">Sens!$E$5461+(glt_win-Sens!$E$5461)*MIN(1,(Sens!H5402-base_fy)/n_conv)</f>
        <v>0.00341611319665024</v>
      </c>
      <c r="I5461" s="7" t="n">
        <f aca="false">Sens!$E$5461+(glt_win-Sens!$E$5461)*MIN(1,(Sens!I5402-base_fy)/n_conv)</f>
        <v>0.00894407546443349</v>
      </c>
      <c r="J5461" s="7" t="n">
        <f aca="false">Sens!$E$5461+(glt_win-Sens!$E$5461)*MIN(1,(Sens!J5402-base_fy)/n_conv)</f>
        <v>0.0144720377322168</v>
      </c>
      <c r="K5461" s="7" t="n">
        <f aca="false">Sens!$E$5461+(glt_win-Sens!$E$5461)*MIN(1,(Sens!K5402-base_fy)/n_conv)</f>
        <v>0.02</v>
      </c>
    </row>
    <row r="5462" customFormat="false" ht="15" hidden="false" customHeight="false" outlineLevel="0" collapsed="false">
      <c r="A5462" s="0" t="s">
        <v>718</v>
      </c>
      <c r="B5462" s="0" t="s">
        <v>98</v>
      </c>
      <c r="D5462" s="6" t="n">
        <f aca="false">Sens!D5456+Sens!D5458+Sens!D5460</f>
        <v>62.941</v>
      </c>
      <c r="E5462" s="6" t="n">
        <f aca="false">Sens!E5456+Sens!E5458+Sens!E5460</f>
        <v>63.712</v>
      </c>
      <c r="F5462" s="6" t="n">
        <f aca="false">Sens!F5456+Sens!F5458+Sens!F5460</f>
        <v>65.1415764563129</v>
      </c>
      <c r="G5462" s="6" t="n">
        <f aca="false">Sens!G5456+Sens!G5458+Sens!G5460</f>
        <v>67.1253610780702</v>
      </c>
      <c r="H5462" s="6" t="n">
        <f aca="false">Sens!H5456+Sens!H5458+Sens!H5460</f>
        <v>69.5768050148776</v>
      </c>
      <c r="I5462" s="6" t="n">
        <f aca="false">Sens!I5456+Sens!I5458+Sens!I5460</f>
        <v>72.4233188088189</v>
      </c>
      <c r="J5462" s="6" t="n">
        <f aca="false">Sens!J5456+Sens!J5458+Sens!J5460</f>
        <v>75.6044096678567</v>
      </c>
      <c r="K5462" s="6" t="n">
        <f aca="false">Sens!K5456+Sens!K5458+Sens!K5460</f>
        <v>79.0714397009747</v>
      </c>
    </row>
    <row r="5463" customFormat="false" ht="15" hidden="false" customHeight="false" outlineLevel="0" collapsed="false">
      <c r="A5463" s="1" t="s">
        <v>880</v>
      </c>
      <c r="B5463" s="0" t="s">
        <v>98</v>
      </c>
      <c r="D5463" s="6" t="n">
        <f aca="false">Sens!D5455+Sens!D5462</f>
        <v>281.724</v>
      </c>
      <c r="E5463" s="6" t="n">
        <f aca="false">Sens!E5455+Sens!E5462</f>
        <v>331.839</v>
      </c>
      <c r="F5463" s="6" t="n">
        <f aca="false">Sens!F5455+Sens!F5462</f>
        <v>397.907104707821</v>
      </c>
      <c r="G5463" s="6" t="n">
        <f aca="false">Sens!G5455+Sens!G5462</f>
        <v>470.697484137863</v>
      </c>
      <c r="H5463" s="6" t="n">
        <f aca="false">Sens!H5455+Sens!H5462</f>
        <v>545.273101018903</v>
      </c>
      <c r="I5463" s="6" t="n">
        <f aca="false">Sens!I5455+Sens!I5462</f>
        <v>614.576836435645</v>
      </c>
      <c r="J5463" s="6" t="n">
        <f aca="false">Sens!J5455+Sens!J5462</f>
        <v>671.808733812127</v>
      </c>
      <c r="K5463" s="6" t="n">
        <f aca="false">Sens!K5455+Sens!K5462</f>
        <v>717.562987514037</v>
      </c>
    </row>
    <row r="5464" customFormat="false" ht="15" hidden="false" customHeight="false" outlineLevel="0" collapsed="false">
      <c r="A5464" s="23" t="s">
        <v>881</v>
      </c>
      <c r="B5464" s="30" t="s">
        <v>98</v>
      </c>
      <c r="C5464" s="30"/>
      <c r="D5464" s="24" t="n">
        <f aca="false">(Sens!D5443+Sens!D5448+Sens!D5449+Sens!D5451+Sens!D5453-Sens!D5455)+(Sens!D5456+Sens!D5458+Sens!D5460-Sens!D5462)+(Sens!D5455-Q!L5)+(Sens!D5462-Q!L12)+(Sens!D5443-Q!L6)+(Sens!D5448-Q!L7)</f>
        <v>0</v>
      </c>
      <c r="E5464" s="24" t="n">
        <f aca="false">(Sens!E5443+Sens!E5448+Sens!E5449+Sens!E5451+Sens!E5453-Sens!E5455)+(Sens!E5456+Sens!E5458+Sens!E5460-Sens!E5462)+(Sens!E5455-Q!M5)+(Sens!E5462-Q!M12)+(Sens!E5443-Q!M6)+(Sens!E5448-Q!M7)</f>
        <v>0</v>
      </c>
      <c r="F5464" s="24" t="n">
        <f aca="false">(Sens!F5443+Sens!F5448+Sens!F5449+Sens!F5451+Sens!F5453-Sens!F5455)+(Sens!F5456+Sens!F5458+Sens!F5460-Sens!F5462)</f>
        <v>0</v>
      </c>
      <c r="G5464" s="24" t="n">
        <f aca="false">(Sens!G5443+Sens!G5448+Sens!G5449+Sens!G5451+Sens!G5453-Sens!G5455)+(Sens!G5456+Sens!G5458+Sens!G5460-Sens!G5462)</f>
        <v>0</v>
      </c>
      <c r="H5464" s="24" t="n">
        <f aca="false">(Sens!H5443+Sens!H5448+Sens!H5449+Sens!H5451+Sens!H5453-Sens!H5455)+(Sens!H5456+Sens!H5458+Sens!H5460-Sens!H5462)</f>
        <v>0</v>
      </c>
      <c r="I5464" s="24" t="n">
        <f aca="false">(Sens!I5443+Sens!I5448+Sens!I5449+Sens!I5451+Sens!I5453-Sens!I5455)+(Sens!I5456+Sens!I5458+Sens!I5460-Sens!I5462)</f>
        <v>0</v>
      </c>
      <c r="J5464" s="24" t="n">
        <f aca="false">(Sens!J5443+Sens!J5448+Sens!J5449+Sens!J5451+Sens!J5453-Sens!J5455)+(Sens!J5456+Sens!J5458+Sens!J5460-Sens!J5462)</f>
        <v>0</v>
      </c>
      <c r="K5464" s="24" t="n">
        <f aca="false">(Sens!K5443+Sens!K5448+Sens!K5449+Sens!K5451+Sens!K5453-Sens!K5455)+(Sens!K5456+Sens!K5458+Sens!K5460-Sens!K5462)</f>
        <v>0</v>
      </c>
    </row>
    <row r="5465" customFormat="false" ht="17.15" hidden="false" customHeight="false" outlineLevel="0" collapsed="false">
      <c r="A5465" s="3" t="s">
        <v>1376</v>
      </c>
    </row>
    <row r="5466" customFormat="false" ht="15" hidden="false" customHeight="false" outlineLevel="0" collapsed="false">
      <c r="A5466" s="4" t="s">
        <v>43</v>
      </c>
      <c r="B5466" s="4" t="s">
        <v>65</v>
      </c>
      <c r="C5466" s="20" t="s">
        <v>788</v>
      </c>
      <c r="D5466" s="20" t="s">
        <v>789</v>
      </c>
      <c r="E5466" s="20" t="s">
        <v>790</v>
      </c>
      <c r="F5466" s="20" t="s">
        <v>791</v>
      </c>
      <c r="G5466" s="20" t="s">
        <v>792</v>
      </c>
      <c r="H5466" s="20" t="s">
        <v>793</v>
      </c>
      <c r="I5466" s="20" t="s">
        <v>794</v>
      </c>
      <c r="J5466" s="20" t="s">
        <v>795</v>
      </c>
      <c r="K5466" s="20" t="s">
        <v>796</v>
      </c>
      <c r="L5466" s="4" t="s">
        <v>47</v>
      </c>
    </row>
    <row r="5467" customFormat="false" ht="15" hidden="false" customHeight="false" outlineLevel="0" collapsed="false">
      <c r="A5467" s="0" t="s">
        <v>867</v>
      </c>
      <c r="B5467" s="0" t="s">
        <v>98</v>
      </c>
      <c r="D5467" s="6" t="n">
        <f aca="false">Sens!D5443</f>
        <v>72.61</v>
      </c>
      <c r="E5467" s="6" t="n">
        <f aca="false">Sens!E5443</f>
        <v>101.938</v>
      </c>
      <c r="F5467" s="6" t="n">
        <f aca="false">Sens!F5443</f>
        <v>145.143956312325</v>
      </c>
      <c r="G5467" s="6" t="n">
        <f aca="false">Sens!G5443</f>
        <v>196.478966522364</v>
      </c>
      <c r="H5467" s="6" t="n">
        <f aca="false">Sens!H5443</f>
        <v>249.10761332251</v>
      </c>
      <c r="I5467" s="6" t="n">
        <f aca="false">Sens!I5443</f>
        <v>297.09216264734</v>
      </c>
      <c r="J5467" s="6" t="n">
        <f aca="false">Sens!J5443</f>
        <v>334.013427040101</v>
      </c>
      <c r="K5467" s="6" t="n">
        <f aca="false">Sens!K5443</f>
        <v>360.097478472886</v>
      </c>
    </row>
    <row r="5468" customFormat="false" ht="17.15" hidden="false" customHeight="false" outlineLevel="0" collapsed="false">
      <c r="A5468" s="0" t="s">
        <v>864</v>
      </c>
      <c r="B5468" s="0" t="s">
        <v>98</v>
      </c>
      <c r="D5468" s="6" t="n">
        <f aca="false">Sens!D5440</f>
        <v>12.9359794422418</v>
      </c>
      <c r="E5468" s="6" t="n">
        <f aca="false">Sens!E5440</f>
        <v>27.8095064661409</v>
      </c>
      <c r="F5468" s="6" t="n">
        <f aca="false">Sens!F5440</f>
        <v>55.0640065749585</v>
      </c>
      <c r="G5468" s="6" t="n">
        <f aca="false">Sens!G5440</f>
        <v>89.4505413190538</v>
      </c>
      <c r="H5468" s="6" t="n">
        <f aca="false">Sens!H5440</f>
        <v>124.835630736874</v>
      </c>
      <c r="I5468" s="6" t="n">
        <f aca="false">Sens!I5440</f>
        <v>156.158460265485</v>
      </c>
      <c r="J5468" s="6" t="n">
        <f aca="false">Sens!J5440</f>
        <v>177.99455972577</v>
      </c>
      <c r="K5468" s="6" t="n">
        <f aca="false">Sens!K5440</f>
        <v>191.597101773408</v>
      </c>
    </row>
    <row r="5469" customFormat="false" ht="17.15" hidden="false" customHeight="false" outlineLevel="0" collapsed="false">
      <c r="A5469" s="0" t="s">
        <v>892</v>
      </c>
      <c r="B5469" s="0" t="s">
        <v>98</v>
      </c>
      <c r="D5469" s="6" t="n">
        <f aca="false">Sens!D5441</f>
        <v>59.6740205577583</v>
      </c>
      <c r="E5469" s="6" t="n">
        <f aca="false">Sens!E5441</f>
        <v>74.1284935338591</v>
      </c>
      <c r="F5469" s="6" t="n">
        <f aca="false">Sens!F5441</f>
        <v>90.0799497373663</v>
      </c>
      <c r="G5469" s="6" t="n">
        <f aca="false">Sens!G5441</f>
        <v>107.02842520331</v>
      </c>
      <c r="H5469" s="6" t="n">
        <f aca="false">Sens!H5441</f>
        <v>124.271982585636</v>
      </c>
      <c r="I5469" s="6" t="n">
        <f aca="false">Sens!I5441</f>
        <v>140.933702381855</v>
      </c>
      <c r="J5469" s="6" t="n">
        <f aca="false">Sens!J5441</f>
        <v>156.018867314332</v>
      </c>
      <c r="K5469" s="6" t="n">
        <f aca="false">Sens!K5441</f>
        <v>168.500376699478</v>
      </c>
    </row>
    <row r="5470" customFormat="false" ht="15" hidden="false" customHeight="false" outlineLevel="0" collapsed="false">
      <c r="A5470" s="0" t="s">
        <v>873</v>
      </c>
      <c r="B5470" s="0" t="s">
        <v>98</v>
      </c>
      <c r="D5470" s="6" t="n">
        <f aca="false">Sens!D5448</f>
        <v>84.605</v>
      </c>
      <c r="E5470" s="6" t="n">
        <f aca="false">Sens!E5448</f>
        <v>100.299</v>
      </c>
      <c r="F5470" s="6" t="n">
        <f aca="false">Sens!F5448</f>
        <v>117.39238776686</v>
      </c>
      <c r="G5470" s="6" t="n">
        <f aca="false">Sens!G5448</f>
        <v>132.544168448684</v>
      </c>
      <c r="H5470" s="6" t="n">
        <f aca="false">Sens!H5448</f>
        <v>147.777359388781</v>
      </c>
      <c r="I5470" s="6" t="n">
        <f aca="false">Sens!I5448</f>
        <v>162.084028071957</v>
      </c>
      <c r="J5470" s="6" t="n">
        <f aca="false">Sens!J5448</f>
        <v>175.182702785465</v>
      </c>
      <c r="K5470" s="6" t="n">
        <f aca="false">Sens!K5448</f>
        <v>187.527991980448</v>
      </c>
    </row>
    <row r="5471" customFormat="false" ht="17.15" hidden="false" customHeight="false" outlineLevel="0" collapsed="false">
      <c r="A5471" s="0" t="s">
        <v>893</v>
      </c>
      <c r="B5471" s="0" t="s">
        <v>98</v>
      </c>
      <c r="D5471" s="6" t="n">
        <f aca="false">Sens!D5446</f>
        <v>83.705</v>
      </c>
      <c r="E5471" s="6" t="n">
        <f aca="false">Sens!E5446</f>
        <v>95.049</v>
      </c>
      <c r="F5471" s="6" t="n">
        <f aca="false">Sens!F5446</f>
        <v>106.89238776686</v>
      </c>
      <c r="G5471" s="6" t="n">
        <f aca="false">Sens!G5446</f>
        <v>119.044168448684</v>
      </c>
      <c r="H5471" s="6" t="n">
        <f aca="false">Sens!H5446</f>
        <v>131.277359388781</v>
      </c>
      <c r="I5471" s="6" t="n">
        <f aca="false">Sens!I5446</f>
        <v>143.334028071957</v>
      </c>
      <c r="J5471" s="6" t="n">
        <f aca="false">Sens!J5446</f>
        <v>154.932702785465</v>
      </c>
      <c r="K5471" s="6" t="n">
        <f aca="false">Sens!K5446</f>
        <v>165.777991980448</v>
      </c>
    </row>
    <row r="5472" customFormat="false" ht="17.15" hidden="false" customHeight="false" outlineLevel="0" collapsed="false">
      <c r="A5472" s="0" t="s">
        <v>894</v>
      </c>
      <c r="B5472" s="0" t="s">
        <v>98</v>
      </c>
      <c r="D5472" s="6" t="n">
        <f aca="false">Sens!D5445</f>
        <v>0.9</v>
      </c>
      <c r="E5472" s="6" t="n">
        <f aca="false">Sens!E5445</f>
        <v>5.25</v>
      </c>
      <c r="F5472" s="6" t="n">
        <f aca="false">Sens!F5445</f>
        <v>10.5</v>
      </c>
      <c r="G5472" s="6" t="n">
        <f aca="false">Sens!G5445</f>
        <v>13.5</v>
      </c>
      <c r="H5472" s="6" t="n">
        <f aca="false">Sens!H5445</f>
        <v>16.5</v>
      </c>
      <c r="I5472" s="6" t="n">
        <f aca="false">Sens!I5445</f>
        <v>18.75</v>
      </c>
      <c r="J5472" s="6" t="n">
        <f aca="false">Sens!J5445</f>
        <v>20.25</v>
      </c>
      <c r="K5472" s="6" t="n">
        <f aca="false">Sens!K5445</f>
        <v>21.75</v>
      </c>
    </row>
    <row r="5473" customFormat="false" ht="15" hidden="false" customHeight="false" outlineLevel="0" collapsed="false">
      <c r="A5473" s="0" t="s">
        <v>874</v>
      </c>
      <c r="B5473" s="0" t="s">
        <v>98</v>
      </c>
      <c r="D5473" s="6" t="n">
        <f aca="false">Sens!D5449</f>
        <v>35.391</v>
      </c>
      <c r="E5473" s="6" t="n">
        <f aca="false">Sens!E5449</f>
        <v>37.285</v>
      </c>
      <c r="F5473" s="6" t="n">
        <f aca="false">Sens!F5449</f>
        <v>39.0720834331704</v>
      </c>
      <c r="G5473" s="6" t="n">
        <f aca="false">Sens!G5449</f>
        <v>40.726562953769</v>
      </c>
      <c r="H5473" s="6" t="n">
        <f aca="false">Sens!H5449</f>
        <v>42.2235987259198</v>
      </c>
      <c r="I5473" s="6" t="n">
        <f aca="false">Sens!I5449</f>
        <v>43.5397988077414</v>
      </c>
      <c r="J5473" s="6" t="n">
        <f aca="false">Sens!J5449</f>
        <v>44.653811225693</v>
      </c>
      <c r="K5473" s="6" t="n">
        <f aca="false">Sens!K5449</f>
        <v>45.5468874502068</v>
      </c>
    </row>
    <row r="5474" customFormat="false" ht="15" hidden="false" customHeight="false" outlineLevel="0" collapsed="false">
      <c r="A5474" s="0" t="s">
        <v>875</v>
      </c>
      <c r="B5474" s="0" t="s">
        <v>98</v>
      </c>
      <c r="D5474" s="6" t="n">
        <f aca="false">Sens!D5451</f>
        <v>18.417</v>
      </c>
      <c r="E5474" s="6" t="n">
        <f aca="false">Sens!E5451</f>
        <v>20.345</v>
      </c>
      <c r="F5474" s="6" t="n">
        <f aca="false">Sens!F5451</f>
        <v>22.3572203267814</v>
      </c>
      <c r="G5474" s="6" t="n">
        <f aca="false">Sens!G5451</f>
        <v>24.4392124437232</v>
      </c>
      <c r="H5474" s="6" t="n">
        <f aca="false">Sens!H5451</f>
        <v>26.5738052080665</v>
      </c>
      <c r="I5474" s="6" t="n">
        <f aca="false">Sens!I5451</f>
        <v>28.7412169166967</v>
      </c>
      <c r="J5474" s="6" t="n">
        <f aca="false">Sens!J5451</f>
        <v>30.9192545395413</v>
      </c>
      <c r="K5474" s="6" t="n">
        <f aca="false">Sens!K5451</f>
        <v>33.0836023573092</v>
      </c>
    </row>
    <row r="5475" customFormat="false" ht="15" hidden="false" customHeight="false" outlineLevel="0" collapsed="false">
      <c r="A5475" s="0" t="s">
        <v>876</v>
      </c>
      <c r="B5475" s="0" t="s">
        <v>98</v>
      </c>
      <c r="D5475" s="6" t="n">
        <f aca="false">Sens!D5453</f>
        <v>7.76</v>
      </c>
      <c r="E5475" s="6" t="n">
        <f aca="false">Sens!E5453</f>
        <v>8.26</v>
      </c>
      <c r="F5475" s="6" t="n">
        <f aca="false">Sens!F5453</f>
        <v>8.79988041237113</v>
      </c>
      <c r="G5475" s="6" t="n">
        <f aca="false">Sens!G5453</f>
        <v>9.38321269125306</v>
      </c>
      <c r="H5475" s="6" t="n">
        <f aca="false">Sens!H5453</f>
        <v>10.0139193587476</v>
      </c>
      <c r="I5475" s="6" t="n">
        <f aca="false">Sens!I5453</f>
        <v>10.6963111830911</v>
      </c>
      <c r="J5475" s="6" t="n">
        <f aca="false">Sens!J5453</f>
        <v>11.4351285534696</v>
      </c>
      <c r="K5475" s="6" t="n">
        <f aca="false">Sens!K5453</f>
        <v>12.2355875522124</v>
      </c>
    </row>
    <row r="5476" customFormat="false" ht="15" hidden="false" customHeight="false" outlineLevel="0" collapsed="false">
      <c r="A5476" s="0" t="s">
        <v>704</v>
      </c>
      <c r="B5476" s="0" t="s">
        <v>98</v>
      </c>
      <c r="D5476" s="6" t="n">
        <f aca="false">Sens!D5455</f>
        <v>218.783</v>
      </c>
      <c r="E5476" s="6" t="n">
        <f aca="false">Sens!E5455</f>
        <v>268.127</v>
      </c>
      <c r="F5476" s="6" t="n">
        <f aca="false">Sens!F5455</f>
        <v>332.765528251508</v>
      </c>
      <c r="G5476" s="6" t="n">
        <f aca="false">Sens!G5455</f>
        <v>403.572123059793</v>
      </c>
      <c r="H5476" s="6" t="n">
        <f aca="false">Sens!H5455</f>
        <v>475.696296004025</v>
      </c>
      <c r="I5476" s="6" t="n">
        <f aca="false">Sens!I5455</f>
        <v>542.153517626826</v>
      </c>
      <c r="J5476" s="6" t="n">
        <f aca="false">Sens!J5455</f>
        <v>596.20432414427</v>
      </c>
      <c r="K5476" s="6" t="n">
        <f aca="false">Sens!K5455</f>
        <v>638.491547813062</v>
      </c>
    </row>
    <row r="5477" customFormat="false" ht="15" hidden="false" customHeight="false" outlineLevel="0" collapsed="false">
      <c r="A5477" s="0" t="s">
        <v>877</v>
      </c>
      <c r="B5477" s="0" t="s">
        <v>98</v>
      </c>
      <c r="D5477" s="6" t="n">
        <f aca="false">Sens!D5456</f>
        <v>22.171</v>
      </c>
      <c r="E5477" s="6" t="n">
        <f aca="false">Sens!E5456</f>
        <v>24.835</v>
      </c>
      <c r="F5477" s="6" t="n">
        <f aca="false">Sens!F5456</f>
        <v>27.6114901218559</v>
      </c>
      <c r="G5477" s="6" t="n">
        <f aca="false">Sens!G5456</f>
        <v>30.4675667338515</v>
      </c>
      <c r="H5477" s="6" t="n">
        <f aca="false">Sens!H5456</f>
        <v>33.3643766955789</v>
      </c>
      <c r="I5477" s="6" t="n">
        <f aca="false">Sens!I5456</f>
        <v>36.2577016533691</v>
      </c>
      <c r="J5477" s="6" t="n">
        <f aca="false">Sens!J5456</f>
        <v>39.0988367952171</v>
      </c>
      <c r="K5477" s="6" t="n">
        <f aca="false">Sens!K5456</f>
        <v>41.8357553708823</v>
      </c>
    </row>
    <row r="5478" customFormat="false" ht="15" hidden="false" customHeight="false" outlineLevel="0" collapsed="false">
      <c r="A5478" s="0" t="s">
        <v>878</v>
      </c>
      <c r="B5478" s="0" t="s">
        <v>98</v>
      </c>
      <c r="D5478" s="6" t="n">
        <f aca="false">Sens!D5458</f>
        <v>23.455</v>
      </c>
      <c r="E5478" s="6" t="n">
        <f aca="false">Sens!E5458</f>
        <v>21.79</v>
      </c>
      <c r="F5478" s="6" t="n">
        <f aca="false">Sens!F5458</f>
        <v>20.5736277908051</v>
      </c>
      <c r="G5478" s="6" t="n">
        <f aca="false">Sens!G5458</f>
        <v>19.7371452817919</v>
      </c>
      <c r="H5478" s="6" t="n">
        <f aca="false">Sens!H5458</f>
        <v>19.2339764043138</v>
      </c>
      <c r="I5478" s="6" t="n">
        <f aca="false">Sens!I5458</f>
        <v>19.0353086852681</v>
      </c>
      <c r="J5478" s="6" t="n">
        <f aca="false">Sens!J5458</f>
        <v>19.1273539319129</v>
      </c>
      <c r="K5478" s="6" t="n">
        <f aca="false">Sens!K5458</f>
        <v>19.5099010105511</v>
      </c>
    </row>
    <row r="5479" customFormat="false" ht="15" hidden="false" customHeight="false" outlineLevel="0" collapsed="false">
      <c r="A5479" s="0" t="s">
        <v>879</v>
      </c>
      <c r="B5479" s="0" t="s">
        <v>98</v>
      </c>
      <c r="D5479" s="6" t="n">
        <f aca="false">Sens!D5460</f>
        <v>17.315</v>
      </c>
      <c r="E5479" s="6" t="n">
        <f aca="false">Sens!E5460</f>
        <v>17.087</v>
      </c>
      <c r="F5479" s="6" t="n">
        <f aca="false">Sens!F5460</f>
        <v>16.9564585436519</v>
      </c>
      <c r="G5479" s="6" t="n">
        <f aca="false">Sens!G5460</f>
        <v>16.9206490624268</v>
      </c>
      <c r="H5479" s="6" t="n">
        <f aca="false">Sens!H5460</f>
        <v>16.9784519149849</v>
      </c>
      <c r="I5479" s="6" t="n">
        <f aca="false">Sens!I5460</f>
        <v>17.1303084701817</v>
      </c>
      <c r="J5479" s="6" t="n">
        <f aca="false">Sens!J5460</f>
        <v>17.3782189407267</v>
      </c>
      <c r="K5479" s="6" t="n">
        <f aca="false">Sens!K5460</f>
        <v>17.7257833195413</v>
      </c>
    </row>
    <row r="5480" customFormat="false" ht="15" hidden="false" customHeight="false" outlineLevel="0" collapsed="false">
      <c r="A5480" s="0" t="s">
        <v>718</v>
      </c>
      <c r="B5480" s="0" t="s">
        <v>98</v>
      </c>
      <c r="D5480" s="6" t="n">
        <f aca="false">Sens!D5462</f>
        <v>62.941</v>
      </c>
      <c r="E5480" s="6" t="n">
        <f aca="false">Sens!E5462</f>
        <v>63.712</v>
      </c>
      <c r="F5480" s="6" t="n">
        <f aca="false">Sens!F5462</f>
        <v>65.1415764563129</v>
      </c>
      <c r="G5480" s="6" t="n">
        <f aca="false">Sens!G5462</f>
        <v>67.1253610780702</v>
      </c>
      <c r="H5480" s="6" t="n">
        <f aca="false">Sens!H5462</f>
        <v>69.5768050148776</v>
      </c>
      <c r="I5480" s="6" t="n">
        <f aca="false">Sens!I5462</f>
        <v>72.4233188088189</v>
      </c>
      <c r="J5480" s="6" t="n">
        <f aca="false">Sens!J5462</f>
        <v>75.6044096678567</v>
      </c>
      <c r="K5480" s="6" t="n">
        <f aca="false">Sens!K5462</f>
        <v>79.0714397009747</v>
      </c>
    </row>
    <row r="5481" customFormat="false" ht="15" hidden="false" customHeight="false" outlineLevel="0" collapsed="false">
      <c r="A5481" s="1" t="s">
        <v>895</v>
      </c>
      <c r="B5481" s="0" t="s">
        <v>98</v>
      </c>
      <c r="D5481" s="6" t="n">
        <f aca="false">Sens!D5463</f>
        <v>281.724</v>
      </c>
      <c r="E5481" s="6" t="n">
        <f aca="false">Sens!E5463</f>
        <v>331.839</v>
      </c>
      <c r="F5481" s="6" t="n">
        <f aca="false">Sens!F5463</f>
        <v>397.907104707821</v>
      </c>
      <c r="G5481" s="6" t="n">
        <f aca="false">Sens!G5463</f>
        <v>470.697484137863</v>
      </c>
      <c r="H5481" s="6" t="n">
        <f aca="false">Sens!H5463</f>
        <v>545.273101018903</v>
      </c>
      <c r="I5481" s="6" t="n">
        <f aca="false">Sens!I5463</f>
        <v>614.576836435645</v>
      </c>
      <c r="J5481" s="6" t="n">
        <f aca="false">Sens!J5463</f>
        <v>671.808733812127</v>
      </c>
      <c r="K5481" s="6" t="n">
        <f aca="false">Sens!K5463</f>
        <v>717.562987514037</v>
      </c>
    </row>
    <row r="5482" customFormat="false" ht="15" hidden="false" customHeight="false" outlineLevel="0" collapsed="false">
      <c r="A5482" s="1" t="s">
        <v>896</v>
      </c>
      <c r="B5482" s="0" t="s">
        <v>129</v>
      </c>
      <c r="E5482" s="7" t="n">
        <f aca="false">Sens!E5481/Sens!D5481-1</f>
        <v>0.177886867998467</v>
      </c>
      <c r="F5482" s="7" t="n">
        <f aca="false">Sens!F5481/Sens!E5481-1</f>
        <v>0.199096865370919</v>
      </c>
      <c r="G5482" s="7" t="n">
        <f aca="false">Sens!G5481/Sens!F5481-1</f>
        <v>0.182933098124729</v>
      </c>
      <c r="H5482" s="7" t="n">
        <f aca="false">Sens!H5481/Sens!G5481-1</f>
        <v>0.158436404260017</v>
      </c>
      <c r="I5482" s="7" t="n">
        <f aca="false">Sens!I5481/Sens!H5481-1</f>
        <v>0.127099127551387</v>
      </c>
      <c r="J5482" s="7" t="n">
        <f aca="false">Sens!J5481/Sens!I5481-1</f>
        <v>0.0931240716920112</v>
      </c>
      <c r="K5482" s="7" t="n">
        <f aca="false">Sens!K5481/Sens!J5481-1</f>
        <v>0.0681060715633759</v>
      </c>
    </row>
    <row r="5483" customFormat="false" ht="17.15" hidden="false" customHeight="false" outlineLevel="0" collapsed="false">
      <c r="A5483" s="23" t="s">
        <v>897</v>
      </c>
      <c r="B5483" s="30" t="s">
        <v>98</v>
      </c>
      <c r="C5483" s="30"/>
      <c r="D5483" s="24" t="n">
        <f aca="false">(Sens!D5476+Sens!D5480-Sens!D5481)+(Sens!D5468+Sens!D5469-Sens!D5467)+(Sens!D5471+Sens!D5472-Sens!D5470)+(Sens!D5481-Q!L18)</f>
        <v>0</v>
      </c>
      <c r="E5483" s="24" t="n">
        <f aca="false">(Sens!E5476+Sens!E5480-Sens!E5481)+(Sens!E5468+Sens!E5469-Sens!E5467)+(Sens!E5471+Sens!E5472-Sens!E5470)+(Sens!E5481-Q!M18)</f>
        <v>0</v>
      </c>
      <c r="F5483" s="24" t="n">
        <f aca="false">(Sens!F5476+Sens!F5480-Sens!F5481)+(Sens!F5468+Sens!F5469-Sens!F5467)+(Sens!F5471+Sens!F5472-Sens!F5470)</f>
        <v>0</v>
      </c>
      <c r="G5483" s="24" t="n">
        <f aca="false">(Sens!G5476+Sens!G5480-Sens!G5481)+(Sens!G5468+Sens!G5469-Sens!G5467)+(Sens!G5471+Sens!G5472-Sens!G5470)</f>
        <v>0</v>
      </c>
      <c r="H5483" s="24" t="n">
        <f aca="false">(Sens!H5476+Sens!H5480-Sens!H5481)+(Sens!H5468+Sens!H5469-Sens!H5467)+(Sens!H5471+Sens!H5472-Sens!H5470)</f>
        <v>0</v>
      </c>
      <c r="I5483" s="24" t="n">
        <f aca="false">(Sens!I5476+Sens!I5480-Sens!I5481)+(Sens!I5468+Sens!I5469-Sens!I5467)+(Sens!I5471+Sens!I5472-Sens!I5470)</f>
        <v>0</v>
      </c>
      <c r="J5483" s="24" t="n">
        <f aca="false">(Sens!J5476+Sens!J5480-Sens!J5481)+(Sens!J5468+Sens!J5469-Sens!J5467)+(Sens!J5471+Sens!J5472-Sens!J5470)</f>
        <v>0</v>
      </c>
      <c r="K5483" s="24" t="n">
        <f aca="false">(Sens!K5476+Sens!K5480-Sens!K5481)+(Sens!K5468+Sens!K5469-Sens!K5467)+(Sens!K5471+Sens!K5472-Sens!K5470)</f>
        <v>0</v>
      </c>
    </row>
    <row r="5484" customFormat="false" ht="17.15" hidden="false" customHeight="false" outlineLevel="0" collapsed="false">
      <c r="A5484" s="0" t="s">
        <v>898</v>
      </c>
      <c r="B5484" s="0" t="s">
        <v>129</v>
      </c>
      <c r="E5484" s="7" t="n">
        <f aca="false">(Q!M21+Sens!E5421+Sens!E5422+Sens!E5423+Sens!E5436-Sens!E5419)/(Q!M5-Sens!E5419)</f>
        <v>0.570957350878296</v>
      </c>
      <c r="F5484" s="7" t="n">
        <f aca="false">Sens!$E$5484+dm_seg</f>
        <v>0.570957350878296</v>
      </c>
      <c r="G5484" s="7" t="n">
        <f aca="false">Sens!$E$5484+dm_seg</f>
        <v>0.570957350878296</v>
      </c>
      <c r="H5484" s="7" t="n">
        <f aca="false">Sens!$E$5484+dm_seg</f>
        <v>0.570957350878296</v>
      </c>
      <c r="I5484" s="7" t="n">
        <f aca="false">Sens!$E$5484+dm_seg</f>
        <v>0.570957350878296</v>
      </c>
      <c r="J5484" s="7" t="n">
        <f aca="false">Sens!$E$5484+dm_seg</f>
        <v>0.570957350878296</v>
      </c>
      <c r="K5484" s="7" t="n">
        <f aca="false">Sens!$E$5484+dm_seg</f>
        <v>0.570957350878296</v>
      </c>
      <c r="L5484" s="11" t="s">
        <v>899</v>
      </c>
    </row>
    <row r="5485" customFormat="false" ht="17.15" hidden="false" customHeight="false" outlineLevel="0" collapsed="false">
      <c r="A5485" s="0" t="s">
        <v>732</v>
      </c>
      <c r="B5485" s="0" t="s">
        <v>98</v>
      </c>
      <c r="D5485" s="6" t="n">
        <f aca="false">Q!L21</f>
        <v>110.814</v>
      </c>
      <c r="E5485" s="6" t="n">
        <f aca="false">Q!M21</f>
        <v>136.365</v>
      </c>
      <c r="F5485" s="6" t="n">
        <f aca="false">Sens!F5484*(Sens!F5455-Sens!F5419)+Sens!F5419-(Sens!F5421+Sens!F5422+Sens!F5423)-Sens!F5436</f>
        <v>156.729199894128</v>
      </c>
      <c r="G5485" s="6" t="n">
        <f aca="false">Sens!G5484*(Sens!G5455-Sens!G5419)+Sens!G5419-(Sens!G5421+Sens!G5422+Sens!G5423)-Sens!G5436</f>
        <v>174.586416287694</v>
      </c>
      <c r="H5485" s="6" t="n">
        <f aca="false">Sens!H5484*(Sens!H5455-Sens!H5419)+Sens!H5419-(Sens!H5421+Sens!H5422+Sens!H5423)-Sens!H5436</f>
        <v>192.515374457039</v>
      </c>
      <c r="I5485" s="6" t="n">
        <f aca="false">Sens!I5484*(Sens!I5455-Sens!I5419)+Sens!I5419-(Sens!I5421+Sens!I5422+Sens!I5423)-Sens!I5436</f>
        <v>209.953913606916</v>
      </c>
      <c r="J5485" s="6" t="n">
        <f aca="false">Sens!J5484*(Sens!J5455-Sens!J5419)+Sens!J5419-(Sens!J5421+Sens!J5422+Sens!J5423)-Sens!J5436</f>
        <v>226.450299329391</v>
      </c>
      <c r="K5485" s="6" t="n">
        <f aca="false">Sens!K5484*(Sens!K5455-Sens!K5419)+Sens!K5419-(Sens!K5421+Sens!K5422+Sens!K5423)-Sens!K5436</f>
        <v>242.458910410276</v>
      </c>
      <c r="L5485" s="1" t="s">
        <v>900</v>
      </c>
    </row>
    <row r="5486" customFormat="false" ht="17.15" hidden="false" customHeight="false" outlineLevel="0" collapsed="false">
      <c r="A5486" s="0" t="s">
        <v>901</v>
      </c>
      <c r="B5486" s="0" t="s">
        <v>129</v>
      </c>
      <c r="E5486" s="7" t="n">
        <f aca="false">Q!M22/Q!M12</f>
        <v>0.296207935710698</v>
      </c>
      <c r="F5486" s="7" t="n">
        <f aca="false">Sens!$E$5486+dm_seg</f>
        <v>0.296207935710698</v>
      </c>
      <c r="G5486" s="7" t="n">
        <f aca="false">Sens!$E$5486+dm_seg</f>
        <v>0.296207935710698</v>
      </c>
      <c r="H5486" s="7" t="n">
        <f aca="false">Sens!$E$5486+dm_seg</f>
        <v>0.296207935710698</v>
      </c>
      <c r="I5486" s="7" t="n">
        <f aca="false">Sens!$E$5486+dm_seg</f>
        <v>0.296207935710698</v>
      </c>
      <c r="J5486" s="7" t="n">
        <f aca="false">Sens!$E$5486+dm_seg</f>
        <v>0.296207935710698</v>
      </c>
      <c r="K5486" s="7" t="n">
        <f aca="false">Sens!$E$5486+dm_seg</f>
        <v>0.296207935710698</v>
      </c>
      <c r="L5486" s="11" t="s">
        <v>902</v>
      </c>
    </row>
    <row r="5487" customFormat="false" ht="17.15" hidden="false" customHeight="false" outlineLevel="0" collapsed="false">
      <c r="A5487" s="0" t="s">
        <v>734</v>
      </c>
      <c r="B5487" s="0" t="s">
        <v>98</v>
      </c>
      <c r="D5487" s="6" t="n">
        <f aca="false">Q!L22</f>
        <v>17.714</v>
      </c>
      <c r="E5487" s="6" t="n">
        <f aca="false">Q!M22</f>
        <v>18.872</v>
      </c>
      <c r="F5487" s="6" t="n">
        <f aca="false">Sens!F5462*Sens!F5486</f>
        <v>19.2954518910651</v>
      </c>
      <c r="G5487" s="6" t="n">
        <f aca="false">Sens!G5462*Sens!G5486</f>
        <v>19.8830646387704</v>
      </c>
      <c r="H5487" s="6" t="n">
        <f aca="false">Sens!H5462*Sens!H5486</f>
        <v>20.6092017868026</v>
      </c>
      <c r="I5487" s="6" t="n">
        <f aca="false">Sens!I5462*Sens!I5486</f>
        <v>21.452361761678</v>
      </c>
      <c r="J5487" s="6" t="n">
        <f aca="false">Sens!J5462*Sens!J5486</f>
        <v>22.3946261183418</v>
      </c>
      <c r="K5487" s="6" t="n">
        <f aca="false">Sens!K5462*Sens!K5486</f>
        <v>23.4215879274986</v>
      </c>
    </row>
    <row r="5488" customFormat="false" ht="15" hidden="false" customHeight="false" outlineLevel="0" collapsed="false">
      <c r="A5488" s="1" t="s">
        <v>903</v>
      </c>
      <c r="B5488" s="0" t="s">
        <v>98</v>
      </c>
      <c r="D5488" s="6" t="n">
        <f aca="false">Sens!D5485+Sens!D5487</f>
        <v>128.528</v>
      </c>
      <c r="E5488" s="6" t="n">
        <f aca="false">Sens!E5485+Sens!E5487</f>
        <v>155.237</v>
      </c>
      <c r="F5488" s="6" t="n">
        <f aca="false">Sens!F5485+Sens!F5487</f>
        <v>176.024651785194</v>
      </c>
      <c r="G5488" s="6" t="n">
        <f aca="false">Sens!G5485+Sens!G5487</f>
        <v>194.469480926464</v>
      </c>
      <c r="H5488" s="6" t="n">
        <f aca="false">Sens!H5485+Sens!H5487</f>
        <v>213.124576243841</v>
      </c>
      <c r="I5488" s="6" t="n">
        <f aca="false">Sens!I5485+Sens!I5487</f>
        <v>231.406275368594</v>
      </c>
      <c r="J5488" s="6" t="n">
        <f aca="false">Sens!J5485+Sens!J5487</f>
        <v>248.844925447733</v>
      </c>
      <c r="K5488" s="6" t="n">
        <f aca="false">Sens!K5485+Sens!K5487</f>
        <v>265.880498337774</v>
      </c>
    </row>
    <row r="5489" customFormat="false" ht="15" hidden="false" customHeight="false" outlineLevel="0" collapsed="false">
      <c r="A5489" s="23" t="s">
        <v>904</v>
      </c>
      <c r="B5489" s="30" t="s">
        <v>98</v>
      </c>
      <c r="C5489" s="30"/>
      <c r="D5489" s="24" t="n">
        <f aca="false">Sens!D5488-Q!L23</f>
        <v>0</v>
      </c>
      <c r="E5489" s="24" t="n">
        <f aca="false">Sens!E5488-Q!M23</f>
        <v>0</v>
      </c>
      <c r="F5489" s="30"/>
      <c r="G5489" s="30"/>
      <c r="H5489" s="30"/>
      <c r="I5489" s="30"/>
      <c r="J5489" s="30"/>
      <c r="K5489" s="30"/>
    </row>
    <row r="5490" customFormat="false" ht="15" hidden="false" customHeight="false" outlineLevel="0" collapsed="false">
      <c r="A5490" s="1" t="s">
        <v>905</v>
      </c>
      <c r="B5490" s="0" t="s">
        <v>129</v>
      </c>
      <c r="D5490" s="7" t="n">
        <f aca="false">Sens!D5488/Sens!D5481</f>
        <v>0.456219562408598</v>
      </c>
      <c r="E5490" s="7" t="n">
        <f aca="false">Sens!E5488/Sens!E5481</f>
        <v>0.467808184089272</v>
      </c>
      <c r="F5490" s="7" t="n">
        <f aca="false">Sens!F5488/Sens!F5481</f>
        <v>0.442376247376751</v>
      </c>
      <c r="G5490" s="7" t="n">
        <f aca="false">Sens!G5488/Sens!G5481</f>
        <v>0.413151732227033</v>
      </c>
      <c r="H5490" s="7" t="n">
        <f aca="false">Sens!H5488/Sens!H5481</f>
        <v>0.390858408099711</v>
      </c>
      <c r="I5490" s="7" t="n">
        <f aca="false">Sens!I5488/Sens!I5481</f>
        <v>0.376529445383395</v>
      </c>
      <c r="J5490" s="7" t="n">
        <f aca="false">Sens!J5488/Sens!J5481</f>
        <v>0.370410375637246</v>
      </c>
      <c r="K5490" s="7" t="n">
        <f aca="false">Sens!K5488/Sens!K5481</f>
        <v>0.370532626353688</v>
      </c>
    </row>
    <row r="5491" customFormat="false" ht="17.15" hidden="false" customHeight="false" outlineLevel="0" collapsed="false">
      <c r="A5491" s="1" t="s">
        <v>906</v>
      </c>
      <c r="B5491" s="0" t="s">
        <v>98</v>
      </c>
      <c r="F5491" s="6" t="n">
        <f aca="false">Sens!F5506</f>
        <v>20.7922544923746</v>
      </c>
      <c r="G5491" s="6" t="n">
        <f aca="false">Sens!G5506</f>
        <v>37.7052575228648</v>
      </c>
      <c r="H5491" s="6" t="n">
        <f aca="false">Sens!H5506</f>
        <v>55.9707166463052</v>
      </c>
      <c r="I5491" s="6" t="n">
        <f aca="false">Sens!I5506</f>
        <v>72.386177414753</v>
      </c>
      <c r="J5491" s="6" t="n">
        <f aca="false">Sens!J5506</f>
        <v>83.8561542203386</v>
      </c>
      <c r="K5491" s="6" t="n">
        <f aca="false">Sens!K5506</f>
        <v>90.6046701138278</v>
      </c>
      <c r="L5491" s="1" t="s">
        <v>907</v>
      </c>
    </row>
    <row r="5492" customFormat="false" ht="17.15" hidden="false" customHeight="false" outlineLevel="0" collapsed="false">
      <c r="A5492" s="1" t="s">
        <v>908</v>
      </c>
      <c r="B5492" s="0" t="s">
        <v>98</v>
      </c>
      <c r="D5492" s="6" t="n">
        <f aca="false">Sens!D5488</f>
        <v>128.528</v>
      </c>
      <c r="E5492" s="6" t="n">
        <f aca="false">Sens!E5488</f>
        <v>155.237</v>
      </c>
      <c r="F5492" s="6" t="n">
        <f aca="false">Sens!F5488+Sens!F5491</f>
        <v>196.816906277568</v>
      </c>
      <c r="G5492" s="6" t="n">
        <f aca="false">Sens!G5488+Sens!G5491</f>
        <v>232.174738449329</v>
      </c>
      <c r="H5492" s="6" t="n">
        <f aca="false">Sens!H5488+Sens!H5491</f>
        <v>269.095292890146</v>
      </c>
      <c r="I5492" s="6" t="n">
        <f aca="false">Sens!I5488+Sens!I5491</f>
        <v>303.792452783347</v>
      </c>
      <c r="J5492" s="6" t="n">
        <f aca="false">Sens!J5488+Sens!J5491</f>
        <v>332.701079668071</v>
      </c>
      <c r="K5492" s="6" t="n">
        <f aca="false">Sens!K5488+Sens!K5491</f>
        <v>356.485168451602</v>
      </c>
    </row>
    <row r="5493" customFormat="false" ht="17.15" hidden="false" customHeight="false" outlineLevel="0" collapsed="false">
      <c r="A5493" s="1" t="s">
        <v>909</v>
      </c>
      <c r="B5493" s="0" t="s">
        <v>98</v>
      </c>
      <c r="E5493" s="6" t="n">
        <f aca="false">Sens!E5436</f>
        <v>16.3054059770833</v>
      </c>
      <c r="F5493" s="6" t="n">
        <f aca="false">Sens!F5436</f>
        <v>34.7530354558698</v>
      </c>
      <c r="G5493" s="6" t="n">
        <f aca="false">Sens!G5436</f>
        <v>60.5317332603396</v>
      </c>
      <c r="H5493" s="6" t="n">
        <f aca="false">Sens!H5436</f>
        <v>87.7673159931396</v>
      </c>
      <c r="I5493" s="6" t="n">
        <f aca="false">Sens!I5436</f>
        <v>112.012039982221</v>
      </c>
      <c r="J5493" s="6" t="n">
        <f aca="false">Sens!J5436</f>
        <v>129.208710922666</v>
      </c>
      <c r="K5493" s="6" t="n">
        <f aca="false">Sens!K5436</f>
        <v>139.672646804474</v>
      </c>
    </row>
    <row r="5494" customFormat="false" ht="17.15" hidden="false" customHeight="false" outlineLevel="0" collapsed="false">
      <c r="A5494" s="1" t="s">
        <v>910</v>
      </c>
      <c r="B5494" s="0" t="s">
        <v>98</v>
      </c>
      <c r="E5494" s="6" t="n">
        <f aca="false">Sens!E5518</f>
        <v>22.2285940229167</v>
      </c>
      <c r="F5494" s="6" t="n">
        <f aca="false">Sens!F5518</f>
        <v>23.5486693435813</v>
      </c>
      <c r="G5494" s="6" t="n">
        <f aca="false">Sens!G5518</f>
        <v>25.264091766262</v>
      </c>
      <c r="H5494" s="6" t="n">
        <f aca="false">Sens!H5518</f>
        <v>27.3438339540448</v>
      </c>
      <c r="I5494" s="6" t="n">
        <f aca="false">Sens!I5518</f>
        <v>29.7317905898047</v>
      </c>
      <c r="J5494" s="6" t="n">
        <f aca="false">Sens!J5518</f>
        <v>32.3542028558616</v>
      </c>
      <c r="K5494" s="6" t="n">
        <f aca="false">Sens!K5518</f>
        <v>35.1281528444749</v>
      </c>
    </row>
    <row r="5495" customFormat="false" ht="17.15" hidden="false" customHeight="false" outlineLevel="0" collapsed="false">
      <c r="A5495" s="1" t="s">
        <v>911</v>
      </c>
      <c r="B5495" s="0" t="s">
        <v>98</v>
      </c>
      <c r="D5495" s="6" t="n">
        <f aca="false">Q!L27</f>
        <v>-4.901</v>
      </c>
      <c r="E5495" s="6" t="n">
        <f aca="false">Q!M27</f>
        <v>10.697</v>
      </c>
      <c r="F5495" s="6" t="n">
        <f aca="false">oie_f</f>
        <v>-0.4</v>
      </c>
      <c r="G5495" s="6" t="n">
        <f aca="false">oie_f</f>
        <v>-0.4</v>
      </c>
      <c r="H5495" s="6" t="n">
        <f aca="false">oie_f</f>
        <v>-0.4</v>
      </c>
      <c r="I5495" s="6" t="n">
        <f aca="false">oie_f</f>
        <v>-0.4</v>
      </c>
      <c r="J5495" s="6" t="n">
        <f aca="false">oie_f</f>
        <v>-0.4</v>
      </c>
      <c r="K5495" s="6" t="n">
        <f aca="false">oie_f</f>
        <v>-0.4</v>
      </c>
      <c r="L5495" s="11" t="s">
        <v>912</v>
      </c>
    </row>
    <row r="5496" customFormat="false" ht="15" hidden="false" customHeight="false" outlineLevel="0" collapsed="false">
      <c r="A5496" s="1" t="s">
        <v>913</v>
      </c>
      <c r="B5496" s="0" t="s">
        <v>98</v>
      </c>
      <c r="D5496" s="6" t="n">
        <f aca="false">Sens!D5488+Sens!D5495</f>
        <v>123.627</v>
      </c>
      <c r="E5496" s="6" t="n">
        <f aca="false">Sens!E5488+Sens!E5495</f>
        <v>165.934</v>
      </c>
      <c r="F5496" s="6" t="n">
        <f aca="false">Sens!F5488+Sens!F5495</f>
        <v>175.624651785194</v>
      </c>
      <c r="G5496" s="6" t="n">
        <f aca="false">Sens!G5488+Sens!G5495</f>
        <v>194.069480926464</v>
      </c>
      <c r="H5496" s="6" t="n">
        <f aca="false">Sens!H5488+Sens!H5495</f>
        <v>212.724576243841</v>
      </c>
      <c r="I5496" s="6" t="n">
        <f aca="false">Sens!I5488+Sens!I5495</f>
        <v>231.006275368594</v>
      </c>
      <c r="J5496" s="6" t="n">
        <f aca="false">Sens!J5488+Sens!J5495</f>
        <v>248.444925447733</v>
      </c>
      <c r="K5496" s="6" t="n">
        <f aca="false">Sens!K5488+Sens!K5495</f>
        <v>265.480498337774</v>
      </c>
    </row>
    <row r="5497" customFormat="false" ht="15" hidden="false" customHeight="false" outlineLevel="0" collapsed="false">
      <c r="A5497" s="1" t="s">
        <v>914</v>
      </c>
      <c r="B5497" s="0" t="s">
        <v>98</v>
      </c>
      <c r="D5497" s="6" t="n">
        <f aca="false">Q!L29</f>
        <v>21.795</v>
      </c>
      <c r="E5497" s="6" t="n">
        <f aca="false">Q!M29</f>
        <v>32.185</v>
      </c>
      <c r="F5497" s="6" t="n">
        <f aca="false">Sens!F5496*tax_f</f>
        <v>35.1249303570387</v>
      </c>
      <c r="G5497" s="6" t="n">
        <f aca="false">Sens!G5496*tax_f</f>
        <v>38.8138961852929</v>
      </c>
      <c r="H5497" s="6" t="n">
        <f aca="false">Sens!H5496*tax_f</f>
        <v>42.5449152487682</v>
      </c>
      <c r="I5497" s="6" t="n">
        <f aca="false">Sens!I5496*tax_f</f>
        <v>46.2012550737189</v>
      </c>
      <c r="J5497" s="6" t="n">
        <f aca="false">Sens!J5496*tax_f</f>
        <v>49.6889850895465</v>
      </c>
      <c r="K5497" s="6" t="n">
        <f aca="false">Sens!K5496*tax_f</f>
        <v>53.0960996675549</v>
      </c>
    </row>
    <row r="5498" customFormat="false" ht="15" hidden="false" customHeight="false" outlineLevel="0" collapsed="false">
      <c r="A5498" s="1" t="s">
        <v>915</v>
      </c>
      <c r="B5498" s="0" t="s">
        <v>98</v>
      </c>
      <c r="D5498" s="6" t="n">
        <f aca="false">Sens!D5496-Sens!D5497</f>
        <v>101.832</v>
      </c>
      <c r="E5498" s="6" t="n">
        <f aca="false">Sens!E5496-Sens!E5497</f>
        <v>133.749</v>
      </c>
      <c r="F5498" s="6" t="n">
        <f aca="false">Sens!F5496-Sens!F5497</f>
        <v>140.499721428155</v>
      </c>
      <c r="G5498" s="6" t="n">
        <f aca="false">Sens!G5496-Sens!G5497</f>
        <v>155.255584741171</v>
      </c>
      <c r="H5498" s="6" t="n">
        <f aca="false">Sens!H5496-Sens!H5497</f>
        <v>170.179660995073</v>
      </c>
      <c r="I5498" s="6" t="n">
        <f aca="false">Sens!I5496-Sens!I5497</f>
        <v>184.805020294876</v>
      </c>
      <c r="J5498" s="6" t="n">
        <f aca="false">Sens!J5496-Sens!J5497</f>
        <v>198.755940358186</v>
      </c>
      <c r="K5498" s="6" t="n">
        <f aca="false">Sens!K5496-Sens!K5497</f>
        <v>212.38439867022</v>
      </c>
    </row>
    <row r="5499" customFormat="false" ht="17.15" hidden="false" customHeight="false" outlineLevel="0" collapsed="false">
      <c r="A5499" s="1" t="s">
        <v>916</v>
      </c>
      <c r="B5499" s="1" t="s">
        <v>81</v>
      </c>
      <c r="D5499" s="14" t="n">
        <f aca="false">Q!L31</f>
        <v>7.465</v>
      </c>
      <c r="E5499" s="14" t="n">
        <f aca="false">Q!M31</f>
        <v>7.453</v>
      </c>
      <c r="F5499" s="14" t="n">
        <f aca="false">Sens!F5540</f>
        <v>7.4735</v>
      </c>
      <c r="G5499" s="14" t="n">
        <f aca="false">Sens!G5540</f>
        <v>7.5185</v>
      </c>
      <c r="H5499" s="14" t="n">
        <f aca="false">Sens!H5540</f>
        <v>7.54625158584995</v>
      </c>
      <c r="I5499" s="14" t="n">
        <f aca="false">Sens!I5540</f>
        <v>7.55803241785726</v>
      </c>
      <c r="J5499" s="14" t="n">
        <f aca="false">Sens!J5540</f>
        <v>7.57227392897515</v>
      </c>
      <c r="K5499" s="14" t="n">
        <f aca="false">Sens!K5540</f>
        <v>7.58879384667689</v>
      </c>
    </row>
    <row r="5500" customFormat="false" ht="17.15" hidden="false" customHeight="false" outlineLevel="0" collapsed="false">
      <c r="A5500" s="0" t="s">
        <v>917</v>
      </c>
      <c r="B5500" s="0" t="s">
        <v>75</v>
      </c>
      <c r="D5500" s="8" t="n">
        <f aca="false">Sens!D5498/Sens!D5499</f>
        <v>13.641259209645</v>
      </c>
      <c r="E5500" s="8" t="n">
        <f aca="false">Sens!E5498/Sens!E5499</f>
        <v>17.9456594659869</v>
      </c>
      <c r="F5500" s="8" t="n">
        <f aca="false">Sens!F5498/Sens!F5499</f>
        <v>18.7997218743768</v>
      </c>
      <c r="G5500" s="8" t="n">
        <f aca="false">Sens!G5498/Sens!G5499</f>
        <v>20.6498084380091</v>
      </c>
      <c r="H5500" s="8" t="n">
        <f aca="false">Sens!H5498/Sens!H5499</f>
        <v>22.5515488132119</v>
      </c>
      <c r="I5500" s="8" t="n">
        <f aca="false">Sens!I5498/Sens!I5499</f>
        <v>24.4514722982981</v>
      </c>
      <c r="J5500" s="8" t="n">
        <f aca="false">Sens!J5498/Sens!J5499</f>
        <v>26.2478539765513</v>
      </c>
      <c r="K5500" s="8" t="n">
        <f aca="false">Sens!K5498/Sens!K5499</f>
        <v>27.9865816572711</v>
      </c>
      <c r="L5500" s="1" t="s">
        <v>918</v>
      </c>
    </row>
    <row r="5501" customFormat="false" ht="17.15" hidden="false" customHeight="false" outlineLevel="0" collapsed="false">
      <c r="A5501" s="1" t="s">
        <v>919</v>
      </c>
      <c r="B5501" s="0" t="s">
        <v>98</v>
      </c>
      <c r="D5501" s="6" t="n">
        <f aca="false">Sens!D5498</f>
        <v>101.832</v>
      </c>
      <c r="E5501" s="6" t="n">
        <f aca="false">Sens!E5498</f>
        <v>133.749</v>
      </c>
      <c r="F5501" s="6" t="n">
        <f aca="false">Sens!F5498+Sens!F5491*(1-tax_f)</f>
        <v>157.133525022055</v>
      </c>
      <c r="G5501" s="6" t="n">
        <f aca="false">Sens!G5498+Sens!G5491*(1-tax_f)</f>
        <v>185.419790759463</v>
      </c>
      <c r="H5501" s="6" t="n">
        <f aca="false">Sens!H5498+Sens!H5491*(1-tax_f)</f>
        <v>214.956234312117</v>
      </c>
      <c r="I5501" s="6" t="n">
        <f aca="false">Sens!I5498+Sens!I5491*(1-tax_f)</f>
        <v>242.713962226678</v>
      </c>
      <c r="J5501" s="6" t="n">
        <f aca="false">Sens!J5498+Sens!J5491*(1-tax_f)</f>
        <v>265.840863734457</v>
      </c>
      <c r="K5501" s="6" t="n">
        <f aca="false">Sens!K5498+Sens!K5491*(1-tax_f)</f>
        <v>284.868134761282</v>
      </c>
    </row>
    <row r="5502" customFormat="false" ht="17.15" hidden="false" customHeight="false" outlineLevel="0" collapsed="false">
      <c r="A5502" s="0" t="s">
        <v>920</v>
      </c>
      <c r="B5502" s="0" t="s">
        <v>75</v>
      </c>
      <c r="D5502" s="8" t="n">
        <f aca="false">Sens!D5501/Sens!D5499</f>
        <v>13.641259209645</v>
      </c>
      <c r="E5502" s="8" t="n">
        <f aca="false">Sens!E5501/Sens!E5499</f>
        <v>17.9456594659869</v>
      </c>
      <c r="F5502" s="8" t="n">
        <f aca="false">Sens!F5501/Sens!F5499</f>
        <v>21.0254265099424</v>
      </c>
      <c r="G5502" s="8" t="n">
        <f aca="false">Sens!G5501/Sens!G5499</f>
        <v>24.661806312358</v>
      </c>
      <c r="H5502" s="8" t="n">
        <f aca="false">Sens!H5501/Sens!H5499</f>
        <v>28.4851666905969</v>
      </c>
      <c r="I5502" s="8" t="n">
        <f aca="false">Sens!I5501/Sens!I5499</f>
        <v>32.113379356937</v>
      </c>
      <c r="J5502" s="8" t="n">
        <f aca="false">Sens!J5501/Sens!J5499</f>
        <v>35.1071377274431</v>
      </c>
      <c r="K5502" s="8" t="n">
        <f aca="false">Sens!K5501/Sens!K5499</f>
        <v>37.5379988594663</v>
      </c>
      <c r="L5502" s="1" t="s">
        <v>921</v>
      </c>
    </row>
    <row r="5503" customFormat="false" ht="17.15" hidden="false" customHeight="false" outlineLevel="0" collapsed="false">
      <c r="A5503" s="0" t="s">
        <v>922</v>
      </c>
      <c r="B5503" s="0" t="s">
        <v>129</v>
      </c>
      <c r="E5503" s="7" t="n">
        <f aca="false">Sens!E5502/Sens!D5502-1</f>
        <v>0.315542736208578</v>
      </c>
      <c r="F5503" s="7" t="n">
        <f aca="false">Sens!F5502/Sens!E5502-1</f>
        <v>0.171616264634507</v>
      </c>
      <c r="G5503" s="7" t="n">
        <f aca="false">Sens!G5502/Sens!F5502-1</f>
        <v>0.172951535641667</v>
      </c>
      <c r="H5503" s="7" t="n">
        <f aca="false">Sens!H5502/Sens!G5502-1</f>
        <v>0.155031644065872</v>
      </c>
      <c r="I5503" s="7" t="n">
        <f aca="false">Sens!I5502/Sens!H5502-1</f>
        <v>0.127372000513438</v>
      </c>
      <c r="J5503" s="7" t="n">
        <f aca="false">Sens!J5502/Sens!I5502-1</f>
        <v>0.0932246443835998</v>
      </c>
      <c r="K5503" s="7" t="n">
        <f aca="false">Sens!K5502/Sens!J5502-1</f>
        <v>0.0692412224230692</v>
      </c>
    </row>
    <row r="5504" customFormat="false" ht="17.15" hidden="false" customHeight="false" outlineLevel="0" collapsed="false">
      <c r="A5504" s="0" t="s">
        <v>846</v>
      </c>
      <c r="B5504" s="0" t="s">
        <v>98</v>
      </c>
      <c r="E5504" s="6" t="n">
        <f aca="false">Sens!E5445</f>
        <v>5.25</v>
      </c>
      <c r="F5504" s="6" t="n">
        <f aca="false">Sens!F5445</f>
        <v>10.5</v>
      </c>
      <c r="G5504" s="6" t="n">
        <f aca="false">Sens!G5445</f>
        <v>13.5</v>
      </c>
      <c r="H5504" s="6" t="n">
        <f aca="false">Sens!H5445</f>
        <v>16.5</v>
      </c>
      <c r="I5504" s="6" t="n">
        <f aca="false">Sens!I5445</f>
        <v>18.75</v>
      </c>
      <c r="J5504" s="6" t="n">
        <f aca="false">Sens!J5445</f>
        <v>20.25</v>
      </c>
      <c r="K5504" s="6" t="n">
        <f aca="false">Sens!K5445</f>
        <v>21.75</v>
      </c>
    </row>
    <row r="5505" customFormat="false" ht="17.15" hidden="false" customHeight="false" outlineLevel="0" collapsed="false">
      <c r="A5505" s="1" t="s">
        <v>847</v>
      </c>
      <c r="B5505" s="0" t="s">
        <v>98</v>
      </c>
      <c r="F5505" s="6" t="n">
        <f aca="false">MAX(0,(Sens!E5408+Sens!F5408)/2*Sens!F5416/1000-Sens!F5504*Sens!F5484)</f>
        <v>20.7922544923746</v>
      </c>
      <c r="G5505" s="6" t="n">
        <f aca="false">MAX(0,(Sens!F5408+Sens!G5408)/2*Sens!G5416/1000-Sens!G5504*Sens!G5484)</f>
        <v>37.7052575228648</v>
      </c>
      <c r="H5505" s="6" t="n">
        <f aca="false">MAX(0,(Sens!G5408+Sens!H5408)/2*Sens!H5416/1000-Sens!H5504*Sens!H5484)</f>
        <v>55.9707166463052</v>
      </c>
      <c r="I5505" s="6" t="n">
        <f aca="false">MAX(0,(Sens!H5408+Sens!I5408)/2*Sens!I5416/1000-Sens!I5504*Sens!I5484)</f>
        <v>72.386177414753</v>
      </c>
      <c r="J5505" s="6" t="n">
        <f aca="false">MAX(0,(Sens!I5408+Sens!J5408)/2*Sens!J5416/1000-Sens!J5504*Sens!J5484)</f>
        <v>83.8561542203386</v>
      </c>
      <c r="K5505" s="6" t="n">
        <f aca="false">MAX(0,(Sens!J5408+Sens!K5408)/2*Sens!K5416/1000-Sens!K5504*Sens!K5484)</f>
        <v>90.6046701138278</v>
      </c>
      <c r="L5505" s="1" t="s">
        <v>848</v>
      </c>
    </row>
    <row r="5506" customFormat="false" ht="17.15" hidden="false" customHeight="false" outlineLevel="0" collapsed="false">
      <c r="A5506" s="1" t="s">
        <v>849</v>
      </c>
      <c r="B5506" s="0" t="s">
        <v>98</v>
      </c>
      <c r="F5506" s="6" t="n">
        <f aca="false">IF(internal_ai_reading=2,1,0)*Sens!F5505</f>
        <v>20.7922544923746</v>
      </c>
      <c r="G5506" s="6" t="n">
        <f aca="false">IF(internal_ai_reading=2,1,0)*Sens!G5505</f>
        <v>37.7052575228648</v>
      </c>
      <c r="H5506" s="6" t="n">
        <f aca="false">IF(internal_ai_reading=2,1,0)*Sens!H5505</f>
        <v>55.9707166463052</v>
      </c>
      <c r="I5506" s="6" t="n">
        <f aca="false">IF(internal_ai_reading=2,1,0)*Sens!I5505</f>
        <v>72.386177414753</v>
      </c>
      <c r="J5506" s="6" t="n">
        <f aca="false">IF(internal_ai_reading=2,1,0)*Sens!J5505</f>
        <v>83.8561542203386</v>
      </c>
      <c r="K5506" s="6" t="n">
        <f aca="false">IF(internal_ai_reading=2,1,0)*Sens!K5505</f>
        <v>90.6046701138278</v>
      </c>
    </row>
    <row r="5507" customFormat="false" ht="17.15" hidden="false" customHeight="false" outlineLevel="0" collapsed="false">
      <c r="A5507" s="0" t="s">
        <v>850</v>
      </c>
      <c r="B5507" s="0" t="s">
        <v>98</v>
      </c>
      <c r="F5507" s="6" t="n">
        <f aca="false">Sens!F5425+Sens!F5504*Sens!F5484+Sens!F5506-Sens!F5426-Sens!F5436</f>
        <v>24.960781419411</v>
      </c>
      <c r="G5507" s="6" t="n">
        <f aca="false">Sens!G5425+Sens!G5504*Sens!G5484+Sens!G5506-Sens!G5426-Sens!G5436</f>
        <v>40.6495718830232</v>
      </c>
      <c r="H5507" s="6" t="n">
        <f aca="false">Sens!H5425+Sens!H5504*Sens!H5484+Sens!H5506-Sens!H5426-Sens!H5436</f>
        <v>57.5804114245065</v>
      </c>
      <c r="I5507" s="6" t="n">
        <f aca="false">Sens!I5425+Sens!I5504*Sens!I5484+Sens!I5506-Sens!I5426-Sens!I5436</f>
        <v>72.6588259474904</v>
      </c>
      <c r="J5507" s="6" t="n">
        <f aca="false">Sens!J5425+Sens!J5504*Sens!J5484+Sens!J5506-Sens!J5426-Sens!J5436</f>
        <v>83.0884007011916</v>
      </c>
      <c r="K5507" s="6" t="n">
        <f aca="false">Sens!K5425+Sens!K5504*Sens!K5484+Sens!K5506-Sens!K5426-Sens!K5436</f>
        <v>90.3242338726818</v>
      </c>
    </row>
    <row r="5508" customFormat="false" ht="17.15" hidden="false" customHeight="false" outlineLevel="0" collapsed="false">
      <c r="A5508" s="0" t="s">
        <v>851</v>
      </c>
      <c r="B5508" s="0" t="s">
        <v>98</v>
      </c>
      <c r="E5508" s="6" t="n">
        <f aca="false">Sens!E5407*(cxit_open+self_build*tk_cxfac)/1000*ai_net_open</f>
        <v>126.6980382</v>
      </c>
      <c r="F5508" s="6" t="n">
        <f aca="false">Sens!E5508+Sens!F5433-Sens!F5436</f>
        <v>260.715655514568</v>
      </c>
      <c r="G5508" s="6" t="n">
        <f aca="false">Sens!F5508+Sens!G5433-Sens!G5436</f>
        <v>383.758102737428</v>
      </c>
      <c r="H5508" s="6" t="n">
        <f aca="false">Sens!G5508+Sens!H5433-Sens!H5436</f>
        <v>484.071072654689</v>
      </c>
      <c r="I5508" s="6" t="n">
        <f aca="false">Sens!H5508+Sens!I5433-Sens!I5436</f>
        <v>535.765701826713</v>
      </c>
      <c r="J5508" s="6" t="n">
        <f aca="false">Sens!I5508+Sens!J5433-Sens!J5436</f>
        <v>531.069467622138</v>
      </c>
      <c r="K5508" s="6" t="n">
        <f aca="false">Sens!J5508+Sens!K5433-Sens!K5436</f>
        <v>506.3562564596</v>
      </c>
      <c r="L5508" s="1" t="s">
        <v>852</v>
      </c>
    </row>
    <row r="5509" customFormat="false" ht="17.15" hidden="false" customHeight="false" outlineLevel="0" collapsed="false">
      <c r="A5509" s="0" t="s">
        <v>853</v>
      </c>
      <c r="B5509" s="0" t="s">
        <v>129</v>
      </c>
      <c r="F5509" s="7" t="n">
        <f aca="false">Sens!F5507*(1-tax_f)/((Sens!E5508+Sens!F5508)/2)</f>
        <v>0.103086831774413</v>
      </c>
      <c r="G5509" s="7" t="n">
        <f aca="false">Sens!G5507*(1-tax_f)/((Sens!F5508+Sens!G5508)/2)</f>
        <v>0.10091848454659</v>
      </c>
      <c r="H5509" s="7" t="n">
        <f aca="false">Sens!H5507*(1-tax_f)/((Sens!G5508+Sens!H5508)/2)</f>
        <v>0.106159899772422</v>
      </c>
      <c r="I5509" s="7" t="n">
        <f aca="false">Sens!I5507*(1-tax_f)/((Sens!H5508+Sens!I5508)/2)</f>
        <v>0.113992870648444</v>
      </c>
      <c r="J5509" s="7" t="n">
        <f aca="false">Sens!J5507*(1-tax_f)/((Sens!I5508+Sens!J5508)/2)</f>
        <v>0.12461291578022</v>
      </c>
      <c r="K5509" s="7" t="n">
        <f aca="false">Sens!K5507*(1-tax_f)/((Sens!J5508+Sens!K5508)/2)</f>
        <v>0.139305177075891</v>
      </c>
    </row>
    <row r="5510" customFormat="false" ht="17.15" hidden="false" customHeight="false" outlineLevel="0" collapsed="false">
      <c r="A5510" s="1" t="s">
        <v>854</v>
      </c>
      <c r="B5510" s="0" t="s">
        <v>129</v>
      </c>
      <c r="F5510" s="7" t="n">
        <f aca="false">(Sens!F5507-Sens!F5506)*(1-tax_f)/((Sens!E5508+Sens!F5508)/2)</f>
        <v>0.0172158165585447</v>
      </c>
      <c r="G5510" s="7" t="n">
        <f aca="false">(Sens!G5507-Sens!G5506)*(1-tax_f)/((Sens!F5508+Sens!G5508)/2)</f>
        <v>0.00730968936428197</v>
      </c>
      <c r="H5510" s="7" t="n">
        <f aca="false">(Sens!H5507-Sens!H5506)*(1-tax_f)/((Sens!G5508+Sens!H5508)/2)</f>
        <v>0.00296776337803847</v>
      </c>
      <c r="I5510" s="7" t="n">
        <f aca="false">(Sens!I5507-Sens!I5506)*(1-tax_f)/((Sens!H5508+Sens!I5508)/2)</f>
        <v>0.000427752424010807</v>
      </c>
      <c r="J5510" s="7" t="n">
        <f aca="false">(Sens!J5507-Sens!J5506)*(1-tax_f)/((Sens!I5508+Sens!J5508)/2)</f>
        <v>-0.00115144838285559</v>
      </c>
      <c r="K5510" s="7" t="n">
        <f aca="false">(Sens!K5507-Sens!K5506)*(1-tax_f)/((Sens!J5508+Sens!K5508)/2)</f>
        <v>-0.000432510950343628</v>
      </c>
    </row>
    <row r="5511" customFormat="false" ht="17.15" hidden="false" customHeight="false" outlineLevel="0" collapsed="false">
      <c r="A5511" s="1" t="s">
        <v>855</v>
      </c>
      <c r="B5511" s="0" t="s">
        <v>129</v>
      </c>
      <c r="F5511" s="7" t="n">
        <f aca="false">(Sens!F5507-Sens!F5506+Sens!F5505)*(1-tax_f)/((Sens!E5508+Sens!F5508)/2)</f>
        <v>0.103086831774413</v>
      </c>
      <c r="G5511" s="7" t="n">
        <f aca="false">(Sens!G5507-Sens!G5506+Sens!G5505)*(1-tax_f)/((Sens!F5508+Sens!G5508)/2)</f>
        <v>0.10091848454659</v>
      </c>
      <c r="H5511" s="7" t="n">
        <f aca="false">(Sens!H5507-Sens!H5506+Sens!H5505)*(1-tax_f)/((Sens!G5508+Sens!H5508)/2)</f>
        <v>0.106159899772422</v>
      </c>
      <c r="I5511" s="7" t="n">
        <f aca="false">(Sens!I5507-Sens!I5506+Sens!I5505)*(1-tax_f)/((Sens!H5508+Sens!I5508)/2)</f>
        <v>0.113992870648444</v>
      </c>
      <c r="J5511" s="7" t="n">
        <f aca="false">(Sens!J5507-Sens!J5506+Sens!J5505)*(1-tax_f)/((Sens!I5508+Sens!J5508)/2)</f>
        <v>0.12461291578022</v>
      </c>
      <c r="K5511" s="7" t="n">
        <f aca="false">(Sens!K5507-Sens!K5506+Sens!K5505)*(1-tax_f)/((Sens!J5508+Sens!K5508)/2)</f>
        <v>0.139305177075891</v>
      </c>
    </row>
    <row r="5512" customFormat="false" ht="17.15" hidden="false" customHeight="false" outlineLevel="0" collapsed="false">
      <c r="A5512" s="1" t="s">
        <v>856</v>
      </c>
      <c r="B5512" s="0" t="s">
        <v>129</v>
      </c>
      <c r="F5512" s="7" t="n">
        <f aca="false">Sens!F5437*(1-tax_f)/(Sens!F5424*(Sens!E5508+Sens!F5508)/2)</f>
        <v>0.128080962048673</v>
      </c>
      <c r="G5512" s="7" t="n">
        <f aca="false">Sens!G5437*(1-tax_f)/(Sens!G5424*(Sens!F5508+Sens!G5508)/2)</f>
        <v>0.12509933555135</v>
      </c>
      <c r="H5512" s="7" t="n">
        <f aca="false">Sens!H5437*(1-tax_f)/(Sens!H5424*(Sens!G5508+Sens!H5508)/2)</f>
        <v>0.130776137654035</v>
      </c>
      <c r="I5512" s="7" t="n">
        <f aca="false">Sens!I5437*(1-tax_f)/(Sens!I5424*(Sens!H5508+Sens!I5508)/2)</f>
        <v>0.139931848880212</v>
      </c>
      <c r="J5512" s="7" t="n">
        <f aca="false">Sens!J5437*(1-tax_f)/(Sens!J5424*(Sens!I5508+Sens!J5508)/2)</f>
        <v>0.152755128978909</v>
      </c>
      <c r="K5512" s="7" t="n">
        <f aca="false">Sens!K5437*(1-tax_f)/(Sens!K5424*(Sens!J5508+Sens!K5508)/2)</f>
        <v>0.170502165108545</v>
      </c>
    </row>
    <row r="5513" customFormat="false" ht="17.15" hidden="false" customHeight="false" outlineLevel="0" collapsed="false">
      <c r="A5513" s="0" t="s">
        <v>857</v>
      </c>
      <c r="B5513" s="0" t="s">
        <v>209</v>
      </c>
      <c r="F5513" s="7" t="n">
        <f aca="false">Sens!F5509-wacc</f>
        <v>0.000152411681537248</v>
      </c>
      <c r="G5513" s="7" t="n">
        <f aca="false">Sens!G5509-wacc</f>
        <v>-0.00201593554628537</v>
      </c>
      <c r="H5513" s="7" t="n">
        <f aca="false">Sens!H5509-wacc</f>
        <v>0.00322547967954588</v>
      </c>
      <c r="I5513" s="7" t="n">
        <f aca="false">Sens!I5509-wacc</f>
        <v>0.0110584505555682</v>
      </c>
      <c r="J5513" s="7" t="n">
        <f aca="false">Sens!J5509-wacc</f>
        <v>0.0216784956873444</v>
      </c>
      <c r="K5513" s="7" t="n">
        <f aca="false">Sens!K5509-wacc</f>
        <v>0.0363707569830153</v>
      </c>
    </row>
    <row r="5514" customFormat="false" ht="17.15" hidden="false" customHeight="false" outlineLevel="0" collapsed="false">
      <c r="A5514" s="0" t="s">
        <v>858</v>
      </c>
      <c r="B5514" s="0" t="s">
        <v>98</v>
      </c>
      <c r="F5514" s="6" t="n">
        <f aca="false">Sens!F5507*(1-tax_f)-wacc*(Sens!E5508+Sens!F5508)/2</f>
        <v>0.0295231862547958</v>
      </c>
      <c r="G5514" s="6" t="n">
        <f aca="false">Sens!G5507*(1-tax_f)-wacc*(Sens!F5508+Sens!G5508)/2</f>
        <v>-0.649608778954161</v>
      </c>
      <c r="H5514" s="6" t="n">
        <f aca="false">Sens!H5507*(1-tax_f)-wacc*(Sens!G5508+Sens!H5508)/2</f>
        <v>1.39958268527217</v>
      </c>
      <c r="I5514" s="6" t="n">
        <f aca="false">Sens!I5507*(1-tax_f)-wacc*(Sens!H5508+Sens!I5508)/2</f>
        <v>5.63890727267634</v>
      </c>
      <c r="J5514" s="6" t="n">
        <f aca="false">Sens!J5507*(1-tax_f)-wacc*(Sens!I5508+Sens!J5508)/2</f>
        <v>11.5636908100021</v>
      </c>
      <c r="K5514" s="6" t="n">
        <f aca="false">Sens!K5507*(1-tax_f)-wacc*(Sens!J5508+Sens!K5508)/2</f>
        <v>18.8659794492528</v>
      </c>
    </row>
    <row r="5515" customFormat="false" ht="17.15" hidden="false" customHeight="false" outlineLevel="0" collapsed="false">
      <c r="A5515" s="3" t="s">
        <v>1377</v>
      </c>
    </row>
    <row r="5516" customFormat="false" ht="15" hidden="false" customHeight="false" outlineLevel="0" collapsed="false">
      <c r="A5516" s="4" t="s">
        <v>43</v>
      </c>
      <c r="B5516" s="4" t="s">
        <v>65</v>
      </c>
      <c r="C5516" s="20" t="s">
        <v>788</v>
      </c>
      <c r="D5516" s="20" t="s">
        <v>789</v>
      </c>
      <c r="E5516" s="20" t="s">
        <v>790</v>
      </c>
      <c r="F5516" s="20" t="s">
        <v>791</v>
      </c>
      <c r="G5516" s="20" t="s">
        <v>792</v>
      </c>
      <c r="H5516" s="20" t="s">
        <v>793</v>
      </c>
      <c r="I5516" s="20" t="s">
        <v>794</v>
      </c>
      <c r="J5516" s="20" t="s">
        <v>795</v>
      </c>
      <c r="K5516" s="20" t="s">
        <v>796</v>
      </c>
      <c r="L5516" s="4" t="s">
        <v>47</v>
      </c>
    </row>
    <row r="5517" customFormat="false" ht="15" hidden="false" customHeight="false" outlineLevel="0" collapsed="false">
      <c r="A5517" s="1" t="s">
        <v>915</v>
      </c>
      <c r="B5517" s="0" t="s">
        <v>98</v>
      </c>
      <c r="F5517" s="6" t="n">
        <f aca="false">Sens!F5498</f>
        <v>140.499721428155</v>
      </c>
      <c r="G5517" s="6" t="n">
        <f aca="false">Sens!G5498</f>
        <v>155.255584741171</v>
      </c>
      <c r="H5517" s="6" t="n">
        <f aca="false">Sens!H5498</f>
        <v>170.179660995073</v>
      </c>
      <c r="I5517" s="6" t="n">
        <f aca="false">Sens!I5498</f>
        <v>184.805020294876</v>
      </c>
      <c r="J5517" s="6" t="n">
        <f aca="false">Sens!J5498</f>
        <v>198.755940358186</v>
      </c>
      <c r="K5517" s="6" t="n">
        <f aca="false">Sens!K5498</f>
        <v>212.38439867022</v>
      </c>
    </row>
    <row r="5518" customFormat="false" ht="17.15" hidden="false" customHeight="false" outlineLevel="0" collapsed="false">
      <c r="A5518" s="1" t="s">
        <v>937</v>
      </c>
      <c r="B5518" s="0" t="s">
        <v>98</v>
      </c>
      <c r="E5518" s="6" t="n">
        <f aca="false">Q!M38-Sens!E5436</f>
        <v>22.2285940229167</v>
      </c>
      <c r="F5518" s="6" t="n">
        <f aca="false">Sens!E5518*(1-1/life_nonai)+Sens!F5524/life_nonai</f>
        <v>23.5486693435813</v>
      </c>
      <c r="G5518" s="6" t="n">
        <f aca="false">Sens!F5518*(1-1/life_nonai)+Sens!G5524/life_nonai</f>
        <v>25.264091766262</v>
      </c>
      <c r="H5518" s="6" t="n">
        <f aca="false">Sens!G5518*(1-1/life_nonai)+Sens!H5524/life_nonai</f>
        <v>27.3438339540448</v>
      </c>
      <c r="I5518" s="6" t="n">
        <f aca="false">Sens!H5518*(1-1/life_nonai)+Sens!I5524/life_nonai</f>
        <v>29.7317905898047</v>
      </c>
      <c r="J5518" s="6" t="n">
        <f aca="false">Sens!I5518*(1-1/life_nonai)+Sens!J5524/life_nonai</f>
        <v>32.3542028558616</v>
      </c>
      <c r="K5518" s="6" t="n">
        <f aca="false">Sens!J5518*(1-1/life_nonai)+Sens!K5524/life_nonai</f>
        <v>35.1281528444749</v>
      </c>
      <c r="L5518" s="11" t="s">
        <v>938</v>
      </c>
    </row>
    <row r="5519" customFormat="false" ht="17.15" hidden="false" customHeight="false" outlineLevel="0" collapsed="false">
      <c r="A5519" s="1" t="s">
        <v>939</v>
      </c>
      <c r="B5519" s="0" t="s">
        <v>98</v>
      </c>
      <c r="E5519" s="6" t="n">
        <f aca="false">Sens!E5436+Sens!E5518</f>
        <v>38.534</v>
      </c>
      <c r="F5519" s="6" t="n">
        <f aca="false">Sens!F5436+Sens!F5518</f>
        <v>58.301704799451</v>
      </c>
      <c r="G5519" s="6" t="n">
        <f aca="false">Sens!G5436+Sens!G5518</f>
        <v>85.7958250266017</v>
      </c>
      <c r="H5519" s="6" t="n">
        <f aca="false">Sens!H5436+Sens!H5518</f>
        <v>115.111149947184</v>
      </c>
      <c r="I5519" s="6" t="n">
        <f aca="false">Sens!I5436+Sens!I5518</f>
        <v>141.743830572026</v>
      </c>
      <c r="J5519" s="6" t="n">
        <f aca="false">Sens!J5436+Sens!J5518</f>
        <v>161.562913778527</v>
      </c>
      <c r="K5519" s="6" t="n">
        <f aca="false">Sens!K5436+Sens!K5518</f>
        <v>174.800799648948</v>
      </c>
    </row>
    <row r="5520" customFormat="false" ht="17.15" hidden="false" customHeight="false" outlineLevel="0" collapsed="false">
      <c r="A5520" s="1" t="s">
        <v>940</v>
      </c>
      <c r="B5520" s="0" t="s">
        <v>98</v>
      </c>
      <c r="F5520" s="6" t="n">
        <f aca="false">Sens!F5463*sbc_r</f>
        <v>14.8747966149263</v>
      </c>
      <c r="G5520" s="6" t="n">
        <f aca="false">Sens!G5463*sbc_r</f>
        <v>17.5958892436699</v>
      </c>
      <c r="H5520" s="6" t="n">
        <f aca="false">Sens!H5463*sbc_r</f>
        <v>20.3837186651945</v>
      </c>
      <c r="I5520" s="6" t="n">
        <f aca="false">Sens!I5463*sbc_r</f>
        <v>22.9744715237937</v>
      </c>
      <c r="J5520" s="6" t="n">
        <f aca="false">Sens!J5463*sbc_r</f>
        <v>25.1139478570615</v>
      </c>
      <c r="K5520" s="6" t="n">
        <f aca="false">Sens!K5463*sbc_r</f>
        <v>26.8243601870534</v>
      </c>
    </row>
    <row r="5521" customFormat="false" ht="17.15" hidden="false" customHeight="false" outlineLevel="0" collapsed="false">
      <c r="A5521" s="1" t="s">
        <v>941</v>
      </c>
      <c r="B5521" s="0" t="s">
        <v>98</v>
      </c>
      <c r="F5521" s="6" t="n">
        <f aca="false">wc27</f>
        <v>-4.895</v>
      </c>
      <c r="G5521" s="6" t="n">
        <f aca="false">wc_f</f>
        <v>0</v>
      </c>
      <c r="H5521" s="6" t="n">
        <f aca="false">wc_f</f>
        <v>0</v>
      </c>
      <c r="I5521" s="6" t="n">
        <f aca="false">wc_f</f>
        <v>0</v>
      </c>
      <c r="J5521" s="6" t="n">
        <f aca="false">wc_f</f>
        <v>0</v>
      </c>
      <c r="K5521" s="6" t="n">
        <f aca="false">wc_f</f>
        <v>0</v>
      </c>
      <c r="L5521" s="11" t="s">
        <v>942</v>
      </c>
    </row>
    <row r="5522" customFormat="false" ht="15" hidden="false" customHeight="false" outlineLevel="0" collapsed="false">
      <c r="A5522" s="1" t="s">
        <v>756</v>
      </c>
      <c r="B5522" s="0" t="s">
        <v>98</v>
      </c>
      <c r="E5522" s="6" t="n">
        <f aca="false">Q!M35</f>
        <v>182.935</v>
      </c>
      <c r="F5522" s="6" t="n">
        <f aca="false">Sens!F5517+Sens!F5519+Sens!F5520+Sens!F5521</f>
        <v>208.781222842532</v>
      </c>
      <c r="G5522" s="6" t="n">
        <f aca="false">Sens!G5517+Sens!G5519+Sens!G5520+Sens!G5521</f>
        <v>258.647299011443</v>
      </c>
      <c r="H5522" s="6" t="n">
        <f aca="false">Sens!H5517+Sens!H5519+Sens!H5520+Sens!H5521</f>
        <v>305.674529607452</v>
      </c>
      <c r="I5522" s="6" t="n">
        <f aca="false">Sens!I5517+Sens!I5519+Sens!I5520+Sens!I5521</f>
        <v>349.523322390695</v>
      </c>
      <c r="J5522" s="6" t="n">
        <f aca="false">Sens!J5517+Sens!J5519+Sens!J5520+Sens!J5521</f>
        <v>385.432801993775</v>
      </c>
      <c r="K5522" s="6" t="n">
        <f aca="false">Sens!K5517+Sens!K5519+Sens!K5520+Sens!K5521</f>
        <v>414.009558506221</v>
      </c>
    </row>
    <row r="5523" customFormat="false" ht="17.15" hidden="false" customHeight="false" outlineLevel="0" collapsed="false">
      <c r="A5523" s="0" t="s">
        <v>943</v>
      </c>
      <c r="B5523" s="0" t="s">
        <v>98</v>
      </c>
      <c r="F5523" s="6" t="n">
        <f aca="false">Sens!F5433</f>
        <v>168.770652770438</v>
      </c>
      <c r="G5523" s="6" t="n">
        <f aca="false">Sens!G5433</f>
        <v>183.5741804832</v>
      </c>
      <c r="H5523" s="6" t="n">
        <f aca="false">Sens!H5433</f>
        <v>188.0802859104</v>
      </c>
      <c r="I5523" s="6" t="n">
        <f aca="false">Sens!I5433</f>
        <v>163.706669154245</v>
      </c>
      <c r="J5523" s="6" t="n">
        <f aca="false">Sens!J5433</f>
        <v>124.51247671809</v>
      </c>
      <c r="K5523" s="6" t="n">
        <f aca="false">Sens!K5433</f>
        <v>114.959435641936</v>
      </c>
    </row>
    <row r="5524" customFormat="false" ht="17.15" hidden="false" customHeight="false" outlineLevel="0" collapsed="false">
      <c r="A5524" s="1" t="s">
        <v>944</v>
      </c>
      <c r="B5524" s="0" t="s">
        <v>98</v>
      </c>
      <c r="E5524" s="6" t="n">
        <f aca="false">Sens!E5441*cx_azo+Sens!E5448*cx_m365+Sens!E5449*cx_lic+(Sens!E5451+Sens!E5453)*cx_ind+Sens!E5456*cx_srch+(Sens!E5458+Sens!E5460)*cx_dev</f>
        <v>30.1846587067718</v>
      </c>
      <c r="F5524" s="6" t="n">
        <f aca="false">Sens!F5441*cx_azo+Sens!F5448*cx_m365+Sens!F5449*cx_lic+(Sens!F5451+Sens!F5453)*cx_ind+Sens!F5456*cx_srch+(Sens!F5458+Sens!F5460)*cx_dev</f>
        <v>35.4293472295625</v>
      </c>
      <c r="G5524" s="6" t="n">
        <f aca="false">Sens!G5441*cx_azo+Sens!G5448*cx_m365+Sens!G5449*cx_lic+(Sens!G5451+Sens!G5453)*cx_ind+Sens!G5456*cx_srch+(Sens!G5458+Sens!G5460)*cx_dev</f>
        <v>40.7028935703892</v>
      </c>
      <c r="H5524" s="6" t="n">
        <f aca="false">Sens!H5441*cx_azo+Sens!H5448*cx_m365+Sens!H5449*cx_lic+(Sens!H5451+Sens!H5453)*cx_ind+Sens!H5456*cx_srch+(Sens!H5458+Sens!H5460)*cx_dev</f>
        <v>46.0615136440897</v>
      </c>
      <c r="I5524" s="6" t="n">
        <f aca="false">Sens!I5441*cx_azo+Sens!I5448*cx_m365+Sens!I5449*cx_lic+(Sens!I5451+Sens!I5453)*cx_ind+Sens!I5456*cx_srch+(Sens!I5458+Sens!I5460)*cx_dev</f>
        <v>51.2234003116439</v>
      </c>
      <c r="J5524" s="6" t="n">
        <f aca="false">Sens!J5441*cx_azo+Sens!J5448*cx_m365+Sens!J5449*cx_lic+(Sens!J5451+Sens!J5453)*cx_ind+Sens!J5456*cx_srch+(Sens!J5458+Sens!J5460)*cx_dev</f>
        <v>55.9559132503738</v>
      </c>
      <c r="K5524" s="6" t="n">
        <f aca="false">Sens!K5441*cx_azo+Sens!K5448*cx_m365+Sens!K5449*cx_lic+(Sens!K5451+Sens!K5453)*cx_ind+Sens!K5456*cx_srch+(Sens!K5458+Sens!K5460)*cx_dev</f>
        <v>60.093702741994</v>
      </c>
    </row>
    <row r="5525" customFormat="false" ht="17.15" hidden="false" customHeight="false" outlineLevel="0" collapsed="false">
      <c r="A5525" s="1" t="s">
        <v>945</v>
      </c>
      <c r="B5525" s="0" t="s">
        <v>98</v>
      </c>
      <c r="E5525" s="6" t="n">
        <f aca="false">Q!M42</f>
        <v>145.3</v>
      </c>
      <c r="F5525" s="6" t="n">
        <f aca="false">Sens!F5523+Sens!F5524</f>
        <v>204.2</v>
      </c>
      <c r="G5525" s="6" t="n">
        <f aca="false">Sens!G5523+Sens!G5524</f>
        <v>224.277074053589</v>
      </c>
      <c r="H5525" s="6" t="n">
        <f aca="false">Sens!H5523+Sens!H5524</f>
        <v>234.14179955449</v>
      </c>
      <c r="I5525" s="6" t="n">
        <f aca="false">Sens!I5523+Sens!I5524</f>
        <v>214.930069465889</v>
      </c>
      <c r="J5525" s="6" t="n">
        <f aca="false">Sens!J5523+Sens!J5524</f>
        <v>180.468389968464</v>
      </c>
      <c r="K5525" s="6" t="n">
        <f aca="false">Sens!K5523+Sens!K5524</f>
        <v>175.05313838393</v>
      </c>
      <c r="L5525" s="1" t="s">
        <v>946</v>
      </c>
    </row>
    <row r="5526" customFormat="false" ht="15" hidden="false" customHeight="false" outlineLevel="0" collapsed="false">
      <c r="A5526" s="1" t="s">
        <v>947</v>
      </c>
      <c r="B5526" s="0" t="s">
        <v>98</v>
      </c>
      <c r="E5526" s="6" t="n">
        <f aca="false">fl_liab</f>
        <v>66.594</v>
      </c>
      <c r="F5526" s="6" t="n">
        <f aca="false">Sens!E5526-Sens!F5527</f>
        <v>62.46973</v>
      </c>
      <c r="G5526" s="6" t="n">
        <f aca="false">Sens!F5526-Sens!G5527</f>
        <v>57.98686785</v>
      </c>
      <c r="H5526" s="6" t="n">
        <f aca="false">Sens!G5526-Sens!H5527</f>
        <v>53.92827690325</v>
      </c>
      <c r="I5526" s="6" t="n">
        <f aca="false">Sens!H5526-Sens!I5527</f>
        <v>49.7850493638962</v>
      </c>
      <c r="J5526" s="6" t="n">
        <f aca="false">Sens!I5526-Sens!J5527</f>
        <v>45.4823765852716</v>
      </c>
      <c r="K5526" s="6" t="n">
        <f aca="false">Sens!J5526-Sens!K5527</f>
        <v>40.9860835316088</v>
      </c>
    </row>
    <row r="5527" customFormat="false" ht="15" hidden="false" customHeight="false" outlineLevel="0" collapsed="false">
      <c r="A5527" s="1" t="s">
        <v>948</v>
      </c>
      <c r="B5527" s="0" t="s">
        <v>98</v>
      </c>
      <c r="F5527" s="6" t="n">
        <f aca="false">fl_pay_27-Sens!E5526*fl_rate</f>
        <v>4.12427</v>
      </c>
      <c r="G5527" s="6" t="n">
        <f aca="false">fl_pay_28-Sens!F5526*fl_rate</f>
        <v>4.48286215</v>
      </c>
      <c r="H5527" s="6" t="n">
        <f aca="false">fl_pay_29-Sens!G5526*fl_rate</f>
        <v>4.05859094675</v>
      </c>
      <c r="I5527" s="6" t="n">
        <f aca="false">fl_pay_30-Sens!H5526*fl_rate</f>
        <v>4.14322753935375</v>
      </c>
      <c r="J5527" s="6" t="n">
        <f aca="false">fl_pay_31-Sens!I5526*fl_rate</f>
        <v>4.30267277862467</v>
      </c>
      <c r="K5527" s="6" t="n">
        <f aca="false">fl_pay_32-Sens!J5526*fl_rate</f>
        <v>4.49629305366278</v>
      </c>
    </row>
    <row r="5528" customFormat="false" ht="17.15" hidden="false" customHeight="false" outlineLevel="0" collapsed="false">
      <c r="A5528" s="1" t="s">
        <v>949</v>
      </c>
      <c r="B5528" s="0" t="s">
        <v>98</v>
      </c>
      <c r="E5528" s="6" t="n">
        <f aca="false">Q!M35-Q!M36-Q!M43</f>
        <v>63.886</v>
      </c>
      <c r="F5528" s="6" t="n">
        <f aca="false">Sens!F5522-Sens!F5525-Sens!F5527</f>
        <v>0.456952842532099</v>
      </c>
      <c r="G5528" s="6" t="n">
        <f aca="false">Sens!G5522-Sens!G5525-Sens!G5527</f>
        <v>29.8873628078538</v>
      </c>
      <c r="H5528" s="6" t="n">
        <f aca="false">Sens!H5522-Sens!H5525-Sens!H5527</f>
        <v>67.4741391062122</v>
      </c>
      <c r="I5528" s="6" t="n">
        <f aca="false">Sens!I5522-Sens!I5525-Sens!I5527</f>
        <v>130.450025385452</v>
      </c>
      <c r="J5528" s="6" t="n">
        <f aca="false">Sens!J5522-Sens!J5525-Sens!J5527</f>
        <v>200.661739246686</v>
      </c>
      <c r="K5528" s="6" t="n">
        <f aca="false">Sens!K5522-Sens!K5525-Sens!K5527</f>
        <v>234.460127068629</v>
      </c>
      <c r="L5528" s="11" t="s">
        <v>950</v>
      </c>
    </row>
    <row r="5529" customFormat="false" ht="15" hidden="false" customHeight="false" outlineLevel="0" collapsed="false">
      <c r="A5529" s="1" t="s">
        <v>951</v>
      </c>
      <c r="B5529" s="0" t="s">
        <v>75</v>
      </c>
      <c r="F5529" s="8" t="n">
        <f aca="false">dps_27</f>
        <v>3.85</v>
      </c>
      <c r="G5529" s="8" t="n">
        <f aca="false">Sens!F5529*(1+dps_g)</f>
        <v>4.158</v>
      </c>
      <c r="H5529" s="8" t="n">
        <f aca="false">Sens!G5529*(1+dps_g)</f>
        <v>4.49064</v>
      </c>
      <c r="I5529" s="8" t="n">
        <f aca="false">Sens!H5529*(1+dps_g)</f>
        <v>4.8498912</v>
      </c>
      <c r="J5529" s="8" t="n">
        <f aca="false">Sens!I5529*(1+dps_g)</f>
        <v>5.237882496</v>
      </c>
      <c r="K5529" s="8" t="n">
        <f aca="false">Sens!J5529*(1+dps_g)</f>
        <v>5.65691309568</v>
      </c>
    </row>
    <row r="5530" customFormat="false" ht="17.15" hidden="false" customHeight="false" outlineLevel="0" collapsed="false">
      <c r="A5530" s="1" t="s">
        <v>952</v>
      </c>
      <c r="B5530" s="0" t="s">
        <v>98</v>
      </c>
      <c r="E5530" s="6" t="n">
        <f aca="false">Q!M41</f>
        <v>26.445</v>
      </c>
      <c r="F5530" s="6" t="n">
        <f aca="false">Sens!F5529*Sens!E5539</f>
        <v>28.59395</v>
      </c>
      <c r="G5530" s="6" t="n">
        <f aca="false">Sens!G5529*Sens!F5539</f>
        <v>31.068576</v>
      </c>
      <c r="H5530" s="6" t="n">
        <f aca="false">Sens!H5529*Sens!G5539</f>
        <v>33.75614088</v>
      </c>
      <c r="I5530" s="6" t="n">
        <f aca="false">Sens!I5529*Sens!H5539</f>
        <v>36.5075713903995</v>
      </c>
      <c r="J5530" s="6" t="n">
        <f aca="false">Sens!J5529*Sens!I5539</f>
        <v>39.4965759499509</v>
      </c>
      <c r="K5530" s="6" t="n">
        <f aca="false">Sens!K5529*Sens!J5539</f>
        <v>42.743557251252</v>
      </c>
      <c r="L5530" s="1" t="s">
        <v>953</v>
      </c>
    </row>
    <row r="5531" customFormat="false" ht="15" hidden="false" customHeight="false" outlineLevel="0" collapsed="false">
      <c r="A5531" s="1" t="s">
        <v>954</v>
      </c>
      <c r="B5531" s="0" t="s">
        <v>98</v>
      </c>
      <c r="E5531" s="6" t="n">
        <f aca="false">Sens!E5528-Sens!E5530</f>
        <v>37.441</v>
      </c>
      <c r="F5531" s="6" t="n">
        <f aca="false">Sens!F5528-Sens!F5530</f>
        <v>-28.1369971574679</v>
      </c>
      <c r="G5531" s="6" t="n">
        <f aca="false">Sens!G5528-Sens!G5530</f>
        <v>-1.18121319214623</v>
      </c>
      <c r="H5531" s="6" t="n">
        <f aca="false">Sens!H5528-Sens!H5530</f>
        <v>33.7179982262122</v>
      </c>
      <c r="I5531" s="6" t="n">
        <f aca="false">Sens!I5528-Sens!I5530</f>
        <v>93.9424539950526</v>
      </c>
      <c r="J5531" s="6" t="n">
        <f aca="false">Sens!J5528-Sens!J5530</f>
        <v>161.165163296735</v>
      </c>
      <c r="K5531" s="6" t="n">
        <f aca="false">Sens!K5528-Sens!K5530</f>
        <v>191.716569817377</v>
      </c>
    </row>
    <row r="5532" customFormat="false" ht="15" hidden="false" customHeight="false" outlineLevel="0" collapsed="false">
      <c r="A5532" s="1" t="s">
        <v>955</v>
      </c>
      <c r="B5532" s="0" t="s">
        <v>98</v>
      </c>
      <c r="F5532" s="6" t="n">
        <f aca="false">debt_mat_27</f>
        <v>9.25</v>
      </c>
      <c r="G5532" s="6" t="n">
        <f aca="false">debt_mat_28</f>
        <v>0</v>
      </c>
      <c r="H5532" s="6" t="n">
        <f aca="false">debt_mat_29</f>
        <v>2.001</v>
      </c>
      <c r="I5532" s="6" t="n">
        <f aca="false">debt_mat_30</f>
        <v>0</v>
      </c>
      <c r="J5532" s="6" t="n">
        <f aca="false">debt_mat_31</f>
        <v>0.5</v>
      </c>
      <c r="K5532" s="6" t="n">
        <f aca="false">debt_mat_32</f>
        <v>0</v>
      </c>
    </row>
    <row r="5533" customFormat="false" ht="15" hidden="false" customHeight="false" outlineLevel="0" collapsed="false">
      <c r="A5533" s="1" t="s">
        <v>956</v>
      </c>
      <c r="B5533" s="0" t="s">
        <v>98</v>
      </c>
      <c r="E5533" s="6" t="n">
        <f aca="false">Q!M40</f>
        <v>22.271</v>
      </c>
      <c r="F5533" s="6" t="n">
        <f aca="false">MAX(0,MIN(bb_target,Sens!E5535+Sens!F5531-Sens!F5532-min_cash))</f>
        <v>0</v>
      </c>
      <c r="G5533" s="6" t="n">
        <f aca="false">MAX(0,MIN(bb_target,Sens!F5535+Sens!G5531-Sens!G5532-min_cash))</f>
        <v>0</v>
      </c>
      <c r="H5533" s="6" t="n">
        <f aca="false">MAX(0,MIN(bb_target,Sens!G5535+Sens!H5531-Sens!H5532-min_cash))</f>
        <v>22.271</v>
      </c>
      <c r="I5533" s="6" t="n">
        <f aca="false">MAX(0,MIN(bb_target,Sens!H5535+Sens!I5531-Sens!I5532-min_cash))</f>
        <v>22.271</v>
      </c>
      <c r="J5533" s="6" t="n">
        <f aca="false">MAX(0,MIN(bb_target,Sens!I5535+Sens!J5531-Sens!J5532-min_cash))</f>
        <v>22.271</v>
      </c>
      <c r="K5533" s="6" t="n">
        <f aca="false">MAX(0,MIN(bb_target,Sens!J5535+Sens!K5531-Sens!K5532-min_cash))</f>
        <v>22.271</v>
      </c>
    </row>
    <row r="5534" customFormat="false" ht="15" hidden="false" customHeight="false" outlineLevel="0" collapsed="false">
      <c r="A5534" s="1" t="s">
        <v>957</v>
      </c>
      <c r="B5534" s="0" t="s">
        <v>98</v>
      </c>
      <c r="F5534" s="6" t="n">
        <f aca="false">MAX(0,min_cash-(Sens!E5535+Sens!F5531-Sens!F5532-Sens!F5533))</f>
        <v>10.5439971574679</v>
      </c>
      <c r="G5534" s="6" t="n">
        <f aca="false">MAX(0,min_cash-(Sens!F5535+Sens!G5531-Sens!G5532-Sens!G5533))</f>
        <v>1.18121319214623</v>
      </c>
      <c r="H5534" s="6" t="n">
        <f aca="false">MAX(0,min_cash-(Sens!G5535+Sens!H5531-Sens!H5532-Sens!H5533))</f>
        <v>0</v>
      </c>
      <c r="I5534" s="6" t="n">
        <f aca="false">MAX(0,min_cash-(Sens!H5535+Sens!I5531-Sens!I5532-Sens!I5533))</f>
        <v>0</v>
      </c>
      <c r="J5534" s="6" t="n">
        <f aca="false">MAX(0,min_cash-(Sens!I5535+Sens!J5531-Sens!J5532-Sens!J5533))</f>
        <v>0</v>
      </c>
      <c r="K5534" s="6" t="n">
        <f aca="false">MAX(0,min_cash-(Sens!J5535+Sens!K5531-Sens!K5532-Sens!K5533))</f>
        <v>0</v>
      </c>
    </row>
    <row r="5535" customFormat="false" ht="15" hidden="false" customHeight="false" outlineLevel="0" collapsed="false">
      <c r="A5535" s="1" t="s">
        <v>958</v>
      </c>
      <c r="B5535" s="0" t="s">
        <v>98</v>
      </c>
      <c r="E5535" s="6" t="n">
        <f aca="false">cash_open</f>
        <v>76.843</v>
      </c>
      <c r="F5535" s="6" t="n">
        <f aca="false">Sens!E5535+Sens!F5531-Sens!F5532-Sens!F5533+Sens!F5534</f>
        <v>50</v>
      </c>
      <c r="G5535" s="6" t="n">
        <f aca="false">Sens!F5535+Sens!G5531-Sens!G5532-Sens!G5533+Sens!G5534</f>
        <v>50</v>
      </c>
      <c r="H5535" s="6" t="n">
        <f aca="false">Sens!G5535+Sens!H5531-Sens!H5532-Sens!H5533+Sens!H5534</f>
        <v>59.4459982262122</v>
      </c>
      <c r="I5535" s="6" t="n">
        <f aca="false">Sens!H5535+Sens!I5531-Sens!I5532-Sens!I5533+Sens!I5534</f>
        <v>131.117452221265</v>
      </c>
      <c r="J5535" s="6" t="n">
        <f aca="false">Sens!I5535+Sens!J5531-Sens!J5532-Sens!J5533+Sens!J5534</f>
        <v>269.511615518</v>
      </c>
      <c r="K5535" s="6" t="n">
        <f aca="false">Sens!J5535+Sens!K5531-Sens!K5532-Sens!K5533+Sens!K5534</f>
        <v>438.957185335376</v>
      </c>
    </row>
    <row r="5536" customFormat="false" ht="15" hidden="false" customHeight="false" outlineLevel="0" collapsed="false">
      <c r="A5536" s="1" t="s">
        <v>959</v>
      </c>
      <c r="B5536" s="0" t="s">
        <v>98</v>
      </c>
      <c r="E5536" s="6" t="n">
        <f aca="false">debt_face</f>
        <v>46.136</v>
      </c>
      <c r="F5536" s="6" t="n">
        <f aca="false">Sens!E5536-Sens!F5532+Sens!F5534</f>
        <v>47.4299971574679</v>
      </c>
      <c r="G5536" s="6" t="n">
        <f aca="false">Sens!F5536-Sens!G5532+Sens!G5534</f>
        <v>48.6112103496141</v>
      </c>
      <c r="H5536" s="6" t="n">
        <f aca="false">Sens!G5536-Sens!H5532+Sens!H5534</f>
        <v>46.6102103496141</v>
      </c>
      <c r="I5536" s="6" t="n">
        <f aca="false">Sens!H5536-Sens!I5532+Sens!I5534</f>
        <v>46.6102103496141</v>
      </c>
      <c r="J5536" s="6" t="n">
        <f aca="false">Sens!I5536-Sens!J5532+Sens!J5534</f>
        <v>46.1102103496141</v>
      </c>
      <c r="K5536" s="6" t="n">
        <f aca="false">Sens!J5536-Sens!K5532+Sens!K5534</f>
        <v>46.1102103496141</v>
      </c>
    </row>
    <row r="5537" customFormat="false" ht="15" hidden="false" customHeight="false" outlineLevel="0" collapsed="false">
      <c r="A5537" s="1" t="s">
        <v>960</v>
      </c>
      <c r="B5537" s="0" t="s">
        <v>98</v>
      </c>
      <c r="E5537" s="6" t="n">
        <f aca="false">Sens!E5535-Sens!E5536</f>
        <v>30.707</v>
      </c>
      <c r="F5537" s="6" t="n">
        <f aca="false">Sens!F5535-Sens!F5536</f>
        <v>2.5700028425321</v>
      </c>
      <c r="G5537" s="6" t="n">
        <f aca="false">Sens!G5535-Sens!G5536</f>
        <v>1.38878965038587</v>
      </c>
      <c r="H5537" s="6" t="n">
        <f aca="false">Sens!H5535-Sens!H5536</f>
        <v>12.8357878765981</v>
      </c>
      <c r="I5537" s="6" t="n">
        <f aca="false">Sens!I5535-Sens!I5536</f>
        <v>84.5072418716506</v>
      </c>
      <c r="J5537" s="6" t="n">
        <f aca="false">Sens!J5535-Sens!J5536</f>
        <v>223.401405168386</v>
      </c>
      <c r="K5537" s="6" t="n">
        <f aca="false">Sens!K5535-Sens!K5536</f>
        <v>392.846974985762</v>
      </c>
    </row>
    <row r="5538" customFormat="false" ht="15" hidden="false" customHeight="false" outlineLevel="0" collapsed="false">
      <c r="A5538" s="1" t="s">
        <v>961</v>
      </c>
      <c r="B5538" s="0" t="s">
        <v>75</v>
      </c>
      <c r="F5538" s="29" t="n">
        <f aca="false">px*(1+bb_g)^(Sens!F5402-base_fy-mid_yr)</f>
        <v>553.494156066711</v>
      </c>
      <c r="G5538" s="29" t="n">
        <f aca="false">px*(1+bb_g)^(Sens!G5402-base_fy-mid_yr)</f>
        <v>597.773688552047</v>
      </c>
      <c r="H5538" s="29" t="n">
        <f aca="false">px*(1+bb_g)^(Sens!H5402-base_fy-mid_yr)</f>
        <v>645.595583636211</v>
      </c>
      <c r="I5538" s="29" t="n">
        <f aca="false">px*(1+bb_g)^(Sens!I5402-base_fy-mid_yr)</f>
        <v>697.243230327108</v>
      </c>
      <c r="J5538" s="29" t="n">
        <f aca="false">px*(1+bb_g)^(Sens!J5402-base_fy-mid_yr)</f>
        <v>753.022688753277</v>
      </c>
      <c r="K5538" s="29" t="n">
        <f aca="false">px*(1+bb_g)^(Sens!K5402-base_fy-mid_yr)</f>
        <v>813.264503853539</v>
      </c>
    </row>
    <row r="5539" customFormat="false" ht="15" hidden="false" customHeight="false" outlineLevel="0" collapsed="false">
      <c r="A5539" s="1" t="s">
        <v>962</v>
      </c>
      <c r="B5539" s="1" t="s">
        <v>81</v>
      </c>
      <c r="E5539" s="14" t="n">
        <f aca="false">sh_out26</f>
        <v>7.427</v>
      </c>
      <c r="F5539" s="14" t="n">
        <f aca="false">Sens!E5539+sh_iss-Sens!F5533/Sens!F5538</f>
        <v>7.472</v>
      </c>
      <c r="G5539" s="14" t="n">
        <f aca="false">Sens!F5539+sh_iss-Sens!G5533/Sens!G5538</f>
        <v>7.517</v>
      </c>
      <c r="H5539" s="14" t="n">
        <f aca="false">Sens!G5539+sh_iss-Sens!H5533/Sens!H5538</f>
        <v>7.5275031716999</v>
      </c>
      <c r="I5539" s="14" t="n">
        <f aca="false">Sens!H5539+sh_iss-Sens!I5533/Sens!I5538</f>
        <v>7.54056166401463</v>
      </c>
      <c r="J5539" s="14" t="n">
        <f aca="false">Sens!I5539+sh_iss-Sens!J5533/Sens!J5538</f>
        <v>7.55598619393567</v>
      </c>
      <c r="K5539" s="14" t="n">
        <f aca="false">Sens!J5539+sh_iss-Sens!K5533/Sens!K5538</f>
        <v>7.57360149941811</v>
      </c>
    </row>
    <row r="5540" customFormat="false" ht="15" hidden="false" customHeight="false" outlineLevel="0" collapsed="false">
      <c r="A5540" s="1" t="s">
        <v>963</v>
      </c>
      <c r="B5540" s="1" t="s">
        <v>81</v>
      </c>
      <c r="E5540" s="14" t="n">
        <f aca="false">sh_dil26</f>
        <v>7.453</v>
      </c>
      <c r="F5540" s="14" t="n">
        <f aca="false">(Sens!E5539+Sens!F5539)/2+dil_gap</f>
        <v>7.4735</v>
      </c>
      <c r="G5540" s="14" t="n">
        <f aca="false">(Sens!F5539+Sens!G5539)/2+dil_gap</f>
        <v>7.5185</v>
      </c>
      <c r="H5540" s="14" t="n">
        <f aca="false">(Sens!G5539+Sens!H5539)/2+dil_gap</f>
        <v>7.54625158584995</v>
      </c>
      <c r="I5540" s="14" t="n">
        <f aca="false">(Sens!H5539+Sens!I5539)/2+dil_gap</f>
        <v>7.55803241785726</v>
      </c>
      <c r="J5540" s="14" t="n">
        <f aca="false">(Sens!I5539+Sens!J5539)/2+dil_gap</f>
        <v>7.57227392897515</v>
      </c>
      <c r="K5540" s="14" t="n">
        <f aca="false">(Sens!J5539+Sens!K5539)/2+dil_gap</f>
        <v>7.58879384667689</v>
      </c>
    </row>
    <row r="5541" customFormat="false" ht="17.15" hidden="false" customHeight="false" outlineLevel="0" collapsed="false">
      <c r="A5541" s="1" t="s">
        <v>964</v>
      </c>
      <c r="B5541" s="0" t="s">
        <v>98</v>
      </c>
      <c r="C5541" s="6" t="n">
        <f aca="false">SUM(Sens!F5531:J5531)</f>
        <v>259.507405168386</v>
      </c>
    </row>
    <row r="5542" customFormat="false" ht="15" hidden="false" customHeight="false" outlineLevel="0" collapsed="false">
      <c r="A5542" s="23" t="s">
        <v>935</v>
      </c>
      <c r="B5542" s="30" t="s">
        <v>98</v>
      </c>
      <c r="C5542" s="24" t="n">
        <f aca="false">Sens!$C$5541-(Sens!F5531+Sens!G5531+Sens!H5531+Sens!I5531+Sens!J5531)</f>
        <v>0</v>
      </c>
      <c r="D5542" s="30"/>
      <c r="E5542" s="30"/>
      <c r="F5542" s="30"/>
      <c r="G5542" s="30"/>
      <c r="H5542" s="30"/>
      <c r="I5542" s="30"/>
      <c r="J5542" s="30"/>
      <c r="K5542" s="30"/>
    </row>
    <row r="5543" customFormat="false" ht="17.15" hidden="false" customHeight="false" outlineLevel="0" collapsed="false">
      <c r="A5543" s="1" t="s">
        <v>929</v>
      </c>
      <c r="B5543" s="1" t="s">
        <v>965</v>
      </c>
      <c r="C5543" s="32" t="str">
        <f aca="false">IF(SUM(Sens!F5534:J5534)&gt;0.05,"需要舉債 "&amp;TEXT(SUM(Sens!F5534:J5534),"0.0")&amp;" 十億美元","不需舉債")&amp;"；"&amp;IF(SUM(Sens!F5533:J5533)&lt;COUNT(Sens!F5533:J5533)*bb_target-0.05,"回購較每年 "&amp;TEXT(bb_target,"0.0")&amp;" 的目標少 "&amp;TEXT(COUNT(Sens!F5533:J5533)*bb_target-SUM(Sens!F5533:J5533),"0.0")&amp;" 十億美元（"&amp;TEXT(COUNTIF(Sens!F5533:J5533,"&lt;"&amp;(bb_target-0.05)),"0")&amp;" 年減少）","回購不減")</f>
        <v>需要舉債 11.7 十億美元；回購較每年 22.3 的目標少 44.5 十億美元（2 年減少）</v>
      </c>
    </row>
    <row r="5544" customFormat="false" ht="17.15" hidden="false" customHeight="false" outlineLevel="0" collapsed="false">
      <c r="A5544" s="3" t="s">
        <v>1378</v>
      </c>
    </row>
    <row r="5545" customFormat="false" ht="15" hidden="false" customHeight="false" outlineLevel="0" collapsed="false">
      <c r="A5545" s="4" t="s">
        <v>43</v>
      </c>
      <c r="B5545" s="4" t="s">
        <v>65</v>
      </c>
      <c r="C5545" s="20" t="s">
        <v>788</v>
      </c>
      <c r="D5545" s="20" t="s">
        <v>789</v>
      </c>
      <c r="E5545" s="20" t="s">
        <v>790</v>
      </c>
      <c r="F5545" s="20" t="s">
        <v>791</v>
      </c>
      <c r="G5545" s="20" t="s">
        <v>792</v>
      </c>
      <c r="H5545" s="20" t="s">
        <v>793</v>
      </c>
      <c r="I5545" s="20" t="s">
        <v>794</v>
      </c>
      <c r="J5545" s="20" t="s">
        <v>795</v>
      </c>
      <c r="K5545" s="20" t="s">
        <v>796</v>
      </c>
      <c r="L5545" s="4" t="s">
        <v>47</v>
      </c>
    </row>
    <row r="5546" customFormat="false" ht="15" hidden="false" customHeight="false" outlineLevel="0" collapsed="false">
      <c r="A5546" s="1" t="s">
        <v>1042</v>
      </c>
      <c r="B5546" s="1" t="s">
        <v>235</v>
      </c>
      <c r="F5546" s="36" t="n">
        <f aca="false">Sens!F5402-base_fy-mid_yr</f>
        <v>0.5</v>
      </c>
      <c r="G5546" s="36" t="n">
        <f aca="false">Sens!G5402-base_fy-mid_yr</f>
        <v>1.5</v>
      </c>
      <c r="H5546" s="36" t="n">
        <f aca="false">Sens!H5402-base_fy-mid_yr</f>
        <v>2.5</v>
      </c>
      <c r="I5546" s="36" t="n">
        <f aca="false">Sens!I5402-base_fy-mid_yr</f>
        <v>3.5</v>
      </c>
      <c r="J5546" s="36" t="n">
        <f aca="false">Sens!J5402-base_fy-mid_yr</f>
        <v>4.5</v>
      </c>
      <c r="K5546" s="36" t="n">
        <f aca="false">Sens!K5402-base_fy-mid_yr</f>
        <v>5.5</v>
      </c>
    </row>
    <row r="5547" customFormat="false" ht="15" hidden="false" customHeight="false" outlineLevel="0" collapsed="false">
      <c r="A5547" s="1" t="s">
        <v>1043</v>
      </c>
      <c r="B5547" s="0" t="s">
        <v>185</v>
      </c>
      <c r="F5547" s="14" t="n">
        <f aca="false">1/(1+wacc)^Sens!F5546</f>
        <v>0.952193373608246</v>
      </c>
      <c r="G5547" s="14" t="n">
        <f aca="false">1/(1+wacc)^Sens!G5546</f>
        <v>0.863327280626589</v>
      </c>
      <c r="H5547" s="14" t="n">
        <f aca="false">1/(1+wacc)^Sens!H5546</f>
        <v>0.782754862754115</v>
      </c>
      <c r="I5547" s="14" t="n">
        <f aca="false">1/(1+wacc)^Sens!I5546</f>
        <v>0.709702089711011</v>
      </c>
      <c r="J5547" s="14" t="n">
        <f aca="false">1/(1+wacc)^Sens!J5546</f>
        <v>0.643467169744551</v>
      </c>
      <c r="K5547" s="14" t="n">
        <f aca="false">1/(1+wacc)^Sens!K5546</f>
        <v>0.583413807767797</v>
      </c>
    </row>
    <row r="5548" customFormat="false" ht="17.15" hidden="false" customHeight="false" outlineLevel="0" collapsed="false">
      <c r="A5548" s="1" t="s">
        <v>1044</v>
      </c>
      <c r="B5548" s="0" t="s">
        <v>98</v>
      </c>
      <c r="F5548" s="6" t="n">
        <f aca="false">Sens!F5522-Sens!F5520-Sens!F5525+Sens!F5506*(1-tax_f)</f>
        <v>6.34022982150553</v>
      </c>
      <c r="G5548" s="6" t="n">
        <f aca="false">Sens!G5522-Sens!G5520-Sens!G5525+Sens!G5506*(1-tax_f)</f>
        <v>46.9385417324756</v>
      </c>
      <c r="H5548" s="6" t="n">
        <f aca="false">Sens!H5522-Sens!H5520-Sens!H5525+Sens!H5506*(1-tax_f)</f>
        <v>95.9255847048119</v>
      </c>
      <c r="I5548" s="6" t="n">
        <f aca="false">Sens!I5522-Sens!I5520-Sens!I5525+Sens!I5506*(1-tax_f)</f>
        <v>169.527723332814</v>
      </c>
      <c r="J5548" s="6" t="n">
        <f aca="false">Sens!J5522-Sens!J5520-Sens!J5525+Sens!J5506*(1-tax_f)</f>
        <v>246.93538754452</v>
      </c>
      <c r="K5548" s="6" t="n">
        <f aca="false">Sens!K5522-Sens!K5520-Sens!K5525+Sens!K5506*(1-tax_f)</f>
        <v>284.6157960263</v>
      </c>
      <c r="L5548" s="1" t="s">
        <v>1045</v>
      </c>
    </row>
    <row r="5549" customFormat="false" ht="15" hidden="false" customHeight="false" outlineLevel="0" collapsed="false">
      <c r="A5549" s="1" t="s">
        <v>1046</v>
      </c>
      <c r="B5549" s="0" t="s">
        <v>98</v>
      </c>
      <c r="F5549" s="6" t="n">
        <f aca="false">Sens!F5548*Sens!F5547</f>
        <v>6.03712482319096</v>
      </c>
      <c r="G5549" s="6" t="n">
        <f aca="false">Sens!G5548*Sens!G5547</f>
        <v>40.5233235904758</v>
      </c>
      <c r="H5549" s="6" t="n">
        <f aca="false">Sens!H5548*Sens!H5547</f>
        <v>75.0862178902233</v>
      </c>
      <c r="I5549" s="6" t="n">
        <f aca="false">Sens!I5548*Sens!I5547</f>
        <v>120.314179513248</v>
      </c>
      <c r="J5549" s="6" t="n">
        <f aca="false">Sens!J5548*Sens!J5547</f>
        <v>158.894814933046</v>
      </c>
      <c r="K5549" s="6" t="n">
        <f aca="false">Sens!K5548*Sens!K5547</f>
        <v>166.048785310566</v>
      </c>
    </row>
    <row r="5550" customFormat="false" ht="17.15" hidden="false" customHeight="false" outlineLevel="0" collapsed="false">
      <c r="A5550" s="1" t="s">
        <v>1047</v>
      </c>
      <c r="B5550" s="0" t="s">
        <v>98</v>
      </c>
      <c r="C5550" s="6" t="n">
        <f aca="false">SUM(Sens!F5549:K5549)</f>
        <v>566.904446060751</v>
      </c>
    </row>
    <row r="5551" customFormat="false" ht="17.15" hidden="false" customHeight="false" outlineLevel="0" collapsed="false">
      <c r="A5551" s="1" t="s">
        <v>1048</v>
      </c>
      <c r="B5551" s="0" t="s">
        <v>98</v>
      </c>
      <c r="C5551" s="6" t="n">
        <f aca="false">Sens!K5492*(1+g_tv)*(1-tax_f)</f>
        <v>293.74377880412</v>
      </c>
    </row>
    <row r="5552" customFormat="false" ht="17.15" hidden="false" customHeight="false" outlineLevel="0" collapsed="false">
      <c r="A5552" s="1" t="s">
        <v>1049</v>
      </c>
      <c r="B5552" s="0" t="s">
        <v>98</v>
      </c>
      <c r="C5552" s="6" t="n">
        <f aca="false">Sens!$C$5551*(1-g_tv/(wacc+ronic_prem))</f>
        <v>208.132830044974</v>
      </c>
    </row>
    <row r="5553" customFormat="false" ht="17.15" hidden="false" customHeight="false" outlineLevel="0" collapsed="false">
      <c r="A5553" s="1" t="s">
        <v>1050</v>
      </c>
      <c r="B5553" s="0" t="s">
        <v>98</v>
      </c>
      <c r="C5553" s="6" t="n">
        <f aca="false">Sens!$C$5552/(wacc-g_tv)</f>
        <v>2853.69829197154</v>
      </c>
    </row>
    <row r="5554" customFormat="false" ht="15" hidden="false" customHeight="false" outlineLevel="0" collapsed="false">
      <c r="A5554" s="1" t="s">
        <v>1051</v>
      </c>
      <c r="B5554" s="0" t="s">
        <v>98</v>
      </c>
      <c r="C5554" s="6" t="n">
        <f aca="false">Sens!$C$5553/(1+wacc)^(Sens!K5546+mid_yr)</f>
        <v>1585.29435658002</v>
      </c>
    </row>
    <row r="5555" customFormat="false" ht="17.15" hidden="false" customHeight="false" outlineLevel="0" collapsed="false">
      <c r="A5555" s="0" t="s">
        <v>972</v>
      </c>
      <c r="B5555" s="0" t="s">
        <v>98</v>
      </c>
      <c r="C5555" s="6" t="n">
        <f aca="false">Sens!$C$5550+Sens!$C$5554</f>
        <v>2152.19880264077</v>
      </c>
    </row>
    <row r="5556" customFormat="false" ht="15" hidden="false" customHeight="false" outlineLevel="0" collapsed="false">
      <c r="A5556" s="1" t="s">
        <v>973</v>
      </c>
      <c r="B5556" s="0" t="s">
        <v>129</v>
      </c>
      <c r="C5556" s="7" t="n">
        <f aca="false">Sens!$C$5554/Sens!$C$5555</f>
        <v>0.736592899612641</v>
      </c>
    </row>
    <row r="5557" customFormat="false" ht="17.15" hidden="false" customHeight="false" outlineLevel="0" collapsed="false">
      <c r="A5557" s="1" t="s">
        <v>1052</v>
      </c>
      <c r="B5557" s="0" t="s">
        <v>98</v>
      </c>
      <c r="C5557" s="6" t="n">
        <f aca="false">Sens!$C$5555+Sens!E5537-Sens!E5526+oai_v</f>
        <v>2286.71180264077</v>
      </c>
    </row>
    <row r="5558" customFormat="false" ht="17.15" hidden="false" customHeight="false" outlineLevel="0" collapsed="false">
      <c r="A5558" s="0" t="s">
        <v>980</v>
      </c>
      <c r="B5558" s="0" t="s">
        <v>75</v>
      </c>
      <c r="C5558" s="5" t="n">
        <f aca="false">Sens!$C$5557/sh_dil26</f>
        <v>306.817630838692</v>
      </c>
    </row>
    <row r="5559" customFormat="false" ht="15" hidden="false" customHeight="false" outlineLevel="0" collapsed="false">
      <c r="A5559" s="1" t="s">
        <v>1053</v>
      </c>
      <c r="B5559" s="0" t="s">
        <v>75</v>
      </c>
      <c r="C5559" s="8" t="n">
        <f aca="false">dps_27+Sens!G5529*roll_div_q/q_per_yr</f>
        <v>4.8895</v>
      </c>
    </row>
    <row r="5560" customFormat="false" ht="17.15" hidden="false" customHeight="false" outlineLevel="0" collapsed="false">
      <c r="A5560" s="0" t="s">
        <v>1054</v>
      </c>
      <c r="B5560" s="0" t="s">
        <v>75</v>
      </c>
      <c r="C5560" s="5" t="n">
        <f aca="false">Sens!$C$5558*(1+wacc)^t_roll-Sens!$C$5559</f>
        <v>344.493980731202</v>
      </c>
    </row>
    <row r="5561" customFormat="false" ht="17.15" hidden="false" customHeight="false" outlineLevel="0" collapsed="false">
      <c r="A5561" s="1" t="s">
        <v>1055</v>
      </c>
      <c r="B5561" s="0" t="s">
        <v>129</v>
      </c>
      <c r="F5561" s="7" t="n">
        <f aca="false">Sens!F5518/(Sens!F5463-Sens!F5419)</f>
        <v>0.0686864325746334</v>
      </c>
      <c r="G5561" s="7" t="n">
        <f aca="false">Sens!G5518/(Sens!G5463-Sens!G5419)</f>
        <v>0.066267001590801</v>
      </c>
      <c r="H5561" s="7" t="n">
        <f aca="false">Sens!H5518/(Sens!H5463-Sens!H5419)</f>
        <v>0.0650366246750144</v>
      </c>
      <c r="I5561" s="7" t="n">
        <f aca="false">Sens!I5518/(Sens!I5463-Sens!I5419)</f>
        <v>0.0648573271390164</v>
      </c>
      <c r="J5561" s="7" t="n">
        <f aca="false">Sens!J5518/(Sens!J5463-Sens!J5419)</f>
        <v>0.0655189837669657</v>
      </c>
      <c r="K5561" s="7" t="n">
        <f aca="false">Sens!K5518/(Sens!K5463-Sens!K5419)</f>
        <v>0.0667878921367872</v>
      </c>
    </row>
    <row r="5562" customFormat="false" ht="17.15" hidden="false" customHeight="false" outlineLevel="0" collapsed="false">
      <c r="A5562" s="0" t="s">
        <v>1056</v>
      </c>
      <c r="B5562" s="0" t="s">
        <v>98</v>
      </c>
      <c r="F5562" s="6" t="n">
        <f aca="false">Sens!F5448*(al_m365+Sens!F5561+sbc_r)</f>
        <v>82.8871280343675</v>
      </c>
      <c r="G5562" s="6" t="n">
        <f aca="false">Sens!G5448*(al_m365+Sens!G5561+sbc_r)</f>
        <v>93.2646494841949</v>
      </c>
      <c r="H5562" s="6" t="n">
        <f aca="false">Sens!H5448*(al_m365+Sens!H5561+sbc_r)</f>
        <v>103.801656157254</v>
      </c>
      <c r="I5562" s="6" t="n">
        <f aca="false">Sens!I5448*(al_m365+Sens!I5561+sbc_r)</f>
        <v>113.821873816133</v>
      </c>
      <c r="J5562" s="6" t="n">
        <f aca="false">Sens!J5448*(al_m365+Sens!J5561+sbc_r)</f>
        <v>123.136196807334</v>
      </c>
      <c r="K5562" s="6" t="n">
        <f aca="false">Sens!K5448*(al_m365+Sens!K5561+sbc_r)</f>
        <v>132.051675801964</v>
      </c>
      <c r="L5562" s="11" t="s">
        <v>1057</v>
      </c>
    </row>
    <row r="5563" customFormat="false" ht="17.15" hidden="false" customHeight="false" outlineLevel="0" collapsed="false">
      <c r="A5563" s="0" t="s">
        <v>1058</v>
      </c>
      <c r="B5563" s="0" t="s">
        <v>98</v>
      </c>
      <c r="F5563" s="6" t="n">
        <f aca="false">Sens!F5449*(al_lic+Sens!F5561+sbc_r)</f>
        <v>33.4484001235218</v>
      </c>
      <c r="G5563" s="6" t="n">
        <f aca="false">Sens!G5449*(al_lic+Sens!G5561+sbc_r)</f>
        <v>34.7662136749183</v>
      </c>
      <c r="H5563" s="6" t="n">
        <f aca="false">Sens!H5449*(al_lic+Sens!H5561+sbc_r)</f>
        <v>35.9922067034497</v>
      </c>
      <c r="I5563" s="6" t="n">
        <f aca="false">Sens!I5449*(al_lic+Sens!I5561+sbc_r)</f>
        <v>37.1063543598183</v>
      </c>
      <c r="J5563" s="6" t="n">
        <f aca="false">Sens!J5449*(al_lic+Sens!J5561+sbc_r)</f>
        <v>38.0853056964387</v>
      </c>
      <c r="K5563" s="6" t="n">
        <f aca="false">Sens!K5449*(al_lic+Sens!K5561+sbc_r)</f>
        <v>38.9048066370724</v>
      </c>
    </row>
    <row r="5564" customFormat="false" ht="17.15" hidden="false" customHeight="false" outlineLevel="0" collapsed="false">
      <c r="A5564" s="0" t="s">
        <v>1059</v>
      </c>
      <c r="B5564" s="0" t="s">
        <v>98</v>
      </c>
      <c r="F5564" s="6" t="n">
        <f aca="false">Sens!F5451*(al_ind+Sens!F5561+sbc_r)</f>
        <v>9.07857451914073</v>
      </c>
      <c r="G5564" s="6" t="n">
        <f aca="false">Sens!G5451*(al_ind+Sens!G5561+sbc_r)</f>
        <v>9.86487802721884</v>
      </c>
      <c r="H5564" s="6" t="n">
        <f aca="false">Sens!H5451*(al_ind+Sens!H5561+sbc_r)</f>
        <v>10.693809720013</v>
      </c>
      <c r="I5564" s="6" t="n">
        <f aca="false">Sens!I5451*(al_ind+Sens!I5561+sbc_r)</f>
        <v>11.5608645999226</v>
      </c>
      <c r="J5564" s="6" t="n">
        <f aca="false">Sens!J5451*(al_ind+Sens!J5561+sbc_r)</f>
        <v>12.4574161941375</v>
      </c>
      <c r="K5564" s="6" t="n">
        <f aca="false">Sens!K5451*(al_ind+Sens!K5561+sbc_r)</f>
        <v>13.3714153876622</v>
      </c>
    </row>
    <row r="5565" customFormat="false" ht="17.15" hidden="false" customHeight="false" outlineLevel="0" collapsed="false">
      <c r="A5565" s="0" t="s">
        <v>1060</v>
      </c>
      <c r="B5565" s="0" t="s">
        <v>98</v>
      </c>
      <c r="F5565" s="6" t="n">
        <f aca="false">Sens!F5453*(al_fro+Sens!F5561+sbc_r)</f>
        <v>3.57335880380168</v>
      </c>
      <c r="G5565" s="6" t="n">
        <f aca="false">Sens!G5453*(al_fro+Sens!G5561+sbc_r)</f>
        <v>3.78752993435501</v>
      </c>
      <c r="H5565" s="6" t="n">
        <f aca="false">Sens!H5453*(al_fro+Sens!H5561+sbc_r)</f>
        <v>4.02979352544868</v>
      </c>
      <c r="I5565" s="6" t="n">
        <f aca="false">Sens!I5453*(al_fro+Sens!I5561+sbc_r)</f>
        <v>4.30248328262388</v>
      </c>
      <c r="J5565" s="6" t="n">
        <f aca="false">Sens!J5453*(al_fro+Sens!J5561+sbc_r)</f>
        <v>4.6072312462081</v>
      </c>
      <c r="K5565" s="6" t="n">
        <f aca="false">Sens!K5453*(al_fro+Sens!K5561+sbc_r)</f>
        <v>4.94526327289735</v>
      </c>
    </row>
    <row r="5566" customFormat="false" ht="17.15" hidden="false" customHeight="false" outlineLevel="0" collapsed="false">
      <c r="A5566" s="0" t="s">
        <v>1061</v>
      </c>
      <c r="B5566" s="0" t="s">
        <v>98</v>
      </c>
      <c r="F5566" s="6" t="n">
        <f aca="false">Sens!F5456*(al_srch+Sens!F5561+sbc_r)</f>
        <v>11.2121706988551</v>
      </c>
      <c r="G5566" s="6" t="n">
        <f aca="false">Sens!G5456*(al_srch+Sens!G5561+sbc_r)</f>
        <v>12.298220751086</v>
      </c>
      <c r="H5566" s="6" t="n">
        <f aca="false">Sens!H5456*(al_srch+Sens!H5561+sbc_r)</f>
        <v>13.4264661389574</v>
      </c>
      <c r="I5566" s="6" t="n">
        <f aca="false">Sens!I5456*(al_srch+Sens!I5561+sbc_r)</f>
        <v>14.5842947685169</v>
      </c>
      <c r="J5566" s="6" t="n">
        <f aca="false">Sens!J5456*(al_srch+Sens!J5561+sbc_r)</f>
        <v>15.7529827260804</v>
      </c>
      <c r="K5566" s="6" t="n">
        <f aca="false">Sens!K5456*(al_srch+Sens!K5561+sbc_r)</f>
        <v>16.908777257054</v>
      </c>
    </row>
    <row r="5567" customFormat="false" ht="17.15" hidden="false" customHeight="false" outlineLevel="0" collapsed="false">
      <c r="A5567" s="0" t="s">
        <v>1062</v>
      </c>
      <c r="B5567" s="0" t="s">
        <v>98</v>
      </c>
      <c r="F5567" s="6" t="n">
        <f aca="false">Sens!F5425-Sens!F5426+Sens!F5506</f>
        <v>53.7187646910587</v>
      </c>
      <c r="G5567" s="6" t="n">
        <f aca="false">Sens!G5425-Sens!G5426+Sens!G5506</f>
        <v>93.4733809065058</v>
      </c>
      <c r="H5567" s="6" t="n">
        <f aca="false">Sens!H5425-Sens!H5426+Sens!H5506</f>
        <v>135.926931128154</v>
      </c>
      <c r="I5567" s="6" t="n">
        <f aca="false">Sens!I5425-Sens!I5426+Sens!I5506</f>
        <v>173.965415600743</v>
      </c>
      <c r="J5567" s="6" t="n">
        <f aca="false">Sens!J5425-Sens!J5426+Sens!J5506</f>
        <v>200.735225268572</v>
      </c>
      <c r="K5567" s="6" t="n">
        <f aca="false">Sens!K5425-Sens!K5426+Sens!K5506</f>
        <v>217.578558295552</v>
      </c>
    </row>
    <row r="5568" customFormat="false" ht="17.15" hidden="false" customHeight="false" outlineLevel="0" collapsed="false">
      <c r="A5568" s="0" t="s">
        <v>1063</v>
      </c>
      <c r="B5568" s="0" t="s">
        <v>98</v>
      </c>
      <c r="F5568" s="6" t="n">
        <f aca="false">Sens!F5485+Sens!F5506+Sens!F5436+Sens!F5561*(Sens!F5455-Sens!F5419)+sbc_r*Sens!F5455</f>
        <v>243.78845270905</v>
      </c>
      <c r="G5568" s="6" t="n">
        <f aca="false">Sens!G5485+Sens!G5506+Sens!G5436+Sens!G5561*(Sens!G5455-Sens!G5419)+sbc_r*Sens!G5455</f>
        <v>308.725872079234</v>
      </c>
      <c r="H5568" s="6" t="n">
        <f aca="false">Sens!H5485+Sens!H5506+Sens!H5436+Sens!H5561*(Sens!H5455-Sens!H5419)+sbc_r*Sens!H5455</f>
        <v>376.854958255511</v>
      </c>
      <c r="I5568" s="6" t="n">
        <f aca="false">Sens!I5485+Sens!I5506+Sens!I5436+Sens!I5561*(Sens!I5455-Sens!I5419)+sbc_r*Sens!I5455</f>
        <v>439.653839283558</v>
      </c>
      <c r="J5568" s="6" t="n">
        <f aca="false">Sens!J5485+Sens!J5506+Sens!J5436+Sens!J5561*(Sens!J5455-Sens!J5419)+sbc_r*Sens!J5455</f>
        <v>489.203502739088</v>
      </c>
      <c r="K5568" s="6" t="n">
        <f aca="false">Sens!K5485+Sens!K5506+Sens!K5436+Sens!K5561*(Sens!K5455-Sens!K5419)+sbc_r*Sens!K5455</f>
        <v>526.451830668924</v>
      </c>
    </row>
    <row r="5569" customFormat="false" ht="17.15" hidden="false" customHeight="false" outlineLevel="0" collapsed="false">
      <c r="A5569" s="0" t="s">
        <v>1064</v>
      </c>
      <c r="B5569" s="0" t="s">
        <v>98</v>
      </c>
      <c r="F5569" s="6" t="n">
        <f aca="false">Sens!F5568-Sens!F5562-Sens!F5563-Sens!F5564-Sens!F5565-Sens!F5567</f>
        <v>61.0822265371591</v>
      </c>
      <c r="G5569" s="6" t="n">
        <f aca="false">Sens!G5568-Sens!G5562-Sens!G5563-Sens!G5564-Sens!G5565-Sens!G5567</f>
        <v>73.5692200520415</v>
      </c>
      <c r="H5569" s="6" t="n">
        <f aca="false">Sens!H5568-Sens!H5562-Sens!H5563-Sens!H5564-Sens!H5565-Sens!H5567</f>
        <v>86.4105610211917</v>
      </c>
      <c r="I5569" s="6" t="n">
        <f aca="false">Sens!I5568-Sens!I5562-Sens!I5563-Sens!I5564-Sens!I5565-Sens!I5567</f>
        <v>98.896847624316</v>
      </c>
      <c r="J5569" s="6" t="n">
        <f aca="false">Sens!J5568-Sens!J5562-Sens!J5563-Sens!J5564-Sens!J5565-Sens!J5567</f>
        <v>110.182127526397</v>
      </c>
      <c r="K5569" s="6" t="n">
        <f aca="false">Sens!K5568-Sens!K5562-Sens!K5563-Sens!K5564-Sens!K5565-Sens!K5567</f>
        <v>119.600111273775</v>
      </c>
    </row>
    <row r="5570" customFormat="false" ht="17.15" hidden="false" customHeight="false" outlineLevel="0" collapsed="false">
      <c r="A5570" s="0" t="s">
        <v>1065</v>
      </c>
      <c r="B5570" s="0" t="s">
        <v>98</v>
      </c>
      <c r="F5570" s="6" t="n">
        <f aca="false">Sens!F5487+Sens!F5561*Sens!F5462+sbc_r*Sens!F5462</f>
        <v>26.2049549828959</v>
      </c>
      <c r="G5570" s="6" t="n">
        <f aca="false">Sens!G5487+Sens!G5561*Sens!G5462+sbc_r*Sens!G5462</f>
        <v>26.8405806403664</v>
      </c>
      <c r="H5570" s="6" t="n">
        <f aca="false">Sens!H5487+Sens!H5561*Sens!H5462+sbc_r*Sens!H5462</f>
        <v>27.7352032470138</v>
      </c>
      <c r="I5570" s="6" t="n">
        <f aca="false">Sens!I5487+Sens!I5561*Sens!I5462+sbc_r*Sens!I5462</f>
        <v>28.8569155956094</v>
      </c>
      <c r="J5570" s="6" t="n">
        <f aca="false">Sens!J5487+Sens!J5561*Sens!J5462+sbc_r*Sens!J5462</f>
        <v>30.1744385645725</v>
      </c>
      <c r="K5570" s="6" t="n">
        <f aca="false">Sens!K5487+Sens!K5561*Sens!K5462+sbc_r*Sens!K5462</f>
        <v>31.6584976186802</v>
      </c>
    </row>
    <row r="5571" customFormat="false" ht="17.15" hidden="false" customHeight="false" outlineLevel="0" collapsed="false">
      <c r="A5571" s="0" t="s">
        <v>1066</v>
      </c>
      <c r="B5571" s="0" t="s">
        <v>98</v>
      </c>
      <c r="F5571" s="6" t="n">
        <f aca="false">(Sens!F5570-Sens!F5566)*Sens!F5458/(Sens!F5458+Sens!F5460)</f>
        <v>8.21889831690819</v>
      </c>
      <c r="G5571" s="6" t="n">
        <f aca="false">(Sens!G5570-Sens!G5566)*Sens!G5458/(Sens!G5458+Sens!G5460)</f>
        <v>7.82984014749099</v>
      </c>
      <c r="H5571" s="6" t="n">
        <f aca="false">(Sens!H5570-Sens!H5566)*Sens!H5458/(Sens!H5458+Sens!H5460)</f>
        <v>7.5999849964554</v>
      </c>
      <c r="I5571" s="6" t="n">
        <f aca="false">(Sens!I5570-Sens!I5566)*Sens!I5458/(Sens!I5458+Sens!I5460)</f>
        <v>7.51221089422364</v>
      </c>
      <c r="J5571" s="6" t="n">
        <f aca="false">(Sens!J5570-Sens!J5566)*Sens!J5458/(Sens!J5458+Sens!J5460)</f>
        <v>7.55622411401827</v>
      </c>
      <c r="K5571" s="6" t="n">
        <f aca="false">(Sens!K5570-Sens!K5566)*Sens!K5458/(Sens!K5458+Sens!K5460)</f>
        <v>7.72822064011532</v>
      </c>
    </row>
    <row r="5572" customFormat="false" ht="17.15" hidden="false" customHeight="false" outlineLevel="0" collapsed="false">
      <c r="A5572" s="0" t="s">
        <v>1067</v>
      </c>
      <c r="B5572" s="0" t="s">
        <v>98</v>
      </c>
      <c r="F5572" s="6" t="n">
        <f aca="false">Sens!F5570-Sens!F5566-Sens!F5571</f>
        <v>6.77388596713263</v>
      </c>
      <c r="G5572" s="6" t="n">
        <f aca="false">Sens!G5570-Sens!G5566-Sens!G5571</f>
        <v>6.71251974178949</v>
      </c>
      <c r="H5572" s="6" t="n">
        <f aca="false">Sens!H5570-Sens!H5566-Sens!H5571</f>
        <v>6.70875211160101</v>
      </c>
      <c r="I5572" s="6" t="n">
        <f aca="false">Sens!I5570-Sens!I5566-Sens!I5571</f>
        <v>6.76040993286883</v>
      </c>
      <c r="J5572" s="6" t="n">
        <f aca="false">Sens!J5570-Sens!J5566-Sens!J5571</f>
        <v>6.86523172447386</v>
      </c>
      <c r="K5572" s="6" t="n">
        <f aca="false">Sens!K5570-Sens!K5566-Sens!K5571</f>
        <v>7.02149972151092</v>
      </c>
    </row>
    <row r="5573" customFormat="false" ht="17.15" hidden="false" customHeight="false" outlineLevel="0" collapsed="false">
      <c r="A5573" s="0" t="s">
        <v>1068</v>
      </c>
      <c r="B5573" s="0" t="s">
        <v>98</v>
      </c>
      <c r="F5573" s="6" t="n">
        <f aca="false">Sens!F5567-tax_f*(Sens!F5567-Sens!F5436)-Sens!F5433</f>
        <v>-118.845033926417</v>
      </c>
      <c r="G5573" s="6" t="n">
        <f aca="false">Sens!G5567-tax_f*(Sens!G5567-Sens!G5436)-Sens!G5433</f>
        <v>-96.6891291059275</v>
      </c>
      <c r="H5573" s="6" t="n">
        <f aca="false">Sens!H5567-tax_f*(Sens!H5567-Sens!H5436)-Sens!H5433</f>
        <v>-61.7852778092486</v>
      </c>
      <c r="I5573" s="6" t="n">
        <f aca="false">Sens!I5567-tax_f*(Sens!I5567-Sens!I5436)-Sens!I5433</f>
        <v>-2.13192867720639</v>
      </c>
      <c r="J5573" s="6" t="n">
        <f aca="false">Sens!J5567-tax_f*(Sens!J5567-Sens!J5436)-Sens!J5433</f>
        <v>61.9174456813002</v>
      </c>
      <c r="K5573" s="6" t="n">
        <f aca="false">Sens!K5567-tax_f*(Sens!K5567-Sens!K5436)-Sens!K5433</f>
        <v>87.0379403554006</v>
      </c>
    </row>
    <row r="5574" customFormat="false" ht="17.15" hidden="false" customHeight="false" outlineLevel="0" collapsed="false">
      <c r="A5574" s="0" t="s">
        <v>1069</v>
      </c>
      <c r="B5574" s="0" t="s">
        <v>98</v>
      </c>
      <c r="F5574" s="6" t="n">
        <f aca="false">Sens!F5573*Sens!F5547</f>
        <v>-113.163453790981</v>
      </c>
      <c r="G5574" s="6" t="n">
        <f aca="false">Sens!G5573*Sens!G5547</f>
        <v>-83.4743628971735</v>
      </c>
      <c r="H5574" s="6" t="n">
        <f aca="false">Sens!H5573*Sens!H5547</f>
        <v>-48.3627266518033</v>
      </c>
      <c r="I5574" s="6" t="n">
        <f aca="false">Sens!I5573*Sens!I5547</f>
        <v>-1.5130342373282</v>
      </c>
      <c r="J5574" s="6" t="n">
        <f aca="false">Sens!J5573*Sens!J5547</f>
        <v>39.8418435303582</v>
      </c>
      <c r="K5574" s="6" t="n">
        <f aca="false">Sens!K5573*Sens!K5547</f>
        <v>50.7791362030106</v>
      </c>
    </row>
    <row r="5575" customFormat="false" ht="17.15" hidden="false" customHeight="false" outlineLevel="0" collapsed="false">
      <c r="A5575" s="0" t="s">
        <v>1070</v>
      </c>
      <c r="B5575" s="0" t="s">
        <v>98</v>
      </c>
      <c r="C5575" s="6" t="n">
        <f aca="false">(Sens!K5567-Sens!K5436)*(1-tax_f)*(1+g_tv)*(1-g_tv/(wacc+ronic_prem))/(wacc-g_tv)/(1+wacc)^(Sens!K5546+mid_yr)</f>
        <v>346.448640114455</v>
      </c>
    </row>
    <row r="5576" customFormat="false" ht="17.15" hidden="false" customHeight="false" outlineLevel="0" collapsed="false">
      <c r="A5576" s="1" t="s">
        <v>1071</v>
      </c>
      <c r="B5576" s="0" t="s">
        <v>98</v>
      </c>
      <c r="C5576" s="6" t="n">
        <f aca="false">(SUM(Sens!F5574:K5574)+Sens!$C$5575)*(1+wacc)^t_roll</f>
        <v>216.99252790934</v>
      </c>
      <c r="L5576" s="11" t="s">
        <v>1072</v>
      </c>
    </row>
    <row r="5577" customFormat="false" ht="17.15" hidden="false" customHeight="false" outlineLevel="0" collapsed="false">
      <c r="A5577" s="1" t="s">
        <v>1073</v>
      </c>
      <c r="B5577" s="0" t="s">
        <v>98</v>
      </c>
      <c r="C5577" s="6" t="n">
        <f aca="false">(w_ntm28*Sens!G5425+(1-w_ntm28)*Sens!H5425)*m_ai</f>
        <v>454.922440830797</v>
      </c>
    </row>
    <row r="5578" customFormat="false" ht="17.15" hidden="false" customHeight="false" outlineLevel="0" collapsed="false">
      <c r="A5578" s="1" t="s">
        <v>1074</v>
      </c>
      <c r="B5578" s="0" t="s">
        <v>98</v>
      </c>
      <c r="C5578" s="6" t="n">
        <f aca="false">(w_ntm28*Sens!G5569+(1-w_ntm28)*Sens!H5569)*m_cloud</f>
        <v>1074.09962166401</v>
      </c>
    </row>
    <row r="5579" customFormat="false" ht="17.15" hidden="false" customHeight="false" outlineLevel="0" collapsed="false">
      <c r="A5579" s="1" t="s">
        <v>1075</v>
      </c>
      <c r="B5579" s="0" t="s">
        <v>98</v>
      </c>
      <c r="C5579" s="6" t="n">
        <f aca="false">(w_ntm28*Sens!G5562+(1-w_ntm28)*Sens!H5562)*m_sw</f>
        <v>1044.04824539957</v>
      </c>
    </row>
    <row r="5580" customFormat="false" ht="17.15" hidden="false" customHeight="false" outlineLevel="0" collapsed="false">
      <c r="A5580" s="1" t="s">
        <v>1076</v>
      </c>
      <c r="B5580" s="0" t="s">
        <v>98</v>
      </c>
      <c r="C5580" s="6" t="n">
        <f aca="false">(w_ntm28*Sens!G5563+(1-w_ntm28)*Sens!H5563)*m_sw</f>
        <v>379.755670745447</v>
      </c>
    </row>
    <row r="5581" customFormat="false" ht="17.15" hidden="false" customHeight="false" outlineLevel="0" collapsed="false">
      <c r="A5581" s="1" t="s">
        <v>1077</v>
      </c>
      <c r="B5581" s="0" t="s">
        <v>98</v>
      </c>
      <c r="C5581" s="6" t="n">
        <f aca="false">(w_ntm28*Sens!G5564+(1-w_ntm28)*Sens!H5564)*m_sw</f>
        <v>109.434903376969</v>
      </c>
    </row>
    <row r="5582" customFormat="false" ht="17.15" hidden="false" customHeight="false" outlineLevel="0" collapsed="false">
      <c r="A5582" s="1" t="s">
        <v>1078</v>
      </c>
      <c r="B5582" s="0" t="s">
        <v>98</v>
      </c>
      <c r="C5582" s="6" t="n">
        <f aca="false">(w_ntm28*Sens!G5565+(1-w_ntm28)*Sens!H5565)*m_sw</f>
        <v>41.7511882786773</v>
      </c>
    </row>
    <row r="5583" customFormat="false" ht="17.15" hidden="false" customHeight="false" outlineLevel="0" collapsed="false">
      <c r="A5583" s="1" t="s">
        <v>1079</v>
      </c>
      <c r="B5583" s="0" t="s">
        <v>98</v>
      </c>
      <c r="C5583" s="6" t="n">
        <f aca="false">(w_ntm28*Sens!G5566+(1-w_ntm28)*Sens!H5566)*m_ads</f>
        <v>115.359643719254</v>
      </c>
    </row>
    <row r="5584" customFormat="false" ht="17.15" hidden="false" customHeight="false" outlineLevel="0" collapsed="false">
      <c r="A5584" s="1" t="s">
        <v>1080</v>
      </c>
      <c r="B5584" s="0" t="s">
        <v>98</v>
      </c>
      <c r="C5584" s="6" t="n">
        <f aca="false">(w_ntm28*Sens!G5571+(1-w_ntm28)*Sens!H5571)*m_game</f>
        <v>97.9523541428266</v>
      </c>
    </row>
    <row r="5585" customFormat="false" ht="17.15" hidden="false" customHeight="false" outlineLevel="0" collapsed="false">
      <c r="A5585" s="1" t="s">
        <v>1081</v>
      </c>
      <c r="B5585" s="0" t="s">
        <v>98</v>
      </c>
      <c r="C5585" s="6" t="n">
        <f aca="false">(w_ntm28*Sens!G5572+(1-w_ntm28)*Sens!H5572)*m_pc</f>
        <v>97.1125357928949</v>
      </c>
    </row>
    <row r="5586" customFormat="false" ht="17.15" hidden="false" customHeight="false" outlineLevel="0" collapsed="false">
      <c r="A5586" s="1" t="s">
        <v>1082</v>
      </c>
      <c r="B5586" s="0" t="s">
        <v>98</v>
      </c>
      <c r="C5586" s="6" t="n">
        <f aca="false">Sens!$C$5576+Sens!$C$5578+Sens!$C$5579+Sens!$C$5580+Sens!$C$5581+Sens!$C$5582+Sens!$C$5583+Sens!$C$5584+Sens!$C$5585</f>
        <v>3176.50669102899</v>
      </c>
    </row>
    <row r="5587" customFormat="false" ht="17.15" hidden="false" customHeight="false" outlineLevel="0" collapsed="false">
      <c r="A5587" s="1" t="s">
        <v>1000</v>
      </c>
      <c r="B5587" s="0" t="s">
        <v>98</v>
      </c>
      <c r="C5587" s="6" t="n">
        <f aca="false">Sens!F5537+oai_v-Sens!F5526</f>
        <v>110.500272842532</v>
      </c>
      <c r="L5587" s="1" t="s">
        <v>1083</v>
      </c>
    </row>
    <row r="5588" customFormat="false" ht="15" hidden="false" customHeight="false" outlineLevel="0" collapsed="false">
      <c r="A5588" s="1" t="s">
        <v>1001</v>
      </c>
      <c r="B5588" s="0" t="s">
        <v>75</v>
      </c>
      <c r="C5588" s="5" t="n">
        <f aca="false">(Sens!$C$5586+Sens!$C$5587)/Sens!F5539</f>
        <v>439.909925571671</v>
      </c>
    </row>
    <row r="5589" customFormat="false" ht="17.15" hidden="false" customHeight="false" outlineLevel="0" collapsed="false">
      <c r="A5589" s="1" t="s">
        <v>1084</v>
      </c>
      <c r="B5589" s="0" t="s">
        <v>75</v>
      </c>
      <c r="C5589" s="5" t="n">
        <f aca="false">w_dcf*Sens!$C$5560+(1-w_dcf)*Sens!$C$5588</f>
        <v>392.201953151436</v>
      </c>
    </row>
    <row r="5590" customFormat="false" ht="17.15" hidden="false" customHeight="false" outlineLevel="0" collapsed="false">
      <c r="A5590" s="3" t="s">
        <v>1379</v>
      </c>
    </row>
    <row r="5591" customFormat="false" ht="15" hidden="false" customHeight="false" outlineLevel="0" collapsed="false">
      <c r="A5591" s="4" t="s">
        <v>43</v>
      </c>
      <c r="B5591" s="4" t="s">
        <v>65</v>
      </c>
      <c r="C5591" s="20" t="s">
        <v>788</v>
      </c>
      <c r="D5591" s="20" t="s">
        <v>789</v>
      </c>
      <c r="E5591" s="20" t="s">
        <v>790</v>
      </c>
      <c r="F5591" s="20" t="s">
        <v>791</v>
      </c>
      <c r="G5591" s="20" t="s">
        <v>792</v>
      </c>
      <c r="H5591" s="20" t="s">
        <v>793</v>
      </c>
      <c r="I5591" s="20" t="s">
        <v>794</v>
      </c>
      <c r="J5591" s="20" t="s">
        <v>795</v>
      </c>
      <c r="K5591" s="20" t="s">
        <v>796</v>
      </c>
      <c r="L5591" s="4" t="s">
        <v>47</v>
      </c>
    </row>
    <row r="5592" customFormat="false" ht="17.15" hidden="false" customHeight="false" outlineLevel="0" collapsed="false">
      <c r="A5592" s="1" t="s">
        <v>797</v>
      </c>
      <c r="B5592" s="1" t="s">
        <v>235</v>
      </c>
      <c r="C5592" s="28" t="n">
        <v>2024</v>
      </c>
      <c r="D5592" s="28" t="n">
        <v>2025</v>
      </c>
      <c r="E5592" s="28" t="n">
        <v>2026</v>
      </c>
      <c r="F5592" s="28" t="n">
        <v>2027</v>
      </c>
      <c r="G5592" s="28" t="n">
        <v>2028</v>
      </c>
      <c r="H5592" s="28" t="n">
        <v>2029</v>
      </c>
      <c r="I5592" s="28" t="n">
        <v>2030</v>
      </c>
      <c r="J5592" s="28" t="n">
        <v>2031</v>
      </c>
      <c r="K5592" s="28" t="n">
        <v>2032</v>
      </c>
    </row>
    <row r="5593" customFormat="false" ht="17.15" hidden="false" customHeight="false" outlineLevel="0" collapsed="false">
      <c r="A5593" s="1" t="s">
        <v>798</v>
      </c>
      <c r="B5593" s="0" t="s">
        <v>392</v>
      </c>
      <c r="F5593" s="29" t="n">
        <f aca="false">pace</f>
        <v>2527.2</v>
      </c>
      <c r="G5593" s="29" t="n">
        <f aca="false">pace</f>
        <v>2527.2</v>
      </c>
      <c r="H5593" s="29" t="n">
        <f aca="false">pace</f>
        <v>2527.2</v>
      </c>
      <c r="I5593" s="29" t="n">
        <f aca="false">pace+(g_tv*Sens!H5594-pace)*MIN(1,(Sens!I5592-pace_y0)/(pace_y1-pace_y0))</f>
        <v>1793.116</v>
      </c>
      <c r="J5593" s="29" t="n">
        <f aca="false">pace+(g_tv*Sens!H5594-pace)*MIN(1,(Sens!J5592-pace_y0)/(pace_y1-pace_y0))</f>
        <v>1059.032</v>
      </c>
      <c r="K5593" s="29" t="n">
        <f aca="false">pace+(g_tv*Sens!H5594-pace)*MIN(1,(Sens!K5592-pace_y0)/(pace_y1-pace_y0))</f>
        <v>324.948</v>
      </c>
      <c r="L5593" s="11" t="s">
        <v>799</v>
      </c>
    </row>
    <row r="5594" customFormat="false" ht="17.15" hidden="false" customHeight="false" outlineLevel="0" collapsed="false">
      <c r="A5594" s="1" t="s">
        <v>800</v>
      </c>
      <c r="B5594" s="0" t="s">
        <v>392</v>
      </c>
      <c r="C5594" s="29" t="n">
        <f aca="false">mw_ext_24</f>
        <v>640</v>
      </c>
      <c r="D5594" s="29" t="n">
        <f aca="false">mw_ext_25</f>
        <v>1630</v>
      </c>
      <c r="E5594" s="29" t="n">
        <f aca="false">mw_ext_26</f>
        <v>3250</v>
      </c>
      <c r="F5594" s="29" t="n">
        <f aca="false">Sens!E5594+Sens!F5593</f>
        <v>5777.2</v>
      </c>
      <c r="G5594" s="29" t="n">
        <f aca="false">Sens!F5594+Sens!G5593</f>
        <v>8304.4</v>
      </c>
      <c r="H5594" s="29" t="n">
        <f aca="false">Sens!G5594+Sens!H5593</f>
        <v>10831.6</v>
      </c>
      <c r="I5594" s="29" t="n">
        <f aca="false">Sens!H5594+Sens!I5593</f>
        <v>12624.716</v>
      </c>
      <c r="J5594" s="29" t="n">
        <f aca="false">Sens!I5594+Sens!J5593</f>
        <v>13683.748</v>
      </c>
      <c r="K5594" s="29" t="n">
        <f aca="false">Sens!J5594+Sens!K5593</f>
        <v>14008.696</v>
      </c>
      <c r="L5594" s="1" t="s">
        <v>801</v>
      </c>
    </row>
    <row r="5595" customFormat="false" ht="17.15" hidden="false" customHeight="false" outlineLevel="0" collapsed="false">
      <c r="A5595" s="1" t="s">
        <v>802</v>
      </c>
      <c r="B5595" s="0" t="s">
        <v>392</v>
      </c>
      <c r="C5595" s="29" t="n">
        <f aca="false">rent_ext_24</f>
        <v>150</v>
      </c>
      <c r="D5595" s="29" t="n">
        <f aca="false">rent_ext_25</f>
        <v>400</v>
      </c>
      <c r="E5595" s="29" t="n">
        <f aca="false">rent_ext_26</f>
        <v>550</v>
      </c>
      <c r="F5595" s="29" t="n">
        <f aca="false">rent_ext_f</f>
        <v>756</v>
      </c>
      <c r="G5595" s="29" t="n">
        <f aca="false">rent_ext_f</f>
        <v>756</v>
      </c>
      <c r="H5595" s="29" t="n">
        <f aca="false">rent_ext_f</f>
        <v>756</v>
      </c>
      <c r="I5595" s="29" t="n">
        <f aca="false">rent_ext_f</f>
        <v>756</v>
      </c>
      <c r="J5595" s="29" t="n">
        <f aca="false">rent_ext_f</f>
        <v>756</v>
      </c>
      <c r="K5595" s="29" t="n">
        <f aca="false">rent_ext_f</f>
        <v>756</v>
      </c>
      <c r="L5595" s="1" t="s">
        <v>803</v>
      </c>
    </row>
    <row r="5596" customFormat="false" ht="17.15" hidden="false" customHeight="false" outlineLevel="0" collapsed="false">
      <c r="A5596" s="1" t="s">
        <v>804</v>
      </c>
      <c r="B5596" s="0" t="s">
        <v>392</v>
      </c>
      <c r="C5596" s="29" t="n">
        <f aca="false">Sens!C5594-Sens!C5595</f>
        <v>490</v>
      </c>
      <c r="D5596" s="29" t="n">
        <f aca="false">Sens!D5594-Sens!D5595</f>
        <v>1230</v>
      </c>
      <c r="E5596" s="29" t="n">
        <f aca="false">Sens!E5594-Sens!E5595</f>
        <v>2700</v>
      </c>
      <c r="F5596" s="29" t="n">
        <f aca="false">Sens!F5594-Sens!F5595</f>
        <v>5021.2</v>
      </c>
      <c r="G5596" s="29" t="n">
        <f aca="false">Sens!G5594-Sens!G5595</f>
        <v>7548.4</v>
      </c>
      <c r="H5596" s="29" t="n">
        <f aca="false">Sens!H5594-Sens!H5595</f>
        <v>10075.6</v>
      </c>
      <c r="I5596" s="29" t="n">
        <f aca="false">Sens!I5594-Sens!I5595</f>
        <v>11868.716</v>
      </c>
      <c r="J5596" s="29" t="n">
        <f aca="false">Sens!J5594-Sens!J5595</f>
        <v>12927.748</v>
      </c>
      <c r="K5596" s="29" t="n">
        <f aca="false">Sens!K5594-Sens!K5595</f>
        <v>13252.696</v>
      </c>
    </row>
    <row r="5597" customFormat="false" ht="17.15" hidden="false" customHeight="false" outlineLevel="0" collapsed="false">
      <c r="A5597" s="1" t="s">
        <v>805</v>
      </c>
      <c r="B5597" s="0" t="s">
        <v>392</v>
      </c>
      <c r="C5597" s="29" t="n">
        <f aca="false">Sens!C5596/ext_sh</f>
        <v>816.666666666667</v>
      </c>
      <c r="D5597" s="29" t="n">
        <f aca="false">Sens!D5596/ext_sh</f>
        <v>2050</v>
      </c>
      <c r="E5597" s="29" t="n">
        <f aca="false">Sens!E5596/ext_sh</f>
        <v>4500</v>
      </c>
      <c r="F5597" s="29" t="n">
        <f aca="false">Sens!F5596/ext_sh</f>
        <v>8368.66666666667</v>
      </c>
      <c r="G5597" s="29" t="n">
        <f aca="false">Sens!G5596/ext_sh</f>
        <v>12580.6666666667</v>
      </c>
      <c r="H5597" s="29" t="n">
        <f aca="false">Sens!H5596/ext_sh</f>
        <v>16792.6666666667</v>
      </c>
      <c r="I5597" s="29" t="n">
        <f aca="false">Sens!I5596/ext_sh</f>
        <v>19781.1933333333</v>
      </c>
      <c r="J5597" s="29" t="n">
        <f aca="false">Sens!J5596/ext_sh</f>
        <v>21546.2466666667</v>
      </c>
      <c r="K5597" s="29" t="n">
        <f aca="false">Sens!K5596/ext_sh</f>
        <v>22087.8266666667</v>
      </c>
      <c r="L5597" s="1" t="s">
        <v>806</v>
      </c>
    </row>
    <row r="5598" customFormat="false" ht="17.15" hidden="false" customHeight="false" outlineLevel="0" collapsed="false">
      <c r="A5598" s="1" t="s">
        <v>807</v>
      </c>
      <c r="B5598" s="0" t="s">
        <v>392</v>
      </c>
      <c r="C5598" s="29" t="n">
        <f aca="false">Sens!C5597-Sens!C5596</f>
        <v>326.666666666667</v>
      </c>
      <c r="D5598" s="29" t="n">
        <f aca="false">Sens!D5597-Sens!D5596</f>
        <v>820</v>
      </c>
      <c r="E5598" s="29" t="n">
        <f aca="false">Sens!E5597-Sens!E5596</f>
        <v>1800</v>
      </c>
      <c r="F5598" s="29" t="n">
        <f aca="false">Sens!F5597-Sens!F5596</f>
        <v>3347.46666666667</v>
      </c>
      <c r="G5598" s="29" t="n">
        <f aca="false">Sens!G5597-Sens!G5596</f>
        <v>5032.26666666667</v>
      </c>
      <c r="H5598" s="29" t="n">
        <f aca="false">Sens!H5597-Sens!H5596</f>
        <v>6717.06666666667</v>
      </c>
      <c r="I5598" s="29" t="n">
        <f aca="false">Sens!I5597-Sens!I5596</f>
        <v>7912.47733333333</v>
      </c>
      <c r="J5598" s="29" t="n">
        <f aca="false">Sens!J5597-Sens!J5596</f>
        <v>8618.49866666667</v>
      </c>
      <c r="K5598" s="29" t="n">
        <f aca="false">Sens!K5597-Sens!K5596</f>
        <v>8835.13066666667</v>
      </c>
    </row>
    <row r="5599" customFormat="false" ht="17.15" hidden="false" customHeight="false" outlineLevel="0" collapsed="false">
      <c r="A5599" s="1" t="s">
        <v>808</v>
      </c>
      <c r="B5599" s="0" t="s">
        <v>392</v>
      </c>
      <c r="C5599" s="29" t="n">
        <f aca="false">Sens!C5597</f>
        <v>816.666666666667</v>
      </c>
      <c r="D5599" s="29" t="n">
        <f aca="false">Sens!D5597-Sens!C5597</f>
        <v>1233.33333333333</v>
      </c>
      <c r="E5599" s="29" t="n">
        <f aca="false">Sens!E5597-Sens!D5597</f>
        <v>2450</v>
      </c>
      <c r="F5599" s="29" t="n">
        <f aca="false">Sens!F5597-Sens!E5597</f>
        <v>3868.66666666667</v>
      </c>
      <c r="G5599" s="29" t="n">
        <f aca="false">Sens!G5597-Sens!F5597</f>
        <v>4212</v>
      </c>
      <c r="H5599" s="29" t="n">
        <f aca="false">Sens!H5597-Sens!G5597</f>
        <v>4212</v>
      </c>
      <c r="I5599" s="29" t="n">
        <f aca="false">Sens!I5597-Sens!H5597</f>
        <v>2988.52666666667</v>
      </c>
      <c r="J5599" s="29" t="n">
        <f aca="false">Sens!J5597-Sens!I5597</f>
        <v>1765.05333333333</v>
      </c>
      <c r="K5599" s="29" t="n">
        <f aca="false">Sens!K5597-Sens!J5597</f>
        <v>541.580000000002</v>
      </c>
    </row>
    <row r="5600" customFormat="false" ht="17.15" hidden="false" customHeight="false" outlineLevel="0" collapsed="false">
      <c r="A5600" s="1" t="s">
        <v>809</v>
      </c>
      <c r="B5600" s="0" t="s">
        <v>392</v>
      </c>
      <c r="D5600" s="29" t="n">
        <f aca="false">Sens!D5594-Sens!C5594</f>
        <v>990</v>
      </c>
      <c r="E5600" s="29" t="n">
        <f aca="false">Sens!E5594-Sens!D5594</f>
        <v>1620</v>
      </c>
      <c r="F5600" s="29" t="n">
        <f aca="false">Sens!F5594-Sens!E5594</f>
        <v>2527.2</v>
      </c>
      <c r="G5600" s="29" t="n">
        <f aca="false">Sens!G5594-Sens!F5594</f>
        <v>2527.2</v>
      </c>
      <c r="H5600" s="29" t="n">
        <f aca="false">Sens!H5594-Sens!G5594</f>
        <v>2527.2</v>
      </c>
      <c r="I5600" s="29" t="n">
        <f aca="false">Sens!I5594-Sens!H5594</f>
        <v>1793.116</v>
      </c>
      <c r="J5600" s="29" t="n">
        <f aca="false">Sens!J5594-Sens!I5594</f>
        <v>1059.032</v>
      </c>
      <c r="K5600" s="29" t="n">
        <f aca="false">Sens!K5594-Sens!J5594</f>
        <v>324.948</v>
      </c>
    </row>
    <row r="5601" customFormat="false" ht="17.15" hidden="false" customHeight="false" outlineLevel="0" collapsed="false">
      <c r="A5601" s="1" t="s">
        <v>810</v>
      </c>
      <c r="B5601" s="0" t="s">
        <v>392</v>
      </c>
      <c r="F5601" s="29" t="n">
        <f aca="false">Sens!F5618*ext_sh</f>
        <v>0</v>
      </c>
      <c r="G5601" s="29" t="n">
        <f aca="false">Sens!G5618*ext_sh</f>
        <v>0</v>
      </c>
      <c r="H5601" s="29" t="n">
        <f aca="false">Sens!H5618*ext_sh</f>
        <v>0</v>
      </c>
      <c r="I5601" s="29" t="n">
        <f aca="false">Sens!I5618*ext_sh</f>
        <v>490</v>
      </c>
      <c r="J5601" s="29" t="n">
        <f aca="false">Sens!J5618*ext_sh</f>
        <v>740</v>
      </c>
      <c r="K5601" s="29" t="n">
        <f aca="false">Sens!K5618*ext_sh</f>
        <v>1470</v>
      </c>
      <c r="L5601" s="1" t="s">
        <v>811</v>
      </c>
    </row>
    <row r="5602" customFormat="false" ht="17.15" hidden="false" customHeight="false" outlineLevel="0" collapsed="false">
      <c r="A5602" s="1" t="s">
        <v>812</v>
      </c>
      <c r="B5602" s="0" t="s">
        <v>392</v>
      </c>
      <c r="C5602" s="29" t="n">
        <f aca="false">mix_h*Sens!C5594</f>
        <v>128</v>
      </c>
      <c r="D5602" s="29" t="n">
        <f aca="false">mix_h*Sens!D5594</f>
        <v>326</v>
      </c>
      <c r="E5602" s="29" t="n">
        <f aca="false">mix_h*Sens!E5594</f>
        <v>650</v>
      </c>
      <c r="F5602" s="29" t="n">
        <f aca="false">Sens!E5602-Sens!F5601*mix_h</f>
        <v>650</v>
      </c>
      <c r="G5602" s="29" t="n">
        <f aca="false">Sens!F5602-Sens!G5601*mix_h</f>
        <v>650</v>
      </c>
      <c r="H5602" s="29" t="n">
        <f aca="false">Sens!G5602-Sens!H5601*mix_h</f>
        <v>650</v>
      </c>
      <c r="I5602" s="29" t="n">
        <f aca="false">Sens!H5602-Sens!I5601*mix_h</f>
        <v>552</v>
      </c>
      <c r="J5602" s="29" t="n">
        <f aca="false">Sens!I5602-Sens!J5601*mix_h</f>
        <v>404</v>
      </c>
      <c r="K5602" s="29" t="n">
        <f aca="false">Sens!J5602-Sens!K5601*mix_h</f>
        <v>110</v>
      </c>
    </row>
    <row r="5603" customFormat="false" ht="17.15" hidden="false" customHeight="false" outlineLevel="0" collapsed="false">
      <c r="A5603" s="1" t="s">
        <v>813</v>
      </c>
      <c r="B5603" s="0" t="s">
        <v>392</v>
      </c>
      <c r="C5603" s="29" t="n">
        <f aca="false">mix_g2*Sens!C5594</f>
        <v>288</v>
      </c>
      <c r="D5603" s="29" t="n">
        <f aca="false">mix_g2*Sens!D5594</f>
        <v>733.5</v>
      </c>
      <c r="E5603" s="29" t="n">
        <f aca="false">mix_g2*Sens!E5594</f>
        <v>1462.5</v>
      </c>
      <c r="F5603" s="29" t="n">
        <f aca="false">Sens!E5603-Sens!F5601*mix_g2</f>
        <v>1462.5</v>
      </c>
      <c r="G5603" s="29" t="n">
        <f aca="false">Sens!F5603-Sens!G5601*mix_g2</f>
        <v>1462.5</v>
      </c>
      <c r="H5603" s="29" t="n">
        <f aca="false">Sens!G5603-Sens!H5601*mix_g2</f>
        <v>1462.5</v>
      </c>
      <c r="I5603" s="29" t="n">
        <f aca="false">Sens!H5603-Sens!I5601*mix_g2</f>
        <v>1242</v>
      </c>
      <c r="J5603" s="29" t="n">
        <f aca="false">Sens!I5603-Sens!J5601*mix_g2</f>
        <v>909</v>
      </c>
      <c r="K5603" s="29" t="n">
        <f aca="false">Sens!J5603-Sens!K5601*mix_g2</f>
        <v>247.5</v>
      </c>
    </row>
    <row r="5604" customFormat="false" ht="17.15" hidden="false" customHeight="false" outlineLevel="0" collapsed="false">
      <c r="A5604" s="1" t="s">
        <v>814</v>
      </c>
      <c r="B5604" s="0" t="s">
        <v>392</v>
      </c>
      <c r="C5604" s="29" t="n">
        <f aca="false">mix_g3*Sens!C5594</f>
        <v>224</v>
      </c>
      <c r="D5604" s="29" t="n">
        <f aca="false">mix_g3*Sens!D5594</f>
        <v>570.5</v>
      </c>
      <c r="E5604" s="29" t="n">
        <f aca="false">mix_g3*Sens!E5594</f>
        <v>1137.5</v>
      </c>
      <c r="F5604" s="29" t="n">
        <f aca="false">Sens!E5604+(Sens!F5600+Sens!F5601)*a_g3_27-Sens!F5601*mix_g3</f>
        <v>2906.54</v>
      </c>
      <c r="G5604" s="29" t="n">
        <f aca="false">Sens!F5604+(Sens!G5600+Sens!G5601)*a_g3_28-Sens!G5601*mix_g3</f>
        <v>3664.7</v>
      </c>
      <c r="H5604" s="29" t="n">
        <f aca="false">Sens!G5604+(Sens!H5600+Sens!H5601)*a_g3_29-Sens!H5601*mix_g3</f>
        <v>3917.42</v>
      </c>
      <c r="I5604" s="29" t="n">
        <f aca="false">Sens!H5604+(Sens!I5600+Sens!I5601)*a_g3_29-Sens!I5601*mix_g3</f>
        <v>3974.2316</v>
      </c>
      <c r="J5604" s="29" t="n">
        <f aca="false">Sens!I5604+(Sens!J5600+Sens!J5601)*a_g3_29-Sens!J5601*mix_g3</f>
        <v>3895.1348</v>
      </c>
      <c r="K5604" s="29" t="n">
        <f aca="false">Sens!J5604+(Sens!K5600+Sens!K5601)*a_g3_29-Sens!K5601*mix_g3</f>
        <v>3560.1296</v>
      </c>
    </row>
    <row r="5605" customFormat="false" ht="17.15" hidden="false" customHeight="false" outlineLevel="0" collapsed="false">
      <c r="A5605" s="1" t="s">
        <v>815</v>
      </c>
      <c r="B5605" s="0" t="s">
        <v>392</v>
      </c>
      <c r="C5605" s="29" t="n">
        <v>0</v>
      </c>
      <c r="D5605" s="29" t="n">
        <v>0</v>
      </c>
      <c r="E5605" s="29" t="n">
        <v>0</v>
      </c>
      <c r="F5605" s="29" t="n">
        <f aca="false">Sens!E5605+(Sens!F5600+Sens!F5601)*(1-a_g3_27)</f>
        <v>758.16</v>
      </c>
      <c r="G5605" s="29" t="n">
        <f aca="false">Sens!F5605+(Sens!G5600+Sens!G5601)*(1-a_g3_28)</f>
        <v>2527.2</v>
      </c>
      <c r="H5605" s="29" t="n">
        <f aca="false">Sens!G5605+(Sens!H5600+Sens!H5601)*(1-a_g3_29)</f>
        <v>4801.68</v>
      </c>
      <c r="I5605" s="29" t="n">
        <f aca="false">Sens!H5605+(Sens!I5600+Sens!I5601)*(1-a_g3_29)</f>
        <v>6856.4844</v>
      </c>
      <c r="J5605" s="29" t="n">
        <f aca="false">Sens!I5605+(Sens!J5600+Sens!J5601)*(1-a_g3_29)</f>
        <v>8475.6132</v>
      </c>
      <c r="K5605" s="29" t="n">
        <f aca="false">Sens!J5605+(Sens!K5600+Sens!K5601)*(1-a_g3_29)</f>
        <v>10091.0664</v>
      </c>
    </row>
    <row r="5606" customFormat="false" ht="17.15" hidden="false" customHeight="false" outlineLevel="0" collapsed="false">
      <c r="A5606" s="1" t="s">
        <v>816</v>
      </c>
      <c r="B5606" s="0" t="s">
        <v>339</v>
      </c>
      <c r="C5606" s="14" t="n">
        <f aca="false">(Sens!C5602*tk_hold_h100+Sens!C5603*tk_hold_gb200+Sens!C5604*tk_hold_gb300+Sens!C5605*tk_hold_vr200)/Sens!C5594</f>
        <v>9.7235358126469</v>
      </c>
      <c r="D5606" s="14" t="n">
        <f aca="false">(Sens!D5602*tk_hold_h100+Sens!D5603*tk_hold_gb200+Sens!D5604*tk_hold_gb300+Sens!D5605*tk_hold_vr200)/Sens!D5594</f>
        <v>9.7235358126469</v>
      </c>
      <c r="E5606" s="14" t="n">
        <f aca="false">(Sens!E5602*tk_hold_h100+Sens!E5603*tk_hold_gb200+Sens!E5604*tk_hold_gb300+Sens!E5605*tk_hold_vr200)/Sens!E5594</f>
        <v>9.7235358126469</v>
      </c>
      <c r="F5606" s="14" t="n">
        <f aca="false">(Sens!F5602*tk_hold_h100+Sens!F5603*tk_hold_gb200+Sens!F5604*tk_hold_gb300+Sens!F5605*tk_hold_vr200)/Sens!F5594</f>
        <v>10.4079573161931</v>
      </c>
      <c r="G5606" s="14" t="n">
        <f aca="false">(Sens!G5602*tk_hold_h100+Sens!G5603*tk_hold_gb200+Sens!G5604*tk_hold_gb300+Sens!G5605*tk_hold_vr200)/Sens!G5594</f>
        <v>10.8388131109316</v>
      </c>
      <c r="H5606" s="14" t="n">
        <f aca="false">(Sens!H5602*tk_hold_h100+Sens!H5603*tk_hold_gb200+Sens!H5604*tk_hold_gb300+Sens!H5605*tk_hold_vr200)/Sens!H5594</f>
        <v>11.1311018388216</v>
      </c>
      <c r="I5606" s="14" t="n">
        <f aca="false">(Sens!I5602*tk_hold_h100+Sens!I5603*tk_hold_gb200+Sens!I5604*tk_hold_gb300+Sens!I5605*tk_hold_vr200)/Sens!I5594</f>
        <v>11.3594282560989</v>
      </c>
      <c r="J5606" s="14" t="n">
        <f aca="false">(Sens!J5602*tk_hold_h100+Sens!J5603*tk_hold_gb200+Sens!J5604*tk_hold_gb300+Sens!J5605*tk_hold_vr200)/Sens!J5594</f>
        <v>11.5441508808221</v>
      </c>
      <c r="K5606" s="14" t="n">
        <f aca="false">(Sens!K5602*tk_hold_h100+Sens!K5603*tk_hold_gb200+Sens!K5604*tk_hold_gb300+Sens!K5605*tk_hold_vr200)/Sens!K5594</f>
        <v>11.8053375063575</v>
      </c>
    </row>
    <row r="5607" customFormat="false" ht="17.15" hidden="false" customHeight="false" outlineLevel="0" collapsed="false">
      <c r="A5607" s="0" t="s">
        <v>817</v>
      </c>
      <c r="B5607" s="0" t="s">
        <v>185</v>
      </c>
      <c r="C5607" s="14" t="n">
        <f aca="false">k_B</f>
        <v>1.17213932619116</v>
      </c>
      <c r="D5607" s="14" t="n">
        <f aca="false">k_B</f>
        <v>1.17213932619116</v>
      </c>
      <c r="E5607" s="14" t="n">
        <f aca="false">k_B</f>
        <v>1.17213932619116</v>
      </c>
      <c r="F5607" s="14" t="n">
        <f aca="false">(k_B+((ls_C*k_long+(1-ls_C)*k_spot)-k_B)*MIN(1,(Sens!F5592-base_fy)/k_ramp))</f>
        <v>1.07843258004497</v>
      </c>
      <c r="G5607" s="14" t="n">
        <f aca="false">(k_B+((ls_C*k_long+(1-ls_C)*k_spot)-k_B)*MIN(1,(Sens!G5592-base_fy)/k_ramp))</f>
        <v>0.984725833898784</v>
      </c>
      <c r="H5607" s="14" t="n">
        <f aca="false">(k_B+((ls_C*k_long+(1-ls_C)*k_spot)-k_B)*MIN(1,(Sens!H5592-base_fy)/k_ramp))</f>
        <v>0.891019087752599</v>
      </c>
      <c r="I5607" s="14" t="n">
        <f aca="false">(k_B+((ls_C*k_long+(1-ls_C)*k_spot)-k_B)*MIN(1,(Sens!I5592-base_fy)/k_ramp))</f>
        <v>0.891019087752599</v>
      </c>
      <c r="J5607" s="14" t="n">
        <f aca="false">(k_B+((ls_C*k_long+(1-ls_C)*k_spot)-k_B)*MIN(1,(Sens!J5592-base_fy)/k_ramp))</f>
        <v>0.891019087752599</v>
      </c>
      <c r="K5607" s="14" t="n">
        <f aca="false">(k_B+((ls_C*k_long+(1-ls_C)*k_spot)-k_B)*MIN(1,(Sens!K5592-base_fy)/k_ramp))</f>
        <v>0.891019087752599</v>
      </c>
      <c r="L5607" s="1" t="s">
        <v>818</v>
      </c>
    </row>
    <row r="5608" customFormat="false" ht="17.15" hidden="false" customHeight="false" outlineLevel="0" collapsed="false">
      <c r="A5608" s="1" t="s">
        <v>819</v>
      </c>
      <c r="B5608" s="0" t="s">
        <v>339</v>
      </c>
      <c r="C5608" s="14" t="n">
        <f aca="false">Sens!C5606*Sens!C5607*chip_f</f>
        <v>11.3973387156315</v>
      </c>
      <c r="D5608" s="14" t="n">
        <f aca="false">Sens!D5606*Sens!D5607*chip_f</f>
        <v>11.3973387156315</v>
      </c>
      <c r="E5608" s="14" t="n">
        <f aca="false">Sens!E5606*Sens!E5607*chip_f</f>
        <v>11.3973387156315</v>
      </c>
      <c r="F5608" s="14" t="n">
        <f aca="false">Sens!F5606*Sens!F5607*chip_f</f>
        <v>11.2242802615</v>
      </c>
      <c r="G5608" s="14" t="n">
        <f aca="false">Sens!G5606*Sens!G5607*chip_f</f>
        <v>10.6732592791352</v>
      </c>
      <c r="H5608" s="14" t="n">
        <f aca="false">Sens!H5606*Sens!H5607*chip_f</f>
        <v>9.91802420610807</v>
      </c>
      <c r="I5608" s="14" t="n">
        <f aca="false">Sens!I5606*Sens!I5607*chip_f</f>
        <v>10.1214674021403</v>
      </c>
      <c r="J5608" s="14" t="n">
        <f aca="false">Sens!J5606*Sens!J5607*chip_f</f>
        <v>10.2860587867084</v>
      </c>
      <c r="K5608" s="14" t="n">
        <f aca="false">Sens!K5606*Sens!K5607*chip_f</f>
        <v>10.5187810555262</v>
      </c>
      <c r="L5608" s="1" t="s">
        <v>820</v>
      </c>
    </row>
    <row r="5609" customFormat="false" ht="17.15" hidden="false" customHeight="false" outlineLevel="0" collapsed="false">
      <c r="A5609" s="0" t="s">
        <v>821</v>
      </c>
      <c r="B5609" s="0" t="s">
        <v>98</v>
      </c>
      <c r="D5609" s="6" t="n">
        <f aca="false">(Sens!C5594+Sens!D5594)/2*Sens!D5608/1000</f>
        <v>12.9359794422418</v>
      </c>
      <c r="E5609" s="6" t="n">
        <f aca="false">(Sens!D5594+Sens!E5594)/2*Sens!E5608/1000</f>
        <v>27.8095064661409</v>
      </c>
      <c r="F5609" s="6" t="n">
        <f aca="false">(Sens!E5594+Sens!F5594)/2*Sens!F5608/1000</f>
        <v>50.6619113883066</v>
      </c>
      <c r="G5609" s="6" t="n">
        <f aca="false">(Sens!F5594+Sens!G5594)/2*Sens!G5608/1000</f>
        <v>75.1482839325348</v>
      </c>
      <c r="H5609" s="6" t="n">
        <f aca="false">(Sens!G5594+Sens!H5594)/2*Sens!H5608/1000</f>
        <v>94.895655604042</v>
      </c>
      <c r="I5609" s="6" t="n">
        <f aca="false">(Sens!H5594+Sens!I5594)/2*Sens!I5608/1000</f>
        <v>118.706168884151</v>
      </c>
      <c r="J5609" s="6" t="n">
        <f aca="false">(Sens!I5594+Sens!J5594)/2*Sens!J5608/1000</f>
        <v>135.305203646001</v>
      </c>
      <c r="K5609" s="6" t="n">
        <f aca="false">(Sens!J5594+Sens!K5594)/2*Sens!K5608/1000</f>
        <v>145.64537766421</v>
      </c>
      <c r="L5609" s="11" t="s">
        <v>822</v>
      </c>
    </row>
    <row r="5610" customFormat="false" ht="17.15" hidden="false" customHeight="false" outlineLevel="0" collapsed="false">
      <c r="A5610" s="1" t="s">
        <v>823</v>
      </c>
      <c r="B5610" s="0" t="s">
        <v>339</v>
      </c>
      <c r="C5610" s="14" t="n">
        <f aca="false">(Sens!C5602*tk_opex_h100+Sens!C5603*tk_opex_gb200+Sens!C5604*tk_opex_gb300+Sens!C5605*tk_opex_vr200)/Sens!C5594</f>
        <v>1.88636041306092</v>
      </c>
      <c r="D5610" s="14" t="n">
        <f aca="false">(Sens!D5602*tk_opex_h100+Sens!D5603*tk_opex_gb200+Sens!D5604*tk_opex_gb300+Sens!D5605*tk_opex_vr200)/Sens!D5594</f>
        <v>1.88636041306092</v>
      </c>
      <c r="E5610" s="14" t="n">
        <f aca="false">(Sens!E5602*tk_opex_h100+Sens!E5603*tk_opex_gb200+Sens!E5604*tk_opex_gb300+Sens!E5605*tk_opex_vr200)/Sens!E5594</f>
        <v>1.88636041306092</v>
      </c>
      <c r="F5610" s="14" t="n">
        <f aca="false">(Sens!F5602*tk_opex_h100+Sens!F5603*tk_opex_gb200+Sens!F5604*tk_opex_gb300+Sens!F5605*tk_opex_vr200)/Sens!F5594</f>
        <v>1.9430236476499</v>
      </c>
      <c r="G5610" s="14" t="n">
        <f aca="false">(Sens!G5602*tk_opex_h100+Sens!G5603*tk_opex_gb200+Sens!G5604*tk_opex_gb300+Sens!G5605*tk_opex_vr200)/Sens!G5594</f>
        <v>1.9786941852423</v>
      </c>
      <c r="H5610" s="14" t="n">
        <f aca="false">(Sens!H5602*tk_opex_h100+Sens!H5603*tk_opex_gb200+Sens!H5604*tk_opex_gb300+Sens!H5605*tk_opex_vr200)/Sens!H5594</f>
        <v>2.00289275976156</v>
      </c>
      <c r="I5610" s="14" t="n">
        <f aca="false">(Sens!I5602*tk_opex_h100+Sens!I5603*tk_opex_gb200+Sens!I5604*tk_opex_gb300+Sens!I5605*tk_opex_vr200)/Sens!I5594</f>
        <v>2.02179589661219</v>
      </c>
      <c r="J5610" s="14" t="n">
        <f aca="false">(Sens!J5602*tk_opex_h100+Sens!J5603*tk_opex_gb200+Sens!J5604*tk_opex_gb300+Sens!J5605*tk_opex_vr200)/Sens!J5594</f>
        <v>2.03708907685909</v>
      </c>
      <c r="K5610" s="14" t="n">
        <f aca="false">(Sens!K5602*tk_opex_h100+Sens!K5603*tk_opex_gb200+Sens!K5604*tk_opex_gb300+Sens!K5605*tk_opex_vr200)/Sens!K5594</f>
        <v>2.05871270931005</v>
      </c>
    </row>
    <row r="5611" customFormat="false" ht="17.15" hidden="false" customHeight="false" outlineLevel="0" collapsed="false">
      <c r="A5611" s="0" t="s">
        <v>824</v>
      </c>
      <c r="B5611" s="0" t="s">
        <v>98</v>
      </c>
      <c r="D5611" s="6" t="n">
        <f aca="false">(Sens!C5597+Sens!D5597)/2*Sens!D5610/1000</f>
        <v>2.70378325872065</v>
      </c>
      <c r="E5611" s="6" t="n">
        <f aca="false">(Sens!D5597+Sens!E5597)/2*Sens!E5610/1000</f>
        <v>6.17783035277451</v>
      </c>
      <c r="F5611" s="6" t="n">
        <f aca="false">(Sens!E5597+Sens!F5597)/2*Sens!F5610/1000</f>
        <v>12.5020618235287</v>
      </c>
      <c r="G5611" s="6" t="n">
        <f aca="false">(Sens!F5597+Sens!G5597)/2*Sens!G5610/1000</f>
        <v>20.7261620256847</v>
      </c>
      <c r="H5611" s="6" t="n">
        <f aca="false">(Sens!G5597+Sens!H5597)/2*Sens!H5610/1000</f>
        <v>29.4158183316982</v>
      </c>
      <c r="I5611" s="6" t="n">
        <f aca="false">(Sens!H5597+Sens!I5597)/2*Sens!I5610/1000</f>
        <v>36.9724400356344</v>
      </c>
      <c r="J5611" s="6" t="n">
        <f aca="false">(Sens!I5597+Sens!J5597)/2*Sens!J5610/1000</f>
        <v>42.0938382992747</v>
      </c>
      <c r="K5611" s="6" t="n">
        <f aca="false">(Sens!J5597+Sens!K5597)/2*Sens!K5610/1000</f>
        <v>44.9150106651501</v>
      </c>
    </row>
    <row r="5612" customFormat="false" ht="17.15" hidden="false" customHeight="false" outlineLevel="0" collapsed="false">
      <c r="A5612" s="0" t="s">
        <v>825</v>
      </c>
      <c r="B5612" s="0" t="s">
        <v>98</v>
      </c>
      <c r="D5612" s="6" t="n">
        <f aca="false">(Sens!C5595+Sens!D5595)/2*rent_mw/1000</f>
        <v>2.44475</v>
      </c>
      <c r="E5612" s="6" t="n">
        <f aca="false">(Sens!D5595+Sens!E5595)/2*rent_mw/1000</f>
        <v>4.22275</v>
      </c>
      <c r="F5612" s="6" t="n">
        <f aca="false">(Sens!E5595+Sens!F5595)/2*rent_mw/1000</f>
        <v>5.80517</v>
      </c>
      <c r="G5612" s="6" t="n">
        <f aca="false">(Sens!F5595+Sens!G5595)/2*rent_mw/1000</f>
        <v>6.72084</v>
      </c>
      <c r="H5612" s="6" t="n">
        <f aca="false">(Sens!G5595+Sens!H5595)/2*rent_mw/1000</f>
        <v>6.72084</v>
      </c>
      <c r="I5612" s="6" t="n">
        <f aca="false">(Sens!H5595+Sens!I5595)/2*rent_mw/1000</f>
        <v>6.72084</v>
      </c>
      <c r="J5612" s="6" t="n">
        <f aca="false">(Sens!I5595+Sens!J5595)/2*rent_mw/1000</f>
        <v>6.72084</v>
      </c>
      <c r="K5612" s="6" t="n">
        <f aca="false">(Sens!J5595+Sens!K5595)/2*rent_mw/1000</f>
        <v>6.72084</v>
      </c>
    </row>
    <row r="5613" customFormat="false" ht="17.15" hidden="false" customHeight="false" outlineLevel="0" collapsed="false">
      <c r="A5613" s="0" t="s">
        <v>826</v>
      </c>
      <c r="B5613" s="0" t="s">
        <v>98</v>
      </c>
      <c r="D5613" s="6" t="n">
        <f aca="false">(Sens!C5597+Sens!D5597)/2*(1-self_build)*fac_rent/1000</f>
        <v>0.853242375631075</v>
      </c>
      <c r="E5613" s="6" t="n">
        <f aca="false">(Sens!D5597+Sens!E5597)/2*(1-self_build)*fac_rent/1000</f>
        <v>1.94955961408728</v>
      </c>
      <c r="F5613" s="6" t="n">
        <f aca="false">(Sens!E5597+Sens!F5597)/2*(1-self_build)*fac_rent/1000</f>
        <v>3.83026455274573</v>
      </c>
      <c r="G5613" s="6" t="n">
        <f aca="false">(Sens!F5597+Sens!G5597)/2*(1-self_build)*fac_rent/1000</f>
        <v>6.23541590972812</v>
      </c>
      <c r="H5613" s="6" t="n">
        <f aca="false">(Sens!G5597+Sens!H5597)/2*(1-self_build)*fac_rent/1000</f>
        <v>8.74275792332679</v>
      </c>
      <c r="I5613" s="6" t="n">
        <f aca="false">(Sens!H5597+Sens!I5597)/2*(1-self_build)*fac_rent/1000</f>
        <v>10.8859420438599</v>
      </c>
      <c r="J5613" s="6" t="n">
        <f aca="false">(Sens!I5597+Sens!J5597)/2*(1-self_build)*fac_rent/1000</f>
        <v>12.3008103782619</v>
      </c>
      <c r="K5613" s="6" t="n">
        <f aca="false">(Sens!J5597+Sens!K5597)/2*(1-self_build)*fac_rent/1000</f>
        <v>12.9873629265328</v>
      </c>
      <c r="L5613" s="11" t="s">
        <v>827</v>
      </c>
    </row>
    <row r="5614" customFormat="false" ht="17.15" hidden="false" customHeight="false" outlineLevel="0" collapsed="false">
      <c r="A5614" s="1" t="s">
        <v>828</v>
      </c>
      <c r="B5614" s="0" t="s">
        <v>129</v>
      </c>
      <c r="D5614" s="7" t="n">
        <f aca="false">(Sens!C5596+Sens!D5596)/(Sens!C5597+Sens!D5597)</f>
        <v>0.6</v>
      </c>
      <c r="E5614" s="7" t="n">
        <f aca="false">(Sens!D5596+Sens!E5596)/(Sens!D5597+Sens!E5597)</f>
        <v>0.6</v>
      </c>
      <c r="F5614" s="7" t="n">
        <f aca="false">(Sens!E5596+Sens!F5596)/(Sens!E5597+Sens!F5597)</f>
        <v>0.6</v>
      </c>
      <c r="G5614" s="7" t="n">
        <f aca="false">(Sens!F5596+Sens!G5596)/(Sens!F5597+Sens!G5597)</f>
        <v>0.6</v>
      </c>
      <c r="H5614" s="7" t="n">
        <f aca="false">(Sens!G5596+Sens!H5596)/(Sens!G5597+Sens!H5597)</f>
        <v>0.6</v>
      </c>
      <c r="I5614" s="7" t="n">
        <f aca="false">(Sens!H5596+Sens!I5596)/(Sens!H5597+Sens!I5597)</f>
        <v>0.6</v>
      </c>
      <c r="J5614" s="7" t="n">
        <f aca="false">(Sens!I5596+Sens!J5596)/(Sens!I5597+Sens!J5597)</f>
        <v>0.6</v>
      </c>
      <c r="K5614" s="7" t="n">
        <f aca="false">(Sens!J5596+Sens!K5596)/(Sens!J5597+Sens!K5597)</f>
        <v>0.6</v>
      </c>
    </row>
    <row r="5615" customFormat="false" ht="17.15" hidden="false" customHeight="false" outlineLevel="0" collapsed="false">
      <c r="A5615" s="0" t="s">
        <v>829</v>
      </c>
      <c r="B5615" s="0" t="s">
        <v>98</v>
      </c>
      <c r="D5615" s="6" t="n">
        <f aca="false">Sens!D5609-Sens!D5614*(Sens!D5611+Sens!D5613)-Sens!D5612</f>
        <v>8.35701406163072</v>
      </c>
      <c r="E5615" s="6" t="n">
        <f aca="false">Sens!E5609-Sens!E5614*(Sens!E5611+Sens!E5613)-Sens!E5612</f>
        <v>18.7103224860238</v>
      </c>
      <c r="F5615" s="6" t="n">
        <f aca="false">Sens!F5609-Sens!F5614*(Sens!F5611+Sens!F5613)-Sens!F5612</f>
        <v>35.0573455625419</v>
      </c>
      <c r="G5615" s="6" t="n">
        <f aca="false">Sens!G5609-Sens!G5614*(Sens!G5611+Sens!G5613)-Sens!G5612</f>
        <v>52.2504971712871</v>
      </c>
      <c r="H5615" s="6" t="n">
        <f aca="false">Sens!H5609-Sens!H5614*(Sens!H5611+Sens!H5613)-Sens!H5612</f>
        <v>65.2796698510271</v>
      </c>
      <c r="I5615" s="6" t="n">
        <f aca="false">Sens!I5609-Sens!I5614*(Sens!I5611+Sens!I5613)-Sens!I5612</f>
        <v>83.2702996364549</v>
      </c>
      <c r="J5615" s="6" t="n">
        <f aca="false">Sens!J5609-Sens!J5614*(Sens!J5611+Sens!J5613)-Sens!J5612</f>
        <v>95.9475744394793</v>
      </c>
      <c r="K5615" s="6" t="n">
        <f aca="false">Sens!K5609-Sens!K5614*(Sens!K5611+Sens!K5613)-Sens!K5612</f>
        <v>104.1831135092</v>
      </c>
    </row>
    <row r="5616" customFormat="false" ht="17.15" hidden="false" customHeight="false" outlineLevel="0" collapsed="false">
      <c r="A5616" s="1" t="s">
        <v>830</v>
      </c>
      <c r="B5616" s="0" t="s">
        <v>98</v>
      </c>
      <c r="D5616" s="6" t="n">
        <f aca="false">(1-Sens!D5614)*(Sens!D5611+Sens!D5613)</f>
        <v>1.42281025374069</v>
      </c>
      <c r="E5616" s="6" t="n">
        <f aca="false">(1-Sens!E5614)*(Sens!E5611+Sens!E5613)</f>
        <v>3.25095598674472</v>
      </c>
      <c r="F5616" s="6" t="n">
        <f aca="false">(1-Sens!F5614)*(Sens!F5611+Sens!F5613)</f>
        <v>6.53293055050977</v>
      </c>
      <c r="G5616" s="6" t="n">
        <f aca="false">(1-Sens!G5614)*(Sens!G5611+Sens!G5613)</f>
        <v>10.7846311741651</v>
      </c>
      <c r="H5616" s="6" t="n">
        <f aca="false">(1-Sens!H5614)*(Sens!H5611+Sens!H5613)</f>
        <v>15.26343050201</v>
      </c>
      <c r="I5616" s="6" t="n">
        <f aca="false">(1-Sens!I5614)*(Sens!I5611+Sens!I5613)</f>
        <v>19.1433528317977</v>
      </c>
      <c r="J5616" s="6" t="n">
        <f aca="false">(1-Sens!J5614)*(Sens!J5611+Sens!J5613)</f>
        <v>21.7578594710146</v>
      </c>
      <c r="K5616" s="6" t="n">
        <f aca="false">(1-Sens!K5614)*(Sens!K5611+Sens!K5613)</f>
        <v>23.1609494366731</v>
      </c>
    </row>
    <row r="5617" customFormat="false" ht="17.15" hidden="false" customHeight="false" outlineLevel="0" collapsed="false">
      <c r="A5617" s="1" t="s">
        <v>831</v>
      </c>
      <c r="B5617" s="0" t="s">
        <v>350</v>
      </c>
      <c r="C5617" s="8" t="n">
        <f aca="false">cxit_open</f>
        <v>27.5918995</v>
      </c>
      <c r="D5617" s="8" t="n">
        <f aca="false">cxit_open</f>
        <v>27.5918995</v>
      </c>
      <c r="E5617" s="8" t="n">
        <f aca="false">cxit_open</f>
        <v>27.5918995</v>
      </c>
      <c r="F5617" s="8" t="n">
        <f aca="false">(a_g3_27*tk_cxit_gb300+(1-a_g3_27)*tk_cxit_vr200)</f>
        <v>33.8419624</v>
      </c>
      <c r="G5617" s="8" t="n">
        <f aca="false">(a_g3_28*tk_cxit_gb300+(1-a_g3_28)*tk_cxit_vr200)</f>
        <v>35.9816136</v>
      </c>
      <c r="H5617" s="8" t="n">
        <f aca="false">(a_g3_29*tk_cxit_gb300+(1-a_g3_29)*tk_cxit_vr200)</f>
        <v>37.0514392</v>
      </c>
      <c r="I5617" s="8" t="n">
        <f aca="false">(a_g3_29*tk_cxit_gb300+(1-a_g3_29)*tk_cxit_vr200)</f>
        <v>37.0514392</v>
      </c>
      <c r="J5617" s="8" t="n">
        <f aca="false">(a_g3_29*tk_cxit_gb300+(1-a_g3_29)*tk_cxit_vr200)</f>
        <v>37.0514392</v>
      </c>
      <c r="K5617" s="8" t="n">
        <f aca="false">(a_g3_29*tk_cxit_gb300+(1-a_g3_29)*tk_cxit_vr200)</f>
        <v>37.0514392</v>
      </c>
      <c r="L5617" s="11" t="s">
        <v>832</v>
      </c>
    </row>
    <row r="5618" customFormat="false" ht="17.15" hidden="false" customHeight="false" outlineLevel="0" collapsed="false">
      <c r="A5618" s="0" t="s">
        <v>833</v>
      </c>
      <c r="B5618" s="0" t="s">
        <v>392</v>
      </c>
      <c r="F5618" s="29" t="n">
        <f aca="false">Sens!C5599*IF(Sens!F5592-Sens!C5592=life_it,1,0)+Sens!D5599*IF(Sens!F5592-Sens!D5592=life_it,1,0)+Sens!E5599*IF(Sens!F5592-Sens!E5592=life_it,1,0)</f>
        <v>0</v>
      </c>
      <c r="G5618" s="29" t="n">
        <f aca="false">Sens!C5599*IF(Sens!G5592-Sens!C5592=life_it,1,0)+Sens!D5599*IF(Sens!G5592-Sens!D5592=life_it,1,0)+Sens!E5599*IF(Sens!G5592-Sens!E5592=life_it,1,0)+Sens!F5599*IF(Sens!G5592-Sens!F5592=life_it,1,0)</f>
        <v>0</v>
      </c>
      <c r="H5618" s="29" t="n">
        <f aca="false">Sens!C5599*IF(Sens!H5592-Sens!C5592=life_it,1,0)+Sens!D5599*IF(Sens!H5592-Sens!D5592=life_it,1,0)+Sens!E5599*IF(Sens!H5592-Sens!E5592=life_it,1,0)+Sens!F5599*IF(Sens!H5592-Sens!F5592=life_it,1,0)+Sens!G5599*IF(Sens!H5592-Sens!G5592=life_it,1,0)</f>
        <v>0</v>
      </c>
      <c r="I5618" s="29" t="n">
        <f aca="false">Sens!C5599*IF(Sens!I5592-Sens!C5592=life_it,1,0)+Sens!D5599*IF(Sens!I5592-Sens!D5592=life_it,1,0)+Sens!E5599*IF(Sens!I5592-Sens!E5592=life_it,1,0)+Sens!F5599*IF(Sens!I5592-Sens!F5592=life_it,1,0)+Sens!G5599*IF(Sens!I5592-Sens!G5592=life_it,1,0)+Sens!H5599*IF(Sens!I5592-Sens!H5592=life_it,1,0)</f>
        <v>816.666666666667</v>
      </c>
      <c r="J5618" s="29" t="n">
        <f aca="false">Sens!C5599*IF(Sens!J5592-Sens!C5592=life_it,1,0)+Sens!D5599*IF(Sens!J5592-Sens!D5592=life_it,1,0)+Sens!E5599*IF(Sens!J5592-Sens!E5592=life_it,1,0)+Sens!F5599*IF(Sens!J5592-Sens!F5592=life_it,1,0)+Sens!G5599*IF(Sens!J5592-Sens!G5592=life_it,1,0)+Sens!H5599*IF(Sens!J5592-Sens!H5592=life_it,1,0)+Sens!I5599*IF(Sens!J5592-Sens!I5592=life_it,1,0)</f>
        <v>1233.33333333333</v>
      </c>
      <c r="K5618" s="29" t="n">
        <f aca="false">Sens!C5599*IF(Sens!K5592-Sens!C5592=life_it,1,0)+Sens!D5599*IF(Sens!K5592-Sens!D5592=life_it,1,0)+Sens!E5599*IF(Sens!K5592-Sens!E5592=life_it,1,0)+Sens!F5599*IF(Sens!K5592-Sens!F5592=life_it,1,0)+Sens!G5599*IF(Sens!K5592-Sens!G5592=life_it,1,0)+Sens!H5599*IF(Sens!K5592-Sens!H5592=life_it,1,0)+Sens!I5599*IF(Sens!K5592-Sens!I5592=life_it,1,0)+Sens!J5599*IF(Sens!K5592-Sens!J5592=life_it,1,0)</f>
        <v>2450</v>
      </c>
      <c r="L5618" s="1" t="s">
        <v>834</v>
      </c>
    </row>
    <row r="5619" customFormat="false" ht="17.15" hidden="false" customHeight="false" outlineLevel="0" collapsed="false">
      <c r="A5619" s="0" t="s">
        <v>835</v>
      </c>
      <c r="B5619" s="0" t="s">
        <v>98</v>
      </c>
      <c r="C5619" s="6" t="n">
        <f aca="false">Sens!C5599*Sens!C5617/1000</f>
        <v>22.5333845916667</v>
      </c>
      <c r="D5619" s="6" t="n">
        <f aca="false">Sens!D5599*Sens!D5617/1000</f>
        <v>34.0300093833333</v>
      </c>
      <c r="E5619" s="6" t="n">
        <f aca="false">Sens!E5599*Sens!E5617/1000</f>
        <v>67.600153775</v>
      </c>
      <c r="F5619" s="6" t="n">
        <f aca="false">(Sens!F5599+Sens!F5618)*Sens!F5617/1000</f>
        <v>130.923271871467</v>
      </c>
      <c r="G5619" s="6" t="n">
        <f aca="false">(Sens!G5599+Sens!G5618)*Sens!G5617/1000</f>
        <v>151.5545564832</v>
      </c>
      <c r="H5619" s="6" t="n">
        <f aca="false">(Sens!H5599+Sens!H5618)*Sens!H5617/1000</f>
        <v>156.0606619104</v>
      </c>
      <c r="I5619" s="6" t="n">
        <f aca="false">(Sens!I5599+Sens!I5618)*Sens!I5617/1000</f>
        <v>140.987889434245</v>
      </c>
      <c r="J5619" s="6" t="n">
        <f aca="false">(Sens!J5599+Sens!J5618)*Sens!J5617/1000</f>
        <v>111.094541278091</v>
      </c>
      <c r="K5619" s="6" t="n">
        <f aca="false">(Sens!K5599+Sens!K5618)*Sens!K5617/1000</f>
        <v>110.842344481936</v>
      </c>
    </row>
    <row r="5620" customFormat="false" ht="17.15" hidden="false" customHeight="false" outlineLevel="0" collapsed="false">
      <c r="A5620" s="0" t="s">
        <v>836</v>
      </c>
      <c r="B5620" s="0" t="s">
        <v>98</v>
      </c>
      <c r="C5620" s="6" t="n">
        <f aca="false">Sens!C5599*self_build*tk_cxfac/1000</f>
        <v>6.2083</v>
      </c>
      <c r="D5620" s="6" t="n">
        <f aca="false">Sens!D5599*self_build*tk_cxfac/1000</f>
        <v>9.3758</v>
      </c>
      <c r="E5620" s="6" t="n">
        <f aca="false">Sens!E5599*self_build*tk_cxfac/1000</f>
        <v>18.6249</v>
      </c>
      <c r="F5620" s="6" t="n">
        <f aca="false">Sens!F5599*self_build*tk_cxfac/1000</f>
        <v>29.409604</v>
      </c>
      <c r="G5620" s="6" t="n">
        <f aca="false">Sens!G5599*self_build*tk_cxfac/1000</f>
        <v>32.019624</v>
      </c>
      <c r="H5620" s="6" t="n">
        <f aca="false">Sens!H5599*self_build*tk_cxfac/1000</f>
        <v>32.019624</v>
      </c>
      <c r="I5620" s="6" t="n">
        <f aca="false">Sens!I5599*self_build*tk_cxfac/1000</f>
        <v>22.71877972</v>
      </c>
      <c r="J5620" s="6" t="n">
        <f aca="false">Sens!J5599*self_build*tk_cxfac/1000</f>
        <v>13.41793544</v>
      </c>
      <c r="K5620" s="6" t="n">
        <f aca="false">Sens!K5599*self_build*tk_cxfac/1000</f>
        <v>4.11709116000001</v>
      </c>
    </row>
    <row r="5621" customFormat="false" ht="17.15" hidden="false" customHeight="false" outlineLevel="0" collapsed="false">
      <c r="A5621" s="0" t="s">
        <v>837</v>
      </c>
      <c r="B5621" s="0" t="s">
        <v>98</v>
      </c>
      <c r="F5621" s="6" t="n">
        <f aca="false">MAX(0,capex_floor27-Sens!F5619-Sens!F5620-Sens!F5714)</f>
        <v>8.51277689897088</v>
      </c>
      <c r="L5621" s="1" t="s">
        <v>838</v>
      </c>
    </row>
    <row r="5622" customFormat="false" ht="17.15" hidden="false" customHeight="false" outlineLevel="0" collapsed="false">
      <c r="A5622" s="0" t="s">
        <v>839</v>
      </c>
      <c r="B5622" s="0" t="s">
        <v>98</v>
      </c>
      <c r="C5622" s="6" t="n">
        <f aca="false">Sens!C5619</f>
        <v>22.5333845916667</v>
      </c>
      <c r="D5622" s="6" t="n">
        <f aca="false">Sens!D5619</f>
        <v>34.0300093833333</v>
      </c>
      <c r="E5622" s="6" t="n">
        <f aca="false">Sens!E5619</f>
        <v>67.600153775</v>
      </c>
      <c r="F5622" s="6" t="n">
        <f aca="false">Sens!F5619+Sens!F5621</f>
        <v>139.436048770438</v>
      </c>
      <c r="G5622" s="6" t="n">
        <f aca="false">Sens!G5619</f>
        <v>151.5545564832</v>
      </c>
      <c r="H5622" s="6" t="n">
        <f aca="false">Sens!H5619</f>
        <v>156.0606619104</v>
      </c>
      <c r="I5622" s="6" t="n">
        <f aca="false">Sens!I5619</f>
        <v>140.987889434245</v>
      </c>
      <c r="J5622" s="6" t="n">
        <f aca="false">Sens!J5619</f>
        <v>111.094541278091</v>
      </c>
      <c r="K5622" s="6" t="n">
        <f aca="false">Sens!K5619</f>
        <v>110.842344481936</v>
      </c>
    </row>
    <row r="5623" customFormat="false" ht="17.15" hidden="false" customHeight="false" outlineLevel="0" collapsed="false">
      <c r="A5623" s="0" t="s">
        <v>840</v>
      </c>
      <c r="B5623" s="0" t="s">
        <v>98</v>
      </c>
      <c r="C5623" s="6" t="n">
        <f aca="false">Sens!C5622+Sens!C5620</f>
        <v>28.7416845916667</v>
      </c>
      <c r="D5623" s="6" t="n">
        <f aca="false">Sens!D5622+Sens!D5620</f>
        <v>43.4058093833333</v>
      </c>
      <c r="E5623" s="6" t="n">
        <f aca="false">Sens!E5622+Sens!E5620</f>
        <v>86.225053775</v>
      </c>
      <c r="F5623" s="6" t="n">
        <f aca="false">Sens!F5622+Sens!F5620</f>
        <v>168.845652770438</v>
      </c>
      <c r="G5623" s="6" t="n">
        <f aca="false">Sens!G5622+Sens!G5620</f>
        <v>183.5741804832</v>
      </c>
      <c r="H5623" s="6" t="n">
        <f aca="false">Sens!H5622+Sens!H5620</f>
        <v>188.0802859104</v>
      </c>
      <c r="I5623" s="6" t="n">
        <f aca="false">Sens!I5622+Sens!I5620</f>
        <v>163.706669154245</v>
      </c>
      <c r="J5623" s="6" t="n">
        <f aca="false">Sens!J5622+Sens!J5620</f>
        <v>124.51247671809</v>
      </c>
      <c r="K5623" s="6" t="n">
        <f aca="false">Sens!K5622+Sens!K5620</f>
        <v>114.959435641936</v>
      </c>
      <c r="L5623" s="11" t="s">
        <v>841</v>
      </c>
    </row>
    <row r="5624" customFormat="false" ht="17.15" hidden="false" customHeight="false" outlineLevel="0" collapsed="false">
      <c r="A5624" s="0" t="s">
        <v>842</v>
      </c>
      <c r="B5624" s="0" t="s">
        <v>98</v>
      </c>
      <c r="E5624" s="6" t="n">
        <f aca="false">(Sens!C5622*IF(2&lt;life_it,1,IF(2=life_it,0.5,0))+Sens!D5622*IF(1&lt;life_it,1,IF(1=life_it,0.5,0))+Sens!E5622*0.5)/life_it</f>
        <v>15.0605784770833</v>
      </c>
      <c r="F5624" s="6" t="n">
        <f aca="false">(Sens!C5622*IF(3&lt;life_it,1,IF(3=life_it,0.5,0))+Sens!D5622*IF(2&lt;life_it,1,IF(2=life_it,0.5,0))+Sens!E5622*IF(1&lt;life_it,1,IF(1=life_it,0.5,0))+Sens!F5622*0.5)/life_it</f>
        <v>32.3135953558698</v>
      </c>
      <c r="G5624" s="6" t="n">
        <f aca="false">(Sens!C5622*IF(4&lt;life_it,1,IF(4=life_it,0.5,0))+Sens!D5622*IF(3&lt;life_it,1,IF(3=life_it,0.5,0))+Sens!E5622*IF(2&lt;life_it,1,IF(2=life_it,0.5,0))+Sens!F5622*IF(1&lt;life_it,1,IF(1=life_it,0.5,0))+Sens!G5622*0.5)/life_it</f>
        <v>56.5628124603396</v>
      </c>
      <c r="H5624" s="6" t="n">
        <f aca="false">(Sens!C5622*IF(5&lt;life_it,1,IF(5=life_it,0.5,0))+Sens!D5622*IF(4&lt;life_it,1,IF(4=life_it,0.5,0))+Sens!E5622*IF(3&lt;life_it,1,IF(3=life_it,0.5,0))+Sens!F5622*IF(2&lt;life_it,1,IF(2=life_it,0.5,0))+Sens!G5622*IF(1&lt;life_it,1,IF(1=life_it,0.5,0))+Sens!H5622*0.5)/life_it</f>
        <v>82.1974139931396</v>
      </c>
      <c r="I5624" s="6" t="n">
        <f aca="false">(Sens!C5622*IF(6&lt;life_it,1,IF(6=life_it,0.5,0))+Sens!D5622*IF(5&lt;life_it,1,IF(5=life_it,0.5,0))+Sens!E5622*IF(4&lt;life_it,1,IF(4=life_it,0.5,0))+Sens!F5622*IF(3&lt;life_it,1,IF(3=life_it,0.5,0))+Sens!G5622*IF(2&lt;life_it,1,IF(2=life_it,0.5,0))+Sens!H5622*IF(1&lt;life_it,1,IF(1=life_it,0.5,0))+Sens!I5622*0.5)/life_it</f>
        <v>105.073677889221</v>
      </c>
      <c r="J5624" s="6" t="n">
        <f aca="false">(Sens!C5622*IF(7&lt;life_it,1,IF(7=life_it,0.5,0))+Sens!D5622*IF(6&lt;life_it,1,IF(6=life_it,0.5,0))+Sens!E5622*IF(5&lt;life_it,1,IF(5=life_it,0.5,0))+Sens!F5622*IF(4&lt;life_it,1,IF(4=life_it,0.5,0))+Sens!G5622*IF(3&lt;life_it,1,IF(3=life_it,0.5,0))+Sens!H5622*IF(2&lt;life_it,1,IF(2=life_it,0.5,0))+Sens!I5622*IF(1&lt;life_it,1,IF(1=life_it,0.5,0))+Sens!J5622*0.5)/life_it</f>
        <v>121.366930950666</v>
      </c>
      <c r="K5624" s="6" t="n">
        <f aca="false">(Sens!C5622*IF(8&lt;life_it,1,IF(8=life_it,0.5,0))+Sens!D5622*IF(7&lt;life_it,1,IF(7=life_it,0.5,0))+Sens!E5622*IF(6&lt;life_it,1,IF(6=life_it,0.5,0))+Sens!F5622*IF(5&lt;life_it,1,IF(5=life_it,0.5,0))+Sens!G5622*IF(4&lt;life_it,1,IF(4=life_it,0.5,0))+Sens!H5622*IF(3&lt;life_it,1,IF(3=life_it,0.5,0))+Sens!I5622*IF(2&lt;life_it,1,IF(2=life_it,0.5,0))+Sens!J5622*IF(1&lt;life_it,1,IF(1=life_it,0.5,0))+Sens!K5622*0.5)/life_it</f>
        <v>131.392491167474</v>
      </c>
    </row>
    <row r="5625" customFormat="false" ht="17.15" hidden="false" customHeight="false" outlineLevel="0" collapsed="false">
      <c r="A5625" s="0" t="s">
        <v>843</v>
      </c>
      <c r="B5625" s="0" t="s">
        <v>98</v>
      </c>
      <c r="E5625" s="6" t="n">
        <f aca="false">(Sens!C5620*IF(2&lt;life_fac,1,IF(2=life_fac,0.5,0))+Sens!D5620*IF(1&lt;life_fac,1,IF(1=life_fac,0.5,0))+Sens!E5620*0.5)/life_fac</f>
        <v>1.2448275</v>
      </c>
      <c r="F5625" s="6" t="n">
        <f aca="false">(Sens!C5620*IF(3&lt;life_fac,1,IF(3=life_fac,0.5,0))+Sens!D5620*IF(2&lt;life_fac,1,IF(2=life_fac,0.5,0))+Sens!E5620*IF(1&lt;life_fac,1,IF(1=life_fac,0.5,0))+Sens!F5620*0.5)/life_fac</f>
        <v>2.4456901</v>
      </c>
      <c r="G5625" s="6" t="n">
        <f aca="false">(Sens!C5620*IF(4&lt;life_fac,1,IF(4=life_fac,0.5,0))+Sens!D5620*IF(3&lt;life_fac,1,IF(3=life_fac,0.5,0))+Sens!E5620*IF(2&lt;life_fac,1,IF(2=life_fac,0.5,0))+Sens!F5620*IF(1&lt;life_fac,1,IF(1=life_fac,0.5,0))+Sens!G5620*0.5)/life_fac</f>
        <v>3.9814208</v>
      </c>
      <c r="H5625" s="6" t="n">
        <f aca="false">(Sens!C5620*IF(5&lt;life_fac,1,IF(5=life_fac,0.5,0))+Sens!D5620*IF(4&lt;life_fac,1,IF(4=life_fac,0.5,0))+Sens!E5620*IF(3&lt;life_fac,1,IF(3=life_fac,0.5,0))+Sens!F5620*IF(2&lt;life_fac,1,IF(2=life_fac,0.5,0))+Sens!G5620*IF(1&lt;life_fac,1,IF(1=life_fac,0.5,0))+Sens!H5620*0.5)/life_fac</f>
        <v>5.582402</v>
      </c>
      <c r="I5625" s="6" t="n">
        <f aca="false">(Sens!C5620*IF(6&lt;life_fac,1,IF(6=life_fac,0.5,0))+Sens!D5620*IF(5&lt;life_fac,1,IF(5=life_fac,0.5,0))+Sens!E5620*IF(4&lt;life_fac,1,IF(4=life_fac,0.5,0))+Sens!F5620*IF(3&lt;life_fac,1,IF(3=life_fac,0.5,0))+Sens!G5620*IF(2&lt;life_fac,1,IF(2=life_fac,0.5,0))+Sens!H5620*IF(1&lt;life_fac,1,IF(1=life_fac,0.5,0))+Sens!I5620*0.5)/life_fac</f>
        <v>6.950862093</v>
      </c>
      <c r="J5625" s="6" t="n">
        <f aca="false">(Sens!C5620*IF(7&lt;life_fac,1,IF(7=life_fac,0.5,0))+Sens!D5620*IF(6&lt;life_fac,1,IF(6=life_fac,0.5,0))+Sens!E5620*IF(5&lt;life_fac,1,IF(5=life_fac,0.5,0))+Sens!F5620*IF(4&lt;life_fac,1,IF(4=life_fac,0.5,0))+Sens!G5620*IF(3&lt;life_fac,1,IF(3=life_fac,0.5,0))+Sens!H5620*IF(2&lt;life_fac,1,IF(2=life_fac,0.5,0))+Sens!I5620*IF(1&lt;life_fac,1,IF(1=life_fac,0.5,0))+Sens!J5620*0.5)/life_fac</f>
        <v>7.854279972</v>
      </c>
      <c r="K5625" s="6" t="n">
        <f aca="false">(Sens!C5620*IF(8&lt;life_fac,1,IF(8=life_fac,0.5,0))+Sens!D5620*IF(7&lt;life_fac,1,IF(7=life_fac,0.5,0))+Sens!E5620*IF(6&lt;life_fac,1,IF(6=life_fac,0.5,0))+Sens!F5620*IF(5&lt;life_fac,1,IF(5=life_fac,0.5,0))+Sens!G5620*IF(4&lt;life_fac,1,IF(4=life_fac,0.5,0))+Sens!H5620*IF(3&lt;life_fac,1,IF(3=life_fac,0.5,0))+Sens!I5620*IF(2&lt;life_fac,1,IF(2=life_fac,0.5,0))+Sens!J5620*IF(1&lt;life_fac,1,IF(1=life_fac,0.5,0))+Sens!K5620*0.5)/life_fac</f>
        <v>8.292655637</v>
      </c>
    </row>
    <row r="5626" customFormat="false" ht="17.15" hidden="false" customHeight="false" outlineLevel="0" collapsed="false">
      <c r="A5626" s="0" t="s">
        <v>844</v>
      </c>
      <c r="B5626" s="0" t="s">
        <v>98</v>
      </c>
      <c r="E5626" s="6" t="n">
        <f aca="false">Sens!E5624+Sens!E5625</f>
        <v>16.3054059770833</v>
      </c>
      <c r="F5626" s="6" t="n">
        <f aca="false">Sens!F5624+Sens!F5625</f>
        <v>34.7592854558698</v>
      </c>
      <c r="G5626" s="6" t="n">
        <f aca="false">Sens!G5624+Sens!G5625</f>
        <v>60.5442332603396</v>
      </c>
      <c r="H5626" s="6" t="n">
        <f aca="false">Sens!H5624+Sens!H5625</f>
        <v>87.7798159931396</v>
      </c>
      <c r="I5626" s="6" t="n">
        <f aca="false">Sens!I5624+Sens!I5625</f>
        <v>112.024539982221</v>
      </c>
      <c r="J5626" s="6" t="n">
        <f aca="false">Sens!J5624+Sens!J5625</f>
        <v>129.221210922666</v>
      </c>
      <c r="K5626" s="6" t="n">
        <f aca="false">Sens!K5624+Sens!K5625</f>
        <v>139.685146804474</v>
      </c>
    </row>
    <row r="5627" customFormat="false" ht="17.15" hidden="false" customHeight="false" outlineLevel="0" collapsed="false">
      <c r="A5627" s="0" t="s">
        <v>845</v>
      </c>
      <c r="B5627" s="0" t="s">
        <v>98</v>
      </c>
      <c r="E5627" s="6" t="n">
        <f aca="false">Sens!E5615-Sens!E5614*Sens!E5626</f>
        <v>8.92707889977379</v>
      </c>
      <c r="F5627" s="6" t="n">
        <f aca="false">Sens!F5615-Sens!F5614*Sens!F5626</f>
        <v>14.2017742890201</v>
      </c>
      <c r="G5627" s="6" t="n">
        <f aca="false">Sens!G5615-Sens!G5614*Sens!G5626</f>
        <v>15.9239572150833</v>
      </c>
      <c r="H5627" s="6" t="n">
        <f aca="false">Sens!H5615-Sens!H5614*Sens!H5626</f>
        <v>12.6117802551433</v>
      </c>
      <c r="I5627" s="6" t="n">
        <f aca="false">Sens!I5615-Sens!I5614*Sens!I5626</f>
        <v>16.0555756471222</v>
      </c>
      <c r="J5627" s="6" t="n">
        <f aca="false">Sens!J5615-Sens!J5614*Sens!J5626</f>
        <v>18.4148478858798</v>
      </c>
      <c r="K5627" s="6" t="n">
        <f aca="false">Sens!K5615-Sens!K5614*Sens!K5626</f>
        <v>20.3720254265162</v>
      </c>
    </row>
    <row r="5628" customFormat="false" ht="17.15" hidden="false" customHeight="false" outlineLevel="0" collapsed="false">
      <c r="A5628" s="3" t="s">
        <v>1380</v>
      </c>
    </row>
    <row r="5629" customFormat="false" ht="15" hidden="false" customHeight="false" outlineLevel="0" collapsed="false">
      <c r="A5629" s="4" t="s">
        <v>43</v>
      </c>
      <c r="B5629" s="4" t="s">
        <v>65</v>
      </c>
      <c r="C5629" s="20" t="s">
        <v>788</v>
      </c>
      <c r="D5629" s="20" t="s">
        <v>789</v>
      </c>
      <c r="E5629" s="20" t="s">
        <v>790</v>
      </c>
      <c r="F5629" s="20" t="s">
        <v>791</v>
      </c>
      <c r="G5629" s="20" t="s">
        <v>792</v>
      </c>
      <c r="H5629" s="20" t="s">
        <v>793</v>
      </c>
      <c r="I5629" s="20" t="s">
        <v>794</v>
      </c>
      <c r="J5629" s="20" t="s">
        <v>795</v>
      </c>
      <c r="K5629" s="20" t="s">
        <v>796</v>
      </c>
      <c r="L5629" s="4" t="s">
        <v>47</v>
      </c>
    </row>
    <row r="5630" customFormat="false" ht="17.15" hidden="false" customHeight="false" outlineLevel="0" collapsed="false">
      <c r="A5630" s="0" t="s">
        <v>864</v>
      </c>
      <c r="B5630" s="0" t="s">
        <v>98</v>
      </c>
      <c r="D5630" s="6" t="n">
        <f aca="false">Sens!D5609</f>
        <v>12.9359794422418</v>
      </c>
      <c r="E5630" s="6" t="n">
        <f aca="false">Sens!E5609</f>
        <v>27.8095064661409</v>
      </c>
      <c r="F5630" s="6" t="n">
        <f aca="false">Sens!F5609</f>
        <v>50.6619113883066</v>
      </c>
      <c r="G5630" s="6" t="n">
        <f aca="false">Sens!G5609</f>
        <v>75.1482839325348</v>
      </c>
      <c r="H5630" s="6" t="n">
        <f aca="false">Sens!H5609</f>
        <v>94.895655604042</v>
      </c>
      <c r="I5630" s="6" t="n">
        <f aca="false">Sens!I5609</f>
        <v>118.706168884151</v>
      </c>
      <c r="J5630" s="6" t="n">
        <f aca="false">Sens!J5609</f>
        <v>135.305203646001</v>
      </c>
      <c r="K5630" s="6" t="n">
        <f aca="false">Sens!K5609</f>
        <v>145.64537766421</v>
      </c>
    </row>
    <row r="5631" customFormat="false" ht="17.15" hidden="false" customHeight="false" outlineLevel="0" collapsed="false">
      <c r="A5631" s="0" t="s">
        <v>865</v>
      </c>
      <c r="B5631" s="0" t="s">
        <v>98</v>
      </c>
      <c r="D5631" s="6" t="n">
        <f aca="false">Q!L6-Sens!D5630</f>
        <v>59.6740205577583</v>
      </c>
      <c r="E5631" s="6" t="n">
        <f aca="false">Q!M6-Sens!E5630</f>
        <v>74.1284935338591</v>
      </c>
      <c r="F5631" s="6" t="n">
        <f aca="false">Sens!E5631*(1+Sens!F5632)</f>
        <v>90.0799497373663</v>
      </c>
      <c r="G5631" s="6" t="n">
        <f aca="false">Sens!F5631*(1+Sens!G5632)</f>
        <v>107.02842520331</v>
      </c>
      <c r="H5631" s="6" t="n">
        <f aca="false">Sens!G5631*(1+Sens!H5632)</f>
        <v>124.271982585636</v>
      </c>
      <c r="I5631" s="6" t="n">
        <f aca="false">Sens!H5631*(1+Sens!I5632)</f>
        <v>140.933702381855</v>
      </c>
      <c r="J5631" s="6" t="n">
        <f aca="false">Sens!I5631*(1+Sens!J5632)</f>
        <v>156.018867314332</v>
      </c>
      <c r="K5631" s="6" t="n">
        <f aca="false">Sens!J5631*(1+Sens!K5632)</f>
        <v>168.500376699478</v>
      </c>
    </row>
    <row r="5632" customFormat="false" ht="15" hidden="false" customHeight="false" outlineLevel="0" collapsed="false">
      <c r="A5632" s="1" t="s">
        <v>866</v>
      </c>
      <c r="B5632" s="0" t="s">
        <v>129</v>
      </c>
      <c r="E5632" s="7" t="n">
        <f aca="false">Sens!E5631/Sens!D5631-1</f>
        <v>0.242223883039864</v>
      </c>
      <c r="F5632" s="7" t="n">
        <f aca="false">Sens!$E$5632+(glt_azo-Sens!$E$5632)*MIN(1,(Sens!F5592-base_fy)/n_conv)</f>
        <v>0.215186569199887</v>
      </c>
      <c r="G5632" s="7" t="n">
        <f aca="false">Sens!$E$5632+(glt_azo-Sens!$E$5632)*MIN(1,(Sens!G5592-base_fy)/n_conv)</f>
        <v>0.18814925535991</v>
      </c>
      <c r="H5632" s="7" t="n">
        <f aca="false">Sens!$E$5632+(glt_azo-Sens!$E$5632)*MIN(1,(Sens!H5592-base_fy)/n_conv)</f>
        <v>0.161111941519932</v>
      </c>
      <c r="I5632" s="7" t="n">
        <f aca="false">Sens!$E$5632+(glt_azo-Sens!$E$5632)*MIN(1,(Sens!I5592-base_fy)/n_conv)</f>
        <v>0.134074627679955</v>
      </c>
      <c r="J5632" s="7" t="n">
        <f aca="false">Sens!$E$5632+(glt_azo-Sens!$E$5632)*MIN(1,(Sens!J5592-base_fy)/n_conv)</f>
        <v>0.107037313839977</v>
      </c>
      <c r="K5632" s="7" t="n">
        <f aca="false">Sens!$E$5632+(glt_azo-Sens!$E$5632)*MIN(1,(Sens!K5592-base_fy)/n_conv)</f>
        <v>0.08</v>
      </c>
    </row>
    <row r="5633" customFormat="false" ht="15" hidden="false" customHeight="false" outlineLevel="0" collapsed="false">
      <c r="A5633" s="0" t="s">
        <v>867</v>
      </c>
      <c r="B5633" s="0" t="s">
        <v>98</v>
      </c>
      <c r="D5633" s="6" t="n">
        <f aca="false">Sens!D5630+Sens!D5631</f>
        <v>72.61</v>
      </c>
      <c r="E5633" s="6" t="n">
        <f aca="false">Sens!E5630+Sens!E5631</f>
        <v>101.938</v>
      </c>
      <c r="F5633" s="6" t="n">
        <f aca="false">Sens!F5630+Sens!F5631</f>
        <v>140.741861125673</v>
      </c>
      <c r="G5633" s="6" t="n">
        <f aca="false">Sens!G5630+Sens!G5631</f>
        <v>182.176709135845</v>
      </c>
      <c r="H5633" s="6" t="n">
        <f aca="false">Sens!H5630+Sens!H5631</f>
        <v>219.167638189678</v>
      </c>
      <c r="I5633" s="6" t="n">
        <f aca="false">Sens!I5630+Sens!I5631</f>
        <v>259.639871266006</v>
      </c>
      <c r="J5633" s="6" t="n">
        <f aca="false">Sens!J5630+Sens!J5631</f>
        <v>291.324070960333</v>
      </c>
      <c r="K5633" s="6" t="n">
        <f aca="false">Sens!K5630+Sens!K5631</f>
        <v>314.145754363688</v>
      </c>
    </row>
    <row r="5634" customFormat="false" ht="17.15" hidden="false" customHeight="false" outlineLevel="0" collapsed="false">
      <c r="A5634" s="0" t="s">
        <v>868</v>
      </c>
      <c r="B5634" s="1" t="s">
        <v>521</v>
      </c>
      <c r="C5634" s="29" t="n">
        <f aca="false">cop_s24</f>
        <v>1</v>
      </c>
      <c r="D5634" s="29" t="n">
        <f aca="false">cop_s25</f>
        <v>5</v>
      </c>
      <c r="E5634" s="29" t="n">
        <f aca="false">cop_s26</f>
        <v>30</v>
      </c>
      <c r="F5634" s="29" t="n">
        <f aca="false">Sens!E5634+cop_add_C*0.5</f>
        <v>35</v>
      </c>
      <c r="G5634" s="29" t="n">
        <f aca="false">Sens!F5634+cop_add_C*0.5</f>
        <v>40</v>
      </c>
      <c r="H5634" s="29" t="n">
        <f aca="false">Sens!G5634+cop_add_C*0.5</f>
        <v>45</v>
      </c>
      <c r="I5634" s="29" t="n">
        <f aca="false">Sens!H5634+cop_add_C*0.5*cop_tail</f>
        <v>47.5</v>
      </c>
      <c r="J5634" s="29" t="n">
        <f aca="false">Sens!I5634+cop_add_C*0.5*cop_tail</f>
        <v>50</v>
      </c>
      <c r="K5634" s="29" t="n">
        <f aca="false">Sens!J5634+cop_add_C*0.5*cop_tail</f>
        <v>52.5</v>
      </c>
      <c r="L5634" s="11" t="s">
        <v>869</v>
      </c>
    </row>
    <row r="5635" customFormat="false" ht="17.15" hidden="false" customHeight="false" outlineLevel="0" collapsed="false">
      <c r="A5635" s="0" t="s">
        <v>870</v>
      </c>
      <c r="B5635" s="0" t="s">
        <v>98</v>
      </c>
      <c r="D5635" s="6" t="n">
        <f aca="false">(Sens!C5634+Sens!D5634)/2*cop_px*12/1000</f>
        <v>0.9</v>
      </c>
      <c r="E5635" s="6" t="n">
        <f aca="false">(Sens!D5634+Sens!E5634)/2*cop_px*12/1000</f>
        <v>5.25</v>
      </c>
      <c r="F5635" s="6" t="n">
        <f aca="false">(Sens!E5634+Sens!F5634)/2*cop_px*12/1000</f>
        <v>9.75</v>
      </c>
      <c r="G5635" s="6" t="n">
        <f aca="false">(Sens!F5634+Sens!G5634)/2*cop_px*12/1000</f>
        <v>11.25</v>
      </c>
      <c r="H5635" s="6" t="n">
        <f aca="false">(Sens!G5634+Sens!H5634)/2*cop_px*12/1000</f>
        <v>12.75</v>
      </c>
      <c r="I5635" s="6" t="n">
        <f aca="false">(Sens!H5634+Sens!I5634)/2*cop_px*12/1000</f>
        <v>13.875</v>
      </c>
      <c r="J5635" s="6" t="n">
        <f aca="false">(Sens!I5634+Sens!J5634)/2*cop_px*12/1000</f>
        <v>14.625</v>
      </c>
      <c r="K5635" s="6" t="n">
        <f aca="false">(Sens!J5634+Sens!K5634)/2*cop_px*12/1000</f>
        <v>15.375</v>
      </c>
      <c r="L5635" s="1" t="s">
        <v>871</v>
      </c>
    </row>
    <row r="5636" customFormat="false" ht="17.15" hidden="false" customHeight="false" outlineLevel="0" collapsed="false">
      <c r="A5636" s="0" t="s">
        <v>872</v>
      </c>
      <c r="B5636" s="0" t="s">
        <v>98</v>
      </c>
      <c r="D5636" s="6" t="n">
        <f aca="false">Q!L7-Sens!D5635</f>
        <v>83.705</v>
      </c>
      <c r="E5636" s="6" t="n">
        <f aca="false">Q!M7-Sens!E5635</f>
        <v>95.049</v>
      </c>
      <c r="F5636" s="6" t="n">
        <f aca="false">Sens!E5636*(1+Sens!F5637)</f>
        <v>106.89238776686</v>
      </c>
      <c r="G5636" s="6" t="n">
        <f aca="false">Sens!F5636*(1+Sens!G5637)</f>
        <v>119.044168448684</v>
      </c>
      <c r="H5636" s="6" t="n">
        <f aca="false">Sens!G5636*(1+Sens!H5637)</f>
        <v>131.277359388781</v>
      </c>
      <c r="I5636" s="6" t="n">
        <f aca="false">Sens!H5636*(1+Sens!I5637)</f>
        <v>143.334028071957</v>
      </c>
      <c r="J5636" s="6" t="n">
        <f aca="false">Sens!I5636*(1+Sens!J5637)</f>
        <v>154.932702785465</v>
      </c>
      <c r="K5636" s="6" t="n">
        <f aca="false">Sens!J5636*(1+Sens!K5637)</f>
        <v>165.777991980448</v>
      </c>
    </row>
    <row r="5637" customFormat="false" ht="15" hidden="false" customHeight="false" outlineLevel="0" collapsed="false">
      <c r="A5637" s="1" t="s">
        <v>866</v>
      </c>
      <c r="B5637" s="0" t="s">
        <v>129</v>
      </c>
      <c r="E5637" s="7" t="n">
        <f aca="false">Sens!E5636/Sens!D5636-1</f>
        <v>0.135523564900544</v>
      </c>
      <c r="F5637" s="7" t="n">
        <f aca="false">Sens!$E$5637+(glt_m365b-Sens!$E$5637)*MIN(1,(Sens!F5592-base_fy)/n_conv)</f>
        <v>0.124602970750453</v>
      </c>
      <c r="G5637" s="7" t="n">
        <f aca="false">Sens!$E$5637+(glt_m365b-Sens!$E$5637)*MIN(1,(Sens!G5592-base_fy)/n_conv)</f>
        <v>0.113682376600363</v>
      </c>
      <c r="H5637" s="7" t="n">
        <f aca="false">Sens!$E$5637+(glt_m365b-Sens!$E$5637)*MIN(1,(Sens!H5592-base_fy)/n_conv)</f>
        <v>0.102761782450272</v>
      </c>
      <c r="I5637" s="7" t="n">
        <f aca="false">Sens!$E$5637+(glt_m365b-Sens!$E$5637)*MIN(1,(Sens!I5592-base_fy)/n_conv)</f>
        <v>0.0918411883001813</v>
      </c>
      <c r="J5637" s="7" t="n">
        <f aca="false">Sens!$E$5637+(glt_m365b-Sens!$E$5637)*MIN(1,(Sens!J5592-base_fy)/n_conv)</f>
        <v>0.0809205941500906</v>
      </c>
      <c r="K5637" s="7" t="n">
        <f aca="false">Sens!$E$5637+(glt_m365b-Sens!$E$5637)*MIN(1,(Sens!K5592-base_fy)/n_conv)</f>
        <v>0.07</v>
      </c>
    </row>
    <row r="5638" customFormat="false" ht="15" hidden="false" customHeight="false" outlineLevel="0" collapsed="false">
      <c r="A5638" s="0" t="s">
        <v>873</v>
      </c>
      <c r="B5638" s="0" t="s">
        <v>98</v>
      </c>
      <c r="D5638" s="6" t="n">
        <f aca="false">Sens!D5636+Sens!D5635</f>
        <v>84.605</v>
      </c>
      <c r="E5638" s="6" t="n">
        <f aca="false">Sens!E5636+Sens!E5635</f>
        <v>100.299</v>
      </c>
      <c r="F5638" s="6" t="n">
        <f aca="false">Sens!F5636+Sens!F5635</f>
        <v>116.64238776686</v>
      </c>
      <c r="G5638" s="6" t="n">
        <f aca="false">Sens!G5636+Sens!G5635</f>
        <v>130.294168448684</v>
      </c>
      <c r="H5638" s="6" t="n">
        <f aca="false">Sens!H5636+Sens!H5635</f>
        <v>144.027359388781</v>
      </c>
      <c r="I5638" s="6" t="n">
        <f aca="false">Sens!I5636+Sens!I5635</f>
        <v>157.209028071957</v>
      </c>
      <c r="J5638" s="6" t="n">
        <f aca="false">Sens!J5636+Sens!J5635</f>
        <v>169.557702785465</v>
      </c>
      <c r="K5638" s="6" t="n">
        <f aca="false">Sens!K5636+Sens!K5635</f>
        <v>181.152991980448</v>
      </c>
    </row>
    <row r="5639" customFormat="false" ht="15" hidden="false" customHeight="false" outlineLevel="0" collapsed="false">
      <c r="A5639" s="0" t="s">
        <v>874</v>
      </c>
      <c r="B5639" s="0" t="s">
        <v>98</v>
      </c>
      <c r="D5639" s="6" t="n">
        <f aca="false">Q!L8</f>
        <v>35.391</v>
      </c>
      <c r="E5639" s="6" t="n">
        <f aca="false">Q!M8</f>
        <v>37.285</v>
      </c>
      <c r="F5639" s="6" t="n">
        <f aca="false">Sens!E5639*(1+Sens!F5640)</f>
        <v>39.0720834331704</v>
      </c>
      <c r="G5639" s="6" t="n">
        <f aca="false">Sens!F5639*(1+Sens!G5640)</f>
        <v>40.726562953769</v>
      </c>
      <c r="H5639" s="6" t="n">
        <f aca="false">Sens!G5639*(1+Sens!H5640)</f>
        <v>42.2235987259198</v>
      </c>
      <c r="I5639" s="6" t="n">
        <f aca="false">Sens!H5639*(1+Sens!I5640)</f>
        <v>43.5397988077414</v>
      </c>
      <c r="J5639" s="6" t="n">
        <f aca="false">Sens!I5639*(1+Sens!J5640)</f>
        <v>44.653811225693</v>
      </c>
      <c r="K5639" s="6" t="n">
        <f aca="false">Sens!J5639*(1+Sens!K5640)</f>
        <v>45.5468874502068</v>
      </c>
    </row>
    <row r="5640" customFormat="false" ht="15" hidden="false" customHeight="false" outlineLevel="0" collapsed="false">
      <c r="A5640" s="1" t="s">
        <v>866</v>
      </c>
      <c r="B5640" s="0" t="s">
        <v>129</v>
      </c>
      <c r="E5640" s="7" t="n">
        <f aca="false">Sens!E5639/Sens!D5639-1</f>
        <v>0.0535164307309768</v>
      </c>
      <c r="F5640" s="7" t="n">
        <f aca="false">Sens!$E$5640+(glt_lic-Sens!$E$5640)*MIN(1,(Sens!F5592-base_fy)/n_conv)</f>
        <v>0.0479303589424807</v>
      </c>
      <c r="G5640" s="7" t="n">
        <f aca="false">Sens!$E$5640+(glt_lic-Sens!$E$5640)*MIN(1,(Sens!G5592-base_fy)/n_conv)</f>
        <v>0.0423442871539845</v>
      </c>
      <c r="H5640" s="7" t="n">
        <f aca="false">Sens!$E$5640+(glt_lic-Sens!$E$5640)*MIN(1,(Sens!H5592-base_fy)/n_conv)</f>
        <v>0.0367582153654884</v>
      </c>
      <c r="I5640" s="7" t="n">
        <f aca="false">Sens!$E$5640+(glt_lic-Sens!$E$5640)*MIN(1,(Sens!I5592-base_fy)/n_conv)</f>
        <v>0.0311721435769923</v>
      </c>
      <c r="J5640" s="7" t="n">
        <f aca="false">Sens!$E$5640+(glt_lic-Sens!$E$5640)*MIN(1,(Sens!J5592-base_fy)/n_conv)</f>
        <v>0.0255860717884961</v>
      </c>
      <c r="K5640" s="7" t="n">
        <f aca="false">Sens!$E$5640+(glt_lic-Sens!$E$5640)*MIN(1,(Sens!K5592-base_fy)/n_conv)</f>
        <v>0.02</v>
      </c>
    </row>
    <row r="5641" customFormat="false" ht="15" hidden="false" customHeight="false" outlineLevel="0" collapsed="false">
      <c r="A5641" s="0" t="s">
        <v>875</v>
      </c>
      <c r="B5641" s="0" t="s">
        <v>98</v>
      </c>
      <c r="D5641" s="6" t="n">
        <f aca="false">Q!L9</f>
        <v>18.417</v>
      </c>
      <c r="E5641" s="6" t="n">
        <f aca="false">Q!M9</f>
        <v>20.345</v>
      </c>
      <c r="F5641" s="6" t="n">
        <f aca="false">Sens!E5641*(1+Sens!F5642)</f>
        <v>22.3572203267814</v>
      </c>
      <c r="G5641" s="6" t="n">
        <f aca="false">Sens!F5641*(1+Sens!G5642)</f>
        <v>24.4392124437232</v>
      </c>
      <c r="H5641" s="6" t="n">
        <f aca="false">Sens!G5641*(1+Sens!H5642)</f>
        <v>26.5738052080665</v>
      </c>
      <c r="I5641" s="6" t="n">
        <f aca="false">Sens!H5641*(1+Sens!I5642)</f>
        <v>28.7412169166967</v>
      </c>
      <c r="J5641" s="6" t="n">
        <f aca="false">Sens!I5641*(1+Sens!J5642)</f>
        <v>30.9192545395413</v>
      </c>
      <c r="K5641" s="6" t="n">
        <f aca="false">Sens!J5641*(1+Sens!K5642)</f>
        <v>33.0836023573092</v>
      </c>
    </row>
    <row r="5642" customFormat="false" ht="15" hidden="false" customHeight="false" outlineLevel="0" collapsed="false">
      <c r="A5642" s="1" t="s">
        <v>866</v>
      </c>
      <c r="B5642" s="0" t="s">
        <v>129</v>
      </c>
      <c r="E5642" s="7" t="n">
        <f aca="false">Sens!E5641/Sens!D5641-1</f>
        <v>0.104685888038225</v>
      </c>
      <c r="F5642" s="7" t="n">
        <f aca="false">Sens!$E$5642+(glt_ind-Sens!$E$5642)*MIN(1,(Sens!F5592-base_fy)/n_conv)</f>
        <v>0.0989049066985211</v>
      </c>
      <c r="G5642" s="7" t="n">
        <f aca="false">Sens!$E$5642+(glt_ind-Sens!$E$5642)*MIN(1,(Sens!G5592-base_fy)/n_conv)</f>
        <v>0.0931239253588169</v>
      </c>
      <c r="H5642" s="7" t="n">
        <f aca="false">Sens!$E$5642+(glt_ind-Sens!$E$5642)*MIN(1,(Sens!H5592-base_fy)/n_conv)</f>
        <v>0.0873429440191127</v>
      </c>
      <c r="I5642" s="7" t="n">
        <f aca="false">Sens!$E$5642+(glt_ind-Sens!$E$5642)*MIN(1,(Sens!I5592-base_fy)/n_conv)</f>
        <v>0.0815619626794085</v>
      </c>
      <c r="J5642" s="7" t="n">
        <f aca="false">Sens!$E$5642+(glt_ind-Sens!$E$5642)*MIN(1,(Sens!J5592-base_fy)/n_conv)</f>
        <v>0.0757809813397042</v>
      </c>
      <c r="K5642" s="7" t="n">
        <f aca="false">Sens!$E$5642+(glt_ind-Sens!$E$5642)*MIN(1,(Sens!K5592-base_fy)/n_conv)</f>
        <v>0.07</v>
      </c>
    </row>
    <row r="5643" customFormat="false" ht="15" hidden="false" customHeight="false" outlineLevel="0" collapsed="false">
      <c r="A5643" s="0" t="s">
        <v>876</v>
      </c>
      <c r="B5643" s="0" t="s">
        <v>98</v>
      </c>
      <c r="D5643" s="6" t="n">
        <f aca="false">Q!L10</f>
        <v>7.76</v>
      </c>
      <c r="E5643" s="6" t="n">
        <f aca="false">Q!M10</f>
        <v>8.26</v>
      </c>
      <c r="F5643" s="6" t="n">
        <f aca="false">Sens!E5643*(1+Sens!F5644)</f>
        <v>8.79988041237113</v>
      </c>
      <c r="G5643" s="6" t="n">
        <f aca="false">Sens!F5643*(1+Sens!G5644)</f>
        <v>9.38321269125306</v>
      </c>
      <c r="H5643" s="6" t="n">
        <f aca="false">Sens!G5643*(1+Sens!H5644)</f>
        <v>10.0139193587476</v>
      </c>
      <c r="I5643" s="6" t="n">
        <f aca="false">Sens!H5643*(1+Sens!I5644)</f>
        <v>10.6963111830911</v>
      </c>
      <c r="J5643" s="6" t="n">
        <f aca="false">Sens!I5643*(1+Sens!J5644)</f>
        <v>11.4351285534696</v>
      </c>
      <c r="K5643" s="6" t="n">
        <f aca="false">Sens!J5643*(1+Sens!K5644)</f>
        <v>12.2355875522124</v>
      </c>
    </row>
    <row r="5644" customFormat="false" ht="15" hidden="false" customHeight="false" outlineLevel="0" collapsed="false">
      <c r="A5644" s="1" t="s">
        <v>866</v>
      </c>
      <c r="B5644" s="0" t="s">
        <v>129</v>
      </c>
      <c r="E5644" s="7" t="n">
        <f aca="false">Sens!E5643/Sens!D5643-1</f>
        <v>0.0644329896907216</v>
      </c>
      <c r="F5644" s="7" t="n">
        <f aca="false">Sens!$E$5644+(glt_fro-Sens!$E$5644)*MIN(1,(Sens!F5592-base_fy)/n_conv)</f>
        <v>0.065360824742268</v>
      </c>
      <c r="G5644" s="7" t="n">
        <f aca="false">Sens!$E$5644+(glt_fro-Sens!$E$5644)*MIN(1,(Sens!G5592-base_fy)/n_conv)</f>
        <v>0.0662886597938144</v>
      </c>
      <c r="H5644" s="7" t="n">
        <f aca="false">Sens!$E$5644+(glt_fro-Sens!$E$5644)*MIN(1,(Sens!H5592-base_fy)/n_conv)</f>
        <v>0.0672164948453608</v>
      </c>
      <c r="I5644" s="7" t="n">
        <f aca="false">Sens!$E$5644+(glt_fro-Sens!$E$5644)*MIN(1,(Sens!I5592-base_fy)/n_conv)</f>
        <v>0.0681443298969072</v>
      </c>
      <c r="J5644" s="7" t="n">
        <f aca="false">Sens!$E$5644+(glt_fro-Sens!$E$5644)*MIN(1,(Sens!J5592-base_fy)/n_conv)</f>
        <v>0.0690721649484536</v>
      </c>
      <c r="K5644" s="7" t="n">
        <f aca="false">Sens!$E$5644+(glt_fro-Sens!$E$5644)*MIN(1,(Sens!K5592-base_fy)/n_conv)</f>
        <v>0.07</v>
      </c>
    </row>
    <row r="5645" customFormat="false" ht="15" hidden="false" customHeight="false" outlineLevel="0" collapsed="false">
      <c r="A5645" s="0" t="s">
        <v>704</v>
      </c>
      <c r="B5645" s="0" t="s">
        <v>98</v>
      </c>
      <c r="D5645" s="6" t="n">
        <f aca="false">Sens!D5633+Sens!D5638+Sens!D5639+Sens!D5641+Sens!D5643</f>
        <v>218.783</v>
      </c>
      <c r="E5645" s="6" t="n">
        <f aca="false">Sens!E5633+Sens!E5638+Sens!E5639+Sens!E5641+Sens!E5643</f>
        <v>268.127</v>
      </c>
      <c r="F5645" s="6" t="n">
        <f aca="false">Sens!F5633+Sens!F5638+Sens!F5639+Sens!F5641+Sens!F5643</f>
        <v>327.613433064856</v>
      </c>
      <c r="G5645" s="6" t="n">
        <f aca="false">Sens!G5633+Sens!G5638+Sens!G5639+Sens!G5641+Sens!G5643</f>
        <v>387.019865673274</v>
      </c>
      <c r="H5645" s="6" t="n">
        <f aca="false">Sens!H5633+Sens!H5638+Sens!H5639+Sens!H5641+Sens!H5643</f>
        <v>442.006320871193</v>
      </c>
      <c r="I5645" s="6" t="n">
        <f aca="false">Sens!I5633+Sens!I5638+Sens!I5639+Sens!I5641+Sens!I5643</f>
        <v>499.826226245492</v>
      </c>
      <c r="J5645" s="6" t="n">
        <f aca="false">Sens!J5633+Sens!J5638+Sens!J5639+Sens!J5641+Sens!J5643</f>
        <v>547.889968064502</v>
      </c>
      <c r="K5645" s="6" t="n">
        <f aca="false">Sens!K5633+Sens!K5638+Sens!K5639+Sens!K5641+Sens!K5643</f>
        <v>586.164823703865</v>
      </c>
    </row>
    <row r="5646" customFormat="false" ht="15" hidden="false" customHeight="false" outlineLevel="0" collapsed="false">
      <c r="A5646" s="0" t="s">
        <v>877</v>
      </c>
      <c r="B5646" s="0" t="s">
        <v>98</v>
      </c>
      <c r="D5646" s="6" t="n">
        <f aca="false">Q!L13</f>
        <v>22.171</v>
      </c>
      <c r="E5646" s="6" t="n">
        <f aca="false">Q!M13</f>
        <v>24.835</v>
      </c>
      <c r="F5646" s="6" t="n">
        <f aca="false">Sens!E5646*(1+Sens!F5647)</f>
        <v>27.6114901218559</v>
      </c>
      <c r="G5646" s="6" t="n">
        <f aca="false">Sens!F5646*(1+Sens!G5647)</f>
        <v>30.4675667338515</v>
      </c>
      <c r="H5646" s="6" t="n">
        <f aca="false">Sens!G5646*(1+Sens!H5647)</f>
        <v>33.3643766955789</v>
      </c>
      <c r="I5646" s="6" t="n">
        <f aca="false">Sens!H5646*(1+Sens!I5647)</f>
        <v>36.2577016533691</v>
      </c>
      <c r="J5646" s="6" t="n">
        <f aca="false">Sens!I5646*(1+Sens!J5647)</f>
        <v>39.0988367952171</v>
      </c>
      <c r="K5646" s="6" t="n">
        <f aca="false">Sens!J5646*(1+Sens!K5647)</f>
        <v>41.8357553708823</v>
      </c>
    </row>
    <row r="5647" customFormat="false" ht="15" hidden="false" customHeight="false" outlineLevel="0" collapsed="false">
      <c r="A5647" s="1" t="s">
        <v>866</v>
      </c>
      <c r="B5647" s="0" t="s">
        <v>129</v>
      </c>
      <c r="E5647" s="7" t="n">
        <f aca="false">Sens!E5646/Sens!D5646-1</f>
        <v>0.120156961796942</v>
      </c>
      <c r="F5647" s="7" t="n">
        <f aca="false">Sens!$E$5647+(glt_srch-Sens!$E$5647)*MIN(1,(Sens!F5592-base_fy)/n_conv)</f>
        <v>0.111797468164118</v>
      </c>
      <c r="G5647" s="7" t="n">
        <f aca="false">Sens!$E$5647+(glt_srch-Sens!$E$5647)*MIN(1,(Sens!G5592-base_fy)/n_conv)</f>
        <v>0.103437974531295</v>
      </c>
      <c r="H5647" s="7" t="n">
        <f aca="false">Sens!$E$5647+(glt_srch-Sens!$E$5647)*MIN(1,(Sens!H5592-base_fy)/n_conv)</f>
        <v>0.095078480898471</v>
      </c>
      <c r="I5647" s="7" t="n">
        <f aca="false">Sens!$E$5647+(glt_srch-Sens!$E$5647)*MIN(1,(Sens!I5592-base_fy)/n_conv)</f>
        <v>0.0867189872656474</v>
      </c>
      <c r="J5647" s="7" t="n">
        <f aca="false">Sens!$E$5647+(glt_srch-Sens!$E$5647)*MIN(1,(Sens!J5592-base_fy)/n_conv)</f>
        <v>0.0783594936328237</v>
      </c>
      <c r="K5647" s="7" t="n">
        <f aca="false">Sens!$E$5647+(glt_srch-Sens!$E$5647)*MIN(1,(Sens!K5592-base_fy)/n_conv)</f>
        <v>0.07</v>
      </c>
    </row>
    <row r="5648" customFormat="false" ht="15" hidden="false" customHeight="false" outlineLevel="0" collapsed="false">
      <c r="A5648" s="0" t="s">
        <v>878</v>
      </c>
      <c r="B5648" s="0" t="s">
        <v>98</v>
      </c>
      <c r="D5648" s="6" t="n">
        <f aca="false">Q!L14</f>
        <v>23.455</v>
      </c>
      <c r="E5648" s="6" t="n">
        <f aca="false">Q!M14</f>
        <v>21.79</v>
      </c>
      <c r="F5648" s="6" t="n">
        <f aca="false">Sens!E5648*(1+Sens!F5649)</f>
        <v>20.5736277908051</v>
      </c>
      <c r="G5648" s="6" t="n">
        <f aca="false">Sens!F5648*(1+Sens!G5649)</f>
        <v>19.7371452817919</v>
      </c>
      <c r="H5648" s="6" t="n">
        <f aca="false">Sens!G5648*(1+Sens!H5649)</f>
        <v>19.2339764043138</v>
      </c>
      <c r="I5648" s="6" t="n">
        <f aca="false">Sens!H5648*(1+Sens!I5649)</f>
        <v>19.0353086852681</v>
      </c>
      <c r="J5648" s="6" t="n">
        <f aca="false">Sens!I5648*(1+Sens!J5649)</f>
        <v>19.1273539319129</v>
      </c>
      <c r="K5648" s="6" t="n">
        <f aca="false">Sens!J5648*(1+Sens!K5649)</f>
        <v>19.5099010105511</v>
      </c>
    </row>
    <row r="5649" customFormat="false" ht="15" hidden="false" customHeight="false" outlineLevel="0" collapsed="false">
      <c r="A5649" s="1" t="s">
        <v>866</v>
      </c>
      <c r="B5649" s="0" t="s">
        <v>129</v>
      </c>
      <c r="E5649" s="7" t="n">
        <f aca="false">Sens!E5648/Sens!D5648-1</f>
        <v>-0.0709869963760392</v>
      </c>
      <c r="F5649" s="7" t="n">
        <f aca="false">Sens!$E$5649+(glt_xbox-Sens!$E$5649)*MIN(1,(Sens!F5592-base_fy)/n_conv)</f>
        <v>-0.0558224969800327</v>
      </c>
      <c r="G5649" s="7" t="n">
        <f aca="false">Sens!$E$5649+(glt_xbox-Sens!$E$5649)*MIN(1,(Sens!G5592-base_fy)/n_conv)</f>
        <v>-0.0406579975840262</v>
      </c>
      <c r="H5649" s="7" t="n">
        <f aca="false">Sens!$E$5649+(glt_xbox-Sens!$E$5649)*MIN(1,(Sens!H5592-base_fy)/n_conv)</f>
        <v>-0.0254934981880196</v>
      </c>
      <c r="I5649" s="7" t="n">
        <f aca="false">Sens!$E$5649+(glt_xbox-Sens!$E$5649)*MIN(1,(Sens!I5592-base_fy)/n_conv)</f>
        <v>-0.0103289987920131</v>
      </c>
      <c r="J5649" s="7" t="n">
        <f aca="false">Sens!$E$5649+(glt_xbox-Sens!$E$5649)*MIN(1,(Sens!J5592-base_fy)/n_conv)</f>
        <v>0.00483550060399347</v>
      </c>
      <c r="K5649" s="7" t="n">
        <f aca="false">Sens!$E$5649+(glt_xbox-Sens!$E$5649)*MIN(1,(Sens!K5592-base_fy)/n_conv)</f>
        <v>0.02</v>
      </c>
    </row>
    <row r="5650" customFormat="false" ht="15" hidden="false" customHeight="false" outlineLevel="0" collapsed="false">
      <c r="A5650" s="0" t="s">
        <v>879</v>
      </c>
      <c r="B5650" s="0" t="s">
        <v>98</v>
      </c>
      <c r="D5650" s="6" t="n">
        <f aca="false">Q!L15</f>
        <v>17.315</v>
      </c>
      <c r="E5650" s="6" t="n">
        <f aca="false">Q!M15</f>
        <v>17.087</v>
      </c>
      <c r="F5650" s="6" t="n">
        <f aca="false">Sens!E5650*(1+Sens!F5651)</f>
        <v>16.9564585436519</v>
      </c>
      <c r="G5650" s="6" t="n">
        <f aca="false">Sens!F5650*(1+Sens!G5651)</f>
        <v>16.9206490624268</v>
      </c>
      <c r="H5650" s="6" t="n">
        <f aca="false">Sens!G5650*(1+Sens!H5651)</f>
        <v>16.9784519149849</v>
      </c>
      <c r="I5650" s="6" t="n">
        <f aca="false">Sens!H5650*(1+Sens!I5651)</f>
        <v>17.1303084701817</v>
      </c>
      <c r="J5650" s="6" t="n">
        <f aca="false">Sens!I5650*(1+Sens!J5651)</f>
        <v>17.3782189407267</v>
      </c>
      <c r="K5650" s="6" t="n">
        <f aca="false">Sens!J5650*(1+Sens!K5651)</f>
        <v>17.7257833195413</v>
      </c>
    </row>
    <row r="5651" customFormat="false" ht="15" hidden="false" customHeight="false" outlineLevel="0" collapsed="false">
      <c r="A5651" s="1" t="s">
        <v>866</v>
      </c>
      <c r="B5651" s="0" t="s">
        <v>129</v>
      </c>
      <c r="E5651" s="7" t="n">
        <f aca="false">Sens!E5650/Sens!D5650-1</f>
        <v>-0.0131677736066995</v>
      </c>
      <c r="F5651" s="7" t="n">
        <f aca="false">Sens!$E$5651+(glt_win-Sens!$E$5651)*MIN(1,(Sens!F5592-base_fy)/n_conv)</f>
        <v>-0.00763981133891627</v>
      </c>
      <c r="G5651" s="7" t="n">
        <f aca="false">Sens!$E$5651+(glt_win-Sens!$E$5651)*MIN(1,(Sens!G5592-base_fy)/n_conv)</f>
        <v>-0.00211184907113301</v>
      </c>
      <c r="H5651" s="7" t="n">
        <f aca="false">Sens!$E$5651+(glt_win-Sens!$E$5651)*MIN(1,(Sens!H5592-base_fy)/n_conv)</f>
        <v>0.00341611319665024</v>
      </c>
      <c r="I5651" s="7" t="n">
        <f aca="false">Sens!$E$5651+(glt_win-Sens!$E$5651)*MIN(1,(Sens!I5592-base_fy)/n_conv)</f>
        <v>0.00894407546443349</v>
      </c>
      <c r="J5651" s="7" t="n">
        <f aca="false">Sens!$E$5651+(glt_win-Sens!$E$5651)*MIN(1,(Sens!J5592-base_fy)/n_conv)</f>
        <v>0.0144720377322168</v>
      </c>
      <c r="K5651" s="7" t="n">
        <f aca="false">Sens!$E$5651+(glt_win-Sens!$E$5651)*MIN(1,(Sens!K5592-base_fy)/n_conv)</f>
        <v>0.02</v>
      </c>
    </row>
    <row r="5652" customFormat="false" ht="15" hidden="false" customHeight="false" outlineLevel="0" collapsed="false">
      <c r="A5652" s="0" t="s">
        <v>718</v>
      </c>
      <c r="B5652" s="0" t="s">
        <v>98</v>
      </c>
      <c r="D5652" s="6" t="n">
        <f aca="false">Sens!D5646+Sens!D5648+Sens!D5650</f>
        <v>62.941</v>
      </c>
      <c r="E5652" s="6" t="n">
        <f aca="false">Sens!E5646+Sens!E5648+Sens!E5650</f>
        <v>63.712</v>
      </c>
      <c r="F5652" s="6" t="n">
        <f aca="false">Sens!F5646+Sens!F5648+Sens!F5650</f>
        <v>65.1415764563129</v>
      </c>
      <c r="G5652" s="6" t="n">
        <f aca="false">Sens!G5646+Sens!G5648+Sens!G5650</f>
        <v>67.1253610780702</v>
      </c>
      <c r="H5652" s="6" t="n">
        <f aca="false">Sens!H5646+Sens!H5648+Sens!H5650</f>
        <v>69.5768050148776</v>
      </c>
      <c r="I5652" s="6" t="n">
        <f aca="false">Sens!I5646+Sens!I5648+Sens!I5650</f>
        <v>72.4233188088189</v>
      </c>
      <c r="J5652" s="6" t="n">
        <f aca="false">Sens!J5646+Sens!J5648+Sens!J5650</f>
        <v>75.6044096678567</v>
      </c>
      <c r="K5652" s="6" t="n">
        <f aca="false">Sens!K5646+Sens!K5648+Sens!K5650</f>
        <v>79.0714397009747</v>
      </c>
    </row>
    <row r="5653" customFormat="false" ht="15" hidden="false" customHeight="false" outlineLevel="0" collapsed="false">
      <c r="A5653" s="1" t="s">
        <v>880</v>
      </c>
      <c r="B5653" s="0" t="s">
        <v>98</v>
      </c>
      <c r="D5653" s="6" t="n">
        <f aca="false">Sens!D5645+Sens!D5652</f>
        <v>281.724</v>
      </c>
      <c r="E5653" s="6" t="n">
        <f aca="false">Sens!E5645+Sens!E5652</f>
        <v>331.839</v>
      </c>
      <c r="F5653" s="6" t="n">
        <f aca="false">Sens!F5645+Sens!F5652</f>
        <v>392.755009521169</v>
      </c>
      <c r="G5653" s="6" t="n">
        <f aca="false">Sens!G5645+Sens!G5652</f>
        <v>454.145226751344</v>
      </c>
      <c r="H5653" s="6" t="n">
        <f aca="false">Sens!H5645+Sens!H5652</f>
        <v>511.583125886071</v>
      </c>
      <c r="I5653" s="6" t="n">
        <f aca="false">Sens!I5645+Sens!I5652</f>
        <v>572.249545054311</v>
      </c>
      <c r="J5653" s="6" t="n">
        <f aca="false">Sens!J5645+Sens!J5652</f>
        <v>623.494377732358</v>
      </c>
      <c r="K5653" s="6" t="n">
        <f aca="false">Sens!K5645+Sens!K5652</f>
        <v>665.236263404839</v>
      </c>
    </row>
    <row r="5654" customFormat="false" ht="15" hidden="false" customHeight="false" outlineLevel="0" collapsed="false">
      <c r="A5654" s="23" t="s">
        <v>881</v>
      </c>
      <c r="B5654" s="30" t="s">
        <v>98</v>
      </c>
      <c r="C5654" s="30"/>
      <c r="D5654" s="24" t="n">
        <f aca="false">(Sens!D5633+Sens!D5638+Sens!D5639+Sens!D5641+Sens!D5643-Sens!D5645)+(Sens!D5646+Sens!D5648+Sens!D5650-Sens!D5652)+(Sens!D5645-Q!L5)+(Sens!D5652-Q!L12)+(Sens!D5633-Q!L6)+(Sens!D5638-Q!L7)</f>
        <v>0</v>
      </c>
      <c r="E5654" s="24" t="n">
        <f aca="false">(Sens!E5633+Sens!E5638+Sens!E5639+Sens!E5641+Sens!E5643-Sens!E5645)+(Sens!E5646+Sens!E5648+Sens!E5650-Sens!E5652)+(Sens!E5645-Q!M5)+(Sens!E5652-Q!M12)+(Sens!E5633-Q!M6)+(Sens!E5638-Q!M7)</f>
        <v>0</v>
      </c>
      <c r="F5654" s="24" t="n">
        <f aca="false">(Sens!F5633+Sens!F5638+Sens!F5639+Sens!F5641+Sens!F5643-Sens!F5645)+(Sens!F5646+Sens!F5648+Sens!F5650-Sens!F5652)</f>
        <v>0</v>
      </c>
      <c r="G5654" s="24" t="n">
        <f aca="false">(Sens!G5633+Sens!G5638+Sens!G5639+Sens!G5641+Sens!G5643-Sens!G5645)+(Sens!G5646+Sens!G5648+Sens!G5650-Sens!G5652)</f>
        <v>0</v>
      </c>
      <c r="H5654" s="24" t="n">
        <f aca="false">(Sens!H5633+Sens!H5638+Sens!H5639+Sens!H5641+Sens!H5643-Sens!H5645)+(Sens!H5646+Sens!H5648+Sens!H5650-Sens!H5652)</f>
        <v>0</v>
      </c>
      <c r="I5654" s="24" t="n">
        <f aca="false">(Sens!I5633+Sens!I5638+Sens!I5639+Sens!I5641+Sens!I5643-Sens!I5645)+(Sens!I5646+Sens!I5648+Sens!I5650-Sens!I5652)</f>
        <v>0</v>
      </c>
      <c r="J5654" s="24" t="n">
        <f aca="false">(Sens!J5633+Sens!J5638+Sens!J5639+Sens!J5641+Sens!J5643-Sens!J5645)+(Sens!J5646+Sens!J5648+Sens!J5650-Sens!J5652)</f>
        <v>0</v>
      </c>
      <c r="K5654" s="24" t="n">
        <f aca="false">(Sens!K5633+Sens!K5638+Sens!K5639+Sens!K5641+Sens!K5643-Sens!K5645)+(Sens!K5646+Sens!K5648+Sens!K5650-Sens!K5652)</f>
        <v>0</v>
      </c>
    </row>
    <row r="5655" customFormat="false" ht="17.15" hidden="false" customHeight="false" outlineLevel="0" collapsed="false">
      <c r="A5655" s="3" t="s">
        <v>1381</v>
      </c>
    </row>
    <row r="5656" customFormat="false" ht="15" hidden="false" customHeight="false" outlineLevel="0" collapsed="false">
      <c r="A5656" s="4" t="s">
        <v>43</v>
      </c>
      <c r="B5656" s="4" t="s">
        <v>65</v>
      </c>
      <c r="C5656" s="20" t="s">
        <v>788</v>
      </c>
      <c r="D5656" s="20" t="s">
        <v>789</v>
      </c>
      <c r="E5656" s="20" t="s">
        <v>790</v>
      </c>
      <c r="F5656" s="20" t="s">
        <v>791</v>
      </c>
      <c r="G5656" s="20" t="s">
        <v>792</v>
      </c>
      <c r="H5656" s="20" t="s">
        <v>793</v>
      </c>
      <c r="I5656" s="20" t="s">
        <v>794</v>
      </c>
      <c r="J5656" s="20" t="s">
        <v>795</v>
      </c>
      <c r="K5656" s="20" t="s">
        <v>796</v>
      </c>
      <c r="L5656" s="4" t="s">
        <v>47</v>
      </c>
    </row>
    <row r="5657" customFormat="false" ht="15" hidden="false" customHeight="false" outlineLevel="0" collapsed="false">
      <c r="A5657" s="0" t="s">
        <v>867</v>
      </c>
      <c r="B5657" s="0" t="s">
        <v>98</v>
      </c>
      <c r="D5657" s="6" t="n">
        <f aca="false">Sens!D5633</f>
        <v>72.61</v>
      </c>
      <c r="E5657" s="6" t="n">
        <f aca="false">Sens!E5633</f>
        <v>101.938</v>
      </c>
      <c r="F5657" s="6" t="n">
        <f aca="false">Sens!F5633</f>
        <v>140.741861125673</v>
      </c>
      <c r="G5657" s="6" t="n">
        <f aca="false">Sens!G5633</f>
        <v>182.176709135845</v>
      </c>
      <c r="H5657" s="6" t="n">
        <f aca="false">Sens!H5633</f>
        <v>219.167638189678</v>
      </c>
      <c r="I5657" s="6" t="n">
        <f aca="false">Sens!I5633</f>
        <v>259.639871266006</v>
      </c>
      <c r="J5657" s="6" t="n">
        <f aca="false">Sens!J5633</f>
        <v>291.324070960333</v>
      </c>
      <c r="K5657" s="6" t="n">
        <f aca="false">Sens!K5633</f>
        <v>314.145754363688</v>
      </c>
    </row>
    <row r="5658" customFormat="false" ht="17.15" hidden="false" customHeight="false" outlineLevel="0" collapsed="false">
      <c r="A5658" s="0" t="s">
        <v>864</v>
      </c>
      <c r="B5658" s="0" t="s">
        <v>98</v>
      </c>
      <c r="D5658" s="6" t="n">
        <f aca="false">Sens!D5630</f>
        <v>12.9359794422418</v>
      </c>
      <c r="E5658" s="6" t="n">
        <f aca="false">Sens!E5630</f>
        <v>27.8095064661409</v>
      </c>
      <c r="F5658" s="6" t="n">
        <f aca="false">Sens!F5630</f>
        <v>50.6619113883066</v>
      </c>
      <c r="G5658" s="6" t="n">
        <f aca="false">Sens!G5630</f>
        <v>75.1482839325348</v>
      </c>
      <c r="H5658" s="6" t="n">
        <f aca="false">Sens!H5630</f>
        <v>94.895655604042</v>
      </c>
      <c r="I5658" s="6" t="n">
        <f aca="false">Sens!I5630</f>
        <v>118.706168884151</v>
      </c>
      <c r="J5658" s="6" t="n">
        <f aca="false">Sens!J5630</f>
        <v>135.305203646001</v>
      </c>
      <c r="K5658" s="6" t="n">
        <f aca="false">Sens!K5630</f>
        <v>145.64537766421</v>
      </c>
    </row>
    <row r="5659" customFormat="false" ht="17.15" hidden="false" customHeight="false" outlineLevel="0" collapsed="false">
      <c r="A5659" s="0" t="s">
        <v>892</v>
      </c>
      <c r="B5659" s="0" t="s">
        <v>98</v>
      </c>
      <c r="D5659" s="6" t="n">
        <f aca="false">Sens!D5631</f>
        <v>59.6740205577583</v>
      </c>
      <c r="E5659" s="6" t="n">
        <f aca="false">Sens!E5631</f>
        <v>74.1284935338591</v>
      </c>
      <c r="F5659" s="6" t="n">
        <f aca="false">Sens!F5631</f>
        <v>90.0799497373663</v>
      </c>
      <c r="G5659" s="6" t="n">
        <f aca="false">Sens!G5631</f>
        <v>107.02842520331</v>
      </c>
      <c r="H5659" s="6" t="n">
        <f aca="false">Sens!H5631</f>
        <v>124.271982585636</v>
      </c>
      <c r="I5659" s="6" t="n">
        <f aca="false">Sens!I5631</f>
        <v>140.933702381855</v>
      </c>
      <c r="J5659" s="6" t="n">
        <f aca="false">Sens!J5631</f>
        <v>156.018867314332</v>
      </c>
      <c r="K5659" s="6" t="n">
        <f aca="false">Sens!K5631</f>
        <v>168.500376699478</v>
      </c>
    </row>
    <row r="5660" customFormat="false" ht="15" hidden="false" customHeight="false" outlineLevel="0" collapsed="false">
      <c r="A5660" s="0" t="s">
        <v>873</v>
      </c>
      <c r="B5660" s="0" t="s">
        <v>98</v>
      </c>
      <c r="D5660" s="6" t="n">
        <f aca="false">Sens!D5638</f>
        <v>84.605</v>
      </c>
      <c r="E5660" s="6" t="n">
        <f aca="false">Sens!E5638</f>
        <v>100.299</v>
      </c>
      <c r="F5660" s="6" t="n">
        <f aca="false">Sens!F5638</f>
        <v>116.64238776686</v>
      </c>
      <c r="G5660" s="6" t="n">
        <f aca="false">Sens!G5638</f>
        <v>130.294168448684</v>
      </c>
      <c r="H5660" s="6" t="n">
        <f aca="false">Sens!H5638</f>
        <v>144.027359388781</v>
      </c>
      <c r="I5660" s="6" t="n">
        <f aca="false">Sens!I5638</f>
        <v>157.209028071957</v>
      </c>
      <c r="J5660" s="6" t="n">
        <f aca="false">Sens!J5638</f>
        <v>169.557702785465</v>
      </c>
      <c r="K5660" s="6" t="n">
        <f aca="false">Sens!K5638</f>
        <v>181.152991980448</v>
      </c>
    </row>
    <row r="5661" customFormat="false" ht="17.15" hidden="false" customHeight="false" outlineLevel="0" collapsed="false">
      <c r="A5661" s="0" t="s">
        <v>893</v>
      </c>
      <c r="B5661" s="0" t="s">
        <v>98</v>
      </c>
      <c r="D5661" s="6" t="n">
        <f aca="false">Sens!D5636</f>
        <v>83.705</v>
      </c>
      <c r="E5661" s="6" t="n">
        <f aca="false">Sens!E5636</f>
        <v>95.049</v>
      </c>
      <c r="F5661" s="6" t="n">
        <f aca="false">Sens!F5636</f>
        <v>106.89238776686</v>
      </c>
      <c r="G5661" s="6" t="n">
        <f aca="false">Sens!G5636</f>
        <v>119.044168448684</v>
      </c>
      <c r="H5661" s="6" t="n">
        <f aca="false">Sens!H5636</f>
        <v>131.277359388781</v>
      </c>
      <c r="I5661" s="6" t="n">
        <f aca="false">Sens!I5636</f>
        <v>143.334028071957</v>
      </c>
      <c r="J5661" s="6" t="n">
        <f aca="false">Sens!J5636</f>
        <v>154.932702785465</v>
      </c>
      <c r="K5661" s="6" t="n">
        <f aca="false">Sens!K5636</f>
        <v>165.777991980448</v>
      </c>
    </row>
    <row r="5662" customFormat="false" ht="17.15" hidden="false" customHeight="false" outlineLevel="0" collapsed="false">
      <c r="A5662" s="0" t="s">
        <v>894</v>
      </c>
      <c r="B5662" s="0" t="s">
        <v>98</v>
      </c>
      <c r="D5662" s="6" t="n">
        <f aca="false">Sens!D5635</f>
        <v>0.9</v>
      </c>
      <c r="E5662" s="6" t="n">
        <f aca="false">Sens!E5635</f>
        <v>5.25</v>
      </c>
      <c r="F5662" s="6" t="n">
        <f aca="false">Sens!F5635</f>
        <v>9.75</v>
      </c>
      <c r="G5662" s="6" t="n">
        <f aca="false">Sens!G5635</f>
        <v>11.25</v>
      </c>
      <c r="H5662" s="6" t="n">
        <f aca="false">Sens!H5635</f>
        <v>12.75</v>
      </c>
      <c r="I5662" s="6" t="n">
        <f aca="false">Sens!I5635</f>
        <v>13.875</v>
      </c>
      <c r="J5662" s="6" t="n">
        <f aca="false">Sens!J5635</f>
        <v>14.625</v>
      </c>
      <c r="K5662" s="6" t="n">
        <f aca="false">Sens!K5635</f>
        <v>15.375</v>
      </c>
    </row>
    <row r="5663" customFormat="false" ht="15" hidden="false" customHeight="false" outlineLevel="0" collapsed="false">
      <c r="A5663" s="0" t="s">
        <v>874</v>
      </c>
      <c r="B5663" s="0" t="s">
        <v>98</v>
      </c>
      <c r="D5663" s="6" t="n">
        <f aca="false">Sens!D5639</f>
        <v>35.391</v>
      </c>
      <c r="E5663" s="6" t="n">
        <f aca="false">Sens!E5639</f>
        <v>37.285</v>
      </c>
      <c r="F5663" s="6" t="n">
        <f aca="false">Sens!F5639</f>
        <v>39.0720834331704</v>
      </c>
      <c r="G5663" s="6" t="n">
        <f aca="false">Sens!G5639</f>
        <v>40.726562953769</v>
      </c>
      <c r="H5663" s="6" t="n">
        <f aca="false">Sens!H5639</f>
        <v>42.2235987259198</v>
      </c>
      <c r="I5663" s="6" t="n">
        <f aca="false">Sens!I5639</f>
        <v>43.5397988077414</v>
      </c>
      <c r="J5663" s="6" t="n">
        <f aca="false">Sens!J5639</f>
        <v>44.653811225693</v>
      </c>
      <c r="K5663" s="6" t="n">
        <f aca="false">Sens!K5639</f>
        <v>45.5468874502068</v>
      </c>
    </row>
    <row r="5664" customFormat="false" ht="15" hidden="false" customHeight="false" outlineLevel="0" collapsed="false">
      <c r="A5664" s="0" t="s">
        <v>875</v>
      </c>
      <c r="B5664" s="0" t="s">
        <v>98</v>
      </c>
      <c r="D5664" s="6" t="n">
        <f aca="false">Sens!D5641</f>
        <v>18.417</v>
      </c>
      <c r="E5664" s="6" t="n">
        <f aca="false">Sens!E5641</f>
        <v>20.345</v>
      </c>
      <c r="F5664" s="6" t="n">
        <f aca="false">Sens!F5641</f>
        <v>22.3572203267814</v>
      </c>
      <c r="G5664" s="6" t="n">
        <f aca="false">Sens!G5641</f>
        <v>24.4392124437232</v>
      </c>
      <c r="H5664" s="6" t="n">
        <f aca="false">Sens!H5641</f>
        <v>26.5738052080665</v>
      </c>
      <c r="I5664" s="6" t="n">
        <f aca="false">Sens!I5641</f>
        <v>28.7412169166967</v>
      </c>
      <c r="J5664" s="6" t="n">
        <f aca="false">Sens!J5641</f>
        <v>30.9192545395413</v>
      </c>
      <c r="K5664" s="6" t="n">
        <f aca="false">Sens!K5641</f>
        <v>33.0836023573092</v>
      </c>
    </row>
    <row r="5665" customFormat="false" ht="15" hidden="false" customHeight="false" outlineLevel="0" collapsed="false">
      <c r="A5665" s="0" t="s">
        <v>876</v>
      </c>
      <c r="B5665" s="0" t="s">
        <v>98</v>
      </c>
      <c r="D5665" s="6" t="n">
        <f aca="false">Sens!D5643</f>
        <v>7.76</v>
      </c>
      <c r="E5665" s="6" t="n">
        <f aca="false">Sens!E5643</f>
        <v>8.26</v>
      </c>
      <c r="F5665" s="6" t="n">
        <f aca="false">Sens!F5643</f>
        <v>8.79988041237113</v>
      </c>
      <c r="G5665" s="6" t="n">
        <f aca="false">Sens!G5643</f>
        <v>9.38321269125306</v>
      </c>
      <c r="H5665" s="6" t="n">
        <f aca="false">Sens!H5643</f>
        <v>10.0139193587476</v>
      </c>
      <c r="I5665" s="6" t="n">
        <f aca="false">Sens!I5643</f>
        <v>10.6963111830911</v>
      </c>
      <c r="J5665" s="6" t="n">
        <f aca="false">Sens!J5643</f>
        <v>11.4351285534696</v>
      </c>
      <c r="K5665" s="6" t="n">
        <f aca="false">Sens!K5643</f>
        <v>12.2355875522124</v>
      </c>
    </row>
    <row r="5666" customFormat="false" ht="15" hidden="false" customHeight="false" outlineLevel="0" collapsed="false">
      <c r="A5666" s="0" t="s">
        <v>704</v>
      </c>
      <c r="B5666" s="0" t="s">
        <v>98</v>
      </c>
      <c r="D5666" s="6" t="n">
        <f aca="false">Sens!D5645</f>
        <v>218.783</v>
      </c>
      <c r="E5666" s="6" t="n">
        <f aca="false">Sens!E5645</f>
        <v>268.127</v>
      </c>
      <c r="F5666" s="6" t="n">
        <f aca="false">Sens!F5645</f>
        <v>327.613433064856</v>
      </c>
      <c r="G5666" s="6" t="n">
        <f aca="false">Sens!G5645</f>
        <v>387.019865673274</v>
      </c>
      <c r="H5666" s="6" t="n">
        <f aca="false">Sens!H5645</f>
        <v>442.006320871193</v>
      </c>
      <c r="I5666" s="6" t="n">
        <f aca="false">Sens!I5645</f>
        <v>499.826226245492</v>
      </c>
      <c r="J5666" s="6" t="n">
        <f aca="false">Sens!J5645</f>
        <v>547.889968064502</v>
      </c>
      <c r="K5666" s="6" t="n">
        <f aca="false">Sens!K5645</f>
        <v>586.164823703865</v>
      </c>
    </row>
    <row r="5667" customFormat="false" ht="15" hidden="false" customHeight="false" outlineLevel="0" collapsed="false">
      <c r="A5667" s="0" t="s">
        <v>877</v>
      </c>
      <c r="B5667" s="0" t="s">
        <v>98</v>
      </c>
      <c r="D5667" s="6" t="n">
        <f aca="false">Sens!D5646</f>
        <v>22.171</v>
      </c>
      <c r="E5667" s="6" t="n">
        <f aca="false">Sens!E5646</f>
        <v>24.835</v>
      </c>
      <c r="F5667" s="6" t="n">
        <f aca="false">Sens!F5646</f>
        <v>27.6114901218559</v>
      </c>
      <c r="G5667" s="6" t="n">
        <f aca="false">Sens!G5646</f>
        <v>30.4675667338515</v>
      </c>
      <c r="H5667" s="6" t="n">
        <f aca="false">Sens!H5646</f>
        <v>33.3643766955789</v>
      </c>
      <c r="I5667" s="6" t="n">
        <f aca="false">Sens!I5646</f>
        <v>36.2577016533691</v>
      </c>
      <c r="J5667" s="6" t="n">
        <f aca="false">Sens!J5646</f>
        <v>39.0988367952171</v>
      </c>
      <c r="K5667" s="6" t="n">
        <f aca="false">Sens!K5646</f>
        <v>41.8357553708823</v>
      </c>
    </row>
    <row r="5668" customFormat="false" ht="15" hidden="false" customHeight="false" outlineLevel="0" collapsed="false">
      <c r="A5668" s="0" t="s">
        <v>878</v>
      </c>
      <c r="B5668" s="0" t="s">
        <v>98</v>
      </c>
      <c r="D5668" s="6" t="n">
        <f aca="false">Sens!D5648</f>
        <v>23.455</v>
      </c>
      <c r="E5668" s="6" t="n">
        <f aca="false">Sens!E5648</f>
        <v>21.79</v>
      </c>
      <c r="F5668" s="6" t="n">
        <f aca="false">Sens!F5648</f>
        <v>20.5736277908051</v>
      </c>
      <c r="G5668" s="6" t="n">
        <f aca="false">Sens!G5648</f>
        <v>19.7371452817919</v>
      </c>
      <c r="H5668" s="6" t="n">
        <f aca="false">Sens!H5648</f>
        <v>19.2339764043138</v>
      </c>
      <c r="I5668" s="6" t="n">
        <f aca="false">Sens!I5648</f>
        <v>19.0353086852681</v>
      </c>
      <c r="J5668" s="6" t="n">
        <f aca="false">Sens!J5648</f>
        <v>19.1273539319129</v>
      </c>
      <c r="K5668" s="6" t="n">
        <f aca="false">Sens!K5648</f>
        <v>19.5099010105511</v>
      </c>
    </row>
    <row r="5669" customFormat="false" ht="15" hidden="false" customHeight="false" outlineLevel="0" collapsed="false">
      <c r="A5669" s="0" t="s">
        <v>879</v>
      </c>
      <c r="B5669" s="0" t="s">
        <v>98</v>
      </c>
      <c r="D5669" s="6" t="n">
        <f aca="false">Sens!D5650</f>
        <v>17.315</v>
      </c>
      <c r="E5669" s="6" t="n">
        <f aca="false">Sens!E5650</f>
        <v>17.087</v>
      </c>
      <c r="F5669" s="6" t="n">
        <f aca="false">Sens!F5650</f>
        <v>16.9564585436519</v>
      </c>
      <c r="G5669" s="6" t="n">
        <f aca="false">Sens!G5650</f>
        <v>16.9206490624268</v>
      </c>
      <c r="H5669" s="6" t="n">
        <f aca="false">Sens!H5650</f>
        <v>16.9784519149849</v>
      </c>
      <c r="I5669" s="6" t="n">
        <f aca="false">Sens!I5650</f>
        <v>17.1303084701817</v>
      </c>
      <c r="J5669" s="6" t="n">
        <f aca="false">Sens!J5650</f>
        <v>17.3782189407267</v>
      </c>
      <c r="K5669" s="6" t="n">
        <f aca="false">Sens!K5650</f>
        <v>17.7257833195413</v>
      </c>
    </row>
    <row r="5670" customFormat="false" ht="15" hidden="false" customHeight="false" outlineLevel="0" collapsed="false">
      <c r="A5670" s="0" t="s">
        <v>718</v>
      </c>
      <c r="B5670" s="0" t="s">
        <v>98</v>
      </c>
      <c r="D5670" s="6" t="n">
        <f aca="false">Sens!D5652</f>
        <v>62.941</v>
      </c>
      <c r="E5670" s="6" t="n">
        <f aca="false">Sens!E5652</f>
        <v>63.712</v>
      </c>
      <c r="F5670" s="6" t="n">
        <f aca="false">Sens!F5652</f>
        <v>65.1415764563129</v>
      </c>
      <c r="G5670" s="6" t="n">
        <f aca="false">Sens!G5652</f>
        <v>67.1253610780702</v>
      </c>
      <c r="H5670" s="6" t="n">
        <f aca="false">Sens!H5652</f>
        <v>69.5768050148776</v>
      </c>
      <c r="I5670" s="6" t="n">
        <f aca="false">Sens!I5652</f>
        <v>72.4233188088189</v>
      </c>
      <c r="J5670" s="6" t="n">
        <f aca="false">Sens!J5652</f>
        <v>75.6044096678567</v>
      </c>
      <c r="K5670" s="6" t="n">
        <f aca="false">Sens!K5652</f>
        <v>79.0714397009747</v>
      </c>
    </row>
    <row r="5671" customFormat="false" ht="15" hidden="false" customHeight="false" outlineLevel="0" collapsed="false">
      <c r="A5671" s="1" t="s">
        <v>895</v>
      </c>
      <c r="B5671" s="0" t="s">
        <v>98</v>
      </c>
      <c r="D5671" s="6" t="n">
        <f aca="false">Sens!D5653</f>
        <v>281.724</v>
      </c>
      <c r="E5671" s="6" t="n">
        <f aca="false">Sens!E5653</f>
        <v>331.839</v>
      </c>
      <c r="F5671" s="6" t="n">
        <f aca="false">Sens!F5653</f>
        <v>392.755009521169</v>
      </c>
      <c r="G5671" s="6" t="n">
        <f aca="false">Sens!G5653</f>
        <v>454.145226751344</v>
      </c>
      <c r="H5671" s="6" t="n">
        <f aca="false">Sens!H5653</f>
        <v>511.583125886071</v>
      </c>
      <c r="I5671" s="6" t="n">
        <f aca="false">Sens!I5653</f>
        <v>572.249545054311</v>
      </c>
      <c r="J5671" s="6" t="n">
        <f aca="false">Sens!J5653</f>
        <v>623.494377732358</v>
      </c>
      <c r="K5671" s="6" t="n">
        <f aca="false">Sens!K5653</f>
        <v>665.236263404839</v>
      </c>
    </row>
    <row r="5672" customFormat="false" ht="15" hidden="false" customHeight="false" outlineLevel="0" collapsed="false">
      <c r="A5672" s="1" t="s">
        <v>896</v>
      </c>
      <c r="B5672" s="0" t="s">
        <v>129</v>
      </c>
      <c r="E5672" s="7" t="n">
        <f aca="false">Sens!E5671/Sens!D5671-1</f>
        <v>0.177886867998467</v>
      </c>
      <c r="F5672" s="7" t="n">
        <f aca="false">Sens!F5671/Sens!E5671-1</f>
        <v>0.183570977254538</v>
      </c>
      <c r="G5672" s="7" t="n">
        <f aca="false">Sens!G5671/Sens!F5671-1</f>
        <v>0.156306643434084</v>
      </c>
      <c r="H5672" s="7" t="n">
        <f aca="false">Sens!H5671/Sens!G5671-1</f>
        <v>0.12647473924938</v>
      </c>
      <c r="I5672" s="7" t="n">
        <f aca="false">Sens!I5671/Sens!H5671-1</f>
        <v>0.118585653237028</v>
      </c>
      <c r="J5672" s="7" t="n">
        <f aca="false">Sens!J5671/Sens!I5671-1</f>
        <v>0.0895498006436748</v>
      </c>
      <c r="K5672" s="7" t="n">
        <f aca="false">Sens!K5671/Sens!J5671-1</f>
        <v>0.0669482952264873</v>
      </c>
    </row>
    <row r="5673" customFormat="false" ht="17.15" hidden="false" customHeight="false" outlineLevel="0" collapsed="false">
      <c r="A5673" s="23" t="s">
        <v>897</v>
      </c>
      <c r="B5673" s="30" t="s">
        <v>98</v>
      </c>
      <c r="C5673" s="30"/>
      <c r="D5673" s="24" t="n">
        <f aca="false">(Sens!D5666+Sens!D5670-Sens!D5671)+(Sens!D5658+Sens!D5659-Sens!D5657)+(Sens!D5661+Sens!D5662-Sens!D5660)+(Sens!D5671-Q!L18)</f>
        <v>0</v>
      </c>
      <c r="E5673" s="24" t="n">
        <f aca="false">(Sens!E5666+Sens!E5670-Sens!E5671)+(Sens!E5658+Sens!E5659-Sens!E5657)+(Sens!E5661+Sens!E5662-Sens!E5660)+(Sens!E5671-Q!M18)</f>
        <v>0</v>
      </c>
      <c r="F5673" s="24" t="n">
        <f aca="false">(Sens!F5666+Sens!F5670-Sens!F5671)+(Sens!F5658+Sens!F5659-Sens!F5657)+(Sens!F5661+Sens!F5662-Sens!F5660)</f>
        <v>0</v>
      </c>
      <c r="G5673" s="24" t="n">
        <f aca="false">(Sens!G5666+Sens!G5670-Sens!G5671)+(Sens!G5658+Sens!G5659-Sens!G5657)+(Sens!G5661+Sens!G5662-Sens!G5660)</f>
        <v>0</v>
      </c>
      <c r="H5673" s="24" t="n">
        <f aca="false">(Sens!H5666+Sens!H5670-Sens!H5671)+(Sens!H5658+Sens!H5659-Sens!H5657)+(Sens!H5661+Sens!H5662-Sens!H5660)</f>
        <v>0</v>
      </c>
      <c r="I5673" s="24" t="n">
        <f aca="false">(Sens!I5666+Sens!I5670-Sens!I5671)+(Sens!I5658+Sens!I5659-Sens!I5657)+(Sens!I5661+Sens!I5662-Sens!I5660)</f>
        <v>0</v>
      </c>
      <c r="J5673" s="24" t="n">
        <f aca="false">(Sens!J5666+Sens!J5670-Sens!J5671)+(Sens!J5658+Sens!J5659-Sens!J5657)+(Sens!J5661+Sens!J5662-Sens!J5660)</f>
        <v>0</v>
      </c>
      <c r="K5673" s="24" t="n">
        <f aca="false">(Sens!K5666+Sens!K5670-Sens!K5671)+(Sens!K5658+Sens!K5659-Sens!K5657)+(Sens!K5661+Sens!K5662-Sens!K5660)</f>
        <v>0</v>
      </c>
    </row>
    <row r="5674" customFormat="false" ht="17.15" hidden="false" customHeight="false" outlineLevel="0" collapsed="false">
      <c r="A5674" s="0" t="s">
        <v>898</v>
      </c>
      <c r="B5674" s="0" t="s">
        <v>129</v>
      </c>
      <c r="E5674" s="7" t="n">
        <f aca="false">(Q!M21+Sens!E5611+Sens!E5612+Sens!E5613+Sens!E5626-Sens!E5609)/(Q!M5-Sens!E5609)</f>
        <v>0.570957350878296</v>
      </c>
      <c r="F5674" s="7" t="n">
        <f aca="false">Sens!$E$5674+dm_seg</f>
        <v>0.570957350878296</v>
      </c>
      <c r="G5674" s="7" t="n">
        <f aca="false">Sens!$E$5674+dm_seg</f>
        <v>0.570957350878296</v>
      </c>
      <c r="H5674" s="7" t="n">
        <f aca="false">Sens!$E$5674+dm_seg</f>
        <v>0.570957350878296</v>
      </c>
      <c r="I5674" s="7" t="n">
        <f aca="false">Sens!$E$5674+dm_seg</f>
        <v>0.570957350878296</v>
      </c>
      <c r="J5674" s="7" t="n">
        <f aca="false">Sens!$E$5674+dm_seg</f>
        <v>0.570957350878296</v>
      </c>
      <c r="K5674" s="7" t="n">
        <f aca="false">Sens!$E$5674+dm_seg</f>
        <v>0.570957350878296</v>
      </c>
      <c r="L5674" s="11" t="s">
        <v>899</v>
      </c>
    </row>
    <row r="5675" customFormat="false" ht="17.15" hidden="false" customHeight="false" outlineLevel="0" collapsed="false">
      <c r="A5675" s="0" t="s">
        <v>732</v>
      </c>
      <c r="B5675" s="0" t="s">
        <v>98</v>
      </c>
      <c r="D5675" s="6" t="n">
        <f aca="false">Q!L21</f>
        <v>110.814</v>
      </c>
      <c r="E5675" s="6" t="n">
        <f aca="false">Q!M21</f>
        <v>136.365</v>
      </c>
      <c r="F5675" s="6" t="n">
        <f aca="false">Sens!F5674*(Sens!F5645-Sens!F5609)+Sens!F5609-(Sens!F5611+Sens!F5612+Sens!F5613)-Sens!F5626</f>
        <v>151.892636694318</v>
      </c>
      <c r="G5675" s="6" t="n">
        <f aca="false">Sens!G5674*(Sens!G5645-Sens!G5609)+Sens!G5609-(Sens!G5611+Sens!G5612+Sens!G5613)-Sens!G5626</f>
        <v>158.987004861699</v>
      </c>
      <c r="H5675" s="6" t="n">
        <f aca="false">Sens!H5674*(Sens!H5645-Sens!H5609)+Sens!H5609-(Sens!H5611+Sens!H5612+Sens!H5613)-Sens!H5626</f>
        <v>160.421809258413</v>
      </c>
      <c r="I5675" s="6" t="n">
        <f aca="false">Sens!I5674*(Sens!I5645-Sens!I5609)+Sens!I5609-(Sens!I5611+Sens!I5612+Sens!I5613)-Sens!I5626</f>
        <v>169.705705140051</v>
      </c>
      <c r="J5675" s="6" t="n">
        <f aca="false">Sens!J5674*(Sens!J5645-Sens!J5609)+Sens!J5609-(Sens!J5611+Sens!J5612+Sens!J5613)-Sens!J5626</f>
        <v>180.536808150932</v>
      </c>
      <c r="K5675" s="6" t="n">
        <f aca="false">Sens!K5674*(Sens!K5645-Sens!K5609)+Sens!K5609-(Sens!K5611+Sens!K5612+Sens!K5613)-Sens!K5626</f>
        <v>192.854833189229</v>
      </c>
      <c r="L5675" s="1" t="s">
        <v>900</v>
      </c>
    </row>
    <row r="5676" customFormat="false" ht="17.15" hidden="false" customHeight="false" outlineLevel="0" collapsed="false">
      <c r="A5676" s="0" t="s">
        <v>901</v>
      </c>
      <c r="B5676" s="0" t="s">
        <v>129</v>
      </c>
      <c r="E5676" s="7" t="n">
        <f aca="false">Q!M22/Q!M12</f>
        <v>0.296207935710698</v>
      </c>
      <c r="F5676" s="7" t="n">
        <f aca="false">Sens!$E$5676+dm_seg</f>
        <v>0.296207935710698</v>
      </c>
      <c r="G5676" s="7" t="n">
        <f aca="false">Sens!$E$5676+dm_seg</f>
        <v>0.296207935710698</v>
      </c>
      <c r="H5676" s="7" t="n">
        <f aca="false">Sens!$E$5676+dm_seg</f>
        <v>0.296207935710698</v>
      </c>
      <c r="I5676" s="7" t="n">
        <f aca="false">Sens!$E$5676+dm_seg</f>
        <v>0.296207935710698</v>
      </c>
      <c r="J5676" s="7" t="n">
        <f aca="false">Sens!$E$5676+dm_seg</f>
        <v>0.296207935710698</v>
      </c>
      <c r="K5676" s="7" t="n">
        <f aca="false">Sens!$E$5676+dm_seg</f>
        <v>0.296207935710698</v>
      </c>
      <c r="L5676" s="11" t="s">
        <v>902</v>
      </c>
    </row>
    <row r="5677" customFormat="false" ht="17.15" hidden="false" customHeight="false" outlineLevel="0" collapsed="false">
      <c r="A5677" s="0" t="s">
        <v>734</v>
      </c>
      <c r="B5677" s="0" t="s">
        <v>98</v>
      </c>
      <c r="D5677" s="6" t="n">
        <f aca="false">Q!L22</f>
        <v>17.714</v>
      </c>
      <c r="E5677" s="6" t="n">
        <f aca="false">Q!M22</f>
        <v>18.872</v>
      </c>
      <c r="F5677" s="6" t="n">
        <f aca="false">Sens!F5652*Sens!F5676</f>
        <v>19.2954518910651</v>
      </c>
      <c r="G5677" s="6" t="n">
        <f aca="false">Sens!G5652*Sens!G5676</f>
        <v>19.8830646387704</v>
      </c>
      <c r="H5677" s="6" t="n">
        <f aca="false">Sens!H5652*Sens!H5676</f>
        <v>20.6092017868026</v>
      </c>
      <c r="I5677" s="6" t="n">
        <f aca="false">Sens!I5652*Sens!I5676</f>
        <v>21.452361761678</v>
      </c>
      <c r="J5677" s="6" t="n">
        <f aca="false">Sens!J5652*Sens!J5676</f>
        <v>22.3946261183418</v>
      </c>
      <c r="K5677" s="6" t="n">
        <f aca="false">Sens!K5652*Sens!K5676</f>
        <v>23.4215879274986</v>
      </c>
    </row>
    <row r="5678" customFormat="false" ht="15" hidden="false" customHeight="false" outlineLevel="0" collapsed="false">
      <c r="A5678" s="1" t="s">
        <v>903</v>
      </c>
      <c r="B5678" s="0" t="s">
        <v>98</v>
      </c>
      <c r="D5678" s="6" t="n">
        <f aca="false">Sens!D5675+Sens!D5677</f>
        <v>128.528</v>
      </c>
      <c r="E5678" s="6" t="n">
        <f aca="false">Sens!E5675+Sens!E5677</f>
        <v>155.237</v>
      </c>
      <c r="F5678" s="6" t="n">
        <f aca="false">Sens!F5675+Sens!F5677</f>
        <v>171.188088585383</v>
      </c>
      <c r="G5678" s="6" t="n">
        <f aca="false">Sens!G5675+Sens!G5677</f>
        <v>178.870069500469</v>
      </c>
      <c r="H5678" s="6" t="n">
        <f aca="false">Sens!H5675+Sens!H5677</f>
        <v>181.031011045216</v>
      </c>
      <c r="I5678" s="6" t="n">
        <f aca="false">Sens!I5675+Sens!I5677</f>
        <v>191.158066901729</v>
      </c>
      <c r="J5678" s="6" t="n">
        <f aca="false">Sens!J5675+Sens!J5677</f>
        <v>202.931434269274</v>
      </c>
      <c r="K5678" s="6" t="n">
        <f aca="false">Sens!K5675+Sens!K5677</f>
        <v>216.276421116728</v>
      </c>
    </row>
    <row r="5679" customFormat="false" ht="15" hidden="false" customHeight="false" outlineLevel="0" collapsed="false">
      <c r="A5679" s="23" t="s">
        <v>904</v>
      </c>
      <c r="B5679" s="30" t="s">
        <v>98</v>
      </c>
      <c r="C5679" s="30"/>
      <c r="D5679" s="24" t="n">
        <f aca="false">Sens!D5678-Q!L23</f>
        <v>0</v>
      </c>
      <c r="E5679" s="24" t="n">
        <f aca="false">Sens!E5678-Q!M23</f>
        <v>0</v>
      </c>
      <c r="F5679" s="30"/>
      <c r="G5679" s="30"/>
      <c r="H5679" s="30"/>
      <c r="I5679" s="30"/>
      <c r="J5679" s="30"/>
      <c r="K5679" s="30"/>
    </row>
    <row r="5680" customFormat="false" ht="15" hidden="false" customHeight="false" outlineLevel="0" collapsed="false">
      <c r="A5680" s="1" t="s">
        <v>905</v>
      </c>
      <c r="B5680" s="0" t="s">
        <v>129</v>
      </c>
      <c r="D5680" s="7" t="n">
        <f aca="false">Sens!D5678/Sens!D5671</f>
        <v>0.456219562408598</v>
      </c>
      <c r="E5680" s="7" t="n">
        <f aca="false">Sens!E5678/Sens!E5671</f>
        <v>0.467808184089272</v>
      </c>
      <c r="F5680" s="7" t="n">
        <f aca="false">Sens!F5678/Sens!F5671</f>
        <v>0.4358648125051</v>
      </c>
      <c r="G5680" s="7" t="n">
        <f aca="false">Sens!G5678/Sens!G5671</f>
        <v>0.393860947917449</v>
      </c>
      <c r="H5680" s="7" t="n">
        <f aca="false">Sens!H5678/Sens!H5671</f>
        <v>0.353864312337642</v>
      </c>
      <c r="I5680" s="7" t="n">
        <f aca="false">Sens!I5678/Sens!I5671</f>
        <v>0.334046690912768</v>
      </c>
      <c r="J5680" s="7" t="n">
        <f aca="false">Sens!J5678/Sens!J5671</f>
        <v>0.325474361143933</v>
      </c>
      <c r="K5680" s="7" t="n">
        <f aca="false">Sens!K5678/Sens!K5671</f>
        <v>0.325112193989205</v>
      </c>
    </row>
    <row r="5681" customFormat="false" ht="17.15" hidden="false" customHeight="false" outlineLevel="0" collapsed="false">
      <c r="A5681" s="1" t="s">
        <v>906</v>
      </c>
      <c r="B5681" s="0" t="s">
        <v>98</v>
      </c>
      <c r="F5681" s="6" t="n">
        <f aca="false">Sens!F5696</f>
        <v>21.2204725055333</v>
      </c>
      <c r="G5681" s="6" t="n">
        <f aca="false">Sens!G5696</f>
        <v>38.9899115623409</v>
      </c>
      <c r="H5681" s="6" t="n">
        <f aca="false">Sens!H5696</f>
        <v>58.1118067120988</v>
      </c>
      <c r="I5681" s="6" t="n">
        <f aca="false">Sens!I5696</f>
        <v>75.1695945002847</v>
      </c>
      <c r="J5681" s="6" t="n">
        <f aca="false">Sens!J5696</f>
        <v>87.0677893190291</v>
      </c>
      <c r="K5681" s="6" t="n">
        <f aca="false">Sens!K5696</f>
        <v>94.2445232256769</v>
      </c>
      <c r="L5681" s="1" t="s">
        <v>907</v>
      </c>
    </row>
    <row r="5682" customFormat="false" ht="17.15" hidden="false" customHeight="false" outlineLevel="0" collapsed="false">
      <c r="A5682" s="1" t="s">
        <v>908</v>
      </c>
      <c r="B5682" s="0" t="s">
        <v>98</v>
      </c>
      <c r="D5682" s="6" t="n">
        <f aca="false">Sens!D5678</f>
        <v>128.528</v>
      </c>
      <c r="E5682" s="6" t="n">
        <f aca="false">Sens!E5678</f>
        <v>155.237</v>
      </c>
      <c r="F5682" s="6" t="n">
        <f aca="false">Sens!F5678+Sens!F5681</f>
        <v>192.408561090916</v>
      </c>
      <c r="G5682" s="6" t="n">
        <f aca="false">Sens!G5678+Sens!G5681</f>
        <v>217.85998106281</v>
      </c>
      <c r="H5682" s="6" t="n">
        <f aca="false">Sens!H5678+Sens!H5681</f>
        <v>239.142817757315</v>
      </c>
      <c r="I5682" s="6" t="n">
        <f aca="false">Sens!I5678+Sens!I5681</f>
        <v>266.327661402014</v>
      </c>
      <c r="J5682" s="6" t="n">
        <f aca="false">Sens!J5678+Sens!J5681</f>
        <v>289.999223588303</v>
      </c>
      <c r="K5682" s="6" t="n">
        <f aca="false">Sens!K5678+Sens!K5681</f>
        <v>310.520944342405</v>
      </c>
    </row>
    <row r="5683" customFormat="false" ht="17.15" hidden="false" customHeight="false" outlineLevel="0" collapsed="false">
      <c r="A5683" s="1" t="s">
        <v>909</v>
      </c>
      <c r="B5683" s="0" t="s">
        <v>98</v>
      </c>
      <c r="E5683" s="6" t="n">
        <f aca="false">Sens!E5626</f>
        <v>16.3054059770833</v>
      </c>
      <c r="F5683" s="6" t="n">
        <f aca="false">Sens!F5626</f>
        <v>34.7592854558698</v>
      </c>
      <c r="G5683" s="6" t="n">
        <f aca="false">Sens!G5626</f>
        <v>60.5442332603396</v>
      </c>
      <c r="H5683" s="6" t="n">
        <f aca="false">Sens!H5626</f>
        <v>87.7798159931396</v>
      </c>
      <c r="I5683" s="6" t="n">
        <f aca="false">Sens!I5626</f>
        <v>112.024539982221</v>
      </c>
      <c r="J5683" s="6" t="n">
        <f aca="false">Sens!J5626</f>
        <v>129.221210922666</v>
      </c>
      <c r="K5683" s="6" t="n">
        <f aca="false">Sens!K5626</f>
        <v>139.685146804474</v>
      </c>
    </row>
    <row r="5684" customFormat="false" ht="17.15" hidden="false" customHeight="false" outlineLevel="0" collapsed="false">
      <c r="A5684" s="1" t="s">
        <v>910</v>
      </c>
      <c r="B5684" s="0" t="s">
        <v>98</v>
      </c>
      <c r="E5684" s="6" t="n">
        <f aca="false">Sens!E5708</f>
        <v>22.2285940229167</v>
      </c>
      <c r="F5684" s="6" t="n">
        <f aca="false">Sens!F5708</f>
        <v>23.5411693435813</v>
      </c>
      <c r="G5684" s="6" t="n">
        <f aca="false">Sens!G5708</f>
        <v>25.2348417662621</v>
      </c>
      <c r="H5684" s="6" t="n">
        <f aca="false">Sens!H5708</f>
        <v>27.2800089540448</v>
      </c>
      <c r="I5684" s="6" t="n">
        <f aca="false">Sens!I5708</f>
        <v>29.6255980898047</v>
      </c>
      <c r="J5684" s="6" t="n">
        <f aca="false">Sens!J5708</f>
        <v>32.2023796058616</v>
      </c>
      <c r="K5684" s="6" t="n">
        <f aca="false">Sens!K5708</f>
        <v>34.9277619194749</v>
      </c>
    </row>
    <row r="5685" customFormat="false" ht="17.15" hidden="false" customHeight="false" outlineLevel="0" collapsed="false">
      <c r="A5685" s="1" t="s">
        <v>911</v>
      </c>
      <c r="B5685" s="0" t="s">
        <v>98</v>
      </c>
      <c r="D5685" s="6" t="n">
        <f aca="false">Q!L27</f>
        <v>-4.901</v>
      </c>
      <c r="E5685" s="6" t="n">
        <f aca="false">Q!M27</f>
        <v>10.697</v>
      </c>
      <c r="F5685" s="6" t="n">
        <f aca="false">oie_f</f>
        <v>-0.4</v>
      </c>
      <c r="G5685" s="6" t="n">
        <f aca="false">oie_f</f>
        <v>-0.4</v>
      </c>
      <c r="H5685" s="6" t="n">
        <f aca="false">oie_f</f>
        <v>-0.4</v>
      </c>
      <c r="I5685" s="6" t="n">
        <f aca="false">oie_f</f>
        <v>-0.4</v>
      </c>
      <c r="J5685" s="6" t="n">
        <f aca="false">oie_f</f>
        <v>-0.4</v>
      </c>
      <c r="K5685" s="6" t="n">
        <f aca="false">oie_f</f>
        <v>-0.4</v>
      </c>
      <c r="L5685" s="11" t="s">
        <v>912</v>
      </c>
    </row>
    <row r="5686" customFormat="false" ht="15" hidden="false" customHeight="false" outlineLevel="0" collapsed="false">
      <c r="A5686" s="1" t="s">
        <v>913</v>
      </c>
      <c r="B5686" s="0" t="s">
        <v>98</v>
      </c>
      <c r="D5686" s="6" t="n">
        <f aca="false">Sens!D5678+Sens!D5685</f>
        <v>123.627</v>
      </c>
      <c r="E5686" s="6" t="n">
        <f aca="false">Sens!E5678+Sens!E5685</f>
        <v>165.934</v>
      </c>
      <c r="F5686" s="6" t="n">
        <f aca="false">Sens!F5678+Sens!F5685</f>
        <v>170.788088585383</v>
      </c>
      <c r="G5686" s="6" t="n">
        <f aca="false">Sens!G5678+Sens!G5685</f>
        <v>178.470069500469</v>
      </c>
      <c r="H5686" s="6" t="n">
        <f aca="false">Sens!H5678+Sens!H5685</f>
        <v>180.631011045216</v>
      </c>
      <c r="I5686" s="6" t="n">
        <f aca="false">Sens!I5678+Sens!I5685</f>
        <v>190.758066901729</v>
      </c>
      <c r="J5686" s="6" t="n">
        <f aca="false">Sens!J5678+Sens!J5685</f>
        <v>202.531434269274</v>
      </c>
      <c r="K5686" s="6" t="n">
        <f aca="false">Sens!K5678+Sens!K5685</f>
        <v>215.876421116728</v>
      </c>
    </row>
    <row r="5687" customFormat="false" ht="15" hidden="false" customHeight="false" outlineLevel="0" collapsed="false">
      <c r="A5687" s="1" t="s">
        <v>914</v>
      </c>
      <c r="B5687" s="0" t="s">
        <v>98</v>
      </c>
      <c r="D5687" s="6" t="n">
        <f aca="false">Q!L29</f>
        <v>21.795</v>
      </c>
      <c r="E5687" s="6" t="n">
        <f aca="false">Q!M29</f>
        <v>32.185</v>
      </c>
      <c r="F5687" s="6" t="n">
        <f aca="false">Sens!F5686*tax_f</f>
        <v>34.1576177170766</v>
      </c>
      <c r="G5687" s="6" t="n">
        <f aca="false">Sens!G5686*tax_f</f>
        <v>35.6940139000938</v>
      </c>
      <c r="H5687" s="6" t="n">
        <f aca="false">Sens!H5686*tax_f</f>
        <v>36.1262022090431</v>
      </c>
      <c r="I5687" s="6" t="n">
        <f aca="false">Sens!I5686*tax_f</f>
        <v>38.1516133803459</v>
      </c>
      <c r="J5687" s="6" t="n">
        <f aca="false">Sens!J5686*tax_f</f>
        <v>40.5062868538547</v>
      </c>
      <c r="K5687" s="6" t="n">
        <f aca="false">Sens!K5686*tax_f</f>
        <v>43.1752842233456</v>
      </c>
    </row>
    <row r="5688" customFormat="false" ht="15" hidden="false" customHeight="false" outlineLevel="0" collapsed="false">
      <c r="A5688" s="1" t="s">
        <v>915</v>
      </c>
      <c r="B5688" s="0" t="s">
        <v>98</v>
      </c>
      <c r="D5688" s="6" t="n">
        <f aca="false">Sens!D5686-Sens!D5687</f>
        <v>101.832</v>
      </c>
      <c r="E5688" s="6" t="n">
        <f aca="false">Sens!E5686-Sens!E5687</f>
        <v>133.749</v>
      </c>
      <c r="F5688" s="6" t="n">
        <f aca="false">Sens!F5686-Sens!F5687</f>
        <v>136.630470868306</v>
      </c>
      <c r="G5688" s="6" t="n">
        <f aca="false">Sens!G5686-Sens!G5687</f>
        <v>142.776055600375</v>
      </c>
      <c r="H5688" s="6" t="n">
        <f aca="false">Sens!H5686-Sens!H5687</f>
        <v>144.504808836173</v>
      </c>
      <c r="I5688" s="6" t="n">
        <f aca="false">Sens!I5686-Sens!I5687</f>
        <v>152.606453521384</v>
      </c>
      <c r="J5688" s="6" t="n">
        <f aca="false">Sens!J5686-Sens!J5687</f>
        <v>162.025147415419</v>
      </c>
      <c r="K5688" s="6" t="n">
        <f aca="false">Sens!K5686-Sens!K5687</f>
        <v>172.701136893382</v>
      </c>
    </row>
    <row r="5689" customFormat="false" ht="17.15" hidden="false" customHeight="false" outlineLevel="0" collapsed="false">
      <c r="A5689" s="1" t="s">
        <v>916</v>
      </c>
      <c r="B5689" s="1" t="s">
        <v>81</v>
      </c>
      <c r="D5689" s="14" t="n">
        <f aca="false">Q!L31</f>
        <v>7.465</v>
      </c>
      <c r="E5689" s="14" t="n">
        <f aca="false">Q!M31</f>
        <v>7.453</v>
      </c>
      <c r="F5689" s="14" t="n">
        <f aca="false">Sens!F5730</f>
        <v>7.4735</v>
      </c>
      <c r="G5689" s="14" t="n">
        <f aca="false">Sens!G5730</f>
        <v>7.5185</v>
      </c>
      <c r="H5689" s="14" t="n">
        <f aca="false">Sens!H5730</f>
        <v>7.55954520012257</v>
      </c>
      <c r="I5689" s="14" t="n">
        <f aca="false">Sens!I5730</f>
        <v>7.5846196464025</v>
      </c>
      <c r="J5689" s="14" t="n">
        <f aca="false">Sens!J5730</f>
        <v>7.59886115752038</v>
      </c>
      <c r="K5689" s="14" t="n">
        <f aca="false">Sens!K5730</f>
        <v>7.61538107522213</v>
      </c>
    </row>
    <row r="5690" customFormat="false" ht="17.15" hidden="false" customHeight="false" outlineLevel="0" collapsed="false">
      <c r="A5690" s="0" t="s">
        <v>917</v>
      </c>
      <c r="B5690" s="0" t="s">
        <v>75</v>
      </c>
      <c r="D5690" s="8" t="n">
        <f aca="false">Sens!D5688/Sens!D5689</f>
        <v>13.641259209645</v>
      </c>
      <c r="E5690" s="8" t="n">
        <f aca="false">Sens!E5688/Sens!E5689</f>
        <v>17.9456594659869</v>
      </c>
      <c r="F5690" s="8" t="n">
        <f aca="false">Sens!F5688/Sens!F5689</f>
        <v>18.2819924892361</v>
      </c>
      <c r="G5690" s="8" t="n">
        <f aca="false">Sens!G5688/Sens!G5689</f>
        <v>18.9899654984871</v>
      </c>
      <c r="H5690" s="8" t="n">
        <f aca="false">Sens!H5688/Sens!H5689</f>
        <v>19.1155426696608</v>
      </c>
      <c r="I5690" s="8" t="n">
        <f aca="false">Sens!I5688/Sens!I5689</f>
        <v>20.1205150206533</v>
      </c>
      <c r="J5690" s="8" t="n">
        <f aca="false">Sens!J5688/Sens!J5689</f>
        <v>21.3222934406516</v>
      </c>
      <c r="K5690" s="8" t="n">
        <f aca="false">Sens!K5688/Sens!K5689</f>
        <v>22.6779376090966</v>
      </c>
      <c r="L5690" s="1" t="s">
        <v>918</v>
      </c>
    </row>
    <row r="5691" customFormat="false" ht="17.15" hidden="false" customHeight="false" outlineLevel="0" collapsed="false">
      <c r="A5691" s="1" t="s">
        <v>919</v>
      </c>
      <c r="B5691" s="0" t="s">
        <v>98</v>
      </c>
      <c r="D5691" s="6" t="n">
        <f aca="false">Sens!D5688</f>
        <v>101.832</v>
      </c>
      <c r="E5691" s="6" t="n">
        <f aca="false">Sens!E5688</f>
        <v>133.749</v>
      </c>
      <c r="F5691" s="6" t="n">
        <f aca="false">Sens!F5688+Sens!F5681*(1-tax_f)</f>
        <v>153.606848872733</v>
      </c>
      <c r="G5691" s="6" t="n">
        <f aca="false">Sens!G5688+Sens!G5681*(1-tax_f)</f>
        <v>173.967984850248</v>
      </c>
      <c r="H5691" s="6" t="n">
        <f aca="false">Sens!H5688+Sens!H5681*(1-tax_f)</f>
        <v>190.994254205852</v>
      </c>
      <c r="I5691" s="6" t="n">
        <f aca="false">Sens!I5688+Sens!I5681*(1-tax_f)</f>
        <v>212.742129121611</v>
      </c>
      <c r="J5691" s="6" t="n">
        <f aca="false">Sens!J5688+Sens!J5681*(1-tax_f)</f>
        <v>231.679378870642</v>
      </c>
      <c r="K5691" s="6" t="n">
        <f aca="false">Sens!K5688+Sens!K5681*(1-tax_f)</f>
        <v>248.096755473924</v>
      </c>
    </row>
    <row r="5692" customFormat="false" ht="17.15" hidden="false" customHeight="false" outlineLevel="0" collapsed="false">
      <c r="A5692" s="0" t="s">
        <v>920</v>
      </c>
      <c r="B5692" s="0" t="s">
        <v>75</v>
      </c>
      <c r="D5692" s="8" t="n">
        <f aca="false">Sens!D5691/Sens!D5689</f>
        <v>13.641259209645</v>
      </c>
      <c r="E5692" s="8" t="n">
        <f aca="false">Sens!E5691/Sens!E5689</f>
        <v>17.9456594659869</v>
      </c>
      <c r="F5692" s="8" t="n">
        <f aca="false">Sens!F5691/Sens!F5689</f>
        <v>20.5535356757521</v>
      </c>
      <c r="G5692" s="8" t="n">
        <f aca="false">Sens!G5691/Sens!G5689</f>
        <v>23.1386559619935</v>
      </c>
      <c r="H5692" s="8" t="n">
        <f aca="false">Sens!H5691/Sens!H5689</f>
        <v>25.2653101674364</v>
      </c>
      <c r="I5692" s="8" t="n">
        <f aca="false">Sens!I5691/Sens!I5689</f>
        <v>28.0491493363834</v>
      </c>
      <c r="J5692" s="8" t="n">
        <f aca="false">Sens!J5691/Sens!J5689</f>
        <v>30.488697459797</v>
      </c>
      <c r="K5692" s="8" t="n">
        <f aca="false">Sens!K5691/Sens!K5689</f>
        <v>32.5783769746135</v>
      </c>
      <c r="L5692" s="1" t="s">
        <v>921</v>
      </c>
    </row>
    <row r="5693" customFormat="false" ht="17.15" hidden="false" customHeight="false" outlineLevel="0" collapsed="false">
      <c r="A5693" s="0" t="s">
        <v>922</v>
      </c>
      <c r="B5693" s="0" t="s">
        <v>129</v>
      </c>
      <c r="E5693" s="7" t="n">
        <f aca="false">Sens!E5692/Sens!D5692-1</f>
        <v>0.315542736208578</v>
      </c>
      <c r="F5693" s="7" t="n">
        <f aca="false">Sens!F5692/Sens!E5692-1</f>
        <v>0.145320723081145</v>
      </c>
      <c r="G5693" s="7" t="n">
        <f aca="false">Sens!G5692/Sens!F5692-1</f>
        <v>0.125774967724469</v>
      </c>
      <c r="H5693" s="7" t="n">
        <f aca="false">Sens!H5692/Sens!G5692-1</f>
        <v>0.091909150165681</v>
      </c>
      <c r="I5693" s="7" t="n">
        <f aca="false">Sens!I5692/Sens!H5692-1</f>
        <v>0.110184246720036</v>
      </c>
      <c r="J5693" s="7" t="n">
        <f aca="false">Sens!J5692/Sens!I5692-1</f>
        <v>0.0869740502343581</v>
      </c>
      <c r="K5693" s="7" t="n">
        <f aca="false">Sens!K5692/Sens!J5692-1</f>
        <v>0.0685394814774207</v>
      </c>
    </row>
    <row r="5694" customFormat="false" ht="17.15" hidden="false" customHeight="false" outlineLevel="0" collapsed="false">
      <c r="A5694" s="0" t="s">
        <v>846</v>
      </c>
      <c r="B5694" s="0" t="s">
        <v>98</v>
      </c>
      <c r="E5694" s="6" t="n">
        <f aca="false">Sens!E5635</f>
        <v>5.25</v>
      </c>
      <c r="F5694" s="6" t="n">
        <f aca="false">Sens!F5635</f>
        <v>9.75</v>
      </c>
      <c r="G5694" s="6" t="n">
        <f aca="false">Sens!G5635</f>
        <v>11.25</v>
      </c>
      <c r="H5694" s="6" t="n">
        <f aca="false">Sens!H5635</f>
        <v>12.75</v>
      </c>
      <c r="I5694" s="6" t="n">
        <f aca="false">Sens!I5635</f>
        <v>13.875</v>
      </c>
      <c r="J5694" s="6" t="n">
        <f aca="false">Sens!J5635</f>
        <v>14.625</v>
      </c>
      <c r="K5694" s="6" t="n">
        <f aca="false">Sens!K5635</f>
        <v>15.375</v>
      </c>
    </row>
    <row r="5695" customFormat="false" ht="17.15" hidden="false" customHeight="false" outlineLevel="0" collapsed="false">
      <c r="A5695" s="1" t="s">
        <v>847</v>
      </c>
      <c r="B5695" s="0" t="s">
        <v>98</v>
      </c>
      <c r="F5695" s="6" t="n">
        <f aca="false">MAX(0,(Sens!E5598+Sens!F5598)/2*Sens!F5606/1000-Sens!F5694*Sens!F5674)</f>
        <v>21.2204725055333</v>
      </c>
      <c r="G5695" s="6" t="n">
        <f aca="false">MAX(0,(Sens!F5598+Sens!G5598)/2*Sens!G5606/1000-Sens!G5694*Sens!G5674)</f>
        <v>38.9899115623409</v>
      </c>
      <c r="H5695" s="6" t="n">
        <f aca="false">MAX(0,(Sens!G5598+Sens!H5598)/2*Sens!H5606/1000-Sens!H5694*Sens!H5674)</f>
        <v>58.1118067120988</v>
      </c>
      <c r="I5695" s="6" t="n">
        <f aca="false">MAX(0,(Sens!H5598+Sens!I5598)/2*Sens!I5606/1000-Sens!I5694*Sens!I5674)</f>
        <v>75.1695945002847</v>
      </c>
      <c r="J5695" s="6" t="n">
        <f aca="false">MAX(0,(Sens!I5598+Sens!J5598)/2*Sens!J5606/1000-Sens!J5694*Sens!J5674)</f>
        <v>87.0677893190291</v>
      </c>
      <c r="K5695" s="6" t="n">
        <f aca="false">MAX(0,(Sens!J5598+Sens!K5598)/2*Sens!K5606/1000-Sens!K5694*Sens!K5674)</f>
        <v>94.2445232256769</v>
      </c>
      <c r="L5695" s="1" t="s">
        <v>848</v>
      </c>
    </row>
    <row r="5696" customFormat="false" ht="17.15" hidden="false" customHeight="false" outlineLevel="0" collapsed="false">
      <c r="A5696" s="1" t="s">
        <v>849</v>
      </c>
      <c r="B5696" s="0" t="s">
        <v>98</v>
      </c>
      <c r="F5696" s="6" t="n">
        <f aca="false">IF(internal_ai_reading=2,1,0)*Sens!F5695</f>
        <v>21.2204725055333</v>
      </c>
      <c r="G5696" s="6" t="n">
        <f aca="false">IF(internal_ai_reading=2,1,0)*Sens!G5695</f>
        <v>38.9899115623409</v>
      </c>
      <c r="H5696" s="6" t="n">
        <f aca="false">IF(internal_ai_reading=2,1,0)*Sens!H5695</f>
        <v>58.1118067120988</v>
      </c>
      <c r="I5696" s="6" t="n">
        <f aca="false">IF(internal_ai_reading=2,1,0)*Sens!I5695</f>
        <v>75.1695945002847</v>
      </c>
      <c r="J5696" s="6" t="n">
        <f aca="false">IF(internal_ai_reading=2,1,0)*Sens!J5695</f>
        <v>87.0677893190291</v>
      </c>
      <c r="K5696" s="6" t="n">
        <f aca="false">IF(internal_ai_reading=2,1,0)*Sens!K5695</f>
        <v>94.2445232256769</v>
      </c>
    </row>
    <row r="5697" customFormat="false" ht="17.15" hidden="false" customHeight="false" outlineLevel="0" collapsed="false">
      <c r="A5697" s="0" t="s">
        <v>850</v>
      </c>
      <c r="B5697" s="0" t="s">
        <v>98</v>
      </c>
      <c r="F5697" s="6" t="n">
        <f aca="false">Sens!F5615+Sens!F5694*Sens!F5674+Sens!F5696-Sens!F5616-Sens!F5626</f>
        <v>20.5524362327591</v>
      </c>
      <c r="G5697" s="6" t="n">
        <f aca="false">Sens!G5615+Sens!G5694*Sens!G5674+Sens!G5696-Sens!G5616-Sens!G5626</f>
        <v>26.3348144965041</v>
      </c>
      <c r="H5697" s="6" t="n">
        <f aca="false">Sens!H5615+Sens!H5694*Sens!H5674+Sens!H5696-Sens!H5616-Sens!H5626</f>
        <v>27.6279362916746</v>
      </c>
      <c r="I5697" s="6" t="n">
        <f aca="false">Sens!I5615+Sens!I5694*Sens!I5674+Sens!I5696-Sens!I5616-Sens!I5626</f>
        <v>35.1940345661571</v>
      </c>
      <c r="J5697" s="6" t="n">
        <f aca="false">Sens!J5615+Sens!J5694*Sens!J5674+Sens!J5696-Sens!J5616-Sens!J5626</f>
        <v>40.386544621423</v>
      </c>
      <c r="K5697" s="6" t="n">
        <f aca="false">Sens!K5615+Sens!K5694*Sens!K5674+Sens!K5696-Sens!K5616-Sens!K5626</f>
        <v>44.3600097634843</v>
      </c>
    </row>
    <row r="5698" customFormat="false" ht="17.15" hidden="false" customHeight="false" outlineLevel="0" collapsed="false">
      <c r="A5698" s="0" t="s">
        <v>851</v>
      </c>
      <c r="B5698" s="0" t="s">
        <v>98</v>
      </c>
      <c r="E5698" s="6" t="n">
        <f aca="false">Sens!E5597*(cxit_open+self_build*tk_cxfac)/1000*ai_net_open</f>
        <v>126.6980382</v>
      </c>
      <c r="F5698" s="6" t="n">
        <f aca="false">Sens!E5698+Sens!F5623-Sens!F5626</f>
        <v>260.784405514568</v>
      </c>
      <c r="G5698" s="6" t="n">
        <f aca="false">Sens!F5698+Sens!G5623-Sens!G5626</f>
        <v>383.814352737428</v>
      </c>
      <c r="H5698" s="6" t="n">
        <f aca="false">Sens!G5698+Sens!H5623-Sens!H5626</f>
        <v>484.114822654688</v>
      </c>
      <c r="I5698" s="6" t="n">
        <f aca="false">Sens!H5698+Sens!I5623-Sens!I5626</f>
        <v>535.796951826713</v>
      </c>
      <c r="J5698" s="6" t="n">
        <f aca="false">Sens!I5698+Sens!J5623-Sens!J5626</f>
        <v>531.088217622137</v>
      </c>
      <c r="K5698" s="6" t="n">
        <f aca="false">Sens!J5698+Sens!K5623-Sens!K5626</f>
        <v>506.3625064596</v>
      </c>
      <c r="L5698" s="1" t="s">
        <v>852</v>
      </c>
    </row>
    <row r="5699" customFormat="false" ht="17.15" hidden="false" customHeight="false" outlineLevel="0" collapsed="false">
      <c r="A5699" s="0" t="s">
        <v>853</v>
      </c>
      <c r="B5699" s="0" t="s">
        <v>129</v>
      </c>
      <c r="F5699" s="7" t="n">
        <f aca="false">Sens!F5697*(1-tax_f)/((Sens!E5698+Sens!F5698)/2)</f>
        <v>0.0848655171500825</v>
      </c>
      <c r="G5699" s="7" t="n">
        <f aca="false">Sens!G5697*(1-tax_f)/((Sens!F5698+Sens!G5698)/2)</f>
        <v>0.0653673353462067</v>
      </c>
      <c r="H5699" s="7" t="n">
        <f aca="false">Sens!H5697*(1-tax_f)/((Sens!G5698+Sens!H5698)/2)</f>
        <v>0.0509312272475555</v>
      </c>
      <c r="I5699" s="7" t="n">
        <f aca="false">Sens!I5697*(1-tax_f)/((Sens!H5698+Sens!I5698)/2)</f>
        <v>0.0552111042491727</v>
      </c>
      <c r="J5699" s="7" t="n">
        <f aca="false">Sens!J5697*(1-tax_f)/((Sens!I5698+Sens!J5698)/2)</f>
        <v>0.0605674099187812</v>
      </c>
      <c r="K5699" s="7" t="n">
        <f aca="false">Sens!K5697*(1-tax_f)/((Sens!J5698+Sens!K5698)/2)</f>
        <v>0.0684138667736695</v>
      </c>
    </row>
    <row r="5700" customFormat="false" ht="17.15" hidden="false" customHeight="false" outlineLevel="0" collapsed="false">
      <c r="A5700" s="1" t="s">
        <v>854</v>
      </c>
      <c r="B5700" s="0" t="s">
        <v>129</v>
      </c>
      <c r="F5700" s="7" t="n">
        <f aca="false">(Sens!F5697-Sens!F5696)*(1-tax_f)/((Sens!E5698+Sens!F5698)/2)</f>
        <v>-0.0027584682965047</v>
      </c>
      <c r="G5700" s="7" t="n">
        <f aca="false">(Sens!G5697-Sens!G5696)*(1-tax_f)/((Sens!F5698+Sens!G5698)/2)</f>
        <v>-0.031412029648098</v>
      </c>
      <c r="H5700" s="7" t="n">
        <f aca="false">(Sens!H5697-Sens!H5696)*(1-tax_f)/((Sens!G5698+Sens!H5698)/2)</f>
        <v>-0.0561960515391632</v>
      </c>
      <c r="I5700" s="7" t="n">
        <f aca="false">(Sens!I5697-Sens!I5696)*(1-tax_f)/((Sens!H5698+Sens!I5698)/2)</f>
        <v>-0.06271218500946</v>
      </c>
      <c r="J5700" s="7" t="n">
        <f aca="false">(Sens!J5697-Sens!J5696)*(1-tax_f)/((Sens!I5698+Sens!J5698)/2)</f>
        <v>-0.0700075262596014</v>
      </c>
      <c r="K5700" s="7" t="n">
        <f aca="false">(Sens!K5697-Sens!K5696)*(1-tax_f)/((Sens!J5698+Sens!K5698)/2)</f>
        <v>-0.0769339879830473</v>
      </c>
    </row>
    <row r="5701" customFormat="false" ht="17.15" hidden="false" customHeight="false" outlineLevel="0" collapsed="false">
      <c r="A5701" s="1" t="s">
        <v>855</v>
      </c>
      <c r="B5701" s="0" t="s">
        <v>129</v>
      </c>
      <c r="F5701" s="7" t="n">
        <f aca="false">(Sens!F5697-Sens!F5696+Sens!F5695)*(1-tax_f)/((Sens!E5698+Sens!F5698)/2)</f>
        <v>0.0848655171500825</v>
      </c>
      <c r="G5701" s="7" t="n">
        <f aca="false">(Sens!G5697-Sens!G5696+Sens!G5695)*(1-tax_f)/((Sens!F5698+Sens!G5698)/2)</f>
        <v>0.0653673353462067</v>
      </c>
      <c r="H5701" s="7" t="n">
        <f aca="false">(Sens!H5697-Sens!H5696+Sens!H5695)*(1-tax_f)/((Sens!G5698+Sens!H5698)/2)</f>
        <v>0.0509312272475555</v>
      </c>
      <c r="I5701" s="7" t="n">
        <f aca="false">(Sens!I5697-Sens!I5696+Sens!I5695)*(1-tax_f)/((Sens!H5698+Sens!I5698)/2)</f>
        <v>0.0552111042491727</v>
      </c>
      <c r="J5701" s="7" t="n">
        <f aca="false">(Sens!J5697-Sens!J5696+Sens!J5695)*(1-tax_f)/((Sens!I5698+Sens!J5698)/2)</f>
        <v>0.0605674099187812</v>
      </c>
      <c r="K5701" s="7" t="n">
        <f aca="false">(Sens!K5697-Sens!K5696+Sens!K5695)*(1-tax_f)/((Sens!J5698+Sens!K5698)/2)</f>
        <v>0.0684138667736695</v>
      </c>
    </row>
    <row r="5702" customFormat="false" ht="17.15" hidden="false" customHeight="false" outlineLevel="0" collapsed="false">
      <c r="A5702" s="1" t="s">
        <v>856</v>
      </c>
      <c r="B5702" s="0" t="s">
        <v>129</v>
      </c>
      <c r="F5702" s="7" t="n">
        <f aca="false">Sens!F5627*(1-tax_f)/(Sens!F5614*(Sens!E5698+Sens!F5698)/2)</f>
        <v>0.0977370683972221</v>
      </c>
      <c r="G5702" s="7" t="n">
        <f aca="false">Sens!G5627*(1-tax_f)/(Sens!G5614*(Sens!F5698+Sens!G5698)/2)</f>
        <v>0.0658764624710747</v>
      </c>
      <c r="H5702" s="7" t="n">
        <f aca="false">Sens!H5627*(1-tax_f)/(Sens!H5614*(Sens!G5698+Sens!H5698)/2)</f>
        <v>0.038749030413134</v>
      </c>
      <c r="I5702" s="7" t="n">
        <f aca="false">Sens!I5627*(1-tax_f)/(Sens!I5614*(Sens!H5698+Sens!I5698)/2)</f>
        <v>0.0419789921673334</v>
      </c>
      <c r="J5702" s="7" t="n">
        <f aca="false">Sens!J5627*(1-tax_f)/(Sens!J5614*(Sens!I5698+Sens!J5698)/2)</f>
        <v>0.0460276911097949</v>
      </c>
      <c r="K5702" s="7" t="n">
        <f aca="false">Sens!K5627*(1-tax_f)/(Sens!K5614*(Sens!J5698+Sens!K5698)/2)</f>
        <v>0.0523643194576405</v>
      </c>
    </row>
    <row r="5703" customFormat="false" ht="17.15" hidden="false" customHeight="false" outlineLevel="0" collapsed="false">
      <c r="A5703" s="0" t="s">
        <v>857</v>
      </c>
      <c r="B5703" s="0" t="s">
        <v>209</v>
      </c>
      <c r="F5703" s="7" t="n">
        <f aca="false">Sens!F5699-wacc</f>
        <v>-0.0180689029427932</v>
      </c>
      <c r="G5703" s="7" t="n">
        <f aca="false">Sens!G5699-wacc</f>
        <v>-0.0375670847466691</v>
      </c>
      <c r="H5703" s="7" t="n">
        <f aca="false">Sens!H5699-wacc</f>
        <v>-0.0520031928453202</v>
      </c>
      <c r="I5703" s="7" t="n">
        <f aca="false">Sens!I5699-wacc</f>
        <v>-0.0477233158437031</v>
      </c>
      <c r="J5703" s="7" t="n">
        <f aca="false">Sens!J5699-wacc</f>
        <v>-0.0423670101740946</v>
      </c>
      <c r="K5703" s="7" t="n">
        <f aca="false">Sens!K5699-wacc</f>
        <v>-0.0345205533192062</v>
      </c>
    </row>
    <row r="5704" customFormat="false" ht="17.15" hidden="false" customHeight="false" outlineLevel="0" collapsed="false">
      <c r="A5704" s="0" t="s">
        <v>858</v>
      </c>
      <c r="B5704" s="0" t="s">
        <v>98</v>
      </c>
      <c r="F5704" s="6" t="n">
        <f aca="false">Sens!F5697*(1-tax_f)-wacc*(Sens!E5698+Sens!F5698)/2</f>
        <v>-3.50069133375743</v>
      </c>
      <c r="G5704" s="6" t="n">
        <f aca="false">Sens!G5697*(1-tax_f)-wacc*(Sens!F5698+Sens!G5698)/2</f>
        <v>-12.1078480894252</v>
      </c>
      <c r="H5704" s="6" t="n">
        <f aca="false">Sens!H5697*(1-tax_f)-wacc*(Sens!G5698+Sens!H5698)/2</f>
        <v>-22.567544141998</v>
      </c>
      <c r="I5704" s="6" t="n">
        <f aca="false">Sens!I5697*(1-tax_f)-wacc*(Sens!H5698+Sens!I5698)/2</f>
        <v>-24.3367858731438</v>
      </c>
      <c r="J5704" s="6" t="n">
        <f aca="false">Sens!J5697*(1-tax_f)-wacc*(Sens!I5698+Sens!J5698)/2</f>
        <v>-22.600367414315</v>
      </c>
      <c r="K5704" s="6" t="n">
        <f aca="false">Sens!K5697*(1-tax_f)-wacc*(Sens!J5698+Sens!K5698)/2</f>
        <v>-17.9066865183564</v>
      </c>
    </row>
    <row r="5705" customFormat="false" ht="17.15" hidden="false" customHeight="false" outlineLevel="0" collapsed="false">
      <c r="A5705" s="3" t="s">
        <v>1382</v>
      </c>
    </row>
    <row r="5706" customFormat="false" ht="15" hidden="false" customHeight="false" outlineLevel="0" collapsed="false">
      <c r="A5706" s="4" t="s">
        <v>43</v>
      </c>
      <c r="B5706" s="4" t="s">
        <v>65</v>
      </c>
      <c r="C5706" s="20" t="s">
        <v>788</v>
      </c>
      <c r="D5706" s="20" t="s">
        <v>789</v>
      </c>
      <c r="E5706" s="20" t="s">
        <v>790</v>
      </c>
      <c r="F5706" s="20" t="s">
        <v>791</v>
      </c>
      <c r="G5706" s="20" t="s">
        <v>792</v>
      </c>
      <c r="H5706" s="20" t="s">
        <v>793</v>
      </c>
      <c r="I5706" s="20" t="s">
        <v>794</v>
      </c>
      <c r="J5706" s="20" t="s">
        <v>795</v>
      </c>
      <c r="K5706" s="20" t="s">
        <v>796</v>
      </c>
      <c r="L5706" s="4" t="s">
        <v>47</v>
      </c>
    </row>
    <row r="5707" customFormat="false" ht="15" hidden="false" customHeight="false" outlineLevel="0" collapsed="false">
      <c r="A5707" s="1" t="s">
        <v>915</v>
      </c>
      <c r="B5707" s="0" t="s">
        <v>98</v>
      </c>
      <c r="F5707" s="6" t="n">
        <f aca="false">Sens!F5688</f>
        <v>136.630470868306</v>
      </c>
      <c r="G5707" s="6" t="n">
        <f aca="false">Sens!G5688</f>
        <v>142.776055600375</v>
      </c>
      <c r="H5707" s="6" t="n">
        <f aca="false">Sens!H5688</f>
        <v>144.504808836173</v>
      </c>
      <c r="I5707" s="6" t="n">
        <f aca="false">Sens!I5688</f>
        <v>152.606453521384</v>
      </c>
      <c r="J5707" s="6" t="n">
        <f aca="false">Sens!J5688</f>
        <v>162.025147415419</v>
      </c>
      <c r="K5707" s="6" t="n">
        <f aca="false">Sens!K5688</f>
        <v>172.701136893382</v>
      </c>
    </row>
    <row r="5708" customFormat="false" ht="17.15" hidden="false" customHeight="false" outlineLevel="0" collapsed="false">
      <c r="A5708" s="1" t="s">
        <v>937</v>
      </c>
      <c r="B5708" s="0" t="s">
        <v>98</v>
      </c>
      <c r="E5708" s="6" t="n">
        <f aca="false">Q!M38-Sens!E5626</f>
        <v>22.2285940229167</v>
      </c>
      <c r="F5708" s="6" t="n">
        <f aca="false">Sens!E5708*(1-1/life_nonai)+Sens!F5714/life_nonai</f>
        <v>23.5411693435813</v>
      </c>
      <c r="G5708" s="6" t="n">
        <f aca="false">Sens!F5708*(1-1/life_nonai)+Sens!G5714/life_nonai</f>
        <v>25.2348417662621</v>
      </c>
      <c r="H5708" s="6" t="n">
        <f aca="false">Sens!G5708*(1-1/life_nonai)+Sens!H5714/life_nonai</f>
        <v>27.2800089540448</v>
      </c>
      <c r="I5708" s="6" t="n">
        <f aca="false">Sens!H5708*(1-1/life_nonai)+Sens!I5714/life_nonai</f>
        <v>29.6255980898047</v>
      </c>
      <c r="J5708" s="6" t="n">
        <f aca="false">Sens!I5708*(1-1/life_nonai)+Sens!J5714/life_nonai</f>
        <v>32.2023796058616</v>
      </c>
      <c r="K5708" s="6" t="n">
        <f aca="false">Sens!J5708*(1-1/life_nonai)+Sens!K5714/life_nonai</f>
        <v>34.9277619194749</v>
      </c>
      <c r="L5708" s="11" t="s">
        <v>938</v>
      </c>
    </row>
    <row r="5709" customFormat="false" ht="17.15" hidden="false" customHeight="false" outlineLevel="0" collapsed="false">
      <c r="A5709" s="1" t="s">
        <v>939</v>
      </c>
      <c r="B5709" s="0" t="s">
        <v>98</v>
      </c>
      <c r="E5709" s="6" t="n">
        <f aca="false">Sens!E5626+Sens!E5708</f>
        <v>38.534</v>
      </c>
      <c r="F5709" s="6" t="n">
        <f aca="false">Sens!F5626+Sens!F5708</f>
        <v>58.300454799451</v>
      </c>
      <c r="G5709" s="6" t="n">
        <f aca="false">Sens!G5626+Sens!G5708</f>
        <v>85.7790750266017</v>
      </c>
      <c r="H5709" s="6" t="n">
        <f aca="false">Sens!H5626+Sens!H5708</f>
        <v>115.059824947184</v>
      </c>
      <c r="I5709" s="6" t="n">
        <f aca="false">Sens!I5626+Sens!I5708</f>
        <v>141.650138072026</v>
      </c>
      <c r="J5709" s="6" t="n">
        <f aca="false">Sens!J5626+Sens!J5708</f>
        <v>161.423590528527</v>
      </c>
      <c r="K5709" s="6" t="n">
        <f aca="false">Sens!K5626+Sens!K5708</f>
        <v>174.612908723948</v>
      </c>
    </row>
    <row r="5710" customFormat="false" ht="17.15" hidden="false" customHeight="false" outlineLevel="0" collapsed="false">
      <c r="A5710" s="1" t="s">
        <v>940</v>
      </c>
      <c r="B5710" s="0" t="s">
        <v>98</v>
      </c>
      <c r="F5710" s="6" t="n">
        <f aca="false">Sens!F5653*sbc_r</f>
        <v>14.6821979728425</v>
      </c>
      <c r="G5710" s="6" t="n">
        <f aca="false">Sens!G5653*sbc_r</f>
        <v>16.9771230562123</v>
      </c>
      <c r="H5710" s="6" t="n">
        <f aca="false">Sens!H5653*sbc_r</f>
        <v>19.1243002679513</v>
      </c>
      <c r="I5710" s="6" t="n">
        <f aca="false">Sens!I5653*sbc_r</f>
        <v>21.3921679079274</v>
      </c>
      <c r="J5710" s="6" t="n">
        <f aca="false">Sens!J5653*sbc_r</f>
        <v>23.3078322794183</v>
      </c>
      <c r="K5710" s="6" t="n">
        <f aca="false">Sens!K5653*sbc_r</f>
        <v>24.8682519159503</v>
      </c>
    </row>
    <row r="5711" customFormat="false" ht="17.15" hidden="false" customHeight="false" outlineLevel="0" collapsed="false">
      <c r="A5711" s="1" t="s">
        <v>941</v>
      </c>
      <c r="B5711" s="0" t="s">
        <v>98</v>
      </c>
      <c r="F5711" s="6" t="n">
        <f aca="false">wc27</f>
        <v>-4.895</v>
      </c>
      <c r="G5711" s="6" t="n">
        <f aca="false">wc_f</f>
        <v>0</v>
      </c>
      <c r="H5711" s="6" t="n">
        <f aca="false">wc_f</f>
        <v>0</v>
      </c>
      <c r="I5711" s="6" t="n">
        <f aca="false">wc_f</f>
        <v>0</v>
      </c>
      <c r="J5711" s="6" t="n">
        <f aca="false">wc_f</f>
        <v>0</v>
      </c>
      <c r="K5711" s="6" t="n">
        <f aca="false">wc_f</f>
        <v>0</v>
      </c>
      <c r="L5711" s="11" t="s">
        <v>942</v>
      </c>
    </row>
    <row r="5712" customFormat="false" ht="15" hidden="false" customHeight="false" outlineLevel="0" collapsed="false">
      <c r="A5712" s="1" t="s">
        <v>756</v>
      </c>
      <c r="B5712" s="0" t="s">
        <v>98</v>
      </c>
      <c r="E5712" s="6" t="n">
        <f aca="false">Q!M35</f>
        <v>182.935</v>
      </c>
      <c r="F5712" s="6" t="n">
        <f aca="false">Sens!F5707+Sens!F5709+Sens!F5710+Sens!F5711</f>
        <v>204.7181236406</v>
      </c>
      <c r="G5712" s="6" t="n">
        <f aca="false">Sens!G5707+Sens!G5709+Sens!G5710+Sens!G5711</f>
        <v>245.532253683189</v>
      </c>
      <c r="H5712" s="6" t="n">
        <f aca="false">Sens!H5707+Sens!H5709+Sens!H5710+Sens!H5711</f>
        <v>278.688934051308</v>
      </c>
      <c r="I5712" s="6" t="n">
        <f aca="false">Sens!I5707+Sens!I5709+Sens!I5710+Sens!I5711</f>
        <v>315.648759501337</v>
      </c>
      <c r="J5712" s="6" t="n">
        <f aca="false">Sens!J5707+Sens!J5709+Sens!J5710+Sens!J5711</f>
        <v>346.756570223365</v>
      </c>
      <c r="K5712" s="6" t="n">
        <f aca="false">Sens!K5707+Sens!K5709+Sens!K5710+Sens!K5711</f>
        <v>372.182297533281</v>
      </c>
    </row>
    <row r="5713" customFormat="false" ht="17.15" hidden="false" customHeight="false" outlineLevel="0" collapsed="false">
      <c r="A5713" s="0" t="s">
        <v>943</v>
      </c>
      <c r="B5713" s="0" t="s">
        <v>98</v>
      </c>
      <c r="F5713" s="6" t="n">
        <f aca="false">Sens!F5623</f>
        <v>168.845652770438</v>
      </c>
      <c r="G5713" s="6" t="n">
        <f aca="false">Sens!G5623</f>
        <v>183.5741804832</v>
      </c>
      <c r="H5713" s="6" t="n">
        <f aca="false">Sens!H5623</f>
        <v>188.0802859104</v>
      </c>
      <c r="I5713" s="6" t="n">
        <f aca="false">Sens!I5623</f>
        <v>163.706669154245</v>
      </c>
      <c r="J5713" s="6" t="n">
        <f aca="false">Sens!J5623</f>
        <v>124.51247671809</v>
      </c>
      <c r="K5713" s="6" t="n">
        <f aca="false">Sens!K5623</f>
        <v>114.959435641936</v>
      </c>
    </row>
    <row r="5714" customFormat="false" ht="17.15" hidden="false" customHeight="false" outlineLevel="0" collapsed="false">
      <c r="A5714" s="1" t="s">
        <v>944</v>
      </c>
      <c r="B5714" s="0" t="s">
        <v>98</v>
      </c>
      <c r="E5714" s="6" t="n">
        <f aca="false">Sens!E5631*cx_azo+Sens!E5638*cx_m365+Sens!E5639*cx_lic+(Sens!E5641+Sens!E5643)*cx_ind+Sens!E5646*cx_srch+(Sens!E5648+Sens!E5650)*cx_dev</f>
        <v>30.1846587067718</v>
      </c>
      <c r="F5714" s="6" t="n">
        <f aca="false">Sens!F5631*cx_azo+Sens!F5638*cx_m365+Sens!F5639*cx_lic+(Sens!F5641+Sens!F5643)*cx_ind+Sens!F5646*cx_srch+(Sens!F5648+Sens!F5650)*cx_dev</f>
        <v>35.3543472295625</v>
      </c>
      <c r="G5714" s="6" t="n">
        <f aca="false">Sens!G5631*cx_azo+Sens!G5638*cx_m365+Sens!G5639*cx_lic+(Sens!G5641+Sens!G5643)*cx_ind+Sens!G5646*cx_srch+(Sens!G5648+Sens!G5650)*cx_dev</f>
        <v>40.4778935703892</v>
      </c>
      <c r="H5714" s="6" t="n">
        <f aca="false">Sens!H5631*cx_azo+Sens!H5638*cx_m365+Sens!H5639*cx_lic+(Sens!H5641+Sens!H5643)*cx_ind+Sens!H5646*cx_srch+(Sens!H5648+Sens!H5650)*cx_dev</f>
        <v>45.6865136440897</v>
      </c>
      <c r="I5714" s="6" t="n">
        <f aca="false">Sens!I5631*cx_azo+Sens!I5638*cx_m365+Sens!I5639*cx_lic+(Sens!I5641+Sens!I5643)*cx_ind+Sens!I5646*cx_srch+(Sens!I5648+Sens!I5650)*cx_dev</f>
        <v>50.7359003116439</v>
      </c>
      <c r="J5714" s="6" t="n">
        <f aca="false">Sens!J5631*cx_azo+Sens!J5638*cx_m365+Sens!J5639*cx_lic+(Sens!J5641+Sens!J5643)*cx_ind+Sens!J5646*cx_srch+(Sens!J5648+Sens!J5650)*cx_dev</f>
        <v>55.3934132503738</v>
      </c>
      <c r="K5714" s="6" t="n">
        <f aca="false">Sens!K5631*cx_azo+Sens!K5638*cx_m365+Sens!K5639*cx_lic+(Sens!K5641+Sens!K5643)*cx_ind+Sens!K5646*cx_srch+(Sens!K5648+Sens!K5650)*cx_dev</f>
        <v>59.456202741994</v>
      </c>
    </row>
    <row r="5715" customFormat="false" ht="17.15" hidden="false" customHeight="false" outlineLevel="0" collapsed="false">
      <c r="A5715" s="1" t="s">
        <v>945</v>
      </c>
      <c r="B5715" s="0" t="s">
        <v>98</v>
      </c>
      <c r="E5715" s="6" t="n">
        <f aca="false">Q!M42</f>
        <v>145.3</v>
      </c>
      <c r="F5715" s="6" t="n">
        <f aca="false">Sens!F5713+Sens!F5714</f>
        <v>204.2</v>
      </c>
      <c r="G5715" s="6" t="n">
        <f aca="false">Sens!G5713+Sens!G5714</f>
        <v>224.052074053589</v>
      </c>
      <c r="H5715" s="6" t="n">
        <f aca="false">Sens!H5713+Sens!H5714</f>
        <v>233.76679955449</v>
      </c>
      <c r="I5715" s="6" t="n">
        <f aca="false">Sens!I5713+Sens!I5714</f>
        <v>214.442569465889</v>
      </c>
      <c r="J5715" s="6" t="n">
        <f aca="false">Sens!J5713+Sens!J5714</f>
        <v>179.905889968464</v>
      </c>
      <c r="K5715" s="6" t="n">
        <f aca="false">Sens!K5713+Sens!K5714</f>
        <v>174.41563838393</v>
      </c>
      <c r="L5715" s="1" t="s">
        <v>946</v>
      </c>
    </row>
    <row r="5716" customFormat="false" ht="15" hidden="false" customHeight="false" outlineLevel="0" collapsed="false">
      <c r="A5716" s="1" t="s">
        <v>947</v>
      </c>
      <c r="B5716" s="0" t="s">
        <v>98</v>
      </c>
      <c r="E5716" s="6" t="n">
        <f aca="false">fl_liab</f>
        <v>66.594</v>
      </c>
      <c r="F5716" s="6" t="n">
        <f aca="false">Sens!E5716-Sens!F5717</f>
        <v>62.46973</v>
      </c>
      <c r="G5716" s="6" t="n">
        <f aca="false">Sens!F5716-Sens!G5717</f>
        <v>57.98686785</v>
      </c>
      <c r="H5716" s="6" t="n">
        <f aca="false">Sens!G5716-Sens!H5717</f>
        <v>53.92827690325</v>
      </c>
      <c r="I5716" s="6" t="n">
        <f aca="false">Sens!H5716-Sens!I5717</f>
        <v>49.7850493638962</v>
      </c>
      <c r="J5716" s="6" t="n">
        <f aca="false">Sens!I5716-Sens!J5717</f>
        <v>45.4823765852716</v>
      </c>
      <c r="K5716" s="6" t="n">
        <f aca="false">Sens!J5716-Sens!K5717</f>
        <v>40.9860835316088</v>
      </c>
    </row>
    <row r="5717" customFormat="false" ht="15" hidden="false" customHeight="false" outlineLevel="0" collapsed="false">
      <c r="A5717" s="1" t="s">
        <v>948</v>
      </c>
      <c r="B5717" s="0" t="s">
        <v>98</v>
      </c>
      <c r="F5717" s="6" t="n">
        <f aca="false">fl_pay_27-Sens!E5716*fl_rate</f>
        <v>4.12427</v>
      </c>
      <c r="G5717" s="6" t="n">
        <f aca="false">fl_pay_28-Sens!F5716*fl_rate</f>
        <v>4.48286215</v>
      </c>
      <c r="H5717" s="6" t="n">
        <f aca="false">fl_pay_29-Sens!G5716*fl_rate</f>
        <v>4.05859094675</v>
      </c>
      <c r="I5717" s="6" t="n">
        <f aca="false">fl_pay_30-Sens!H5716*fl_rate</f>
        <v>4.14322753935375</v>
      </c>
      <c r="J5717" s="6" t="n">
        <f aca="false">fl_pay_31-Sens!I5716*fl_rate</f>
        <v>4.30267277862467</v>
      </c>
      <c r="K5717" s="6" t="n">
        <f aca="false">fl_pay_32-Sens!J5716*fl_rate</f>
        <v>4.49629305366278</v>
      </c>
    </row>
    <row r="5718" customFormat="false" ht="17.15" hidden="false" customHeight="false" outlineLevel="0" collapsed="false">
      <c r="A5718" s="1" t="s">
        <v>949</v>
      </c>
      <c r="B5718" s="0" t="s">
        <v>98</v>
      </c>
      <c r="E5718" s="6" t="n">
        <f aca="false">Q!M35-Q!M36-Q!M43</f>
        <v>63.886</v>
      </c>
      <c r="F5718" s="6" t="n">
        <f aca="false">Sens!F5712-Sens!F5715-Sens!F5717</f>
        <v>-3.60614635940011</v>
      </c>
      <c r="G5718" s="6" t="n">
        <f aca="false">Sens!G5712-Sens!G5715-Sens!G5717</f>
        <v>16.9973174795999</v>
      </c>
      <c r="H5718" s="6" t="n">
        <f aca="false">Sens!H5712-Sens!H5715-Sens!H5717</f>
        <v>40.8635435500687</v>
      </c>
      <c r="I5718" s="6" t="n">
        <f aca="false">Sens!I5712-Sens!I5715-Sens!I5717</f>
        <v>97.0629624960937</v>
      </c>
      <c r="J5718" s="6" t="n">
        <f aca="false">Sens!J5712-Sens!J5715-Sens!J5717</f>
        <v>162.548007476276</v>
      </c>
      <c r="K5718" s="6" t="n">
        <f aca="false">Sens!K5712-Sens!K5715-Sens!K5717</f>
        <v>193.270366095688</v>
      </c>
      <c r="L5718" s="11" t="s">
        <v>950</v>
      </c>
    </row>
    <row r="5719" customFormat="false" ht="15" hidden="false" customHeight="false" outlineLevel="0" collapsed="false">
      <c r="A5719" s="1" t="s">
        <v>951</v>
      </c>
      <c r="B5719" s="0" t="s">
        <v>75</v>
      </c>
      <c r="F5719" s="8" t="n">
        <f aca="false">dps_27</f>
        <v>3.85</v>
      </c>
      <c r="G5719" s="8" t="n">
        <f aca="false">Sens!F5719*(1+dps_g)</f>
        <v>4.158</v>
      </c>
      <c r="H5719" s="8" t="n">
        <f aca="false">Sens!G5719*(1+dps_g)</f>
        <v>4.49064</v>
      </c>
      <c r="I5719" s="8" t="n">
        <f aca="false">Sens!H5719*(1+dps_g)</f>
        <v>4.8498912</v>
      </c>
      <c r="J5719" s="8" t="n">
        <f aca="false">Sens!I5719*(1+dps_g)</f>
        <v>5.237882496</v>
      </c>
      <c r="K5719" s="8" t="n">
        <f aca="false">Sens!J5719*(1+dps_g)</f>
        <v>5.65691309568</v>
      </c>
    </row>
    <row r="5720" customFormat="false" ht="17.15" hidden="false" customHeight="false" outlineLevel="0" collapsed="false">
      <c r="A5720" s="1" t="s">
        <v>952</v>
      </c>
      <c r="B5720" s="0" t="s">
        <v>98</v>
      </c>
      <c r="E5720" s="6" t="n">
        <f aca="false">Q!M41</f>
        <v>26.445</v>
      </c>
      <c r="F5720" s="6" t="n">
        <f aca="false">Sens!F5719*Sens!E5729</f>
        <v>28.59395</v>
      </c>
      <c r="G5720" s="6" t="n">
        <f aca="false">Sens!G5719*Sens!F5729</f>
        <v>31.068576</v>
      </c>
      <c r="H5720" s="6" t="n">
        <f aca="false">Sens!H5719*Sens!G5729</f>
        <v>33.75614088</v>
      </c>
      <c r="I5720" s="6" t="n">
        <f aca="false">Sens!I5719*Sens!H5729</f>
        <v>36.6365165561534</v>
      </c>
      <c r="J5720" s="6" t="n">
        <f aca="false">Sens!J5719*Sens!I5729</f>
        <v>39.6358367289651</v>
      </c>
      <c r="K5720" s="6" t="n">
        <f aca="false">Sens!K5719*Sens!J5729</f>
        <v>42.8939588925873</v>
      </c>
      <c r="L5720" s="1" t="s">
        <v>953</v>
      </c>
    </row>
    <row r="5721" customFormat="false" ht="15" hidden="false" customHeight="false" outlineLevel="0" collapsed="false">
      <c r="A5721" s="1" t="s">
        <v>954</v>
      </c>
      <c r="B5721" s="0" t="s">
        <v>98</v>
      </c>
      <c r="E5721" s="6" t="n">
        <f aca="false">Sens!E5718-Sens!E5720</f>
        <v>37.441</v>
      </c>
      <c r="F5721" s="6" t="n">
        <f aca="false">Sens!F5718-Sens!F5720</f>
        <v>-32.2000963594001</v>
      </c>
      <c r="G5721" s="6" t="n">
        <f aca="false">Sens!G5718-Sens!G5720</f>
        <v>-14.0712585204001</v>
      </c>
      <c r="H5721" s="6" t="n">
        <f aca="false">Sens!H5718-Sens!H5720</f>
        <v>7.10740267006872</v>
      </c>
      <c r="I5721" s="6" t="n">
        <f aca="false">Sens!I5718-Sens!I5720</f>
        <v>60.4264459399403</v>
      </c>
      <c r="J5721" s="6" t="n">
        <f aca="false">Sens!J5718-Sens!J5720</f>
        <v>122.912170747311</v>
      </c>
      <c r="K5721" s="6" t="n">
        <f aca="false">Sens!K5718-Sens!K5720</f>
        <v>150.376407203101</v>
      </c>
    </row>
    <row r="5722" customFormat="false" ht="15" hidden="false" customHeight="false" outlineLevel="0" collapsed="false">
      <c r="A5722" s="1" t="s">
        <v>955</v>
      </c>
      <c r="B5722" s="0" t="s">
        <v>98</v>
      </c>
      <c r="F5722" s="6" t="n">
        <f aca="false">debt_mat_27</f>
        <v>9.25</v>
      </c>
      <c r="G5722" s="6" t="n">
        <f aca="false">debt_mat_28</f>
        <v>0</v>
      </c>
      <c r="H5722" s="6" t="n">
        <f aca="false">debt_mat_29</f>
        <v>2.001</v>
      </c>
      <c r="I5722" s="6" t="n">
        <f aca="false">debt_mat_30</f>
        <v>0</v>
      </c>
      <c r="J5722" s="6" t="n">
        <f aca="false">debt_mat_31</f>
        <v>0.5</v>
      </c>
      <c r="K5722" s="6" t="n">
        <f aca="false">debt_mat_32</f>
        <v>0</v>
      </c>
    </row>
    <row r="5723" customFormat="false" ht="15" hidden="false" customHeight="false" outlineLevel="0" collapsed="false">
      <c r="A5723" s="1" t="s">
        <v>956</v>
      </c>
      <c r="B5723" s="0" t="s">
        <v>98</v>
      </c>
      <c r="E5723" s="6" t="n">
        <f aca="false">Q!M40</f>
        <v>22.271</v>
      </c>
      <c r="F5723" s="6" t="n">
        <f aca="false">MAX(0,MIN(bb_target,Sens!E5725+Sens!F5721-Sens!F5722-min_cash))</f>
        <v>0</v>
      </c>
      <c r="G5723" s="6" t="n">
        <f aca="false">MAX(0,MIN(bb_target,Sens!F5725+Sens!G5721-Sens!G5722-min_cash))</f>
        <v>0</v>
      </c>
      <c r="H5723" s="6" t="n">
        <f aca="false">MAX(0,MIN(bb_target,Sens!G5725+Sens!H5721-Sens!H5722-min_cash))</f>
        <v>5.10640267006873</v>
      </c>
      <c r="I5723" s="6" t="n">
        <f aca="false">MAX(0,MIN(bb_target,Sens!H5725+Sens!I5721-Sens!I5722-min_cash))</f>
        <v>22.271</v>
      </c>
      <c r="J5723" s="6" t="n">
        <f aca="false">MAX(0,MIN(bb_target,Sens!I5725+Sens!J5721-Sens!J5722-min_cash))</f>
        <v>22.271</v>
      </c>
      <c r="K5723" s="6" t="n">
        <f aca="false">MAX(0,MIN(bb_target,Sens!J5725+Sens!K5721-Sens!K5722-min_cash))</f>
        <v>22.271</v>
      </c>
    </row>
    <row r="5724" customFormat="false" ht="15" hidden="false" customHeight="false" outlineLevel="0" collapsed="false">
      <c r="A5724" s="1" t="s">
        <v>957</v>
      </c>
      <c r="B5724" s="0" t="s">
        <v>98</v>
      </c>
      <c r="F5724" s="6" t="n">
        <f aca="false">MAX(0,min_cash-(Sens!E5725+Sens!F5721-Sens!F5722-Sens!F5723))</f>
        <v>14.6070963594001</v>
      </c>
      <c r="G5724" s="6" t="n">
        <f aca="false">MAX(0,min_cash-(Sens!F5725+Sens!G5721-Sens!G5722-Sens!G5723))</f>
        <v>14.0712585204001</v>
      </c>
      <c r="H5724" s="6" t="n">
        <f aca="false">MAX(0,min_cash-(Sens!G5725+Sens!H5721-Sens!H5722-Sens!H5723))</f>
        <v>0</v>
      </c>
      <c r="I5724" s="6" t="n">
        <f aca="false">MAX(0,min_cash-(Sens!H5725+Sens!I5721-Sens!I5722-Sens!I5723))</f>
        <v>0</v>
      </c>
      <c r="J5724" s="6" t="n">
        <f aca="false">MAX(0,min_cash-(Sens!I5725+Sens!J5721-Sens!J5722-Sens!J5723))</f>
        <v>0</v>
      </c>
      <c r="K5724" s="6" t="n">
        <f aca="false">MAX(0,min_cash-(Sens!J5725+Sens!K5721-Sens!K5722-Sens!K5723))</f>
        <v>0</v>
      </c>
    </row>
    <row r="5725" customFormat="false" ht="15" hidden="false" customHeight="false" outlineLevel="0" collapsed="false">
      <c r="A5725" s="1" t="s">
        <v>958</v>
      </c>
      <c r="B5725" s="0" t="s">
        <v>98</v>
      </c>
      <c r="E5725" s="6" t="n">
        <f aca="false">cash_open</f>
        <v>76.843</v>
      </c>
      <c r="F5725" s="6" t="n">
        <f aca="false">Sens!E5725+Sens!F5721-Sens!F5722-Sens!F5723+Sens!F5724</f>
        <v>50</v>
      </c>
      <c r="G5725" s="6" t="n">
        <f aca="false">Sens!F5725+Sens!G5721-Sens!G5722-Sens!G5723+Sens!G5724</f>
        <v>50</v>
      </c>
      <c r="H5725" s="6" t="n">
        <f aca="false">Sens!G5725+Sens!H5721-Sens!H5722-Sens!H5723+Sens!H5724</f>
        <v>50</v>
      </c>
      <c r="I5725" s="6" t="n">
        <f aca="false">Sens!H5725+Sens!I5721-Sens!I5722-Sens!I5723+Sens!I5724</f>
        <v>88.1554459399403</v>
      </c>
      <c r="J5725" s="6" t="n">
        <f aca="false">Sens!I5725+Sens!J5721-Sens!J5722-Sens!J5723+Sens!J5724</f>
        <v>188.296616687251</v>
      </c>
      <c r="K5725" s="6" t="n">
        <f aca="false">Sens!J5725+Sens!K5721-Sens!K5722-Sens!K5723+Sens!K5724</f>
        <v>316.402023890352</v>
      </c>
    </row>
    <row r="5726" customFormat="false" ht="15" hidden="false" customHeight="false" outlineLevel="0" collapsed="false">
      <c r="A5726" s="1" t="s">
        <v>959</v>
      </c>
      <c r="B5726" s="0" t="s">
        <v>98</v>
      </c>
      <c r="E5726" s="6" t="n">
        <f aca="false">debt_face</f>
        <v>46.136</v>
      </c>
      <c r="F5726" s="6" t="n">
        <f aca="false">Sens!E5726-Sens!F5722+Sens!F5724</f>
        <v>51.4930963594001</v>
      </c>
      <c r="G5726" s="6" t="n">
        <f aca="false">Sens!F5726-Sens!G5722+Sens!G5724</f>
        <v>65.5643548798002</v>
      </c>
      <c r="H5726" s="6" t="n">
        <f aca="false">Sens!G5726-Sens!H5722+Sens!H5724</f>
        <v>63.5633548798002</v>
      </c>
      <c r="I5726" s="6" t="n">
        <f aca="false">Sens!H5726-Sens!I5722+Sens!I5724</f>
        <v>63.5633548798002</v>
      </c>
      <c r="J5726" s="6" t="n">
        <f aca="false">Sens!I5726-Sens!J5722+Sens!J5724</f>
        <v>63.0633548798002</v>
      </c>
      <c r="K5726" s="6" t="n">
        <f aca="false">Sens!J5726-Sens!K5722+Sens!K5724</f>
        <v>63.0633548798002</v>
      </c>
    </row>
    <row r="5727" customFormat="false" ht="15" hidden="false" customHeight="false" outlineLevel="0" collapsed="false">
      <c r="A5727" s="1" t="s">
        <v>960</v>
      </c>
      <c r="B5727" s="0" t="s">
        <v>98</v>
      </c>
      <c r="E5727" s="6" t="n">
        <f aca="false">Sens!E5725-Sens!E5726</f>
        <v>30.707</v>
      </c>
      <c r="F5727" s="6" t="n">
        <f aca="false">Sens!F5725-Sens!F5726</f>
        <v>-1.49309635940011</v>
      </c>
      <c r="G5727" s="6" t="n">
        <f aca="false">Sens!G5725-Sens!G5726</f>
        <v>-15.5643548798002</v>
      </c>
      <c r="H5727" s="6" t="n">
        <f aca="false">Sens!H5725-Sens!H5726</f>
        <v>-13.5633548798002</v>
      </c>
      <c r="I5727" s="6" t="n">
        <f aca="false">Sens!I5725-Sens!I5726</f>
        <v>24.5920910601401</v>
      </c>
      <c r="J5727" s="6" t="n">
        <f aca="false">Sens!J5725-Sens!J5726</f>
        <v>125.233261807451</v>
      </c>
      <c r="K5727" s="6" t="n">
        <f aca="false">Sens!K5725-Sens!K5726</f>
        <v>253.338669010552</v>
      </c>
    </row>
    <row r="5728" customFormat="false" ht="15" hidden="false" customHeight="false" outlineLevel="0" collapsed="false">
      <c r="A5728" s="1" t="s">
        <v>961</v>
      </c>
      <c r="B5728" s="0" t="s">
        <v>75</v>
      </c>
      <c r="F5728" s="29" t="n">
        <f aca="false">px*(1+bb_g)^(Sens!F5592-base_fy-mid_yr)</f>
        <v>553.494156066711</v>
      </c>
      <c r="G5728" s="29" t="n">
        <f aca="false">px*(1+bb_g)^(Sens!G5592-base_fy-mid_yr)</f>
        <v>597.773688552047</v>
      </c>
      <c r="H5728" s="29" t="n">
        <f aca="false">px*(1+bb_g)^(Sens!H5592-base_fy-mid_yr)</f>
        <v>645.595583636211</v>
      </c>
      <c r="I5728" s="29" t="n">
        <f aca="false">px*(1+bb_g)^(Sens!I5592-base_fy-mid_yr)</f>
        <v>697.243230327108</v>
      </c>
      <c r="J5728" s="29" t="n">
        <f aca="false">px*(1+bb_g)^(Sens!J5592-base_fy-mid_yr)</f>
        <v>753.022688753277</v>
      </c>
      <c r="K5728" s="29" t="n">
        <f aca="false">px*(1+bb_g)^(Sens!K5592-base_fy-mid_yr)</f>
        <v>813.264503853539</v>
      </c>
    </row>
    <row r="5729" customFormat="false" ht="15" hidden="false" customHeight="false" outlineLevel="0" collapsed="false">
      <c r="A5729" s="1" t="s">
        <v>962</v>
      </c>
      <c r="B5729" s="1" t="s">
        <v>81</v>
      </c>
      <c r="E5729" s="14" t="n">
        <f aca="false">sh_out26</f>
        <v>7.427</v>
      </c>
      <c r="F5729" s="14" t="n">
        <f aca="false">Sens!E5729+sh_iss-Sens!F5723/Sens!F5728</f>
        <v>7.472</v>
      </c>
      <c r="G5729" s="14" t="n">
        <f aca="false">Sens!F5729+sh_iss-Sens!G5723/Sens!G5728</f>
        <v>7.517</v>
      </c>
      <c r="H5729" s="14" t="n">
        <f aca="false">Sens!G5729+sh_iss-Sens!H5723/Sens!H5728</f>
        <v>7.55409040024514</v>
      </c>
      <c r="I5729" s="14" t="n">
        <f aca="false">Sens!H5729+sh_iss-Sens!I5723/Sens!I5728</f>
        <v>7.56714889255986</v>
      </c>
      <c r="J5729" s="14" t="n">
        <f aca="false">Sens!I5729+sh_iss-Sens!J5723/Sens!J5728</f>
        <v>7.5825734224809</v>
      </c>
      <c r="K5729" s="14" t="n">
        <f aca="false">Sens!J5729+sh_iss-Sens!K5723/Sens!K5728</f>
        <v>7.60018872796335</v>
      </c>
    </row>
    <row r="5730" customFormat="false" ht="15" hidden="false" customHeight="false" outlineLevel="0" collapsed="false">
      <c r="A5730" s="1" t="s">
        <v>963</v>
      </c>
      <c r="B5730" s="1" t="s">
        <v>81</v>
      </c>
      <c r="E5730" s="14" t="n">
        <f aca="false">sh_dil26</f>
        <v>7.453</v>
      </c>
      <c r="F5730" s="14" t="n">
        <f aca="false">(Sens!E5729+Sens!F5729)/2+dil_gap</f>
        <v>7.4735</v>
      </c>
      <c r="G5730" s="14" t="n">
        <f aca="false">(Sens!F5729+Sens!G5729)/2+dil_gap</f>
        <v>7.5185</v>
      </c>
      <c r="H5730" s="14" t="n">
        <f aca="false">(Sens!G5729+Sens!H5729)/2+dil_gap</f>
        <v>7.55954520012257</v>
      </c>
      <c r="I5730" s="14" t="n">
        <f aca="false">(Sens!H5729+Sens!I5729)/2+dil_gap</f>
        <v>7.5846196464025</v>
      </c>
      <c r="J5730" s="14" t="n">
        <f aca="false">(Sens!I5729+Sens!J5729)/2+dil_gap</f>
        <v>7.59886115752038</v>
      </c>
      <c r="K5730" s="14" t="n">
        <f aca="false">(Sens!J5729+Sens!K5729)/2+dil_gap</f>
        <v>7.61538107522213</v>
      </c>
    </row>
    <row r="5731" customFormat="false" ht="17.15" hidden="false" customHeight="false" outlineLevel="0" collapsed="false">
      <c r="A5731" s="1" t="s">
        <v>964</v>
      </c>
      <c r="B5731" s="0" t="s">
        <v>98</v>
      </c>
      <c r="C5731" s="6" t="n">
        <f aca="false">SUM(Sens!F5721:J5721)</f>
        <v>144.174664477519</v>
      </c>
    </row>
    <row r="5732" customFormat="false" ht="15" hidden="false" customHeight="false" outlineLevel="0" collapsed="false">
      <c r="A5732" s="23" t="s">
        <v>935</v>
      </c>
      <c r="B5732" s="30" t="s">
        <v>98</v>
      </c>
      <c r="C5732" s="24" t="n">
        <f aca="false">Sens!$C$5731-(Sens!F5721+Sens!G5721+Sens!H5721+Sens!I5721+Sens!J5721)</f>
        <v>0</v>
      </c>
      <c r="D5732" s="30"/>
      <c r="E5732" s="30"/>
      <c r="F5732" s="30"/>
      <c r="G5732" s="30"/>
      <c r="H5732" s="30"/>
      <c r="I5732" s="30"/>
      <c r="J5732" s="30"/>
      <c r="K5732" s="30"/>
    </row>
    <row r="5733" customFormat="false" ht="17.15" hidden="false" customHeight="false" outlineLevel="0" collapsed="false">
      <c r="A5733" s="1" t="s">
        <v>929</v>
      </c>
      <c r="B5733" s="1" t="s">
        <v>965</v>
      </c>
      <c r="C5733" s="32" t="str">
        <f aca="false">IF(SUM(Sens!F5724:J5724)&gt;0.05,"需要舉債 "&amp;TEXT(SUM(Sens!F5724:J5724),"0.0")&amp;" 十億美元","不需舉債")&amp;"；"&amp;IF(SUM(Sens!F5723:J5723)&lt;COUNT(Sens!F5723:J5723)*bb_target-0.05,"回購較每年 "&amp;TEXT(bb_target,"0.0")&amp;" 的目標少 "&amp;TEXT(COUNT(Sens!F5723:J5723)*bb_target-SUM(Sens!F5723:J5723),"0.0")&amp;" 十億美元（"&amp;TEXT(COUNTIF(Sens!F5723:J5723,"&lt;"&amp;(bb_target-0.05)),"0")&amp;" 年減少）","回購不減")</f>
        <v>需要舉債 28.7 十億美元；回購較每年 22.3 的目標少 61.7 十億美元（3 年減少）</v>
      </c>
    </row>
    <row r="5734" customFormat="false" ht="17.15" hidden="false" customHeight="false" outlineLevel="0" collapsed="false">
      <c r="A5734" s="3" t="s">
        <v>1383</v>
      </c>
    </row>
    <row r="5735" customFormat="false" ht="15" hidden="false" customHeight="false" outlineLevel="0" collapsed="false">
      <c r="A5735" s="4" t="s">
        <v>43</v>
      </c>
      <c r="B5735" s="4" t="s">
        <v>65</v>
      </c>
      <c r="C5735" s="20" t="s">
        <v>788</v>
      </c>
      <c r="D5735" s="20" t="s">
        <v>789</v>
      </c>
      <c r="E5735" s="20" t="s">
        <v>790</v>
      </c>
      <c r="F5735" s="20" t="s">
        <v>791</v>
      </c>
      <c r="G5735" s="20" t="s">
        <v>792</v>
      </c>
      <c r="H5735" s="20" t="s">
        <v>793</v>
      </c>
      <c r="I5735" s="20" t="s">
        <v>794</v>
      </c>
      <c r="J5735" s="20" t="s">
        <v>795</v>
      </c>
      <c r="K5735" s="20" t="s">
        <v>796</v>
      </c>
      <c r="L5735" s="4" t="s">
        <v>47</v>
      </c>
    </row>
    <row r="5736" customFormat="false" ht="15" hidden="false" customHeight="false" outlineLevel="0" collapsed="false">
      <c r="A5736" s="1" t="s">
        <v>1042</v>
      </c>
      <c r="B5736" s="1" t="s">
        <v>235</v>
      </c>
      <c r="F5736" s="36" t="n">
        <f aca="false">Sens!F5592-base_fy-mid_yr</f>
        <v>0.5</v>
      </c>
      <c r="G5736" s="36" t="n">
        <f aca="false">Sens!G5592-base_fy-mid_yr</f>
        <v>1.5</v>
      </c>
      <c r="H5736" s="36" t="n">
        <f aca="false">Sens!H5592-base_fy-mid_yr</f>
        <v>2.5</v>
      </c>
      <c r="I5736" s="36" t="n">
        <f aca="false">Sens!I5592-base_fy-mid_yr</f>
        <v>3.5</v>
      </c>
      <c r="J5736" s="36" t="n">
        <f aca="false">Sens!J5592-base_fy-mid_yr</f>
        <v>4.5</v>
      </c>
      <c r="K5736" s="36" t="n">
        <f aca="false">Sens!K5592-base_fy-mid_yr</f>
        <v>5.5</v>
      </c>
    </row>
    <row r="5737" customFormat="false" ht="15" hidden="false" customHeight="false" outlineLevel="0" collapsed="false">
      <c r="A5737" s="1" t="s">
        <v>1043</v>
      </c>
      <c r="B5737" s="0" t="s">
        <v>185</v>
      </c>
      <c r="F5737" s="14" t="n">
        <f aca="false">1/(1+wacc)^Sens!F5736</f>
        <v>0.952193373608246</v>
      </c>
      <c r="G5737" s="14" t="n">
        <f aca="false">1/(1+wacc)^Sens!G5736</f>
        <v>0.863327280626589</v>
      </c>
      <c r="H5737" s="14" t="n">
        <f aca="false">1/(1+wacc)^Sens!H5736</f>
        <v>0.782754862754115</v>
      </c>
      <c r="I5737" s="14" t="n">
        <f aca="false">1/(1+wacc)^Sens!I5736</f>
        <v>0.709702089711011</v>
      </c>
      <c r="J5737" s="14" t="n">
        <f aca="false">1/(1+wacc)^Sens!J5736</f>
        <v>0.643467169744551</v>
      </c>
      <c r="K5737" s="14" t="n">
        <f aca="false">1/(1+wacc)^Sens!K5736</f>
        <v>0.583413807767797</v>
      </c>
    </row>
    <row r="5738" customFormat="false" ht="17.15" hidden="false" customHeight="false" outlineLevel="0" collapsed="false">
      <c r="A5738" s="1" t="s">
        <v>1044</v>
      </c>
      <c r="B5738" s="0" t="s">
        <v>98</v>
      </c>
      <c r="F5738" s="6" t="n">
        <f aca="false">Sens!F5712-Sens!F5710-Sens!F5715+Sens!F5696*(1-tax_f)</f>
        <v>2.81230367218401</v>
      </c>
      <c r="G5738" s="6" t="n">
        <f aca="false">Sens!G5712-Sens!G5710-Sens!G5715+Sens!G5696*(1-tax_f)</f>
        <v>35.6949858232604</v>
      </c>
      <c r="H5738" s="6" t="n">
        <f aca="false">Sens!H5712-Sens!H5710-Sens!H5715+Sens!H5696*(1-tax_f)</f>
        <v>72.2872795985464</v>
      </c>
      <c r="I5738" s="6" t="n">
        <f aca="false">Sens!I5712-Sens!I5710-Sens!I5715+Sens!I5696*(1-tax_f)</f>
        <v>139.949697727748</v>
      </c>
      <c r="J5738" s="6" t="n">
        <f aca="false">Sens!J5712-Sens!J5710-Sens!J5715+Sens!J5696*(1-tax_f)</f>
        <v>213.197079430705</v>
      </c>
      <c r="K5738" s="6" t="n">
        <f aca="false">Sens!K5712-Sens!K5710-Sens!K5715+Sens!K5696*(1-tax_f)</f>
        <v>248.294025813942</v>
      </c>
      <c r="L5738" s="1" t="s">
        <v>1045</v>
      </c>
    </row>
    <row r="5739" customFormat="false" ht="15" hidden="false" customHeight="false" outlineLevel="0" collapsed="false">
      <c r="A5739" s="1" t="s">
        <v>1046</v>
      </c>
      <c r="B5739" s="0" t="s">
        <v>98</v>
      </c>
      <c r="F5739" s="6" t="n">
        <f aca="false">Sens!F5738*Sens!F5737</f>
        <v>2.67785692122775</v>
      </c>
      <c r="G5739" s="6" t="n">
        <f aca="false">Sens!G5738*Sens!G5737</f>
        <v>30.8164550428001</v>
      </c>
      <c r="H5739" s="6" t="n">
        <f aca="false">Sens!H5738*Sens!H5737</f>
        <v>56.5832196210286</v>
      </c>
      <c r="I5739" s="6" t="n">
        <f aca="false">Sens!I5738*Sens!I5737</f>
        <v>99.3225929318069</v>
      </c>
      <c r="J5739" s="6" t="n">
        <f aca="false">Sens!J5738*Sens!J5737</f>
        <v>137.18532129908</v>
      </c>
      <c r="K5739" s="6" t="n">
        <f aca="false">Sens!K5738*Sens!K5737</f>
        <v>144.858163046108</v>
      </c>
    </row>
    <row r="5740" customFormat="false" ht="17.15" hidden="false" customHeight="false" outlineLevel="0" collapsed="false">
      <c r="A5740" s="1" t="s">
        <v>1047</v>
      </c>
      <c r="B5740" s="0" t="s">
        <v>98</v>
      </c>
      <c r="C5740" s="6" t="n">
        <f aca="false">SUM(Sens!F5739:K5739)</f>
        <v>471.443608862051</v>
      </c>
    </row>
    <row r="5741" customFormat="false" ht="17.15" hidden="false" customHeight="false" outlineLevel="0" collapsed="false">
      <c r="A5741" s="1" t="s">
        <v>1048</v>
      </c>
      <c r="B5741" s="0" t="s">
        <v>98</v>
      </c>
      <c r="C5741" s="6" t="n">
        <f aca="false">Sens!K5682*(1+g_tv)*(1-tax_f)</f>
        <v>255.869258138142</v>
      </c>
    </row>
    <row r="5742" customFormat="false" ht="17.15" hidden="false" customHeight="false" outlineLevel="0" collapsed="false">
      <c r="A5742" s="1" t="s">
        <v>1049</v>
      </c>
      <c r="B5742" s="0" t="s">
        <v>98</v>
      </c>
      <c r="C5742" s="6" t="n">
        <f aca="false">Sens!$C$5741*(1-g_tv/(wacc+ronic_prem))</f>
        <v>181.296751320517</v>
      </c>
    </row>
    <row r="5743" customFormat="false" ht="17.15" hidden="false" customHeight="false" outlineLevel="0" collapsed="false">
      <c r="A5743" s="1" t="s">
        <v>1050</v>
      </c>
      <c r="B5743" s="0" t="s">
        <v>98</v>
      </c>
      <c r="C5743" s="6" t="n">
        <f aca="false">Sens!$C$5742/(wacc-g_tv)</f>
        <v>2485.75022725416</v>
      </c>
    </row>
    <row r="5744" customFormat="false" ht="15" hidden="false" customHeight="false" outlineLevel="0" collapsed="false">
      <c r="A5744" s="1" t="s">
        <v>1051</v>
      </c>
      <c r="B5744" s="0" t="s">
        <v>98</v>
      </c>
      <c r="C5744" s="6" t="n">
        <f aca="false">Sens!$C$5743/(1+wacc)^(Sens!K5736+mid_yr)</f>
        <v>1380.89083145894</v>
      </c>
    </row>
    <row r="5745" customFormat="false" ht="17.15" hidden="false" customHeight="false" outlineLevel="0" collapsed="false">
      <c r="A5745" s="0" t="s">
        <v>972</v>
      </c>
      <c r="B5745" s="0" t="s">
        <v>98</v>
      </c>
      <c r="C5745" s="6" t="n">
        <f aca="false">Sens!$C$5740+Sens!$C$5744</f>
        <v>1852.33444032099</v>
      </c>
    </row>
    <row r="5746" customFormat="false" ht="15" hidden="false" customHeight="false" outlineLevel="0" collapsed="false">
      <c r="A5746" s="1" t="s">
        <v>973</v>
      </c>
      <c r="B5746" s="0" t="s">
        <v>129</v>
      </c>
      <c r="C5746" s="7" t="n">
        <f aca="false">Sens!$C$5744/Sens!$C$5745</f>
        <v>0.745486776793744</v>
      </c>
    </row>
    <row r="5747" customFormat="false" ht="17.15" hidden="false" customHeight="false" outlineLevel="0" collapsed="false">
      <c r="A5747" s="1" t="s">
        <v>1052</v>
      </c>
      <c r="B5747" s="0" t="s">
        <v>98</v>
      </c>
      <c r="C5747" s="6" t="n">
        <f aca="false">Sens!$C$5745+Sens!E5727-Sens!E5716+oai_v</f>
        <v>1986.84744032099</v>
      </c>
    </row>
    <row r="5748" customFormat="false" ht="17.15" hidden="false" customHeight="false" outlineLevel="0" collapsed="false">
      <c r="A5748" s="0" t="s">
        <v>980</v>
      </c>
      <c r="B5748" s="0" t="s">
        <v>75</v>
      </c>
      <c r="C5748" s="5" t="n">
        <f aca="false">Sens!$C$5747/sh_dil26</f>
        <v>266.583582493089</v>
      </c>
    </row>
    <row r="5749" customFormat="false" ht="15" hidden="false" customHeight="false" outlineLevel="0" collapsed="false">
      <c r="A5749" s="1" t="s">
        <v>1053</v>
      </c>
      <c r="B5749" s="0" t="s">
        <v>75</v>
      </c>
      <c r="C5749" s="8" t="n">
        <f aca="false">dps_27+Sens!G5719*roll_div_q/q_per_yr</f>
        <v>4.8895</v>
      </c>
    </row>
    <row r="5750" customFormat="false" ht="17.15" hidden="false" customHeight="false" outlineLevel="0" collapsed="false">
      <c r="A5750" s="0" t="s">
        <v>1054</v>
      </c>
      <c r="B5750" s="0" t="s">
        <v>75</v>
      </c>
      <c r="C5750" s="5" t="n">
        <f aca="false">Sens!$C$5748*(1+wacc)^t_roll-Sens!$C$5749</f>
        <v>298.67812648427</v>
      </c>
    </row>
    <row r="5751" customFormat="false" ht="17.15" hidden="false" customHeight="false" outlineLevel="0" collapsed="false">
      <c r="A5751" s="1" t="s">
        <v>1055</v>
      </c>
      <c r="B5751" s="0" t="s">
        <v>129</v>
      </c>
      <c r="F5751" s="7" t="n">
        <f aca="false">Sens!F5708/(Sens!F5653-Sens!F5609)</f>
        <v>0.068815095867378</v>
      </c>
      <c r="G5751" s="7" t="n">
        <f aca="false">Sens!G5708/(Sens!G5653-Sens!G5609)</f>
        <v>0.0665832330429281</v>
      </c>
      <c r="H5751" s="7" t="n">
        <f aca="false">Sens!H5708/(Sens!H5653-Sens!H5609)</f>
        <v>0.0654687527215079</v>
      </c>
      <c r="I5751" s="7" t="n">
        <f aca="false">Sens!I5708/(Sens!I5653-Sens!I5609)</f>
        <v>0.0653203191720517</v>
      </c>
      <c r="J5751" s="7" t="n">
        <f aca="false">Sens!J5708/(Sens!J5653-Sens!J5609)</f>
        <v>0.0659629121561906</v>
      </c>
      <c r="K5751" s="7" t="n">
        <f aca="false">Sens!K5708/(Sens!K5653-Sens!K5609)</f>
        <v>0.0672216601137808</v>
      </c>
    </row>
    <row r="5752" customFormat="false" ht="17.15" hidden="false" customHeight="false" outlineLevel="0" collapsed="false">
      <c r="A5752" s="0" t="s">
        <v>1056</v>
      </c>
      <c r="B5752" s="0" t="s">
        <v>98</v>
      </c>
      <c r="F5752" s="6" t="n">
        <f aca="false">Sens!F5638*(al_m365+Sens!F5751+sbc_r)</f>
        <v>82.37258386402</v>
      </c>
      <c r="G5752" s="6" t="n">
        <f aca="false">Sens!G5638*(al_m365+Sens!G5751+sbc_r)</f>
        <v>91.7226410259072</v>
      </c>
      <c r="H5752" s="6" t="n">
        <f aca="false">Sens!H5638*(al_m365+Sens!H5751+sbc_r)</f>
        <v>101.229822378176</v>
      </c>
      <c r="I5752" s="6" t="n">
        <f aca="false">Sens!I5638*(al_m365+Sens!I5751+sbc_r)</f>
        <v>110.471240766448</v>
      </c>
      <c r="J5752" s="6" t="n">
        <f aca="false">Sens!J5638*(al_m365+Sens!J5751+sbc_r)</f>
        <v>119.257646954522</v>
      </c>
      <c r="K5752" s="6" t="n">
        <f aca="false">Sens!K5638*(al_m365+Sens!K5751+sbc_r)</f>
        <v>127.641167369848</v>
      </c>
      <c r="L5752" s="11" t="s">
        <v>1057</v>
      </c>
    </row>
    <row r="5753" customFormat="false" ht="17.15" hidden="false" customHeight="false" outlineLevel="0" collapsed="false">
      <c r="A5753" s="0" t="s">
        <v>1058</v>
      </c>
      <c r="B5753" s="0" t="s">
        <v>98</v>
      </c>
      <c r="F5753" s="6" t="n">
        <f aca="false">Sens!F5639*(al_lic+Sens!F5751+sbc_r)</f>
        <v>33.4534272664307</v>
      </c>
      <c r="G5753" s="6" t="n">
        <f aca="false">Sens!G5639*(al_lic+Sens!G5751+sbc_r)</f>
        <v>34.7790926950613</v>
      </c>
      <c r="H5753" s="6" t="n">
        <f aca="false">Sens!H5639*(al_lic+Sens!H5751+sbc_r)</f>
        <v>36.0104527046831</v>
      </c>
      <c r="I5753" s="6" t="n">
        <f aca="false">Sens!I5639*(al_lic+Sens!I5751+sbc_r)</f>
        <v>37.1265129397863</v>
      </c>
      <c r="J5753" s="6" t="n">
        <f aca="false">Sens!J5639*(al_lic+Sens!J5751+sbc_r)</f>
        <v>38.1051287909289</v>
      </c>
      <c r="K5753" s="6" t="n">
        <f aca="false">Sens!K5639*(al_lic+Sens!K5751+sbc_r)</f>
        <v>38.9245634183</v>
      </c>
    </row>
    <row r="5754" customFormat="false" ht="17.15" hidden="false" customHeight="false" outlineLevel="0" collapsed="false">
      <c r="A5754" s="0" t="s">
        <v>1059</v>
      </c>
      <c r="B5754" s="0" t="s">
        <v>98</v>
      </c>
      <c r="F5754" s="6" t="n">
        <f aca="false">Sens!F5641*(al_ind+Sens!F5751+sbc_r)</f>
        <v>9.08145107272459</v>
      </c>
      <c r="G5754" s="6" t="n">
        <f aca="false">Sens!G5641*(al_ind+Sens!G5751+sbc_r)</f>
        <v>9.87260647485876</v>
      </c>
      <c r="H5754" s="6" t="n">
        <f aca="false">Sens!H5641*(al_ind+Sens!H5751+sbc_r)</f>
        <v>10.7052930065454</v>
      </c>
      <c r="I5754" s="6" t="n">
        <f aca="false">Sens!I5641*(al_ind+Sens!I5751+sbc_r)</f>
        <v>11.5741715543748</v>
      </c>
      <c r="J5754" s="6" t="n">
        <f aca="false">Sens!J5641*(al_ind+Sens!J5751+sbc_r)</f>
        <v>12.4711421290013</v>
      </c>
      <c r="K5754" s="6" t="n">
        <f aca="false">Sens!K5641*(al_ind+Sens!K5751+sbc_r)</f>
        <v>13.3857659949284</v>
      </c>
    </row>
    <row r="5755" customFormat="false" ht="17.15" hidden="false" customHeight="false" outlineLevel="0" collapsed="false">
      <c r="A5755" s="0" t="s">
        <v>1060</v>
      </c>
      <c r="B5755" s="0" t="s">
        <v>98</v>
      </c>
      <c r="F5755" s="6" t="n">
        <f aca="false">Sens!F5643*(al_fro+Sens!F5751+sbc_r)</f>
        <v>3.57449102539129</v>
      </c>
      <c r="G5755" s="6" t="n">
        <f aca="false">Sens!G5643*(al_fro+Sens!G5751+sbc_r)</f>
        <v>3.79049720132998</v>
      </c>
      <c r="H5755" s="6" t="n">
        <f aca="false">Sens!H5643*(al_fro+Sens!H5751+sbc_r)</f>
        <v>4.03412082085892</v>
      </c>
      <c r="I5755" s="6" t="n">
        <f aca="false">Sens!I5643*(al_fro+Sens!I5751+sbc_r)</f>
        <v>4.30743558948452</v>
      </c>
      <c r="J5755" s="6" t="n">
        <f aca="false">Sens!J5643*(al_fro+Sens!J5751+sbc_r)</f>
        <v>4.61230762440742</v>
      </c>
      <c r="K5755" s="6" t="n">
        <f aca="false">Sens!K5643*(al_fro+Sens!K5751+sbc_r)</f>
        <v>4.9505706789572</v>
      </c>
    </row>
    <row r="5756" customFormat="false" ht="17.15" hidden="false" customHeight="false" outlineLevel="0" collapsed="false">
      <c r="A5756" s="0" t="s">
        <v>1061</v>
      </c>
      <c r="B5756" s="0" t="s">
        <v>98</v>
      </c>
      <c r="F5756" s="6" t="n">
        <f aca="false">Sens!F5646*(al_srch+Sens!F5751+sbc_r)</f>
        <v>11.2157232840918</v>
      </c>
      <c r="G5756" s="6" t="n">
        <f aca="false">Sens!G5646*(al_srch+Sens!G5751+sbc_r)</f>
        <v>12.307855553957</v>
      </c>
      <c r="H5756" s="6" t="n">
        <f aca="false">Sens!H5646*(al_srch+Sens!H5751+sbc_r)</f>
        <v>13.4408838218814</v>
      </c>
      <c r="I5756" s="6" t="n">
        <f aca="false">Sens!I5646*(al_srch+Sens!I5751+sbc_r)</f>
        <v>14.6010817955186</v>
      </c>
      <c r="J5756" s="6" t="n">
        <f aca="false">Sens!J5646*(al_srch+Sens!J5751+sbc_r)</f>
        <v>15.7703398097195</v>
      </c>
      <c r="K5756" s="6" t="n">
        <f aca="false">Sens!K5646*(al_srch+Sens!K5751+sbc_r)</f>
        <v>16.9269242680272</v>
      </c>
    </row>
    <row r="5757" customFormat="false" ht="17.15" hidden="false" customHeight="false" outlineLevel="0" collapsed="false">
      <c r="A5757" s="0" t="s">
        <v>1062</v>
      </c>
      <c r="B5757" s="0" t="s">
        <v>98</v>
      </c>
      <c r="F5757" s="6" t="n">
        <f aca="false">Sens!F5615-Sens!F5616+Sens!F5696</f>
        <v>49.7448875175655</v>
      </c>
      <c r="G5757" s="6" t="n">
        <f aca="false">Sens!G5615-Sens!G5616+Sens!G5696</f>
        <v>80.4557775594629</v>
      </c>
      <c r="H5757" s="6" t="n">
        <f aca="false">Sens!H5615-Sens!H5616+Sens!H5696</f>
        <v>108.128046061116</v>
      </c>
      <c r="I5757" s="6" t="n">
        <f aca="false">Sens!I5615-Sens!I5616+Sens!I5696</f>
        <v>139.296541304942</v>
      </c>
      <c r="J5757" s="6" t="n">
        <f aca="false">Sens!J5615-Sens!J5616+Sens!J5696</f>
        <v>161.257504287494</v>
      </c>
      <c r="K5757" s="6" t="n">
        <f aca="false">Sens!K5615-Sens!K5616+Sens!K5696</f>
        <v>175.266687298204</v>
      </c>
    </row>
    <row r="5758" customFormat="false" ht="17.15" hidden="false" customHeight="false" outlineLevel="0" collapsed="false">
      <c r="A5758" s="0" t="s">
        <v>1063</v>
      </c>
      <c r="B5758" s="0" t="s">
        <v>98</v>
      </c>
      <c r="F5758" s="6" t="n">
        <f aca="false">Sens!F5675+Sens!F5696+Sens!F5626+Sens!F5751*(Sens!F5645-Sens!F5609)+sbc_r*Sens!F5645</f>
        <v>239.177877550592</v>
      </c>
      <c r="G5758" s="6" t="n">
        <f aca="false">Sens!G5675+Sens!G5696+Sens!G5626+Sens!G5751*(Sens!G5645-Sens!G5609)+sbc_r*Sens!G5645</f>
        <v>293.754371354849</v>
      </c>
      <c r="H5758" s="6" t="n">
        <f aca="false">Sens!H5675+Sens!H5696+Sens!H5626+Sens!H5751*(Sens!H5645-Sens!H5609)+sbc_r*Sens!H5645</f>
        <v>345.561673636604</v>
      </c>
      <c r="I5758" s="6" t="n">
        <f aca="false">Sens!I5675+Sens!I5696+Sens!I5626+Sens!I5751*(Sens!I5645-Sens!I5609)+sbc_r*Sens!I5645</f>
        <v>400.479520366744</v>
      </c>
      <c r="J5758" s="6" t="n">
        <f aca="false">Sens!J5675+Sens!J5696+Sens!J5626+Sens!J5751*(Sens!J5645-Sens!J5609)+sbc_r*Sens!J5645</f>
        <v>444.522644887874</v>
      </c>
      <c r="K5758" s="6" t="n">
        <f aca="false">Sens!K5675+Sens!K5696+Sens!K5626+Sens!K5751*(Sens!K5645-Sens!K5609)+sbc_r*Sens!K5645</f>
        <v>478.309308705186</v>
      </c>
    </row>
    <row r="5759" customFormat="false" ht="17.15" hidden="false" customHeight="false" outlineLevel="0" collapsed="false">
      <c r="A5759" s="0" t="s">
        <v>1064</v>
      </c>
      <c r="B5759" s="0" t="s">
        <v>98</v>
      </c>
      <c r="F5759" s="6" t="n">
        <f aca="false">Sens!F5758-Sens!F5752-Sens!F5753-Sens!F5754-Sens!F5755-Sens!F5757</f>
        <v>60.9510368044603</v>
      </c>
      <c r="G5759" s="6" t="n">
        <f aca="false">Sens!G5758-Sens!G5752-Sens!G5753-Sens!G5754-Sens!G5755-Sens!G5757</f>
        <v>73.1337563982292</v>
      </c>
      <c r="H5759" s="6" t="n">
        <f aca="false">Sens!H5758-Sens!H5752-Sens!H5753-Sens!H5754-Sens!H5755-Sens!H5757</f>
        <v>85.4539386652249</v>
      </c>
      <c r="I5759" s="6" t="n">
        <f aca="false">Sens!I5758-Sens!I5752-Sens!I5753-Sens!I5754-Sens!I5755-Sens!I5757</f>
        <v>97.7036182117085</v>
      </c>
      <c r="J5759" s="6" t="n">
        <f aca="false">Sens!J5758-Sens!J5752-Sens!J5753-Sens!J5754-Sens!J5755-Sens!J5757</f>
        <v>108.818915101521</v>
      </c>
      <c r="K5759" s="6" t="n">
        <f aca="false">Sens!K5758-Sens!K5752-Sens!K5753-Sens!K5754-Sens!K5755-Sens!K5757</f>
        <v>118.140553944949</v>
      </c>
    </row>
    <row r="5760" customFormat="false" ht="17.15" hidden="false" customHeight="false" outlineLevel="0" collapsed="false">
      <c r="A5760" s="0" t="s">
        <v>1065</v>
      </c>
      <c r="B5760" s="0" t="s">
        <v>98</v>
      </c>
      <c r="F5760" s="6" t="n">
        <f aca="false">Sens!F5677+Sens!F5751*Sens!F5652+sbc_r*Sens!F5652</f>
        <v>26.2133363126174</v>
      </c>
      <c r="G5760" s="6" t="n">
        <f aca="false">Sens!G5677+Sens!G5751*Sens!G5652+sbc_r*Sens!G5652</f>
        <v>26.8618077907747</v>
      </c>
      <c r="H5760" s="6" t="n">
        <f aca="false">Sens!H5677+Sens!H5751*Sens!H5652+sbc_r*Sens!H5652</f>
        <v>27.7652693358462</v>
      </c>
      <c r="I5760" s="6" t="n">
        <f aca="false">Sens!I5677+Sens!I5751*Sens!I5652+sbc_r*Sens!I5652</f>
        <v>28.8904470152238</v>
      </c>
      <c r="J5760" s="6" t="n">
        <f aca="false">Sens!J5677+Sens!J5751*Sens!J5652+sbc_r*Sens!J5652</f>
        <v>30.2080015083747</v>
      </c>
      <c r="K5760" s="6" t="n">
        <f aca="false">Sens!K5677+Sens!K5751*Sens!K5652+sbc_r*Sens!K5652</f>
        <v>31.6927962771173</v>
      </c>
    </row>
    <row r="5761" customFormat="false" ht="17.15" hidden="false" customHeight="false" outlineLevel="0" collapsed="false">
      <c r="A5761" s="0" t="s">
        <v>1066</v>
      </c>
      <c r="B5761" s="0" t="s">
        <v>98</v>
      </c>
      <c r="F5761" s="6" t="n">
        <f aca="false">(Sens!F5760-Sens!F5756)*Sens!F5648/(Sens!F5648+Sens!F5650)</f>
        <v>8.22154538760346</v>
      </c>
      <c r="G5761" s="6" t="n">
        <f aca="false">(Sens!G5760-Sens!G5756)*Sens!G5648/(Sens!G5648+Sens!G5650)</f>
        <v>7.83608165360429</v>
      </c>
      <c r="H5761" s="6" t="n">
        <f aca="false">(Sens!H5760-Sens!H5756)*Sens!H5648/(Sens!H5648+Sens!H5650)</f>
        <v>7.6082965371053</v>
      </c>
      <c r="I5761" s="6" t="n">
        <f aca="false">(Sens!I5760-Sens!I5756)*Sens!I5648/(Sens!I5648+Sens!I5650)</f>
        <v>7.52102409049128</v>
      </c>
      <c r="J5761" s="6" t="n">
        <f aca="false">(Sens!J5760-Sens!J5756)*Sens!J5648/(Sens!J5648+Sens!J5650)</f>
        <v>7.5647152894394</v>
      </c>
      <c r="K5761" s="6" t="n">
        <f aca="false">(Sens!K5760-Sens!K5756)*Sens!K5648/(Sens!K5648+Sens!K5650)</f>
        <v>7.73668341040801</v>
      </c>
    </row>
    <row r="5762" customFormat="false" ht="17.15" hidden="false" customHeight="false" outlineLevel="0" collapsed="false">
      <c r="A5762" s="0" t="s">
        <v>1067</v>
      </c>
      <c r="B5762" s="0" t="s">
        <v>98</v>
      </c>
      <c r="F5762" s="6" t="n">
        <f aca="false">Sens!F5760-Sens!F5756-Sens!F5761</f>
        <v>6.77606764092215</v>
      </c>
      <c r="G5762" s="6" t="n">
        <f aca="false">Sens!G5760-Sens!G5756-Sens!G5761</f>
        <v>6.71787058321343</v>
      </c>
      <c r="H5762" s="6" t="n">
        <f aca="false">Sens!H5760-Sens!H5756-Sens!H5761</f>
        <v>6.71608897685951</v>
      </c>
      <c r="I5762" s="6" t="n">
        <f aca="false">Sens!I5760-Sens!I5756-Sens!I5761</f>
        <v>6.76834112921396</v>
      </c>
      <c r="J5762" s="6" t="n">
        <f aca="false">Sens!J5760-Sens!J5756-Sens!J5761</f>
        <v>6.87294640921582</v>
      </c>
      <c r="K5762" s="6" t="n">
        <f aca="false">Sens!K5760-Sens!K5756-Sens!K5761</f>
        <v>7.02918859868207</v>
      </c>
    </row>
    <row r="5763" customFormat="false" ht="17.15" hidden="false" customHeight="false" outlineLevel="0" collapsed="false">
      <c r="A5763" s="0" t="s">
        <v>1068</v>
      </c>
      <c r="B5763" s="0" t="s">
        <v>98</v>
      </c>
      <c r="F5763" s="6" t="n">
        <f aca="false">Sens!F5757-tax_f*(Sens!F5757-Sens!F5626)-Sens!F5623</f>
        <v>-122.097885665211</v>
      </c>
      <c r="G5763" s="6" t="n">
        <f aca="false">Sens!G5757-tax_f*(Sens!G5757-Sens!G5626)-Sens!G5623</f>
        <v>-107.100711783562</v>
      </c>
      <c r="H5763" s="6" t="n">
        <f aca="false">Sens!H5757-tax_f*(Sens!H5757-Sens!H5626)-Sens!H5623</f>
        <v>-84.0218858628793</v>
      </c>
      <c r="I5763" s="6" t="n">
        <f aca="false">Sens!I5757-tax_f*(Sens!I5757-Sens!I5626)-Sens!I5623</f>
        <v>-29.8645281138477</v>
      </c>
      <c r="J5763" s="6" t="n">
        <f aca="false">Sens!J5757-tax_f*(Sens!J5757-Sens!J5626)-Sens!J5623</f>
        <v>30.3377688964377</v>
      </c>
      <c r="K5763" s="6" t="n">
        <f aca="false">Sens!K5757-tax_f*(Sens!K5757-Sens!K5626)-Sens!K5623</f>
        <v>53.1909435575219</v>
      </c>
    </row>
    <row r="5764" customFormat="false" ht="17.15" hidden="false" customHeight="false" outlineLevel="0" collapsed="false">
      <c r="A5764" s="0" t="s">
        <v>1069</v>
      </c>
      <c r="B5764" s="0" t="s">
        <v>98</v>
      </c>
      <c r="F5764" s="6" t="n">
        <f aca="false">Sens!F5763*Sens!F5737</f>
        <v>-116.260797661991</v>
      </c>
      <c r="G5764" s="6" t="n">
        <f aca="false">Sens!G5763*Sens!G5737</f>
        <v>-92.4629662572744</v>
      </c>
      <c r="H5764" s="6" t="n">
        <f aca="false">Sens!H5763*Sens!H5737</f>
        <v>-65.76853973694</v>
      </c>
      <c r="I5764" s="6" t="n">
        <f aca="false">Sens!I5763*Sens!I5737</f>
        <v>-21.194918010631</v>
      </c>
      <c r="J5764" s="6" t="n">
        <f aca="false">Sens!J5763*Sens!J5737</f>
        <v>19.521358288155</v>
      </c>
      <c r="K5764" s="6" t="n">
        <f aca="false">Sens!K5763*Sens!K5737</f>
        <v>31.0323309196558</v>
      </c>
    </row>
    <row r="5765" customFormat="false" ht="17.15" hidden="false" customHeight="false" outlineLevel="0" collapsed="false">
      <c r="A5765" s="0" t="s">
        <v>1070</v>
      </c>
      <c r="B5765" s="0" t="s">
        <v>98</v>
      </c>
      <c r="C5765" s="6" t="n">
        <f aca="false">(Sens!K5757-Sens!K5626)*(1-tax_f)*(1+g_tv)*(1-g_tv/(wacc+ronic_prem))/(wacc-g_tv)/(1+wacc)^(Sens!K5736+mid_yr)</f>
        <v>158.231590919027</v>
      </c>
    </row>
    <row r="5766" customFormat="false" ht="17.15" hidden="false" customHeight="false" outlineLevel="0" collapsed="false">
      <c r="A5766" s="1" t="s">
        <v>1071</v>
      </c>
      <c r="B5766" s="0" t="s">
        <v>98</v>
      </c>
      <c r="C5766" s="6" t="n">
        <f aca="false">(SUM(Sens!F5764:K5764)+Sens!$C$5765)*(1+wacc)^t_roll</f>
        <v>-98.9581424462105</v>
      </c>
      <c r="L5766" s="11" t="s">
        <v>1072</v>
      </c>
    </row>
    <row r="5767" customFormat="false" ht="17.15" hidden="false" customHeight="false" outlineLevel="0" collapsed="false">
      <c r="A5767" s="1" t="s">
        <v>1073</v>
      </c>
      <c r="B5767" s="0" t="s">
        <v>98</v>
      </c>
      <c r="C5767" s="6" t="n">
        <f aca="false">(w_ntm28*Sens!G5615+(1-w_ntm28)*Sens!H5615)*m_ai</f>
        <v>338.776008390068</v>
      </c>
    </row>
    <row r="5768" customFormat="false" ht="17.15" hidden="false" customHeight="false" outlineLevel="0" collapsed="false">
      <c r="A5768" s="1" t="s">
        <v>1074</v>
      </c>
      <c r="B5768" s="0" t="s">
        <v>98</v>
      </c>
      <c r="C5768" s="6" t="n">
        <f aca="false">(w_ntm28*Sens!G5759+(1-w_ntm28)*Sens!H5759)*m_cloud</f>
        <v>1065.75306255702</v>
      </c>
    </row>
    <row r="5769" customFormat="false" ht="17.15" hidden="false" customHeight="false" outlineLevel="0" collapsed="false">
      <c r="A5769" s="1" t="s">
        <v>1075</v>
      </c>
      <c r="B5769" s="0" t="s">
        <v>98</v>
      </c>
      <c r="C5769" s="6" t="n">
        <f aca="false">(w_ntm28*Sens!G5752+(1-w_ntm28)*Sens!H5752)*m_sw</f>
        <v>1023.79891188892</v>
      </c>
    </row>
    <row r="5770" customFormat="false" ht="17.15" hidden="false" customHeight="false" outlineLevel="0" collapsed="false">
      <c r="A5770" s="1" t="s">
        <v>1076</v>
      </c>
      <c r="B5770" s="0" t="s">
        <v>98</v>
      </c>
      <c r="C5770" s="6" t="n">
        <f aca="false">(w_ntm28*Sens!G5753+(1-w_ntm28)*Sens!H5753)*m_sw</f>
        <v>379.913503014229</v>
      </c>
    </row>
    <row r="5771" customFormat="false" ht="17.15" hidden="false" customHeight="false" outlineLevel="0" collapsed="false">
      <c r="A5771" s="1" t="s">
        <v>1077</v>
      </c>
      <c r="B5771" s="0" t="s">
        <v>98</v>
      </c>
      <c r="C5771" s="6" t="n">
        <f aca="false">(w_ntm28*Sens!G5754+(1-w_ntm28)*Sens!H5754)*m_sw</f>
        <v>109.531480657191</v>
      </c>
    </row>
    <row r="5772" customFormat="false" ht="17.15" hidden="false" customHeight="false" outlineLevel="0" collapsed="false">
      <c r="A5772" s="1" t="s">
        <v>1078</v>
      </c>
      <c r="B5772" s="0" t="s">
        <v>98</v>
      </c>
      <c r="C5772" s="6" t="n">
        <f aca="false">(w_ntm28*Sens!G5755+(1-w_ntm28)*Sens!H5755)*m_sw</f>
        <v>41.787983310604</v>
      </c>
    </row>
    <row r="5773" customFormat="false" ht="17.15" hidden="false" customHeight="false" outlineLevel="0" collapsed="false">
      <c r="A5773" s="1" t="s">
        <v>1079</v>
      </c>
      <c r="B5773" s="0" t="s">
        <v>98</v>
      </c>
      <c r="C5773" s="6" t="n">
        <f aca="false">(w_ntm28*Sens!G5756+(1-w_ntm28)*Sens!H5756)*m_ads</f>
        <v>115.461503075872</v>
      </c>
    </row>
    <row r="5774" customFormat="false" ht="17.15" hidden="false" customHeight="false" outlineLevel="0" collapsed="false">
      <c r="A5774" s="1" t="s">
        <v>1080</v>
      </c>
      <c r="B5774" s="0" t="s">
        <v>98</v>
      </c>
      <c r="C5774" s="6" t="n">
        <f aca="false">(w_ntm28*Sens!G5761+(1-w_ntm28)*Sens!H5761)*m_game</f>
        <v>98.0396365712603</v>
      </c>
    </row>
    <row r="5775" customFormat="false" ht="17.15" hidden="false" customHeight="false" outlineLevel="0" collapsed="false">
      <c r="A5775" s="1" t="s">
        <v>1081</v>
      </c>
      <c r="B5775" s="0" t="s">
        <v>98</v>
      </c>
      <c r="C5775" s="6" t="n">
        <f aca="false">(w_ntm28*Sens!G5762+(1-w_ntm28)*Sens!H5762)*m_pc</f>
        <v>97.1992530333858</v>
      </c>
    </row>
    <row r="5776" customFormat="false" ht="17.15" hidden="false" customHeight="false" outlineLevel="0" collapsed="false">
      <c r="A5776" s="1" t="s">
        <v>1082</v>
      </c>
      <c r="B5776" s="0" t="s">
        <v>98</v>
      </c>
      <c r="C5776" s="6" t="n">
        <f aca="false">Sens!$C$5766+Sens!$C$5768+Sens!$C$5769+Sens!$C$5770+Sens!$C$5771+Sens!$C$5772+Sens!$C$5773+Sens!$C$5774+Sens!$C$5775</f>
        <v>2832.52719166228</v>
      </c>
    </row>
    <row r="5777" customFormat="false" ht="17.15" hidden="false" customHeight="false" outlineLevel="0" collapsed="false">
      <c r="A5777" s="1" t="s">
        <v>1000</v>
      </c>
      <c r="B5777" s="0" t="s">
        <v>98</v>
      </c>
      <c r="C5777" s="6" t="n">
        <f aca="false">Sens!F5727+oai_v-Sens!F5716</f>
        <v>106.4371736406</v>
      </c>
      <c r="L5777" s="1" t="s">
        <v>1083</v>
      </c>
    </row>
    <row r="5778" customFormat="false" ht="15" hidden="false" customHeight="false" outlineLevel="0" collapsed="false">
      <c r="A5778" s="1" t="s">
        <v>1001</v>
      </c>
      <c r="B5778" s="0" t="s">
        <v>75</v>
      </c>
      <c r="C5778" s="5" t="n">
        <f aca="false">(Sens!$C$5776+Sens!$C$5777)/Sens!F5729</f>
        <v>393.330348675439</v>
      </c>
    </row>
    <row r="5779" customFormat="false" ht="17.15" hidden="false" customHeight="false" outlineLevel="0" collapsed="false">
      <c r="A5779" s="1" t="s">
        <v>1084</v>
      </c>
      <c r="B5779" s="0" t="s">
        <v>75</v>
      </c>
      <c r="C5779" s="5" t="n">
        <f aca="false">w_dcf*Sens!$C$5750+(1-w_dcf)*Sens!$C$5778</f>
        <v>346.004237579855</v>
      </c>
    </row>
    <row r="5780" customFormat="false" ht="17.15" hidden="false" customHeight="false" outlineLevel="0" collapsed="false">
      <c r="A5780" s="3" t="s">
        <v>1384</v>
      </c>
    </row>
    <row r="5781" customFormat="false" ht="15" hidden="false" customHeight="false" outlineLevel="0" collapsed="false">
      <c r="A5781" s="4" t="s">
        <v>43</v>
      </c>
      <c r="B5781" s="4" t="s">
        <v>65</v>
      </c>
      <c r="C5781" s="20" t="s">
        <v>788</v>
      </c>
      <c r="D5781" s="20" t="s">
        <v>789</v>
      </c>
      <c r="E5781" s="20" t="s">
        <v>790</v>
      </c>
      <c r="F5781" s="20" t="s">
        <v>791</v>
      </c>
      <c r="G5781" s="20" t="s">
        <v>792</v>
      </c>
      <c r="H5781" s="20" t="s">
        <v>793</v>
      </c>
      <c r="I5781" s="20" t="s">
        <v>794</v>
      </c>
      <c r="J5781" s="20" t="s">
        <v>795</v>
      </c>
      <c r="K5781" s="20" t="s">
        <v>796</v>
      </c>
      <c r="L5781" s="4" t="s">
        <v>47</v>
      </c>
    </row>
    <row r="5782" customFormat="false" ht="17.15" hidden="false" customHeight="false" outlineLevel="0" collapsed="false">
      <c r="A5782" s="1" t="s">
        <v>797</v>
      </c>
      <c r="B5782" s="1" t="s">
        <v>235</v>
      </c>
      <c r="C5782" s="28" t="n">
        <v>2024</v>
      </c>
      <c r="D5782" s="28" t="n">
        <v>2025</v>
      </c>
      <c r="E5782" s="28" t="n">
        <v>2026</v>
      </c>
      <c r="F5782" s="28" t="n">
        <v>2027</v>
      </c>
      <c r="G5782" s="28" t="n">
        <v>2028</v>
      </c>
      <c r="H5782" s="28" t="n">
        <v>2029</v>
      </c>
      <c r="I5782" s="28" t="n">
        <v>2030</v>
      </c>
      <c r="J5782" s="28" t="n">
        <v>2031</v>
      </c>
      <c r="K5782" s="28" t="n">
        <v>2032</v>
      </c>
    </row>
    <row r="5783" customFormat="false" ht="17.15" hidden="false" customHeight="false" outlineLevel="0" collapsed="false">
      <c r="A5783" s="1" t="s">
        <v>798</v>
      </c>
      <c r="B5783" s="0" t="s">
        <v>392</v>
      </c>
      <c r="F5783" s="29" t="n">
        <f aca="false">pace</f>
        <v>2527.2</v>
      </c>
      <c r="G5783" s="29" t="n">
        <f aca="false">pace</f>
        <v>2527.2</v>
      </c>
      <c r="H5783" s="29" t="n">
        <f aca="false">pace</f>
        <v>2527.2</v>
      </c>
      <c r="I5783" s="29" t="n">
        <f aca="false">pace+(g_tv*Sens!H5784-pace)*MIN(1,(Sens!I5782-pace_y0)/(pace_y1-pace_y0))</f>
        <v>1793.116</v>
      </c>
      <c r="J5783" s="29" t="n">
        <f aca="false">pace+(g_tv*Sens!H5784-pace)*MIN(1,(Sens!J5782-pace_y0)/(pace_y1-pace_y0))</f>
        <v>1059.032</v>
      </c>
      <c r="K5783" s="29" t="n">
        <f aca="false">pace+(g_tv*Sens!H5784-pace)*MIN(1,(Sens!K5782-pace_y0)/(pace_y1-pace_y0))</f>
        <v>324.948</v>
      </c>
      <c r="L5783" s="11" t="s">
        <v>799</v>
      </c>
    </row>
    <row r="5784" customFormat="false" ht="17.15" hidden="false" customHeight="false" outlineLevel="0" collapsed="false">
      <c r="A5784" s="1" t="s">
        <v>800</v>
      </c>
      <c r="B5784" s="0" t="s">
        <v>392</v>
      </c>
      <c r="C5784" s="29" t="n">
        <f aca="false">mw_ext_24</f>
        <v>640</v>
      </c>
      <c r="D5784" s="29" t="n">
        <f aca="false">mw_ext_25</f>
        <v>1630</v>
      </c>
      <c r="E5784" s="29" t="n">
        <f aca="false">mw_ext_26</f>
        <v>3250</v>
      </c>
      <c r="F5784" s="29" t="n">
        <f aca="false">Sens!E5784+Sens!F5783</f>
        <v>5777.2</v>
      </c>
      <c r="G5784" s="29" t="n">
        <f aca="false">Sens!F5784+Sens!G5783</f>
        <v>8304.4</v>
      </c>
      <c r="H5784" s="29" t="n">
        <f aca="false">Sens!G5784+Sens!H5783</f>
        <v>10831.6</v>
      </c>
      <c r="I5784" s="29" t="n">
        <f aca="false">Sens!H5784+Sens!I5783</f>
        <v>12624.716</v>
      </c>
      <c r="J5784" s="29" t="n">
        <f aca="false">Sens!I5784+Sens!J5783</f>
        <v>13683.748</v>
      </c>
      <c r="K5784" s="29" t="n">
        <f aca="false">Sens!J5784+Sens!K5783</f>
        <v>14008.696</v>
      </c>
      <c r="L5784" s="1" t="s">
        <v>801</v>
      </c>
    </row>
    <row r="5785" customFormat="false" ht="17.15" hidden="false" customHeight="false" outlineLevel="0" collapsed="false">
      <c r="A5785" s="1" t="s">
        <v>802</v>
      </c>
      <c r="B5785" s="0" t="s">
        <v>392</v>
      </c>
      <c r="C5785" s="29" t="n">
        <f aca="false">rent_ext_24</f>
        <v>150</v>
      </c>
      <c r="D5785" s="29" t="n">
        <f aca="false">rent_ext_25</f>
        <v>400</v>
      </c>
      <c r="E5785" s="29" t="n">
        <f aca="false">rent_ext_26</f>
        <v>550</v>
      </c>
      <c r="F5785" s="29" t="n">
        <f aca="false">rent_ext_f</f>
        <v>756</v>
      </c>
      <c r="G5785" s="29" t="n">
        <f aca="false">rent_ext_f</f>
        <v>756</v>
      </c>
      <c r="H5785" s="29" t="n">
        <f aca="false">rent_ext_f</f>
        <v>756</v>
      </c>
      <c r="I5785" s="29" t="n">
        <f aca="false">rent_ext_f</f>
        <v>756</v>
      </c>
      <c r="J5785" s="29" t="n">
        <f aca="false">rent_ext_f</f>
        <v>756</v>
      </c>
      <c r="K5785" s="29" t="n">
        <f aca="false">rent_ext_f</f>
        <v>756</v>
      </c>
      <c r="L5785" s="1" t="s">
        <v>803</v>
      </c>
    </row>
    <row r="5786" customFormat="false" ht="17.15" hidden="false" customHeight="false" outlineLevel="0" collapsed="false">
      <c r="A5786" s="1" t="s">
        <v>804</v>
      </c>
      <c r="B5786" s="0" t="s">
        <v>392</v>
      </c>
      <c r="C5786" s="29" t="n">
        <f aca="false">Sens!C5784-Sens!C5785</f>
        <v>490</v>
      </c>
      <c r="D5786" s="29" t="n">
        <f aca="false">Sens!D5784-Sens!D5785</f>
        <v>1230</v>
      </c>
      <c r="E5786" s="29" t="n">
        <f aca="false">Sens!E5784-Sens!E5785</f>
        <v>2700</v>
      </c>
      <c r="F5786" s="29" t="n">
        <f aca="false">Sens!F5784-Sens!F5785</f>
        <v>5021.2</v>
      </c>
      <c r="G5786" s="29" t="n">
        <f aca="false">Sens!G5784-Sens!G5785</f>
        <v>7548.4</v>
      </c>
      <c r="H5786" s="29" t="n">
        <f aca="false">Sens!H5784-Sens!H5785</f>
        <v>10075.6</v>
      </c>
      <c r="I5786" s="29" t="n">
        <f aca="false">Sens!I5784-Sens!I5785</f>
        <v>11868.716</v>
      </c>
      <c r="J5786" s="29" t="n">
        <f aca="false">Sens!J5784-Sens!J5785</f>
        <v>12927.748</v>
      </c>
      <c r="K5786" s="29" t="n">
        <f aca="false">Sens!K5784-Sens!K5785</f>
        <v>13252.696</v>
      </c>
    </row>
    <row r="5787" customFormat="false" ht="17.15" hidden="false" customHeight="false" outlineLevel="0" collapsed="false">
      <c r="A5787" s="1" t="s">
        <v>805</v>
      </c>
      <c r="B5787" s="0" t="s">
        <v>392</v>
      </c>
      <c r="C5787" s="29" t="n">
        <f aca="false">Sens!C5786/ext_sh</f>
        <v>816.666666666667</v>
      </c>
      <c r="D5787" s="29" t="n">
        <f aca="false">Sens!D5786/ext_sh</f>
        <v>2050</v>
      </c>
      <c r="E5787" s="29" t="n">
        <f aca="false">Sens!E5786/ext_sh</f>
        <v>4500</v>
      </c>
      <c r="F5787" s="29" t="n">
        <f aca="false">Sens!F5786/ext_sh</f>
        <v>8368.66666666667</v>
      </c>
      <c r="G5787" s="29" t="n">
        <f aca="false">Sens!G5786/ext_sh</f>
        <v>12580.6666666667</v>
      </c>
      <c r="H5787" s="29" t="n">
        <f aca="false">Sens!H5786/ext_sh</f>
        <v>16792.6666666667</v>
      </c>
      <c r="I5787" s="29" t="n">
        <f aca="false">Sens!I5786/ext_sh</f>
        <v>19781.1933333333</v>
      </c>
      <c r="J5787" s="29" t="n">
        <f aca="false">Sens!J5786/ext_sh</f>
        <v>21546.2466666667</v>
      </c>
      <c r="K5787" s="29" t="n">
        <f aca="false">Sens!K5786/ext_sh</f>
        <v>22087.8266666667</v>
      </c>
      <c r="L5787" s="1" t="s">
        <v>806</v>
      </c>
    </row>
    <row r="5788" customFormat="false" ht="17.15" hidden="false" customHeight="false" outlineLevel="0" collapsed="false">
      <c r="A5788" s="1" t="s">
        <v>807</v>
      </c>
      <c r="B5788" s="0" t="s">
        <v>392</v>
      </c>
      <c r="C5788" s="29" t="n">
        <f aca="false">Sens!C5787-Sens!C5786</f>
        <v>326.666666666667</v>
      </c>
      <c r="D5788" s="29" t="n">
        <f aca="false">Sens!D5787-Sens!D5786</f>
        <v>820</v>
      </c>
      <c r="E5788" s="29" t="n">
        <f aca="false">Sens!E5787-Sens!E5786</f>
        <v>1800</v>
      </c>
      <c r="F5788" s="29" t="n">
        <f aca="false">Sens!F5787-Sens!F5786</f>
        <v>3347.46666666667</v>
      </c>
      <c r="G5788" s="29" t="n">
        <f aca="false">Sens!G5787-Sens!G5786</f>
        <v>5032.26666666667</v>
      </c>
      <c r="H5788" s="29" t="n">
        <f aca="false">Sens!H5787-Sens!H5786</f>
        <v>6717.06666666667</v>
      </c>
      <c r="I5788" s="29" t="n">
        <f aca="false">Sens!I5787-Sens!I5786</f>
        <v>7912.47733333333</v>
      </c>
      <c r="J5788" s="29" t="n">
        <f aca="false">Sens!J5787-Sens!J5786</f>
        <v>8618.49866666667</v>
      </c>
      <c r="K5788" s="29" t="n">
        <f aca="false">Sens!K5787-Sens!K5786</f>
        <v>8835.13066666667</v>
      </c>
    </row>
    <row r="5789" customFormat="false" ht="17.15" hidden="false" customHeight="false" outlineLevel="0" collapsed="false">
      <c r="A5789" s="1" t="s">
        <v>808</v>
      </c>
      <c r="B5789" s="0" t="s">
        <v>392</v>
      </c>
      <c r="C5789" s="29" t="n">
        <f aca="false">Sens!C5787</f>
        <v>816.666666666667</v>
      </c>
      <c r="D5789" s="29" t="n">
        <f aca="false">Sens!D5787-Sens!C5787</f>
        <v>1233.33333333333</v>
      </c>
      <c r="E5789" s="29" t="n">
        <f aca="false">Sens!E5787-Sens!D5787</f>
        <v>2450</v>
      </c>
      <c r="F5789" s="29" t="n">
        <f aca="false">Sens!F5787-Sens!E5787</f>
        <v>3868.66666666667</v>
      </c>
      <c r="G5789" s="29" t="n">
        <f aca="false">Sens!G5787-Sens!F5787</f>
        <v>4212</v>
      </c>
      <c r="H5789" s="29" t="n">
        <f aca="false">Sens!H5787-Sens!G5787</f>
        <v>4212</v>
      </c>
      <c r="I5789" s="29" t="n">
        <f aca="false">Sens!I5787-Sens!H5787</f>
        <v>2988.52666666667</v>
      </c>
      <c r="J5789" s="29" t="n">
        <f aca="false">Sens!J5787-Sens!I5787</f>
        <v>1765.05333333333</v>
      </c>
      <c r="K5789" s="29" t="n">
        <f aca="false">Sens!K5787-Sens!J5787</f>
        <v>541.580000000002</v>
      </c>
    </row>
    <row r="5790" customFormat="false" ht="17.15" hidden="false" customHeight="false" outlineLevel="0" collapsed="false">
      <c r="A5790" s="1" t="s">
        <v>809</v>
      </c>
      <c r="B5790" s="0" t="s">
        <v>392</v>
      </c>
      <c r="D5790" s="29" t="n">
        <f aca="false">Sens!D5784-Sens!C5784</f>
        <v>990</v>
      </c>
      <c r="E5790" s="29" t="n">
        <f aca="false">Sens!E5784-Sens!D5784</f>
        <v>1620</v>
      </c>
      <c r="F5790" s="29" t="n">
        <f aca="false">Sens!F5784-Sens!E5784</f>
        <v>2527.2</v>
      </c>
      <c r="G5790" s="29" t="n">
        <f aca="false">Sens!G5784-Sens!F5784</f>
        <v>2527.2</v>
      </c>
      <c r="H5790" s="29" t="n">
        <f aca="false">Sens!H5784-Sens!G5784</f>
        <v>2527.2</v>
      </c>
      <c r="I5790" s="29" t="n">
        <f aca="false">Sens!I5784-Sens!H5784</f>
        <v>1793.116</v>
      </c>
      <c r="J5790" s="29" t="n">
        <f aca="false">Sens!J5784-Sens!I5784</f>
        <v>1059.032</v>
      </c>
      <c r="K5790" s="29" t="n">
        <f aca="false">Sens!K5784-Sens!J5784</f>
        <v>324.948</v>
      </c>
    </row>
    <row r="5791" customFormat="false" ht="17.15" hidden="false" customHeight="false" outlineLevel="0" collapsed="false">
      <c r="A5791" s="1" t="s">
        <v>810</v>
      </c>
      <c r="B5791" s="0" t="s">
        <v>392</v>
      </c>
      <c r="F5791" s="29" t="n">
        <f aca="false">Sens!F5808*ext_sh</f>
        <v>0</v>
      </c>
      <c r="G5791" s="29" t="n">
        <f aca="false">Sens!G5808*ext_sh</f>
        <v>0</v>
      </c>
      <c r="H5791" s="29" t="n">
        <f aca="false">Sens!H5808*ext_sh</f>
        <v>0</v>
      </c>
      <c r="I5791" s="29" t="n">
        <f aca="false">Sens!I5808*ext_sh</f>
        <v>490</v>
      </c>
      <c r="J5791" s="29" t="n">
        <f aca="false">Sens!J5808*ext_sh</f>
        <v>740</v>
      </c>
      <c r="K5791" s="29" t="n">
        <f aca="false">Sens!K5808*ext_sh</f>
        <v>1470</v>
      </c>
      <c r="L5791" s="1" t="s">
        <v>811</v>
      </c>
    </row>
    <row r="5792" customFormat="false" ht="17.15" hidden="false" customHeight="false" outlineLevel="0" collapsed="false">
      <c r="A5792" s="1" t="s">
        <v>812</v>
      </c>
      <c r="B5792" s="0" t="s">
        <v>392</v>
      </c>
      <c r="C5792" s="29" t="n">
        <f aca="false">mix_h*Sens!C5784</f>
        <v>128</v>
      </c>
      <c r="D5792" s="29" t="n">
        <f aca="false">mix_h*Sens!D5784</f>
        <v>326</v>
      </c>
      <c r="E5792" s="29" t="n">
        <f aca="false">mix_h*Sens!E5784</f>
        <v>650</v>
      </c>
      <c r="F5792" s="29" t="n">
        <f aca="false">Sens!E5792-Sens!F5791*mix_h</f>
        <v>650</v>
      </c>
      <c r="G5792" s="29" t="n">
        <f aca="false">Sens!F5792-Sens!G5791*mix_h</f>
        <v>650</v>
      </c>
      <c r="H5792" s="29" t="n">
        <f aca="false">Sens!G5792-Sens!H5791*mix_h</f>
        <v>650</v>
      </c>
      <c r="I5792" s="29" t="n">
        <f aca="false">Sens!H5792-Sens!I5791*mix_h</f>
        <v>552</v>
      </c>
      <c r="J5792" s="29" t="n">
        <f aca="false">Sens!I5792-Sens!J5791*mix_h</f>
        <v>404</v>
      </c>
      <c r="K5792" s="29" t="n">
        <f aca="false">Sens!J5792-Sens!K5791*mix_h</f>
        <v>110</v>
      </c>
    </row>
    <row r="5793" customFormat="false" ht="17.15" hidden="false" customHeight="false" outlineLevel="0" collapsed="false">
      <c r="A5793" s="1" t="s">
        <v>813</v>
      </c>
      <c r="B5793" s="0" t="s">
        <v>392</v>
      </c>
      <c r="C5793" s="29" t="n">
        <f aca="false">mix_g2*Sens!C5784</f>
        <v>288</v>
      </c>
      <c r="D5793" s="29" t="n">
        <f aca="false">mix_g2*Sens!D5784</f>
        <v>733.5</v>
      </c>
      <c r="E5793" s="29" t="n">
        <f aca="false">mix_g2*Sens!E5784</f>
        <v>1462.5</v>
      </c>
      <c r="F5793" s="29" t="n">
        <f aca="false">Sens!E5793-Sens!F5791*mix_g2</f>
        <v>1462.5</v>
      </c>
      <c r="G5793" s="29" t="n">
        <f aca="false">Sens!F5793-Sens!G5791*mix_g2</f>
        <v>1462.5</v>
      </c>
      <c r="H5793" s="29" t="n">
        <f aca="false">Sens!G5793-Sens!H5791*mix_g2</f>
        <v>1462.5</v>
      </c>
      <c r="I5793" s="29" t="n">
        <f aca="false">Sens!H5793-Sens!I5791*mix_g2</f>
        <v>1242</v>
      </c>
      <c r="J5793" s="29" t="n">
        <f aca="false">Sens!I5793-Sens!J5791*mix_g2</f>
        <v>909</v>
      </c>
      <c r="K5793" s="29" t="n">
        <f aca="false">Sens!J5793-Sens!K5791*mix_g2</f>
        <v>247.5</v>
      </c>
    </row>
    <row r="5794" customFormat="false" ht="17.15" hidden="false" customHeight="false" outlineLevel="0" collapsed="false">
      <c r="A5794" s="1" t="s">
        <v>814</v>
      </c>
      <c r="B5794" s="0" t="s">
        <v>392</v>
      </c>
      <c r="C5794" s="29" t="n">
        <f aca="false">mix_g3*Sens!C5784</f>
        <v>224</v>
      </c>
      <c r="D5794" s="29" t="n">
        <f aca="false">mix_g3*Sens!D5784</f>
        <v>570.5</v>
      </c>
      <c r="E5794" s="29" t="n">
        <f aca="false">mix_g3*Sens!E5784</f>
        <v>1137.5</v>
      </c>
      <c r="F5794" s="29" t="n">
        <f aca="false">Sens!E5794+(Sens!F5790+Sens!F5791)*a_g3_27-Sens!F5791*mix_g3</f>
        <v>2906.54</v>
      </c>
      <c r="G5794" s="29" t="n">
        <f aca="false">Sens!F5794+(Sens!G5790+Sens!G5791)*a_g3_28-Sens!G5791*mix_g3</f>
        <v>3664.7</v>
      </c>
      <c r="H5794" s="29" t="n">
        <f aca="false">Sens!G5794+(Sens!H5790+Sens!H5791)*a_g3_29-Sens!H5791*mix_g3</f>
        <v>3917.42</v>
      </c>
      <c r="I5794" s="29" t="n">
        <f aca="false">Sens!H5794+(Sens!I5790+Sens!I5791)*a_g3_29-Sens!I5791*mix_g3</f>
        <v>3974.2316</v>
      </c>
      <c r="J5794" s="29" t="n">
        <f aca="false">Sens!I5794+(Sens!J5790+Sens!J5791)*a_g3_29-Sens!J5791*mix_g3</f>
        <v>3895.1348</v>
      </c>
      <c r="K5794" s="29" t="n">
        <f aca="false">Sens!J5794+(Sens!K5790+Sens!K5791)*a_g3_29-Sens!K5791*mix_g3</f>
        <v>3560.1296</v>
      </c>
    </row>
    <row r="5795" customFormat="false" ht="17.15" hidden="false" customHeight="false" outlineLevel="0" collapsed="false">
      <c r="A5795" s="1" t="s">
        <v>815</v>
      </c>
      <c r="B5795" s="0" t="s">
        <v>392</v>
      </c>
      <c r="C5795" s="29" t="n">
        <v>0</v>
      </c>
      <c r="D5795" s="29" t="n">
        <v>0</v>
      </c>
      <c r="E5795" s="29" t="n">
        <v>0</v>
      </c>
      <c r="F5795" s="29" t="n">
        <f aca="false">Sens!E5795+(Sens!F5790+Sens!F5791)*(1-a_g3_27)</f>
        <v>758.16</v>
      </c>
      <c r="G5795" s="29" t="n">
        <f aca="false">Sens!F5795+(Sens!G5790+Sens!G5791)*(1-a_g3_28)</f>
        <v>2527.2</v>
      </c>
      <c r="H5795" s="29" t="n">
        <f aca="false">Sens!G5795+(Sens!H5790+Sens!H5791)*(1-a_g3_29)</f>
        <v>4801.68</v>
      </c>
      <c r="I5795" s="29" t="n">
        <f aca="false">Sens!H5795+(Sens!I5790+Sens!I5791)*(1-a_g3_29)</f>
        <v>6856.4844</v>
      </c>
      <c r="J5795" s="29" t="n">
        <f aca="false">Sens!I5795+(Sens!J5790+Sens!J5791)*(1-a_g3_29)</f>
        <v>8475.6132</v>
      </c>
      <c r="K5795" s="29" t="n">
        <f aca="false">Sens!J5795+(Sens!K5790+Sens!K5791)*(1-a_g3_29)</f>
        <v>10091.0664</v>
      </c>
    </row>
    <row r="5796" customFormat="false" ht="17.15" hidden="false" customHeight="false" outlineLevel="0" collapsed="false">
      <c r="A5796" s="1" t="s">
        <v>816</v>
      </c>
      <c r="B5796" s="0" t="s">
        <v>339</v>
      </c>
      <c r="C5796" s="14" t="n">
        <f aca="false">(Sens!C5792*tk_hold_h100+Sens!C5793*tk_hold_gb200+Sens!C5794*tk_hold_gb300+Sens!C5795*tk_hold_vr200)/Sens!C5784</f>
        <v>9.7235358126469</v>
      </c>
      <c r="D5796" s="14" t="n">
        <f aca="false">(Sens!D5792*tk_hold_h100+Sens!D5793*tk_hold_gb200+Sens!D5794*tk_hold_gb300+Sens!D5795*tk_hold_vr200)/Sens!D5784</f>
        <v>9.7235358126469</v>
      </c>
      <c r="E5796" s="14" t="n">
        <f aca="false">(Sens!E5792*tk_hold_h100+Sens!E5793*tk_hold_gb200+Sens!E5794*tk_hold_gb300+Sens!E5795*tk_hold_vr200)/Sens!E5784</f>
        <v>9.7235358126469</v>
      </c>
      <c r="F5796" s="14" t="n">
        <f aca="false">(Sens!F5792*tk_hold_h100+Sens!F5793*tk_hold_gb200+Sens!F5794*tk_hold_gb300+Sens!F5795*tk_hold_vr200)/Sens!F5784</f>
        <v>10.4079573161931</v>
      </c>
      <c r="G5796" s="14" t="n">
        <f aca="false">(Sens!G5792*tk_hold_h100+Sens!G5793*tk_hold_gb200+Sens!G5794*tk_hold_gb300+Sens!G5795*tk_hold_vr200)/Sens!G5784</f>
        <v>10.8388131109316</v>
      </c>
      <c r="H5796" s="14" t="n">
        <f aca="false">(Sens!H5792*tk_hold_h100+Sens!H5793*tk_hold_gb200+Sens!H5794*tk_hold_gb300+Sens!H5795*tk_hold_vr200)/Sens!H5784</f>
        <v>11.1311018388216</v>
      </c>
      <c r="I5796" s="14" t="n">
        <f aca="false">(Sens!I5792*tk_hold_h100+Sens!I5793*tk_hold_gb200+Sens!I5794*tk_hold_gb300+Sens!I5795*tk_hold_vr200)/Sens!I5784</f>
        <v>11.3594282560989</v>
      </c>
      <c r="J5796" s="14" t="n">
        <f aca="false">(Sens!J5792*tk_hold_h100+Sens!J5793*tk_hold_gb200+Sens!J5794*tk_hold_gb300+Sens!J5795*tk_hold_vr200)/Sens!J5784</f>
        <v>11.5441508808221</v>
      </c>
      <c r="K5796" s="14" t="n">
        <f aca="false">(Sens!K5792*tk_hold_h100+Sens!K5793*tk_hold_gb200+Sens!K5794*tk_hold_gb300+Sens!K5795*tk_hold_vr200)/Sens!K5784</f>
        <v>11.8053375063575</v>
      </c>
    </row>
    <row r="5797" customFormat="false" ht="17.15" hidden="false" customHeight="false" outlineLevel="0" collapsed="false">
      <c r="A5797" s="0" t="s">
        <v>817</v>
      </c>
      <c r="B5797" s="0" t="s">
        <v>185</v>
      </c>
      <c r="C5797" s="14" t="n">
        <f aca="false">k_B</f>
        <v>1.17213932619116</v>
      </c>
      <c r="D5797" s="14" t="n">
        <f aca="false">k_B</f>
        <v>1.17213932619116</v>
      </c>
      <c r="E5797" s="14" t="n">
        <f aca="false">k_B</f>
        <v>1.17213932619116</v>
      </c>
      <c r="F5797" s="14" t="n">
        <f aca="false">(k_B+((ls_A*k_long+(1-ls_A)*k_spot)-k_B)*MIN(1,(Sens!F5782-base_fy)/k_ramp))</f>
        <v>1.25022828131298</v>
      </c>
      <c r="G5797" s="14" t="n">
        <f aca="false">(k_B+((ls_A*k_long+(1-ls_A)*k_spot)-k_B)*MIN(1,(Sens!G5782-base_fy)/k_ramp))</f>
        <v>1.3283172364348</v>
      </c>
      <c r="H5797" s="14" t="n">
        <f aca="false">(k_B+((ls_A*k_long+(1-ls_A)*k_spot)-k_B)*MIN(1,(Sens!H5782-base_fy)/k_ramp))</f>
        <v>1.40640619155662</v>
      </c>
      <c r="I5797" s="14" t="n">
        <f aca="false">(k_B+((ls_A*k_long+(1-ls_A)*k_spot)-k_B)*MIN(1,(Sens!I5782-base_fy)/k_ramp))</f>
        <v>1.40640619155662</v>
      </c>
      <c r="J5797" s="14" t="n">
        <f aca="false">(k_B+((ls_A*k_long+(1-ls_A)*k_spot)-k_B)*MIN(1,(Sens!J5782-base_fy)/k_ramp))</f>
        <v>1.40640619155662</v>
      </c>
      <c r="K5797" s="14" t="n">
        <f aca="false">(k_B+((ls_A*k_long+(1-ls_A)*k_spot)-k_B)*MIN(1,(Sens!K5782-base_fy)/k_ramp))</f>
        <v>1.40640619155662</v>
      </c>
      <c r="L5797" s="1" t="s">
        <v>818</v>
      </c>
    </row>
    <row r="5798" customFormat="false" ht="17.15" hidden="false" customHeight="false" outlineLevel="0" collapsed="false">
      <c r="A5798" s="1" t="s">
        <v>819</v>
      </c>
      <c r="B5798" s="0" t="s">
        <v>339</v>
      </c>
      <c r="C5798" s="14" t="n">
        <f aca="false">Sens!C5796*Sens!C5797*chip_f</f>
        <v>11.3973387156315</v>
      </c>
      <c r="D5798" s="14" t="n">
        <f aca="false">Sens!D5796*Sens!D5797*chip_f</f>
        <v>11.3973387156315</v>
      </c>
      <c r="E5798" s="14" t="n">
        <f aca="false">Sens!E5796*Sens!E5797*chip_f</f>
        <v>11.3973387156315</v>
      </c>
      <c r="F5798" s="14" t="n">
        <f aca="false">Sens!F5796*Sens!F5797*chip_f</f>
        <v>13.0123225874029</v>
      </c>
      <c r="G5798" s="14" t="n">
        <f aca="false">Sens!G5796*Sens!G5797*chip_f</f>
        <v>14.3973822777458</v>
      </c>
      <c r="H5798" s="14" t="n">
        <f aca="false">Sens!H5796*Sens!H5797*chip_f</f>
        <v>15.6548505449659</v>
      </c>
      <c r="I5798" s="14" t="n">
        <f aca="false">Sens!I5796*Sens!I5797*chip_f</f>
        <v>15.9759702319207</v>
      </c>
      <c r="J5798" s="14" t="n">
        <f aca="false">Sens!J5796*Sens!J5797*chip_f</f>
        <v>16.2357652750519</v>
      </c>
      <c r="K5798" s="14" t="n">
        <f aca="false">Sens!K5796*Sens!K5797*chip_f</f>
        <v>16.6030997623568</v>
      </c>
      <c r="L5798" s="1" t="s">
        <v>820</v>
      </c>
    </row>
    <row r="5799" customFormat="false" ht="17.15" hidden="false" customHeight="false" outlineLevel="0" collapsed="false">
      <c r="A5799" s="0" t="s">
        <v>821</v>
      </c>
      <c r="B5799" s="0" t="s">
        <v>98</v>
      </c>
      <c r="D5799" s="6" t="n">
        <f aca="false">(Sens!C5784+Sens!D5784)/2*Sens!D5798/1000</f>
        <v>12.9359794422418</v>
      </c>
      <c r="E5799" s="6" t="n">
        <f aca="false">(Sens!D5784+Sens!E5784)/2*Sens!E5798/1000</f>
        <v>27.8095064661409</v>
      </c>
      <c r="F5799" s="6" t="n">
        <f aca="false">(Sens!E5784+Sens!F5784)/2*Sens!F5798/1000</f>
        <v>58.7324192305018</v>
      </c>
      <c r="G5799" s="6" t="n">
        <f aca="false">(Sens!F5784+Sens!G5784)/2*Sens!G5798/1000</f>
        <v>101.369089141153</v>
      </c>
      <c r="H5799" s="6" t="n">
        <f aca="false">(Sens!G5784+Sens!H5784)/2*Sens!H5798/1000</f>
        <v>149.785610014234</v>
      </c>
      <c r="I5799" s="6" t="n">
        <f aca="false">(Sens!H5784+Sens!I5784)/2*Sens!I5798/1000</f>
        <v>187.368703083263</v>
      </c>
      <c r="J5799" s="6" t="n">
        <f aca="false">(Sens!I5784+Sens!J5784)/2*Sens!J5798/1000</f>
        <v>213.569023125577</v>
      </c>
      <c r="K5799" s="6" t="n">
        <f aca="false">(Sens!J5784+Sens!K5784)/2*Sens!K5798/1000</f>
        <v>229.890205197739</v>
      </c>
      <c r="L5799" s="11" t="s">
        <v>822</v>
      </c>
    </row>
    <row r="5800" customFormat="false" ht="17.15" hidden="false" customHeight="false" outlineLevel="0" collapsed="false">
      <c r="A5800" s="1" t="s">
        <v>823</v>
      </c>
      <c r="B5800" s="0" t="s">
        <v>339</v>
      </c>
      <c r="C5800" s="14" t="n">
        <f aca="false">(Sens!C5792*tk_opex_h100+Sens!C5793*tk_opex_gb200+Sens!C5794*tk_opex_gb300+Sens!C5795*tk_opex_vr200)/Sens!C5784</f>
        <v>1.88636041306092</v>
      </c>
      <c r="D5800" s="14" t="n">
        <f aca="false">(Sens!D5792*tk_opex_h100+Sens!D5793*tk_opex_gb200+Sens!D5794*tk_opex_gb300+Sens!D5795*tk_opex_vr200)/Sens!D5784</f>
        <v>1.88636041306092</v>
      </c>
      <c r="E5800" s="14" t="n">
        <f aca="false">(Sens!E5792*tk_opex_h100+Sens!E5793*tk_opex_gb200+Sens!E5794*tk_opex_gb300+Sens!E5795*tk_opex_vr200)/Sens!E5784</f>
        <v>1.88636041306092</v>
      </c>
      <c r="F5800" s="14" t="n">
        <f aca="false">(Sens!F5792*tk_opex_h100+Sens!F5793*tk_opex_gb200+Sens!F5794*tk_opex_gb300+Sens!F5795*tk_opex_vr200)/Sens!F5784</f>
        <v>1.9430236476499</v>
      </c>
      <c r="G5800" s="14" t="n">
        <f aca="false">(Sens!G5792*tk_opex_h100+Sens!G5793*tk_opex_gb200+Sens!G5794*tk_opex_gb300+Sens!G5795*tk_opex_vr200)/Sens!G5784</f>
        <v>1.9786941852423</v>
      </c>
      <c r="H5800" s="14" t="n">
        <f aca="false">(Sens!H5792*tk_opex_h100+Sens!H5793*tk_opex_gb200+Sens!H5794*tk_opex_gb300+Sens!H5795*tk_opex_vr200)/Sens!H5784</f>
        <v>2.00289275976156</v>
      </c>
      <c r="I5800" s="14" t="n">
        <f aca="false">(Sens!I5792*tk_opex_h100+Sens!I5793*tk_opex_gb200+Sens!I5794*tk_opex_gb300+Sens!I5795*tk_opex_vr200)/Sens!I5784</f>
        <v>2.02179589661219</v>
      </c>
      <c r="J5800" s="14" t="n">
        <f aca="false">(Sens!J5792*tk_opex_h100+Sens!J5793*tk_opex_gb200+Sens!J5794*tk_opex_gb300+Sens!J5795*tk_opex_vr200)/Sens!J5784</f>
        <v>2.03708907685909</v>
      </c>
      <c r="K5800" s="14" t="n">
        <f aca="false">(Sens!K5792*tk_opex_h100+Sens!K5793*tk_opex_gb200+Sens!K5794*tk_opex_gb300+Sens!K5795*tk_opex_vr200)/Sens!K5784</f>
        <v>2.05871270931005</v>
      </c>
    </row>
    <row r="5801" customFormat="false" ht="17.15" hidden="false" customHeight="false" outlineLevel="0" collapsed="false">
      <c r="A5801" s="0" t="s">
        <v>824</v>
      </c>
      <c r="B5801" s="0" t="s">
        <v>98</v>
      </c>
      <c r="D5801" s="6" t="n">
        <f aca="false">(Sens!C5787+Sens!D5787)/2*Sens!D5800/1000</f>
        <v>2.70378325872065</v>
      </c>
      <c r="E5801" s="6" t="n">
        <f aca="false">(Sens!D5787+Sens!E5787)/2*Sens!E5800/1000</f>
        <v>6.17783035277451</v>
      </c>
      <c r="F5801" s="6" t="n">
        <f aca="false">(Sens!E5787+Sens!F5787)/2*Sens!F5800/1000</f>
        <v>12.5020618235287</v>
      </c>
      <c r="G5801" s="6" t="n">
        <f aca="false">(Sens!F5787+Sens!G5787)/2*Sens!G5800/1000</f>
        <v>20.7261620256847</v>
      </c>
      <c r="H5801" s="6" t="n">
        <f aca="false">(Sens!G5787+Sens!H5787)/2*Sens!H5800/1000</f>
        <v>29.4158183316982</v>
      </c>
      <c r="I5801" s="6" t="n">
        <f aca="false">(Sens!H5787+Sens!I5787)/2*Sens!I5800/1000</f>
        <v>36.9724400356344</v>
      </c>
      <c r="J5801" s="6" t="n">
        <f aca="false">(Sens!I5787+Sens!J5787)/2*Sens!J5800/1000</f>
        <v>42.0938382992747</v>
      </c>
      <c r="K5801" s="6" t="n">
        <f aca="false">(Sens!J5787+Sens!K5787)/2*Sens!K5800/1000</f>
        <v>44.9150106651501</v>
      </c>
    </row>
    <row r="5802" customFormat="false" ht="17.15" hidden="false" customHeight="false" outlineLevel="0" collapsed="false">
      <c r="A5802" s="0" t="s">
        <v>825</v>
      </c>
      <c r="B5802" s="0" t="s">
        <v>98</v>
      </c>
      <c r="D5802" s="6" t="n">
        <f aca="false">(Sens!C5785+Sens!D5785)/2*rent_mw/1000</f>
        <v>2.44475</v>
      </c>
      <c r="E5802" s="6" t="n">
        <f aca="false">(Sens!D5785+Sens!E5785)/2*rent_mw/1000</f>
        <v>4.22275</v>
      </c>
      <c r="F5802" s="6" t="n">
        <f aca="false">(Sens!E5785+Sens!F5785)/2*rent_mw/1000</f>
        <v>5.80517</v>
      </c>
      <c r="G5802" s="6" t="n">
        <f aca="false">(Sens!F5785+Sens!G5785)/2*rent_mw/1000</f>
        <v>6.72084</v>
      </c>
      <c r="H5802" s="6" t="n">
        <f aca="false">(Sens!G5785+Sens!H5785)/2*rent_mw/1000</f>
        <v>6.72084</v>
      </c>
      <c r="I5802" s="6" t="n">
        <f aca="false">(Sens!H5785+Sens!I5785)/2*rent_mw/1000</f>
        <v>6.72084</v>
      </c>
      <c r="J5802" s="6" t="n">
        <f aca="false">(Sens!I5785+Sens!J5785)/2*rent_mw/1000</f>
        <v>6.72084</v>
      </c>
      <c r="K5802" s="6" t="n">
        <f aca="false">(Sens!J5785+Sens!K5785)/2*rent_mw/1000</f>
        <v>6.72084</v>
      </c>
    </row>
    <row r="5803" customFormat="false" ht="17.15" hidden="false" customHeight="false" outlineLevel="0" collapsed="false">
      <c r="A5803" s="0" t="s">
        <v>826</v>
      </c>
      <c r="B5803" s="0" t="s">
        <v>98</v>
      </c>
      <c r="D5803" s="6" t="n">
        <f aca="false">(Sens!C5787+Sens!D5787)/2*(1-self_build)*fac_rent/1000</f>
        <v>0.853242375631075</v>
      </c>
      <c r="E5803" s="6" t="n">
        <f aca="false">(Sens!D5787+Sens!E5787)/2*(1-self_build)*fac_rent/1000</f>
        <v>1.94955961408728</v>
      </c>
      <c r="F5803" s="6" t="n">
        <f aca="false">(Sens!E5787+Sens!F5787)/2*(1-self_build)*fac_rent/1000</f>
        <v>3.83026455274573</v>
      </c>
      <c r="G5803" s="6" t="n">
        <f aca="false">(Sens!F5787+Sens!G5787)/2*(1-self_build)*fac_rent/1000</f>
        <v>6.23541590972812</v>
      </c>
      <c r="H5803" s="6" t="n">
        <f aca="false">(Sens!G5787+Sens!H5787)/2*(1-self_build)*fac_rent/1000</f>
        <v>8.74275792332679</v>
      </c>
      <c r="I5803" s="6" t="n">
        <f aca="false">(Sens!H5787+Sens!I5787)/2*(1-self_build)*fac_rent/1000</f>
        <v>10.8859420438599</v>
      </c>
      <c r="J5803" s="6" t="n">
        <f aca="false">(Sens!I5787+Sens!J5787)/2*(1-self_build)*fac_rent/1000</f>
        <v>12.3008103782619</v>
      </c>
      <c r="K5803" s="6" t="n">
        <f aca="false">(Sens!J5787+Sens!K5787)/2*(1-self_build)*fac_rent/1000</f>
        <v>12.9873629265328</v>
      </c>
      <c r="L5803" s="11" t="s">
        <v>827</v>
      </c>
    </row>
    <row r="5804" customFormat="false" ht="17.15" hidden="false" customHeight="false" outlineLevel="0" collapsed="false">
      <c r="A5804" s="1" t="s">
        <v>828</v>
      </c>
      <c r="B5804" s="0" t="s">
        <v>129</v>
      </c>
      <c r="D5804" s="7" t="n">
        <f aca="false">(Sens!C5786+Sens!D5786)/(Sens!C5787+Sens!D5787)</f>
        <v>0.6</v>
      </c>
      <c r="E5804" s="7" t="n">
        <f aca="false">(Sens!D5786+Sens!E5786)/(Sens!D5787+Sens!E5787)</f>
        <v>0.6</v>
      </c>
      <c r="F5804" s="7" t="n">
        <f aca="false">(Sens!E5786+Sens!F5786)/(Sens!E5787+Sens!F5787)</f>
        <v>0.6</v>
      </c>
      <c r="G5804" s="7" t="n">
        <f aca="false">(Sens!F5786+Sens!G5786)/(Sens!F5787+Sens!G5787)</f>
        <v>0.6</v>
      </c>
      <c r="H5804" s="7" t="n">
        <f aca="false">(Sens!G5786+Sens!H5786)/(Sens!G5787+Sens!H5787)</f>
        <v>0.6</v>
      </c>
      <c r="I5804" s="7" t="n">
        <f aca="false">(Sens!H5786+Sens!I5786)/(Sens!H5787+Sens!I5787)</f>
        <v>0.6</v>
      </c>
      <c r="J5804" s="7" t="n">
        <f aca="false">(Sens!I5786+Sens!J5786)/(Sens!I5787+Sens!J5787)</f>
        <v>0.6</v>
      </c>
      <c r="K5804" s="7" t="n">
        <f aca="false">(Sens!J5786+Sens!K5786)/(Sens!J5787+Sens!K5787)</f>
        <v>0.6</v>
      </c>
    </row>
    <row r="5805" customFormat="false" ht="17.15" hidden="false" customHeight="false" outlineLevel="0" collapsed="false">
      <c r="A5805" s="0" t="s">
        <v>829</v>
      </c>
      <c r="B5805" s="0" t="s">
        <v>98</v>
      </c>
      <c r="D5805" s="6" t="n">
        <f aca="false">Sens!D5799-Sens!D5804*(Sens!D5801+Sens!D5803)-Sens!D5802</f>
        <v>8.35701406163072</v>
      </c>
      <c r="E5805" s="6" t="n">
        <f aca="false">Sens!E5799-Sens!E5804*(Sens!E5801+Sens!E5803)-Sens!E5802</f>
        <v>18.7103224860238</v>
      </c>
      <c r="F5805" s="6" t="n">
        <f aca="false">Sens!F5799-Sens!F5804*(Sens!F5801+Sens!F5803)-Sens!F5802</f>
        <v>43.1278534047371</v>
      </c>
      <c r="G5805" s="6" t="n">
        <f aca="false">Sens!G5799-Sens!G5804*(Sens!G5801+Sens!G5803)-Sens!G5802</f>
        <v>78.4713023799053</v>
      </c>
      <c r="H5805" s="6" t="n">
        <f aca="false">Sens!H5799-Sens!H5804*(Sens!H5801+Sens!H5803)-Sens!H5802</f>
        <v>120.169624261219</v>
      </c>
      <c r="I5805" s="6" t="n">
        <f aca="false">Sens!I5799-Sens!I5804*(Sens!I5801+Sens!I5803)-Sens!I5802</f>
        <v>151.932833835566</v>
      </c>
      <c r="J5805" s="6" t="n">
        <f aca="false">Sens!J5799-Sens!J5804*(Sens!J5801+Sens!J5803)-Sens!J5802</f>
        <v>174.211393919055</v>
      </c>
      <c r="K5805" s="6" t="n">
        <f aca="false">Sens!K5799-Sens!K5804*(Sens!K5801+Sens!K5803)-Sens!K5802</f>
        <v>188.427941042729</v>
      </c>
    </row>
    <row r="5806" customFormat="false" ht="17.15" hidden="false" customHeight="false" outlineLevel="0" collapsed="false">
      <c r="A5806" s="1" t="s">
        <v>830</v>
      </c>
      <c r="B5806" s="0" t="s">
        <v>98</v>
      </c>
      <c r="D5806" s="6" t="n">
        <f aca="false">(1-Sens!D5804)*(Sens!D5801+Sens!D5803)</f>
        <v>1.42281025374069</v>
      </c>
      <c r="E5806" s="6" t="n">
        <f aca="false">(1-Sens!E5804)*(Sens!E5801+Sens!E5803)</f>
        <v>3.25095598674472</v>
      </c>
      <c r="F5806" s="6" t="n">
        <f aca="false">(1-Sens!F5804)*(Sens!F5801+Sens!F5803)</f>
        <v>6.53293055050977</v>
      </c>
      <c r="G5806" s="6" t="n">
        <f aca="false">(1-Sens!G5804)*(Sens!G5801+Sens!G5803)</f>
        <v>10.7846311741651</v>
      </c>
      <c r="H5806" s="6" t="n">
        <f aca="false">(1-Sens!H5804)*(Sens!H5801+Sens!H5803)</f>
        <v>15.26343050201</v>
      </c>
      <c r="I5806" s="6" t="n">
        <f aca="false">(1-Sens!I5804)*(Sens!I5801+Sens!I5803)</f>
        <v>19.1433528317977</v>
      </c>
      <c r="J5806" s="6" t="n">
        <f aca="false">(1-Sens!J5804)*(Sens!J5801+Sens!J5803)</f>
        <v>21.7578594710146</v>
      </c>
      <c r="K5806" s="6" t="n">
        <f aca="false">(1-Sens!K5804)*(Sens!K5801+Sens!K5803)</f>
        <v>23.1609494366731</v>
      </c>
    </row>
    <row r="5807" customFormat="false" ht="17.15" hidden="false" customHeight="false" outlineLevel="0" collapsed="false">
      <c r="A5807" s="1" t="s">
        <v>831</v>
      </c>
      <c r="B5807" s="0" t="s">
        <v>350</v>
      </c>
      <c r="C5807" s="8" t="n">
        <f aca="false">cxit_open</f>
        <v>27.5918995</v>
      </c>
      <c r="D5807" s="8" t="n">
        <f aca="false">cxit_open</f>
        <v>27.5918995</v>
      </c>
      <c r="E5807" s="8" t="n">
        <f aca="false">cxit_open</f>
        <v>27.5918995</v>
      </c>
      <c r="F5807" s="8" t="n">
        <f aca="false">(a_g3_27*tk_cxit_gb300+(1-a_g3_27)*tk_cxit_vr200)</f>
        <v>33.8419624</v>
      </c>
      <c r="G5807" s="8" t="n">
        <f aca="false">(a_g3_28*tk_cxit_gb300+(1-a_g3_28)*tk_cxit_vr200)</f>
        <v>35.9816136</v>
      </c>
      <c r="H5807" s="8" t="n">
        <f aca="false">(a_g3_29*tk_cxit_gb300+(1-a_g3_29)*tk_cxit_vr200)</f>
        <v>37.0514392</v>
      </c>
      <c r="I5807" s="8" t="n">
        <f aca="false">(a_g3_29*tk_cxit_gb300+(1-a_g3_29)*tk_cxit_vr200)</f>
        <v>37.0514392</v>
      </c>
      <c r="J5807" s="8" t="n">
        <f aca="false">(a_g3_29*tk_cxit_gb300+(1-a_g3_29)*tk_cxit_vr200)</f>
        <v>37.0514392</v>
      </c>
      <c r="K5807" s="8" t="n">
        <f aca="false">(a_g3_29*tk_cxit_gb300+(1-a_g3_29)*tk_cxit_vr200)</f>
        <v>37.0514392</v>
      </c>
      <c r="L5807" s="11" t="s">
        <v>832</v>
      </c>
    </row>
    <row r="5808" customFormat="false" ht="17.15" hidden="false" customHeight="false" outlineLevel="0" collapsed="false">
      <c r="A5808" s="0" t="s">
        <v>833</v>
      </c>
      <c r="B5808" s="0" t="s">
        <v>392</v>
      </c>
      <c r="F5808" s="29" t="n">
        <f aca="false">Sens!C5789*IF(Sens!F5782-Sens!C5782=life_it,1,0)+Sens!D5789*IF(Sens!F5782-Sens!D5782=life_it,1,0)+Sens!E5789*IF(Sens!F5782-Sens!E5782=life_it,1,0)</f>
        <v>0</v>
      </c>
      <c r="G5808" s="29" t="n">
        <f aca="false">Sens!C5789*IF(Sens!G5782-Sens!C5782=life_it,1,0)+Sens!D5789*IF(Sens!G5782-Sens!D5782=life_it,1,0)+Sens!E5789*IF(Sens!G5782-Sens!E5782=life_it,1,0)+Sens!F5789*IF(Sens!G5782-Sens!F5782=life_it,1,0)</f>
        <v>0</v>
      </c>
      <c r="H5808" s="29" t="n">
        <f aca="false">Sens!C5789*IF(Sens!H5782-Sens!C5782=life_it,1,0)+Sens!D5789*IF(Sens!H5782-Sens!D5782=life_it,1,0)+Sens!E5789*IF(Sens!H5782-Sens!E5782=life_it,1,0)+Sens!F5789*IF(Sens!H5782-Sens!F5782=life_it,1,0)+Sens!G5789*IF(Sens!H5782-Sens!G5782=life_it,1,0)</f>
        <v>0</v>
      </c>
      <c r="I5808" s="29" t="n">
        <f aca="false">Sens!C5789*IF(Sens!I5782-Sens!C5782=life_it,1,0)+Sens!D5789*IF(Sens!I5782-Sens!D5782=life_it,1,0)+Sens!E5789*IF(Sens!I5782-Sens!E5782=life_it,1,0)+Sens!F5789*IF(Sens!I5782-Sens!F5782=life_it,1,0)+Sens!G5789*IF(Sens!I5782-Sens!G5782=life_it,1,0)+Sens!H5789*IF(Sens!I5782-Sens!H5782=life_it,1,0)</f>
        <v>816.666666666667</v>
      </c>
      <c r="J5808" s="29" t="n">
        <f aca="false">Sens!C5789*IF(Sens!J5782-Sens!C5782=life_it,1,0)+Sens!D5789*IF(Sens!J5782-Sens!D5782=life_it,1,0)+Sens!E5789*IF(Sens!J5782-Sens!E5782=life_it,1,0)+Sens!F5789*IF(Sens!J5782-Sens!F5782=life_it,1,0)+Sens!G5789*IF(Sens!J5782-Sens!G5782=life_it,1,0)+Sens!H5789*IF(Sens!J5782-Sens!H5782=life_it,1,0)+Sens!I5789*IF(Sens!J5782-Sens!I5782=life_it,1,0)</f>
        <v>1233.33333333333</v>
      </c>
      <c r="K5808" s="29" t="n">
        <f aca="false">Sens!C5789*IF(Sens!K5782-Sens!C5782=life_it,1,0)+Sens!D5789*IF(Sens!K5782-Sens!D5782=life_it,1,0)+Sens!E5789*IF(Sens!K5782-Sens!E5782=life_it,1,0)+Sens!F5789*IF(Sens!K5782-Sens!F5782=life_it,1,0)+Sens!G5789*IF(Sens!K5782-Sens!G5782=life_it,1,0)+Sens!H5789*IF(Sens!K5782-Sens!H5782=life_it,1,0)+Sens!I5789*IF(Sens!K5782-Sens!I5782=life_it,1,0)+Sens!J5789*IF(Sens!K5782-Sens!J5782=life_it,1,0)</f>
        <v>2450</v>
      </c>
      <c r="L5808" s="1" t="s">
        <v>834</v>
      </c>
    </row>
    <row r="5809" customFormat="false" ht="17.15" hidden="false" customHeight="false" outlineLevel="0" collapsed="false">
      <c r="A5809" s="0" t="s">
        <v>835</v>
      </c>
      <c r="B5809" s="0" t="s">
        <v>98</v>
      </c>
      <c r="C5809" s="6" t="n">
        <f aca="false">Sens!C5789*Sens!C5807/1000</f>
        <v>22.5333845916667</v>
      </c>
      <c r="D5809" s="6" t="n">
        <f aca="false">Sens!D5789*Sens!D5807/1000</f>
        <v>34.0300093833333</v>
      </c>
      <c r="E5809" s="6" t="n">
        <f aca="false">Sens!E5789*Sens!E5807/1000</f>
        <v>67.600153775</v>
      </c>
      <c r="F5809" s="6" t="n">
        <f aca="false">(Sens!F5789+Sens!F5808)*Sens!F5807/1000</f>
        <v>130.923271871467</v>
      </c>
      <c r="G5809" s="6" t="n">
        <f aca="false">(Sens!G5789+Sens!G5808)*Sens!G5807/1000</f>
        <v>151.5545564832</v>
      </c>
      <c r="H5809" s="6" t="n">
        <f aca="false">(Sens!H5789+Sens!H5808)*Sens!H5807/1000</f>
        <v>156.0606619104</v>
      </c>
      <c r="I5809" s="6" t="n">
        <f aca="false">(Sens!I5789+Sens!I5808)*Sens!I5807/1000</f>
        <v>140.987889434245</v>
      </c>
      <c r="J5809" s="6" t="n">
        <f aca="false">(Sens!J5789+Sens!J5808)*Sens!J5807/1000</f>
        <v>111.094541278091</v>
      </c>
      <c r="K5809" s="6" t="n">
        <f aca="false">(Sens!K5789+Sens!K5808)*Sens!K5807/1000</f>
        <v>110.842344481936</v>
      </c>
    </row>
    <row r="5810" customFormat="false" ht="17.15" hidden="false" customHeight="false" outlineLevel="0" collapsed="false">
      <c r="A5810" s="0" t="s">
        <v>836</v>
      </c>
      <c r="B5810" s="0" t="s">
        <v>98</v>
      </c>
      <c r="C5810" s="6" t="n">
        <f aca="false">Sens!C5789*self_build*tk_cxfac/1000</f>
        <v>6.2083</v>
      </c>
      <c r="D5810" s="6" t="n">
        <f aca="false">Sens!D5789*self_build*tk_cxfac/1000</f>
        <v>9.3758</v>
      </c>
      <c r="E5810" s="6" t="n">
        <f aca="false">Sens!E5789*self_build*tk_cxfac/1000</f>
        <v>18.6249</v>
      </c>
      <c r="F5810" s="6" t="n">
        <f aca="false">Sens!F5789*self_build*tk_cxfac/1000</f>
        <v>29.409604</v>
      </c>
      <c r="G5810" s="6" t="n">
        <f aca="false">Sens!G5789*self_build*tk_cxfac/1000</f>
        <v>32.019624</v>
      </c>
      <c r="H5810" s="6" t="n">
        <f aca="false">Sens!H5789*self_build*tk_cxfac/1000</f>
        <v>32.019624</v>
      </c>
      <c r="I5810" s="6" t="n">
        <f aca="false">Sens!I5789*self_build*tk_cxfac/1000</f>
        <v>22.71877972</v>
      </c>
      <c r="J5810" s="6" t="n">
        <f aca="false">Sens!J5789*self_build*tk_cxfac/1000</f>
        <v>13.41793544</v>
      </c>
      <c r="K5810" s="6" t="n">
        <f aca="false">Sens!K5789*self_build*tk_cxfac/1000</f>
        <v>4.11709116000001</v>
      </c>
    </row>
    <row r="5811" customFormat="false" ht="17.15" hidden="false" customHeight="false" outlineLevel="0" collapsed="false">
      <c r="A5811" s="0" t="s">
        <v>837</v>
      </c>
      <c r="B5811" s="0" t="s">
        <v>98</v>
      </c>
      <c r="F5811" s="6" t="n">
        <f aca="false">MAX(0,capex_floor27-Sens!F5809-Sens!F5810-Sens!F5904)</f>
        <v>7.91277689897088</v>
      </c>
      <c r="L5811" s="1" t="s">
        <v>838</v>
      </c>
    </row>
    <row r="5812" customFormat="false" ht="17.15" hidden="false" customHeight="false" outlineLevel="0" collapsed="false">
      <c r="A5812" s="0" t="s">
        <v>839</v>
      </c>
      <c r="B5812" s="0" t="s">
        <v>98</v>
      </c>
      <c r="C5812" s="6" t="n">
        <f aca="false">Sens!C5809</f>
        <v>22.5333845916667</v>
      </c>
      <c r="D5812" s="6" t="n">
        <f aca="false">Sens!D5809</f>
        <v>34.0300093833333</v>
      </c>
      <c r="E5812" s="6" t="n">
        <f aca="false">Sens!E5809</f>
        <v>67.600153775</v>
      </c>
      <c r="F5812" s="6" t="n">
        <f aca="false">Sens!F5809+Sens!F5811</f>
        <v>138.836048770438</v>
      </c>
      <c r="G5812" s="6" t="n">
        <f aca="false">Sens!G5809</f>
        <v>151.5545564832</v>
      </c>
      <c r="H5812" s="6" t="n">
        <f aca="false">Sens!H5809</f>
        <v>156.0606619104</v>
      </c>
      <c r="I5812" s="6" t="n">
        <f aca="false">Sens!I5809</f>
        <v>140.987889434245</v>
      </c>
      <c r="J5812" s="6" t="n">
        <f aca="false">Sens!J5809</f>
        <v>111.094541278091</v>
      </c>
      <c r="K5812" s="6" t="n">
        <f aca="false">Sens!K5809</f>
        <v>110.842344481936</v>
      </c>
    </row>
    <row r="5813" customFormat="false" ht="17.15" hidden="false" customHeight="false" outlineLevel="0" collapsed="false">
      <c r="A5813" s="0" t="s">
        <v>840</v>
      </c>
      <c r="B5813" s="0" t="s">
        <v>98</v>
      </c>
      <c r="C5813" s="6" t="n">
        <f aca="false">Sens!C5812+Sens!C5810</f>
        <v>28.7416845916667</v>
      </c>
      <c r="D5813" s="6" t="n">
        <f aca="false">Sens!D5812+Sens!D5810</f>
        <v>43.4058093833333</v>
      </c>
      <c r="E5813" s="6" t="n">
        <f aca="false">Sens!E5812+Sens!E5810</f>
        <v>86.225053775</v>
      </c>
      <c r="F5813" s="6" t="n">
        <f aca="false">Sens!F5812+Sens!F5810</f>
        <v>168.245652770438</v>
      </c>
      <c r="G5813" s="6" t="n">
        <f aca="false">Sens!G5812+Sens!G5810</f>
        <v>183.5741804832</v>
      </c>
      <c r="H5813" s="6" t="n">
        <f aca="false">Sens!H5812+Sens!H5810</f>
        <v>188.0802859104</v>
      </c>
      <c r="I5813" s="6" t="n">
        <f aca="false">Sens!I5812+Sens!I5810</f>
        <v>163.706669154245</v>
      </c>
      <c r="J5813" s="6" t="n">
        <f aca="false">Sens!J5812+Sens!J5810</f>
        <v>124.51247671809</v>
      </c>
      <c r="K5813" s="6" t="n">
        <f aca="false">Sens!K5812+Sens!K5810</f>
        <v>114.959435641936</v>
      </c>
      <c r="L5813" s="11" t="s">
        <v>841</v>
      </c>
    </row>
    <row r="5814" customFormat="false" ht="17.15" hidden="false" customHeight="false" outlineLevel="0" collapsed="false">
      <c r="A5814" s="0" t="s">
        <v>842</v>
      </c>
      <c r="B5814" s="0" t="s">
        <v>98</v>
      </c>
      <c r="E5814" s="6" t="n">
        <f aca="false">(Sens!C5812*IF(2&lt;life_it,1,IF(2=life_it,0.5,0))+Sens!D5812*IF(1&lt;life_it,1,IF(1=life_it,0.5,0))+Sens!E5812*0.5)/life_it</f>
        <v>15.0605784770833</v>
      </c>
      <c r="F5814" s="6" t="n">
        <f aca="false">(Sens!C5812*IF(3&lt;life_it,1,IF(3=life_it,0.5,0))+Sens!D5812*IF(2&lt;life_it,1,IF(2=life_it,0.5,0))+Sens!E5812*IF(1&lt;life_it,1,IF(1=life_it,0.5,0))+Sens!F5812*0.5)/life_it</f>
        <v>32.2635953558698</v>
      </c>
      <c r="G5814" s="6" t="n">
        <f aca="false">(Sens!C5812*IF(4&lt;life_it,1,IF(4=life_it,0.5,0))+Sens!D5812*IF(3&lt;life_it,1,IF(3=life_it,0.5,0))+Sens!E5812*IF(2&lt;life_it,1,IF(2=life_it,0.5,0))+Sens!F5812*IF(1&lt;life_it,1,IF(1=life_it,0.5,0))+Sens!G5812*0.5)/life_it</f>
        <v>56.4628124603396</v>
      </c>
      <c r="H5814" s="6" t="n">
        <f aca="false">(Sens!C5812*IF(5&lt;life_it,1,IF(5=life_it,0.5,0))+Sens!D5812*IF(4&lt;life_it,1,IF(4=life_it,0.5,0))+Sens!E5812*IF(3&lt;life_it,1,IF(3=life_it,0.5,0))+Sens!F5812*IF(2&lt;life_it,1,IF(2=life_it,0.5,0))+Sens!G5812*IF(1&lt;life_it,1,IF(1=life_it,0.5,0))+Sens!H5812*0.5)/life_it</f>
        <v>82.0974139931396</v>
      </c>
      <c r="I5814" s="6" t="n">
        <f aca="false">(Sens!C5812*IF(6&lt;life_it,1,IF(6=life_it,0.5,0))+Sens!D5812*IF(5&lt;life_it,1,IF(5=life_it,0.5,0))+Sens!E5812*IF(4&lt;life_it,1,IF(4=life_it,0.5,0))+Sens!F5812*IF(3&lt;life_it,1,IF(3=life_it,0.5,0))+Sens!G5812*IF(2&lt;life_it,1,IF(2=life_it,0.5,0))+Sens!H5812*IF(1&lt;life_it,1,IF(1=life_it,0.5,0))+Sens!I5812*0.5)/life_it</f>
        <v>104.973677889221</v>
      </c>
      <c r="J5814" s="6" t="n">
        <f aca="false">(Sens!C5812*IF(7&lt;life_it,1,IF(7=life_it,0.5,0))+Sens!D5812*IF(6&lt;life_it,1,IF(6=life_it,0.5,0))+Sens!E5812*IF(5&lt;life_it,1,IF(5=life_it,0.5,0))+Sens!F5812*IF(4&lt;life_it,1,IF(4=life_it,0.5,0))+Sens!G5812*IF(3&lt;life_it,1,IF(3=life_it,0.5,0))+Sens!H5812*IF(2&lt;life_it,1,IF(2=life_it,0.5,0))+Sens!I5812*IF(1&lt;life_it,1,IF(1=life_it,0.5,0))+Sens!J5812*0.5)/life_it</f>
        <v>121.266930950666</v>
      </c>
      <c r="K5814" s="6" t="n">
        <f aca="false">(Sens!C5812*IF(8&lt;life_it,1,IF(8=life_it,0.5,0))+Sens!D5812*IF(7&lt;life_it,1,IF(7=life_it,0.5,0))+Sens!E5812*IF(6&lt;life_it,1,IF(6=life_it,0.5,0))+Sens!F5812*IF(5&lt;life_it,1,IF(5=life_it,0.5,0))+Sens!G5812*IF(4&lt;life_it,1,IF(4=life_it,0.5,0))+Sens!H5812*IF(3&lt;life_it,1,IF(3=life_it,0.5,0))+Sens!I5812*IF(2&lt;life_it,1,IF(2=life_it,0.5,0))+Sens!J5812*IF(1&lt;life_it,1,IF(1=life_it,0.5,0))+Sens!K5812*0.5)/life_it</f>
        <v>131.292491167474</v>
      </c>
    </row>
    <row r="5815" customFormat="false" ht="17.15" hidden="false" customHeight="false" outlineLevel="0" collapsed="false">
      <c r="A5815" s="0" t="s">
        <v>843</v>
      </c>
      <c r="B5815" s="0" t="s">
        <v>98</v>
      </c>
      <c r="E5815" s="6" t="n">
        <f aca="false">(Sens!C5810*IF(2&lt;life_fac,1,IF(2=life_fac,0.5,0))+Sens!D5810*IF(1&lt;life_fac,1,IF(1=life_fac,0.5,0))+Sens!E5810*0.5)/life_fac</f>
        <v>1.2448275</v>
      </c>
      <c r="F5815" s="6" t="n">
        <f aca="false">(Sens!C5810*IF(3&lt;life_fac,1,IF(3=life_fac,0.5,0))+Sens!D5810*IF(2&lt;life_fac,1,IF(2=life_fac,0.5,0))+Sens!E5810*IF(1&lt;life_fac,1,IF(1=life_fac,0.5,0))+Sens!F5810*0.5)/life_fac</f>
        <v>2.4456901</v>
      </c>
      <c r="G5815" s="6" t="n">
        <f aca="false">(Sens!C5810*IF(4&lt;life_fac,1,IF(4=life_fac,0.5,0))+Sens!D5810*IF(3&lt;life_fac,1,IF(3=life_fac,0.5,0))+Sens!E5810*IF(2&lt;life_fac,1,IF(2=life_fac,0.5,0))+Sens!F5810*IF(1&lt;life_fac,1,IF(1=life_fac,0.5,0))+Sens!G5810*0.5)/life_fac</f>
        <v>3.9814208</v>
      </c>
      <c r="H5815" s="6" t="n">
        <f aca="false">(Sens!C5810*IF(5&lt;life_fac,1,IF(5=life_fac,0.5,0))+Sens!D5810*IF(4&lt;life_fac,1,IF(4=life_fac,0.5,0))+Sens!E5810*IF(3&lt;life_fac,1,IF(3=life_fac,0.5,0))+Sens!F5810*IF(2&lt;life_fac,1,IF(2=life_fac,0.5,0))+Sens!G5810*IF(1&lt;life_fac,1,IF(1=life_fac,0.5,0))+Sens!H5810*0.5)/life_fac</f>
        <v>5.582402</v>
      </c>
      <c r="I5815" s="6" t="n">
        <f aca="false">(Sens!C5810*IF(6&lt;life_fac,1,IF(6=life_fac,0.5,0))+Sens!D5810*IF(5&lt;life_fac,1,IF(5=life_fac,0.5,0))+Sens!E5810*IF(4&lt;life_fac,1,IF(4=life_fac,0.5,0))+Sens!F5810*IF(3&lt;life_fac,1,IF(3=life_fac,0.5,0))+Sens!G5810*IF(2&lt;life_fac,1,IF(2=life_fac,0.5,0))+Sens!H5810*IF(1&lt;life_fac,1,IF(1=life_fac,0.5,0))+Sens!I5810*0.5)/life_fac</f>
        <v>6.950862093</v>
      </c>
      <c r="J5815" s="6" t="n">
        <f aca="false">(Sens!C5810*IF(7&lt;life_fac,1,IF(7=life_fac,0.5,0))+Sens!D5810*IF(6&lt;life_fac,1,IF(6=life_fac,0.5,0))+Sens!E5810*IF(5&lt;life_fac,1,IF(5=life_fac,0.5,0))+Sens!F5810*IF(4&lt;life_fac,1,IF(4=life_fac,0.5,0))+Sens!G5810*IF(3&lt;life_fac,1,IF(3=life_fac,0.5,0))+Sens!H5810*IF(2&lt;life_fac,1,IF(2=life_fac,0.5,0))+Sens!I5810*IF(1&lt;life_fac,1,IF(1=life_fac,0.5,0))+Sens!J5810*0.5)/life_fac</f>
        <v>7.854279972</v>
      </c>
      <c r="K5815" s="6" t="n">
        <f aca="false">(Sens!C5810*IF(8&lt;life_fac,1,IF(8=life_fac,0.5,0))+Sens!D5810*IF(7&lt;life_fac,1,IF(7=life_fac,0.5,0))+Sens!E5810*IF(6&lt;life_fac,1,IF(6=life_fac,0.5,0))+Sens!F5810*IF(5&lt;life_fac,1,IF(5=life_fac,0.5,0))+Sens!G5810*IF(4&lt;life_fac,1,IF(4=life_fac,0.5,0))+Sens!H5810*IF(3&lt;life_fac,1,IF(3=life_fac,0.5,0))+Sens!I5810*IF(2&lt;life_fac,1,IF(2=life_fac,0.5,0))+Sens!J5810*IF(1&lt;life_fac,1,IF(1=life_fac,0.5,0))+Sens!K5810*0.5)/life_fac</f>
        <v>8.292655637</v>
      </c>
    </row>
    <row r="5816" customFormat="false" ht="17.15" hidden="false" customHeight="false" outlineLevel="0" collapsed="false">
      <c r="A5816" s="0" t="s">
        <v>844</v>
      </c>
      <c r="B5816" s="0" t="s">
        <v>98</v>
      </c>
      <c r="E5816" s="6" t="n">
        <f aca="false">Sens!E5814+Sens!E5815</f>
        <v>16.3054059770833</v>
      </c>
      <c r="F5816" s="6" t="n">
        <f aca="false">Sens!F5814+Sens!F5815</f>
        <v>34.7092854558698</v>
      </c>
      <c r="G5816" s="6" t="n">
        <f aca="false">Sens!G5814+Sens!G5815</f>
        <v>60.4442332603396</v>
      </c>
      <c r="H5816" s="6" t="n">
        <f aca="false">Sens!H5814+Sens!H5815</f>
        <v>87.6798159931396</v>
      </c>
      <c r="I5816" s="6" t="n">
        <f aca="false">Sens!I5814+Sens!I5815</f>
        <v>111.924539982221</v>
      </c>
      <c r="J5816" s="6" t="n">
        <f aca="false">Sens!J5814+Sens!J5815</f>
        <v>129.121210922666</v>
      </c>
      <c r="K5816" s="6" t="n">
        <f aca="false">Sens!K5814+Sens!K5815</f>
        <v>139.585146804474</v>
      </c>
    </row>
    <row r="5817" customFormat="false" ht="17.15" hidden="false" customHeight="false" outlineLevel="0" collapsed="false">
      <c r="A5817" s="0" t="s">
        <v>845</v>
      </c>
      <c r="B5817" s="0" t="s">
        <v>98</v>
      </c>
      <c r="E5817" s="6" t="n">
        <f aca="false">Sens!E5805-Sens!E5804*Sens!E5816</f>
        <v>8.92707889977379</v>
      </c>
      <c r="F5817" s="6" t="n">
        <f aca="false">Sens!F5805-Sens!F5804*Sens!F5816</f>
        <v>22.3022821312152</v>
      </c>
      <c r="G5817" s="6" t="n">
        <f aca="false">Sens!G5805-Sens!G5804*Sens!G5816</f>
        <v>42.2047624237015</v>
      </c>
      <c r="H5817" s="6" t="n">
        <f aca="false">Sens!H5805-Sens!H5804*Sens!H5816</f>
        <v>67.5617346653351</v>
      </c>
      <c r="I5817" s="6" t="n">
        <f aca="false">Sens!I5805-Sens!I5804*Sens!I5816</f>
        <v>84.7781098462332</v>
      </c>
      <c r="J5817" s="6" t="n">
        <f aca="false">Sens!J5805-Sens!J5804*Sens!J5816</f>
        <v>96.7386673654554</v>
      </c>
      <c r="K5817" s="6" t="n">
        <f aca="false">Sens!K5805-Sens!K5804*Sens!K5816</f>
        <v>104.676852960045</v>
      </c>
    </row>
    <row r="5818" customFormat="false" ht="17.15" hidden="false" customHeight="false" outlineLevel="0" collapsed="false">
      <c r="A5818" s="3" t="s">
        <v>1385</v>
      </c>
    </row>
    <row r="5819" customFormat="false" ht="15" hidden="false" customHeight="false" outlineLevel="0" collapsed="false">
      <c r="A5819" s="4" t="s">
        <v>43</v>
      </c>
      <c r="B5819" s="4" t="s">
        <v>65</v>
      </c>
      <c r="C5819" s="20" t="s">
        <v>788</v>
      </c>
      <c r="D5819" s="20" t="s">
        <v>789</v>
      </c>
      <c r="E5819" s="20" t="s">
        <v>790</v>
      </c>
      <c r="F5819" s="20" t="s">
        <v>791</v>
      </c>
      <c r="G5819" s="20" t="s">
        <v>792</v>
      </c>
      <c r="H5819" s="20" t="s">
        <v>793</v>
      </c>
      <c r="I5819" s="20" t="s">
        <v>794</v>
      </c>
      <c r="J5819" s="20" t="s">
        <v>795</v>
      </c>
      <c r="K5819" s="20" t="s">
        <v>796</v>
      </c>
      <c r="L5819" s="4" t="s">
        <v>47</v>
      </c>
    </row>
    <row r="5820" customFormat="false" ht="17.15" hidden="false" customHeight="false" outlineLevel="0" collapsed="false">
      <c r="A5820" s="0" t="s">
        <v>864</v>
      </c>
      <c r="B5820" s="0" t="s">
        <v>98</v>
      </c>
      <c r="D5820" s="6" t="n">
        <f aca="false">Sens!D5799</f>
        <v>12.9359794422418</v>
      </c>
      <c r="E5820" s="6" t="n">
        <f aca="false">Sens!E5799</f>
        <v>27.8095064661409</v>
      </c>
      <c r="F5820" s="6" t="n">
        <f aca="false">Sens!F5799</f>
        <v>58.7324192305018</v>
      </c>
      <c r="G5820" s="6" t="n">
        <f aca="false">Sens!G5799</f>
        <v>101.369089141153</v>
      </c>
      <c r="H5820" s="6" t="n">
        <f aca="false">Sens!H5799</f>
        <v>149.785610014234</v>
      </c>
      <c r="I5820" s="6" t="n">
        <f aca="false">Sens!I5799</f>
        <v>187.368703083263</v>
      </c>
      <c r="J5820" s="6" t="n">
        <f aca="false">Sens!J5799</f>
        <v>213.569023125577</v>
      </c>
      <c r="K5820" s="6" t="n">
        <f aca="false">Sens!K5799</f>
        <v>229.890205197739</v>
      </c>
    </row>
    <row r="5821" customFormat="false" ht="17.15" hidden="false" customHeight="false" outlineLevel="0" collapsed="false">
      <c r="A5821" s="0" t="s">
        <v>865</v>
      </c>
      <c r="B5821" s="0" t="s">
        <v>98</v>
      </c>
      <c r="D5821" s="6" t="n">
        <f aca="false">Q!L6-Sens!D5820</f>
        <v>59.6740205577583</v>
      </c>
      <c r="E5821" s="6" t="n">
        <f aca="false">Q!M6-Sens!E5820</f>
        <v>74.1284935338591</v>
      </c>
      <c r="F5821" s="6" t="n">
        <f aca="false">Sens!E5821*(1+Sens!F5822)</f>
        <v>90.0799497373663</v>
      </c>
      <c r="G5821" s="6" t="n">
        <f aca="false">Sens!F5821*(1+Sens!G5822)</f>
        <v>107.02842520331</v>
      </c>
      <c r="H5821" s="6" t="n">
        <f aca="false">Sens!G5821*(1+Sens!H5822)</f>
        <v>124.271982585636</v>
      </c>
      <c r="I5821" s="6" t="n">
        <f aca="false">Sens!H5821*(1+Sens!I5822)</f>
        <v>140.933702381855</v>
      </c>
      <c r="J5821" s="6" t="n">
        <f aca="false">Sens!I5821*(1+Sens!J5822)</f>
        <v>156.018867314332</v>
      </c>
      <c r="K5821" s="6" t="n">
        <f aca="false">Sens!J5821*(1+Sens!K5822)</f>
        <v>168.500376699478</v>
      </c>
    </row>
    <row r="5822" customFormat="false" ht="15" hidden="false" customHeight="false" outlineLevel="0" collapsed="false">
      <c r="A5822" s="1" t="s">
        <v>866</v>
      </c>
      <c r="B5822" s="0" t="s">
        <v>129</v>
      </c>
      <c r="E5822" s="7" t="n">
        <f aca="false">Sens!E5821/Sens!D5821-1</f>
        <v>0.242223883039864</v>
      </c>
      <c r="F5822" s="7" t="n">
        <f aca="false">Sens!$E$5822+(glt_azo-Sens!$E$5822)*MIN(1,(Sens!F5782-base_fy)/n_conv)</f>
        <v>0.215186569199887</v>
      </c>
      <c r="G5822" s="7" t="n">
        <f aca="false">Sens!$E$5822+(glt_azo-Sens!$E$5822)*MIN(1,(Sens!G5782-base_fy)/n_conv)</f>
        <v>0.18814925535991</v>
      </c>
      <c r="H5822" s="7" t="n">
        <f aca="false">Sens!$E$5822+(glt_azo-Sens!$E$5822)*MIN(1,(Sens!H5782-base_fy)/n_conv)</f>
        <v>0.161111941519932</v>
      </c>
      <c r="I5822" s="7" t="n">
        <f aca="false">Sens!$E$5822+(glt_azo-Sens!$E$5822)*MIN(1,(Sens!I5782-base_fy)/n_conv)</f>
        <v>0.134074627679955</v>
      </c>
      <c r="J5822" s="7" t="n">
        <f aca="false">Sens!$E$5822+(glt_azo-Sens!$E$5822)*MIN(1,(Sens!J5782-base_fy)/n_conv)</f>
        <v>0.107037313839977</v>
      </c>
      <c r="K5822" s="7" t="n">
        <f aca="false">Sens!$E$5822+(glt_azo-Sens!$E$5822)*MIN(1,(Sens!K5782-base_fy)/n_conv)</f>
        <v>0.08</v>
      </c>
    </row>
    <row r="5823" customFormat="false" ht="15" hidden="false" customHeight="false" outlineLevel="0" collapsed="false">
      <c r="A5823" s="0" t="s">
        <v>867</v>
      </c>
      <c r="B5823" s="0" t="s">
        <v>98</v>
      </c>
      <c r="D5823" s="6" t="n">
        <f aca="false">Sens!D5820+Sens!D5821</f>
        <v>72.61</v>
      </c>
      <c r="E5823" s="6" t="n">
        <f aca="false">Sens!E5820+Sens!E5821</f>
        <v>101.938</v>
      </c>
      <c r="F5823" s="6" t="n">
        <f aca="false">Sens!F5820+Sens!F5821</f>
        <v>148.812368967868</v>
      </c>
      <c r="G5823" s="6" t="n">
        <f aca="false">Sens!G5820+Sens!G5821</f>
        <v>208.397514344463</v>
      </c>
      <c r="H5823" s="6" t="n">
        <f aca="false">Sens!H5820+Sens!H5821</f>
        <v>274.05759259987</v>
      </c>
      <c r="I5823" s="6" t="n">
        <f aca="false">Sens!I5820+Sens!I5821</f>
        <v>328.302405465117</v>
      </c>
      <c r="J5823" s="6" t="n">
        <f aca="false">Sens!J5820+Sens!J5821</f>
        <v>369.587890439908</v>
      </c>
      <c r="K5823" s="6" t="n">
        <f aca="false">Sens!K5820+Sens!K5821</f>
        <v>398.390581897217</v>
      </c>
    </row>
    <row r="5824" customFormat="false" ht="17.15" hidden="false" customHeight="false" outlineLevel="0" collapsed="false">
      <c r="A5824" s="0" t="s">
        <v>868</v>
      </c>
      <c r="B5824" s="1" t="s">
        <v>521</v>
      </c>
      <c r="C5824" s="29" t="n">
        <f aca="false">cop_s24</f>
        <v>1</v>
      </c>
      <c r="D5824" s="29" t="n">
        <f aca="false">cop_s25</f>
        <v>5</v>
      </c>
      <c r="E5824" s="29" t="n">
        <f aca="false">cop_s26</f>
        <v>30</v>
      </c>
      <c r="F5824" s="29" t="n">
        <f aca="false">Sens!E5824+cop_add_A*1.5</f>
        <v>75</v>
      </c>
      <c r="G5824" s="29" t="n">
        <f aca="false">Sens!F5824+cop_add_A*1.5</f>
        <v>120</v>
      </c>
      <c r="H5824" s="29" t="n">
        <f aca="false">Sens!G5824+cop_add_A*1.5</f>
        <v>165</v>
      </c>
      <c r="I5824" s="29" t="n">
        <f aca="false">Sens!H5824+cop_add_A*1.5*cop_tail</f>
        <v>187.5</v>
      </c>
      <c r="J5824" s="29" t="n">
        <f aca="false">Sens!I5824+cop_add_A*1.5*cop_tail</f>
        <v>210</v>
      </c>
      <c r="K5824" s="29" t="n">
        <f aca="false">Sens!J5824+cop_add_A*1.5*cop_tail</f>
        <v>232.5</v>
      </c>
      <c r="L5824" s="11" t="s">
        <v>869</v>
      </c>
    </row>
    <row r="5825" customFormat="false" ht="17.15" hidden="false" customHeight="false" outlineLevel="0" collapsed="false">
      <c r="A5825" s="0" t="s">
        <v>870</v>
      </c>
      <c r="B5825" s="0" t="s">
        <v>98</v>
      </c>
      <c r="D5825" s="6" t="n">
        <f aca="false">(Sens!C5824+Sens!D5824)/2*cop_px*12/1000</f>
        <v>0.9</v>
      </c>
      <c r="E5825" s="6" t="n">
        <f aca="false">(Sens!D5824+Sens!E5824)/2*cop_px*12/1000</f>
        <v>5.25</v>
      </c>
      <c r="F5825" s="6" t="n">
        <f aca="false">(Sens!E5824+Sens!F5824)/2*cop_px*12/1000</f>
        <v>15.75</v>
      </c>
      <c r="G5825" s="6" t="n">
        <f aca="false">(Sens!F5824+Sens!G5824)/2*cop_px*12/1000</f>
        <v>29.25</v>
      </c>
      <c r="H5825" s="6" t="n">
        <f aca="false">(Sens!G5824+Sens!H5824)/2*cop_px*12/1000</f>
        <v>42.75</v>
      </c>
      <c r="I5825" s="6" t="n">
        <f aca="false">(Sens!H5824+Sens!I5824)/2*cop_px*12/1000</f>
        <v>52.875</v>
      </c>
      <c r="J5825" s="6" t="n">
        <f aca="false">(Sens!I5824+Sens!J5824)/2*cop_px*12/1000</f>
        <v>59.625</v>
      </c>
      <c r="K5825" s="6" t="n">
        <f aca="false">(Sens!J5824+Sens!K5824)/2*cop_px*12/1000</f>
        <v>66.375</v>
      </c>
      <c r="L5825" s="1" t="s">
        <v>871</v>
      </c>
    </row>
    <row r="5826" customFormat="false" ht="17.15" hidden="false" customHeight="false" outlineLevel="0" collapsed="false">
      <c r="A5826" s="0" t="s">
        <v>872</v>
      </c>
      <c r="B5826" s="0" t="s">
        <v>98</v>
      </c>
      <c r="D5826" s="6" t="n">
        <f aca="false">Q!L7-Sens!D5825</f>
        <v>83.705</v>
      </c>
      <c r="E5826" s="6" t="n">
        <f aca="false">Q!M7-Sens!E5825</f>
        <v>95.049</v>
      </c>
      <c r="F5826" s="6" t="n">
        <f aca="false">Sens!E5826*(1+Sens!F5827)</f>
        <v>106.89238776686</v>
      </c>
      <c r="G5826" s="6" t="n">
        <f aca="false">Sens!F5826*(1+Sens!G5827)</f>
        <v>119.044168448684</v>
      </c>
      <c r="H5826" s="6" t="n">
        <f aca="false">Sens!G5826*(1+Sens!H5827)</f>
        <v>131.277359388781</v>
      </c>
      <c r="I5826" s="6" t="n">
        <f aca="false">Sens!H5826*(1+Sens!I5827)</f>
        <v>143.334028071957</v>
      </c>
      <c r="J5826" s="6" t="n">
        <f aca="false">Sens!I5826*(1+Sens!J5827)</f>
        <v>154.932702785465</v>
      </c>
      <c r="K5826" s="6" t="n">
        <f aca="false">Sens!J5826*(1+Sens!K5827)</f>
        <v>165.777991980448</v>
      </c>
    </row>
    <row r="5827" customFormat="false" ht="15" hidden="false" customHeight="false" outlineLevel="0" collapsed="false">
      <c r="A5827" s="1" t="s">
        <v>866</v>
      </c>
      <c r="B5827" s="0" t="s">
        <v>129</v>
      </c>
      <c r="E5827" s="7" t="n">
        <f aca="false">Sens!E5826/Sens!D5826-1</f>
        <v>0.135523564900544</v>
      </c>
      <c r="F5827" s="7" t="n">
        <f aca="false">Sens!$E$5827+(glt_m365b-Sens!$E$5827)*MIN(1,(Sens!F5782-base_fy)/n_conv)</f>
        <v>0.124602970750453</v>
      </c>
      <c r="G5827" s="7" t="n">
        <f aca="false">Sens!$E$5827+(glt_m365b-Sens!$E$5827)*MIN(1,(Sens!G5782-base_fy)/n_conv)</f>
        <v>0.113682376600363</v>
      </c>
      <c r="H5827" s="7" t="n">
        <f aca="false">Sens!$E$5827+(glt_m365b-Sens!$E$5827)*MIN(1,(Sens!H5782-base_fy)/n_conv)</f>
        <v>0.102761782450272</v>
      </c>
      <c r="I5827" s="7" t="n">
        <f aca="false">Sens!$E$5827+(glt_m365b-Sens!$E$5827)*MIN(1,(Sens!I5782-base_fy)/n_conv)</f>
        <v>0.0918411883001813</v>
      </c>
      <c r="J5827" s="7" t="n">
        <f aca="false">Sens!$E$5827+(glt_m365b-Sens!$E$5827)*MIN(1,(Sens!J5782-base_fy)/n_conv)</f>
        <v>0.0809205941500906</v>
      </c>
      <c r="K5827" s="7" t="n">
        <f aca="false">Sens!$E$5827+(glt_m365b-Sens!$E$5827)*MIN(1,(Sens!K5782-base_fy)/n_conv)</f>
        <v>0.07</v>
      </c>
    </row>
    <row r="5828" customFormat="false" ht="15" hidden="false" customHeight="false" outlineLevel="0" collapsed="false">
      <c r="A5828" s="0" t="s">
        <v>873</v>
      </c>
      <c r="B5828" s="0" t="s">
        <v>98</v>
      </c>
      <c r="D5828" s="6" t="n">
        <f aca="false">Sens!D5826+Sens!D5825</f>
        <v>84.605</v>
      </c>
      <c r="E5828" s="6" t="n">
        <f aca="false">Sens!E5826+Sens!E5825</f>
        <v>100.299</v>
      </c>
      <c r="F5828" s="6" t="n">
        <f aca="false">Sens!F5826+Sens!F5825</f>
        <v>122.64238776686</v>
      </c>
      <c r="G5828" s="6" t="n">
        <f aca="false">Sens!G5826+Sens!G5825</f>
        <v>148.294168448684</v>
      </c>
      <c r="H5828" s="6" t="n">
        <f aca="false">Sens!H5826+Sens!H5825</f>
        <v>174.027359388781</v>
      </c>
      <c r="I5828" s="6" t="n">
        <f aca="false">Sens!I5826+Sens!I5825</f>
        <v>196.209028071957</v>
      </c>
      <c r="J5828" s="6" t="n">
        <f aca="false">Sens!J5826+Sens!J5825</f>
        <v>214.557702785465</v>
      </c>
      <c r="K5828" s="6" t="n">
        <f aca="false">Sens!K5826+Sens!K5825</f>
        <v>232.152991980448</v>
      </c>
    </row>
    <row r="5829" customFormat="false" ht="15" hidden="false" customHeight="false" outlineLevel="0" collapsed="false">
      <c r="A5829" s="0" t="s">
        <v>874</v>
      </c>
      <c r="B5829" s="0" t="s">
        <v>98</v>
      </c>
      <c r="D5829" s="6" t="n">
        <f aca="false">Q!L8</f>
        <v>35.391</v>
      </c>
      <c r="E5829" s="6" t="n">
        <f aca="false">Q!M8</f>
        <v>37.285</v>
      </c>
      <c r="F5829" s="6" t="n">
        <f aca="false">Sens!E5829*(1+Sens!F5830)</f>
        <v>39.0720834331704</v>
      </c>
      <c r="G5829" s="6" t="n">
        <f aca="false">Sens!F5829*(1+Sens!G5830)</f>
        <v>40.726562953769</v>
      </c>
      <c r="H5829" s="6" t="n">
        <f aca="false">Sens!G5829*(1+Sens!H5830)</f>
        <v>42.2235987259198</v>
      </c>
      <c r="I5829" s="6" t="n">
        <f aca="false">Sens!H5829*(1+Sens!I5830)</f>
        <v>43.5397988077414</v>
      </c>
      <c r="J5829" s="6" t="n">
        <f aca="false">Sens!I5829*(1+Sens!J5830)</f>
        <v>44.653811225693</v>
      </c>
      <c r="K5829" s="6" t="n">
        <f aca="false">Sens!J5829*(1+Sens!K5830)</f>
        <v>45.5468874502068</v>
      </c>
    </row>
    <row r="5830" customFormat="false" ht="15" hidden="false" customHeight="false" outlineLevel="0" collapsed="false">
      <c r="A5830" s="1" t="s">
        <v>866</v>
      </c>
      <c r="B5830" s="0" t="s">
        <v>129</v>
      </c>
      <c r="E5830" s="7" t="n">
        <f aca="false">Sens!E5829/Sens!D5829-1</f>
        <v>0.0535164307309768</v>
      </c>
      <c r="F5830" s="7" t="n">
        <f aca="false">Sens!$E$5830+(glt_lic-Sens!$E$5830)*MIN(1,(Sens!F5782-base_fy)/n_conv)</f>
        <v>0.0479303589424807</v>
      </c>
      <c r="G5830" s="7" t="n">
        <f aca="false">Sens!$E$5830+(glt_lic-Sens!$E$5830)*MIN(1,(Sens!G5782-base_fy)/n_conv)</f>
        <v>0.0423442871539845</v>
      </c>
      <c r="H5830" s="7" t="n">
        <f aca="false">Sens!$E$5830+(glt_lic-Sens!$E$5830)*MIN(1,(Sens!H5782-base_fy)/n_conv)</f>
        <v>0.0367582153654884</v>
      </c>
      <c r="I5830" s="7" t="n">
        <f aca="false">Sens!$E$5830+(glt_lic-Sens!$E$5830)*MIN(1,(Sens!I5782-base_fy)/n_conv)</f>
        <v>0.0311721435769923</v>
      </c>
      <c r="J5830" s="7" t="n">
        <f aca="false">Sens!$E$5830+(glt_lic-Sens!$E$5830)*MIN(1,(Sens!J5782-base_fy)/n_conv)</f>
        <v>0.0255860717884961</v>
      </c>
      <c r="K5830" s="7" t="n">
        <f aca="false">Sens!$E$5830+(glt_lic-Sens!$E$5830)*MIN(1,(Sens!K5782-base_fy)/n_conv)</f>
        <v>0.02</v>
      </c>
    </row>
    <row r="5831" customFormat="false" ht="15" hidden="false" customHeight="false" outlineLevel="0" collapsed="false">
      <c r="A5831" s="0" t="s">
        <v>875</v>
      </c>
      <c r="B5831" s="0" t="s">
        <v>98</v>
      </c>
      <c r="D5831" s="6" t="n">
        <f aca="false">Q!L9</f>
        <v>18.417</v>
      </c>
      <c r="E5831" s="6" t="n">
        <f aca="false">Q!M9</f>
        <v>20.345</v>
      </c>
      <c r="F5831" s="6" t="n">
        <f aca="false">Sens!E5831*(1+Sens!F5832)</f>
        <v>22.3572203267814</v>
      </c>
      <c r="G5831" s="6" t="n">
        <f aca="false">Sens!F5831*(1+Sens!G5832)</f>
        <v>24.4392124437232</v>
      </c>
      <c r="H5831" s="6" t="n">
        <f aca="false">Sens!G5831*(1+Sens!H5832)</f>
        <v>26.5738052080665</v>
      </c>
      <c r="I5831" s="6" t="n">
        <f aca="false">Sens!H5831*(1+Sens!I5832)</f>
        <v>28.7412169166967</v>
      </c>
      <c r="J5831" s="6" t="n">
        <f aca="false">Sens!I5831*(1+Sens!J5832)</f>
        <v>30.9192545395413</v>
      </c>
      <c r="K5831" s="6" t="n">
        <f aca="false">Sens!J5831*(1+Sens!K5832)</f>
        <v>33.0836023573092</v>
      </c>
    </row>
    <row r="5832" customFormat="false" ht="15" hidden="false" customHeight="false" outlineLevel="0" collapsed="false">
      <c r="A5832" s="1" t="s">
        <v>866</v>
      </c>
      <c r="B5832" s="0" t="s">
        <v>129</v>
      </c>
      <c r="E5832" s="7" t="n">
        <f aca="false">Sens!E5831/Sens!D5831-1</f>
        <v>0.104685888038225</v>
      </c>
      <c r="F5832" s="7" t="n">
        <f aca="false">Sens!$E$5832+(glt_ind-Sens!$E$5832)*MIN(1,(Sens!F5782-base_fy)/n_conv)</f>
        <v>0.0989049066985211</v>
      </c>
      <c r="G5832" s="7" t="n">
        <f aca="false">Sens!$E$5832+(glt_ind-Sens!$E$5832)*MIN(1,(Sens!G5782-base_fy)/n_conv)</f>
        <v>0.0931239253588169</v>
      </c>
      <c r="H5832" s="7" t="n">
        <f aca="false">Sens!$E$5832+(glt_ind-Sens!$E$5832)*MIN(1,(Sens!H5782-base_fy)/n_conv)</f>
        <v>0.0873429440191127</v>
      </c>
      <c r="I5832" s="7" t="n">
        <f aca="false">Sens!$E$5832+(glt_ind-Sens!$E$5832)*MIN(1,(Sens!I5782-base_fy)/n_conv)</f>
        <v>0.0815619626794085</v>
      </c>
      <c r="J5832" s="7" t="n">
        <f aca="false">Sens!$E$5832+(glt_ind-Sens!$E$5832)*MIN(1,(Sens!J5782-base_fy)/n_conv)</f>
        <v>0.0757809813397042</v>
      </c>
      <c r="K5832" s="7" t="n">
        <f aca="false">Sens!$E$5832+(glt_ind-Sens!$E$5832)*MIN(1,(Sens!K5782-base_fy)/n_conv)</f>
        <v>0.07</v>
      </c>
    </row>
    <row r="5833" customFormat="false" ht="15" hidden="false" customHeight="false" outlineLevel="0" collapsed="false">
      <c r="A5833" s="0" t="s">
        <v>876</v>
      </c>
      <c r="B5833" s="0" t="s">
        <v>98</v>
      </c>
      <c r="D5833" s="6" t="n">
        <f aca="false">Q!L10</f>
        <v>7.76</v>
      </c>
      <c r="E5833" s="6" t="n">
        <f aca="false">Q!M10</f>
        <v>8.26</v>
      </c>
      <c r="F5833" s="6" t="n">
        <f aca="false">Sens!E5833*(1+Sens!F5834)</f>
        <v>8.79988041237113</v>
      </c>
      <c r="G5833" s="6" t="n">
        <f aca="false">Sens!F5833*(1+Sens!G5834)</f>
        <v>9.38321269125306</v>
      </c>
      <c r="H5833" s="6" t="n">
        <f aca="false">Sens!G5833*(1+Sens!H5834)</f>
        <v>10.0139193587476</v>
      </c>
      <c r="I5833" s="6" t="n">
        <f aca="false">Sens!H5833*(1+Sens!I5834)</f>
        <v>10.6963111830911</v>
      </c>
      <c r="J5833" s="6" t="n">
        <f aca="false">Sens!I5833*(1+Sens!J5834)</f>
        <v>11.4351285534696</v>
      </c>
      <c r="K5833" s="6" t="n">
        <f aca="false">Sens!J5833*(1+Sens!K5834)</f>
        <v>12.2355875522124</v>
      </c>
    </row>
    <row r="5834" customFormat="false" ht="15" hidden="false" customHeight="false" outlineLevel="0" collapsed="false">
      <c r="A5834" s="1" t="s">
        <v>866</v>
      </c>
      <c r="B5834" s="0" t="s">
        <v>129</v>
      </c>
      <c r="E5834" s="7" t="n">
        <f aca="false">Sens!E5833/Sens!D5833-1</f>
        <v>0.0644329896907216</v>
      </c>
      <c r="F5834" s="7" t="n">
        <f aca="false">Sens!$E$5834+(glt_fro-Sens!$E$5834)*MIN(1,(Sens!F5782-base_fy)/n_conv)</f>
        <v>0.065360824742268</v>
      </c>
      <c r="G5834" s="7" t="n">
        <f aca="false">Sens!$E$5834+(glt_fro-Sens!$E$5834)*MIN(1,(Sens!G5782-base_fy)/n_conv)</f>
        <v>0.0662886597938144</v>
      </c>
      <c r="H5834" s="7" t="n">
        <f aca="false">Sens!$E$5834+(glt_fro-Sens!$E$5834)*MIN(1,(Sens!H5782-base_fy)/n_conv)</f>
        <v>0.0672164948453608</v>
      </c>
      <c r="I5834" s="7" t="n">
        <f aca="false">Sens!$E$5834+(glt_fro-Sens!$E$5834)*MIN(1,(Sens!I5782-base_fy)/n_conv)</f>
        <v>0.0681443298969072</v>
      </c>
      <c r="J5834" s="7" t="n">
        <f aca="false">Sens!$E$5834+(glt_fro-Sens!$E$5834)*MIN(1,(Sens!J5782-base_fy)/n_conv)</f>
        <v>0.0690721649484536</v>
      </c>
      <c r="K5834" s="7" t="n">
        <f aca="false">Sens!$E$5834+(glt_fro-Sens!$E$5834)*MIN(1,(Sens!K5782-base_fy)/n_conv)</f>
        <v>0.07</v>
      </c>
    </row>
    <row r="5835" customFormat="false" ht="15" hidden="false" customHeight="false" outlineLevel="0" collapsed="false">
      <c r="A5835" s="0" t="s">
        <v>704</v>
      </c>
      <c r="B5835" s="0" t="s">
        <v>98</v>
      </c>
      <c r="D5835" s="6" t="n">
        <f aca="false">Sens!D5823+Sens!D5828+Sens!D5829+Sens!D5831+Sens!D5833</f>
        <v>218.783</v>
      </c>
      <c r="E5835" s="6" t="n">
        <f aca="false">Sens!E5823+Sens!E5828+Sens!E5829+Sens!E5831+Sens!E5833</f>
        <v>268.127</v>
      </c>
      <c r="F5835" s="6" t="n">
        <f aca="false">Sens!F5823+Sens!F5828+Sens!F5829+Sens!F5831+Sens!F5833</f>
        <v>341.683940907051</v>
      </c>
      <c r="G5835" s="6" t="n">
        <f aca="false">Sens!G5823+Sens!G5828+Sens!G5829+Sens!G5831+Sens!G5833</f>
        <v>431.240670881892</v>
      </c>
      <c r="H5835" s="6" t="n">
        <f aca="false">Sens!H5823+Sens!H5828+Sens!H5829+Sens!H5831+Sens!H5833</f>
        <v>526.896275281385</v>
      </c>
      <c r="I5835" s="6" t="n">
        <f aca="false">Sens!I5823+Sens!I5828+Sens!I5829+Sens!I5831+Sens!I5833</f>
        <v>607.488760444604</v>
      </c>
      <c r="J5835" s="6" t="n">
        <f aca="false">Sens!J5823+Sens!J5828+Sens!J5829+Sens!J5831+Sens!J5833</f>
        <v>671.153787544077</v>
      </c>
      <c r="K5835" s="6" t="n">
        <f aca="false">Sens!K5823+Sens!K5828+Sens!K5829+Sens!K5831+Sens!K5833</f>
        <v>721.409651237393</v>
      </c>
    </row>
    <row r="5836" customFormat="false" ht="15" hidden="false" customHeight="false" outlineLevel="0" collapsed="false">
      <c r="A5836" s="0" t="s">
        <v>877</v>
      </c>
      <c r="B5836" s="0" t="s">
        <v>98</v>
      </c>
      <c r="D5836" s="6" t="n">
        <f aca="false">Q!L13</f>
        <v>22.171</v>
      </c>
      <c r="E5836" s="6" t="n">
        <f aca="false">Q!M13</f>
        <v>24.835</v>
      </c>
      <c r="F5836" s="6" t="n">
        <f aca="false">Sens!E5836*(1+Sens!F5837)</f>
        <v>27.6114901218559</v>
      </c>
      <c r="G5836" s="6" t="n">
        <f aca="false">Sens!F5836*(1+Sens!G5837)</f>
        <v>30.4675667338515</v>
      </c>
      <c r="H5836" s="6" t="n">
        <f aca="false">Sens!G5836*(1+Sens!H5837)</f>
        <v>33.3643766955789</v>
      </c>
      <c r="I5836" s="6" t="n">
        <f aca="false">Sens!H5836*(1+Sens!I5837)</f>
        <v>36.2577016533691</v>
      </c>
      <c r="J5836" s="6" t="n">
        <f aca="false">Sens!I5836*(1+Sens!J5837)</f>
        <v>39.0988367952171</v>
      </c>
      <c r="K5836" s="6" t="n">
        <f aca="false">Sens!J5836*(1+Sens!K5837)</f>
        <v>41.8357553708823</v>
      </c>
    </row>
    <row r="5837" customFormat="false" ht="15" hidden="false" customHeight="false" outlineLevel="0" collapsed="false">
      <c r="A5837" s="1" t="s">
        <v>866</v>
      </c>
      <c r="B5837" s="0" t="s">
        <v>129</v>
      </c>
      <c r="E5837" s="7" t="n">
        <f aca="false">Sens!E5836/Sens!D5836-1</f>
        <v>0.120156961796942</v>
      </c>
      <c r="F5837" s="7" t="n">
        <f aca="false">Sens!$E$5837+(glt_srch-Sens!$E$5837)*MIN(1,(Sens!F5782-base_fy)/n_conv)</f>
        <v>0.111797468164118</v>
      </c>
      <c r="G5837" s="7" t="n">
        <f aca="false">Sens!$E$5837+(glt_srch-Sens!$E$5837)*MIN(1,(Sens!G5782-base_fy)/n_conv)</f>
        <v>0.103437974531295</v>
      </c>
      <c r="H5837" s="7" t="n">
        <f aca="false">Sens!$E$5837+(glt_srch-Sens!$E$5837)*MIN(1,(Sens!H5782-base_fy)/n_conv)</f>
        <v>0.095078480898471</v>
      </c>
      <c r="I5837" s="7" t="n">
        <f aca="false">Sens!$E$5837+(glt_srch-Sens!$E$5837)*MIN(1,(Sens!I5782-base_fy)/n_conv)</f>
        <v>0.0867189872656474</v>
      </c>
      <c r="J5837" s="7" t="n">
        <f aca="false">Sens!$E$5837+(glt_srch-Sens!$E$5837)*MIN(1,(Sens!J5782-base_fy)/n_conv)</f>
        <v>0.0783594936328237</v>
      </c>
      <c r="K5837" s="7" t="n">
        <f aca="false">Sens!$E$5837+(glt_srch-Sens!$E$5837)*MIN(1,(Sens!K5782-base_fy)/n_conv)</f>
        <v>0.07</v>
      </c>
    </row>
    <row r="5838" customFormat="false" ht="15" hidden="false" customHeight="false" outlineLevel="0" collapsed="false">
      <c r="A5838" s="0" t="s">
        <v>878</v>
      </c>
      <c r="B5838" s="0" t="s">
        <v>98</v>
      </c>
      <c r="D5838" s="6" t="n">
        <f aca="false">Q!L14</f>
        <v>23.455</v>
      </c>
      <c r="E5838" s="6" t="n">
        <f aca="false">Q!M14</f>
        <v>21.79</v>
      </c>
      <c r="F5838" s="6" t="n">
        <f aca="false">Sens!E5838*(1+Sens!F5839)</f>
        <v>20.5736277908051</v>
      </c>
      <c r="G5838" s="6" t="n">
        <f aca="false">Sens!F5838*(1+Sens!G5839)</f>
        <v>19.7371452817919</v>
      </c>
      <c r="H5838" s="6" t="n">
        <f aca="false">Sens!G5838*(1+Sens!H5839)</f>
        <v>19.2339764043138</v>
      </c>
      <c r="I5838" s="6" t="n">
        <f aca="false">Sens!H5838*(1+Sens!I5839)</f>
        <v>19.0353086852681</v>
      </c>
      <c r="J5838" s="6" t="n">
        <f aca="false">Sens!I5838*(1+Sens!J5839)</f>
        <v>19.1273539319129</v>
      </c>
      <c r="K5838" s="6" t="n">
        <f aca="false">Sens!J5838*(1+Sens!K5839)</f>
        <v>19.5099010105511</v>
      </c>
    </row>
    <row r="5839" customFormat="false" ht="15" hidden="false" customHeight="false" outlineLevel="0" collapsed="false">
      <c r="A5839" s="1" t="s">
        <v>866</v>
      </c>
      <c r="B5839" s="0" t="s">
        <v>129</v>
      </c>
      <c r="E5839" s="7" t="n">
        <f aca="false">Sens!E5838/Sens!D5838-1</f>
        <v>-0.0709869963760392</v>
      </c>
      <c r="F5839" s="7" t="n">
        <f aca="false">Sens!$E$5839+(glt_xbox-Sens!$E$5839)*MIN(1,(Sens!F5782-base_fy)/n_conv)</f>
        <v>-0.0558224969800327</v>
      </c>
      <c r="G5839" s="7" t="n">
        <f aca="false">Sens!$E$5839+(glt_xbox-Sens!$E$5839)*MIN(1,(Sens!G5782-base_fy)/n_conv)</f>
        <v>-0.0406579975840262</v>
      </c>
      <c r="H5839" s="7" t="n">
        <f aca="false">Sens!$E$5839+(glt_xbox-Sens!$E$5839)*MIN(1,(Sens!H5782-base_fy)/n_conv)</f>
        <v>-0.0254934981880196</v>
      </c>
      <c r="I5839" s="7" t="n">
        <f aca="false">Sens!$E$5839+(glt_xbox-Sens!$E$5839)*MIN(1,(Sens!I5782-base_fy)/n_conv)</f>
        <v>-0.0103289987920131</v>
      </c>
      <c r="J5839" s="7" t="n">
        <f aca="false">Sens!$E$5839+(glt_xbox-Sens!$E$5839)*MIN(1,(Sens!J5782-base_fy)/n_conv)</f>
        <v>0.00483550060399347</v>
      </c>
      <c r="K5839" s="7" t="n">
        <f aca="false">Sens!$E$5839+(glt_xbox-Sens!$E$5839)*MIN(1,(Sens!K5782-base_fy)/n_conv)</f>
        <v>0.02</v>
      </c>
    </row>
    <row r="5840" customFormat="false" ht="15" hidden="false" customHeight="false" outlineLevel="0" collapsed="false">
      <c r="A5840" s="0" t="s">
        <v>879</v>
      </c>
      <c r="B5840" s="0" t="s">
        <v>98</v>
      </c>
      <c r="D5840" s="6" t="n">
        <f aca="false">Q!L15</f>
        <v>17.315</v>
      </c>
      <c r="E5840" s="6" t="n">
        <f aca="false">Q!M15</f>
        <v>17.087</v>
      </c>
      <c r="F5840" s="6" t="n">
        <f aca="false">Sens!E5840*(1+Sens!F5841)</f>
        <v>16.9564585436519</v>
      </c>
      <c r="G5840" s="6" t="n">
        <f aca="false">Sens!F5840*(1+Sens!G5841)</f>
        <v>16.9206490624268</v>
      </c>
      <c r="H5840" s="6" t="n">
        <f aca="false">Sens!G5840*(1+Sens!H5841)</f>
        <v>16.9784519149849</v>
      </c>
      <c r="I5840" s="6" t="n">
        <f aca="false">Sens!H5840*(1+Sens!I5841)</f>
        <v>17.1303084701817</v>
      </c>
      <c r="J5840" s="6" t="n">
        <f aca="false">Sens!I5840*(1+Sens!J5841)</f>
        <v>17.3782189407267</v>
      </c>
      <c r="K5840" s="6" t="n">
        <f aca="false">Sens!J5840*(1+Sens!K5841)</f>
        <v>17.7257833195413</v>
      </c>
    </row>
    <row r="5841" customFormat="false" ht="15" hidden="false" customHeight="false" outlineLevel="0" collapsed="false">
      <c r="A5841" s="1" t="s">
        <v>866</v>
      </c>
      <c r="B5841" s="0" t="s">
        <v>129</v>
      </c>
      <c r="E5841" s="7" t="n">
        <f aca="false">Sens!E5840/Sens!D5840-1</f>
        <v>-0.0131677736066995</v>
      </c>
      <c r="F5841" s="7" t="n">
        <f aca="false">Sens!$E$5841+(glt_win-Sens!$E$5841)*MIN(1,(Sens!F5782-base_fy)/n_conv)</f>
        <v>-0.00763981133891627</v>
      </c>
      <c r="G5841" s="7" t="n">
        <f aca="false">Sens!$E$5841+(glt_win-Sens!$E$5841)*MIN(1,(Sens!G5782-base_fy)/n_conv)</f>
        <v>-0.00211184907113301</v>
      </c>
      <c r="H5841" s="7" t="n">
        <f aca="false">Sens!$E$5841+(glt_win-Sens!$E$5841)*MIN(1,(Sens!H5782-base_fy)/n_conv)</f>
        <v>0.00341611319665024</v>
      </c>
      <c r="I5841" s="7" t="n">
        <f aca="false">Sens!$E$5841+(glt_win-Sens!$E$5841)*MIN(1,(Sens!I5782-base_fy)/n_conv)</f>
        <v>0.00894407546443349</v>
      </c>
      <c r="J5841" s="7" t="n">
        <f aca="false">Sens!$E$5841+(glt_win-Sens!$E$5841)*MIN(1,(Sens!J5782-base_fy)/n_conv)</f>
        <v>0.0144720377322168</v>
      </c>
      <c r="K5841" s="7" t="n">
        <f aca="false">Sens!$E$5841+(glt_win-Sens!$E$5841)*MIN(1,(Sens!K5782-base_fy)/n_conv)</f>
        <v>0.02</v>
      </c>
    </row>
    <row r="5842" customFormat="false" ht="15" hidden="false" customHeight="false" outlineLevel="0" collapsed="false">
      <c r="A5842" s="0" t="s">
        <v>718</v>
      </c>
      <c r="B5842" s="0" t="s">
        <v>98</v>
      </c>
      <c r="D5842" s="6" t="n">
        <f aca="false">Sens!D5836+Sens!D5838+Sens!D5840</f>
        <v>62.941</v>
      </c>
      <c r="E5842" s="6" t="n">
        <f aca="false">Sens!E5836+Sens!E5838+Sens!E5840</f>
        <v>63.712</v>
      </c>
      <c r="F5842" s="6" t="n">
        <f aca="false">Sens!F5836+Sens!F5838+Sens!F5840</f>
        <v>65.1415764563129</v>
      </c>
      <c r="G5842" s="6" t="n">
        <f aca="false">Sens!G5836+Sens!G5838+Sens!G5840</f>
        <v>67.1253610780702</v>
      </c>
      <c r="H5842" s="6" t="n">
        <f aca="false">Sens!H5836+Sens!H5838+Sens!H5840</f>
        <v>69.5768050148776</v>
      </c>
      <c r="I5842" s="6" t="n">
        <f aca="false">Sens!I5836+Sens!I5838+Sens!I5840</f>
        <v>72.4233188088189</v>
      </c>
      <c r="J5842" s="6" t="n">
        <f aca="false">Sens!J5836+Sens!J5838+Sens!J5840</f>
        <v>75.6044096678567</v>
      </c>
      <c r="K5842" s="6" t="n">
        <f aca="false">Sens!K5836+Sens!K5838+Sens!K5840</f>
        <v>79.0714397009747</v>
      </c>
    </row>
    <row r="5843" customFormat="false" ht="15" hidden="false" customHeight="false" outlineLevel="0" collapsed="false">
      <c r="A5843" s="1" t="s">
        <v>880</v>
      </c>
      <c r="B5843" s="0" t="s">
        <v>98</v>
      </c>
      <c r="D5843" s="6" t="n">
        <f aca="false">Sens!D5835+Sens!D5842</f>
        <v>281.724</v>
      </c>
      <c r="E5843" s="6" t="n">
        <f aca="false">Sens!E5835+Sens!E5842</f>
        <v>331.839</v>
      </c>
      <c r="F5843" s="6" t="n">
        <f aca="false">Sens!F5835+Sens!F5842</f>
        <v>406.825517363364</v>
      </c>
      <c r="G5843" s="6" t="n">
        <f aca="false">Sens!G5835+Sens!G5842</f>
        <v>498.366031959962</v>
      </c>
      <c r="H5843" s="6" t="n">
        <f aca="false">Sens!H5835+Sens!H5842</f>
        <v>596.473080296262</v>
      </c>
      <c r="I5843" s="6" t="n">
        <f aca="false">Sens!I5835+Sens!I5842</f>
        <v>679.912079253422</v>
      </c>
      <c r="J5843" s="6" t="n">
        <f aca="false">Sens!J5835+Sens!J5842</f>
        <v>746.758197211934</v>
      </c>
      <c r="K5843" s="6" t="n">
        <f aca="false">Sens!K5835+Sens!K5842</f>
        <v>800.481090938368</v>
      </c>
    </row>
    <row r="5844" customFormat="false" ht="15" hidden="false" customHeight="false" outlineLevel="0" collapsed="false">
      <c r="A5844" s="23" t="s">
        <v>881</v>
      </c>
      <c r="B5844" s="30" t="s">
        <v>98</v>
      </c>
      <c r="C5844" s="30"/>
      <c r="D5844" s="24" t="n">
        <f aca="false">(Sens!D5823+Sens!D5828+Sens!D5829+Sens!D5831+Sens!D5833-Sens!D5835)+(Sens!D5836+Sens!D5838+Sens!D5840-Sens!D5842)+(Sens!D5835-Q!L5)+(Sens!D5842-Q!L12)+(Sens!D5823-Q!L6)+(Sens!D5828-Q!L7)</f>
        <v>0</v>
      </c>
      <c r="E5844" s="24" t="n">
        <f aca="false">(Sens!E5823+Sens!E5828+Sens!E5829+Sens!E5831+Sens!E5833-Sens!E5835)+(Sens!E5836+Sens!E5838+Sens!E5840-Sens!E5842)+(Sens!E5835-Q!M5)+(Sens!E5842-Q!M12)+(Sens!E5823-Q!M6)+(Sens!E5828-Q!M7)</f>
        <v>0</v>
      </c>
      <c r="F5844" s="24" t="n">
        <f aca="false">(Sens!F5823+Sens!F5828+Sens!F5829+Sens!F5831+Sens!F5833-Sens!F5835)+(Sens!F5836+Sens!F5838+Sens!F5840-Sens!F5842)</f>
        <v>0</v>
      </c>
      <c r="G5844" s="24" t="n">
        <f aca="false">(Sens!G5823+Sens!G5828+Sens!G5829+Sens!G5831+Sens!G5833-Sens!G5835)+(Sens!G5836+Sens!G5838+Sens!G5840-Sens!G5842)</f>
        <v>0</v>
      </c>
      <c r="H5844" s="24" t="n">
        <f aca="false">(Sens!H5823+Sens!H5828+Sens!H5829+Sens!H5831+Sens!H5833-Sens!H5835)+(Sens!H5836+Sens!H5838+Sens!H5840-Sens!H5842)</f>
        <v>0</v>
      </c>
      <c r="I5844" s="24" t="n">
        <f aca="false">(Sens!I5823+Sens!I5828+Sens!I5829+Sens!I5831+Sens!I5833-Sens!I5835)+(Sens!I5836+Sens!I5838+Sens!I5840-Sens!I5842)</f>
        <v>0</v>
      </c>
      <c r="J5844" s="24" t="n">
        <f aca="false">(Sens!J5823+Sens!J5828+Sens!J5829+Sens!J5831+Sens!J5833-Sens!J5835)+(Sens!J5836+Sens!J5838+Sens!J5840-Sens!J5842)</f>
        <v>0</v>
      </c>
      <c r="K5844" s="24" t="n">
        <f aca="false">(Sens!K5823+Sens!K5828+Sens!K5829+Sens!K5831+Sens!K5833-Sens!K5835)+(Sens!K5836+Sens!K5838+Sens!K5840-Sens!K5842)</f>
        <v>0</v>
      </c>
    </row>
    <row r="5845" customFormat="false" ht="17.15" hidden="false" customHeight="false" outlineLevel="0" collapsed="false">
      <c r="A5845" s="3" t="s">
        <v>1386</v>
      </c>
    </row>
    <row r="5846" customFormat="false" ht="15" hidden="false" customHeight="false" outlineLevel="0" collapsed="false">
      <c r="A5846" s="4" t="s">
        <v>43</v>
      </c>
      <c r="B5846" s="4" t="s">
        <v>65</v>
      </c>
      <c r="C5846" s="20" t="s">
        <v>788</v>
      </c>
      <c r="D5846" s="20" t="s">
        <v>789</v>
      </c>
      <c r="E5846" s="20" t="s">
        <v>790</v>
      </c>
      <c r="F5846" s="20" t="s">
        <v>791</v>
      </c>
      <c r="G5846" s="20" t="s">
        <v>792</v>
      </c>
      <c r="H5846" s="20" t="s">
        <v>793</v>
      </c>
      <c r="I5846" s="20" t="s">
        <v>794</v>
      </c>
      <c r="J5846" s="20" t="s">
        <v>795</v>
      </c>
      <c r="K5846" s="20" t="s">
        <v>796</v>
      </c>
      <c r="L5846" s="4" t="s">
        <v>47</v>
      </c>
    </row>
    <row r="5847" customFormat="false" ht="15" hidden="false" customHeight="false" outlineLevel="0" collapsed="false">
      <c r="A5847" s="0" t="s">
        <v>867</v>
      </c>
      <c r="B5847" s="0" t="s">
        <v>98</v>
      </c>
      <c r="D5847" s="6" t="n">
        <f aca="false">Sens!D5823</f>
        <v>72.61</v>
      </c>
      <c r="E5847" s="6" t="n">
        <f aca="false">Sens!E5823</f>
        <v>101.938</v>
      </c>
      <c r="F5847" s="6" t="n">
        <f aca="false">Sens!F5823</f>
        <v>148.812368967868</v>
      </c>
      <c r="G5847" s="6" t="n">
        <f aca="false">Sens!G5823</f>
        <v>208.397514344463</v>
      </c>
      <c r="H5847" s="6" t="n">
        <f aca="false">Sens!H5823</f>
        <v>274.05759259987</v>
      </c>
      <c r="I5847" s="6" t="n">
        <f aca="false">Sens!I5823</f>
        <v>328.302405465117</v>
      </c>
      <c r="J5847" s="6" t="n">
        <f aca="false">Sens!J5823</f>
        <v>369.587890439908</v>
      </c>
      <c r="K5847" s="6" t="n">
        <f aca="false">Sens!K5823</f>
        <v>398.390581897217</v>
      </c>
    </row>
    <row r="5848" customFormat="false" ht="17.15" hidden="false" customHeight="false" outlineLevel="0" collapsed="false">
      <c r="A5848" s="0" t="s">
        <v>864</v>
      </c>
      <c r="B5848" s="0" t="s">
        <v>98</v>
      </c>
      <c r="D5848" s="6" t="n">
        <f aca="false">Sens!D5820</f>
        <v>12.9359794422418</v>
      </c>
      <c r="E5848" s="6" t="n">
        <f aca="false">Sens!E5820</f>
        <v>27.8095064661409</v>
      </c>
      <c r="F5848" s="6" t="n">
        <f aca="false">Sens!F5820</f>
        <v>58.7324192305018</v>
      </c>
      <c r="G5848" s="6" t="n">
        <f aca="false">Sens!G5820</f>
        <v>101.369089141153</v>
      </c>
      <c r="H5848" s="6" t="n">
        <f aca="false">Sens!H5820</f>
        <v>149.785610014234</v>
      </c>
      <c r="I5848" s="6" t="n">
        <f aca="false">Sens!I5820</f>
        <v>187.368703083263</v>
      </c>
      <c r="J5848" s="6" t="n">
        <f aca="false">Sens!J5820</f>
        <v>213.569023125577</v>
      </c>
      <c r="K5848" s="6" t="n">
        <f aca="false">Sens!K5820</f>
        <v>229.890205197739</v>
      </c>
    </row>
    <row r="5849" customFormat="false" ht="17.15" hidden="false" customHeight="false" outlineLevel="0" collapsed="false">
      <c r="A5849" s="0" t="s">
        <v>892</v>
      </c>
      <c r="B5849" s="0" t="s">
        <v>98</v>
      </c>
      <c r="D5849" s="6" t="n">
        <f aca="false">Sens!D5821</f>
        <v>59.6740205577583</v>
      </c>
      <c r="E5849" s="6" t="n">
        <f aca="false">Sens!E5821</f>
        <v>74.1284935338591</v>
      </c>
      <c r="F5849" s="6" t="n">
        <f aca="false">Sens!F5821</f>
        <v>90.0799497373663</v>
      </c>
      <c r="G5849" s="6" t="n">
        <f aca="false">Sens!G5821</f>
        <v>107.02842520331</v>
      </c>
      <c r="H5849" s="6" t="n">
        <f aca="false">Sens!H5821</f>
        <v>124.271982585636</v>
      </c>
      <c r="I5849" s="6" t="n">
        <f aca="false">Sens!I5821</f>
        <v>140.933702381855</v>
      </c>
      <c r="J5849" s="6" t="n">
        <f aca="false">Sens!J5821</f>
        <v>156.018867314332</v>
      </c>
      <c r="K5849" s="6" t="n">
        <f aca="false">Sens!K5821</f>
        <v>168.500376699478</v>
      </c>
    </row>
    <row r="5850" customFormat="false" ht="15" hidden="false" customHeight="false" outlineLevel="0" collapsed="false">
      <c r="A5850" s="0" t="s">
        <v>873</v>
      </c>
      <c r="B5850" s="0" t="s">
        <v>98</v>
      </c>
      <c r="D5850" s="6" t="n">
        <f aca="false">Sens!D5828</f>
        <v>84.605</v>
      </c>
      <c r="E5850" s="6" t="n">
        <f aca="false">Sens!E5828</f>
        <v>100.299</v>
      </c>
      <c r="F5850" s="6" t="n">
        <f aca="false">Sens!F5828</f>
        <v>122.64238776686</v>
      </c>
      <c r="G5850" s="6" t="n">
        <f aca="false">Sens!G5828</f>
        <v>148.294168448684</v>
      </c>
      <c r="H5850" s="6" t="n">
        <f aca="false">Sens!H5828</f>
        <v>174.027359388781</v>
      </c>
      <c r="I5850" s="6" t="n">
        <f aca="false">Sens!I5828</f>
        <v>196.209028071957</v>
      </c>
      <c r="J5850" s="6" t="n">
        <f aca="false">Sens!J5828</f>
        <v>214.557702785465</v>
      </c>
      <c r="K5850" s="6" t="n">
        <f aca="false">Sens!K5828</f>
        <v>232.152991980448</v>
      </c>
    </row>
    <row r="5851" customFormat="false" ht="17.15" hidden="false" customHeight="false" outlineLevel="0" collapsed="false">
      <c r="A5851" s="0" t="s">
        <v>893</v>
      </c>
      <c r="B5851" s="0" t="s">
        <v>98</v>
      </c>
      <c r="D5851" s="6" t="n">
        <f aca="false">Sens!D5826</f>
        <v>83.705</v>
      </c>
      <c r="E5851" s="6" t="n">
        <f aca="false">Sens!E5826</f>
        <v>95.049</v>
      </c>
      <c r="F5851" s="6" t="n">
        <f aca="false">Sens!F5826</f>
        <v>106.89238776686</v>
      </c>
      <c r="G5851" s="6" t="n">
        <f aca="false">Sens!G5826</f>
        <v>119.044168448684</v>
      </c>
      <c r="H5851" s="6" t="n">
        <f aca="false">Sens!H5826</f>
        <v>131.277359388781</v>
      </c>
      <c r="I5851" s="6" t="n">
        <f aca="false">Sens!I5826</f>
        <v>143.334028071957</v>
      </c>
      <c r="J5851" s="6" t="n">
        <f aca="false">Sens!J5826</f>
        <v>154.932702785465</v>
      </c>
      <c r="K5851" s="6" t="n">
        <f aca="false">Sens!K5826</f>
        <v>165.777991980448</v>
      </c>
    </row>
    <row r="5852" customFormat="false" ht="17.15" hidden="false" customHeight="false" outlineLevel="0" collapsed="false">
      <c r="A5852" s="0" t="s">
        <v>894</v>
      </c>
      <c r="B5852" s="0" t="s">
        <v>98</v>
      </c>
      <c r="D5852" s="6" t="n">
        <f aca="false">Sens!D5825</f>
        <v>0.9</v>
      </c>
      <c r="E5852" s="6" t="n">
        <f aca="false">Sens!E5825</f>
        <v>5.25</v>
      </c>
      <c r="F5852" s="6" t="n">
        <f aca="false">Sens!F5825</f>
        <v>15.75</v>
      </c>
      <c r="G5852" s="6" t="n">
        <f aca="false">Sens!G5825</f>
        <v>29.25</v>
      </c>
      <c r="H5852" s="6" t="n">
        <f aca="false">Sens!H5825</f>
        <v>42.75</v>
      </c>
      <c r="I5852" s="6" t="n">
        <f aca="false">Sens!I5825</f>
        <v>52.875</v>
      </c>
      <c r="J5852" s="6" t="n">
        <f aca="false">Sens!J5825</f>
        <v>59.625</v>
      </c>
      <c r="K5852" s="6" t="n">
        <f aca="false">Sens!K5825</f>
        <v>66.375</v>
      </c>
    </row>
    <row r="5853" customFormat="false" ht="15" hidden="false" customHeight="false" outlineLevel="0" collapsed="false">
      <c r="A5853" s="0" t="s">
        <v>874</v>
      </c>
      <c r="B5853" s="0" t="s">
        <v>98</v>
      </c>
      <c r="D5853" s="6" t="n">
        <f aca="false">Sens!D5829</f>
        <v>35.391</v>
      </c>
      <c r="E5853" s="6" t="n">
        <f aca="false">Sens!E5829</f>
        <v>37.285</v>
      </c>
      <c r="F5853" s="6" t="n">
        <f aca="false">Sens!F5829</f>
        <v>39.0720834331704</v>
      </c>
      <c r="G5853" s="6" t="n">
        <f aca="false">Sens!G5829</f>
        <v>40.726562953769</v>
      </c>
      <c r="H5853" s="6" t="n">
        <f aca="false">Sens!H5829</f>
        <v>42.2235987259198</v>
      </c>
      <c r="I5853" s="6" t="n">
        <f aca="false">Sens!I5829</f>
        <v>43.5397988077414</v>
      </c>
      <c r="J5853" s="6" t="n">
        <f aca="false">Sens!J5829</f>
        <v>44.653811225693</v>
      </c>
      <c r="K5853" s="6" t="n">
        <f aca="false">Sens!K5829</f>
        <v>45.5468874502068</v>
      </c>
    </row>
    <row r="5854" customFormat="false" ht="15" hidden="false" customHeight="false" outlineLevel="0" collapsed="false">
      <c r="A5854" s="0" t="s">
        <v>875</v>
      </c>
      <c r="B5854" s="0" t="s">
        <v>98</v>
      </c>
      <c r="D5854" s="6" t="n">
        <f aca="false">Sens!D5831</f>
        <v>18.417</v>
      </c>
      <c r="E5854" s="6" t="n">
        <f aca="false">Sens!E5831</f>
        <v>20.345</v>
      </c>
      <c r="F5854" s="6" t="n">
        <f aca="false">Sens!F5831</f>
        <v>22.3572203267814</v>
      </c>
      <c r="G5854" s="6" t="n">
        <f aca="false">Sens!G5831</f>
        <v>24.4392124437232</v>
      </c>
      <c r="H5854" s="6" t="n">
        <f aca="false">Sens!H5831</f>
        <v>26.5738052080665</v>
      </c>
      <c r="I5854" s="6" t="n">
        <f aca="false">Sens!I5831</f>
        <v>28.7412169166967</v>
      </c>
      <c r="J5854" s="6" t="n">
        <f aca="false">Sens!J5831</f>
        <v>30.9192545395413</v>
      </c>
      <c r="K5854" s="6" t="n">
        <f aca="false">Sens!K5831</f>
        <v>33.0836023573092</v>
      </c>
    </row>
    <row r="5855" customFormat="false" ht="15" hidden="false" customHeight="false" outlineLevel="0" collapsed="false">
      <c r="A5855" s="0" t="s">
        <v>876</v>
      </c>
      <c r="B5855" s="0" t="s">
        <v>98</v>
      </c>
      <c r="D5855" s="6" t="n">
        <f aca="false">Sens!D5833</f>
        <v>7.76</v>
      </c>
      <c r="E5855" s="6" t="n">
        <f aca="false">Sens!E5833</f>
        <v>8.26</v>
      </c>
      <c r="F5855" s="6" t="n">
        <f aca="false">Sens!F5833</f>
        <v>8.79988041237113</v>
      </c>
      <c r="G5855" s="6" t="n">
        <f aca="false">Sens!G5833</f>
        <v>9.38321269125306</v>
      </c>
      <c r="H5855" s="6" t="n">
        <f aca="false">Sens!H5833</f>
        <v>10.0139193587476</v>
      </c>
      <c r="I5855" s="6" t="n">
        <f aca="false">Sens!I5833</f>
        <v>10.6963111830911</v>
      </c>
      <c r="J5855" s="6" t="n">
        <f aca="false">Sens!J5833</f>
        <v>11.4351285534696</v>
      </c>
      <c r="K5855" s="6" t="n">
        <f aca="false">Sens!K5833</f>
        <v>12.2355875522124</v>
      </c>
    </row>
    <row r="5856" customFormat="false" ht="15" hidden="false" customHeight="false" outlineLevel="0" collapsed="false">
      <c r="A5856" s="0" t="s">
        <v>704</v>
      </c>
      <c r="B5856" s="0" t="s">
        <v>98</v>
      </c>
      <c r="D5856" s="6" t="n">
        <f aca="false">Sens!D5835</f>
        <v>218.783</v>
      </c>
      <c r="E5856" s="6" t="n">
        <f aca="false">Sens!E5835</f>
        <v>268.127</v>
      </c>
      <c r="F5856" s="6" t="n">
        <f aca="false">Sens!F5835</f>
        <v>341.683940907051</v>
      </c>
      <c r="G5856" s="6" t="n">
        <f aca="false">Sens!G5835</f>
        <v>431.240670881892</v>
      </c>
      <c r="H5856" s="6" t="n">
        <f aca="false">Sens!H5835</f>
        <v>526.896275281385</v>
      </c>
      <c r="I5856" s="6" t="n">
        <f aca="false">Sens!I5835</f>
        <v>607.488760444604</v>
      </c>
      <c r="J5856" s="6" t="n">
        <f aca="false">Sens!J5835</f>
        <v>671.153787544077</v>
      </c>
      <c r="K5856" s="6" t="n">
        <f aca="false">Sens!K5835</f>
        <v>721.409651237393</v>
      </c>
    </row>
    <row r="5857" customFormat="false" ht="15" hidden="false" customHeight="false" outlineLevel="0" collapsed="false">
      <c r="A5857" s="0" t="s">
        <v>877</v>
      </c>
      <c r="B5857" s="0" t="s">
        <v>98</v>
      </c>
      <c r="D5857" s="6" t="n">
        <f aca="false">Sens!D5836</f>
        <v>22.171</v>
      </c>
      <c r="E5857" s="6" t="n">
        <f aca="false">Sens!E5836</f>
        <v>24.835</v>
      </c>
      <c r="F5857" s="6" t="n">
        <f aca="false">Sens!F5836</f>
        <v>27.6114901218559</v>
      </c>
      <c r="G5857" s="6" t="n">
        <f aca="false">Sens!G5836</f>
        <v>30.4675667338515</v>
      </c>
      <c r="H5857" s="6" t="n">
        <f aca="false">Sens!H5836</f>
        <v>33.3643766955789</v>
      </c>
      <c r="I5857" s="6" t="n">
        <f aca="false">Sens!I5836</f>
        <v>36.2577016533691</v>
      </c>
      <c r="J5857" s="6" t="n">
        <f aca="false">Sens!J5836</f>
        <v>39.0988367952171</v>
      </c>
      <c r="K5857" s="6" t="n">
        <f aca="false">Sens!K5836</f>
        <v>41.8357553708823</v>
      </c>
    </row>
    <row r="5858" customFormat="false" ht="15" hidden="false" customHeight="false" outlineLevel="0" collapsed="false">
      <c r="A5858" s="0" t="s">
        <v>878</v>
      </c>
      <c r="B5858" s="0" t="s">
        <v>98</v>
      </c>
      <c r="D5858" s="6" t="n">
        <f aca="false">Sens!D5838</f>
        <v>23.455</v>
      </c>
      <c r="E5858" s="6" t="n">
        <f aca="false">Sens!E5838</f>
        <v>21.79</v>
      </c>
      <c r="F5858" s="6" t="n">
        <f aca="false">Sens!F5838</f>
        <v>20.5736277908051</v>
      </c>
      <c r="G5858" s="6" t="n">
        <f aca="false">Sens!G5838</f>
        <v>19.7371452817919</v>
      </c>
      <c r="H5858" s="6" t="n">
        <f aca="false">Sens!H5838</f>
        <v>19.2339764043138</v>
      </c>
      <c r="I5858" s="6" t="n">
        <f aca="false">Sens!I5838</f>
        <v>19.0353086852681</v>
      </c>
      <c r="J5858" s="6" t="n">
        <f aca="false">Sens!J5838</f>
        <v>19.1273539319129</v>
      </c>
      <c r="K5858" s="6" t="n">
        <f aca="false">Sens!K5838</f>
        <v>19.5099010105511</v>
      </c>
    </row>
    <row r="5859" customFormat="false" ht="15" hidden="false" customHeight="false" outlineLevel="0" collapsed="false">
      <c r="A5859" s="0" t="s">
        <v>879</v>
      </c>
      <c r="B5859" s="0" t="s">
        <v>98</v>
      </c>
      <c r="D5859" s="6" t="n">
        <f aca="false">Sens!D5840</f>
        <v>17.315</v>
      </c>
      <c r="E5859" s="6" t="n">
        <f aca="false">Sens!E5840</f>
        <v>17.087</v>
      </c>
      <c r="F5859" s="6" t="n">
        <f aca="false">Sens!F5840</f>
        <v>16.9564585436519</v>
      </c>
      <c r="G5859" s="6" t="n">
        <f aca="false">Sens!G5840</f>
        <v>16.9206490624268</v>
      </c>
      <c r="H5859" s="6" t="n">
        <f aca="false">Sens!H5840</f>
        <v>16.9784519149849</v>
      </c>
      <c r="I5859" s="6" t="n">
        <f aca="false">Sens!I5840</f>
        <v>17.1303084701817</v>
      </c>
      <c r="J5859" s="6" t="n">
        <f aca="false">Sens!J5840</f>
        <v>17.3782189407267</v>
      </c>
      <c r="K5859" s="6" t="n">
        <f aca="false">Sens!K5840</f>
        <v>17.7257833195413</v>
      </c>
    </row>
    <row r="5860" customFormat="false" ht="15" hidden="false" customHeight="false" outlineLevel="0" collapsed="false">
      <c r="A5860" s="0" t="s">
        <v>718</v>
      </c>
      <c r="B5860" s="0" t="s">
        <v>98</v>
      </c>
      <c r="D5860" s="6" t="n">
        <f aca="false">Sens!D5842</f>
        <v>62.941</v>
      </c>
      <c r="E5860" s="6" t="n">
        <f aca="false">Sens!E5842</f>
        <v>63.712</v>
      </c>
      <c r="F5860" s="6" t="n">
        <f aca="false">Sens!F5842</f>
        <v>65.1415764563129</v>
      </c>
      <c r="G5860" s="6" t="n">
        <f aca="false">Sens!G5842</f>
        <v>67.1253610780702</v>
      </c>
      <c r="H5860" s="6" t="n">
        <f aca="false">Sens!H5842</f>
        <v>69.5768050148776</v>
      </c>
      <c r="I5860" s="6" t="n">
        <f aca="false">Sens!I5842</f>
        <v>72.4233188088189</v>
      </c>
      <c r="J5860" s="6" t="n">
        <f aca="false">Sens!J5842</f>
        <v>75.6044096678567</v>
      </c>
      <c r="K5860" s="6" t="n">
        <f aca="false">Sens!K5842</f>
        <v>79.0714397009747</v>
      </c>
    </row>
    <row r="5861" customFormat="false" ht="15" hidden="false" customHeight="false" outlineLevel="0" collapsed="false">
      <c r="A5861" s="1" t="s">
        <v>895</v>
      </c>
      <c r="B5861" s="0" t="s">
        <v>98</v>
      </c>
      <c r="D5861" s="6" t="n">
        <f aca="false">Sens!D5843</f>
        <v>281.724</v>
      </c>
      <c r="E5861" s="6" t="n">
        <f aca="false">Sens!E5843</f>
        <v>331.839</v>
      </c>
      <c r="F5861" s="6" t="n">
        <f aca="false">Sens!F5843</f>
        <v>406.825517363364</v>
      </c>
      <c r="G5861" s="6" t="n">
        <f aca="false">Sens!G5843</f>
        <v>498.366031959962</v>
      </c>
      <c r="H5861" s="6" t="n">
        <f aca="false">Sens!H5843</f>
        <v>596.473080296262</v>
      </c>
      <c r="I5861" s="6" t="n">
        <f aca="false">Sens!I5843</f>
        <v>679.912079253422</v>
      </c>
      <c r="J5861" s="6" t="n">
        <f aca="false">Sens!J5843</f>
        <v>746.758197211934</v>
      </c>
      <c r="K5861" s="6" t="n">
        <f aca="false">Sens!K5843</f>
        <v>800.481090938368</v>
      </c>
    </row>
    <row r="5862" customFormat="false" ht="15" hidden="false" customHeight="false" outlineLevel="0" collapsed="false">
      <c r="A5862" s="1" t="s">
        <v>896</v>
      </c>
      <c r="B5862" s="0" t="s">
        <v>129</v>
      </c>
      <c r="E5862" s="7" t="n">
        <f aca="false">Sens!E5861/Sens!D5861-1</f>
        <v>0.177886867998467</v>
      </c>
      <c r="F5862" s="7" t="n">
        <f aca="false">Sens!F5861/Sens!E5861-1</f>
        <v>0.225972587198502</v>
      </c>
      <c r="G5862" s="7" t="n">
        <f aca="false">Sens!G5861/Sens!F5861-1</f>
        <v>0.225011732769057</v>
      </c>
      <c r="H5862" s="7" t="n">
        <f aca="false">Sens!H5861/Sens!G5861-1</f>
        <v>0.19685741411883</v>
      </c>
      <c r="I5862" s="7" t="n">
        <f aca="false">Sens!I5861/Sens!H5861-1</f>
        <v>0.139887283623457</v>
      </c>
      <c r="J5862" s="7" t="n">
        <f aca="false">Sens!J5861/Sens!I5861-1</f>
        <v>0.0983158264108384</v>
      </c>
      <c r="K5862" s="7" t="n">
        <f aca="false">Sens!K5861/Sens!J5861-1</f>
        <v>0.0719414851112603</v>
      </c>
    </row>
    <row r="5863" customFormat="false" ht="17.15" hidden="false" customHeight="false" outlineLevel="0" collapsed="false">
      <c r="A5863" s="23" t="s">
        <v>897</v>
      </c>
      <c r="B5863" s="30" t="s">
        <v>98</v>
      </c>
      <c r="C5863" s="30"/>
      <c r="D5863" s="24" t="n">
        <f aca="false">(Sens!D5856+Sens!D5860-Sens!D5861)+(Sens!D5848+Sens!D5849-Sens!D5847)+(Sens!D5851+Sens!D5852-Sens!D5850)+(Sens!D5861-Q!L18)</f>
        <v>0</v>
      </c>
      <c r="E5863" s="24" t="n">
        <f aca="false">(Sens!E5856+Sens!E5860-Sens!E5861)+(Sens!E5848+Sens!E5849-Sens!E5847)+(Sens!E5851+Sens!E5852-Sens!E5850)+(Sens!E5861-Q!M18)</f>
        <v>0</v>
      </c>
      <c r="F5863" s="24" t="n">
        <f aca="false">(Sens!F5856+Sens!F5860-Sens!F5861)+(Sens!F5848+Sens!F5849-Sens!F5847)+(Sens!F5851+Sens!F5852-Sens!F5850)</f>
        <v>0</v>
      </c>
      <c r="G5863" s="24" t="n">
        <f aca="false">(Sens!G5856+Sens!G5860-Sens!G5861)+(Sens!G5848+Sens!G5849-Sens!G5847)+(Sens!G5851+Sens!G5852-Sens!G5850)</f>
        <v>0</v>
      </c>
      <c r="H5863" s="24" t="n">
        <f aca="false">(Sens!H5856+Sens!H5860-Sens!H5861)+(Sens!H5848+Sens!H5849-Sens!H5847)+(Sens!H5851+Sens!H5852-Sens!H5850)</f>
        <v>0</v>
      </c>
      <c r="I5863" s="24" t="n">
        <f aca="false">(Sens!I5856+Sens!I5860-Sens!I5861)+(Sens!I5848+Sens!I5849-Sens!I5847)+(Sens!I5851+Sens!I5852-Sens!I5850)</f>
        <v>0</v>
      </c>
      <c r="J5863" s="24" t="n">
        <f aca="false">(Sens!J5856+Sens!J5860-Sens!J5861)+(Sens!J5848+Sens!J5849-Sens!J5847)+(Sens!J5851+Sens!J5852-Sens!J5850)</f>
        <v>0</v>
      </c>
      <c r="K5863" s="24" t="n">
        <f aca="false">(Sens!K5856+Sens!K5860-Sens!K5861)+(Sens!K5848+Sens!K5849-Sens!K5847)+(Sens!K5851+Sens!K5852-Sens!K5850)</f>
        <v>0</v>
      </c>
    </row>
    <row r="5864" customFormat="false" ht="17.15" hidden="false" customHeight="false" outlineLevel="0" collapsed="false">
      <c r="A5864" s="0" t="s">
        <v>898</v>
      </c>
      <c r="B5864" s="0" t="s">
        <v>129</v>
      </c>
      <c r="E5864" s="7" t="n">
        <f aca="false">(Q!M21+Sens!E5801+Sens!E5802+Sens!E5803+Sens!E5816-Sens!E5799)/(Q!M5-Sens!E5799)</f>
        <v>0.570957350878296</v>
      </c>
      <c r="F5864" s="7" t="n">
        <f aca="false">Sens!$E$5864+dm_seg</f>
        <v>0.570957350878296</v>
      </c>
      <c r="G5864" s="7" t="n">
        <f aca="false">Sens!$E$5864+dm_seg</f>
        <v>0.570957350878296</v>
      </c>
      <c r="H5864" s="7" t="n">
        <f aca="false">Sens!$E$5864+dm_seg</f>
        <v>0.570957350878296</v>
      </c>
      <c r="I5864" s="7" t="n">
        <f aca="false">Sens!$E$5864+dm_seg</f>
        <v>0.570957350878296</v>
      </c>
      <c r="J5864" s="7" t="n">
        <f aca="false">Sens!$E$5864+dm_seg</f>
        <v>0.570957350878296</v>
      </c>
      <c r="K5864" s="7" t="n">
        <f aca="false">Sens!$E$5864+dm_seg</f>
        <v>0.570957350878296</v>
      </c>
      <c r="L5864" s="11" t="s">
        <v>899</v>
      </c>
    </row>
    <row r="5865" customFormat="false" ht="17.15" hidden="false" customHeight="false" outlineLevel="0" collapsed="false">
      <c r="A5865" s="0" t="s">
        <v>732</v>
      </c>
      <c r="B5865" s="0" t="s">
        <v>98</v>
      </c>
      <c r="D5865" s="6" t="n">
        <f aca="false">Q!L21</f>
        <v>110.814</v>
      </c>
      <c r="E5865" s="6" t="n">
        <f aca="false">Q!M21</f>
        <v>136.365</v>
      </c>
      <c r="F5865" s="6" t="n">
        <f aca="false">Sens!F5864*(Sens!F5835-Sens!F5799)+Sens!F5799-(Sens!F5801+Sens!F5802+Sens!F5803)-Sens!F5816</f>
        <v>163.438888641783</v>
      </c>
      <c r="G5865" s="6" t="n">
        <f aca="false">Sens!G5864*(Sens!G5835-Sens!G5799)+Sens!G5799-(Sens!G5801+Sens!G5802+Sens!G5803)-Sens!G5816</f>
        <v>195.585042386126</v>
      </c>
      <c r="H5865" s="6" t="n">
        <f aca="false">Sens!H5864*(Sens!H5835-Sens!H5799)+Sens!H5799-(Sens!H5801+Sens!H5802+Sens!H5803)-Sens!H5816</f>
        <v>232.540484194954</v>
      </c>
      <c r="I5865" s="6" t="n">
        <f aca="false">Sens!I5864*(Sens!I5835-Sens!I5799)+Sens!I5799-(Sens!I5801+Sens!I5802+Sens!I5803)-Sens!I5816</f>
        <v>260.735576023416</v>
      </c>
      <c r="J5865" s="6" t="n">
        <f aca="false">Sens!J5864*(Sens!J5835-Sens!J5799)+Sens!J5799-(Sens!J5801+Sens!J5802+Sens!J5803)-Sens!J5816</f>
        <v>284.593708420031</v>
      </c>
      <c r="K5865" s="6" t="n">
        <f aca="false">Sens!K5864*(Sens!K5835-Sens!K5799)+Sens!K5799-(Sens!K5801+Sens!K5802+Sens!K5803)-Sens!K5816</f>
        <v>306.318485617551</v>
      </c>
      <c r="L5865" s="1" t="s">
        <v>900</v>
      </c>
    </row>
    <row r="5866" customFormat="false" ht="17.15" hidden="false" customHeight="false" outlineLevel="0" collapsed="false">
      <c r="A5866" s="0" t="s">
        <v>901</v>
      </c>
      <c r="B5866" s="0" t="s">
        <v>129</v>
      </c>
      <c r="E5866" s="7" t="n">
        <f aca="false">Q!M22/Q!M12</f>
        <v>0.296207935710698</v>
      </c>
      <c r="F5866" s="7" t="n">
        <f aca="false">Sens!$E$5866+dm_seg</f>
        <v>0.296207935710698</v>
      </c>
      <c r="G5866" s="7" t="n">
        <f aca="false">Sens!$E$5866+dm_seg</f>
        <v>0.296207935710698</v>
      </c>
      <c r="H5866" s="7" t="n">
        <f aca="false">Sens!$E$5866+dm_seg</f>
        <v>0.296207935710698</v>
      </c>
      <c r="I5866" s="7" t="n">
        <f aca="false">Sens!$E$5866+dm_seg</f>
        <v>0.296207935710698</v>
      </c>
      <c r="J5866" s="7" t="n">
        <f aca="false">Sens!$E$5866+dm_seg</f>
        <v>0.296207935710698</v>
      </c>
      <c r="K5866" s="7" t="n">
        <f aca="false">Sens!$E$5866+dm_seg</f>
        <v>0.296207935710698</v>
      </c>
      <c r="L5866" s="11" t="s">
        <v>902</v>
      </c>
    </row>
    <row r="5867" customFormat="false" ht="17.15" hidden="false" customHeight="false" outlineLevel="0" collapsed="false">
      <c r="A5867" s="0" t="s">
        <v>734</v>
      </c>
      <c r="B5867" s="0" t="s">
        <v>98</v>
      </c>
      <c r="D5867" s="6" t="n">
        <f aca="false">Q!L22</f>
        <v>17.714</v>
      </c>
      <c r="E5867" s="6" t="n">
        <f aca="false">Q!M22</f>
        <v>18.872</v>
      </c>
      <c r="F5867" s="6" t="n">
        <f aca="false">Sens!F5842*Sens!F5866</f>
        <v>19.2954518910651</v>
      </c>
      <c r="G5867" s="6" t="n">
        <f aca="false">Sens!G5842*Sens!G5866</f>
        <v>19.8830646387704</v>
      </c>
      <c r="H5867" s="6" t="n">
        <f aca="false">Sens!H5842*Sens!H5866</f>
        <v>20.6092017868026</v>
      </c>
      <c r="I5867" s="6" t="n">
        <f aca="false">Sens!I5842*Sens!I5866</f>
        <v>21.452361761678</v>
      </c>
      <c r="J5867" s="6" t="n">
        <f aca="false">Sens!J5842*Sens!J5866</f>
        <v>22.3946261183418</v>
      </c>
      <c r="K5867" s="6" t="n">
        <f aca="false">Sens!K5842*Sens!K5866</f>
        <v>23.4215879274986</v>
      </c>
    </row>
    <row r="5868" customFormat="false" ht="15" hidden="false" customHeight="false" outlineLevel="0" collapsed="false">
      <c r="A5868" s="1" t="s">
        <v>903</v>
      </c>
      <c r="B5868" s="0" t="s">
        <v>98</v>
      </c>
      <c r="D5868" s="6" t="n">
        <f aca="false">Sens!D5865+Sens!D5867</f>
        <v>128.528</v>
      </c>
      <c r="E5868" s="6" t="n">
        <f aca="false">Sens!E5865+Sens!E5867</f>
        <v>155.237</v>
      </c>
      <c r="F5868" s="6" t="n">
        <f aca="false">Sens!F5865+Sens!F5867</f>
        <v>182.734340532848</v>
      </c>
      <c r="G5868" s="6" t="n">
        <f aca="false">Sens!G5865+Sens!G5867</f>
        <v>215.468107024897</v>
      </c>
      <c r="H5868" s="6" t="n">
        <f aca="false">Sens!H5865+Sens!H5867</f>
        <v>253.149685981756</v>
      </c>
      <c r="I5868" s="6" t="n">
        <f aca="false">Sens!I5865+Sens!I5867</f>
        <v>282.187937785094</v>
      </c>
      <c r="J5868" s="6" t="n">
        <f aca="false">Sens!J5865+Sens!J5867</f>
        <v>306.988334538372</v>
      </c>
      <c r="K5868" s="6" t="n">
        <f aca="false">Sens!K5865+Sens!K5867</f>
        <v>329.74007354505</v>
      </c>
    </row>
    <row r="5869" customFormat="false" ht="15" hidden="false" customHeight="false" outlineLevel="0" collapsed="false">
      <c r="A5869" s="23" t="s">
        <v>904</v>
      </c>
      <c r="B5869" s="30" t="s">
        <v>98</v>
      </c>
      <c r="C5869" s="30"/>
      <c r="D5869" s="24" t="n">
        <f aca="false">Sens!D5868-Q!L23</f>
        <v>0</v>
      </c>
      <c r="E5869" s="24" t="n">
        <f aca="false">Sens!E5868-Q!M23</f>
        <v>0</v>
      </c>
      <c r="F5869" s="30"/>
      <c r="G5869" s="30"/>
      <c r="H5869" s="30"/>
      <c r="I5869" s="30"/>
      <c r="J5869" s="30"/>
      <c r="K5869" s="30"/>
    </row>
    <row r="5870" customFormat="false" ht="15" hidden="false" customHeight="false" outlineLevel="0" collapsed="false">
      <c r="A5870" s="1" t="s">
        <v>905</v>
      </c>
      <c r="B5870" s="0" t="s">
        <v>129</v>
      </c>
      <c r="D5870" s="7" t="n">
        <f aca="false">Sens!D5868/Sens!D5861</f>
        <v>0.456219562408598</v>
      </c>
      <c r="E5870" s="7" t="n">
        <f aca="false">Sens!E5868/Sens!E5861</f>
        <v>0.467808184089272</v>
      </c>
      <c r="F5870" s="7" t="n">
        <f aca="false">Sens!F5868/Sens!F5861</f>
        <v>0.449171285314523</v>
      </c>
      <c r="G5870" s="7" t="n">
        <f aca="false">Sens!G5868/Sens!G5861</f>
        <v>0.432349103283602</v>
      </c>
      <c r="H5870" s="7" t="n">
        <f aca="false">Sens!H5868/Sens!H5861</f>
        <v>0.424410915335893</v>
      </c>
      <c r="I5870" s="7" t="n">
        <f aca="false">Sens!I5868/Sens!I5861</f>
        <v>0.415035923607874</v>
      </c>
      <c r="J5870" s="7" t="n">
        <f aca="false">Sens!J5868/Sens!J5861</f>
        <v>0.41109469662942</v>
      </c>
      <c r="K5870" s="7" t="n">
        <f aca="false">Sens!K5868/Sens!K5861</f>
        <v>0.411927373772827</v>
      </c>
    </row>
    <row r="5871" customFormat="false" ht="17.15" hidden="false" customHeight="false" outlineLevel="0" collapsed="false">
      <c r="A5871" s="1" t="s">
        <v>906</v>
      </c>
      <c r="B5871" s="0" t="s">
        <v>98</v>
      </c>
      <c r="F5871" s="6" t="n">
        <f aca="false">Sens!F5886</f>
        <v>17.7947284002635</v>
      </c>
      <c r="G5871" s="6" t="n">
        <f aca="false">Sens!G5886</f>
        <v>28.7126792465316</v>
      </c>
      <c r="H5871" s="6" t="n">
        <f aca="false">Sens!H5886</f>
        <v>40.9830861857499</v>
      </c>
      <c r="I5871" s="6" t="n">
        <f aca="false">Sens!I5886</f>
        <v>52.9022578160312</v>
      </c>
      <c r="J5871" s="6" t="n">
        <f aca="false">Sens!J5886</f>
        <v>61.3747085295057</v>
      </c>
      <c r="K5871" s="6" t="n">
        <f aca="false">Sens!K5886</f>
        <v>65.1256983308838</v>
      </c>
      <c r="L5871" s="1" t="s">
        <v>907</v>
      </c>
    </row>
    <row r="5872" customFormat="false" ht="17.15" hidden="false" customHeight="false" outlineLevel="0" collapsed="false">
      <c r="A5872" s="1" t="s">
        <v>908</v>
      </c>
      <c r="B5872" s="0" t="s">
        <v>98</v>
      </c>
      <c r="D5872" s="6" t="n">
        <f aca="false">Sens!D5868</f>
        <v>128.528</v>
      </c>
      <c r="E5872" s="6" t="n">
        <f aca="false">Sens!E5868</f>
        <v>155.237</v>
      </c>
      <c r="F5872" s="6" t="n">
        <f aca="false">Sens!F5868+Sens!F5871</f>
        <v>200.529068933111</v>
      </c>
      <c r="G5872" s="6" t="n">
        <f aca="false">Sens!G5868+Sens!G5871</f>
        <v>244.180786271428</v>
      </c>
      <c r="H5872" s="6" t="n">
        <f aca="false">Sens!H5868+Sens!H5871</f>
        <v>294.132772167506</v>
      </c>
      <c r="I5872" s="6" t="n">
        <f aca="false">Sens!I5868+Sens!I5871</f>
        <v>335.090195601125</v>
      </c>
      <c r="J5872" s="6" t="n">
        <f aca="false">Sens!J5868+Sens!J5871</f>
        <v>368.363043067878</v>
      </c>
      <c r="K5872" s="6" t="n">
        <f aca="false">Sens!K5868+Sens!K5871</f>
        <v>394.865771875933</v>
      </c>
    </row>
    <row r="5873" customFormat="false" ht="17.15" hidden="false" customHeight="false" outlineLevel="0" collapsed="false">
      <c r="A5873" s="1" t="s">
        <v>909</v>
      </c>
      <c r="B5873" s="0" t="s">
        <v>98</v>
      </c>
      <c r="E5873" s="6" t="n">
        <f aca="false">Sens!E5816</f>
        <v>16.3054059770833</v>
      </c>
      <c r="F5873" s="6" t="n">
        <f aca="false">Sens!F5816</f>
        <v>34.7092854558698</v>
      </c>
      <c r="G5873" s="6" t="n">
        <f aca="false">Sens!G5816</f>
        <v>60.4442332603396</v>
      </c>
      <c r="H5873" s="6" t="n">
        <f aca="false">Sens!H5816</f>
        <v>87.6798159931396</v>
      </c>
      <c r="I5873" s="6" t="n">
        <f aca="false">Sens!I5816</f>
        <v>111.924539982221</v>
      </c>
      <c r="J5873" s="6" t="n">
        <f aca="false">Sens!J5816</f>
        <v>129.121210922666</v>
      </c>
      <c r="K5873" s="6" t="n">
        <f aca="false">Sens!K5816</f>
        <v>139.585146804474</v>
      </c>
    </row>
    <row r="5874" customFormat="false" ht="17.15" hidden="false" customHeight="false" outlineLevel="0" collapsed="false">
      <c r="A5874" s="1" t="s">
        <v>910</v>
      </c>
      <c r="B5874" s="0" t="s">
        <v>98</v>
      </c>
      <c r="E5874" s="6" t="n">
        <f aca="false">Sens!E5898</f>
        <v>22.2285940229167</v>
      </c>
      <c r="F5874" s="6" t="n">
        <f aca="false">Sens!F5898</f>
        <v>23.6011693435812</v>
      </c>
      <c r="G5874" s="6" t="n">
        <f aca="false">Sens!G5898</f>
        <v>25.468841766262</v>
      </c>
      <c r="H5874" s="6" t="n">
        <f aca="false">Sens!H5898</f>
        <v>27.7906089540448</v>
      </c>
      <c r="I5874" s="6" t="n">
        <f aca="false">Sens!I5898</f>
        <v>30.4751380898047</v>
      </c>
      <c r="J5874" s="6" t="n">
        <f aca="false">Sens!J5898</f>
        <v>33.4169656058616</v>
      </c>
      <c r="K5874" s="6" t="n">
        <f aca="false">Sens!K5898</f>
        <v>36.5308893194749</v>
      </c>
    </row>
    <row r="5875" customFormat="false" ht="17.15" hidden="false" customHeight="false" outlineLevel="0" collapsed="false">
      <c r="A5875" s="1" t="s">
        <v>911</v>
      </c>
      <c r="B5875" s="0" t="s">
        <v>98</v>
      </c>
      <c r="D5875" s="6" t="n">
        <f aca="false">Q!L27</f>
        <v>-4.901</v>
      </c>
      <c r="E5875" s="6" t="n">
        <f aca="false">Q!M27</f>
        <v>10.697</v>
      </c>
      <c r="F5875" s="6" t="n">
        <f aca="false">oie_f</f>
        <v>-0.4</v>
      </c>
      <c r="G5875" s="6" t="n">
        <f aca="false">oie_f</f>
        <v>-0.4</v>
      </c>
      <c r="H5875" s="6" t="n">
        <f aca="false">oie_f</f>
        <v>-0.4</v>
      </c>
      <c r="I5875" s="6" t="n">
        <f aca="false">oie_f</f>
        <v>-0.4</v>
      </c>
      <c r="J5875" s="6" t="n">
        <f aca="false">oie_f</f>
        <v>-0.4</v>
      </c>
      <c r="K5875" s="6" t="n">
        <f aca="false">oie_f</f>
        <v>-0.4</v>
      </c>
      <c r="L5875" s="11" t="s">
        <v>912</v>
      </c>
    </row>
    <row r="5876" customFormat="false" ht="15" hidden="false" customHeight="false" outlineLevel="0" collapsed="false">
      <c r="A5876" s="1" t="s">
        <v>913</v>
      </c>
      <c r="B5876" s="0" t="s">
        <v>98</v>
      </c>
      <c r="D5876" s="6" t="n">
        <f aca="false">Sens!D5868+Sens!D5875</f>
        <v>123.627</v>
      </c>
      <c r="E5876" s="6" t="n">
        <f aca="false">Sens!E5868+Sens!E5875</f>
        <v>165.934</v>
      </c>
      <c r="F5876" s="6" t="n">
        <f aca="false">Sens!F5868+Sens!F5875</f>
        <v>182.334340532848</v>
      </c>
      <c r="G5876" s="6" t="n">
        <f aca="false">Sens!G5868+Sens!G5875</f>
        <v>215.068107024897</v>
      </c>
      <c r="H5876" s="6" t="n">
        <f aca="false">Sens!H5868+Sens!H5875</f>
        <v>252.749685981756</v>
      </c>
      <c r="I5876" s="6" t="n">
        <f aca="false">Sens!I5868+Sens!I5875</f>
        <v>281.787937785094</v>
      </c>
      <c r="J5876" s="6" t="n">
        <f aca="false">Sens!J5868+Sens!J5875</f>
        <v>306.588334538372</v>
      </c>
      <c r="K5876" s="6" t="n">
        <f aca="false">Sens!K5868+Sens!K5875</f>
        <v>329.34007354505</v>
      </c>
    </row>
    <row r="5877" customFormat="false" ht="15" hidden="false" customHeight="false" outlineLevel="0" collapsed="false">
      <c r="A5877" s="1" t="s">
        <v>914</v>
      </c>
      <c r="B5877" s="0" t="s">
        <v>98</v>
      </c>
      <c r="D5877" s="6" t="n">
        <f aca="false">Q!L29</f>
        <v>21.795</v>
      </c>
      <c r="E5877" s="6" t="n">
        <f aca="false">Q!M29</f>
        <v>32.185</v>
      </c>
      <c r="F5877" s="6" t="n">
        <f aca="false">Sens!F5876*tax_f</f>
        <v>36.4668681065696</v>
      </c>
      <c r="G5877" s="6" t="n">
        <f aca="false">Sens!G5876*tax_f</f>
        <v>43.0136214049793</v>
      </c>
      <c r="H5877" s="6" t="n">
        <f aca="false">Sens!H5876*tax_f</f>
        <v>50.5499371963513</v>
      </c>
      <c r="I5877" s="6" t="n">
        <f aca="false">Sens!I5876*tax_f</f>
        <v>56.3575875570188</v>
      </c>
      <c r="J5877" s="6" t="n">
        <f aca="false">Sens!J5876*tax_f</f>
        <v>61.3176669076745</v>
      </c>
      <c r="K5877" s="6" t="n">
        <f aca="false">Sens!K5876*tax_f</f>
        <v>65.8680147090099</v>
      </c>
    </row>
    <row r="5878" customFormat="false" ht="15" hidden="false" customHeight="false" outlineLevel="0" collapsed="false">
      <c r="A5878" s="1" t="s">
        <v>915</v>
      </c>
      <c r="B5878" s="0" t="s">
        <v>98</v>
      </c>
      <c r="D5878" s="6" t="n">
        <f aca="false">Sens!D5876-Sens!D5877</f>
        <v>101.832</v>
      </c>
      <c r="E5878" s="6" t="n">
        <f aca="false">Sens!E5876-Sens!E5877</f>
        <v>133.749</v>
      </c>
      <c r="F5878" s="6" t="n">
        <f aca="false">Sens!F5876-Sens!F5877</f>
        <v>145.867472426278</v>
      </c>
      <c r="G5878" s="6" t="n">
        <f aca="false">Sens!G5876-Sens!G5877</f>
        <v>172.054485619917</v>
      </c>
      <c r="H5878" s="6" t="n">
        <f aca="false">Sens!H5876-Sens!H5877</f>
        <v>202.199748785405</v>
      </c>
      <c r="I5878" s="6" t="n">
        <f aca="false">Sens!I5876-Sens!I5877</f>
        <v>225.430350228075</v>
      </c>
      <c r="J5878" s="6" t="n">
        <f aca="false">Sens!J5876-Sens!J5877</f>
        <v>245.270667630698</v>
      </c>
      <c r="K5878" s="6" t="n">
        <f aca="false">Sens!K5876-Sens!K5877</f>
        <v>263.47205883604</v>
      </c>
    </row>
    <row r="5879" customFormat="false" ht="17.15" hidden="false" customHeight="false" outlineLevel="0" collapsed="false">
      <c r="A5879" s="1" t="s">
        <v>916</v>
      </c>
      <c r="B5879" s="1" t="s">
        <v>81</v>
      </c>
      <c r="D5879" s="14" t="n">
        <f aca="false">Q!L31</f>
        <v>7.465</v>
      </c>
      <c r="E5879" s="14" t="n">
        <f aca="false">Q!M31</f>
        <v>7.453</v>
      </c>
      <c r="F5879" s="14" t="n">
        <f aca="false">Sens!F5920</f>
        <v>7.4735</v>
      </c>
      <c r="G5879" s="14" t="n">
        <f aca="false">Sens!G5920</f>
        <v>7.50579095989859</v>
      </c>
      <c r="H5879" s="14" t="n">
        <f aca="false">Sens!H5920</f>
        <v>7.52083350564713</v>
      </c>
      <c r="I5879" s="14" t="n">
        <f aca="false">Sens!I5920</f>
        <v>7.53261433765444</v>
      </c>
      <c r="J5879" s="14" t="n">
        <f aca="false">Sens!J5920</f>
        <v>7.54685584877233</v>
      </c>
      <c r="K5879" s="14" t="n">
        <f aca="false">Sens!K5920</f>
        <v>7.56337576647407</v>
      </c>
    </row>
    <row r="5880" customFormat="false" ht="17.15" hidden="false" customHeight="false" outlineLevel="0" collapsed="false">
      <c r="A5880" s="0" t="s">
        <v>917</v>
      </c>
      <c r="B5880" s="0" t="s">
        <v>75</v>
      </c>
      <c r="D5880" s="8" t="n">
        <f aca="false">Sens!D5878/Sens!D5879</f>
        <v>13.641259209645</v>
      </c>
      <c r="E5880" s="8" t="n">
        <f aca="false">Sens!E5878/Sens!E5879</f>
        <v>17.9456594659869</v>
      </c>
      <c r="F5880" s="8" t="n">
        <f aca="false">Sens!F5878/Sens!F5879</f>
        <v>19.517959781398</v>
      </c>
      <c r="G5880" s="8" t="n">
        <f aca="false">Sens!G5878/Sens!G5879</f>
        <v>22.9228986710605</v>
      </c>
      <c r="H5880" s="8" t="n">
        <f aca="false">Sens!H5878/Sens!H5879</f>
        <v>26.8852845410792</v>
      </c>
      <c r="I5880" s="8" t="n">
        <f aca="false">Sens!I5878/Sens!I5879</f>
        <v>29.9272390863265</v>
      </c>
      <c r="J5880" s="8" t="n">
        <f aca="false">Sens!J5878/Sens!J5879</f>
        <v>32.4997154504544</v>
      </c>
      <c r="K5880" s="8" t="n">
        <f aca="false">Sens!K5878/Sens!K5879</f>
        <v>34.8352464522421</v>
      </c>
      <c r="L5880" s="1" t="s">
        <v>918</v>
      </c>
    </row>
    <row r="5881" customFormat="false" ht="17.15" hidden="false" customHeight="false" outlineLevel="0" collapsed="false">
      <c r="A5881" s="1" t="s">
        <v>919</v>
      </c>
      <c r="B5881" s="0" t="s">
        <v>98</v>
      </c>
      <c r="D5881" s="6" t="n">
        <f aca="false">Sens!D5878</f>
        <v>101.832</v>
      </c>
      <c r="E5881" s="6" t="n">
        <f aca="false">Sens!E5878</f>
        <v>133.749</v>
      </c>
      <c r="F5881" s="6" t="n">
        <f aca="false">Sens!F5878+Sens!F5871*(1-tax_f)</f>
        <v>160.103255146489</v>
      </c>
      <c r="G5881" s="6" t="n">
        <f aca="false">Sens!G5878+Sens!G5871*(1-tax_f)</f>
        <v>195.024629017143</v>
      </c>
      <c r="H5881" s="6" t="n">
        <f aca="false">Sens!H5878+Sens!H5871*(1-tax_f)</f>
        <v>234.986217734005</v>
      </c>
      <c r="I5881" s="6" t="n">
        <f aca="false">Sens!I5878+Sens!I5871*(1-tax_f)</f>
        <v>267.7521564809</v>
      </c>
      <c r="J5881" s="6" t="n">
        <f aca="false">Sens!J5878+Sens!J5871*(1-tax_f)</f>
        <v>294.370434454303</v>
      </c>
      <c r="K5881" s="6" t="n">
        <f aca="false">Sens!K5878+Sens!K5871*(1-tax_f)</f>
        <v>315.572617500747</v>
      </c>
    </row>
    <row r="5882" customFormat="false" ht="17.15" hidden="false" customHeight="false" outlineLevel="0" collapsed="false">
      <c r="A5882" s="0" t="s">
        <v>920</v>
      </c>
      <c r="B5882" s="0" t="s">
        <v>75</v>
      </c>
      <c r="D5882" s="8" t="n">
        <f aca="false">Sens!D5881/Sens!D5879</f>
        <v>13.641259209645</v>
      </c>
      <c r="E5882" s="8" t="n">
        <f aca="false">Sens!E5881/Sens!E5879</f>
        <v>17.9456594659869</v>
      </c>
      <c r="F5882" s="8" t="n">
        <f aca="false">Sens!F5881/Sens!F5879</f>
        <v>21.4227945603116</v>
      </c>
      <c r="G5882" s="8" t="n">
        <f aca="false">Sens!G5881/Sens!G5879</f>
        <v>25.9832214964561</v>
      </c>
      <c r="H5882" s="8" t="n">
        <f aca="false">Sens!H5881/Sens!H5879</f>
        <v>31.2447041351949</v>
      </c>
      <c r="I5882" s="8" t="n">
        <f aca="false">Sens!I5881/Sens!I5879</f>
        <v>35.5457142074095</v>
      </c>
      <c r="J5882" s="8" t="n">
        <f aca="false">Sens!J5881/Sens!J5879</f>
        <v>39.0057052040008</v>
      </c>
      <c r="K5882" s="8" t="n">
        <f aca="false">Sens!K5881/Sens!K5879</f>
        <v>41.72377880517</v>
      </c>
      <c r="L5882" s="1" t="s">
        <v>921</v>
      </c>
    </row>
    <row r="5883" customFormat="false" ht="17.15" hidden="false" customHeight="false" outlineLevel="0" collapsed="false">
      <c r="A5883" s="0" t="s">
        <v>922</v>
      </c>
      <c r="B5883" s="0" t="s">
        <v>129</v>
      </c>
      <c r="E5883" s="7" t="n">
        <f aca="false">Sens!E5882/Sens!D5882-1</f>
        <v>0.315542736208578</v>
      </c>
      <c r="F5883" s="7" t="n">
        <f aca="false">Sens!F5882/Sens!E5882-1</f>
        <v>0.193759114894337</v>
      </c>
      <c r="G5883" s="7" t="n">
        <f aca="false">Sens!G5882/Sens!F5882-1</f>
        <v>0.212877312682313</v>
      </c>
      <c r="H5883" s="7" t="n">
        <f aca="false">Sens!H5882/Sens!G5882-1</f>
        <v>0.202495392630834</v>
      </c>
      <c r="I5883" s="7" t="n">
        <f aca="false">Sens!I5882/Sens!H5882-1</f>
        <v>0.137655650493739</v>
      </c>
      <c r="J5883" s="7" t="n">
        <f aca="false">Sens!J5882/Sens!I5882-1</f>
        <v>0.0973391890904825</v>
      </c>
      <c r="K5883" s="7" t="n">
        <f aca="false">Sens!K5882/Sens!J5882-1</f>
        <v>0.0696840010186604</v>
      </c>
    </row>
    <row r="5884" customFormat="false" ht="17.15" hidden="false" customHeight="false" outlineLevel="0" collapsed="false">
      <c r="A5884" s="0" t="s">
        <v>846</v>
      </c>
      <c r="B5884" s="0" t="s">
        <v>98</v>
      </c>
      <c r="E5884" s="6" t="n">
        <f aca="false">Sens!E5825</f>
        <v>5.25</v>
      </c>
      <c r="F5884" s="6" t="n">
        <f aca="false">Sens!F5825</f>
        <v>15.75</v>
      </c>
      <c r="G5884" s="6" t="n">
        <f aca="false">Sens!G5825</f>
        <v>29.25</v>
      </c>
      <c r="H5884" s="6" t="n">
        <f aca="false">Sens!H5825</f>
        <v>42.75</v>
      </c>
      <c r="I5884" s="6" t="n">
        <f aca="false">Sens!I5825</f>
        <v>52.875</v>
      </c>
      <c r="J5884" s="6" t="n">
        <f aca="false">Sens!J5825</f>
        <v>59.625</v>
      </c>
      <c r="K5884" s="6" t="n">
        <f aca="false">Sens!K5825</f>
        <v>66.375</v>
      </c>
    </row>
    <row r="5885" customFormat="false" ht="17.15" hidden="false" customHeight="false" outlineLevel="0" collapsed="false">
      <c r="A5885" s="1" t="s">
        <v>847</v>
      </c>
      <c r="B5885" s="0" t="s">
        <v>98</v>
      </c>
      <c r="F5885" s="6" t="n">
        <f aca="false">MAX(0,(Sens!E5788+Sens!F5788)/2*Sens!F5796/1000-Sens!F5884*Sens!F5864)</f>
        <v>17.7947284002635</v>
      </c>
      <c r="G5885" s="6" t="n">
        <f aca="false">MAX(0,(Sens!F5788+Sens!G5788)/2*Sens!G5796/1000-Sens!G5884*Sens!G5864)</f>
        <v>28.7126792465316</v>
      </c>
      <c r="H5885" s="6" t="n">
        <f aca="false">MAX(0,(Sens!G5788+Sens!H5788)/2*Sens!H5796/1000-Sens!H5884*Sens!H5864)</f>
        <v>40.9830861857499</v>
      </c>
      <c r="I5885" s="6" t="n">
        <f aca="false">MAX(0,(Sens!H5788+Sens!I5788)/2*Sens!I5796/1000-Sens!I5884*Sens!I5864)</f>
        <v>52.9022578160312</v>
      </c>
      <c r="J5885" s="6" t="n">
        <f aca="false">MAX(0,(Sens!I5788+Sens!J5788)/2*Sens!J5796/1000-Sens!J5884*Sens!J5864)</f>
        <v>61.3747085295057</v>
      </c>
      <c r="K5885" s="6" t="n">
        <f aca="false">MAX(0,(Sens!J5788+Sens!K5788)/2*Sens!K5796/1000-Sens!K5884*Sens!K5864)</f>
        <v>65.1256983308838</v>
      </c>
      <c r="L5885" s="1" t="s">
        <v>848</v>
      </c>
    </row>
    <row r="5886" customFormat="false" ht="17.15" hidden="false" customHeight="false" outlineLevel="0" collapsed="false">
      <c r="A5886" s="1" t="s">
        <v>849</v>
      </c>
      <c r="B5886" s="0" t="s">
        <v>98</v>
      </c>
      <c r="F5886" s="6" t="n">
        <f aca="false">IF(internal_ai_reading=2,1,0)*Sens!F5885</f>
        <v>17.7947284002635</v>
      </c>
      <c r="G5886" s="6" t="n">
        <f aca="false">IF(internal_ai_reading=2,1,0)*Sens!G5885</f>
        <v>28.7126792465316</v>
      </c>
      <c r="H5886" s="6" t="n">
        <f aca="false">IF(internal_ai_reading=2,1,0)*Sens!H5885</f>
        <v>40.9830861857499</v>
      </c>
      <c r="I5886" s="6" t="n">
        <f aca="false">IF(internal_ai_reading=2,1,0)*Sens!I5885</f>
        <v>52.9022578160312</v>
      </c>
      <c r="J5886" s="6" t="n">
        <f aca="false">IF(internal_ai_reading=2,1,0)*Sens!J5885</f>
        <v>61.3747085295057</v>
      </c>
      <c r="K5886" s="6" t="n">
        <f aca="false">IF(internal_ai_reading=2,1,0)*Sens!K5885</f>
        <v>65.1256983308838</v>
      </c>
    </row>
    <row r="5887" customFormat="false" ht="17.15" hidden="false" customHeight="false" outlineLevel="0" collapsed="false">
      <c r="A5887" s="0" t="s">
        <v>850</v>
      </c>
      <c r="B5887" s="0" t="s">
        <v>98</v>
      </c>
      <c r="F5887" s="6" t="n">
        <f aca="false">Sens!F5805+Sens!F5884*Sens!F5864+Sens!F5886-Sens!F5806-Sens!F5816</f>
        <v>28.6729440749543</v>
      </c>
      <c r="G5887" s="6" t="n">
        <f aca="false">Sens!G5805+Sens!G5884*Sens!G5864+Sens!G5886-Sens!G5806-Sens!G5816</f>
        <v>52.6556197051223</v>
      </c>
      <c r="H5887" s="6" t="n">
        <f aca="false">Sens!H5805+Sens!H5884*Sens!H5864+Sens!H5886-Sens!H5806-Sens!H5816</f>
        <v>82.6178907018664</v>
      </c>
      <c r="I5887" s="6" t="n">
        <f aca="false">Sens!I5805+Sens!I5884*Sens!I5864+Sens!I5886-Sens!I5806-Sens!I5816</f>
        <v>103.956568765268</v>
      </c>
      <c r="J5887" s="6" t="n">
        <f aca="false">Sens!J5805+Sens!J5884*Sens!J5864+Sens!J5886-Sens!J5806-Sens!J5816</f>
        <v>118.750364100999</v>
      </c>
      <c r="K5887" s="6" t="n">
        <f aca="false">Sens!K5805+Sens!K5884*Sens!K5864+Sens!K5886-Sens!K5806-Sens!K5816</f>
        <v>128.704837297013</v>
      </c>
    </row>
    <row r="5888" customFormat="false" ht="17.15" hidden="false" customHeight="false" outlineLevel="0" collapsed="false">
      <c r="A5888" s="0" t="s">
        <v>851</v>
      </c>
      <c r="B5888" s="0" t="s">
        <v>98</v>
      </c>
      <c r="E5888" s="6" t="n">
        <f aca="false">Sens!E5787*(cxit_open+self_build*tk_cxfac)/1000*ai_net_open</f>
        <v>126.6980382</v>
      </c>
      <c r="F5888" s="6" t="n">
        <f aca="false">Sens!E5888+Sens!F5813-Sens!F5816</f>
        <v>260.234405514568</v>
      </c>
      <c r="G5888" s="6" t="n">
        <f aca="false">Sens!F5888+Sens!G5813-Sens!G5816</f>
        <v>383.364352737428</v>
      </c>
      <c r="H5888" s="6" t="n">
        <f aca="false">Sens!G5888+Sens!H5813-Sens!H5816</f>
        <v>483.764822654688</v>
      </c>
      <c r="I5888" s="6" t="n">
        <f aca="false">Sens!H5888+Sens!I5813-Sens!I5816</f>
        <v>535.546951826713</v>
      </c>
      <c r="J5888" s="6" t="n">
        <f aca="false">Sens!I5888+Sens!J5813-Sens!J5816</f>
        <v>530.938217622137</v>
      </c>
      <c r="K5888" s="6" t="n">
        <f aca="false">Sens!J5888+Sens!K5813-Sens!K5816</f>
        <v>506.3125064596</v>
      </c>
      <c r="L5888" s="1" t="s">
        <v>852</v>
      </c>
    </row>
    <row r="5889" customFormat="false" ht="17.15" hidden="false" customHeight="false" outlineLevel="0" collapsed="false">
      <c r="A5889" s="0" t="s">
        <v>853</v>
      </c>
      <c r="B5889" s="0" t="s">
        <v>129</v>
      </c>
      <c r="F5889" s="7" t="n">
        <f aca="false">Sens!F5887*(1-tax_f)/((Sens!E5888+Sens!F5888)/2)</f>
        <v>0.118565168843193</v>
      </c>
      <c r="G5889" s="7" t="n">
        <f aca="false">Sens!G5887*(1-tax_f)/((Sens!F5888+Sens!G5888)/2)</f>
        <v>0.130902974016008</v>
      </c>
      <c r="H5889" s="7" t="n">
        <f aca="false">Sens!H5887*(1-tax_f)/((Sens!G5888+Sens!H5888)/2)</f>
        <v>0.15244398282783</v>
      </c>
      <c r="I5889" s="7" t="n">
        <f aca="false">Sens!I5887*(1-tax_f)/((Sens!H5888+Sens!I5888)/2)</f>
        <v>0.163179229543437</v>
      </c>
      <c r="J5889" s="7" t="n">
        <f aca="false">Sens!J5887*(1-tax_f)/((Sens!I5888+Sens!J5888)/2)</f>
        <v>0.178155860019871</v>
      </c>
      <c r="K5889" s="7" t="n">
        <f aca="false">Sens!K5887*(1-tax_f)/((Sens!J5888+Sens!K5888)/2)</f>
        <v>0.198532268904922</v>
      </c>
    </row>
    <row r="5890" customFormat="false" ht="17.15" hidden="false" customHeight="false" outlineLevel="0" collapsed="false">
      <c r="A5890" s="1" t="s">
        <v>854</v>
      </c>
      <c r="B5890" s="0" t="s">
        <v>129</v>
      </c>
      <c r="F5890" s="7" t="n">
        <f aca="false">(Sens!F5887-Sens!F5886)*(1-tax_f)/((Sens!E5888+Sens!F5888)/2)</f>
        <v>0.0449823873966603</v>
      </c>
      <c r="G5890" s="7" t="n">
        <f aca="false">(Sens!G5887-Sens!G5886)*(1-tax_f)/((Sens!F5888+Sens!G5888)/2)</f>
        <v>0.0595226517182709</v>
      </c>
      <c r="H5890" s="7" t="n">
        <f aca="false">(Sens!H5887-Sens!H5886)*(1-tax_f)/((Sens!G5888+Sens!H5888)/2)</f>
        <v>0.0768232566914412</v>
      </c>
      <c r="I5890" s="7" t="n">
        <f aca="false">(Sens!I5887-Sens!I5886)*(1-tax_f)/((Sens!H5888+Sens!I5888)/2)</f>
        <v>0.0801392660850398</v>
      </c>
      <c r="J5890" s="7" t="n">
        <f aca="false">(Sens!J5887-Sens!J5886)*(1-tax_f)/((Sens!I5888+Sens!J5888)/2)</f>
        <v>0.0860781298645068</v>
      </c>
      <c r="K5890" s="7" t="n">
        <f aca="false">(Sens!K5887-Sens!K5886)*(1-tax_f)/((Sens!J5888+Sens!K5888)/2)</f>
        <v>0.0980733201568636</v>
      </c>
    </row>
    <row r="5891" customFormat="false" ht="17.15" hidden="false" customHeight="false" outlineLevel="0" collapsed="false">
      <c r="A5891" s="1" t="s">
        <v>855</v>
      </c>
      <c r="B5891" s="0" t="s">
        <v>129</v>
      </c>
      <c r="F5891" s="7" t="n">
        <f aca="false">(Sens!F5887-Sens!F5886+Sens!F5885)*(1-tax_f)/((Sens!E5888+Sens!F5888)/2)</f>
        <v>0.118565168843193</v>
      </c>
      <c r="G5891" s="7" t="n">
        <f aca="false">(Sens!G5887-Sens!G5886+Sens!G5885)*(1-tax_f)/((Sens!F5888+Sens!G5888)/2)</f>
        <v>0.130902974016008</v>
      </c>
      <c r="H5891" s="7" t="n">
        <f aca="false">(Sens!H5887-Sens!H5886+Sens!H5885)*(1-tax_f)/((Sens!G5888+Sens!H5888)/2)</f>
        <v>0.15244398282783</v>
      </c>
      <c r="I5891" s="7" t="n">
        <f aca="false">(Sens!I5887-Sens!I5886+Sens!I5885)*(1-tax_f)/((Sens!H5888+Sens!I5888)/2)</f>
        <v>0.163179229543437</v>
      </c>
      <c r="J5891" s="7" t="n">
        <f aca="false">(Sens!J5887-Sens!J5886+Sens!J5885)*(1-tax_f)/((Sens!I5888+Sens!J5888)/2)</f>
        <v>0.178155860019871</v>
      </c>
      <c r="K5891" s="7" t="n">
        <f aca="false">(Sens!K5887-Sens!K5886+Sens!K5885)*(1-tax_f)/((Sens!J5888+Sens!K5888)/2)</f>
        <v>0.198532268904922</v>
      </c>
    </row>
    <row r="5892" customFormat="false" ht="17.15" hidden="false" customHeight="false" outlineLevel="0" collapsed="false">
      <c r="A5892" s="1" t="s">
        <v>856</v>
      </c>
      <c r="B5892" s="0" t="s">
        <v>129</v>
      </c>
      <c r="F5892" s="7" t="n">
        <f aca="false">Sens!F5817*(1-tax_f)/(Sens!F5804*(Sens!E5888+Sens!F5888)/2)</f>
        <v>0.15370319371249</v>
      </c>
      <c r="G5892" s="7" t="n">
        <f aca="false">Sens!G5817*(1-tax_f)/(Sens!G5804*(Sens!F5888+Sens!G5888)/2)</f>
        <v>0.174869873017692</v>
      </c>
      <c r="H5892" s="7" t="n">
        <f aca="false">Sens!H5817*(1-tax_f)/(Sens!H5804*(Sens!G5888+Sens!H5888)/2)</f>
        <v>0.207771380420635</v>
      </c>
      <c r="I5892" s="7" t="n">
        <f aca="false">Sens!I5817*(1-tax_f)/(Sens!I5804*(Sens!H5888+Sens!I5888)/2)</f>
        <v>0.221791767003748</v>
      </c>
      <c r="J5892" s="7" t="n">
        <f aca="false">Sens!J5817*(1-tax_f)/(Sens!J5804*(Sens!I5888+Sens!J5888)/2)</f>
        <v>0.241887826508203</v>
      </c>
      <c r="K5892" s="7" t="n">
        <f aca="false">Sens!K5817*(1-tax_f)/(Sens!K5804*(Sens!J5888+Sens!K5888)/2)</f>
        <v>0.269113598168116</v>
      </c>
    </row>
    <row r="5893" customFormat="false" ht="17.15" hidden="false" customHeight="false" outlineLevel="0" collapsed="false">
      <c r="A5893" s="0" t="s">
        <v>857</v>
      </c>
      <c r="B5893" s="0" t="s">
        <v>209</v>
      </c>
      <c r="F5893" s="7" t="n">
        <f aca="false">Sens!F5889-wacc</f>
        <v>0.0156307487503168</v>
      </c>
      <c r="G5893" s="7" t="n">
        <f aca="false">Sens!G5889-wacc</f>
        <v>0.0279685539231318</v>
      </c>
      <c r="H5893" s="7" t="n">
        <f aca="false">Sens!H5889-wacc</f>
        <v>0.0495095627349543</v>
      </c>
      <c r="I5893" s="7" t="n">
        <f aca="false">Sens!I5889-wacc</f>
        <v>0.0602448094505616</v>
      </c>
      <c r="J5893" s="7" t="n">
        <f aca="false">Sens!J5889-wacc</f>
        <v>0.0752214399269953</v>
      </c>
      <c r="K5893" s="7" t="n">
        <f aca="false">Sens!K5889-wacc</f>
        <v>0.0955978488120466</v>
      </c>
    </row>
    <row r="5894" customFormat="false" ht="17.15" hidden="false" customHeight="false" outlineLevel="0" collapsed="false">
      <c r="A5894" s="0" t="s">
        <v>858</v>
      </c>
      <c r="B5894" s="0" t="s">
        <v>98</v>
      </c>
      <c r="F5894" s="6" t="n">
        <f aca="false">Sens!F5887*(1-tax_f)-wacc*(Sens!E5888+Sens!F5888)/2</f>
        <v>3.02402190552425</v>
      </c>
      <c r="G5894" s="6" t="n">
        <f aca="false">Sens!G5887*(1-tax_f)-wacc*(Sens!F5888+Sens!G5888)/2</f>
        <v>9.00026328751579</v>
      </c>
      <c r="H5894" s="6" t="n">
        <f aca="false">Sens!H5887*(1-tax_f)-wacc*(Sens!G5888+Sens!H5888)/2</f>
        <v>21.4655931541926</v>
      </c>
      <c r="I5894" s="6" t="n">
        <f aca="false">Sens!I5887*(1-tax_f)-wacc*(Sens!H5888+Sens!I5888)/2</f>
        <v>30.7041218121729</v>
      </c>
      <c r="J5894" s="6" t="n">
        <f aca="false">Sens!J5887*(1-tax_f)-wacc*(Sens!I5888+Sens!J5888)/2</f>
        <v>40.1112750533641</v>
      </c>
      <c r="K5894" s="6" t="n">
        <f aca="false">Sens!K5887*(1-tax_f)-wacc*(Sens!J5888+Sens!K5888)/2</f>
        <v>49.5794689504759</v>
      </c>
    </row>
    <row r="5895" customFormat="false" ht="17.15" hidden="false" customHeight="false" outlineLevel="0" collapsed="false">
      <c r="A5895" s="3" t="s">
        <v>1387</v>
      </c>
    </row>
    <row r="5896" customFormat="false" ht="15" hidden="false" customHeight="false" outlineLevel="0" collapsed="false">
      <c r="A5896" s="4" t="s">
        <v>43</v>
      </c>
      <c r="B5896" s="4" t="s">
        <v>65</v>
      </c>
      <c r="C5896" s="20" t="s">
        <v>788</v>
      </c>
      <c r="D5896" s="20" t="s">
        <v>789</v>
      </c>
      <c r="E5896" s="20" t="s">
        <v>790</v>
      </c>
      <c r="F5896" s="20" t="s">
        <v>791</v>
      </c>
      <c r="G5896" s="20" t="s">
        <v>792</v>
      </c>
      <c r="H5896" s="20" t="s">
        <v>793</v>
      </c>
      <c r="I5896" s="20" t="s">
        <v>794</v>
      </c>
      <c r="J5896" s="20" t="s">
        <v>795</v>
      </c>
      <c r="K5896" s="20" t="s">
        <v>796</v>
      </c>
      <c r="L5896" s="4" t="s">
        <v>47</v>
      </c>
    </row>
    <row r="5897" customFormat="false" ht="15" hidden="false" customHeight="false" outlineLevel="0" collapsed="false">
      <c r="A5897" s="1" t="s">
        <v>915</v>
      </c>
      <c r="B5897" s="0" t="s">
        <v>98</v>
      </c>
      <c r="F5897" s="6" t="n">
        <f aca="false">Sens!F5878</f>
        <v>145.867472426278</v>
      </c>
      <c r="G5897" s="6" t="n">
        <f aca="false">Sens!G5878</f>
        <v>172.054485619917</v>
      </c>
      <c r="H5897" s="6" t="n">
        <f aca="false">Sens!H5878</f>
        <v>202.199748785405</v>
      </c>
      <c r="I5897" s="6" t="n">
        <f aca="false">Sens!I5878</f>
        <v>225.430350228075</v>
      </c>
      <c r="J5897" s="6" t="n">
        <f aca="false">Sens!J5878</f>
        <v>245.270667630698</v>
      </c>
      <c r="K5897" s="6" t="n">
        <f aca="false">Sens!K5878</f>
        <v>263.47205883604</v>
      </c>
    </row>
    <row r="5898" customFormat="false" ht="17.15" hidden="false" customHeight="false" outlineLevel="0" collapsed="false">
      <c r="A5898" s="1" t="s">
        <v>937</v>
      </c>
      <c r="B5898" s="0" t="s">
        <v>98</v>
      </c>
      <c r="E5898" s="6" t="n">
        <f aca="false">Q!M38-Sens!E5816</f>
        <v>22.2285940229167</v>
      </c>
      <c r="F5898" s="6" t="n">
        <f aca="false">Sens!E5898*(1-1/life_nonai)+Sens!F5904/life_nonai</f>
        <v>23.6011693435812</v>
      </c>
      <c r="G5898" s="6" t="n">
        <f aca="false">Sens!F5898*(1-1/life_nonai)+Sens!G5904/life_nonai</f>
        <v>25.468841766262</v>
      </c>
      <c r="H5898" s="6" t="n">
        <f aca="false">Sens!G5898*(1-1/life_nonai)+Sens!H5904/life_nonai</f>
        <v>27.7906089540448</v>
      </c>
      <c r="I5898" s="6" t="n">
        <f aca="false">Sens!H5898*(1-1/life_nonai)+Sens!I5904/life_nonai</f>
        <v>30.4751380898047</v>
      </c>
      <c r="J5898" s="6" t="n">
        <f aca="false">Sens!I5898*(1-1/life_nonai)+Sens!J5904/life_nonai</f>
        <v>33.4169656058616</v>
      </c>
      <c r="K5898" s="6" t="n">
        <f aca="false">Sens!J5898*(1-1/life_nonai)+Sens!K5904/life_nonai</f>
        <v>36.5308893194749</v>
      </c>
      <c r="L5898" s="11" t="s">
        <v>938</v>
      </c>
    </row>
    <row r="5899" customFormat="false" ht="17.15" hidden="false" customHeight="false" outlineLevel="0" collapsed="false">
      <c r="A5899" s="1" t="s">
        <v>939</v>
      </c>
      <c r="B5899" s="0" t="s">
        <v>98</v>
      </c>
      <c r="E5899" s="6" t="n">
        <f aca="false">Sens!E5816+Sens!E5898</f>
        <v>38.534</v>
      </c>
      <c r="F5899" s="6" t="n">
        <f aca="false">Sens!F5816+Sens!F5898</f>
        <v>58.310454799451</v>
      </c>
      <c r="G5899" s="6" t="n">
        <f aca="false">Sens!G5816+Sens!G5898</f>
        <v>85.9130750266016</v>
      </c>
      <c r="H5899" s="6" t="n">
        <f aca="false">Sens!H5816+Sens!H5898</f>
        <v>115.470424947184</v>
      </c>
      <c r="I5899" s="6" t="n">
        <f aca="false">Sens!I5816+Sens!I5898</f>
        <v>142.399678072026</v>
      </c>
      <c r="J5899" s="6" t="n">
        <f aca="false">Sens!J5816+Sens!J5898</f>
        <v>162.538176528527</v>
      </c>
      <c r="K5899" s="6" t="n">
        <f aca="false">Sens!K5816+Sens!K5898</f>
        <v>176.116036123948</v>
      </c>
    </row>
    <row r="5900" customFormat="false" ht="17.15" hidden="false" customHeight="false" outlineLevel="0" collapsed="false">
      <c r="A5900" s="1" t="s">
        <v>940</v>
      </c>
      <c r="B5900" s="0" t="s">
        <v>98</v>
      </c>
      <c r="F5900" s="6" t="n">
        <f aca="false">Sens!F5843*sbc_r</f>
        <v>15.2081899441974</v>
      </c>
      <c r="G5900" s="6" t="n">
        <f aca="false">Sens!G5843*sbc_r</f>
        <v>18.6302111158222</v>
      </c>
      <c r="H5900" s="6" t="n">
        <f aca="false">Sens!H5843*sbc_r</f>
        <v>22.2977063005709</v>
      </c>
      <c r="I5900" s="6" t="n">
        <f aca="false">Sens!I5843*sbc_r</f>
        <v>25.4168718659913</v>
      </c>
      <c r="J5900" s="6" t="n">
        <f aca="false">Sens!J5843*sbc_r</f>
        <v>27.9157526282747</v>
      </c>
      <c r="K5900" s="6" t="n">
        <f aca="false">Sens!K5843*sbc_r</f>
        <v>29.9240533303513</v>
      </c>
    </row>
    <row r="5901" customFormat="false" ht="17.15" hidden="false" customHeight="false" outlineLevel="0" collapsed="false">
      <c r="A5901" s="1" t="s">
        <v>941</v>
      </c>
      <c r="B5901" s="0" t="s">
        <v>98</v>
      </c>
      <c r="F5901" s="6" t="n">
        <f aca="false">wc27</f>
        <v>-4.895</v>
      </c>
      <c r="G5901" s="6" t="n">
        <f aca="false">wc_f</f>
        <v>0</v>
      </c>
      <c r="H5901" s="6" t="n">
        <f aca="false">wc_f</f>
        <v>0</v>
      </c>
      <c r="I5901" s="6" t="n">
        <f aca="false">wc_f</f>
        <v>0</v>
      </c>
      <c r="J5901" s="6" t="n">
        <f aca="false">wc_f</f>
        <v>0</v>
      </c>
      <c r="K5901" s="6" t="n">
        <f aca="false">wc_f</f>
        <v>0</v>
      </c>
      <c r="L5901" s="11" t="s">
        <v>942</v>
      </c>
    </row>
    <row r="5902" customFormat="false" ht="15" hidden="false" customHeight="false" outlineLevel="0" collapsed="false">
      <c r="A5902" s="1" t="s">
        <v>756</v>
      </c>
      <c r="B5902" s="0" t="s">
        <v>98</v>
      </c>
      <c r="E5902" s="6" t="n">
        <f aca="false">Q!M35</f>
        <v>182.935</v>
      </c>
      <c r="F5902" s="6" t="n">
        <f aca="false">Sens!F5897+Sens!F5899+Sens!F5900+Sens!F5901</f>
        <v>214.491117169927</v>
      </c>
      <c r="G5902" s="6" t="n">
        <f aca="false">Sens!G5897+Sens!G5899+Sens!G5900+Sens!G5901</f>
        <v>276.597771762341</v>
      </c>
      <c r="H5902" s="6" t="n">
        <f aca="false">Sens!H5897+Sens!H5899+Sens!H5900+Sens!H5901</f>
        <v>339.96788003316</v>
      </c>
      <c r="I5902" s="6" t="n">
        <f aca="false">Sens!I5897+Sens!I5899+Sens!I5900+Sens!I5901</f>
        <v>393.246900166092</v>
      </c>
      <c r="J5902" s="6" t="n">
        <f aca="false">Sens!J5897+Sens!J5899+Sens!J5900+Sens!J5901</f>
        <v>435.7245967875</v>
      </c>
      <c r="K5902" s="6" t="n">
        <f aca="false">Sens!K5897+Sens!K5899+Sens!K5900+Sens!K5901</f>
        <v>469.51214829034</v>
      </c>
    </row>
    <row r="5903" customFormat="false" ht="17.15" hidden="false" customHeight="false" outlineLevel="0" collapsed="false">
      <c r="A5903" s="0" t="s">
        <v>943</v>
      </c>
      <c r="B5903" s="0" t="s">
        <v>98</v>
      </c>
      <c r="F5903" s="6" t="n">
        <f aca="false">Sens!F5813</f>
        <v>168.245652770438</v>
      </c>
      <c r="G5903" s="6" t="n">
        <f aca="false">Sens!G5813</f>
        <v>183.5741804832</v>
      </c>
      <c r="H5903" s="6" t="n">
        <f aca="false">Sens!H5813</f>
        <v>188.0802859104</v>
      </c>
      <c r="I5903" s="6" t="n">
        <f aca="false">Sens!I5813</f>
        <v>163.706669154245</v>
      </c>
      <c r="J5903" s="6" t="n">
        <f aca="false">Sens!J5813</f>
        <v>124.51247671809</v>
      </c>
      <c r="K5903" s="6" t="n">
        <f aca="false">Sens!K5813</f>
        <v>114.959435641936</v>
      </c>
    </row>
    <row r="5904" customFormat="false" ht="17.15" hidden="false" customHeight="false" outlineLevel="0" collapsed="false">
      <c r="A5904" s="1" t="s">
        <v>944</v>
      </c>
      <c r="B5904" s="0" t="s">
        <v>98</v>
      </c>
      <c r="E5904" s="6" t="n">
        <f aca="false">Sens!E5821*cx_azo+Sens!E5828*cx_m365+Sens!E5829*cx_lic+(Sens!E5831+Sens!E5833)*cx_ind+Sens!E5836*cx_srch+(Sens!E5838+Sens!E5840)*cx_dev</f>
        <v>30.1846587067718</v>
      </c>
      <c r="F5904" s="6" t="n">
        <f aca="false">Sens!F5821*cx_azo+Sens!F5828*cx_m365+Sens!F5829*cx_lic+(Sens!F5831+Sens!F5833)*cx_ind+Sens!F5836*cx_srch+(Sens!F5838+Sens!F5840)*cx_dev</f>
        <v>35.9543472295625</v>
      </c>
      <c r="G5904" s="6" t="n">
        <f aca="false">Sens!G5821*cx_azo+Sens!G5828*cx_m365+Sens!G5829*cx_lic+(Sens!G5831+Sens!G5833)*cx_ind+Sens!G5836*cx_srch+(Sens!G5838+Sens!G5840)*cx_dev</f>
        <v>42.2778935703892</v>
      </c>
      <c r="H5904" s="6" t="n">
        <f aca="false">Sens!H5821*cx_azo+Sens!H5828*cx_m365+Sens!H5829*cx_lic+(Sens!H5831+Sens!H5833)*cx_ind+Sens!H5836*cx_srch+(Sens!H5838+Sens!H5840)*cx_dev</f>
        <v>48.6865136440897</v>
      </c>
      <c r="I5904" s="6" t="n">
        <f aca="false">Sens!I5821*cx_azo+Sens!I5828*cx_m365+Sens!I5829*cx_lic+(Sens!I5831+Sens!I5833)*cx_ind+Sens!I5836*cx_srch+(Sens!I5838+Sens!I5840)*cx_dev</f>
        <v>54.6359003116439</v>
      </c>
      <c r="J5904" s="6" t="n">
        <f aca="false">Sens!J5821*cx_azo+Sens!J5828*cx_m365+Sens!J5829*cx_lic+(Sens!J5831+Sens!J5833)*cx_ind+Sens!J5836*cx_srch+(Sens!J5838+Sens!J5840)*cx_dev</f>
        <v>59.8934132503738</v>
      </c>
      <c r="K5904" s="6" t="n">
        <f aca="false">Sens!K5821*cx_azo+Sens!K5828*cx_m365+Sens!K5829*cx_lic+(Sens!K5831+Sens!K5833)*cx_ind+Sens!K5836*cx_srch+(Sens!K5838+Sens!K5840)*cx_dev</f>
        <v>64.556202741994</v>
      </c>
    </row>
    <row r="5905" customFormat="false" ht="17.15" hidden="false" customHeight="false" outlineLevel="0" collapsed="false">
      <c r="A5905" s="1" t="s">
        <v>945</v>
      </c>
      <c r="B5905" s="0" t="s">
        <v>98</v>
      </c>
      <c r="E5905" s="6" t="n">
        <f aca="false">Q!M42</f>
        <v>145.3</v>
      </c>
      <c r="F5905" s="6" t="n">
        <f aca="false">Sens!F5903+Sens!F5904</f>
        <v>204.2</v>
      </c>
      <c r="G5905" s="6" t="n">
        <f aca="false">Sens!G5903+Sens!G5904</f>
        <v>225.852074053589</v>
      </c>
      <c r="H5905" s="6" t="n">
        <f aca="false">Sens!H5903+Sens!H5904</f>
        <v>236.76679955449</v>
      </c>
      <c r="I5905" s="6" t="n">
        <f aca="false">Sens!I5903+Sens!I5904</f>
        <v>218.342569465889</v>
      </c>
      <c r="J5905" s="6" t="n">
        <f aca="false">Sens!J5903+Sens!J5904</f>
        <v>184.405889968464</v>
      </c>
      <c r="K5905" s="6" t="n">
        <f aca="false">Sens!K5903+Sens!K5904</f>
        <v>179.51563838393</v>
      </c>
      <c r="L5905" s="1" t="s">
        <v>946</v>
      </c>
    </row>
    <row r="5906" customFormat="false" ht="15" hidden="false" customHeight="false" outlineLevel="0" collapsed="false">
      <c r="A5906" s="1" t="s">
        <v>947</v>
      </c>
      <c r="B5906" s="0" t="s">
        <v>98</v>
      </c>
      <c r="E5906" s="6" t="n">
        <f aca="false">fl_liab</f>
        <v>66.594</v>
      </c>
      <c r="F5906" s="6" t="n">
        <f aca="false">Sens!E5906-Sens!F5907</f>
        <v>62.46973</v>
      </c>
      <c r="G5906" s="6" t="n">
        <f aca="false">Sens!F5906-Sens!G5907</f>
        <v>57.98686785</v>
      </c>
      <c r="H5906" s="6" t="n">
        <f aca="false">Sens!G5906-Sens!H5907</f>
        <v>53.92827690325</v>
      </c>
      <c r="I5906" s="6" t="n">
        <f aca="false">Sens!H5906-Sens!I5907</f>
        <v>49.7850493638962</v>
      </c>
      <c r="J5906" s="6" t="n">
        <f aca="false">Sens!I5906-Sens!J5907</f>
        <v>45.4823765852716</v>
      </c>
      <c r="K5906" s="6" t="n">
        <f aca="false">Sens!J5906-Sens!K5907</f>
        <v>40.9860835316088</v>
      </c>
    </row>
    <row r="5907" customFormat="false" ht="15" hidden="false" customHeight="false" outlineLevel="0" collapsed="false">
      <c r="A5907" s="1" t="s">
        <v>948</v>
      </c>
      <c r="B5907" s="0" t="s">
        <v>98</v>
      </c>
      <c r="F5907" s="6" t="n">
        <f aca="false">fl_pay_27-Sens!E5906*fl_rate</f>
        <v>4.12427</v>
      </c>
      <c r="G5907" s="6" t="n">
        <f aca="false">fl_pay_28-Sens!F5906*fl_rate</f>
        <v>4.48286215</v>
      </c>
      <c r="H5907" s="6" t="n">
        <f aca="false">fl_pay_29-Sens!G5906*fl_rate</f>
        <v>4.05859094675</v>
      </c>
      <c r="I5907" s="6" t="n">
        <f aca="false">fl_pay_30-Sens!H5906*fl_rate</f>
        <v>4.14322753935375</v>
      </c>
      <c r="J5907" s="6" t="n">
        <f aca="false">fl_pay_31-Sens!I5906*fl_rate</f>
        <v>4.30267277862467</v>
      </c>
      <c r="K5907" s="6" t="n">
        <f aca="false">fl_pay_32-Sens!J5906*fl_rate</f>
        <v>4.49629305366278</v>
      </c>
    </row>
    <row r="5908" customFormat="false" ht="17.15" hidden="false" customHeight="false" outlineLevel="0" collapsed="false">
      <c r="A5908" s="1" t="s">
        <v>949</v>
      </c>
      <c r="B5908" s="0" t="s">
        <v>98</v>
      </c>
      <c r="E5908" s="6" t="n">
        <f aca="false">Q!M35-Q!M36-Q!M43</f>
        <v>63.886</v>
      </c>
      <c r="F5908" s="6" t="n">
        <f aca="false">Sens!F5902-Sens!F5905-Sens!F5907</f>
        <v>6.16684716992668</v>
      </c>
      <c r="G5908" s="6" t="n">
        <f aca="false">Sens!G5902-Sens!G5905-Sens!G5907</f>
        <v>46.2628355587519</v>
      </c>
      <c r="H5908" s="6" t="n">
        <f aca="false">Sens!H5902-Sens!H5905-Sens!H5907</f>
        <v>99.1424895319207</v>
      </c>
      <c r="I5908" s="6" t="n">
        <f aca="false">Sens!I5902-Sens!I5905-Sens!I5907</f>
        <v>170.761103160849</v>
      </c>
      <c r="J5908" s="6" t="n">
        <f aca="false">Sens!J5902-Sens!J5905-Sens!J5907</f>
        <v>247.016034040411</v>
      </c>
      <c r="K5908" s="6" t="n">
        <f aca="false">Sens!K5902-Sens!K5905-Sens!K5907</f>
        <v>285.500216852747</v>
      </c>
      <c r="L5908" s="11" t="s">
        <v>950</v>
      </c>
    </row>
    <row r="5909" customFormat="false" ht="15" hidden="false" customHeight="false" outlineLevel="0" collapsed="false">
      <c r="A5909" s="1" t="s">
        <v>951</v>
      </c>
      <c r="B5909" s="0" t="s">
        <v>75</v>
      </c>
      <c r="F5909" s="8" t="n">
        <f aca="false">dps_27</f>
        <v>3.85</v>
      </c>
      <c r="G5909" s="8" t="n">
        <f aca="false">Sens!F5909*(1+dps_g)</f>
        <v>4.158</v>
      </c>
      <c r="H5909" s="8" t="n">
        <f aca="false">Sens!G5909*(1+dps_g)</f>
        <v>4.49064</v>
      </c>
      <c r="I5909" s="8" t="n">
        <f aca="false">Sens!H5909*(1+dps_g)</f>
        <v>4.8498912</v>
      </c>
      <c r="J5909" s="8" t="n">
        <f aca="false">Sens!I5909*(1+dps_g)</f>
        <v>5.237882496</v>
      </c>
      <c r="K5909" s="8" t="n">
        <f aca="false">Sens!J5909*(1+dps_g)</f>
        <v>5.65691309568</v>
      </c>
    </row>
    <row r="5910" customFormat="false" ht="17.15" hidden="false" customHeight="false" outlineLevel="0" collapsed="false">
      <c r="A5910" s="1" t="s">
        <v>952</v>
      </c>
      <c r="B5910" s="0" t="s">
        <v>98</v>
      </c>
      <c r="E5910" s="6" t="n">
        <f aca="false">Q!M41</f>
        <v>26.445</v>
      </c>
      <c r="F5910" s="6" t="n">
        <f aca="false">Sens!F5909*Sens!E5919</f>
        <v>28.59395</v>
      </c>
      <c r="G5910" s="6" t="n">
        <f aca="false">Sens!G5909*Sens!F5919</f>
        <v>31.068576</v>
      </c>
      <c r="H5910" s="6" t="n">
        <f aca="false">Sens!H5909*Sens!G5919</f>
        <v>33.641997432318</v>
      </c>
      <c r="I5910" s="6" t="n">
        <f aca="false">Sens!I5909*Sens!H5919</f>
        <v>36.3842964669029</v>
      </c>
      <c r="J5910" s="6" t="n">
        <f aca="false">Sens!J5909*Sens!I5919</f>
        <v>39.3634390325746</v>
      </c>
      <c r="K5910" s="6" t="n">
        <f aca="false">Sens!K5909*Sens!J5919</f>
        <v>42.5997693804856</v>
      </c>
      <c r="L5910" s="1" t="s">
        <v>953</v>
      </c>
    </row>
    <row r="5911" customFormat="false" ht="15" hidden="false" customHeight="false" outlineLevel="0" collapsed="false">
      <c r="A5911" s="1" t="s">
        <v>954</v>
      </c>
      <c r="B5911" s="0" t="s">
        <v>98</v>
      </c>
      <c r="E5911" s="6" t="n">
        <f aca="false">Sens!E5908-Sens!E5910</f>
        <v>37.441</v>
      </c>
      <c r="F5911" s="6" t="n">
        <f aca="false">Sens!F5908-Sens!F5910</f>
        <v>-22.4271028300733</v>
      </c>
      <c r="G5911" s="6" t="n">
        <f aca="false">Sens!G5908-Sens!G5910</f>
        <v>15.1942595587519</v>
      </c>
      <c r="H5911" s="6" t="n">
        <f aca="false">Sens!H5908-Sens!H5910</f>
        <v>65.5004920996027</v>
      </c>
      <c r="I5911" s="6" t="n">
        <f aca="false">Sens!I5908-Sens!I5910</f>
        <v>134.376806693946</v>
      </c>
      <c r="J5911" s="6" t="n">
        <f aca="false">Sens!J5908-Sens!J5910</f>
        <v>207.652595007837</v>
      </c>
      <c r="K5911" s="6" t="n">
        <f aca="false">Sens!K5908-Sens!K5910</f>
        <v>242.900447472261</v>
      </c>
    </row>
    <row r="5912" customFormat="false" ht="15" hidden="false" customHeight="false" outlineLevel="0" collapsed="false">
      <c r="A5912" s="1" t="s">
        <v>955</v>
      </c>
      <c r="B5912" s="0" t="s">
        <v>98</v>
      </c>
      <c r="F5912" s="6" t="n">
        <f aca="false">debt_mat_27</f>
        <v>9.25</v>
      </c>
      <c r="G5912" s="6" t="n">
        <f aca="false">debt_mat_28</f>
        <v>0</v>
      </c>
      <c r="H5912" s="6" t="n">
        <f aca="false">debt_mat_29</f>
        <v>2.001</v>
      </c>
      <c r="I5912" s="6" t="n">
        <f aca="false">debt_mat_30</f>
        <v>0</v>
      </c>
      <c r="J5912" s="6" t="n">
        <f aca="false">debt_mat_31</f>
        <v>0.5</v>
      </c>
      <c r="K5912" s="6" t="n">
        <f aca="false">debt_mat_32</f>
        <v>0</v>
      </c>
    </row>
    <row r="5913" customFormat="false" ht="15" hidden="false" customHeight="false" outlineLevel="0" collapsed="false">
      <c r="A5913" s="1" t="s">
        <v>956</v>
      </c>
      <c r="B5913" s="0" t="s">
        <v>98</v>
      </c>
      <c r="E5913" s="6" t="n">
        <f aca="false">Q!M40</f>
        <v>22.271</v>
      </c>
      <c r="F5913" s="6" t="n">
        <f aca="false">MAX(0,MIN(bb_target,Sens!E5915+Sens!F5911-Sens!F5912-min_cash))</f>
        <v>0</v>
      </c>
      <c r="G5913" s="6" t="n">
        <f aca="false">MAX(0,MIN(bb_target,Sens!F5915+Sens!G5911-Sens!G5912-min_cash))</f>
        <v>15.1942595587519</v>
      </c>
      <c r="H5913" s="6" t="n">
        <f aca="false">MAX(0,MIN(bb_target,Sens!G5915+Sens!H5911-Sens!H5912-min_cash))</f>
        <v>22.271</v>
      </c>
      <c r="I5913" s="6" t="n">
        <f aca="false">MAX(0,MIN(bb_target,Sens!H5915+Sens!I5911-Sens!I5912-min_cash))</f>
        <v>22.271</v>
      </c>
      <c r="J5913" s="6" t="n">
        <f aca="false">MAX(0,MIN(bb_target,Sens!I5915+Sens!J5911-Sens!J5912-min_cash))</f>
        <v>22.271</v>
      </c>
      <c r="K5913" s="6" t="n">
        <f aca="false">MAX(0,MIN(bb_target,Sens!J5915+Sens!K5911-Sens!K5912-min_cash))</f>
        <v>22.271</v>
      </c>
    </row>
    <row r="5914" customFormat="false" ht="15" hidden="false" customHeight="false" outlineLevel="0" collapsed="false">
      <c r="A5914" s="1" t="s">
        <v>957</v>
      </c>
      <c r="B5914" s="0" t="s">
        <v>98</v>
      </c>
      <c r="F5914" s="6" t="n">
        <f aca="false">MAX(0,min_cash-(Sens!E5915+Sens!F5911-Sens!F5912-Sens!F5913))</f>
        <v>4.83410283007332</v>
      </c>
      <c r="G5914" s="6" t="n">
        <f aca="false">MAX(0,min_cash-(Sens!F5915+Sens!G5911-Sens!G5912-Sens!G5913))</f>
        <v>0</v>
      </c>
      <c r="H5914" s="6" t="n">
        <f aca="false">MAX(0,min_cash-(Sens!G5915+Sens!H5911-Sens!H5912-Sens!H5913))</f>
        <v>0</v>
      </c>
      <c r="I5914" s="6" t="n">
        <f aca="false">MAX(0,min_cash-(Sens!H5915+Sens!I5911-Sens!I5912-Sens!I5913))</f>
        <v>0</v>
      </c>
      <c r="J5914" s="6" t="n">
        <f aca="false">MAX(0,min_cash-(Sens!I5915+Sens!J5911-Sens!J5912-Sens!J5913))</f>
        <v>0</v>
      </c>
      <c r="K5914" s="6" t="n">
        <f aca="false">MAX(0,min_cash-(Sens!J5915+Sens!K5911-Sens!K5912-Sens!K5913))</f>
        <v>0</v>
      </c>
    </row>
    <row r="5915" customFormat="false" ht="15" hidden="false" customHeight="false" outlineLevel="0" collapsed="false">
      <c r="A5915" s="1" t="s">
        <v>958</v>
      </c>
      <c r="B5915" s="0" t="s">
        <v>98</v>
      </c>
      <c r="E5915" s="6" t="n">
        <f aca="false">cash_open</f>
        <v>76.843</v>
      </c>
      <c r="F5915" s="6" t="n">
        <f aca="false">Sens!E5915+Sens!F5911-Sens!F5912-Sens!F5913+Sens!F5914</f>
        <v>50</v>
      </c>
      <c r="G5915" s="6" t="n">
        <f aca="false">Sens!F5915+Sens!G5911-Sens!G5912-Sens!G5913+Sens!G5914</f>
        <v>50</v>
      </c>
      <c r="H5915" s="6" t="n">
        <f aca="false">Sens!G5915+Sens!H5911-Sens!H5912-Sens!H5913+Sens!H5914</f>
        <v>91.2284920996027</v>
      </c>
      <c r="I5915" s="6" t="n">
        <f aca="false">Sens!H5915+Sens!I5911-Sens!I5912-Sens!I5913+Sens!I5914</f>
        <v>203.334298793549</v>
      </c>
      <c r="J5915" s="6" t="n">
        <f aca="false">Sens!I5915+Sens!J5911-Sens!J5912-Sens!J5913+Sens!J5914</f>
        <v>388.215893801386</v>
      </c>
      <c r="K5915" s="6" t="n">
        <f aca="false">Sens!J5915+Sens!K5911-Sens!K5912-Sens!K5913+Sens!K5914</f>
        <v>608.845341273647</v>
      </c>
    </row>
    <row r="5916" customFormat="false" ht="15" hidden="false" customHeight="false" outlineLevel="0" collapsed="false">
      <c r="A5916" s="1" t="s">
        <v>959</v>
      </c>
      <c r="B5916" s="0" t="s">
        <v>98</v>
      </c>
      <c r="E5916" s="6" t="n">
        <f aca="false">debt_face</f>
        <v>46.136</v>
      </c>
      <c r="F5916" s="6" t="n">
        <f aca="false">Sens!E5916-Sens!F5912+Sens!F5914</f>
        <v>41.7201028300733</v>
      </c>
      <c r="G5916" s="6" t="n">
        <f aca="false">Sens!F5916-Sens!G5912+Sens!G5914</f>
        <v>41.7201028300733</v>
      </c>
      <c r="H5916" s="6" t="n">
        <f aca="false">Sens!G5916-Sens!H5912+Sens!H5914</f>
        <v>39.7191028300733</v>
      </c>
      <c r="I5916" s="6" t="n">
        <f aca="false">Sens!H5916-Sens!I5912+Sens!I5914</f>
        <v>39.7191028300733</v>
      </c>
      <c r="J5916" s="6" t="n">
        <f aca="false">Sens!I5916-Sens!J5912+Sens!J5914</f>
        <v>39.2191028300733</v>
      </c>
      <c r="K5916" s="6" t="n">
        <f aca="false">Sens!J5916-Sens!K5912+Sens!K5914</f>
        <v>39.2191028300733</v>
      </c>
    </row>
    <row r="5917" customFormat="false" ht="15" hidden="false" customHeight="false" outlineLevel="0" collapsed="false">
      <c r="A5917" s="1" t="s">
        <v>960</v>
      </c>
      <c r="B5917" s="0" t="s">
        <v>98</v>
      </c>
      <c r="E5917" s="6" t="n">
        <f aca="false">Sens!E5915-Sens!E5916</f>
        <v>30.707</v>
      </c>
      <c r="F5917" s="6" t="n">
        <f aca="false">Sens!F5915-Sens!F5916</f>
        <v>8.27989716992668</v>
      </c>
      <c r="G5917" s="6" t="n">
        <f aca="false">Sens!G5915-Sens!G5916</f>
        <v>8.27989716992668</v>
      </c>
      <c r="H5917" s="6" t="n">
        <f aca="false">Sens!H5915-Sens!H5916</f>
        <v>51.5093892695294</v>
      </c>
      <c r="I5917" s="6" t="n">
        <f aca="false">Sens!I5915-Sens!I5916</f>
        <v>163.615195963476</v>
      </c>
      <c r="J5917" s="6" t="n">
        <f aca="false">Sens!J5915-Sens!J5916</f>
        <v>348.996790971312</v>
      </c>
      <c r="K5917" s="6" t="n">
        <f aca="false">Sens!K5915-Sens!K5916</f>
        <v>569.626238443574</v>
      </c>
    </row>
    <row r="5918" customFormat="false" ht="15" hidden="false" customHeight="false" outlineLevel="0" collapsed="false">
      <c r="A5918" s="1" t="s">
        <v>961</v>
      </c>
      <c r="B5918" s="0" t="s">
        <v>75</v>
      </c>
      <c r="F5918" s="29" t="n">
        <f aca="false">px*(1+bb_g)^(Sens!F5782-base_fy-mid_yr)</f>
        <v>553.494156066711</v>
      </c>
      <c r="G5918" s="29" t="n">
        <f aca="false">px*(1+bb_g)^(Sens!G5782-base_fy-mid_yr)</f>
        <v>597.773688552047</v>
      </c>
      <c r="H5918" s="29" t="n">
        <f aca="false">px*(1+bb_g)^(Sens!H5782-base_fy-mid_yr)</f>
        <v>645.595583636211</v>
      </c>
      <c r="I5918" s="29" t="n">
        <f aca="false">px*(1+bb_g)^(Sens!I5782-base_fy-mid_yr)</f>
        <v>697.243230327108</v>
      </c>
      <c r="J5918" s="29" t="n">
        <f aca="false">px*(1+bb_g)^(Sens!J5782-base_fy-mid_yr)</f>
        <v>753.022688753277</v>
      </c>
      <c r="K5918" s="29" t="n">
        <f aca="false">px*(1+bb_g)^(Sens!K5782-base_fy-mid_yr)</f>
        <v>813.264503853539</v>
      </c>
    </row>
    <row r="5919" customFormat="false" ht="15" hidden="false" customHeight="false" outlineLevel="0" collapsed="false">
      <c r="A5919" s="1" t="s">
        <v>962</v>
      </c>
      <c r="B5919" s="1" t="s">
        <v>81</v>
      </c>
      <c r="E5919" s="14" t="n">
        <f aca="false">sh_out26</f>
        <v>7.427</v>
      </c>
      <c r="F5919" s="14" t="n">
        <f aca="false">Sens!E5919+sh_iss-Sens!F5913/Sens!F5918</f>
        <v>7.472</v>
      </c>
      <c r="G5919" s="14" t="n">
        <f aca="false">Sens!F5919+sh_iss-Sens!G5913/Sens!G5918</f>
        <v>7.49158191979718</v>
      </c>
      <c r="H5919" s="14" t="n">
        <f aca="false">Sens!G5919+sh_iss-Sens!H5913/Sens!H5918</f>
        <v>7.50208509149708</v>
      </c>
      <c r="I5919" s="14" t="n">
        <f aca="false">Sens!H5919+sh_iss-Sens!I5913/Sens!I5918</f>
        <v>7.51514358381181</v>
      </c>
      <c r="J5919" s="14" t="n">
        <f aca="false">Sens!I5919+sh_iss-Sens!J5913/Sens!J5918</f>
        <v>7.53056811373285</v>
      </c>
      <c r="K5919" s="14" t="n">
        <f aca="false">Sens!J5919+sh_iss-Sens!K5913/Sens!K5918</f>
        <v>7.54818341921529</v>
      </c>
    </row>
    <row r="5920" customFormat="false" ht="15" hidden="false" customHeight="false" outlineLevel="0" collapsed="false">
      <c r="A5920" s="1" t="s">
        <v>963</v>
      </c>
      <c r="B5920" s="1" t="s">
        <v>81</v>
      </c>
      <c r="E5920" s="14" t="n">
        <f aca="false">sh_dil26</f>
        <v>7.453</v>
      </c>
      <c r="F5920" s="14" t="n">
        <f aca="false">(Sens!E5919+Sens!F5919)/2+dil_gap</f>
        <v>7.4735</v>
      </c>
      <c r="G5920" s="14" t="n">
        <f aca="false">(Sens!F5919+Sens!G5919)/2+dil_gap</f>
        <v>7.50579095989859</v>
      </c>
      <c r="H5920" s="14" t="n">
        <f aca="false">(Sens!G5919+Sens!H5919)/2+dil_gap</f>
        <v>7.52083350564713</v>
      </c>
      <c r="I5920" s="14" t="n">
        <f aca="false">(Sens!H5919+Sens!I5919)/2+dil_gap</f>
        <v>7.53261433765444</v>
      </c>
      <c r="J5920" s="14" t="n">
        <f aca="false">(Sens!I5919+Sens!J5919)/2+dil_gap</f>
        <v>7.54685584877233</v>
      </c>
      <c r="K5920" s="14" t="n">
        <f aca="false">(Sens!J5919+Sens!K5919)/2+dil_gap</f>
        <v>7.56337576647407</v>
      </c>
    </row>
    <row r="5921" customFormat="false" ht="17.15" hidden="false" customHeight="false" outlineLevel="0" collapsed="false">
      <c r="A5921" s="1" t="s">
        <v>964</v>
      </c>
      <c r="B5921" s="0" t="s">
        <v>98</v>
      </c>
      <c r="C5921" s="6" t="n">
        <f aca="false">SUM(Sens!F5911:J5911)</f>
        <v>400.297050530064</v>
      </c>
    </row>
    <row r="5922" customFormat="false" ht="15" hidden="false" customHeight="false" outlineLevel="0" collapsed="false">
      <c r="A5922" s="23" t="s">
        <v>935</v>
      </c>
      <c r="B5922" s="30" t="s">
        <v>98</v>
      </c>
      <c r="C5922" s="24" t="n">
        <f aca="false">Sens!$C$5921-(Sens!F5911+Sens!G5911+Sens!H5911+Sens!I5911+Sens!J5911)</f>
        <v>0</v>
      </c>
      <c r="D5922" s="30"/>
      <c r="E5922" s="30"/>
      <c r="F5922" s="30"/>
      <c r="G5922" s="30"/>
      <c r="H5922" s="30"/>
      <c r="I5922" s="30"/>
      <c r="J5922" s="30"/>
      <c r="K5922" s="30"/>
    </row>
    <row r="5923" customFormat="false" ht="17.15" hidden="false" customHeight="false" outlineLevel="0" collapsed="false">
      <c r="A5923" s="1" t="s">
        <v>929</v>
      </c>
      <c r="B5923" s="1" t="s">
        <v>965</v>
      </c>
      <c r="C5923" s="32" t="str">
        <f aca="false">IF(SUM(Sens!F5914:J5914)&gt;0.05,"需要舉債 "&amp;TEXT(SUM(Sens!F5914:J5914),"0.0")&amp;" 十億美元","不需舉債")&amp;"；"&amp;IF(SUM(Sens!F5913:J5913)&lt;COUNT(Sens!F5913:J5913)*bb_target-0.05,"回購較每年 "&amp;TEXT(bb_target,"0.0")&amp;" 的目標少 "&amp;TEXT(COUNT(Sens!F5913:J5913)*bb_target-SUM(Sens!F5913:J5913),"0.0")&amp;" 十億美元（"&amp;TEXT(COUNTIF(Sens!F5913:J5913,"&lt;"&amp;(bb_target-0.05)),"0")&amp;" 年減少）","回購不減")</f>
        <v>需要舉債 4.8 十億美元；回購較每年 22.3 的目標少 29.3 十億美元（2 年減少）</v>
      </c>
    </row>
    <row r="5924" customFormat="false" ht="17.15" hidden="false" customHeight="false" outlineLevel="0" collapsed="false">
      <c r="A5924" s="3" t="s">
        <v>1388</v>
      </c>
    </row>
    <row r="5925" customFormat="false" ht="15" hidden="false" customHeight="false" outlineLevel="0" collapsed="false">
      <c r="A5925" s="4" t="s">
        <v>43</v>
      </c>
      <c r="B5925" s="4" t="s">
        <v>65</v>
      </c>
      <c r="C5925" s="20" t="s">
        <v>788</v>
      </c>
      <c r="D5925" s="20" t="s">
        <v>789</v>
      </c>
      <c r="E5925" s="20" t="s">
        <v>790</v>
      </c>
      <c r="F5925" s="20" t="s">
        <v>791</v>
      </c>
      <c r="G5925" s="20" t="s">
        <v>792</v>
      </c>
      <c r="H5925" s="20" t="s">
        <v>793</v>
      </c>
      <c r="I5925" s="20" t="s">
        <v>794</v>
      </c>
      <c r="J5925" s="20" t="s">
        <v>795</v>
      </c>
      <c r="K5925" s="20" t="s">
        <v>796</v>
      </c>
      <c r="L5925" s="4" t="s">
        <v>47</v>
      </c>
    </row>
    <row r="5926" customFormat="false" ht="15" hidden="false" customHeight="false" outlineLevel="0" collapsed="false">
      <c r="A5926" s="1" t="s">
        <v>1042</v>
      </c>
      <c r="B5926" s="1" t="s">
        <v>235</v>
      </c>
      <c r="F5926" s="36" t="n">
        <f aca="false">Sens!F5782-base_fy-mid_yr</f>
        <v>0.5</v>
      </c>
      <c r="G5926" s="36" t="n">
        <f aca="false">Sens!G5782-base_fy-mid_yr</f>
        <v>1.5</v>
      </c>
      <c r="H5926" s="36" t="n">
        <f aca="false">Sens!H5782-base_fy-mid_yr</f>
        <v>2.5</v>
      </c>
      <c r="I5926" s="36" t="n">
        <f aca="false">Sens!I5782-base_fy-mid_yr</f>
        <v>3.5</v>
      </c>
      <c r="J5926" s="36" t="n">
        <f aca="false">Sens!J5782-base_fy-mid_yr</f>
        <v>4.5</v>
      </c>
      <c r="K5926" s="36" t="n">
        <f aca="false">Sens!K5782-base_fy-mid_yr</f>
        <v>5.5</v>
      </c>
    </row>
    <row r="5927" customFormat="false" ht="15" hidden="false" customHeight="false" outlineLevel="0" collapsed="false">
      <c r="A5927" s="1" t="s">
        <v>1043</v>
      </c>
      <c r="B5927" s="0" t="s">
        <v>185</v>
      </c>
      <c r="F5927" s="14" t="n">
        <f aca="false">1/(1+wacc)^Sens!F5926</f>
        <v>0.952193373608246</v>
      </c>
      <c r="G5927" s="14" t="n">
        <f aca="false">1/(1+wacc)^Sens!G5926</f>
        <v>0.863327280626589</v>
      </c>
      <c r="H5927" s="14" t="n">
        <f aca="false">1/(1+wacc)^Sens!H5926</f>
        <v>0.782754862754115</v>
      </c>
      <c r="I5927" s="14" t="n">
        <f aca="false">1/(1+wacc)^Sens!I5926</f>
        <v>0.709702089711011</v>
      </c>
      <c r="J5927" s="14" t="n">
        <f aca="false">1/(1+wacc)^Sens!J5926</f>
        <v>0.643467169744551</v>
      </c>
      <c r="K5927" s="14" t="n">
        <f aca="false">1/(1+wacc)^Sens!K5926</f>
        <v>0.583413807767797</v>
      </c>
    </row>
    <row r="5928" customFormat="false" ht="17.15" hidden="false" customHeight="false" outlineLevel="0" collapsed="false">
      <c r="A5928" s="1" t="s">
        <v>1044</v>
      </c>
      <c r="B5928" s="0" t="s">
        <v>98</v>
      </c>
      <c r="F5928" s="6" t="n">
        <f aca="false">Sens!F5902-Sens!F5900-Sens!F5905+Sens!F5886*(1-tax_f)</f>
        <v>9.3187099459401</v>
      </c>
      <c r="G5928" s="6" t="n">
        <f aca="false">Sens!G5902-Sens!G5900-Sens!G5905+Sens!G5886*(1-tax_f)</f>
        <v>55.0856299901549</v>
      </c>
      <c r="H5928" s="6" t="n">
        <f aca="false">Sens!H5902-Sens!H5900-Sens!H5905+Sens!H5886*(1-tax_f)</f>
        <v>113.6898431267</v>
      </c>
      <c r="I5928" s="6" t="n">
        <f aca="false">Sens!I5902-Sens!I5900-Sens!I5905+Sens!I5886*(1-tax_f)</f>
        <v>191.809265087037</v>
      </c>
      <c r="J5928" s="6" t="n">
        <f aca="false">Sens!J5902-Sens!J5900-Sens!J5905+Sens!J5886*(1-tax_f)</f>
        <v>272.502721014366</v>
      </c>
      <c r="K5928" s="6" t="n">
        <f aca="false">Sens!K5902-Sens!K5900-Sens!K5905+Sens!K5886*(1-tax_f)</f>
        <v>312.173015240765</v>
      </c>
      <c r="L5928" s="1" t="s">
        <v>1045</v>
      </c>
    </row>
    <row r="5929" customFormat="false" ht="15" hidden="false" customHeight="false" outlineLevel="0" collapsed="false">
      <c r="A5929" s="1" t="s">
        <v>1046</v>
      </c>
      <c r="B5929" s="0" t="s">
        <v>98</v>
      </c>
      <c r="F5929" s="6" t="n">
        <f aca="false">Sens!F5928*Sens!F5927</f>
        <v>8.87321386110142</v>
      </c>
      <c r="G5929" s="6" t="n">
        <f aca="false">Sens!G5928*Sens!G5927</f>
        <v>47.5569271410029</v>
      </c>
      <c r="H5929" s="6" t="n">
        <f aca="false">Sens!H5928*Sens!H5927</f>
        <v>88.9912775531768</v>
      </c>
      <c r="I5929" s="6" t="n">
        <f aca="false">Sens!I5928*Sens!I5927</f>
        <v>136.127436258203</v>
      </c>
      <c r="J5929" s="6" t="n">
        <f aca="false">Sens!J5928*Sens!J5927</f>
        <v>175.346554638803</v>
      </c>
      <c r="K5929" s="6" t="n">
        <f aca="false">Sens!K5928*Sens!K5927</f>
        <v>182.126047503969</v>
      </c>
    </row>
    <row r="5930" customFormat="false" ht="17.15" hidden="false" customHeight="false" outlineLevel="0" collapsed="false">
      <c r="A5930" s="1" t="s">
        <v>1047</v>
      </c>
      <c r="B5930" s="0" t="s">
        <v>98</v>
      </c>
      <c r="C5930" s="6" t="n">
        <f aca="false">SUM(Sens!F5929:K5929)</f>
        <v>639.021456956256</v>
      </c>
    </row>
    <row r="5931" customFormat="false" ht="17.15" hidden="false" customHeight="false" outlineLevel="0" collapsed="false">
      <c r="A5931" s="1" t="s">
        <v>1048</v>
      </c>
      <c r="B5931" s="0" t="s">
        <v>98</v>
      </c>
      <c r="C5931" s="6" t="n">
        <f aca="false">Sens!K5872*(1+g_tv)*(1-tax_f)</f>
        <v>325.369396025769</v>
      </c>
    </row>
    <row r="5932" customFormat="false" ht="17.15" hidden="false" customHeight="false" outlineLevel="0" collapsed="false">
      <c r="A5932" s="1" t="s">
        <v>1049</v>
      </c>
      <c r="B5932" s="0" t="s">
        <v>98</v>
      </c>
      <c r="C5932" s="6" t="n">
        <f aca="false">Sens!$C$5931*(1-g_tv/(wacc+ronic_prem))</f>
        <v>230.541233862269</v>
      </c>
    </row>
    <row r="5933" customFormat="false" ht="17.15" hidden="false" customHeight="false" outlineLevel="0" collapsed="false">
      <c r="A5933" s="1" t="s">
        <v>1050</v>
      </c>
      <c r="B5933" s="0" t="s">
        <v>98</v>
      </c>
      <c r="C5933" s="6" t="n">
        <f aca="false">Sens!$C$5932/(wacc-g_tv)</f>
        <v>3160.93873878334</v>
      </c>
    </row>
    <row r="5934" customFormat="false" ht="15" hidden="false" customHeight="false" outlineLevel="0" collapsed="false">
      <c r="A5934" s="1" t="s">
        <v>1051</v>
      </c>
      <c r="B5934" s="0" t="s">
        <v>98</v>
      </c>
      <c r="C5934" s="6" t="n">
        <f aca="false">Sens!$C$5933/(1+wacc)^(Sens!K5926+mid_yr)</f>
        <v>1755.9734181382</v>
      </c>
    </row>
    <row r="5935" customFormat="false" ht="17.15" hidden="false" customHeight="false" outlineLevel="0" collapsed="false">
      <c r="A5935" s="0" t="s">
        <v>972</v>
      </c>
      <c r="B5935" s="0" t="s">
        <v>98</v>
      </c>
      <c r="C5935" s="6" t="n">
        <f aca="false">Sens!$C$5930+Sens!$C$5934</f>
        <v>2394.99487509445</v>
      </c>
    </row>
    <row r="5936" customFormat="false" ht="15" hidden="false" customHeight="false" outlineLevel="0" collapsed="false">
      <c r="A5936" s="1" t="s">
        <v>973</v>
      </c>
      <c r="B5936" s="0" t="s">
        <v>129</v>
      </c>
      <c r="C5936" s="7" t="n">
        <f aca="false">Sens!$C$5934/Sens!$C$5935</f>
        <v>0.733184624484403</v>
      </c>
    </row>
    <row r="5937" customFormat="false" ht="17.15" hidden="false" customHeight="false" outlineLevel="0" collapsed="false">
      <c r="A5937" s="1" t="s">
        <v>1052</v>
      </c>
      <c r="B5937" s="0" t="s">
        <v>98</v>
      </c>
      <c r="C5937" s="6" t="n">
        <f aca="false">Sens!$C$5935+Sens!E5917-Sens!E5906+oai_v</f>
        <v>2529.50787509445</v>
      </c>
    </row>
    <row r="5938" customFormat="false" ht="17.15" hidden="false" customHeight="false" outlineLevel="0" collapsed="false">
      <c r="A5938" s="0" t="s">
        <v>980</v>
      </c>
      <c r="B5938" s="0" t="s">
        <v>75</v>
      </c>
      <c r="C5938" s="5" t="n">
        <f aca="false">Sens!$C$5937/sh_dil26</f>
        <v>339.39458943975</v>
      </c>
    </row>
    <row r="5939" customFormat="false" ht="15" hidden="false" customHeight="false" outlineLevel="0" collapsed="false">
      <c r="A5939" s="1" t="s">
        <v>1053</v>
      </c>
      <c r="B5939" s="0" t="s">
        <v>75</v>
      </c>
      <c r="C5939" s="8" t="n">
        <f aca="false">dps_27+Sens!G5909*roll_div_q/q_per_yr</f>
        <v>4.8895</v>
      </c>
    </row>
    <row r="5940" customFormat="false" ht="17.15" hidden="false" customHeight="false" outlineLevel="0" collapsed="false">
      <c r="A5940" s="0" t="s">
        <v>1054</v>
      </c>
      <c r="B5940" s="0" t="s">
        <v>75</v>
      </c>
      <c r="C5940" s="5" t="n">
        <f aca="false">Sens!$C$5938*(1+wacc)^t_roll-Sens!$C$5939</f>
        <v>381.590451219424</v>
      </c>
    </row>
    <row r="5941" customFormat="false" ht="17.15" hidden="false" customHeight="false" outlineLevel="0" collapsed="false">
      <c r="A5941" s="1" t="s">
        <v>1055</v>
      </c>
      <c r="B5941" s="0" t="s">
        <v>129</v>
      </c>
      <c r="F5941" s="7" t="n">
        <f aca="false">Sens!F5898/(Sens!F5843-Sens!F5799)</f>
        <v>0.0678013137007762</v>
      </c>
      <c r="G5941" s="7" t="n">
        <f aca="false">Sens!G5898/(Sens!G5843-Sens!G5799)</f>
        <v>0.0641537478485977</v>
      </c>
      <c r="H5941" s="7" t="n">
        <f aca="false">Sens!H5898/(Sens!H5843-Sens!H5799)</f>
        <v>0.0622148835661283</v>
      </c>
      <c r="I5941" s="7" t="n">
        <f aca="false">Sens!I5898/(Sens!I5843-Sens!I5799)</f>
        <v>0.0618730036058315</v>
      </c>
      <c r="J5941" s="7" t="n">
        <f aca="false">Sens!J5898/(Sens!J5843-Sens!J5799)</f>
        <v>0.0626737511374327</v>
      </c>
      <c r="K5941" s="7" t="n">
        <f aca="false">Sens!K5898/(Sens!K5843-Sens!K5799)</f>
        <v>0.0640229106920585</v>
      </c>
    </row>
    <row r="5942" customFormat="false" ht="17.15" hidden="false" customHeight="false" outlineLevel="0" collapsed="false">
      <c r="A5942" s="0" t="s">
        <v>1056</v>
      </c>
      <c r="B5942" s="0" t="s">
        <v>98</v>
      </c>
      <c r="F5942" s="6" t="n">
        <f aca="false">Sens!F5828*(al_m365+Sens!F5941+sbc_r)</f>
        <v>86.4854372904385</v>
      </c>
      <c r="G5942" s="6" t="n">
        <f aca="false">Sens!G5828*(al_m365+Sens!G5941+sbc_r)</f>
        <v>104.033747284434</v>
      </c>
      <c r="H5942" s="6" t="n">
        <f aca="false">Sens!H5828*(al_m365+Sens!H5941+sbc_r)</f>
        <v>121.749100286923</v>
      </c>
      <c r="I5942" s="6" t="n">
        <f aca="false">Sens!I5828*(al_m365+Sens!I5941+sbc_r)</f>
        <v>137.200259636664</v>
      </c>
      <c r="J5942" s="6" t="n">
        <f aca="false">Sens!J5828*(al_m365+Sens!J5941+sbc_r)</f>
        <v>150.202479545288</v>
      </c>
      <c r="K5942" s="6" t="n">
        <f aca="false">Sens!K5828*(al_m365+Sens!K5941+sbc_r)</f>
        <v>162.833384679618</v>
      </c>
      <c r="L5942" s="11" t="s">
        <v>1057</v>
      </c>
    </row>
    <row r="5943" customFormat="false" ht="17.15" hidden="false" customHeight="false" outlineLevel="0" collapsed="false">
      <c r="A5943" s="0" t="s">
        <v>1058</v>
      </c>
      <c r="B5943" s="0" t="s">
        <v>98</v>
      </c>
      <c r="F5943" s="6" t="n">
        <f aca="false">Sens!F5829*(al_lic+Sens!F5941+sbc_r)</f>
        <v>33.4138166850342</v>
      </c>
      <c r="G5943" s="6" t="n">
        <f aca="false">Sens!G5829*(al_lic+Sens!G5941+sbc_r)</f>
        <v>34.6801481133491</v>
      </c>
      <c r="H5943" s="6" t="n">
        <f aca="false">Sens!H5829*(al_lic+Sens!H5941+sbc_r)</f>
        <v>35.8730626391597</v>
      </c>
      <c r="I5943" s="6" t="n">
        <f aca="false">Sens!I5829*(al_lic+Sens!I5941+sbc_r)</f>
        <v>36.9764175136063</v>
      </c>
      <c r="J5943" s="6" t="n">
        <f aca="false">Sens!J5829*(al_lic+Sens!J5941+sbc_r)</f>
        <v>37.9582552157064</v>
      </c>
      <c r="K5943" s="6" t="n">
        <f aca="false">Sens!K5829*(al_lic+Sens!K5941+sbc_r)</f>
        <v>38.7788703384074</v>
      </c>
    </row>
    <row r="5944" customFormat="false" ht="17.15" hidden="false" customHeight="false" outlineLevel="0" collapsed="false">
      <c r="A5944" s="0" t="s">
        <v>1059</v>
      </c>
      <c r="B5944" s="0" t="s">
        <v>98</v>
      </c>
      <c r="F5944" s="6" t="n">
        <f aca="false">Sens!F5831*(al_ind+Sens!F5941+sbc_r)</f>
        <v>9.05878572146251</v>
      </c>
      <c r="G5944" s="6" t="n">
        <f aca="false">Sens!G5831*(al_ind+Sens!G5941+sbc_r)</f>
        <v>9.81323177006564</v>
      </c>
      <c r="H5944" s="6" t="n">
        <f aca="false">Sens!H5831*(al_ind+Sens!H5941+sbc_r)</f>
        <v>10.6188253214378</v>
      </c>
      <c r="I5944" s="6" t="n">
        <f aca="false">Sens!I5831*(al_ind+Sens!I5941+sbc_r)</f>
        <v>11.4750915099057</v>
      </c>
      <c r="J5944" s="6" t="n">
        <f aca="false">Sens!J5831*(al_ind+Sens!J5941+sbc_r)</f>
        <v>12.3694437222408</v>
      </c>
      <c r="K5944" s="6" t="n">
        <f aca="false">Sens!K5831*(al_ind+Sens!K5941+sbc_r)</f>
        <v>13.2799398410195</v>
      </c>
    </row>
    <row r="5945" customFormat="false" ht="17.15" hidden="false" customHeight="false" outlineLevel="0" collapsed="false">
      <c r="A5945" s="0" t="s">
        <v>1060</v>
      </c>
      <c r="B5945" s="0" t="s">
        <v>98</v>
      </c>
      <c r="F5945" s="6" t="n">
        <f aca="false">Sens!F5833*(al_fro+Sens!F5941+sbc_r)</f>
        <v>3.565569863561</v>
      </c>
      <c r="G5945" s="6" t="n">
        <f aca="false">Sens!G5833*(al_fro+Sens!G5941+sbc_r)</f>
        <v>3.76770082502133</v>
      </c>
      <c r="H5945" s="6" t="n">
        <f aca="false">Sens!H5833*(al_fro+Sens!H5941+sbc_r)</f>
        <v>4.00153683753304</v>
      </c>
      <c r="I5945" s="6" t="n">
        <f aca="false">Sens!I5833*(al_fro+Sens!I5941+sbc_r)</f>
        <v>4.27056202944192</v>
      </c>
      <c r="J5945" s="6" t="n">
        <f aca="false">Sens!J5833*(al_fro+Sens!J5941+sbc_r)</f>
        <v>4.57469564532486</v>
      </c>
      <c r="K5945" s="6" t="n">
        <f aca="false">Sens!K5833*(al_fro+Sens!K5941+sbc_r)</f>
        <v>4.91143210035013</v>
      </c>
    </row>
    <row r="5946" customFormat="false" ht="17.15" hidden="false" customHeight="false" outlineLevel="0" collapsed="false">
      <c r="A5946" s="0" t="s">
        <v>1061</v>
      </c>
      <c r="B5946" s="0" t="s">
        <v>98</v>
      </c>
      <c r="F5946" s="6" t="n">
        <f aca="false">Sens!F5836*(al_srch+Sens!F5941+sbc_r)</f>
        <v>11.1877312478129</v>
      </c>
      <c r="G5946" s="6" t="n">
        <f aca="false">Sens!G5836*(al_srch+Sens!G5941+sbc_r)</f>
        <v>12.2338350516698</v>
      </c>
      <c r="H5946" s="6" t="n">
        <f aca="false">Sens!H5836*(al_srch+Sens!H5941+sbc_r)</f>
        <v>13.3323205056631</v>
      </c>
      <c r="I5946" s="6" t="n">
        <f aca="false">Sens!I5836*(al_srch+Sens!I5941+sbc_r)</f>
        <v>14.4760900562136</v>
      </c>
      <c r="J5946" s="6" t="n">
        <f aca="false">Sens!J5836*(al_srch+Sens!J5941+sbc_r)</f>
        <v>15.6417374398539</v>
      </c>
      <c r="K5946" s="6" t="n">
        <f aca="false">Sens!K5836*(al_srch+Sens!K5941+sbc_r)</f>
        <v>16.7931021697273</v>
      </c>
    </row>
    <row r="5947" customFormat="false" ht="17.15" hidden="false" customHeight="false" outlineLevel="0" collapsed="false">
      <c r="A5947" s="0" t="s">
        <v>1062</v>
      </c>
      <c r="B5947" s="0" t="s">
        <v>98</v>
      </c>
      <c r="F5947" s="6" t="n">
        <f aca="false">Sens!F5805-Sens!F5806+Sens!F5886</f>
        <v>54.3896512544909</v>
      </c>
      <c r="G5947" s="6" t="n">
        <f aca="false">Sens!G5805-Sens!G5806+Sens!G5886</f>
        <v>96.3993504522717</v>
      </c>
      <c r="H5947" s="6" t="n">
        <f aca="false">Sens!H5805-Sens!H5806+Sens!H5886</f>
        <v>145.889279944959</v>
      </c>
      <c r="I5947" s="6" t="n">
        <f aca="false">Sens!I5805-Sens!I5806+Sens!I5886</f>
        <v>185.691738819799</v>
      </c>
      <c r="J5947" s="6" t="n">
        <f aca="false">Sens!J5805-Sens!J5806+Sens!J5886</f>
        <v>213.828242977546</v>
      </c>
      <c r="K5947" s="6" t="n">
        <f aca="false">Sens!K5805-Sens!K5806+Sens!K5886</f>
        <v>230.39268993694</v>
      </c>
    </row>
    <row r="5948" customFormat="false" ht="17.15" hidden="false" customHeight="false" outlineLevel="0" collapsed="false">
      <c r="A5948" s="0" t="s">
        <v>1063</v>
      </c>
      <c r="B5948" s="0" t="s">
        <v>98</v>
      </c>
      <c r="F5948" s="6" t="n">
        <f aca="false">Sens!F5865+Sens!F5886+Sens!F5816+Sens!F5941*(Sens!F5835-Sens!F5799)+sbc_r*Sens!F5835</f>
        <v>247.900416732658</v>
      </c>
      <c r="G5948" s="6" t="n">
        <f aca="false">Sens!G5865+Sens!G5886+Sens!G5816+Sens!G5941*(Sens!G5835-Sens!G5799)+sbc_r*Sens!G5835</f>
        <v>322.025344693981</v>
      </c>
      <c r="H5948" s="6" t="n">
        <f aca="false">Sens!H5865+Sens!H5886+Sens!H5816+Sens!H5941*(Sens!H5835-Sens!H5799)+sbc_r*Sens!H5835</f>
        <v>404.362027899183</v>
      </c>
      <c r="I5948" s="6" t="n">
        <f aca="false">Sens!I5865+Sens!I5886+Sens!I5816+Sens!I5941*(Sens!I5835-Sens!I5799)+sbc_r*Sens!I5835</f>
        <v>474.265964558206</v>
      </c>
      <c r="J5948" s="6" t="n">
        <f aca="false">Sens!J5865+Sens!J5886+Sens!J5816+Sens!J5941*(Sens!J5835-Sens!J5799)+sbc_r*Sens!J5835</f>
        <v>528.857645793431</v>
      </c>
      <c r="K5948" s="6" t="n">
        <f aca="false">Sens!K5865+Sens!K5886+Sens!K5816+Sens!K5941*(Sens!K5835-Sens!K5799)+sbc_r*Sens!K5835</f>
        <v>569.465994775134</v>
      </c>
    </row>
    <row r="5949" customFormat="false" ht="17.15" hidden="false" customHeight="false" outlineLevel="0" collapsed="false">
      <c r="A5949" s="0" t="s">
        <v>1064</v>
      </c>
      <c r="B5949" s="0" t="s">
        <v>98</v>
      </c>
      <c r="F5949" s="6" t="n">
        <f aca="false">Sens!F5948-Sens!F5942-Sens!F5943-Sens!F5944-Sens!F5945-Sens!F5947</f>
        <v>60.987155917671</v>
      </c>
      <c r="G5949" s="6" t="n">
        <f aca="false">Sens!G5948-Sens!G5942-Sens!G5943-Sens!G5944-Sens!G5945-Sens!G5947</f>
        <v>73.3311662488391</v>
      </c>
      <c r="H5949" s="6" t="n">
        <f aca="false">Sens!H5948-Sens!H5942-Sens!H5943-Sens!H5944-Sens!H5945-Sens!H5947</f>
        <v>86.2302228691707</v>
      </c>
      <c r="I5949" s="6" t="n">
        <f aca="false">Sens!I5948-Sens!I5942-Sens!I5943-Sens!I5944-Sens!I5945-Sens!I5947</f>
        <v>98.6518950487883</v>
      </c>
      <c r="J5949" s="6" t="n">
        <f aca="false">Sens!J5948-Sens!J5942-Sens!J5943-Sens!J5944-Sens!J5945-Sens!J5947</f>
        <v>109.924528687326</v>
      </c>
      <c r="K5949" s="6" t="n">
        <f aca="false">Sens!K5948-Sens!K5942-Sens!K5943-Sens!K5944-Sens!K5945-Sens!K5947</f>
        <v>119.2696778788</v>
      </c>
    </row>
    <row r="5950" customFormat="false" ht="17.15" hidden="false" customHeight="false" outlineLevel="0" collapsed="false">
      <c r="A5950" s="0" t="s">
        <v>1065</v>
      </c>
      <c r="B5950" s="0" t="s">
        <v>98</v>
      </c>
      <c r="F5950" s="6" t="n">
        <f aca="false">Sens!F5867+Sens!F5941*Sens!F5842+sbc_r*Sens!F5842</f>
        <v>26.1472969441017</v>
      </c>
      <c r="G5950" s="6" t="n">
        <f aca="false">Sens!G5867+Sens!G5941*Sens!G5842+sbc_r*Sens!G5842</f>
        <v>26.6987277198715</v>
      </c>
      <c r="H5950" s="6" t="n">
        <f aca="false">Sens!H5867+Sens!H5941*Sens!H5842+sbc_r*Sens!H5842</f>
        <v>27.5388755160784</v>
      </c>
      <c r="I5950" s="6" t="n">
        <f aca="false">Sens!I5867+Sens!I5941*Sens!I5842+sbc_r*Sens!I5842</f>
        <v>28.6407809809369</v>
      </c>
      <c r="J5950" s="6" t="n">
        <f aca="false">Sens!J5867+Sens!J5941*Sens!J5842+sbc_r*Sens!J5842</f>
        <v>29.959326431249</v>
      </c>
      <c r="K5950" s="6" t="n">
        <f aca="false">Sens!K5867+Sens!K5941*Sens!K5842+sbc_r*Sens!K5842</f>
        <v>31.439866555099</v>
      </c>
    </row>
    <row r="5951" customFormat="false" ht="17.15" hidden="false" customHeight="false" outlineLevel="0" collapsed="false">
      <c r="A5951" s="0" t="s">
        <v>1066</v>
      </c>
      <c r="B5951" s="0" t="s">
        <v>98</v>
      </c>
      <c r="F5951" s="6" t="n">
        <f aca="false">(Sens!F5950-Sens!F5946)*Sens!F5838/(Sens!F5838+Sens!F5840)</f>
        <v>8.20068821064684</v>
      </c>
      <c r="G5951" s="6" t="n">
        <f aca="false">(Sens!G5950-Sens!G5946)*Sens!G5838/(Sens!G5838+Sens!G5840)</f>
        <v>7.78813055136383</v>
      </c>
      <c r="H5951" s="6" t="n">
        <f aca="false">(Sens!H5950-Sens!H5946)*Sens!H5838/(Sens!H5838+Sens!H5840)</f>
        <v>7.54571169454801</v>
      </c>
      <c r="I5951" s="6" t="n">
        <f aca="false">(Sens!I5950-Sens!I5946)*Sens!I5838/(Sens!I5838+Sens!I5840)</f>
        <v>7.45540337455275</v>
      </c>
      <c r="J5951" s="6" t="n">
        <f aca="false">(Sens!J5950-Sens!J5946)*Sens!J5838/(Sens!J5838+Sens!J5840)</f>
        <v>7.50180234249456</v>
      </c>
      <c r="K5951" s="6" t="n">
        <f aca="false">(Sens!K5950-Sens!K5946)*Sens!K5838/(Sens!K5838+Sens!K5840)</f>
        <v>7.67427612583265</v>
      </c>
    </row>
    <row r="5952" customFormat="false" ht="17.15" hidden="false" customHeight="false" outlineLevel="0" collapsed="false">
      <c r="A5952" s="0" t="s">
        <v>1067</v>
      </c>
      <c r="B5952" s="0" t="s">
        <v>98</v>
      </c>
      <c r="F5952" s="6" t="n">
        <f aca="false">Sens!F5950-Sens!F5946-Sens!F5951</f>
        <v>6.75887748564187</v>
      </c>
      <c r="G5952" s="6" t="n">
        <f aca="false">Sens!G5950-Sens!G5946-Sens!G5951</f>
        <v>6.6767621168378</v>
      </c>
      <c r="H5952" s="6" t="n">
        <f aca="false">Sens!H5950-Sens!H5946-Sens!H5951</f>
        <v>6.66084331586725</v>
      </c>
      <c r="I5952" s="6" t="n">
        <f aca="false">Sens!I5950-Sens!I5946-Sens!I5951</f>
        <v>6.70928755017055</v>
      </c>
      <c r="J5952" s="6" t="n">
        <f aca="false">Sens!J5950-Sens!J5946-Sens!J5951</f>
        <v>6.81578664890054</v>
      </c>
      <c r="K5952" s="6" t="n">
        <f aca="false">Sens!K5950-Sens!K5946-Sens!K5951</f>
        <v>6.97248825953911</v>
      </c>
    </row>
    <row r="5953" customFormat="false" ht="17.15" hidden="false" customHeight="false" outlineLevel="0" collapsed="false">
      <c r="A5953" s="0" t="s">
        <v>1068</v>
      </c>
      <c r="B5953" s="0" t="s">
        <v>98</v>
      </c>
      <c r="F5953" s="6" t="n">
        <f aca="false">Sens!F5947-tax_f*(Sens!F5947-Sens!F5816)-Sens!F5813</f>
        <v>-117.792074675671</v>
      </c>
      <c r="G5953" s="6" t="n">
        <f aca="false">Sens!G5947-tax_f*(Sens!G5947-Sens!G5816)-Sens!G5813</f>
        <v>-94.3658534693147</v>
      </c>
      <c r="H5953" s="6" t="n">
        <f aca="false">Sens!H5947-tax_f*(Sens!H5947-Sens!H5816)-Sens!H5813</f>
        <v>-53.8328987558049</v>
      </c>
      <c r="I5953" s="6" t="n">
        <f aca="false">Sens!I5947-tax_f*(Sens!I5947-Sens!I5816)-Sens!I5813</f>
        <v>7.23162989803831</v>
      </c>
      <c r="J5953" s="6" t="n">
        <f aca="false">Sens!J5947-tax_f*(Sens!J5947-Sens!J5816)-Sens!J5813</f>
        <v>72.3743598484795</v>
      </c>
      <c r="K5953" s="6" t="n">
        <f aca="false">Sens!K5947-tax_f*(Sens!K5947-Sens!K5816)-Sens!K5813</f>
        <v>97.2717456685104</v>
      </c>
    </row>
    <row r="5954" customFormat="false" ht="17.15" hidden="false" customHeight="false" outlineLevel="0" collapsed="false">
      <c r="A5954" s="0" t="s">
        <v>1069</v>
      </c>
      <c r="B5954" s="0" t="s">
        <v>98</v>
      </c>
      <c r="F5954" s="6" t="n">
        <f aca="false">Sens!F5953*Sens!F5927</f>
        <v>-112.160832969741</v>
      </c>
      <c r="G5954" s="6" t="n">
        <f aca="false">Sens!G5953*Sens!G5927</f>
        <v>-81.4686156596706</v>
      </c>
      <c r="H5954" s="6" t="n">
        <f aca="false">Sens!H5953*Sens!H5927</f>
        <v>-42.1379632772563</v>
      </c>
      <c r="I5954" s="6" t="n">
        <f aca="false">Sens!I5953*Sens!I5927</f>
        <v>5.13230285065441</v>
      </c>
      <c r="J5954" s="6" t="n">
        <f aca="false">Sens!J5953*Sens!J5927</f>
        <v>46.5705244937748</v>
      </c>
      <c r="K5954" s="6" t="n">
        <f aca="false">Sens!K5953*Sens!K5927</f>
        <v>56.7496795286863</v>
      </c>
    </row>
    <row r="5955" customFormat="false" ht="17.15" hidden="false" customHeight="false" outlineLevel="0" collapsed="false">
      <c r="A5955" s="0" t="s">
        <v>1070</v>
      </c>
      <c r="B5955" s="0" t="s">
        <v>98</v>
      </c>
      <c r="C5955" s="6" t="n">
        <f aca="false">(Sens!K5947-Sens!K5816)*(1-tax_f)*(1+g_tv)*(1-g_tv/(wacc+ronic_prem))/(wacc-g_tv)/(1+wacc)^(Sens!K5926+mid_yr)</f>
        <v>403.822370193052</v>
      </c>
    </row>
    <row r="5956" customFormat="false" ht="17.15" hidden="false" customHeight="false" outlineLevel="0" collapsed="false">
      <c r="A5956" s="1" t="s">
        <v>1071</v>
      </c>
      <c r="B5956" s="0" t="s">
        <v>98</v>
      </c>
      <c r="C5956" s="6" t="n">
        <f aca="false">(SUM(Sens!F5954:K5954)+Sens!$C$5955)*(1+wacc)^t_roll</f>
        <v>314.868283030248</v>
      </c>
      <c r="L5956" s="11" t="s">
        <v>1072</v>
      </c>
    </row>
    <row r="5957" customFormat="false" ht="17.15" hidden="false" customHeight="false" outlineLevel="0" collapsed="false">
      <c r="A5957" s="1" t="s">
        <v>1073</v>
      </c>
      <c r="B5957" s="0" t="s">
        <v>98</v>
      </c>
      <c r="C5957" s="6" t="n">
        <f aca="false">(w_ntm28*Sens!G5805+(1-w_ntm28)*Sens!H5805)*m_ai</f>
        <v>551.711134531404</v>
      </c>
    </row>
    <row r="5958" customFormat="false" ht="17.15" hidden="false" customHeight="false" outlineLevel="0" collapsed="false">
      <c r="A5958" s="1" t="s">
        <v>1074</v>
      </c>
      <c r="B5958" s="0" t="s">
        <v>98</v>
      </c>
      <c r="C5958" s="6" t="n">
        <f aca="false">(w_ntm28*Sens!G5949+(1-w_ntm28)*Sens!H5949)*m_cloud</f>
        <v>1071.06758214573</v>
      </c>
    </row>
    <row r="5959" customFormat="false" ht="17.15" hidden="false" customHeight="false" outlineLevel="0" collapsed="false">
      <c r="A5959" s="1" t="s">
        <v>1075</v>
      </c>
      <c r="B5959" s="0" t="s">
        <v>98</v>
      </c>
      <c r="C5959" s="6" t="n">
        <f aca="false">(w_ntm28*Sens!G5942+(1-w_ntm28)*Sens!H5942)*m_sw</f>
        <v>1185.41774701811</v>
      </c>
    </row>
    <row r="5960" customFormat="false" ht="17.15" hidden="false" customHeight="false" outlineLevel="0" collapsed="false">
      <c r="A5960" s="1" t="s">
        <v>1076</v>
      </c>
      <c r="B5960" s="0" t="s">
        <v>98</v>
      </c>
      <c r="C5960" s="6" t="n">
        <f aca="false">(w_ntm28*Sens!G5943+(1-w_ntm28)*Sens!H5943)*m_sw</f>
        <v>378.710668861686</v>
      </c>
    </row>
    <row r="5961" customFormat="false" ht="17.15" hidden="false" customHeight="false" outlineLevel="0" collapsed="false">
      <c r="A5961" s="1" t="s">
        <v>1077</v>
      </c>
      <c r="B5961" s="0" t="s">
        <v>98</v>
      </c>
      <c r="C5961" s="6" t="n">
        <f aca="false">(w_ntm28*Sens!G5944+(1-w_ntm28)*Sens!H5944)*m_sw</f>
        <v>108.795638519089</v>
      </c>
    </row>
    <row r="5962" customFormat="false" ht="17.15" hidden="false" customHeight="false" outlineLevel="0" collapsed="false">
      <c r="A5962" s="1" t="s">
        <v>1078</v>
      </c>
      <c r="B5962" s="0" t="s">
        <v>98</v>
      </c>
      <c r="C5962" s="6" t="n">
        <f aca="false">(w_ntm28*Sens!G5945+(1-w_ntm28)*Sens!H5945)*m_sw</f>
        <v>41.5076089495315</v>
      </c>
    </row>
    <row r="5963" customFormat="false" ht="17.15" hidden="false" customHeight="false" outlineLevel="0" collapsed="false">
      <c r="A5963" s="1" t="s">
        <v>1079</v>
      </c>
      <c r="B5963" s="0" t="s">
        <v>98</v>
      </c>
      <c r="C5963" s="6" t="n">
        <f aca="false">(w_ntm28*Sens!G5946+(1-w_ntm28)*Sens!H5946)*m_ads</f>
        <v>114.685442507928</v>
      </c>
    </row>
    <row r="5964" customFormat="false" ht="17.15" hidden="false" customHeight="false" outlineLevel="0" collapsed="false">
      <c r="A5964" s="1" t="s">
        <v>1080</v>
      </c>
      <c r="B5964" s="0" t="s">
        <v>98</v>
      </c>
      <c r="C5964" s="6" t="n">
        <f aca="false">(w_ntm28*Sens!G5951+(1-w_ntm28)*Sens!H5951)*m_game</f>
        <v>97.3742627840898</v>
      </c>
    </row>
    <row r="5965" customFormat="false" ht="17.15" hidden="false" customHeight="false" outlineLevel="0" collapsed="false">
      <c r="A5965" s="1" t="s">
        <v>1081</v>
      </c>
      <c r="B5965" s="0" t="s">
        <v>98</v>
      </c>
      <c r="C5965" s="6" t="n">
        <f aca="false">(w_ntm28*Sens!G5952+(1-w_ntm28)*Sens!H5952)*m_pc</f>
        <v>96.5382801158343</v>
      </c>
    </row>
    <row r="5966" customFormat="false" ht="17.15" hidden="false" customHeight="false" outlineLevel="0" collapsed="false">
      <c r="A5966" s="1" t="s">
        <v>1082</v>
      </c>
      <c r="B5966" s="0" t="s">
        <v>98</v>
      </c>
      <c r="C5966" s="6" t="n">
        <f aca="false">Sens!$C$5956+Sens!$C$5958+Sens!$C$5959+Sens!$C$5960+Sens!$C$5961+Sens!$C$5962+Sens!$C$5963+Sens!$C$5964+Sens!$C$5965</f>
        <v>3408.96551393224</v>
      </c>
    </row>
    <row r="5967" customFormat="false" ht="17.15" hidden="false" customHeight="false" outlineLevel="0" collapsed="false">
      <c r="A5967" s="1" t="s">
        <v>1000</v>
      </c>
      <c r="B5967" s="0" t="s">
        <v>98</v>
      </c>
      <c r="C5967" s="6" t="n">
        <f aca="false">Sens!F5917+oai_v-Sens!F5906</f>
        <v>116.210167169927</v>
      </c>
      <c r="L5967" s="1" t="s">
        <v>1083</v>
      </c>
    </row>
    <row r="5968" customFormat="false" ht="15" hidden="false" customHeight="false" outlineLevel="0" collapsed="false">
      <c r="A5968" s="1" t="s">
        <v>1001</v>
      </c>
      <c r="B5968" s="0" t="s">
        <v>75</v>
      </c>
      <c r="C5968" s="5" t="n">
        <f aca="false">(Sens!$C$5966+Sens!$C$5967)/Sens!F5919</f>
        <v>471.78475389483</v>
      </c>
    </row>
    <row r="5969" customFormat="false" ht="17.15" hidden="false" customHeight="false" outlineLevel="0" collapsed="false">
      <c r="A5969" s="1" t="s">
        <v>1084</v>
      </c>
      <c r="B5969" s="0" t="s">
        <v>75</v>
      </c>
      <c r="C5969" s="5" t="n">
        <f aca="false">w_dcf*Sens!$C$5940+(1-w_dcf)*Sens!$C$5968</f>
        <v>426.687602557127</v>
      </c>
    </row>
    <row r="5970" customFormat="false" ht="17.15" hidden="false" customHeight="false" outlineLevel="0" collapsed="false">
      <c r="A5970" s="3" t="s">
        <v>1389</v>
      </c>
    </row>
    <row r="5971" customFormat="false" ht="15" hidden="false" customHeight="false" outlineLevel="0" collapsed="false">
      <c r="A5971" s="4" t="s">
        <v>43</v>
      </c>
      <c r="B5971" s="4" t="s">
        <v>65</v>
      </c>
      <c r="C5971" s="20" t="s">
        <v>788</v>
      </c>
      <c r="D5971" s="20" t="s">
        <v>789</v>
      </c>
      <c r="E5971" s="20" t="s">
        <v>790</v>
      </c>
      <c r="F5971" s="20" t="s">
        <v>791</v>
      </c>
      <c r="G5971" s="20" t="s">
        <v>792</v>
      </c>
      <c r="H5971" s="20" t="s">
        <v>793</v>
      </c>
      <c r="I5971" s="20" t="s">
        <v>794</v>
      </c>
      <c r="J5971" s="20" t="s">
        <v>795</v>
      </c>
      <c r="K5971" s="20" t="s">
        <v>796</v>
      </c>
      <c r="L5971" s="4" t="s">
        <v>47</v>
      </c>
    </row>
    <row r="5972" customFormat="false" ht="17.15" hidden="false" customHeight="false" outlineLevel="0" collapsed="false">
      <c r="A5972" s="1" t="s">
        <v>797</v>
      </c>
      <c r="B5972" s="1" t="s">
        <v>235</v>
      </c>
      <c r="C5972" s="28" t="n">
        <v>2024</v>
      </c>
      <c r="D5972" s="28" t="n">
        <v>2025</v>
      </c>
      <c r="E5972" s="28" t="n">
        <v>2026</v>
      </c>
      <c r="F5972" s="28" t="n">
        <v>2027</v>
      </c>
      <c r="G5972" s="28" t="n">
        <v>2028</v>
      </c>
      <c r="H5972" s="28" t="n">
        <v>2029</v>
      </c>
      <c r="I5972" s="28" t="n">
        <v>2030</v>
      </c>
      <c r="J5972" s="28" t="n">
        <v>2031</v>
      </c>
      <c r="K5972" s="28" t="n">
        <v>2032</v>
      </c>
    </row>
    <row r="5973" customFormat="false" ht="17.15" hidden="false" customHeight="false" outlineLevel="0" collapsed="false">
      <c r="A5973" s="1" t="s">
        <v>798</v>
      </c>
      <c r="B5973" s="0" t="s">
        <v>392</v>
      </c>
      <c r="F5973" s="29" t="n">
        <f aca="false">pace</f>
        <v>2527.2</v>
      </c>
      <c r="G5973" s="29" t="n">
        <f aca="false">pace</f>
        <v>2527.2</v>
      </c>
      <c r="H5973" s="29" t="n">
        <f aca="false">pace</f>
        <v>2527.2</v>
      </c>
      <c r="I5973" s="29" t="n">
        <f aca="false">pace+(g_tv*Sens!H5974-pace)*MIN(1,(Sens!I5972-pace_y0)/(pace_y1-pace_y0))</f>
        <v>1793.116</v>
      </c>
      <c r="J5973" s="29" t="n">
        <f aca="false">pace+(g_tv*Sens!H5974-pace)*MIN(1,(Sens!J5972-pace_y0)/(pace_y1-pace_y0))</f>
        <v>1059.032</v>
      </c>
      <c r="K5973" s="29" t="n">
        <f aca="false">pace+(g_tv*Sens!H5974-pace)*MIN(1,(Sens!K5972-pace_y0)/(pace_y1-pace_y0))</f>
        <v>324.948</v>
      </c>
      <c r="L5973" s="11" t="s">
        <v>799</v>
      </c>
    </row>
    <row r="5974" customFormat="false" ht="17.15" hidden="false" customHeight="false" outlineLevel="0" collapsed="false">
      <c r="A5974" s="1" t="s">
        <v>800</v>
      </c>
      <c r="B5974" s="0" t="s">
        <v>392</v>
      </c>
      <c r="C5974" s="29" t="n">
        <f aca="false">mw_ext_24</f>
        <v>640</v>
      </c>
      <c r="D5974" s="29" t="n">
        <f aca="false">mw_ext_25</f>
        <v>1630</v>
      </c>
      <c r="E5974" s="29" t="n">
        <f aca="false">mw_ext_26</f>
        <v>3250</v>
      </c>
      <c r="F5974" s="29" t="n">
        <f aca="false">Sens!E5974+Sens!F5973</f>
        <v>5777.2</v>
      </c>
      <c r="G5974" s="29" t="n">
        <f aca="false">Sens!F5974+Sens!G5973</f>
        <v>8304.4</v>
      </c>
      <c r="H5974" s="29" t="n">
        <f aca="false">Sens!G5974+Sens!H5973</f>
        <v>10831.6</v>
      </c>
      <c r="I5974" s="29" t="n">
        <f aca="false">Sens!H5974+Sens!I5973</f>
        <v>12624.716</v>
      </c>
      <c r="J5974" s="29" t="n">
        <f aca="false">Sens!I5974+Sens!J5973</f>
        <v>13683.748</v>
      </c>
      <c r="K5974" s="29" t="n">
        <f aca="false">Sens!J5974+Sens!K5973</f>
        <v>14008.696</v>
      </c>
      <c r="L5974" s="1" t="s">
        <v>801</v>
      </c>
    </row>
    <row r="5975" customFormat="false" ht="17.15" hidden="false" customHeight="false" outlineLevel="0" collapsed="false">
      <c r="A5975" s="1" t="s">
        <v>802</v>
      </c>
      <c r="B5975" s="0" t="s">
        <v>392</v>
      </c>
      <c r="C5975" s="29" t="n">
        <f aca="false">rent_ext_24</f>
        <v>150</v>
      </c>
      <c r="D5975" s="29" t="n">
        <f aca="false">rent_ext_25</f>
        <v>400</v>
      </c>
      <c r="E5975" s="29" t="n">
        <f aca="false">rent_ext_26</f>
        <v>550</v>
      </c>
      <c r="F5975" s="29" t="n">
        <f aca="false">rent_ext_f</f>
        <v>756</v>
      </c>
      <c r="G5975" s="29" t="n">
        <f aca="false">rent_ext_f</f>
        <v>756</v>
      </c>
      <c r="H5975" s="29" t="n">
        <f aca="false">rent_ext_f</f>
        <v>756</v>
      </c>
      <c r="I5975" s="29" t="n">
        <f aca="false">rent_ext_f</f>
        <v>756</v>
      </c>
      <c r="J5975" s="29" t="n">
        <f aca="false">rent_ext_f</f>
        <v>756</v>
      </c>
      <c r="K5975" s="29" t="n">
        <f aca="false">rent_ext_f</f>
        <v>756</v>
      </c>
      <c r="L5975" s="1" t="s">
        <v>803</v>
      </c>
    </row>
    <row r="5976" customFormat="false" ht="17.15" hidden="false" customHeight="false" outlineLevel="0" collapsed="false">
      <c r="A5976" s="1" t="s">
        <v>804</v>
      </c>
      <c r="B5976" s="0" t="s">
        <v>392</v>
      </c>
      <c r="C5976" s="29" t="n">
        <f aca="false">Sens!C5974-Sens!C5975</f>
        <v>490</v>
      </c>
      <c r="D5976" s="29" t="n">
        <f aca="false">Sens!D5974-Sens!D5975</f>
        <v>1230</v>
      </c>
      <c r="E5976" s="29" t="n">
        <f aca="false">Sens!E5974-Sens!E5975</f>
        <v>2700</v>
      </c>
      <c r="F5976" s="29" t="n">
        <f aca="false">Sens!F5974-Sens!F5975</f>
        <v>5021.2</v>
      </c>
      <c r="G5976" s="29" t="n">
        <f aca="false">Sens!G5974-Sens!G5975</f>
        <v>7548.4</v>
      </c>
      <c r="H5976" s="29" t="n">
        <f aca="false">Sens!H5974-Sens!H5975</f>
        <v>10075.6</v>
      </c>
      <c r="I5976" s="29" t="n">
        <f aca="false">Sens!I5974-Sens!I5975</f>
        <v>11868.716</v>
      </c>
      <c r="J5976" s="29" t="n">
        <f aca="false">Sens!J5974-Sens!J5975</f>
        <v>12927.748</v>
      </c>
      <c r="K5976" s="29" t="n">
        <f aca="false">Sens!K5974-Sens!K5975</f>
        <v>13252.696</v>
      </c>
    </row>
    <row r="5977" customFormat="false" ht="17.15" hidden="false" customHeight="false" outlineLevel="0" collapsed="false">
      <c r="A5977" s="1" t="s">
        <v>805</v>
      </c>
      <c r="B5977" s="0" t="s">
        <v>392</v>
      </c>
      <c r="C5977" s="29" t="n">
        <f aca="false">Sens!C5976/ext_sh</f>
        <v>816.666666666667</v>
      </c>
      <c r="D5977" s="29" t="n">
        <f aca="false">Sens!D5976/ext_sh</f>
        <v>2050</v>
      </c>
      <c r="E5977" s="29" t="n">
        <f aca="false">Sens!E5976/ext_sh</f>
        <v>4500</v>
      </c>
      <c r="F5977" s="29" t="n">
        <f aca="false">Sens!F5976/ext_sh</f>
        <v>8368.66666666667</v>
      </c>
      <c r="G5977" s="29" t="n">
        <f aca="false">Sens!G5976/ext_sh</f>
        <v>12580.6666666667</v>
      </c>
      <c r="H5977" s="29" t="n">
        <f aca="false">Sens!H5976/ext_sh</f>
        <v>16792.6666666667</v>
      </c>
      <c r="I5977" s="29" t="n">
        <f aca="false">Sens!I5976/ext_sh</f>
        <v>19781.1933333333</v>
      </c>
      <c r="J5977" s="29" t="n">
        <f aca="false">Sens!J5976/ext_sh</f>
        <v>21546.2466666667</v>
      </c>
      <c r="K5977" s="29" t="n">
        <f aca="false">Sens!K5976/ext_sh</f>
        <v>22087.8266666667</v>
      </c>
      <c r="L5977" s="1" t="s">
        <v>806</v>
      </c>
    </row>
    <row r="5978" customFormat="false" ht="17.15" hidden="false" customHeight="false" outlineLevel="0" collapsed="false">
      <c r="A5978" s="1" t="s">
        <v>807</v>
      </c>
      <c r="B5978" s="0" t="s">
        <v>392</v>
      </c>
      <c r="C5978" s="29" t="n">
        <f aca="false">Sens!C5977-Sens!C5976</f>
        <v>326.666666666667</v>
      </c>
      <c r="D5978" s="29" t="n">
        <f aca="false">Sens!D5977-Sens!D5976</f>
        <v>820</v>
      </c>
      <c r="E5978" s="29" t="n">
        <f aca="false">Sens!E5977-Sens!E5976</f>
        <v>1800</v>
      </c>
      <c r="F5978" s="29" t="n">
        <f aca="false">Sens!F5977-Sens!F5976</f>
        <v>3347.46666666667</v>
      </c>
      <c r="G5978" s="29" t="n">
        <f aca="false">Sens!G5977-Sens!G5976</f>
        <v>5032.26666666667</v>
      </c>
      <c r="H5978" s="29" t="n">
        <f aca="false">Sens!H5977-Sens!H5976</f>
        <v>6717.06666666667</v>
      </c>
      <c r="I5978" s="29" t="n">
        <f aca="false">Sens!I5977-Sens!I5976</f>
        <v>7912.47733333333</v>
      </c>
      <c r="J5978" s="29" t="n">
        <f aca="false">Sens!J5977-Sens!J5976</f>
        <v>8618.49866666667</v>
      </c>
      <c r="K5978" s="29" t="n">
        <f aca="false">Sens!K5977-Sens!K5976</f>
        <v>8835.13066666667</v>
      </c>
    </row>
    <row r="5979" customFormat="false" ht="17.15" hidden="false" customHeight="false" outlineLevel="0" collapsed="false">
      <c r="A5979" s="1" t="s">
        <v>808</v>
      </c>
      <c r="B5979" s="0" t="s">
        <v>392</v>
      </c>
      <c r="C5979" s="29" t="n">
        <f aca="false">Sens!C5977</f>
        <v>816.666666666667</v>
      </c>
      <c r="D5979" s="29" t="n">
        <f aca="false">Sens!D5977-Sens!C5977</f>
        <v>1233.33333333333</v>
      </c>
      <c r="E5979" s="29" t="n">
        <f aca="false">Sens!E5977-Sens!D5977</f>
        <v>2450</v>
      </c>
      <c r="F5979" s="29" t="n">
        <f aca="false">Sens!F5977-Sens!E5977</f>
        <v>3868.66666666667</v>
      </c>
      <c r="G5979" s="29" t="n">
        <f aca="false">Sens!G5977-Sens!F5977</f>
        <v>4212</v>
      </c>
      <c r="H5979" s="29" t="n">
        <f aca="false">Sens!H5977-Sens!G5977</f>
        <v>4212</v>
      </c>
      <c r="I5979" s="29" t="n">
        <f aca="false">Sens!I5977-Sens!H5977</f>
        <v>2988.52666666667</v>
      </c>
      <c r="J5979" s="29" t="n">
        <f aca="false">Sens!J5977-Sens!I5977</f>
        <v>1765.05333333333</v>
      </c>
      <c r="K5979" s="29" t="n">
        <f aca="false">Sens!K5977-Sens!J5977</f>
        <v>541.580000000002</v>
      </c>
    </row>
    <row r="5980" customFormat="false" ht="17.15" hidden="false" customHeight="false" outlineLevel="0" collapsed="false">
      <c r="A5980" s="1" t="s">
        <v>809</v>
      </c>
      <c r="B5980" s="0" t="s">
        <v>392</v>
      </c>
      <c r="D5980" s="29" t="n">
        <f aca="false">Sens!D5974-Sens!C5974</f>
        <v>990</v>
      </c>
      <c r="E5980" s="29" t="n">
        <f aca="false">Sens!E5974-Sens!D5974</f>
        <v>1620</v>
      </c>
      <c r="F5980" s="29" t="n">
        <f aca="false">Sens!F5974-Sens!E5974</f>
        <v>2527.2</v>
      </c>
      <c r="G5980" s="29" t="n">
        <f aca="false">Sens!G5974-Sens!F5974</f>
        <v>2527.2</v>
      </c>
      <c r="H5980" s="29" t="n">
        <f aca="false">Sens!H5974-Sens!G5974</f>
        <v>2527.2</v>
      </c>
      <c r="I5980" s="29" t="n">
        <f aca="false">Sens!I5974-Sens!H5974</f>
        <v>1793.116</v>
      </c>
      <c r="J5980" s="29" t="n">
        <f aca="false">Sens!J5974-Sens!I5974</f>
        <v>1059.032</v>
      </c>
      <c r="K5980" s="29" t="n">
        <f aca="false">Sens!K5974-Sens!J5974</f>
        <v>324.948</v>
      </c>
    </row>
    <row r="5981" customFormat="false" ht="17.15" hidden="false" customHeight="false" outlineLevel="0" collapsed="false">
      <c r="A5981" s="1" t="s">
        <v>810</v>
      </c>
      <c r="B5981" s="0" t="s">
        <v>392</v>
      </c>
      <c r="F5981" s="29" t="n">
        <f aca="false">Sens!F5998*ext_sh</f>
        <v>0</v>
      </c>
      <c r="G5981" s="29" t="n">
        <f aca="false">Sens!G5998*ext_sh</f>
        <v>0</v>
      </c>
      <c r="H5981" s="29" t="n">
        <f aca="false">Sens!H5998*ext_sh</f>
        <v>0</v>
      </c>
      <c r="I5981" s="29" t="n">
        <f aca="false">Sens!I5998*ext_sh</f>
        <v>490</v>
      </c>
      <c r="J5981" s="29" t="n">
        <f aca="false">Sens!J5998*ext_sh</f>
        <v>740</v>
      </c>
      <c r="K5981" s="29" t="n">
        <f aca="false">Sens!K5998*ext_sh</f>
        <v>1470</v>
      </c>
      <c r="L5981" s="1" t="s">
        <v>811</v>
      </c>
    </row>
    <row r="5982" customFormat="false" ht="17.15" hidden="false" customHeight="false" outlineLevel="0" collapsed="false">
      <c r="A5982" s="1" t="s">
        <v>812</v>
      </c>
      <c r="B5982" s="0" t="s">
        <v>392</v>
      </c>
      <c r="C5982" s="29" t="n">
        <f aca="false">mix_h*Sens!C5974</f>
        <v>128</v>
      </c>
      <c r="D5982" s="29" t="n">
        <f aca="false">mix_h*Sens!D5974</f>
        <v>326</v>
      </c>
      <c r="E5982" s="29" t="n">
        <f aca="false">mix_h*Sens!E5974</f>
        <v>650</v>
      </c>
      <c r="F5982" s="29" t="n">
        <f aca="false">Sens!E5982-Sens!F5981*mix_h</f>
        <v>650</v>
      </c>
      <c r="G5982" s="29" t="n">
        <f aca="false">Sens!F5982-Sens!G5981*mix_h</f>
        <v>650</v>
      </c>
      <c r="H5982" s="29" t="n">
        <f aca="false">Sens!G5982-Sens!H5981*mix_h</f>
        <v>650</v>
      </c>
      <c r="I5982" s="29" t="n">
        <f aca="false">Sens!H5982-Sens!I5981*mix_h</f>
        <v>552</v>
      </c>
      <c r="J5982" s="29" t="n">
        <f aca="false">Sens!I5982-Sens!J5981*mix_h</f>
        <v>404</v>
      </c>
      <c r="K5982" s="29" t="n">
        <f aca="false">Sens!J5982-Sens!K5981*mix_h</f>
        <v>110</v>
      </c>
    </row>
    <row r="5983" customFormat="false" ht="17.15" hidden="false" customHeight="false" outlineLevel="0" collapsed="false">
      <c r="A5983" s="1" t="s">
        <v>813</v>
      </c>
      <c r="B5983" s="0" t="s">
        <v>392</v>
      </c>
      <c r="C5983" s="29" t="n">
        <f aca="false">mix_g2*Sens!C5974</f>
        <v>288</v>
      </c>
      <c r="D5983" s="29" t="n">
        <f aca="false">mix_g2*Sens!D5974</f>
        <v>733.5</v>
      </c>
      <c r="E5983" s="29" t="n">
        <f aca="false">mix_g2*Sens!E5974</f>
        <v>1462.5</v>
      </c>
      <c r="F5983" s="29" t="n">
        <f aca="false">Sens!E5983-Sens!F5981*mix_g2</f>
        <v>1462.5</v>
      </c>
      <c r="G5983" s="29" t="n">
        <f aca="false">Sens!F5983-Sens!G5981*mix_g2</f>
        <v>1462.5</v>
      </c>
      <c r="H5983" s="29" t="n">
        <f aca="false">Sens!G5983-Sens!H5981*mix_g2</f>
        <v>1462.5</v>
      </c>
      <c r="I5983" s="29" t="n">
        <f aca="false">Sens!H5983-Sens!I5981*mix_g2</f>
        <v>1242</v>
      </c>
      <c r="J5983" s="29" t="n">
        <f aca="false">Sens!I5983-Sens!J5981*mix_g2</f>
        <v>909</v>
      </c>
      <c r="K5983" s="29" t="n">
        <f aca="false">Sens!J5983-Sens!K5981*mix_g2</f>
        <v>247.5</v>
      </c>
    </row>
    <row r="5984" customFormat="false" ht="17.15" hidden="false" customHeight="false" outlineLevel="0" collapsed="false">
      <c r="A5984" s="1" t="s">
        <v>814</v>
      </c>
      <c r="B5984" s="0" t="s">
        <v>392</v>
      </c>
      <c r="C5984" s="29" t="n">
        <f aca="false">mix_g3*Sens!C5974</f>
        <v>224</v>
      </c>
      <c r="D5984" s="29" t="n">
        <f aca="false">mix_g3*Sens!D5974</f>
        <v>570.5</v>
      </c>
      <c r="E5984" s="29" t="n">
        <f aca="false">mix_g3*Sens!E5974</f>
        <v>1137.5</v>
      </c>
      <c r="F5984" s="29" t="n">
        <f aca="false">Sens!E5984+(Sens!F5980+Sens!F5981)*a_g3_27-Sens!F5981*mix_g3</f>
        <v>2906.54</v>
      </c>
      <c r="G5984" s="29" t="n">
        <f aca="false">Sens!F5984+(Sens!G5980+Sens!G5981)*a_g3_28-Sens!G5981*mix_g3</f>
        <v>3664.7</v>
      </c>
      <c r="H5984" s="29" t="n">
        <f aca="false">Sens!G5984+(Sens!H5980+Sens!H5981)*a_g3_29-Sens!H5981*mix_g3</f>
        <v>3917.42</v>
      </c>
      <c r="I5984" s="29" t="n">
        <f aca="false">Sens!H5984+(Sens!I5980+Sens!I5981)*a_g3_29-Sens!I5981*mix_g3</f>
        <v>3974.2316</v>
      </c>
      <c r="J5984" s="29" t="n">
        <f aca="false">Sens!I5984+(Sens!J5980+Sens!J5981)*a_g3_29-Sens!J5981*mix_g3</f>
        <v>3895.1348</v>
      </c>
      <c r="K5984" s="29" t="n">
        <f aca="false">Sens!J5984+(Sens!K5980+Sens!K5981)*a_g3_29-Sens!K5981*mix_g3</f>
        <v>3560.1296</v>
      </c>
    </row>
    <row r="5985" customFormat="false" ht="17.15" hidden="false" customHeight="false" outlineLevel="0" collapsed="false">
      <c r="A5985" s="1" t="s">
        <v>815</v>
      </c>
      <c r="B5985" s="0" t="s">
        <v>392</v>
      </c>
      <c r="C5985" s="29" t="n">
        <v>0</v>
      </c>
      <c r="D5985" s="29" t="n">
        <v>0</v>
      </c>
      <c r="E5985" s="29" t="n">
        <v>0</v>
      </c>
      <c r="F5985" s="29" t="n">
        <f aca="false">Sens!E5985+(Sens!F5980+Sens!F5981)*(1-a_g3_27)</f>
        <v>758.16</v>
      </c>
      <c r="G5985" s="29" t="n">
        <f aca="false">Sens!F5985+(Sens!G5980+Sens!G5981)*(1-a_g3_28)</f>
        <v>2527.2</v>
      </c>
      <c r="H5985" s="29" t="n">
        <f aca="false">Sens!G5985+(Sens!H5980+Sens!H5981)*(1-a_g3_29)</f>
        <v>4801.68</v>
      </c>
      <c r="I5985" s="29" t="n">
        <f aca="false">Sens!H5985+(Sens!I5980+Sens!I5981)*(1-a_g3_29)</f>
        <v>6856.4844</v>
      </c>
      <c r="J5985" s="29" t="n">
        <f aca="false">Sens!I5985+(Sens!J5980+Sens!J5981)*(1-a_g3_29)</f>
        <v>8475.6132</v>
      </c>
      <c r="K5985" s="29" t="n">
        <f aca="false">Sens!J5985+(Sens!K5980+Sens!K5981)*(1-a_g3_29)</f>
        <v>10091.0664</v>
      </c>
    </row>
    <row r="5986" customFormat="false" ht="17.15" hidden="false" customHeight="false" outlineLevel="0" collapsed="false">
      <c r="A5986" s="1" t="s">
        <v>816</v>
      </c>
      <c r="B5986" s="0" t="s">
        <v>339</v>
      </c>
      <c r="C5986" s="14" t="n">
        <f aca="false">(Sens!C5982*tk_hold_h100+Sens!C5983*tk_hold_gb200+Sens!C5984*tk_hold_gb300+Sens!C5985*tk_hold_vr200)/Sens!C5974</f>
        <v>9.7235358126469</v>
      </c>
      <c r="D5986" s="14" t="n">
        <f aca="false">(Sens!D5982*tk_hold_h100+Sens!D5983*tk_hold_gb200+Sens!D5984*tk_hold_gb300+Sens!D5985*tk_hold_vr200)/Sens!D5974</f>
        <v>9.7235358126469</v>
      </c>
      <c r="E5986" s="14" t="n">
        <f aca="false">(Sens!E5982*tk_hold_h100+Sens!E5983*tk_hold_gb200+Sens!E5984*tk_hold_gb300+Sens!E5985*tk_hold_vr200)/Sens!E5974</f>
        <v>9.7235358126469</v>
      </c>
      <c r="F5986" s="14" t="n">
        <f aca="false">(Sens!F5982*tk_hold_h100+Sens!F5983*tk_hold_gb200+Sens!F5984*tk_hold_gb300+Sens!F5985*tk_hold_vr200)/Sens!F5974</f>
        <v>10.4079573161931</v>
      </c>
      <c r="G5986" s="14" t="n">
        <f aca="false">(Sens!G5982*tk_hold_h100+Sens!G5983*tk_hold_gb200+Sens!G5984*tk_hold_gb300+Sens!G5985*tk_hold_vr200)/Sens!G5974</f>
        <v>10.8388131109316</v>
      </c>
      <c r="H5986" s="14" t="n">
        <f aca="false">(Sens!H5982*tk_hold_h100+Sens!H5983*tk_hold_gb200+Sens!H5984*tk_hold_gb300+Sens!H5985*tk_hold_vr200)/Sens!H5974</f>
        <v>11.1311018388216</v>
      </c>
      <c r="I5986" s="14" t="n">
        <f aca="false">(Sens!I5982*tk_hold_h100+Sens!I5983*tk_hold_gb200+Sens!I5984*tk_hold_gb300+Sens!I5985*tk_hold_vr200)/Sens!I5974</f>
        <v>11.3594282560989</v>
      </c>
      <c r="J5986" s="14" t="n">
        <f aca="false">(Sens!J5982*tk_hold_h100+Sens!J5983*tk_hold_gb200+Sens!J5984*tk_hold_gb300+Sens!J5985*tk_hold_vr200)/Sens!J5974</f>
        <v>11.5441508808221</v>
      </c>
      <c r="K5986" s="14" t="n">
        <f aca="false">(Sens!K5982*tk_hold_h100+Sens!K5983*tk_hold_gb200+Sens!K5984*tk_hold_gb300+Sens!K5985*tk_hold_vr200)/Sens!K5974</f>
        <v>11.8053375063575</v>
      </c>
    </row>
    <row r="5987" customFormat="false" ht="17.15" hidden="false" customHeight="false" outlineLevel="0" collapsed="false">
      <c r="A5987" s="0" t="s">
        <v>817</v>
      </c>
      <c r="B5987" s="0" t="s">
        <v>185</v>
      </c>
      <c r="C5987" s="14" t="n">
        <f aca="false">k_B</f>
        <v>1.17213932619116</v>
      </c>
      <c r="D5987" s="14" t="n">
        <f aca="false">k_B</f>
        <v>1.17213932619116</v>
      </c>
      <c r="E5987" s="14" t="n">
        <f aca="false">k_B</f>
        <v>1.17213932619116</v>
      </c>
      <c r="F5987" s="14" t="n">
        <f aca="false">(k_B+((ls_B*k_long+(1-ls_B)*k_spot)-k_B)*MIN(1,(Sens!F5972-base_fy)/k_ramp))</f>
        <v>1.17213932619116</v>
      </c>
      <c r="G5987" s="14" t="n">
        <f aca="false">(k_B+((ls_B*k_long+(1-ls_B)*k_spot)-k_B)*MIN(1,(Sens!G5972-base_fy)/k_ramp))</f>
        <v>1.17213932619116</v>
      </c>
      <c r="H5987" s="14" t="n">
        <f aca="false">(k_B+((ls_B*k_long+(1-ls_B)*k_spot)-k_B)*MIN(1,(Sens!H5972-base_fy)/k_ramp))</f>
        <v>1.17213932619116</v>
      </c>
      <c r="I5987" s="14" t="n">
        <f aca="false">(k_B+((ls_B*k_long+(1-ls_B)*k_spot)-k_B)*MIN(1,(Sens!I5972-base_fy)/k_ramp))</f>
        <v>1.17213932619116</v>
      </c>
      <c r="J5987" s="14" t="n">
        <f aca="false">(k_B+((ls_B*k_long+(1-ls_B)*k_spot)-k_B)*MIN(1,(Sens!J5972-base_fy)/k_ramp))</f>
        <v>1.17213932619116</v>
      </c>
      <c r="K5987" s="14" t="n">
        <f aca="false">(k_B+((ls_B*k_long+(1-ls_B)*k_spot)-k_B)*MIN(1,(Sens!K5972-base_fy)/k_ramp))</f>
        <v>1.17213932619116</v>
      </c>
      <c r="L5987" s="1" t="s">
        <v>818</v>
      </c>
    </row>
    <row r="5988" customFormat="false" ht="17.15" hidden="false" customHeight="false" outlineLevel="0" collapsed="false">
      <c r="A5988" s="1" t="s">
        <v>819</v>
      </c>
      <c r="B5988" s="0" t="s">
        <v>339</v>
      </c>
      <c r="C5988" s="14" t="n">
        <f aca="false">Sens!C5986*Sens!C5987*chip_f</f>
        <v>11.3973387156315</v>
      </c>
      <c r="D5988" s="14" t="n">
        <f aca="false">Sens!D5986*Sens!D5987*chip_f</f>
        <v>11.3973387156315</v>
      </c>
      <c r="E5988" s="14" t="n">
        <f aca="false">Sens!E5986*Sens!E5987*chip_f</f>
        <v>11.3973387156315</v>
      </c>
      <c r="F5988" s="14" t="n">
        <f aca="false">Sens!F5986*Sens!F5987*chip_f</f>
        <v>12.1995760756289</v>
      </c>
      <c r="G5988" s="14" t="n">
        <f aca="false">Sens!G5986*Sens!G5987*chip_f</f>
        <v>12.7045990965592</v>
      </c>
      <c r="H5988" s="14" t="n">
        <f aca="false">Sens!H5986*Sens!H5987*chip_f</f>
        <v>13.0472022091214</v>
      </c>
      <c r="I5988" s="14" t="n">
        <f aca="false">Sens!I5986*Sens!I5987*chip_f</f>
        <v>13.3148325820205</v>
      </c>
      <c r="J5988" s="14" t="n">
        <f aca="false">Sens!J5986*Sens!J5987*chip_f</f>
        <v>13.5313532348958</v>
      </c>
      <c r="K5988" s="14" t="n">
        <f aca="false">Sens!K5986*Sens!K5987*chip_f</f>
        <v>13.8375003501611</v>
      </c>
      <c r="L5988" s="1" t="s">
        <v>820</v>
      </c>
    </row>
    <row r="5989" customFormat="false" ht="17.15" hidden="false" customHeight="false" outlineLevel="0" collapsed="false">
      <c r="A5989" s="0" t="s">
        <v>821</v>
      </c>
      <c r="B5989" s="0" t="s">
        <v>98</v>
      </c>
      <c r="D5989" s="6" t="n">
        <f aca="false">(Sens!C5974+Sens!D5974)/2*Sens!D5988/1000</f>
        <v>12.9359794422418</v>
      </c>
      <c r="E5989" s="6" t="n">
        <f aca="false">(Sens!D5974+Sens!E5974)/2*Sens!E5988/1000</f>
        <v>27.8095064661409</v>
      </c>
      <c r="F5989" s="6" t="n">
        <f aca="false">(Sens!E5974+Sens!F5974)/2*Sens!F5988/1000</f>
        <v>55.0640065749585</v>
      </c>
      <c r="G5989" s="6" t="n">
        <f aca="false">(Sens!F5974+Sens!G5974)/2*Sens!G5988/1000</f>
        <v>89.4505413190538</v>
      </c>
      <c r="H5989" s="6" t="n">
        <f aca="false">(Sens!G5974+Sens!H5974)/2*Sens!H5988/1000</f>
        <v>124.835630736874</v>
      </c>
      <c r="I5989" s="6" t="n">
        <f aca="false">(Sens!H5974+Sens!I5974)/2*Sens!I5988/1000</f>
        <v>156.158460265485</v>
      </c>
      <c r="J5989" s="6" t="n">
        <f aca="false">(Sens!I5974+Sens!J5974)/2*Sens!J5988/1000</f>
        <v>177.99455972577</v>
      </c>
      <c r="K5989" s="6" t="n">
        <f aca="false">(Sens!J5974+Sens!K5974)/2*Sens!K5988/1000</f>
        <v>191.597101773408</v>
      </c>
      <c r="L5989" s="11" t="s">
        <v>822</v>
      </c>
    </row>
    <row r="5990" customFormat="false" ht="17.15" hidden="false" customHeight="false" outlineLevel="0" collapsed="false">
      <c r="A5990" s="1" t="s">
        <v>823</v>
      </c>
      <c r="B5990" s="0" t="s">
        <v>339</v>
      </c>
      <c r="C5990" s="14" t="n">
        <f aca="false">(Sens!C5982*tk_opex_h100+Sens!C5983*tk_opex_gb200+Sens!C5984*tk_opex_gb300+Sens!C5985*tk_opex_vr200)/Sens!C5974</f>
        <v>1.88636041306092</v>
      </c>
      <c r="D5990" s="14" t="n">
        <f aca="false">(Sens!D5982*tk_opex_h100+Sens!D5983*tk_opex_gb200+Sens!D5984*tk_opex_gb300+Sens!D5985*tk_opex_vr200)/Sens!D5974</f>
        <v>1.88636041306092</v>
      </c>
      <c r="E5990" s="14" t="n">
        <f aca="false">(Sens!E5982*tk_opex_h100+Sens!E5983*tk_opex_gb200+Sens!E5984*tk_opex_gb300+Sens!E5985*tk_opex_vr200)/Sens!E5974</f>
        <v>1.88636041306092</v>
      </c>
      <c r="F5990" s="14" t="n">
        <f aca="false">(Sens!F5982*tk_opex_h100+Sens!F5983*tk_opex_gb200+Sens!F5984*tk_opex_gb300+Sens!F5985*tk_opex_vr200)/Sens!F5974</f>
        <v>1.9430236476499</v>
      </c>
      <c r="G5990" s="14" t="n">
        <f aca="false">(Sens!G5982*tk_opex_h100+Sens!G5983*tk_opex_gb200+Sens!G5984*tk_opex_gb300+Sens!G5985*tk_opex_vr200)/Sens!G5974</f>
        <v>1.9786941852423</v>
      </c>
      <c r="H5990" s="14" t="n">
        <f aca="false">(Sens!H5982*tk_opex_h100+Sens!H5983*tk_opex_gb200+Sens!H5984*tk_opex_gb300+Sens!H5985*tk_opex_vr200)/Sens!H5974</f>
        <v>2.00289275976156</v>
      </c>
      <c r="I5990" s="14" t="n">
        <f aca="false">(Sens!I5982*tk_opex_h100+Sens!I5983*tk_opex_gb200+Sens!I5984*tk_opex_gb300+Sens!I5985*tk_opex_vr200)/Sens!I5974</f>
        <v>2.02179589661219</v>
      </c>
      <c r="J5990" s="14" t="n">
        <f aca="false">(Sens!J5982*tk_opex_h100+Sens!J5983*tk_opex_gb200+Sens!J5984*tk_opex_gb300+Sens!J5985*tk_opex_vr200)/Sens!J5974</f>
        <v>2.03708907685909</v>
      </c>
      <c r="K5990" s="14" t="n">
        <f aca="false">(Sens!K5982*tk_opex_h100+Sens!K5983*tk_opex_gb200+Sens!K5984*tk_opex_gb300+Sens!K5985*tk_opex_vr200)/Sens!K5974</f>
        <v>2.05871270931005</v>
      </c>
    </row>
    <row r="5991" customFormat="false" ht="17.15" hidden="false" customHeight="false" outlineLevel="0" collapsed="false">
      <c r="A5991" s="0" t="s">
        <v>824</v>
      </c>
      <c r="B5991" s="0" t="s">
        <v>98</v>
      </c>
      <c r="D5991" s="6" t="n">
        <f aca="false">(Sens!C5977+Sens!D5977)/2*Sens!D5990/1000</f>
        <v>2.70378325872065</v>
      </c>
      <c r="E5991" s="6" t="n">
        <f aca="false">(Sens!D5977+Sens!E5977)/2*Sens!E5990/1000</f>
        <v>6.17783035277451</v>
      </c>
      <c r="F5991" s="6" t="n">
        <f aca="false">(Sens!E5977+Sens!F5977)/2*Sens!F5990/1000</f>
        <v>12.5020618235287</v>
      </c>
      <c r="G5991" s="6" t="n">
        <f aca="false">(Sens!F5977+Sens!G5977)/2*Sens!G5990/1000</f>
        <v>20.7261620256847</v>
      </c>
      <c r="H5991" s="6" t="n">
        <f aca="false">(Sens!G5977+Sens!H5977)/2*Sens!H5990/1000</f>
        <v>29.4158183316982</v>
      </c>
      <c r="I5991" s="6" t="n">
        <f aca="false">(Sens!H5977+Sens!I5977)/2*Sens!I5990/1000</f>
        <v>36.9724400356344</v>
      </c>
      <c r="J5991" s="6" t="n">
        <f aca="false">(Sens!I5977+Sens!J5977)/2*Sens!J5990/1000</f>
        <v>42.0938382992747</v>
      </c>
      <c r="K5991" s="6" t="n">
        <f aca="false">(Sens!J5977+Sens!K5977)/2*Sens!K5990/1000</f>
        <v>44.9150106651501</v>
      </c>
    </row>
    <row r="5992" customFormat="false" ht="17.15" hidden="false" customHeight="false" outlineLevel="0" collapsed="false">
      <c r="A5992" s="0" t="s">
        <v>825</v>
      </c>
      <c r="B5992" s="0" t="s">
        <v>98</v>
      </c>
      <c r="D5992" s="6" t="n">
        <f aca="false">(Sens!C5975+Sens!D5975)/2*rent_mw/1000</f>
        <v>2.44475</v>
      </c>
      <c r="E5992" s="6" t="n">
        <f aca="false">(Sens!D5975+Sens!E5975)/2*rent_mw/1000</f>
        <v>4.22275</v>
      </c>
      <c r="F5992" s="6" t="n">
        <f aca="false">(Sens!E5975+Sens!F5975)/2*rent_mw/1000</f>
        <v>5.80517</v>
      </c>
      <c r="G5992" s="6" t="n">
        <f aca="false">(Sens!F5975+Sens!G5975)/2*rent_mw/1000</f>
        <v>6.72084</v>
      </c>
      <c r="H5992" s="6" t="n">
        <f aca="false">(Sens!G5975+Sens!H5975)/2*rent_mw/1000</f>
        <v>6.72084</v>
      </c>
      <c r="I5992" s="6" t="n">
        <f aca="false">(Sens!H5975+Sens!I5975)/2*rent_mw/1000</f>
        <v>6.72084</v>
      </c>
      <c r="J5992" s="6" t="n">
        <f aca="false">(Sens!I5975+Sens!J5975)/2*rent_mw/1000</f>
        <v>6.72084</v>
      </c>
      <c r="K5992" s="6" t="n">
        <f aca="false">(Sens!J5975+Sens!K5975)/2*rent_mw/1000</f>
        <v>6.72084</v>
      </c>
    </row>
    <row r="5993" customFormat="false" ht="17.15" hidden="false" customHeight="false" outlineLevel="0" collapsed="false">
      <c r="A5993" s="0" t="s">
        <v>826</v>
      </c>
      <c r="B5993" s="0" t="s">
        <v>98</v>
      </c>
      <c r="D5993" s="6" t="n">
        <f aca="false">(Sens!C5977+Sens!D5977)/2*(1-self_build)*fac_rent/1000</f>
        <v>0.853242375631075</v>
      </c>
      <c r="E5993" s="6" t="n">
        <f aca="false">(Sens!D5977+Sens!E5977)/2*(1-self_build)*fac_rent/1000</f>
        <v>1.94955961408728</v>
      </c>
      <c r="F5993" s="6" t="n">
        <f aca="false">(Sens!E5977+Sens!F5977)/2*(1-self_build)*fac_rent/1000</f>
        <v>3.83026455274573</v>
      </c>
      <c r="G5993" s="6" t="n">
        <f aca="false">(Sens!F5977+Sens!G5977)/2*(1-self_build)*fac_rent/1000</f>
        <v>6.23541590972812</v>
      </c>
      <c r="H5993" s="6" t="n">
        <f aca="false">(Sens!G5977+Sens!H5977)/2*(1-self_build)*fac_rent/1000</f>
        <v>8.74275792332679</v>
      </c>
      <c r="I5993" s="6" t="n">
        <f aca="false">(Sens!H5977+Sens!I5977)/2*(1-self_build)*fac_rent/1000</f>
        <v>10.8859420438599</v>
      </c>
      <c r="J5993" s="6" t="n">
        <f aca="false">(Sens!I5977+Sens!J5977)/2*(1-self_build)*fac_rent/1000</f>
        <v>12.3008103782619</v>
      </c>
      <c r="K5993" s="6" t="n">
        <f aca="false">(Sens!J5977+Sens!K5977)/2*(1-self_build)*fac_rent/1000</f>
        <v>12.9873629265328</v>
      </c>
      <c r="L5993" s="11" t="s">
        <v>827</v>
      </c>
    </row>
    <row r="5994" customFormat="false" ht="17.15" hidden="false" customHeight="false" outlineLevel="0" collapsed="false">
      <c r="A5994" s="1" t="s">
        <v>828</v>
      </c>
      <c r="B5994" s="0" t="s">
        <v>129</v>
      </c>
      <c r="D5994" s="7" t="n">
        <f aca="false">(Sens!C5976+Sens!D5976)/(Sens!C5977+Sens!D5977)</f>
        <v>0.6</v>
      </c>
      <c r="E5994" s="7" t="n">
        <f aca="false">(Sens!D5976+Sens!E5976)/(Sens!D5977+Sens!E5977)</f>
        <v>0.6</v>
      </c>
      <c r="F5994" s="7" t="n">
        <f aca="false">(Sens!E5976+Sens!F5976)/(Sens!E5977+Sens!F5977)</f>
        <v>0.6</v>
      </c>
      <c r="G5994" s="7" t="n">
        <f aca="false">(Sens!F5976+Sens!G5976)/(Sens!F5977+Sens!G5977)</f>
        <v>0.6</v>
      </c>
      <c r="H5994" s="7" t="n">
        <f aca="false">(Sens!G5976+Sens!H5976)/(Sens!G5977+Sens!H5977)</f>
        <v>0.6</v>
      </c>
      <c r="I5994" s="7" t="n">
        <f aca="false">(Sens!H5976+Sens!I5976)/(Sens!H5977+Sens!I5977)</f>
        <v>0.6</v>
      </c>
      <c r="J5994" s="7" t="n">
        <f aca="false">(Sens!I5976+Sens!J5976)/(Sens!I5977+Sens!J5977)</f>
        <v>0.6</v>
      </c>
      <c r="K5994" s="7" t="n">
        <f aca="false">(Sens!J5976+Sens!K5976)/(Sens!J5977+Sens!K5977)</f>
        <v>0.6</v>
      </c>
    </row>
    <row r="5995" customFormat="false" ht="17.15" hidden="false" customHeight="false" outlineLevel="0" collapsed="false">
      <c r="A5995" s="0" t="s">
        <v>829</v>
      </c>
      <c r="B5995" s="0" t="s">
        <v>98</v>
      </c>
      <c r="D5995" s="6" t="n">
        <f aca="false">Sens!D5989-Sens!D5994*(Sens!D5991+Sens!D5993)-Sens!D5992</f>
        <v>8.35701406163072</v>
      </c>
      <c r="E5995" s="6" t="n">
        <f aca="false">Sens!E5989-Sens!E5994*(Sens!E5991+Sens!E5993)-Sens!E5992</f>
        <v>18.7103224860238</v>
      </c>
      <c r="F5995" s="6" t="n">
        <f aca="false">Sens!F5989-Sens!F5994*(Sens!F5991+Sens!F5993)-Sens!F5992</f>
        <v>39.4594407491938</v>
      </c>
      <c r="G5995" s="6" t="n">
        <f aca="false">Sens!G5989-Sens!G5994*(Sens!G5991+Sens!G5993)-Sens!G5992</f>
        <v>66.5527545578061</v>
      </c>
      <c r="H5995" s="6" t="n">
        <f aca="false">Sens!H5989-Sens!H5994*(Sens!H5991+Sens!H5993)-Sens!H5992</f>
        <v>95.219644983859</v>
      </c>
      <c r="I5995" s="6" t="n">
        <f aca="false">Sens!I5989-Sens!I5994*(Sens!I5991+Sens!I5993)-Sens!I5992</f>
        <v>120.722591017788</v>
      </c>
      <c r="J5995" s="6" t="n">
        <f aca="false">Sens!J5989-Sens!J5994*(Sens!J5991+Sens!J5993)-Sens!J5992</f>
        <v>138.636930519248</v>
      </c>
      <c r="K5995" s="6" t="n">
        <f aca="false">Sens!K5989-Sens!K5994*(Sens!K5991+Sens!K5993)-Sens!K5992</f>
        <v>150.134837618398</v>
      </c>
    </row>
    <row r="5996" customFormat="false" ht="17.15" hidden="false" customHeight="false" outlineLevel="0" collapsed="false">
      <c r="A5996" s="1" t="s">
        <v>830</v>
      </c>
      <c r="B5996" s="0" t="s">
        <v>98</v>
      </c>
      <c r="D5996" s="6" t="n">
        <f aca="false">(1-Sens!D5994)*(Sens!D5991+Sens!D5993)</f>
        <v>1.42281025374069</v>
      </c>
      <c r="E5996" s="6" t="n">
        <f aca="false">(1-Sens!E5994)*(Sens!E5991+Sens!E5993)</f>
        <v>3.25095598674472</v>
      </c>
      <c r="F5996" s="6" t="n">
        <f aca="false">(1-Sens!F5994)*(Sens!F5991+Sens!F5993)</f>
        <v>6.53293055050977</v>
      </c>
      <c r="G5996" s="6" t="n">
        <f aca="false">(1-Sens!G5994)*(Sens!G5991+Sens!G5993)</f>
        <v>10.7846311741651</v>
      </c>
      <c r="H5996" s="6" t="n">
        <f aca="false">(1-Sens!H5994)*(Sens!H5991+Sens!H5993)</f>
        <v>15.26343050201</v>
      </c>
      <c r="I5996" s="6" t="n">
        <f aca="false">(1-Sens!I5994)*(Sens!I5991+Sens!I5993)</f>
        <v>19.1433528317977</v>
      </c>
      <c r="J5996" s="6" t="n">
        <f aca="false">(1-Sens!J5994)*(Sens!J5991+Sens!J5993)</f>
        <v>21.7578594710146</v>
      </c>
      <c r="K5996" s="6" t="n">
        <f aca="false">(1-Sens!K5994)*(Sens!K5991+Sens!K5993)</f>
        <v>23.1609494366731</v>
      </c>
    </row>
    <row r="5997" customFormat="false" ht="17.15" hidden="false" customHeight="false" outlineLevel="0" collapsed="false">
      <c r="A5997" s="1" t="s">
        <v>831</v>
      </c>
      <c r="B5997" s="0" t="s">
        <v>350</v>
      </c>
      <c r="C5997" s="8" t="n">
        <f aca="false">cxit_open</f>
        <v>27.5918995</v>
      </c>
      <c r="D5997" s="8" t="n">
        <f aca="false">cxit_open</f>
        <v>27.5918995</v>
      </c>
      <c r="E5997" s="8" t="n">
        <f aca="false">cxit_open</f>
        <v>27.5918995</v>
      </c>
      <c r="F5997" s="8" t="n">
        <f aca="false">(a_g3_27*tk_cxit_gb300+(1-a_g3_27)*tk_cxit_vr200)</f>
        <v>33.8419624</v>
      </c>
      <c r="G5997" s="8" t="n">
        <f aca="false">(a_g3_28*tk_cxit_gb300+(1-a_g3_28)*tk_cxit_vr200)</f>
        <v>35.9816136</v>
      </c>
      <c r="H5997" s="8" t="n">
        <f aca="false">(a_g3_29*tk_cxit_gb300+(1-a_g3_29)*tk_cxit_vr200)</f>
        <v>37.0514392</v>
      </c>
      <c r="I5997" s="8" t="n">
        <f aca="false">(a_g3_29*tk_cxit_gb300+(1-a_g3_29)*tk_cxit_vr200)</f>
        <v>37.0514392</v>
      </c>
      <c r="J5997" s="8" t="n">
        <f aca="false">(a_g3_29*tk_cxit_gb300+(1-a_g3_29)*tk_cxit_vr200)</f>
        <v>37.0514392</v>
      </c>
      <c r="K5997" s="8" t="n">
        <f aca="false">(a_g3_29*tk_cxit_gb300+(1-a_g3_29)*tk_cxit_vr200)</f>
        <v>37.0514392</v>
      </c>
      <c r="L5997" s="11" t="s">
        <v>832</v>
      </c>
    </row>
    <row r="5998" customFormat="false" ht="17.15" hidden="false" customHeight="false" outlineLevel="0" collapsed="false">
      <c r="A5998" s="0" t="s">
        <v>833</v>
      </c>
      <c r="B5998" s="0" t="s">
        <v>392</v>
      </c>
      <c r="F5998" s="29" t="n">
        <f aca="false">Sens!C5979*IF(Sens!F5972-Sens!C5972=life_it,1,0)+Sens!D5979*IF(Sens!F5972-Sens!D5972=life_it,1,0)+Sens!E5979*IF(Sens!F5972-Sens!E5972=life_it,1,0)</f>
        <v>0</v>
      </c>
      <c r="G5998" s="29" t="n">
        <f aca="false">Sens!C5979*IF(Sens!G5972-Sens!C5972=life_it,1,0)+Sens!D5979*IF(Sens!G5972-Sens!D5972=life_it,1,0)+Sens!E5979*IF(Sens!G5972-Sens!E5972=life_it,1,0)+Sens!F5979*IF(Sens!G5972-Sens!F5972=life_it,1,0)</f>
        <v>0</v>
      </c>
      <c r="H5998" s="29" t="n">
        <f aca="false">Sens!C5979*IF(Sens!H5972-Sens!C5972=life_it,1,0)+Sens!D5979*IF(Sens!H5972-Sens!D5972=life_it,1,0)+Sens!E5979*IF(Sens!H5972-Sens!E5972=life_it,1,0)+Sens!F5979*IF(Sens!H5972-Sens!F5972=life_it,1,0)+Sens!G5979*IF(Sens!H5972-Sens!G5972=life_it,1,0)</f>
        <v>0</v>
      </c>
      <c r="I5998" s="29" t="n">
        <f aca="false">Sens!C5979*IF(Sens!I5972-Sens!C5972=life_it,1,0)+Sens!D5979*IF(Sens!I5972-Sens!D5972=life_it,1,0)+Sens!E5979*IF(Sens!I5972-Sens!E5972=life_it,1,0)+Sens!F5979*IF(Sens!I5972-Sens!F5972=life_it,1,0)+Sens!G5979*IF(Sens!I5972-Sens!G5972=life_it,1,0)+Sens!H5979*IF(Sens!I5972-Sens!H5972=life_it,1,0)</f>
        <v>816.666666666667</v>
      </c>
      <c r="J5998" s="29" t="n">
        <f aca="false">Sens!C5979*IF(Sens!J5972-Sens!C5972=life_it,1,0)+Sens!D5979*IF(Sens!J5972-Sens!D5972=life_it,1,0)+Sens!E5979*IF(Sens!J5972-Sens!E5972=life_it,1,0)+Sens!F5979*IF(Sens!J5972-Sens!F5972=life_it,1,0)+Sens!G5979*IF(Sens!J5972-Sens!G5972=life_it,1,0)+Sens!H5979*IF(Sens!J5972-Sens!H5972=life_it,1,0)+Sens!I5979*IF(Sens!J5972-Sens!I5972=life_it,1,0)</f>
        <v>1233.33333333333</v>
      </c>
      <c r="K5998" s="29" t="n">
        <f aca="false">Sens!C5979*IF(Sens!K5972-Sens!C5972=life_it,1,0)+Sens!D5979*IF(Sens!K5972-Sens!D5972=life_it,1,0)+Sens!E5979*IF(Sens!K5972-Sens!E5972=life_it,1,0)+Sens!F5979*IF(Sens!K5972-Sens!F5972=life_it,1,0)+Sens!G5979*IF(Sens!K5972-Sens!G5972=life_it,1,0)+Sens!H5979*IF(Sens!K5972-Sens!H5972=life_it,1,0)+Sens!I5979*IF(Sens!K5972-Sens!I5972=life_it,1,0)+Sens!J5979*IF(Sens!K5972-Sens!J5972=life_it,1,0)</f>
        <v>2450</v>
      </c>
      <c r="L5998" s="1" t="s">
        <v>834</v>
      </c>
    </row>
    <row r="5999" customFormat="false" ht="17.15" hidden="false" customHeight="false" outlineLevel="0" collapsed="false">
      <c r="A5999" s="0" t="s">
        <v>835</v>
      </c>
      <c r="B5999" s="0" t="s">
        <v>98</v>
      </c>
      <c r="C5999" s="6" t="n">
        <f aca="false">Sens!C5979*Sens!C5997/1000</f>
        <v>22.5333845916667</v>
      </c>
      <c r="D5999" s="6" t="n">
        <f aca="false">Sens!D5979*Sens!D5997/1000</f>
        <v>34.0300093833333</v>
      </c>
      <c r="E5999" s="6" t="n">
        <f aca="false">Sens!E5979*Sens!E5997/1000</f>
        <v>67.600153775</v>
      </c>
      <c r="F5999" s="6" t="n">
        <f aca="false">(Sens!F5979+Sens!F5998)*Sens!F5997/1000</f>
        <v>130.923271871467</v>
      </c>
      <c r="G5999" s="6" t="n">
        <f aca="false">(Sens!G5979+Sens!G5998)*Sens!G5997/1000</f>
        <v>151.5545564832</v>
      </c>
      <c r="H5999" s="6" t="n">
        <f aca="false">(Sens!H5979+Sens!H5998)*Sens!H5997/1000</f>
        <v>156.0606619104</v>
      </c>
      <c r="I5999" s="6" t="n">
        <f aca="false">(Sens!I5979+Sens!I5998)*Sens!I5997/1000</f>
        <v>140.987889434245</v>
      </c>
      <c r="J5999" s="6" t="n">
        <f aca="false">(Sens!J5979+Sens!J5998)*Sens!J5997/1000</f>
        <v>111.094541278091</v>
      </c>
      <c r="K5999" s="6" t="n">
        <f aca="false">(Sens!K5979+Sens!K5998)*Sens!K5997/1000</f>
        <v>110.842344481936</v>
      </c>
    </row>
    <row r="6000" customFormat="false" ht="17.15" hidden="false" customHeight="false" outlineLevel="0" collapsed="false">
      <c r="A6000" s="0" t="s">
        <v>836</v>
      </c>
      <c r="B6000" s="0" t="s">
        <v>98</v>
      </c>
      <c r="C6000" s="6" t="n">
        <f aca="false">Sens!C5979*self_build*tk_cxfac/1000</f>
        <v>6.2083</v>
      </c>
      <c r="D6000" s="6" t="n">
        <f aca="false">Sens!D5979*self_build*tk_cxfac/1000</f>
        <v>9.3758</v>
      </c>
      <c r="E6000" s="6" t="n">
        <f aca="false">Sens!E5979*self_build*tk_cxfac/1000</f>
        <v>18.6249</v>
      </c>
      <c r="F6000" s="6" t="n">
        <f aca="false">Sens!F5979*self_build*tk_cxfac/1000</f>
        <v>29.409604</v>
      </c>
      <c r="G6000" s="6" t="n">
        <f aca="false">Sens!G5979*self_build*tk_cxfac/1000</f>
        <v>32.019624</v>
      </c>
      <c r="H6000" s="6" t="n">
        <f aca="false">Sens!H5979*self_build*tk_cxfac/1000</f>
        <v>32.019624</v>
      </c>
      <c r="I6000" s="6" t="n">
        <f aca="false">Sens!I5979*self_build*tk_cxfac/1000</f>
        <v>22.71877972</v>
      </c>
      <c r="J6000" s="6" t="n">
        <f aca="false">Sens!J5979*self_build*tk_cxfac/1000</f>
        <v>13.41793544</v>
      </c>
      <c r="K6000" s="6" t="n">
        <f aca="false">Sens!K5979*self_build*tk_cxfac/1000</f>
        <v>4.11709116000001</v>
      </c>
    </row>
    <row r="6001" customFormat="false" ht="17.15" hidden="false" customHeight="false" outlineLevel="0" collapsed="false">
      <c r="A6001" s="0" t="s">
        <v>837</v>
      </c>
      <c r="B6001" s="0" t="s">
        <v>98</v>
      </c>
      <c r="F6001" s="6" t="n">
        <f aca="false">MAX(0,capex_floor27-Sens!F5999-Sens!F6000-Sens!F6094)</f>
        <v>8.13777689897088</v>
      </c>
      <c r="L6001" s="1" t="s">
        <v>838</v>
      </c>
    </row>
    <row r="6002" customFormat="false" ht="17.15" hidden="false" customHeight="false" outlineLevel="0" collapsed="false">
      <c r="A6002" s="0" t="s">
        <v>839</v>
      </c>
      <c r="B6002" s="0" t="s">
        <v>98</v>
      </c>
      <c r="C6002" s="6" t="n">
        <f aca="false">Sens!C5999</f>
        <v>22.5333845916667</v>
      </c>
      <c r="D6002" s="6" t="n">
        <f aca="false">Sens!D5999</f>
        <v>34.0300093833333</v>
      </c>
      <c r="E6002" s="6" t="n">
        <f aca="false">Sens!E5999</f>
        <v>67.600153775</v>
      </c>
      <c r="F6002" s="6" t="n">
        <f aca="false">Sens!F5999+Sens!F6001</f>
        <v>139.061048770438</v>
      </c>
      <c r="G6002" s="6" t="n">
        <f aca="false">Sens!G5999</f>
        <v>151.5545564832</v>
      </c>
      <c r="H6002" s="6" t="n">
        <f aca="false">Sens!H5999</f>
        <v>156.0606619104</v>
      </c>
      <c r="I6002" s="6" t="n">
        <f aca="false">Sens!I5999</f>
        <v>140.987889434245</v>
      </c>
      <c r="J6002" s="6" t="n">
        <f aca="false">Sens!J5999</f>
        <v>111.094541278091</v>
      </c>
      <c r="K6002" s="6" t="n">
        <f aca="false">Sens!K5999</f>
        <v>110.842344481936</v>
      </c>
    </row>
    <row r="6003" customFormat="false" ht="17.15" hidden="false" customHeight="false" outlineLevel="0" collapsed="false">
      <c r="A6003" s="0" t="s">
        <v>840</v>
      </c>
      <c r="B6003" s="0" t="s">
        <v>98</v>
      </c>
      <c r="C6003" s="6" t="n">
        <f aca="false">Sens!C6002+Sens!C6000</f>
        <v>28.7416845916667</v>
      </c>
      <c r="D6003" s="6" t="n">
        <f aca="false">Sens!D6002+Sens!D6000</f>
        <v>43.4058093833333</v>
      </c>
      <c r="E6003" s="6" t="n">
        <f aca="false">Sens!E6002+Sens!E6000</f>
        <v>86.225053775</v>
      </c>
      <c r="F6003" s="6" t="n">
        <f aca="false">Sens!F6002+Sens!F6000</f>
        <v>168.470652770438</v>
      </c>
      <c r="G6003" s="6" t="n">
        <f aca="false">Sens!G6002+Sens!G6000</f>
        <v>183.5741804832</v>
      </c>
      <c r="H6003" s="6" t="n">
        <f aca="false">Sens!H6002+Sens!H6000</f>
        <v>188.0802859104</v>
      </c>
      <c r="I6003" s="6" t="n">
        <f aca="false">Sens!I6002+Sens!I6000</f>
        <v>163.706669154245</v>
      </c>
      <c r="J6003" s="6" t="n">
        <f aca="false">Sens!J6002+Sens!J6000</f>
        <v>124.51247671809</v>
      </c>
      <c r="K6003" s="6" t="n">
        <f aca="false">Sens!K6002+Sens!K6000</f>
        <v>114.959435641936</v>
      </c>
      <c r="L6003" s="11" t="s">
        <v>841</v>
      </c>
    </row>
    <row r="6004" customFormat="false" ht="17.15" hidden="false" customHeight="false" outlineLevel="0" collapsed="false">
      <c r="A6004" s="0" t="s">
        <v>842</v>
      </c>
      <c r="B6004" s="0" t="s">
        <v>98</v>
      </c>
      <c r="E6004" s="6" t="n">
        <f aca="false">(Sens!C6002*IF(2&lt;life_it,1,IF(2=life_it,0.5,0))+Sens!D6002*IF(1&lt;life_it,1,IF(1=life_it,0.5,0))+Sens!E6002*0.5)/life_it</f>
        <v>15.0605784770833</v>
      </c>
      <c r="F6004" s="6" t="n">
        <f aca="false">(Sens!C6002*IF(3&lt;life_it,1,IF(3=life_it,0.5,0))+Sens!D6002*IF(2&lt;life_it,1,IF(2=life_it,0.5,0))+Sens!E6002*IF(1&lt;life_it,1,IF(1=life_it,0.5,0))+Sens!F6002*0.5)/life_it</f>
        <v>32.2823453558698</v>
      </c>
      <c r="G6004" s="6" t="n">
        <f aca="false">(Sens!C6002*IF(4&lt;life_it,1,IF(4=life_it,0.5,0))+Sens!D6002*IF(3&lt;life_it,1,IF(3=life_it,0.5,0))+Sens!E6002*IF(2&lt;life_it,1,IF(2=life_it,0.5,0))+Sens!F6002*IF(1&lt;life_it,1,IF(1=life_it,0.5,0))+Sens!G6002*0.5)/life_it</f>
        <v>56.5003124603396</v>
      </c>
      <c r="H6004" s="6" t="n">
        <f aca="false">(Sens!C6002*IF(5&lt;life_it,1,IF(5=life_it,0.5,0))+Sens!D6002*IF(4&lt;life_it,1,IF(4=life_it,0.5,0))+Sens!E6002*IF(3&lt;life_it,1,IF(3=life_it,0.5,0))+Sens!F6002*IF(2&lt;life_it,1,IF(2=life_it,0.5,0))+Sens!G6002*IF(1&lt;life_it,1,IF(1=life_it,0.5,0))+Sens!H6002*0.5)/life_it</f>
        <v>82.1349139931396</v>
      </c>
      <c r="I6004" s="6" t="n">
        <f aca="false">(Sens!C6002*IF(6&lt;life_it,1,IF(6=life_it,0.5,0))+Sens!D6002*IF(5&lt;life_it,1,IF(5=life_it,0.5,0))+Sens!E6002*IF(4&lt;life_it,1,IF(4=life_it,0.5,0))+Sens!F6002*IF(3&lt;life_it,1,IF(3=life_it,0.5,0))+Sens!G6002*IF(2&lt;life_it,1,IF(2=life_it,0.5,0))+Sens!H6002*IF(1&lt;life_it,1,IF(1=life_it,0.5,0))+Sens!I6002*0.5)/life_it</f>
        <v>105.011177889221</v>
      </c>
      <c r="J6004" s="6" t="n">
        <f aca="false">(Sens!C6002*IF(7&lt;life_it,1,IF(7=life_it,0.5,0))+Sens!D6002*IF(6&lt;life_it,1,IF(6=life_it,0.5,0))+Sens!E6002*IF(5&lt;life_it,1,IF(5=life_it,0.5,0))+Sens!F6002*IF(4&lt;life_it,1,IF(4=life_it,0.5,0))+Sens!G6002*IF(3&lt;life_it,1,IF(3=life_it,0.5,0))+Sens!H6002*IF(2&lt;life_it,1,IF(2=life_it,0.5,0))+Sens!I6002*IF(1&lt;life_it,1,IF(1=life_it,0.5,0))+Sens!J6002*0.5)/life_it</f>
        <v>121.304430950666</v>
      </c>
      <c r="K6004" s="6" t="n">
        <f aca="false">(Sens!C6002*IF(8&lt;life_it,1,IF(8=life_it,0.5,0))+Sens!D6002*IF(7&lt;life_it,1,IF(7=life_it,0.5,0))+Sens!E6002*IF(6&lt;life_it,1,IF(6=life_it,0.5,0))+Sens!F6002*IF(5&lt;life_it,1,IF(5=life_it,0.5,0))+Sens!G6002*IF(4&lt;life_it,1,IF(4=life_it,0.5,0))+Sens!H6002*IF(3&lt;life_it,1,IF(3=life_it,0.5,0))+Sens!I6002*IF(2&lt;life_it,1,IF(2=life_it,0.5,0))+Sens!J6002*IF(1&lt;life_it,1,IF(1=life_it,0.5,0))+Sens!K6002*0.5)/life_it</f>
        <v>131.329991167474</v>
      </c>
    </row>
    <row r="6005" customFormat="false" ht="17.15" hidden="false" customHeight="false" outlineLevel="0" collapsed="false">
      <c r="A6005" s="0" t="s">
        <v>843</v>
      </c>
      <c r="B6005" s="0" t="s">
        <v>98</v>
      </c>
      <c r="E6005" s="6" t="n">
        <f aca="false">(Sens!C6000*IF(2&lt;life_fac,1,IF(2=life_fac,0.5,0))+Sens!D6000*IF(1&lt;life_fac,1,IF(1=life_fac,0.5,0))+Sens!E6000*0.5)/life_fac</f>
        <v>1.2448275</v>
      </c>
      <c r="F6005" s="6" t="n">
        <f aca="false">(Sens!C6000*IF(3&lt;life_fac,1,IF(3=life_fac,0.5,0))+Sens!D6000*IF(2&lt;life_fac,1,IF(2=life_fac,0.5,0))+Sens!E6000*IF(1&lt;life_fac,1,IF(1=life_fac,0.5,0))+Sens!F6000*0.5)/life_fac</f>
        <v>2.4456901</v>
      </c>
      <c r="G6005" s="6" t="n">
        <f aca="false">(Sens!C6000*IF(4&lt;life_fac,1,IF(4=life_fac,0.5,0))+Sens!D6000*IF(3&lt;life_fac,1,IF(3=life_fac,0.5,0))+Sens!E6000*IF(2&lt;life_fac,1,IF(2=life_fac,0.5,0))+Sens!F6000*IF(1&lt;life_fac,1,IF(1=life_fac,0.5,0))+Sens!G6000*0.5)/life_fac</f>
        <v>3.9814208</v>
      </c>
      <c r="H6005" s="6" t="n">
        <f aca="false">(Sens!C6000*IF(5&lt;life_fac,1,IF(5=life_fac,0.5,0))+Sens!D6000*IF(4&lt;life_fac,1,IF(4=life_fac,0.5,0))+Sens!E6000*IF(3&lt;life_fac,1,IF(3=life_fac,0.5,0))+Sens!F6000*IF(2&lt;life_fac,1,IF(2=life_fac,0.5,0))+Sens!G6000*IF(1&lt;life_fac,1,IF(1=life_fac,0.5,0))+Sens!H6000*0.5)/life_fac</f>
        <v>5.582402</v>
      </c>
      <c r="I6005" s="6" t="n">
        <f aca="false">(Sens!C6000*IF(6&lt;life_fac,1,IF(6=life_fac,0.5,0))+Sens!D6000*IF(5&lt;life_fac,1,IF(5=life_fac,0.5,0))+Sens!E6000*IF(4&lt;life_fac,1,IF(4=life_fac,0.5,0))+Sens!F6000*IF(3&lt;life_fac,1,IF(3=life_fac,0.5,0))+Sens!G6000*IF(2&lt;life_fac,1,IF(2=life_fac,0.5,0))+Sens!H6000*IF(1&lt;life_fac,1,IF(1=life_fac,0.5,0))+Sens!I6000*0.5)/life_fac</f>
        <v>6.950862093</v>
      </c>
      <c r="J6005" s="6" t="n">
        <f aca="false">(Sens!C6000*IF(7&lt;life_fac,1,IF(7=life_fac,0.5,0))+Sens!D6000*IF(6&lt;life_fac,1,IF(6=life_fac,0.5,0))+Sens!E6000*IF(5&lt;life_fac,1,IF(5=life_fac,0.5,0))+Sens!F6000*IF(4&lt;life_fac,1,IF(4=life_fac,0.5,0))+Sens!G6000*IF(3&lt;life_fac,1,IF(3=life_fac,0.5,0))+Sens!H6000*IF(2&lt;life_fac,1,IF(2=life_fac,0.5,0))+Sens!I6000*IF(1&lt;life_fac,1,IF(1=life_fac,0.5,0))+Sens!J6000*0.5)/life_fac</f>
        <v>7.854279972</v>
      </c>
      <c r="K6005" s="6" t="n">
        <f aca="false">(Sens!C6000*IF(8&lt;life_fac,1,IF(8=life_fac,0.5,0))+Sens!D6000*IF(7&lt;life_fac,1,IF(7=life_fac,0.5,0))+Sens!E6000*IF(6&lt;life_fac,1,IF(6=life_fac,0.5,0))+Sens!F6000*IF(5&lt;life_fac,1,IF(5=life_fac,0.5,0))+Sens!G6000*IF(4&lt;life_fac,1,IF(4=life_fac,0.5,0))+Sens!H6000*IF(3&lt;life_fac,1,IF(3=life_fac,0.5,0))+Sens!I6000*IF(2&lt;life_fac,1,IF(2=life_fac,0.5,0))+Sens!J6000*IF(1&lt;life_fac,1,IF(1=life_fac,0.5,0))+Sens!K6000*0.5)/life_fac</f>
        <v>8.292655637</v>
      </c>
    </row>
    <row r="6006" customFormat="false" ht="17.15" hidden="false" customHeight="false" outlineLevel="0" collapsed="false">
      <c r="A6006" s="0" t="s">
        <v>844</v>
      </c>
      <c r="B6006" s="0" t="s">
        <v>98</v>
      </c>
      <c r="E6006" s="6" t="n">
        <f aca="false">Sens!E6004+Sens!E6005</f>
        <v>16.3054059770833</v>
      </c>
      <c r="F6006" s="6" t="n">
        <f aca="false">Sens!F6004+Sens!F6005</f>
        <v>34.7280354558698</v>
      </c>
      <c r="G6006" s="6" t="n">
        <f aca="false">Sens!G6004+Sens!G6005</f>
        <v>60.4817332603396</v>
      </c>
      <c r="H6006" s="6" t="n">
        <f aca="false">Sens!H6004+Sens!H6005</f>
        <v>87.7173159931396</v>
      </c>
      <c r="I6006" s="6" t="n">
        <f aca="false">Sens!I6004+Sens!I6005</f>
        <v>111.962039982221</v>
      </c>
      <c r="J6006" s="6" t="n">
        <f aca="false">Sens!J6004+Sens!J6005</f>
        <v>129.158710922666</v>
      </c>
      <c r="K6006" s="6" t="n">
        <f aca="false">Sens!K6004+Sens!K6005</f>
        <v>139.622646804474</v>
      </c>
    </row>
    <row r="6007" customFormat="false" ht="17.15" hidden="false" customHeight="false" outlineLevel="0" collapsed="false">
      <c r="A6007" s="0" t="s">
        <v>845</v>
      </c>
      <c r="B6007" s="0" t="s">
        <v>98</v>
      </c>
      <c r="E6007" s="6" t="n">
        <f aca="false">Sens!E5995-Sens!E5994*Sens!E6006</f>
        <v>8.92707889977379</v>
      </c>
      <c r="F6007" s="6" t="n">
        <f aca="false">Sens!F5995-Sens!F5994*Sens!F6006</f>
        <v>18.622619475672</v>
      </c>
      <c r="G6007" s="6" t="n">
        <f aca="false">Sens!G5995-Sens!G5994*Sens!G6006</f>
        <v>30.2637146016024</v>
      </c>
      <c r="H6007" s="6" t="n">
        <f aca="false">Sens!H5995-Sens!H5994*Sens!H6006</f>
        <v>42.5892553879752</v>
      </c>
      <c r="I6007" s="6" t="n">
        <f aca="false">Sens!I5995-Sens!I5994*Sens!I6006</f>
        <v>53.5453670284555</v>
      </c>
      <c r="J6007" s="6" t="n">
        <f aca="false">Sens!J5995-Sens!J5994*Sens!J6006</f>
        <v>61.1417039656484</v>
      </c>
      <c r="K6007" s="6" t="n">
        <f aca="false">Sens!K5995-Sens!K5994*Sens!K6006</f>
        <v>66.3612495357137</v>
      </c>
    </row>
    <row r="6008" customFormat="false" ht="17.15" hidden="false" customHeight="false" outlineLevel="0" collapsed="false">
      <c r="A6008" s="3" t="s">
        <v>1390</v>
      </c>
    </row>
    <row r="6009" customFormat="false" ht="15" hidden="false" customHeight="false" outlineLevel="0" collapsed="false">
      <c r="A6009" s="4" t="s">
        <v>43</v>
      </c>
      <c r="B6009" s="4" t="s">
        <v>65</v>
      </c>
      <c r="C6009" s="20" t="s">
        <v>788</v>
      </c>
      <c r="D6009" s="20" t="s">
        <v>789</v>
      </c>
      <c r="E6009" s="20" t="s">
        <v>790</v>
      </c>
      <c r="F6009" s="20" t="s">
        <v>791</v>
      </c>
      <c r="G6009" s="20" t="s">
        <v>792</v>
      </c>
      <c r="H6009" s="20" t="s">
        <v>793</v>
      </c>
      <c r="I6009" s="20" t="s">
        <v>794</v>
      </c>
      <c r="J6009" s="20" t="s">
        <v>795</v>
      </c>
      <c r="K6009" s="20" t="s">
        <v>796</v>
      </c>
      <c r="L6009" s="4" t="s">
        <v>47</v>
      </c>
    </row>
    <row r="6010" customFormat="false" ht="17.15" hidden="false" customHeight="false" outlineLevel="0" collapsed="false">
      <c r="A6010" s="0" t="s">
        <v>864</v>
      </c>
      <c r="B6010" s="0" t="s">
        <v>98</v>
      </c>
      <c r="D6010" s="6" t="n">
        <f aca="false">Sens!D5989</f>
        <v>12.9359794422418</v>
      </c>
      <c r="E6010" s="6" t="n">
        <f aca="false">Sens!E5989</f>
        <v>27.8095064661409</v>
      </c>
      <c r="F6010" s="6" t="n">
        <f aca="false">Sens!F5989</f>
        <v>55.0640065749585</v>
      </c>
      <c r="G6010" s="6" t="n">
        <f aca="false">Sens!G5989</f>
        <v>89.4505413190538</v>
      </c>
      <c r="H6010" s="6" t="n">
        <f aca="false">Sens!H5989</f>
        <v>124.835630736874</v>
      </c>
      <c r="I6010" s="6" t="n">
        <f aca="false">Sens!I5989</f>
        <v>156.158460265485</v>
      </c>
      <c r="J6010" s="6" t="n">
        <f aca="false">Sens!J5989</f>
        <v>177.99455972577</v>
      </c>
      <c r="K6010" s="6" t="n">
        <f aca="false">Sens!K5989</f>
        <v>191.597101773408</v>
      </c>
    </row>
    <row r="6011" customFormat="false" ht="17.15" hidden="false" customHeight="false" outlineLevel="0" collapsed="false">
      <c r="A6011" s="0" t="s">
        <v>865</v>
      </c>
      <c r="B6011" s="0" t="s">
        <v>98</v>
      </c>
      <c r="D6011" s="6" t="n">
        <f aca="false">Q!L6-Sens!D6010</f>
        <v>59.6740205577583</v>
      </c>
      <c r="E6011" s="6" t="n">
        <f aca="false">Q!M6-Sens!E6010</f>
        <v>74.1284935338591</v>
      </c>
      <c r="F6011" s="6" t="n">
        <f aca="false">Sens!E6011*(1+Sens!F6012)</f>
        <v>90.0799497373663</v>
      </c>
      <c r="G6011" s="6" t="n">
        <f aca="false">Sens!F6011*(1+Sens!G6012)</f>
        <v>107.02842520331</v>
      </c>
      <c r="H6011" s="6" t="n">
        <f aca="false">Sens!G6011*(1+Sens!H6012)</f>
        <v>124.271982585636</v>
      </c>
      <c r="I6011" s="6" t="n">
        <f aca="false">Sens!H6011*(1+Sens!I6012)</f>
        <v>140.933702381855</v>
      </c>
      <c r="J6011" s="6" t="n">
        <f aca="false">Sens!I6011*(1+Sens!J6012)</f>
        <v>156.018867314332</v>
      </c>
      <c r="K6011" s="6" t="n">
        <f aca="false">Sens!J6011*(1+Sens!K6012)</f>
        <v>168.500376699478</v>
      </c>
    </row>
    <row r="6012" customFormat="false" ht="15" hidden="false" customHeight="false" outlineLevel="0" collapsed="false">
      <c r="A6012" s="1" t="s">
        <v>866</v>
      </c>
      <c r="B6012" s="0" t="s">
        <v>129</v>
      </c>
      <c r="E6012" s="7" t="n">
        <f aca="false">Sens!E6011/Sens!D6011-1</f>
        <v>0.242223883039864</v>
      </c>
      <c r="F6012" s="7" t="n">
        <f aca="false">Sens!$E$6012+(glt_azo-Sens!$E$6012)*MIN(1,(Sens!F5972-base_fy)/n_conv)</f>
        <v>0.215186569199887</v>
      </c>
      <c r="G6012" s="7" t="n">
        <f aca="false">Sens!$E$6012+(glt_azo-Sens!$E$6012)*MIN(1,(Sens!G5972-base_fy)/n_conv)</f>
        <v>0.18814925535991</v>
      </c>
      <c r="H6012" s="7" t="n">
        <f aca="false">Sens!$E$6012+(glt_azo-Sens!$E$6012)*MIN(1,(Sens!H5972-base_fy)/n_conv)</f>
        <v>0.161111941519932</v>
      </c>
      <c r="I6012" s="7" t="n">
        <f aca="false">Sens!$E$6012+(glt_azo-Sens!$E$6012)*MIN(1,(Sens!I5972-base_fy)/n_conv)</f>
        <v>0.134074627679955</v>
      </c>
      <c r="J6012" s="7" t="n">
        <f aca="false">Sens!$E$6012+(glt_azo-Sens!$E$6012)*MIN(1,(Sens!J5972-base_fy)/n_conv)</f>
        <v>0.107037313839977</v>
      </c>
      <c r="K6012" s="7" t="n">
        <f aca="false">Sens!$E$6012+(glt_azo-Sens!$E$6012)*MIN(1,(Sens!K5972-base_fy)/n_conv)</f>
        <v>0.08</v>
      </c>
    </row>
    <row r="6013" customFormat="false" ht="15" hidden="false" customHeight="false" outlineLevel="0" collapsed="false">
      <c r="A6013" s="0" t="s">
        <v>867</v>
      </c>
      <c r="B6013" s="0" t="s">
        <v>98</v>
      </c>
      <c r="D6013" s="6" t="n">
        <f aca="false">Sens!D6010+Sens!D6011</f>
        <v>72.61</v>
      </c>
      <c r="E6013" s="6" t="n">
        <f aca="false">Sens!E6010+Sens!E6011</f>
        <v>101.938</v>
      </c>
      <c r="F6013" s="6" t="n">
        <f aca="false">Sens!F6010+Sens!F6011</f>
        <v>145.143956312325</v>
      </c>
      <c r="G6013" s="6" t="n">
        <f aca="false">Sens!G6010+Sens!G6011</f>
        <v>196.478966522364</v>
      </c>
      <c r="H6013" s="6" t="n">
        <f aca="false">Sens!H6010+Sens!H6011</f>
        <v>249.10761332251</v>
      </c>
      <c r="I6013" s="6" t="n">
        <f aca="false">Sens!I6010+Sens!I6011</f>
        <v>297.09216264734</v>
      </c>
      <c r="J6013" s="6" t="n">
        <f aca="false">Sens!J6010+Sens!J6011</f>
        <v>334.013427040101</v>
      </c>
      <c r="K6013" s="6" t="n">
        <f aca="false">Sens!K6010+Sens!K6011</f>
        <v>360.097478472886</v>
      </c>
    </row>
    <row r="6014" customFormat="false" ht="17.15" hidden="false" customHeight="false" outlineLevel="0" collapsed="false">
      <c r="A6014" s="0" t="s">
        <v>868</v>
      </c>
      <c r="B6014" s="1" t="s">
        <v>521</v>
      </c>
      <c r="C6014" s="29" t="n">
        <f aca="false">cop_s24</f>
        <v>1</v>
      </c>
      <c r="D6014" s="29" t="n">
        <f aca="false">cop_s25</f>
        <v>5</v>
      </c>
      <c r="E6014" s="29" t="n">
        <f aca="false">cop_s26</f>
        <v>30</v>
      </c>
      <c r="F6014" s="29" t="n">
        <f aca="false">Sens!E6014+cop_add_B*1.5</f>
        <v>60</v>
      </c>
      <c r="G6014" s="29" t="n">
        <f aca="false">Sens!F6014+cop_add_B*1.5</f>
        <v>90</v>
      </c>
      <c r="H6014" s="29" t="n">
        <f aca="false">Sens!G6014+cop_add_B*1.5</f>
        <v>120</v>
      </c>
      <c r="I6014" s="29" t="n">
        <f aca="false">Sens!H6014+cop_add_B*1.5*cop_tail</f>
        <v>135</v>
      </c>
      <c r="J6014" s="29" t="n">
        <f aca="false">Sens!I6014+cop_add_B*1.5*cop_tail</f>
        <v>150</v>
      </c>
      <c r="K6014" s="29" t="n">
        <f aca="false">Sens!J6014+cop_add_B*1.5*cop_tail</f>
        <v>165</v>
      </c>
      <c r="L6014" s="11" t="s">
        <v>869</v>
      </c>
    </row>
    <row r="6015" customFormat="false" ht="17.15" hidden="false" customHeight="false" outlineLevel="0" collapsed="false">
      <c r="A6015" s="0" t="s">
        <v>870</v>
      </c>
      <c r="B6015" s="0" t="s">
        <v>98</v>
      </c>
      <c r="D6015" s="6" t="n">
        <f aca="false">(Sens!C6014+Sens!D6014)/2*cop_px*12/1000</f>
        <v>0.9</v>
      </c>
      <c r="E6015" s="6" t="n">
        <f aca="false">(Sens!D6014+Sens!E6014)/2*cop_px*12/1000</f>
        <v>5.25</v>
      </c>
      <c r="F6015" s="6" t="n">
        <f aca="false">(Sens!E6014+Sens!F6014)/2*cop_px*12/1000</f>
        <v>13.5</v>
      </c>
      <c r="G6015" s="6" t="n">
        <f aca="false">(Sens!F6014+Sens!G6014)/2*cop_px*12/1000</f>
        <v>22.5</v>
      </c>
      <c r="H6015" s="6" t="n">
        <f aca="false">(Sens!G6014+Sens!H6014)/2*cop_px*12/1000</f>
        <v>31.5</v>
      </c>
      <c r="I6015" s="6" t="n">
        <f aca="false">(Sens!H6014+Sens!I6014)/2*cop_px*12/1000</f>
        <v>38.25</v>
      </c>
      <c r="J6015" s="6" t="n">
        <f aca="false">(Sens!I6014+Sens!J6014)/2*cop_px*12/1000</f>
        <v>42.75</v>
      </c>
      <c r="K6015" s="6" t="n">
        <f aca="false">(Sens!J6014+Sens!K6014)/2*cop_px*12/1000</f>
        <v>47.25</v>
      </c>
      <c r="L6015" s="1" t="s">
        <v>871</v>
      </c>
    </row>
    <row r="6016" customFormat="false" ht="17.15" hidden="false" customHeight="false" outlineLevel="0" collapsed="false">
      <c r="A6016" s="0" t="s">
        <v>872</v>
      </c>
      <c r="B6016" s="0" t="s">
        <v>98</v>
      </c>
      <c r="D6016" s="6" t="n">
        <f aca="false">Q!L7-Sens!D6015</f>
        <v>83.705</v>
      </c>
      <c r="E6016" s="6" t="n">
        <f aca="false">Q!M7-Sens!E6015</f>
        <v>95.049</v>
      </c>
      <c r="F6016" s="6" t="n">
        <f aca="false">Sens!E6016*(1+Sens!F6017)</f>
        <v>106.89238776686</v>
      </c>
      <c r="G6016" s="6" t="n">
        <f aca="false">Sens!F6016*(1+Sens!G6017)</f>
        <v>119.044168448684</v>
      </c>
      <c r="H6016" s="6" t="n">
        <f aca="false">Sens!G6016*(1+Sens!H6017)</f>
        <v>131.277359388781</v>
      </c>
      <c r="I6016" s="6" t="n">
        <f aca="false">Sens!H6016*(1+Sens!I6017)</f>
        <v>143.334028071957</v>
      </c>
      <c r="J6016" s="6" t="n">
        <f aca="false">Sens!I6016*(1+Sens!J6017)</f>
        <v>154.932702785465</v>
      </c>
      <c r="K6016" s="6" t="n">
        <f aca="false">Sens!J6016*(1+Sens!K6017)</f>
        <v>165.777991980448</v>
      </c>
    </row>
    <row r="6017" customFormat="false" ht="15" hidden="false" customHeight="false" outlineLevel="0" collapsed="false">
      <c r="A6017" s="1" t="s">
        <v>866</v>
      </c>
      <c r="B6017" s="0" t="s">
        <v>129</v>
      </c>
      <c r="E6017" s="7" t="n">
        <f aca="false">Sens!E6016/Sens!D6016-1</f>
        <v>0.135523564900544</v>
      </c>
      <c r="F6017" s="7" t="n">
        <f aca="false">Sens!$E$6017+(glt_m365b-Sens!$E$6017)*MIN(1,(Sens!F5972-base_fy)/n_conv)</f>
        <v>0.124602970750453</v>
      </c>
      <c r="G6017" s="7" t="n">
        <f aca="false">Sens!$E$6017+(glt_m365b-Sens!$E$6017)*MIN(1,(Sens!G5972-base_fy)/n_conv)</f>
        <v>0.113682376600363</v>
      </c>
      <c r="H6017" s="7" t="n">
        <f aca="false">Sens!$E$6017+(glt_m365b-Sens!$E$6017)*MIN(1,(Sens!H5972-base_fy)/n_conv)</f>
        <v>0.102761782450272</v>
      </c>
      <c r="I6017" s="7" t="n">
        <f aca="false">Sens!$E$6017+(glt_m365b-Sens!$E$6017)*MIN(1,(Sens!I5972-base_fy)/n_conv)</f>
        <v>0.0918411883001813</v>
      </c>
      <c r="J6017" s="7" t="n">
        <f aca="false">Sens!$E$6017+(glt_m365b-Sens!$E$6017)*MIN(1,(Sens!J5972-base_fy)/n_conv)</f>
        <v>0.0809205941500906</v>
      </c>
      <c r="K6017" s="7" t="n">
        <f aca="false">Sens!$E$6017+(glt_m365b-Sens!$E$6017)*MIN(1,(Sens!K5972-base_fy)/n_conv)</f>
        <v>0.07</v>
      </c>
    </row>
    <row r="6018" customFormat="false" ht="15" hidden="false" customHeight="false" outlineLevel="0" collapsed="false">
      <c r="A6018" s="0" t="s">
        <v>873</v>
      </c>
      <c r="B6018" s="0" t="s">
        <v>98</v>
      </c>
      <c r="D6018" s="6" t="n">
        <f aca="false">Sens!D6016+Sens!D6015</f>
        <v>84.605</v>
      </c>
      <c r="E6018" s="6" t="n">
        <f aca="false">Sens!E6016+Sens!E6015</f>
        <v>100.299</v>
      </c>
      <c r="F6018" s="6" t="n">
        <f aca="false">Sens!F6016+Sens!F6015</f>
        <v>120.39238776686</v>
      </c>
      <c r="G6018" s="6" t="n">
        <f aca="false">Sens!G6016+Sens!G6015</f>
        <v>141.544168448684</v>
      </c>
      <c r="H6018" s="6" t="n">
        <f aca="false">Sens!H6016+Sens!H6015</f>
        <v>162.777359388781</v>
      </c>
      <c r="I6018" s="6" t="n">
        <f aca="false">Sens!I6016+Sens!I6015</f>
        <v>181.584028071957</v>
      </c>
      <c r="J6018" s="6" t="n">
        <f aca="false">Sens!J6016+Sens!J6015</f>
        <v>197.682702785465</v>
      </c>
      <c r="K6018" s="6" t="n">
        <f aca="false">Sens!K6016+Sens!K6015</f>
        <v>213.027991980448</v>
      </c>
    </row>
    <row r="6019" customFormat="false" ht="15" hidden="false" customHeight="false" outlineLevel="0" collapsed="false">
      <c r="A6019" s="0" t="s">
        <v>874</v>
      </c>
      <c r="B6019" s="0" t="s">
        <v>98</v>
      </c>
      <c r="D6019" s="6" t="n">
        <f aca="false">Q!L8</f>
        <v>35.391</v>
      </c>
      <c r="E6019" s="6" t="n">
        <f aca="false">Q!M8</f>
        <v>37.285</v>
      </c>
      <c r="F6019" s="6" t="n">
        <f aca="false">Sens!E6019*(1+Sens!F6020)</f>
        <v>39.0720834331704</v>
      </c>
      <c r="G6019" s="6" t="n">
        <f aca="false">Sens!F6019*(1+Sens!G6020)</f>
        <v>40.726562953769</v>
      </c>
      <c r="H6019" s="6" t="n">
        <f aca="false">Sens!G6019*(1+Sens!H6020)</f>
        <v>42.2235987259198</v>
      </c>
      <c r="I6019" s="6" t="n">
        <f aca="false">Sens!H6019*(1+Sens!I6020)</f>
        <v>43.5397988077414</v>
      </c>
      <c r="J6019" s="6" t="n">
        <f aca="false">Sens!I6019*(1+Sens!J6020)</f>
        <v>44.653811225693</v>
      </c>
      <c r="K6019" s="6" t="n">
        <f aca="false">Sens!J6019*(1+Sens!K6020)</f>
        <v>45.5468874502068</v>
      </c>
    </row>
    <row r="6020" customFormat="false" ht="15" hidden="false" customHeight="false" outlineLevel="0" collapsed="false">
      <c r="A6020" s="1" t="s">
        <v>866</v>
      </c>
      <c r="B6020" s="0" t="s">
        <v>129</v>
      </c>
      <c r="E6020" s="7" t="n">
        <f aca="false">Sens!E6019/Sens!D6019-1</f>
        <v>0.0535164307309768</v>
      </c>
      <c r="F6020" s="7" t="n">
        <f aca="false">Sens!$E$6020+(glt_lic-Sens!$E$6020)*MIN(1,(Sens!F5972-base_fy)/n_conv)</f>
        <v>0.0479303589424807</v>
      </c>
      <c r="G6020" s="7" t="n">
        <f aca="false">Sens!$E$6020+(glt_lic-Sens!$E$6020)*MIN(1,(Sens!G5972-base_fy)/n_conv)</f>
        <v>0.0423442871539845</v>
      </c>
      <c r="H6020" s="7" t="n">
        <f aca="false">Sens!$E$6020+(glt_lic-Sens!$E$6020)*MIN(1,(Sens!H5972-base_fy)/n_conv)</f>
        <v>0.0367582153654884</v>
      </c>
      <c r="I6020" s="7" t="n">
        <f aca="false">Sens!$E$6020+(glt_lic-Sens!$E$6020)*MIN(1,(Sens!I5972-base_fy)/n_conv)</f>
        <v>0.0311721435769923</v>
      </c>
      <c r="J6020" s="7" t="n">
        <f aca="false">Sens!$E$6020+(glt_lic-Sens!$E$6020)*MIN(1,(Sens!J5972-base_fy)/n_conv)</f>
        <v>0.0255860717884961</v>
      </c>
      <c r="K6020" s="7" t="n">
        <f aca="false">Sens!$E$6020+(glt_lic-Sens!$E$6020)*MIN(1,(Sens!K5972-base_fy)/n_conv)</f>
        <v>0.02</v>
      </c>
    </row>
    <row r="6021" customFormat="false" ht="15" hidden="false" customHeight="false" outlineLevel="0" collapsed="false">
      <c r="A6021" s="0" t="s">
        <v>875</v>
      </c>
      <c r="B6021" s="0" t="s">
        <v>98</v>
      </c>
      <c r="D6021" s="6" t="n">
        <f aca="false">Q!L9</f>
        <v>18.417</v>
      </c>
      <c r="E6021" s="6" t="n">
        <f aca="false">Q!M9</f>
        <v>20.345</v>
      </c>
      <c r="F6021" s="6" t="n">
        <f aca="false">Sens!E6021*(1+Sens!F6022)</f>
        <v>22.3572203267814</v>
      </c>
      <c r="G6021" s="6" t="n">
        <f aca="false">Sens!F6021*(1+Sens!G6022)</f>
        <v>24.4392124437232</v>
      </c>
      <c r="H6021" s="6" t="n">
        <f aca="false">Sens!G6021*(1+Sens!H6022)</f>
        <v>26.5738052080665</v>
      </c>
      <c r="I6021" s="6" t="n">
        <f aca="false">Sens!H6021*(1+Sens!I6022)</f>
        <v>28.7412169166967</v>
      </c>
      <c r="J6021" s="6" t="n">
        <f aca="false">Sens!I6021*(1+Sens!J6022)</f>
        <v>30.9192545395413</v>
      </c>
      <c r="K6021" s="6" t="n">
        <f aca="false">Sens!J6021*(1+Sens!K6022)</f>
        <v>33.0836023573092</v>
      </c>
    </row>
    <row r="6022" customFormat="false" ht="15" hidden="false" customHeight="false" outlineLevel="0" collapsed="false">
      <c r="A6022" s="1" t="s">
        <v>866</v>
      </c>
      <c r="B6022" s="0" t="s">
        <v>129</v>
      </c>
      <c r="E6022" s="7" t="n">
        <f aca="false">Sens!E6021/Sens!D6021-1</f>
        <v>0.104685888038225</v>
      </c>
      <c r="F6022" s="7" t="n">
        <f aca="false">Sens!$E$6022+(glt_ind-Sens!$E$6022)*MIN(1,(Sens!F5972-base_fy)/n_conv)</f>
        <v>0.0989049066985211</v>
      </c>
      <c r="G6022" s="7" t="n">
        <f aca="false">Sens!$E$6022+(glt_ind-Sens!$E$6022)*MIN(1,(Sens!G5972-base_fy)/n_conv)</f>
        <v>0.0931239253588169</v>
      </c>
      <c r="H6022" s="7" t="n">
        <f aca="false">Sens!$E$6022+(glt_ind-Sens!$E$6022)*MIN(1,(Sens!H5972-base_fy)/n_conv)</f>
        <v>0.0873429440191127</v>
      </c>
      <c r="I6022" s="7" t="n">
        <f aca="false">Sens!$E$6022+(glt_ind-Sens!$E$6022)*MIN(1,(Sens!I5972-base_fy)/n_conv)</f>
        <v>0.0815619626794085</v>
      </c>
      <c r="J6022" s="7" t="n">
        <f aca="false">Sens!$E$6022+(glt_ind-Sens!$E$6022)*MIN(1,(Sens!J5972-base_fy)/n_conv)</f>
        <v>0.0757809813397042</v>
      </c>
      <c r="K6022" s="7" t="n">
        <f aca="false">Sens!$E$6022+(glt_ind-Sens!$E$6022)*MIN(1,(Sens!K5972-base_fy)/n_conv)</f>
        <v>0.07</v>
      </c>
    </row>
    <row r="6023" customFormat="false" ht="15" hidden="false" customHeight="false" outlineLevel="0" collapsed="false">
      <c r="A6023" s="0" t="s">
        <v>876</v>
      </c>
      <c r="B6023" s="0" t="s">
        <v>98</v>
      </c>
      <c r="D6023" s="6" t="n">
        <f aca="false">Q!L10</f>
        <v>7.76</v>
      </c>
      <c r="E6023" s="6" t="n">
        <f aca="false">Q!M10</f>
        <v>8.26</v>
      </c>
      <c r="F6023" s="6" t="n">
        <f aca="false">Sens!E6023*(1+Sens!F6024)</f>
        <v>8.79988041237113</v>
      </c>
      <c r="G6023" s="6" t="n">
        <f aca="false">Sens!F6023*(1+Sens!G6024)</f>
        <v>9.38321269125306</v>
      </c>
      <c r="H6023" s="6" t="n">
        <f aca="false">Sens!G6023*(1+Sens!H6024)</f>
        <v>10.0139193587476</v>
      </c>
      <c r="I6023" s="6" t="n">
        <f aca="false">Sens!H6023*(1+Sens!I6024)</f>
        <v>10.6963111830911</v>
      </c>
      <c r="J6023" s="6" t="n">
        <f aca="false">Sens!I6023*(1+Sens!J6024)</f>
        <v>11.4351285534696</v>
      </c>
      <c r="K6023" s="6" t="n">
        <f aca="false">Sens!J6023*(1+Sens!K6024)</f>
        <v>12.2355875522124</v>
      </c>
    </row>
    <row r="6024" customFormat="false" ht="15" hidden="false" customHeight="false" outlineLevel="0" collapsed="false">
      <c r="A6024" s="1" t="s">
        <v>866</v>
      </c>
      <c r="B6024" s="0" t="s">
        <v>129</v>
      </c>
      <c r="E6024" s="7" t="n">
        <f aca="false">Sens!E6023/Sens!D6023-1</f>
        <v>0.0644329896907216</v>
      </c>
      <c r="F6024" s="7" t="n">
        <f aca="false">Sens!$E$6024+(glt_fro-Sens!$E$6024)*MIN(1,(Sens!F5972-base_fy)/n_conv)</f>
        <v>0.065360824742268</v>
      </c>
      <c r="G6024" s="7" t="n">
        <f aca="false">Sens!$E$6024+(glt_fro-Sens!$E$6024)*MIN(1,(Sens!G5972-base_fy)/n_conv)</f>
        <v>0.0662886597938144</v>
      </c>
      <c r="H6024" s="7" t="n">
        <f aca="false">Sens!$E$6024+(glt_fro-Sens!$E$6024)*MIN(1,(Sens!H5972-base_fy)/n_conv)</f>
        <v>0.0672164948453608</v>
      </c>
      <c r="I6024" s="7" t="n">
        <f aca="false">Sens!$E$6024+(glt_fro-Sens!$E$6024)*MIN(1,(Sens!I5972-base_fy)/n_conv)</f>
        <v>0.0681443298969072</v>
      </c>
      <c r="J6024" s="7" t="n">
        <f aca="false">Sens!$E$6024+(glt_fro-Sens!$E$6024)*MIN(1,(Sens!J5972-base_fy)/n_conv)</f>
        <v>0.0690721649484536</v>
      </c>
      <c r="K6024" s="7" t="n">
        <f aca="false">Sens!$E$6024+(glt_fro-Sens!$E$6024)*MIN(1,(Sens!K5972-base_fy)/n_conv)</f>
        <v>0.07</v>
      </c>
    </row>
    <row r="6025" customFormat="false" ht="15" hidden="false" customHeight="false" outlineLevel="0" collapsed="false">
      <c r="A6025" s="0" t="s">
        <v>704</v>
      </c>
      <c r="B6025" s="0" t="s">
        <v>98</v>
      </c>
      <c r="D6025" s="6" t="n">
        <f aca="false">Sens!D6013+Sens!D6018+Sens!D6019+Sens!D6021+Sens!D6023</f>
        <v>218.783</v>
      </c>
      <c r="E6025" s="6" t="n">
        <f aca="false">Sens!E6013+Sens!E6018+Sens!E6019+Sens!E6021+Sens!E6023</f>
        <v>268.127</v>
      </c>
      <c r="F6025" s="6" t="n">
        <f aca="false">Sens!F6013+Sens!F6018+Sens!F6019+Sens!F6021+Sens!F6023</f>
        <v>335.765528251508</v>
      </c>
      <c r="G6025" s="6" t="n">
        <f aca="false">Sens!G6013+Sens!G6018+Sens!G6019+Sens!G6021+Sens!G6023</f>
        <v>412.572123059793</v>
      </c>
      <c r="H6025" s="6" t="n">
        <f aca="false">Sens!H6013+Sens!H6018+Sens!H6019+Sens!H6021+Sens!H6023</f>
        <v>490.696296004025</v>
      </c>
      <c r="I6025" s="6" t="n">
        <f aca="false">Sens!I6013+Sens!I6018+Sens!I6019+Sens!I6021+Sens!I6023</f>
        <v>561.653517626826</v>
      </c>
      <c r="J6025" s="6" t="n">
        <f aca="false">Sens!J6013+Sens!J6018+Sens!J6019+Sens!J6021+Sens!J6023</f>
        <v>618.70432414427</v>
      </c>
      <c r="K6025" s="6" t="n">
        <f aca="false">Sens!K6013+Sens!K6018+Sens!K6019+Sens!K6021+Sens!K6023</f>
        <v>663.991547813062</v>
      </c>
    </row>
    <row r="6026" customFormat="false" ht="15" hidden="false" customHeight="false" outlineLevel="0" collapsed="false">
      <c r="A6026" s="0" t="s">
        <v>877</v>
      </c>
      <c r="B6026" s="0" t="s">
        <v>98</v>
      </c>
      <c r="D6026" s="6" t="n">
        <f aca="false">Q!L13</f>
        <v>22.171</v>
      </c>
      <c r="E6026" s="6" t="n">
        <f aca="false">Q!M13</f>
        <v>24.835</v>
      </c>
      <c r="F6026" s="6" t="n">
        <f aca="false">Sens!E6026*(1+Sens!F6027)</f>
        <v>27.6114901218559</v>
      </c>
      <c r="G6026" s="6" t="n">
        <f aca="false">Sens!F6026*(1+Sens!G6027)</f>
        <v>30.4675667338515</v>
      </c>
      <c r="H6026" s="6" t="n">
        <f aca="false">Sens!G6026*(1+Sens!H6027)</f>
        <v>33.3643766955789</v>
      </c>
      <c r="I6026" s="6" t="n">
        <f aca="false">Sens!H6026*(1+Sens!I6027)</f>
        <v>36.2577016533691</v>
      </c>
      <c r="J6026" s="6" t="n">
        <f aca="false">Sens!I6026*(1+Sens!J6027)</f>
        <v>39.0988367952171</v>
      </c>
      <c r="K6026" s="6" t="n">
        <f aca="false">Sens!J6026*(1+Sens!K6027)</f>
        <v>41.8357553708823</v>
      </c>
    </row>
    <row r="6027" customFormat="false" ht="15" hidden="false" customHeight="false" outlineLevel="0" collapsed="false">
      <c r="A6027" s="1" t="s">
        <v>866</v>
      </c>
      <c r="B6027" s="0" t="s">
        <v>129</v>
      </c>
      <c r="E6027" s="7" t="n">
        <f aca="false">Sens!E6026/Sens!D6026-1</f>
        <v>0.120156961796942</v>
      </c>
      <c r="F6027" s="7" t="n">
        <f aca="false">Sens!$E$6027+(glt_srch-Sens!$E$6027)*MIN(1,(Sens!F5972-base_fy)/n_conv)</f>
        <v>0.111797468164118</v>
      </c>
      <c r="G6027" s="7" t="n">
        <f aca="false">Sens!$E$6027+(glt_srch-Sens!$E$6027)*MIN(1,(Sens!G5972-base_fy)/n_conv)</f>
        <v>0.103437974531295</v>
      </c>
      <c r="H6027" s="7" t="n">
        <f aca="false">Sens!$E$6027+(glt_srch-Sens!$E$6027)*MIN(1,(Sens!H5972-base_fy)/n_conv)</f>
        <v>0.095078480898471</v>
      </c>
      <c r="I6027" s="7" t="n">
        <f aca="false">Sens!$E$6027+(glt_srch-Sens!$E$6027)*MIN(1,(Sens!I5972-base_fy)/n_conv)</f>
        <v>0.0867189872656474</v>
      </c>
      <c r="J6027" s="7" t="n">
        <f aca="false">Sens!$E$6027+(glt_srch-Sens!$E$6027)*MIN(1,(Sens!J5972-base_fy)/n_conv)</f>
        <v>0.0783594936328237</v>
      </c>
      <c r="K6027" s="7" t="n">
        <f aca="false">Sens!$E$6027+(glt_srch-Sens!$E$6027)*MIN(1,(Sens!K5972-base_fy)/n_conv)</f>
        <v>0.07</v>
      </c>
    </row>
    <row r="6028" customFormat="false" ht="15" hidden="false" customHeight="false" outlineLevel="0" collapsed="false">
      <c r="A6028" s="0" t="s">
        <v>878</v>
      </c>
      <c r="B6028" s="0" t="s">
        <v>98</v>
      </c>
      <c r="D6028" s="6" t="n">
        <f aca="false">Q!L14</f>
        <v>23.455</v>
      </c>
      <c r="E6028" s="6" t="n">
        <f aca="false">Q!M14</f>
        <v>21.79</v>
      </c>
      <c r="F6028" s="6" t="n">
        <f aca="false">Sens!E6028*(1+Sens!F6029)</f>
        <v>20.5736277908051</v>
      </c>
      <c r="G6028" s="6" t="n">
        <f aca="false">Sens!F6028*(1+Sens!G6029)</f>
        <v>19.7371452817919</v>
      </c>
      <c r="H6028" s="6" t="n">
        <f aca="false">Sens!G6028*(1+Sens!H6029)</f>
        <v>19.2339764043138</v>
      </c>
      <c r="I6028" s="6" t="n">
        <f aca="false">Sens!H6028*(1+Sens!I6029)</f>
        <v>19.0353086852681</v>
      </c>
      <c r="J6028" s="6" t="n">
        <f aca="false">Sens!I6028*(1+Sens!J6029)</f>
        <v>19.1273539319129</v>
      </c>
      <c r="K6028" s="6" t="n">
        <f aca="false">Sens!J6028*(1+Sens!K6029)</f>
        <v>19.5099010105511</v>
      </c>
    </row>
    <row r="6029" customFormat="false" ht="15" hidden="false" customHeight="false" outlineLevel="0" collapsed="false">
      <c r="A6029" s="1" t="s">
        <v>866</v>
      </c>
      <c r="B6029" s="0" t="s">
        <v>129</v>
      </c>
      <c r="E6029" s="7" t="n">
        <f aca="false">Sens!E6028/Sens!D6028-1</f>
        <v>-0.0709869963760392</v>
      </c>
      <c r="F6029" s="7" t="n">
        <f aca="false">Sens!$E$6029+(glt_xbox-Sens!$E$6029)*MIN(1,(Sens!F5972-base_fy)/n_conv)</f>
        <v>-0.0558224969800327</v>
      </c>
      <c r="G6029" s="7" t="n">
        <f aca="false">Sens!$E$6029+(glt_xbox-Sens!$E$6029)*MIN(1,(Sens!G5972-base_fy)/n_conv)</f>
        <v>-0.0406579975840262</v>
      </c>
      <c r="H6029" s="7" t="n">
        <f aca="false">Sens!$E$6029+(glt_xbox-Sens!$E$6029)*MIN(1,(Sens!H5972-base_fy)/n_conv)</f>
        <v>-0.0254934981880196</v>
      </c>
      <c r="I6029" s="7" t="n">
        <f aca="false">Sens!$E$6029+(glt_xbox-Sens!$E$6029)*MIN(1,(Sens!I5972-base_fy)/n_conv)</f>
        <v>-0.0103289987920131</v>
      </c>
      <c r="J6029" s="7" t="n">
        <f aca="false">Sens!$E$6029+(glt_xbox-Sens!$E$6029)*MIN(1,(Sens!J5972-base_fy)/n_conv)</f>
        <v>0.00483550060399347</v>
      </c>
      <c r="K6029" s="7" t="n">
        <f aca="false">Sens!$E$6029+(glt_xbox-Sens!$E$6029)*MIN(1,(Sens!K5972-base_fy)/n_conv)</f>
        <v>0.02</v>
      </c>
    </row>
    <row r="6030" customFormat="false" ht="15" hidden="false" customHeight="false" outlineLevel="0" collapsed="false">
      <c r="A6030" s="0" t="s">
        <v>879</v>
      </c>
      <c r="B6030" s="0" t="s">
        <v>98</v>
      </c>
      <c r="D6030" s="6" t="n">
        <f aca="false">Q!L15</f>
        <v>17.315</v>
      </c>
      <c r="E6030" s="6" t="n">
        <f aca="false">Q!M15</f>
        <v>17.087</v>
      </c>
      <c r="F6030" s="6" t="n">
        <f aca="false">Sens!E6030*(1+Sens!F6031)</f>
        <v>16.9564585436519</v>
      </c>
      <c r="G6030" s="6" t="n">
        <f aca="false">Sens!F6030*(1+Sens!G6031)</f>
        <v>16.9206490624268</v>
      </c>
      <c r="H6030" s="6" t="n">
        <f aca="false">Sens!G6030*(1+Sens!H6031)</f>
        <v>16.9784519149849</v>
      </c>
      <c r="I6030" s="6" t="n">
        <f aca="false">Sens!H6030*(1+Sens!I6031)</f>
        <v>17.1303084701817</v>
      </c>
      <c r="J6030" s="6" t="n">
        <f aca="false">Sens!I6030*(1+Sens!J6031)</f>
        <v>17.3782189407267</v>
      </c>
      <c r="K6030" s="6" t="n">
        <f aca="false">Sens!J6030*(1+Sens!K6031)</f>
        <v>17.7257833195413</v>
      </c>
    </row>
    <row r="6031" customFormat="false" ht="15" hidden="false" customHeight="false" outlineLevel="0" collapsed="false">
      <c r="A6031" s="1" t="s">
        <v>866</v>
      </c>
      <c r="B6031" s="0" t="s">
        <v>129</v>
      </c>
      <c r="E6031" s="7" t="n">
        <f aca="false">Sens!E6030/Sens!D6030-1</f>
        <v>-0.0131677736066995</v>
      </c>
      <c r="F6031" s="7" t="n">
        <f aca="false">Sens!$E$6031+(glt_win-Sens!$E$6031)*MIN(1,(Sens!F5972-base_fy)/n_conv)</f>
        <v>-0.00763981133891627</v>
      </c>
      <c r="G6031" s="7" t="n">
        <f aca="false">Sens!$E$6031+(glt_win-Sens!$E$6031)*MIN(1,(Sens!G5972-base_fy)/n_conv)</f>
        <v>-0.00211184907113301</v>
      </c>
      <c r="H6031" s="7" t="n">
        <f aca="false">Sens!$E$6031+(glt_win-Sens!$E$6031)*MIN(1,(Sens!H5972-base_fy)/n_conv)</f>
        <v>0.00341611319665024</v>
      </c>
      <c r="I6031" s="7" t="n">
        <f aca="false">Sens!$E$6031+(glt_win-Sens!$E$6031)*MIN(1,(Sens!I5972-base_fy)/n_conv)</f>
        <v>0.00894407546443349</v>
      </c>
      <c r="J6031" s="7" t="n">
        <f aca="false">Sens!$E$6031+(glt_win-Sens!$E$6031)*MIN(1,(Sens!J5972-base_fy)/n_conv)</f>
        <v>0.0144720377322168</v>
      </c>
      <c r="K6031" s="7" t="n">
        <f aca="false">Sens!$E$6031+(glt_win-Sens!$E$6031)*MIN(1,(Sens!K5972-base_fy)/n_conv)</f>
        <v>0.02</v>
      </c>
    </row>
    <row r="6032" customFormat="false" ht="15" hidden="false" customHeight="false" outlineLevel="0" collapsed="false">
      <c r="A6032" s="0" t="s">
        <v>718</v>
      </c>
      <c r="B6032" s="0" t="s">
        <v>98</v>
      </c>
      <c r="D6032" s="6" t="n">
        <f aca="false">Sens!D6026+Sens!D6028+Sens!D6030</f>
        <v>62.941</v>
      </c>
      <c r="E6032" s="6" t="n">
        <f aca="false">Sens!E6026+Sens!E6028+Sens!E6030</f>
        <v>63.712</v>
      </c>
      <c r="F6032" s="6" t="n">
        <f aca="false">Sens!F6026+Sens!F6028+Sens!F6030</f>
        <v>65.1415764563129</v>
      </c>
      <c r="G6032" s="6" t="n">
        <f aca="false">Sens!G6026+Sens!G6028+Sens!G6030</f>
        <v>67.1253610780702</v>
      </c>
      <c r="H6032" s="6" t="n">
        <f aca="false">Sens!H6026+Sens!H6028+Sens!H6030</f>
        <v>69.5768050148776</v>
      </c>
      <c r="I6032" s="6" t="n">
        <f aca="false">Sens!I6026+Sens!I6028+Sens!I6030</f>
        <v>72.4233188088189</v>
      </c>
      <c r="J6032" s="6" t="n">
        <f aca="false">Sens!J6026+Sens!J6028+Sens!J6030</f>
        <v>75.6044096678567</v>
      </c>
      <c r="K6032" s="6" t="n">
        <f aca="false">Sens!K6026+Sens!K6028+Sens!K6030</f>
        <v>79.0714397009747</v>
      </c>
    </row>
    <row r="6033" customFormat="false" ht="15" hidden="false" customHeight="false" outlineLevel="0" collapsed="false">
      <c r="A6033" s="1" t="s">
        <v>880</v>
      </c>
      <c r="B6033" s="0" t="s">
        <v>98</v>
      </c>
      <c r="D6033" s="6" t="n">
        <f aca="false">Sens!D6025+Sens!D6032</f>
        <v>281.724</v>
      </c>
      <c r="E6033" s="6" t="n">
        <f aca="false">Sens!E6025+Sens!E6032</f>
        <v>331.839</v>
      </c>
      <c r="F6033" s="6" t="n">
        <f aca="false">Sens!F6025+Sens!F6032</f>
        <v>400.907104707821</v>
      </c>
      <c r="G6033" s="6" t="n">
        <f aca="false">Sens!G6025+Sens!G6032</f>
        <v>479.697484137863</v>
      </c>
      <c r="H6033" s="6" t="n">
        <f aca="false">Sens!H6025+Sens!H6032</f>
        <v>560.273101018903</v>
      </c>
      <c r="I6033" s="6" t="n">
        <f aca="false">Sens!I6025+Sens!I6032</f>
        <v>634.076836435645</v>
      </c>
      <c r="J6033" s="6" t="n">
        <f aca="false">Sens!J6025+Sens!J6032</f>
        <v>694.308733812127</v>
      </c>
      <c r="K6033" s="6" t="n">
        <f aca="false">Sens!K6025+Sens!K6032</f>
        <v>743.062987514037</v>
      </c>
    </row>
    <row r="6034" customFormat="false" ht="15" hidden="false" customHeight="false" outlineLevel="0" collapsed="false">
      <c r="A6034" s="23" t="s">
        <v>881</v>
      </c>
      <c r="B6034" s="30" t="s">
        <v>98</v>
      </c>
      <c r="C6034" s="30"/>
      <c r="D6034" s="24" t="n">
        <f aca="false">(Sens!D6013+Sens!D6018+Sens!D6019+Sens!D6021+Sens!D6023-Sens!D6025)+(Sens!D6026+Sens!D6028+Sens!D6030-Sens!D6032)+(Sens!D6025-Q!L5)+(Sens!D6032-Q!L12)+(Sens!D6013-Q!L6)+(Sens!D6018-Q!L7)</f>
        <v>0</v>
      </c>
      <c r="E6034" s="24" t="n">
        <f aca="false">(Sens!E6013+Sens!E6018+Sens!E6019+Sens!E6021+Sens!E6023-Sens!E6025)+(Sens!E6026+Sens!E6028+Sens!E6030-Sens!E6032)+(Sens!E6025-Q!M5)+(Sens!E6032-Q!M12)+(Sens!E6013-Q!M6)+(Sens!E6018-Q!M7)</f>
        <v>0</v>
      </c>
      <c r="F6034" s="24" t="n">
        <f aca="false">(Sens!F6013+Sens!F6018+Sens!F6019+Sens!F6021+Sens!F6023-Sens!F6025)+(Sens!F6026+Sens!F6028+Sens!F6030-Sens!F6032)</f>
        <v>0</v>
      </c>
      <c r="G6034" s="24" t="n">
        <f aca="false">(Sens!G6013+Sens!G6018+Sens!G6019+Sens!G6021+Sens!G6023-Sens!G6025)+(Sens!G6026+Sens!G6028+Sens!G6030-Sens!G6032)</f>
        <v>0</v>
      </c>
      <c r="H6034" s="24" t="n">
        <f aca="false">(Sens!H6013+Sens!H6018+Sens!H6019+Sens!H6021+Sens!H6023-Sens!H6025)+(Sens!H6026+Sens!H6028+Sens!H6030-Sens!H6032)</f>
        <v>0</v>
      </c>
      <c r="I6034" s="24" t="n">
        <f aca="false">(Sens!I6013+Sens!I6018+Sens!I6019+Sens!I6021+Sens!I6023-Sens!I6025)+(Sens!I6026+Sens!I6028+Sens!I6030-Sens!I6032)</f>
        <v>0</v>
      </c>
      <c r="J6034" s="24" t="n">
        <f aca="false">(Sens!J6013+Sens!J6018+Sens!J6019+Sens!J6021+Sens!J6023-Sens!J6025)+(Sens!J6026+Sens!J6028+Sens!J6030-Sens!J6032)</f>
        <v>0</v>
      </c>
      <c r="K6034" s="24" t="n">
        <f aca="false">(Sens!K6013+Sens!K6018+Sens!K6019+Sens!K6021+Sens!K6023-Sens!K6025)+(Sens!K6026+Sens!K6028+Sens!K6030-Sens!K6032)</f>
        <v>0</v>
      </c>
    </row>
    <row r="6035" customFormat="false" ht="17.15" hidden="false" customHeight="false" outlineLevel="0" collapsed="false">
      <c r="A6035" s="3" t="s">
        <v>1391</v>
      </c>
    </row>
    <row r="6036" customFormat="false" ht="15" hidden="false" customHeight="false" outlineLevel="0" collapsed="false">
      <c r="A6036" s="4" t="s">
        <v>43</v>
      </c>
      <c r="B6036" s="4" t="s">
        <v>65</v>
      </c>
      <c r="C6036" s="20" t="s">
        <v>788</v>
      </c>
      <c r="D6036" s="20" t="s">
        <v>789</v>
      </c>
      <c r="E6036" s="20" t="s">
        <v>790</v>
      </c>
      <c r="F6036" s="20" t="s">
        <v>791</v>
      </c>
      <c r="G6036" s="20" t="s">
        <v>792</v>
      </c>
      <c r="H6036" s="20" t="s">
        <v>793</v>
      </c>
      <c r="I6036" s="20" t="s">
        <v>794</v>
      </c>
      <c r="J6036" s="20" t="s">
        <v>795</v>
      </c>
      <c r="K6036" s="20" t="s">
        <v>796</v>
      </c>
      <c r="L6036" s="4" t="s">
        <v>47</v>
      </c>
    </row>
    <row r="6037" customFormat="false" ht="15" hidden="false" customHeight="false" outlineLevel="0" collapsed="false">
      <c r="A6037" s="0" t="s">
        <v>867</v>
      </c>
      <c r="B6037" s="0" t="s">
        <v>98</v>
      </c>
      <c r="D6037" s="6" t="n">
        <f aca="false">Sens!D6013</f>
        <v>72.61</v>
      </c>
      <c r="E6037" s="6" t="n">
        <f aca="false">Sens!E6013</f>
        <v>101.938</v>
      </c>
      <c r="F6037" s="6" t="n">
        <f aca="false">Sens!F6013</f>
        <v>145.143956312325</v>
      </c>
      <c r="G6037" s="6" t="n">
        <f aca="false">Sens!G6013</f>
        <v>196.478966522364</v>
      </c>
      <c r="H6037" s="6" t="n">
        <f aca="false">Sens!H6013</f>
        <v>249.10761332251</v>
      </c>
      <c r="I6037" s="6" t="n">
        <f aca="false">Sens!I6013</f>
        <v>297.09216264734</v>
      </c>
      <c r="J6037" s="6" t="n">
        <f aca="false">Sens!J6013</f>
        <v>334.013427040101</v>
      </c>
      <c r="K6037" s="6" t="n">
        <f aca="false">Sens!K6013</f>
        <v>360.097478472886</v>
      </c>
    </row>
    <row r="6038" customFormat="false" ht="17.15" hidden="false" customHeight="false" outlineLevel="0" collapsed="false">
      <c r="A6038" s="0" t="s">
        <v>864</v>
      </c>
      <c r="B6038" s="0" t="s">
        <v>98</v>
      </c>
      <c r="D6038" s="6" t="n">
        <f aca="false">Sens!D6010</f>
        <v>12.9359794422418</v>
      </c>
      <c r="E6038" s="6" t="n">
        <f aca="false">Sens!E6010</f>
        <v>27.8095064661409</v>
      </c>
      <c r="F6038" s="6" t="n">
        <f aca="false">Sens!F6010</f>
        <v>55.0640065749585</v>
      </c>
      <c r="G6038" s="6" t="n">
        <f aca="false">Sens!G6010</f>
        <v>89.4505413190538</v>
      </c>
      <c r="H6038" s="6" t="n">
        <f aca="false">Sens!H6010</f>
        <v>124.835630736874</v>
      </c>
      <c r="I6038" s="6" t="n">
        <f aca="false">Sens!I6010</f>
        <v>156.158460265485</v>
      </c>
      <c r="J6038" s="6" t="n">
        <f aca="false">Sens!J6010</f>
        <v>177.99455972577</v>
      </c>
      <c r="K6038" s="6" t="n">
        <f aca="false">Sens!K6010</f>
        <v>191.597101773408</v>
      </c>
    </row>
    <row r="6039" customFormat="false" ht="17.15" hidden="false" customHeight="false" outlineLevel="0" collapsed="false">
      <c r="A6039" s="0" t="s">
        <v>892</v>
      </c>
      <c r="B6039" s="0" t="s">
        <v>98</v>
      </c>
      <c r="D6039" s="6" t="n">
        <f aca="false">Sens!D6011</f>
        <v>59.6740205577583</v>
      </c>
      <c r="E6039" s="6" t="n">
        <f aca="false">Sens!E6011</f>
        <v>74.1284935338591</v>
      </c>
      <c r="F6039" s="6" t="n">
        <f aca="false">Sens!F6011</f>
        <v>90.0799497373663</v>
      </c>
      <c r="G6039" s="6" t="n">
        <f aca="false">Sens!G6011</f>
        <v>107.02842520331</v>
      </c>
      <c r="H6039" s="6" t="n">
        <f aca="false">Sens!H6011</f>
        <v>124.271982585636</v>
      </c>
      <c r="I6039" s="6" t="n">
        <f aca="false">Sens!I6011</f>
        <v>140.933702381855</v>
      </c>
      <c r="J6039" s="6" t="n">
        <f aca="false">Sens!J6011</f>
        <v>156.018867314332</v>
      </c>
      <c r="K6039" s="6" t="n">
        <f aca="false">Sens!K6011</f>
        <v>168.500376699478</v>
      </c>
    </row>
    <row r="6040" customFormat="false" ht="15" hidden="false" customHeight="false" outlineLevel="0" collapsed="false">
      <c r="A6040" s="0" t="s">
        <v>873</v>
      </c>
      <c r="B6040" s="0" t="s">
        <v>98</v>
      </c>
      <c r="D6040" s="6" t="n">
        <f aca="false">Sens!D6018</f>
        <v>84.605</v>
      </c>
      <c r="E6040" s="6" t="n">
        <f aca="false">Sens!E6018</f>
        <v>100.299</v>
      </c>
      <c r="F6040" s="6" t="n">
        <f aca="false">Sens!F6018</f>
        <v>120.39238776686</v>
      </c>
      <c r="G6040" s="6" t="n">
        <f aca="false">Sens!G6018</f>
        <v>141.544168448684</v>
      </c>
      <c r="H6040" s="6" t="n">
        <f aca="false">Sens!H6018</f>
        <v>162.777359388781</v>
      </c>
      <c r="I6040" s="6" t="n">
        <f aca="false">Sens!I6018</f>
        <v>181.584028071957</v>
      </c>
      <c r="J6040" s="6" t="n">
        <f aca="false">Sens!J6018</f>
        <v>197.682702785465</v>
      </c>
      <c r="K6040" s="6" t="n">
        <f aca="false">Sens!K6018</f>
        <v>213.027991980448</v>
      </c>
    </row>
    <row r="6041" customFormat="false" ht="17.15" hidden="false" customHeight="false" outlineLevel="0" collapsed="false">
      <c r="A6041" s="0" t="s">
        <v>893</v>
      </c>
      <c r="B6041" s="0" t="s">
        <v>98</v>
      </c>
      <c r="D6041" s="6" t="n">
        <f aca="false">Sens!D6016</f>
        <v>83.705</v>
      </c>
      <c r="E6041" s="6" t="n">
        <f aca="false">Sens!E6016</f>
        <v>95.049</v>
      </c>
      <c r="F6041" s="6" t="n">
        <f aca="false">Sens!F6016</f>
        <v>106.89238776686</v>
      </c>
      <c r="G6041" s="6" t="n">
        <f aca="false">Sens!G6016</f>
        <v>119.044168448684</v>
      </c>
      <c r="H6041" s="6" t="n">
        <f aca="false">Sens!H6016</f>
        <v>131.277359388781</v>
      </c>
      <c r="I6041" s="6" t="n">
        <f aca="false">Sens!I6016</f>
        <v>143.334028071957</v>
      </c>
      <c r="J6041" s="6" t="n">
        <f aca="false">Sens!J6016</f>
        <v>154.932702785465</v>
      </c>
      <c r="K6041" s="6" t="n">
        <f aca="false">Sens!K6016</f>
        <v>165.777991980448</v>
      </c>
    </row>
    <row r="6042" customFormat="false" ht="17.15" hidden="false" customHeight="false" outlineLevel="0" collapsed="false">
      <c r="A6042" s="0" t="s">
        <v>894</v>
      </c>
      <c r="B6042" s="0" t="s">
        <v>98</v>
      </c>
      <c r="D6042" s="6" t="n">
        <f aca="false">Sens!D6015</f>
        <v>0.9</v>
      </c>
      <c r="E6042" s="6" t="n">
        <f aca="false">Sens!E6015</f>
        <v>5.25</v>
      </c>
      <c r="F6042" s="6" t="n">
        <f aca="false">Sens!F6015</f>
        <v>13.5</v>
      </c>
      <c r="G6042" s="6" t="n">
        <f aca="false">Sens!G6015</f>
        <v>22.5</v>
      </c>
      <c r="H6042" s="6" t="n">
        <f aca="false">Sens!H6015</f>
        <v>31.5</v>
      </c>
      <c r="I6042" s="6" t="n">
        <f aca="false">Sens!I6015</f>
        <v>38.25</v>
      </c>
      <c r="J6042" s="6" t="n">
        <f aca="false">Sens!J6015</f>
        <v>42.75</v>
      </c>
      <c r="K6042" s="6" t="n">
        <f aca="false">Sens!K6015</f>
        <v>47.25</v>
      </c>
    </row>
    <row r="6043" customFormat="false" ht="15" hidden="false" customHeight="false" outlineLevel="0" collapsed="false">
      <c r="A6043" s="0" t="s">
        <v>874</v>
      </c>
      <c r="B6043" s="0" t="s">
        <v>98</v>
      </c>
      <c r="D6043" s="6" t="n">
        <f aca="false">Sens!D6019</f>
        <v>35.391</v>
      </c>
      <c r="E6043" s="6" t="n">
        <f aca="false">Sens!E6019</f>
        <v>37.285</v>
      </c>
      <c r="F6043" s="6" t="n">
        <f aca="false">Sens!F6019</f>
        <v>39.0720834331704</v>
      </c>
      <c r="G6043" s="6" t="n">
        <f aca="false">Sens!G6019</f>
        <v>40.726562953769</v>
      </c>
      <c r="H6043" s="6" t="n">
        <f aca="false">Sens!H6019</f>
        <v>42.2235987259198</v>
      </c>
      <c r="I6043" s="6" t="n">
        <f aca="false">Sens!I6019</f>
        <v>43.5397988077414</v>
      </c>
      <c r="J6043" s="6" t="n">
        <f aca="false">Sens!J6019</f>
        <v>44.653811225693</v>
      </c>
      <c r="K6043" s="6" t="n">
        <f aca="false">Sens!K6019</f>
        <v>45.5468874502068</v>
      </c>
    </row>
    <row r="6044" customFormat="false" ht="15" hidden="false" customHeight="false" outlineLevel="0" collapsed="false">
      <c r="A6044" s="0" t="s">
        <v>875</v>
      </c>
      <c r="B6044" s="0" t="s">
        <v>98</v>
      </c>
      <c r="D6044" s="6" t="n">
        <f aca="false">Sens!D6021</f>
        <v>18.417</v>
      </c>
      <c r="E6044" s="6" t="n">
        <f aca="false">Sens!E6021</f>
        <v>20.345</v>
      </c>
      <c r="F6044" s="6" t="n">
        <f aca="false">Sens!F6021</f>
        <v>22.3572203267814</v>
      </c>
      <c r="G6044" s="6" t="n">
        <f aca="false">Sens!G6021</f>
        <v>24.4392124437232</v>
      </c>
      <c r="H6044" s="6" t="n">
        <f aca="false">Sens!H6021</f>
        <v>26.5738052080665</v>
      </c>
      <c r="I6044" s="6" t="n">
        <f aca="false">Sens!I6021</f>
        <v>28.7412169166967</v>
      </c>
      <c r="J6044" s="6" t="n">
        <f aca="false">Sens!J6021</f>
        <v>30.9192545395413</v>
      </c>
      <c r="K6044" s="6" t="n">
        <f aca="false">Sens!K6021</f>
        <v>33.0836023573092</v>
      </c>
    </row>
    <row r="6045" customFormat="false" ht="15" hidden="false" customHeight="false" outlineLevel="0" collapsed="false">
      <c r="A6045" s="0" t="s">
        <v>876</v>
      </c>
      <c r="B6045" s="0" t="s">
        <v>98</v>
      </c>
      <c r="D6045" s="6" t="n">
        <f aca="false">Sens!D6023</f>
        <v>7.76</v>
      </c>
      <c r="E6045" s="6" t="n">
        <f aca="false">Sens!E6023</f>
        <v>8.26</v>
      </c>
      <c r="F6045" s="6" t="n">
        <f aca="false">Sens!F6023</f>
        <v>8.79988041237113</v>
      </c>
      <c r="G6045" s="6" t="n">
        <f aca="false">Sens!G6023</f>
        <v>9.38321269125306</v>
      </c>
      <c r="H6045" s="6" t="n">
        <f aca="false">Sens!H6023</f>
        <v>10.0139193587476</v>
      </c>
      <c r="I6045" s="6" t="n">
        <f aca="false">Sens!I6023</f>
        <v>10.6963111830911</v>
      </c>
      <c r="J6045" s="6" t="n">
        <f aca="false">Sens!J6023</f>
        <v>11.4351285534696</v>
      </c>
      <c r="K6045" s="6" t="n">
        <f aca="false">Sens!K6023</f>
        <v>12.2355875522124</v>
      </c>
    </row>
    <row r="6046" customFormat="false" ht="15" hidden="false" customHeight="false" outlineLevel="0" collapsed="false">
      <c r="A6046" s="0" t="s">
        <v>704</v>
      </c>
      <c r="B6046" s="0" t="s">
        <v>98</v>
      </c>
      <c r="D6046" s="6" t="n">
        <f aca="false">Sens!D6025</f>
        <v>218.783</v>
      </c>
      <c r="E6046" s="6" t="n">
        <f aca="false">Sens!E6025</f>
        <v>268.127</v>
      </c>
      <c r="F6046" s="6" t="n">
        <f aca="false">Sens!F6025</f>
        <v>335.765528251508</v>
      </c>
      <c r="G6046" s="6" t="n">
        <f aca="false">Sens!G6025</f>
        <v>412.572123059793</v>
      </c>
      <c r="H6046" s="6" t="n">
        <f aca="false">Sens!H6025</f>
        <v>490.696296004025</v>
      </c>
      <c r="I6046" s="6" t="n">
        <f aca="false">Sens!I6025</f>
        <v>561.653517626826</v>
      </c>
      <c r="J6046" s="6" t="n">
        <f aca="false">Sens!J6025</f>
        <v>618.70432414427</v>
      </c>
      <c r="K6046" s="6" t="n">
        <f aca="false">Sens!K6025</f>
        <v>663.991547813062</v>
      </c>
    </row>
    <row r="6047" customFormat="false" ht="15" hidden="false" customHeight="false" outlineLevel="0" collapsed="false">
      <c r="A6047" s="0" t="s">
        <v>877</v>
      </c>
      <c r="B6047" s="0" t="s">
        <v>98</v>
      </c>
      <c r="D6047" s="6" t="n">
        <f aca="false">Sens!D6026</f>
        <v>22.171</v>
      </c>
      <c r="E6047" s="6" t="n">
        <f aca="false">Sens!E6026</f>
        <v>24.835</v>
      </c>
      <c r="F6047" s="6" t="n">
        <f aca="false">Sens!F6026</f>
        <v>27.6114901218559</v>
      </c>
      <c r="G6047" s="6" t="n">
        <f aca="false">Sens!G6026</f>
        <v>30.4675667338515</v>
      </c>
      <c r="H6047" s="6" t="n">
        <f aca="false">Sens!H6026</f>
        <v>33.3643766955789</v>
      </c>
      <c r="I6047" s="6" t="n">
        <f aca="false">Sens!I6026</f>
        <v>36.2577016533691</v>
      </c>
      <c r="J6047" s="6" t="n">
        <f aca="false">Sens!J6026</f>
        <v>39.0988367952171</v>
      </c>
      <c r="K6047" s="6" t="n">
        <f aca="false">Sens!K6026</f>
        <v>41.8357553708823</v>
      </c>
    </row>
    <row r="6048" customFormat="false" ht="15" hidden="false" customHeight="false" outlineLevel="0" collapsed="false">
      <c r="A6048" s="0" t="s">
        <v>878</v>
      </c>
      <c r="B6048" s="0" t="s">
        <v>98</v>
      </c>
      <c r="D6048" s="6" t="n">
        <f aca="false">Sens!D6028</f>
        <v>23.455</v>
      </c>
      <c r="E6048" s="6" t="n">
        <f aca="false">Sens!E6028</f>
        <v>21.79</v>
      </c>
      <c r="F6048" s="6" t="n">
        <f aca="false">Sens!F6028</f>
        <v>20.5736277908051</v>
      </c>
      <c r="G6048" s="6" t="n">
        <f aca="false">Sens!G6028</f>
        <v>19.7371452817919</v>
      </c>
      <c r="H6048" s="6" t="n">
        <f aca="false">Sens!H6028</f>
        <v>19.2339764043138</v>
      </c>
      <c r="I6048" s="6" t="n">
        <f aca="false">Sens!I6028</f>
        <v>19.0353086852681</v>
      </c>
      <c r="J6048" s="6" t="n">
        <f aca="false">Sens!J6028</f>
        <v>19.1273539319129</v>
      </c>
      <c r="K6048" s="6" t="n">
        <f aca="false">Sens!K6028</f>
        <v>19.5099010105511</v>
      </c>
    </row>
    <row r="6049" customFormat="false" ht="15" hidden="false" customHeight="false" outlineLevel="0" collapsed="false">
      <c r="A6049" s="0" t="s">
        <v>879</v>
      </c>
      <c r="B6049" s="0" t="s">
        <v>98</v>
      </c>
      <c r="D6049" s="6" t="n">
        <f aca="false">Sens!D6030</f>
        <v>17.315</v>
      </c>
      <c r="E6049" s="6" t="n">
        <f aca="false">Sens!E6030</f>
        <v>17.087</v>
      </c>
      <c r="F6049" s="6" t="n">
        <f aca="false">Sens!F6030</f>
        <v>16.9564585436519</v>
      </c>
      <c r="G6049" s="6" t="n">
        <f aca="false">Sens!G6030</f>
        <v>16.9206490624268</v>
      </c>
      <c r="H6049" s="6" t="n">
        <f aca="false">Sens!H6030</f>
        <v>16.9784519149849</v>
      </c>
      <c r="I6049" s="6" t="n">
        <f aca="false">Sens!I6030</f>
        <v>17.1303084701817</v>
      </c>
      <c r="J6049" s="6" t="n">
        <f aca="false">Sens!J6030</f>
        <v>17.3782189407267</v>
      </c>
      <c r="K6049" s="6" t="n">
        <f aca="false">Sens!K6030</f>
        <v>17.7257833195413</v>
      </c>
    </row>
    <row r="6050" customFormat="false" ht="15" hidden="false" customHeight="false" outlineLevel="0" collapsed="false">
      <c r="A6050" s="0" t="s">
        <v>718</v>
      </c>
      <c r="B6050" s="0" t="s">
        <v>98</v>
      </c>
      <c r="D6050" s="6" t="n">
        <f aca="false">Sens!D6032</f>
        <v>62.941</v>
      </c>
      <c r="E6050" s="6" t="n">
        <f aca="false">Sens!E6032</f>
        <v>63.712</v>
      </c>
      <c r="F6050" s="6" t="n">
        <f aca="false">Sens!F6032</f>
        <v>65.1415764563129</v>
      </c>
      <c r="G6050" s="6" t="n">
        <f aca="false">Sens!G6032</f>
        <v>67.1253610780702</v>
      </c>
      <c r="H6050" s="6" t="n">
        <f aca="false">Sens!H6032</f>
        <v>69.5768050148776</v>
      </c>
      <c r="I6050" s="6" t="n">
        <f aca="false">Sens!I6032</f>
        <v>72.4233188088189</v>
      </c>
      <c r="J6050" s="6" t="n">
        <f aca="false">Sens!J6032</f>
        <v>75.6044096678567</v>
      </c>
      <c r="K6050" s="6" t="n">
        <f aca="false">Sens!K6032</f>
        <v>79.0714397009747</v>
      </c>
    </row>
    <row r="6051" customFormat="false" ht="15" hidden="false" customHeight="false" outlineLevel="0" collapsed="false">
      <c r="A6051" s="1" t="s">
        <v>895</v>
      </c>
      <c r="B6051" s="0" t="s">
        <v>98</v>
      </c>
      <c r="D6051" s="6" t="n">
        <f aca="false">Sens!D6033</f>
        <v>281.724</v>
      </c>
      <c r="E6051" s="6" t="n">
        <f aca="false">Sens!E6033</f>
        <v>331.839</v>
      </c>
      <c r="F6051" s="6" t="n">
        <f aca="false">Sens!F6033</f>
        <v>400.907104707821</v>
      </c>
      <c r="G6051" s="6" t="n">
        <f aca="false">Sens!G6033</f>
        <v>479.697484137863</v>
      </c>
      <c r="H6051" s="6" t="n">
        <f aca="false">Sens!H6033</f>
        <v>560.273101018903</v>
      </c>
      <c r="I6051" s="6" t="n">
        <f aca="false">Sens!I6033</f>
        <v>634.076836435645</v>
      </c>
      <c r="J6051" s="6" t="n">
        <f aca="false">Sens!J6033</f>
        <v>694.308733812127</v>
      </c>
      <c r="K6051" s="6" t="n">
        <f aca="false">Sens!K6033</f>
        <v>743.062987514037</v>
      </c>
    </row>
    <row r="6052" customFormat="false" ht="15" hidden="false" customHeight="false" outlineLevel="0" collapsed="false">
      <c r="A6052" s="1" t="s">
        <v>896</v>
      </c>
      <c r="B6052" s="0" t="s">
        <v>129</v>
      </c>
      <c r="E6052" s="7" t="n">
        <f aca="false">Sens!E6051/Sens!D6051-1</f>
        <v>0.177886867998467</v>
      </c>
      <c r="F6052" s="7" t="n">
        <f aca="false">Sens!F6051/Sens!E6051-1</f>
        <v>0.208137394061037</v>
      </c>
      <c r="G6052" s="7" t="n">
        <f aca="false">Sens!G6051/Sens!F6051-1</f>
        <v>0.196530264754137</v>
      </c>
      <c r="H6052" s="7" t="n">
        <f aca="false">Sens!H6051/Sens!G6051-1</f>
        <v>0.16797173123777</v>
      </c>
      <c r="I6052" s="7" t="n">
        <f aca="false">Sens!I6051/Sens!H6051-1</f>
        <v>0.131728143440269</v>
      </c>
      <c r="J6052" s="7" t="n">
        <f aca="false">Sens!J6051/Sens!I6051-1</f>
        <v>0.0949914803938678</v>
      </c>
      <c r="K6052" s="7" t="n">
        <f aca="false">Sens!K6051/Sens!J6051-1</f>
        <v>0.0702198479258971</v>
      </c>
    </row>
    <row r="6053" customFormat="false" ht="17.15" hidden="false" customHeight="false" outlineLevel="0" collapsed="false">
      <c r="A6053" s="23" t="s">
        <v>897</v>
      </c>
      <c r="B6053" s="30" t="s">
        <v>98</v>
      </c>
      <c r="C6053" s="30"/>
      <c r="D6053" s="24" t="n">
        <f aca="false">(Sens!D6046+Sens!D6050-Sens!D6051)+(Sens!D6038+Sens!D6039-Sens!D6037)+(Sens!D6041+Sens!D6042-Sens!D6040)+(Sens!D6051-Q!L18)</f>
        <v>0</v>
      </c>
      <c r="E6053" s="24" t="n">
        <f aca="false">(Sens!E6046+Sens!E6050-Sens!E6051)+(Sens!E6038+Sens!E6039-Sens!E6037)+(Sens!E6041+Sens!E6042-Sens!E6040)+(Sens!E6051-Q!M18)</f>
        <v>0</v>
      </c>
      <c r="F6053" s="24" t="n">
        <f aca="false">(Sens!F6046+Sens!F6050-Sens!F6051)+(Sens!F6038+Sens!F6039-Sens!F6037)+(Sens!F6041+Sens!F6042-Sens!F6040)</f>
        <v>0</v>
      </c>
      <c r="G6053" s="24" t="n">
        <f aca="false">(Sens!G6046+Sens!G6050-Sens!G6051)+(Sens!G6038+Sens!G6039-Sens!G6037)+(Sens!G6041+Sens!G6042-Sens!G6040)</f>
        <v>0</v>
      </c>
      <c r="H6053" s="24" t="n">
        <f aca="false">(Sens!H6046+Sens!H6050-Sens!H6051)+(Sens!H6038+Sens!H6039-Sens!H6037)+(Sens!H6041+Sens!H6042-Sens!H6040)</f>
        <v>0</v>
      </c>
      <c r="I6053" s="24" t="n">
        <f aca="false">(Sens!I6046+Sens!I6050-Sens!I6051)+(Sens!I6038+Sens!I6039-Sens!I6037)+(Sens!I6041+Sens!I6042-Sens!I6040)</f>
        <v>0</v>
      </c>
      <c r="J6053" s="24" t="n">
        <f aca="false">(Sens!J6046+Sens!J6050-Sens!J6051)+(Sens!J6038+Sens!J6039-Sens!J6037)+(Sens!J6041+Sens!J6042-Sens!J6040)</f>
        <v>0</v>
      </c>
      <c r="K6053" s="24" t="n">
        <f aca="false">(Sens!K6046+Sens!K6050-Sens!K6051)+(Sens!K6038+Sens!K6039-Sens!K6037)+(Sens!K6041+Sens!K6042-Sens!K6040)</f>
        <v>0</v>
      </c>
    </row>
    <row r="6054" customFormat="false" ht="17.15" hidden="false" customHeight="false" outlineLevel="0" collapsed="false">
      <c r="A6054" s="0" t="s">
        <v>898</v>
      </c>
      <c r="B6054" s="0" t="s">
        <v>129</v>
      </c>
      <c r="E6054" s="7" t="n">
        <f aca="false">(Q!M21+Sens!E5991+Sens!E5992+Sens!E5993+Sens!E6006-Sens!E5989)/(Q!M5-Sens!E5989)</f>
        <v>0.570957350878296</v>
      </c>
      <c r="F6054" s="7" t="n">
        <f aca="false">Sens!$E$6054+dm_seg</f>
        <v>0.570957350878296</v>
      </c>
      <c r="G6054" s="7" t="n">
        <f aca="false">Sens!$E$6054+dm_seg</f>
        <v>0.570957350878296</v>
      </c>
      <c r="H6054" s="7" t="n">
        <f aca="false">Sens!$E$6054+dm_seg</f>
        <v>0.570957350878296</v>
      </c>
      <c r="I6054" s="7" t="n">
        <f aca="false">Sens!$E$6054+dm_seg</f>
        <v>0.570957350878296</v>
      </c>
      <c r="J6054" s="7" t="n">
        <f aca="false">Sens!$E$6054+dm_seg</f>
        <v>0.570957350878296</v>
      </c>
      <c r="K6054" s="7" t="n">
        <f aca="false">Sens!$E$6054+dm_seg</f>
        <v>0.570957350878296</v>
      </c>
      <c r="L6054" s="11" t="s">
        <v>899</v>
      </c>
    </row>
    <row r="6055" customFormat="false" ht="17.15" hidden="false" customHeight="false" outlineLevel="0" collapsed="false">
      <c r="A6055" s="0" t="s">
        <v>732</v>
      </c>
      <c r="B6055" s="0" t="s">
        <v>98</v>
      </c>
      <c r="D6055" s="6" t="n">
        <f aca="false">Q!L21</f>
        <v>110.814</v>
      </c>
      <c r="E6055" s="6" t="n">
        <f aca="false">Q!M21</f>
        <v>136.365</v>
      </c>
      <c r="F6055" s="6" t="n">
        <f aca="false">Sens!F6054*(Sens!F6025-Sens!F5989)+Sens!F5989-(Sens!F5991+Sens!F5992+Sens!F5993)-Sens!F6006</f>
        <v>158.467071946763</v>
      </c>
      <c r="G6055" s="6" t="n">
        <f aca="false">Sens!G6054*(Sens!G6025-Sens!G5989)+Sens!G5989-(Sens!G5991+Sens!G5992+Sens!G5993)-Sens!G6006</f>
        <v>179.775032445599</v>
      </c>
      <c r="H6055" s="6" t="n">
        <f aca="false">Sens!H6054*(Sens!H6025-Sens!H5989)+Sens!H5989-(Sens!H5991+Sens!H5992+Sens!H5993)-Sens!H6006</f>
        <v>201.129734720213</v>
      </c>
      <c r="I6055" s="6" t="n">
        <f aca="false">Sens!I6054*(Sens!I6025-Sens!I5989)+Sens!I5989-(Sens!I5991+Sens!I5992+Sens!I5993)-Sens!I6006</f>
        <v>221.137581949043</v>
      </c>
      <c r="J6055" s="6" t="n">
        <f aca="false">Sens!J6054*(Sens!J6025-Sens!J5989)+Sens!J5989-(Sens!J5991+Sens!J5992+Sens!J5993)-Sens!J6006</f>
        <v>239.346839724152</v>
      </c>
      <c r="K6055" s="6" t="n">
        <f aca="false">Sens!K6054*(Sens!K6025-Sens!K5989)+Sens!K5989-(Sens!K5991+Sens!K5992+Sens!K5993)-Sens!K6006</f>
        <v>257.068322857672</v>
      </c>
      <c r="L6055" s="1" t="s">
        <v>900</v>
      </c>
    </row>
    <row r="6056" customFormat="false" ht="17.15" hidden="false" customHeight="false" outlineLevel="0" collapsed="false">
      <c r="A6056" s="0" t="s">
        <v>901</v>
      </c>
      <c r="B6056" s="0" t="s">
        <v>129</v>
      </c>
      <c r="E6056" s="7" t="n">
        <f aca="false">Q!M22/Q!M12</f>
        <v>0.296207935710698</v>
      </c>
      <c r="F6056" s="7" t="n">
        <f aca="false">Sens!$E$6056+dm_seg</f>
        <v>0.296207935710698</v>
      </c>
      <c r="G6056" s="7" t="n">
        <f aca="false">Sens!$E$6056+dm_seg</f>
        <v>0.296207935710698</v>
      </c>
      <c r="H6056" s="7" t="n">
        <f aca="false">Sens!$E$6056+dm_seg</f>
        <v>0.296207935710698</v>
      </c>
      <c r="I6056" s="7" t="n">
        <f aca="false">Sens!$E$6056+dm_seg</f>
        <v>0.296207935710698</v>
      </c>
      <c r="J6056" s="7" t="n">
        <f aca="false">Sens!$E$6056+dm_seg</f>
        <v>0.296207935710698</v>
      </c>
      <c r="K6056" s="7" t="n">
        <f aca="false">Sens!$E$6056+dm_seg</f>
        <v>0.296207935710698</v>
      </c>
      <c r="L6056" s="11" t="s">
        <v>902</v>
      </c>
    </row>
    <row r="6057" customFormat="false" ht="17.15" hidden="false" customHeight="false" outlineLevel="0" collapsed="false">
      <c r="A6057" s="0" t="s">
        <v>734</v>
      </c>
      <c r="B6057" s="0" t="s">
        <v>98</v>
      </c>
      <c r="D6057" s="6" t="n">
        <f aca="false">Q!L22</f>
        <v>17.714</v>
      </c>
      <c r="E6057" s="6" t="n">
        <f aca="false">Q!M22</f>
        <v>18.872</v>
      </c>
      <c r="F6057" s="6" t="n">
        <f aca="false">Sens!F6032*Sens!F6056</f>
        <v>19.2954518910651</v>
      </c>
      <c r="G6057" s="6" t="n">
        <f aca="false">Sens!G6032*Sens!G6056</f>
        <v>19.8830646387704</v>
      </c>
      <c r="H6057" s="6" t="n">
        <f aca="false">Sens!H6032*Sens!H6056</f>
        <v>20.6092017868026</v>
      </c>
      <c r="I6057" s="6" t="n">
        <f aca="false">Sens!I6032*Sens!I6056</f>
        <v>21.452361761678</v>
      </c>
      <c r="J6057" s="6" t="n">
        <f aca="false">Sens!J6032*Sens!J6056</f>
        <v>22.3946261183418</v>
      </c>
      <c r="K6057" s="6" t="n">
        <f aca="false">Sens!K6032*Sens!K6056</f>
        <v>23.4215879274986</v>
      </c>
    </row>
    <row r="6058" customFormat="false" ht="15" hidden="false" customHeight="false" outlineLevel="0" collapsed="false">
      <c r="A6058" s="1" t="s">
        <v>903</v>
      </c>
      <c r="B6058" s="0" t="s">
        <v>98</v>
      </c>
      <c r="D6058" s="6" t="n">
        <f aca="false">Sens!D6055+Sens!D6057</f>
        <v>128.528</v>
      </c>
      <c r="E6058" s="6" t="n">
        <f aca="false">Sens!E6055+Sens!E6057</f>
        <v>155.237</v>
      </c>
      <c r="F6058" s="6" t="n">
        <f aca="false">Sens!F6055+Sens!F6057</f>
        <v>177.762523837828</v>
      </c>
      <c r="G6058" s="6" t="n">
        <f aca="false">Sens!G6055+Sens!G6057</f>
        <v>199.658097084369</v>
      </c>
      <c r="H6058" s="6" t="n">
        <f aca="false">Sens!H6055+Sens!H6057</f>
        <v>221.738936507016</v>
      </c>
      <c r="I6058" s="6" t="n">
        <f aca="false">Sens!I6055+Sens!I6057</f>
        <v>242.589943710721</v>
      </c>
      <c r="J6058" s="6" t="n">
        <f aca="false">Sens!J6055+Sens!J6057</f>
        <v>261.741465842494</v>
      </c>
      <c r="K6058" s="6" t="n">
        <f aca="false">Sens!K6055+Sens!K6057</f>
        <v>280.489910785171</v>
      </c>
    </row>
    <row r="6059" customFormat="false" ht="15" hidden="false" customHeight="false" outlineLevel="0" collapsed="false">
      <c r="A6059" s="23" t="s">
        <v>904</v>
      </c>
      <c r="B6059" s="30" t="s">
        <v>98</v>
      </c>
      <c r="C6059" s="30"/>
      <c r="D6059" s="24" t="n">
        <f aca="false">Sens!D6058-Q!L23</f>
        <v>0</v>
      </c>
      <c r="E6059" s="24" t="n">
        <f aca="false">Sens!E6058-Q!M23</f>
        <v>0</v>
      </c>
      <c r="F6059" s="30"/>
      <c r="G6059" s="30"/>
      <c r="H6059" s="30"/>
      <c r="I6059" s="30"/>
      <c r="J6059" s="30"/>
      <c r="K6059" s="30"/>
    </row>
    <row r="6060" customFormat="false" ht="15" hidden="false" customHeight="false" outlineLevel="0" collapsed="false">
      <c r="A6060" s="1" t="s">
        <v>905</v>
      </c>
      <c r="B6060" s="0" t="s">
        <v>129</v>
      </c>
      <c r="D6060" s="7" t="n">
        <f aca="false">Sens!D6058/Sens!D6051</f>
        <v>0.456219562408598</v>
      </c>
      <c r="E6060" s="7" t="n">
        <f aca="false">Sens!E6058/Sens!E6051</f>
        <v>0.467808184089272</v>
      </c>
      <c r="F6060" s="7" t="n">
        <f aca="false">Sens!F6058/Sens!F6051</f>
        <v>0.443400782251991</v>
      </c>
      <c r="G6060" s="7" t="n">
        <f aca="false">Sens!G6058/Sens!G6051</f>
        <v>0.416216685904044</v>
      </c>
      <c r="H6060" s="7" t="n">
        <f aca="false">Sens!H6058/Sens!H6051</f>
        <v>0.395769377654871</v>
      </c>
      <c r="I6060" s="7" t="n">
        <f aca="false">Sens!I6058/Sens!I6051</f>
        <v>0.38258761363118</v>
      </c>
      <c r="J6060" s="7" t="n">
        <f aca="false">Sens!J6058/Sens!J6051</f>
        <v>0.376981381762827</v>
      </c>
      <c r="K6060" s="7" t="n">
        <f aca="false">Sens!K6058/Sens!K6051</f>
        <v>0.377477973601629</v>
      </c>
    </row>
    <row r="6061" customFormat="false" ht="17.15" hidden="false" customHeight="false" outlineLevel="0" collapsed="false">
      <c r="A6061" s="1" t="s">
        <v>906</v>
      </c>
      <c r="B6061" s="0" t="s">
        <v>98</v>
      </c>
      <c r="F6061" s="6" t="n">
        <f aca="false">Sens!F6076</f>
        <v>19.0793824397397</v>
      </c>
      <c r="G6061" s="6" t="n">
        <f aca="false">Sens!G6076</f>
        <v>32.5666413649601</v>
      </c>
      <c r="H6061" s="6" t="n">
        <f aca="false">Sens!H6076</f>
        <v>47.4063563831308</v>
      </c>
      <c r="I6061" s="6" t="n">
        <f aca="false">Sens!I6076</f>
        <v>61.2525090726263</v>
      </c>
      <c r="J6061" s="6" t="n">
        <f aca="false">Sens!J6076</f>
        <v>71.009613825577</v>
      </c>
      <c r="K6061" s="6" t="n">
        <f aca="false">Sens!K6076</f>
        <v>76.0452576664312</v>
      </c>
      <c r="L6061" s="1" t="s">
        <v>907</v>
      </c>
    </row>
    <row r="6062" customFormat="false" ht="17.15" hidden="false" customHeight="false" outlineLevel="0" collapsed="false">
      <c r="A6062" s="1" t="s">
        <v>908</v>
      </c>
      <c r="B6062" s="0" t="s">
        <v>98</v>
      </c>
      <c r="D6062" s="6" t="n">
        <f aca="false">Sens!D6058</f>
        <v>128.528</v>
      </c>
      <c r="E6062" s="6" t="n">
        <f aca="false">Sens!E6058</f>
        <v>155.237</v>
      </c>
      <c r="F6062" s="6" t="n">
        <f aca="false">Sens!F6058+Sens!F6061</f>
        <v>196.841906277568</v>
      </c>
      <c r="G6062" s="6" t="n">
        <f aca="false">Sens!G6058+Sens!G6061</f>
        <v>232.224738449329</v>
      </c>
      <c r="H6062" s="6" t="n">
        <f aca="false">Sens!H6058+Sens!H6061</f>
        <v>269.145292890146</v>
      </c>
      <c r="I6062" s="6" t="n">
        <f aca="false">Sens!I6058+Sens!I6061</f>
        <v>303.842452783348</v>
      </c>
      <c r="J6062" s="6" t="n">
        <f aca="false">Sens!J6058+Sens!J6061</f>
        <v>332.751079668071</v>
      </c>
      <c r="K6062" s="6" t="n">
        <f aca="false">Sens!K6058+Sens!K6061</f>
        <v>356.535168451602</v>
      </c>
    </row>
    <row r="6063" customFormat="false" ht="17.15" hidden="false" customHeight="false" outlineLevel="0" collapsed="false">
      <c r="A6063" s="1" t="s">
        <v>909</v>
      </c>
      <c r="B6063" s="0" t="s">
        <v>98</v>
      </c>
      <c r="E6063" s="6" t="n">
        <f aca="false">Sens!E6006</f>
        <v>16.3054059770833</v>
      </c>
      <c r="F6063" s="6" t="n">
        <f aca="false">Sens!F6006</f>
        <v>34.7280354558698</v>
      </c>
      <c r="G6063" s="6" t="n">
        <f aca="false">Sens!G6006</f>
        <v>60.4817332603396</v>
      </c>
      <c r="H6063" s="6" t="n">
        <f aca="false">Sens!H6006</f>
        <v>87.7173159931396</v>
      </c>
      <c r="I6063" s="6" t="n">
        <f aca="false">Sens!I6006</f>
        <v>111.962039982221</v>
      </c>
      <c r="J6063" s="6" t="n">
        <f aca="false">Sens!J6006</f>
        <v>129.158710922666</v>
      </c>
      <c r="K6063" s="6" t="n">
        <f aca="false">Sens!K6006</f>
        <v>139.622646804474</v>
      </c>
    </row>
    <row r="6064" customFormat="false" ht="17.15" hidden="false" customHeight="false" outlineLevel="0" collapsed="false">
      <c r="A6064" s="1" t="s">
        <v>910</v>
      </c>
      <c r="B6064" s="0" t="s">
        <v>98</v>
      </c>
      <c r="E6064" s="6" t="n">
        <f aca="false">Sens!E6088</f>
        <v>22.2285940229167</v>
      </c>
      <c r="F6064" s="6" t="n">
        <f aca="false">Sens!F6088</f>
        <v>23.5786693435813</v>
      </c>
      <c r="G6064" s="6" t="n">
        <f aca="false">Sens!G6088</f>
        <v>25.3810917662621</v>
      </c>
      <c r="H6064" s="6" t="n">
        <f aca="false">Sens!H6088</f>
        <v>27.5991339540448</v>
      </c>
      <c r="I6064" s="6" t="n">
        <f aca="false">Sens!I6088</f>
        <v>30.1565605898047</v>
      </c>
      <c r="J6064" s="6" t="n">
        <f aca="false">Sens!J6088</f>
        <v>32.9614958558616</v>
      </c>
      <c r="K6064" s="6" t="n">
        <f aca="false">Sens!K6088</f>
        <v>35.9297165444749</v>
      </c>
    </row>
    <row r="6065" customFormat="false" ht="17.15" hidden="false" customHeight="false" outlineLevel="0" collapsed="false">
      <c r="A6065" s="1" t="s">
        <v>911</v>
      </c>
      <c r="B6065" s="0" t="s">
        <v>98</v>
      </c>
      <c r="D6065" s="6" t="n">
        <f aca="false">Q!L27</f>
        <v>-4.901</v>
      </c>
      <c r="E6065" s="6" t="n">
        <f aca="false">Q!M27</f>
        <v>10.697</v>
      </c>
      <c r="F6065" s="6" t="n">
        <f aca="false">oie_f</f>
        <v>-0.4</v>
      </c>
      <c r="G6065" s="6" t="n">
        <f aca="false">oie_f</f>
        <v>-0.4</v>
      </c>
      <c r="H6065" s="6" t="n">
        <f aca="false">oie_f</f>
        <v>-0.4</v>
      </c>
      <c r="I6065" s="6" t="n">
        <f aca="false">oie_f</f>
        <v>-0.4</v>
      </c>
      <c r="J6065" s="6" t="n">
        <f aca="false">oie_f</f>
        <v>-0.4</v>
      </c>
      <c r="K6065" s="6" t="n">
        <f aca="false">oie_f</f>
        <v>-0.4</v>
      </c>
      <c r="L6065" s="11" t="s">
        <v>912</v>
      </c>
    </row>
    <row r="6066" customFormat="false" ht="15" hidden="false" customHeight="false" outlineLevel="0" collapsed="false">
      <c r="A6066" s="1" t="s">
        <v>913</v>
      </c>
      <c r="B6066" s="0" t="s">
        <v>98</v>
      </c>
      <c r="D6066" s="6" t="n">
        <f aca="false">Sens!D6058+Sens!D6065</f>
        <v>123.627</v>
      </c>
      <c r="E6066" s="6" t="n">
        <f aca="false">Sens!E6058+Sens!E6065</f>
        <v>165.934</v>
      </c>
      <c r="F6066" s="6" t="n">
        <f aca="false">Sens!F6058+Sens!F6065</f>
        <v>177.362523837828</v>
      </c>
      <c r="G6066" s="6" t="n">
        <f aca="false">Sens!G6058+Sens!G6065</f>
        <v>199.258097084369</v>
      </c>
      <c r="H6066" s="6" t="n">
        <f aca="false">Sens!H6058+Sens!H6065</f>
        <v>221.338936507016</v>
      </c>
      <c r="I6066" s="6" t="n">
        <f aca="false">Sens!I6058+Sens!I6065</f>
        <v>242.189943710721</v>
      </c>
      <c r="J6066" s="6" t="n">
        <f aca="false">Sens!J6058+Sens!J6065</f>
        <v>261.341465842494</v>
      </c>
      <c r="K6066" s="6" t="n">
        <f aca="false">Sens!K6058+Sens!K6065</f>
        <v>280.089910785171</v>
      </c>
    </row>
    <row r="6067" customFormat="false" ht="15" hidden="false" customHeight="false" outlineLevel="0" collapsed="false">
      <c r="A6067" s="1" t="s">
        <v>914</v>
      </c>
      <c r="B6067" s="0" t="s">
        <v>98</v>
      </c>
      <c r="D6067" s="6" t="n">
        <f aca="false">Q!L29</f>
        <v>21.795</v>
      </c>
      <c r="E6067" s="6" t="n">
        <f aca="false">Q!M29</f>
        <v>32.185</v>
      </c>
      <c r="F6067" s="6" t="n">
        <f aca="false">Sens!F6066*tax_f</f>
        <v>35.4725047675657</v>
      </c>
      <c r="G6067" s="6" t="n">
        <f aca="false">Sens!G6066*tax_f</f>
        <v>39.8516194168738</v>
      </c>
      <c r="H6067" s="6" t="n">
        <f aca="false">Sens!H6066*tax_f</f>
        <v>44.2677873014031</v>
      </c>
      <c r="I6067" s="6" t="n">
        <f aca="false">Sens!I6066*tax_f</f>
        <v>48.4379887421443</v>
      </c>
      <c r="J6067" s="6" t="n">
        <f aca="false">Sens!J6066*tax_f</f>
        <v>52.2682931684988</v>
      </c>
      <c r="K6067" s="6" t="n">
        <f aca="false">Sens!K6066*tax_f</f>
        <v>56.0179821570342</v>
      </c>
    </row>
    <row r="6068" customFormat="false" ht="15" hidden="false" customHeight="false" outlineLevel="0" collapsed="false">
      <c r="A6068" s="1" t="s">
        <v>915</v>
      </c>
      <c r="B6068" s="0" t="s">
        <v>98</v>
      </c>
      <c r="D6068" s="6" t="n">
        <f aca="false">Sens!D6066-Sens!D6067</f>
        <v>101.832</v>
      </c>
      <c r="E6068" s="6" t="n">
        <f aca="false">Sens!E6066-Sens!E6067</f>
        <v>133.749</v>
      </c>
      <c r="F6068" s="6" t="n">
        <f aca="false">Sens!F6066-Sens!F6067</f>
        <v>141.890019070263</v>
      </c>
      <c r="G6068" s="6" t="n">
        <f aca="false">Sens!G6066-Sens!G6067</f>
        <v>159.406477667495</v>
      </c>
      <c r="H6068" s="6" t="n">
        <f aca="false">Sens!H6066-Sens!H6067</f>
        <v>177.071149205612</v>
      </c>
      <c r="I6068" s="6" t="n">
        <f aca="false">Sens!I6066-Sens!I6067</f>
        <v>193.751954968577</v>
      </c>
      <c r="J6068" s="6" t="n">
        <f aca="false">Sens!J6066-Sens!J6067</f>
        <v>209.073172673995</v>
      </c>
      <c r="K6068" s="6" t="n">
        <f aca="false">Sens!K6066-Sens!K6067</f>
        <v>224.071928628137</v>
      </c>
    </row>
    <row r="6069" customFormat="false" ht="17.15" hidden="false" customHeight="false" outlineLevel="0" collapsed="false">
      <c r="A6069" s="1" t="s">
        <v>916</v>
      </c>
      <c r="B6069" s="1" t="s">
        <v>81</v>
      </c>
      <c r="D6069" s="14" t="n">
        <f aca="false">Q!L31</f>
        <v>7.465</v>
      </c>
      <c r="E6069" s="14" t="n">
        <f aca="false">Q!M31</f>
        <v>7.453</v>
      </c>
      <c r="F6069" s="14" t="n">
        <f aca="false">Sens!F6110</f>
        <v>7.4735</v>
      </c>
      <c r="G6069" s="14" t="n">
        <f aca="false">Sens!G6110</f>
        <v>7.51643138853655</v>
      </c>
      <c r="H6069" s="14" t="n">
        <f aca="false">Sens!H6110</f>
        <v>7.54211436292304</v>
      </c>
      <c r="I6069" s="14" t="n">
        <f aca="false">Sens!I6110</f>
        <v>7.55389519493035</v>
      </c>
      <c r="J6069" s="14" t="n">
        <f aca="false">Sens!J6110</f>
        <v>7.56813670604824</v>
      </c>
      <c r="K6069" s="14" t="n">
        <f aca="false">Sens!K6110</f>
        <v>7.58465662374998</v>
      </c>
    </row>
    <row r="6070" customFormat="false" ht="17.15" hidden="false" customHeight="false" outlineLevel="0" collapsed="false">
      <c r="A6070" s="0" t="s">
        <v>917</v>
      </c>
      <c r="B6070" s="0" t="s">
        <v>75</v>
      </c>
      <c r="D6070" s="8" t="n">
        <f aca="false">Sens!D6068/Sens!D6069</f>
        <v>13.641259209645</v>
      </c>
      <c r="E6070" s="8" t="n">
        <f aca="false">Sens!E6068/Sens!E6069</f>
        <v>17.9456594659869</v>
      </c>
      <c r="F6070" s="8" t="n">
        <f aca="false">Sens!F6068/Sens!F6069</f>
        <v>18.9857522004767</v>
      </c>
      <c r="G6070" s="8" t="n">
        <f aca="false">Sens!G6068/Sens!G6069</f>
        <v>21.2077340199778</v>
      </c>
      <c r="H6070" s="8" t="n">
        <f aca="false">Sens!H6068/Sens!H6069</f>
        <v>23.4776537035944</v>
      </c>
      <c r="I6070" s="8" t="n">
        <f aca="false">Sens!I6068/Sens!I6069</f>
        <v>25.6492776201886</v>
      </c>
      <c r="J6070" s="8" t="n">
        <f aca="false">Sens!J6068/Sens!J6069</f>
        <v>27.6254487457805</v>
      </c>
      <c r="K6070" s="8" t="n">
        <f aca="false">Sens!K6068/Sens!K6069</f>
        <v>29.5427914200487</v>
      </c>
      <c r="L6070" s="1" t="s">
        <v>918</v>
      </c>
    </row>
    <row r="6071" customFormat="false" ht="17.15" hidden="false" customHeight="false" outlineLevel="0" collapsed="false">
      <c r="A6071" s="1" t="s">
        <v>919</v>
      </c>
      <c r="B6071" s="0" t="s">
        <v>98</v>
      </c>
      <c r="D6071" s="6" t="n">
        <f aca="false">Sens!D6068</f>
        <v>101.832</v>
      </c>
      <c r="E6071" s="6" t="n">
        <f aca="false">Sens!E6068</f>
        <v>133.749</v>
      </c>
      <c r="F6071" s="6" t="n">
        <f aca="false">Sens!F6068+Sens!F6061*(1-tax_f)</f>
        <v>157.153525022055</v>
      </c>
      <c r="G6071" s="6" t="n">
        <f aca="false">Sens!G6068+Sens!G6061*(1-tax_f)</f>
        <v>185.459790759463</v>
      </c>
      <c r="H6071" s="6" t="n">
        <f aca="false">Sens!H6068+Sens!H6061*(1-tax_f)</f>
        <v>214.996234312117</v>
      </c>
      <c r="I6071" s="6" t="n">
        <f aca="false">Sens!I6068+Sens!I6061*(1-tax_f)</f>
        <v>242.753962226678</v>
      </c>
      <c r="J6071" s="6" t="n">
        <f aca="false">Sens!J6068+Sens!J6061*(1-tax_f)</f>
        <v>265.880863734457</v>
      </c>
      <c r="K6071" s="6" t="n">
        <f aca="false">Sens!K6068+Sens!K6061*(1-tax_f)</f>
        <v>284.908134761282</v>
      </c>
    </row>
    <row r="6072" customFormat="false" ht="17.15" hidden="false" customHeight="false" outlineLevel="0" collapsed="false">
      <c r="A6072" s="0" t="s">
        <v>920</v>
      </c>
      <c r="B6072" s="0" t="s">
        <v>75</v>
      </c>
      <c r="D6072" s="8" t="n">
        <f aca="false">Sens!D6071/Sens!D6069</f>
        <v>13.641259209645</v>
      </c>
      <c r="E6072" s="8" t="n">
        <f aca="false">Sens!E6071/Sens!E6069</f>
        <v>17.9456594659869</v>
      </c>
      <c r="F6072" s="8" t="n">
        <f aca="false">Sens!F6071/Sens!F6069</f>
        <v>21.0281026322412</v>
      </c>
      <c r="G6072" s="8" t="n">
        <f aca="false">Sens!G6071/Sens!G6069</f>
        <v>24.6739152095916</v>
      </c>
      <c r="H6072" s="8" t="n">
        <f aca="false">Sens!H6071/Sens!H6069</f>
        <v>28.5060957665978</v>
      </c>
      <c r="I6072" s="8" t="n">
        <f aca="false">Sens!I6071/Sens!I6069</f>
        <v>32.1362629428057</v>
      </c>
      <c r="J6072" s="8" t="n">
        <f aca="false">Sens!J6071/Sens!J6069</f>
        <v>35.1316148295752</v>
      </c>
      <c r="K6072" s="8" t="n">
        <f aca="false">Sens!K6071/Sens!K6069</f>
        <v>37.5637486170624</v>
      </c>
      <c r="L6072" s="1" t="s">
        <v>921</v>
      </c>
    </row>
    <row r="6073" customFormat="false" ht="17.15" hidden="false" customHeight="false" outlineLevel="0" collapsed="false">
      <c r="A6073" s="0" t="s">
        <v>922</v>
      </c>
      <c r="B6073" s="0" t="s">
        <v>129</v>
      </c>
      <c r="E6073" s="7" t="n">
        <f aca="false">Sens!E6072/Sens!D6072-1</f>
        <v>0.315542736208578</v>
      </c>
      <c r="F6073" s="7" t="n">
        <f aca="false">Sens!F6072/Sens!E6072-1</f>
        <v>0.171765388287715</v>
      </c>
      <c r="G6073" s="7" t="n">
        <f aca="false">Sens!G6072/Sens!F6072-1</f>
        <v>0.173378104582791</v>
      </c>
      <c r="H6073" s="7" t="n">
        <f aca="false">Sens!H6072/Sens!G6072-1</f>
        <v>0.155313030966263</v>
      </c>
      <c r="I6073" s="7" t="n">
        <f aca="false">Sens!I6072/Sens!H6072-1</f>
        <v>0.127347049063854</v>
      </c>
      <c r="J6073" s="7" t="n">
        <f aca="false">Sens!J6072/Sens!I6072-1</f>
        <v>0.0932078472254396</v>
      </c>
      <c r="K6073" s="7" t="n">
        <f aca="false">Sens!K6072/Sens!J6072-1</f>
        <v>0.0692292056395805</v>
      </c>
    </row>
    <row r="6074" customFormat="false" ht="17.15" hidden="false" customHeight="false" outlineLevel="0" collapsed="false">
      <c r="A6074" s="0" t="s">
        <v>846</v>
      </c>
      <c r="B6074" s="0" t="s">
        <v>98</v>
      </c>
      <c r="E6074" s="6" t="n">
        <f aca="false">Sens!E6015</f>
        <v>5.25</v>
      </c>
      <c r="F6074" s="6" t="n">
        <f aca="false">Sens!F6015</f>
        <v>13.5</v>
      </c>
      <c r="G6074" s="6" t="n">
        <f aca="false">Sens!G6015</f>
        <v>22.5</v>
      </c>
      <c r="H6074" s="6" t="n">
        <f aca="false">Sens!H6015</f>
        <v>31.5</v>
      </c>
      <c r="I6074" s="6" t="n">
        <f aca="false">Sens!I6015</f>
        <v>38.25</v>
      </c>
      <c r="J6074" s="6" t="n">
        <f aca="false">Sens!J6015</f>
        <v>42.75</v>
      </c>
      <c r="K6074" s="6" t="n">
        <f aca="false">Sens!K6015</f>
        <v>47.25</v>
      </c>
    </row>
    <row r="6075" customFormat="false" ht="17.15" hidden="false" customHeight="false" outlineLevel="0" collapsed="false">
      <c r="A6075" s="1" t="s">
        <v>847</v>
      </c>
      <c r="B6075" s="0" t="s">
        <v>98</v>
      </c>
      <c r="F6075" s="6" t="n">
        <f aca="false">MAX(0,(Sens!E5978+Sens!F5978)/2*Sens!F5986/1000-Sens!F6074*Sens!F6054)</f>
        <v>19.0793824397397</v>
      </c>
      <c r="G6075" s="6" t="n">
        <f aca="false">MAX(0,(Sens!F5978+Sens!G5978)/2*Sens!G5986/1000-Sens!G6074*Sens!G6054)</f>
        <v>32.5666413649601</v>
      </c>
      <c r="H6075" s="6" t="n">
        <f aca="false">MAX(0,(Sens!G5978+Sens!H5978)/2*Sens!H5986/1000-Sens!H6074*Sens!H6054)</f>
        <v>47.4063563831308</v>
      </c>
      <c r="I6075" s="6" t="n">
        <f aca="false">MAX(0,(Sens!H5978+Sens!I5978)/2*Sens!I5986/1000-Sens!I6074*Sens!I6054)</f>
        <v>61.2525090726263</v>
      </c>
      <c r="J6075" s="6" t="n">
        <f aca="false">MAX(0,(Sens!I5978+Sens!J5978)/2*Sens!J5986/1000-Sens!J6074*Sens!J6054)</f>
        <v>71.009613825577</v>
      </c>
      <c r="K6075" s="6" t="n">
        <f aca="false">MAX(0,(Sens!J5978+Sens!K5978)/2*Sens!K5986/1000-Sens!K6074*Sens!K6054)</f>
        <v>76.0452576664312</v>
      </c>
      <c r="L6075" s="1" t="s">
        <v>848</v>
      </c>
    </row>
    <row r="6076" customFormat="false" ht="17.15" hidden="false" customHeight="false" outlineLevel="0" collapsed="false">
      <c r="A6076" s="1" t="s">
        <v>849</v>
      </c>
      <c r="B6076" s="0" t="s">
        <v>98</v>
      </c>
      <c r="F6076" s="6" t="n">
        <f aca="false">IF(internal_ai_reading=2,1,0)*Sens!F6075</f>
        <v>19.0793824397397</v>
      </c>
      <c r="G6076" s="6" t="n">
        <f aca="false">IF(internal_ai_reading=2,1,0)*Sens!G6075</f>
        <v>32.5666413649601</v>
      </c>
      <c r="H6076" s="6" t="n">
        <f aca="false">IF(internal_ai_reading=2,1,0)*Sens!H6075</f>
        <v>47.4063563831308</v>
      </c>
      <c r="I6076" s="6" t="n">
        <f aca="false">IF(internal_ai_reading=2,1,0)*Sens!I6075</f>
        <v>61.2525090726263</v>
      </c>
      <c r="J6076" s="6" t="n">
        <f aca="false">IF(internal_ai_reading=2,1,0)*Sens!J6075</f>
        <v>71.009613825577</v>
      </c>
      <c r="K6076" s="6" t="n">
        <f aca="false">IF(internal_ai_reading=2,1,0)*Sens!K6075</f>
        <v>76.0452576664312</v>
      </c>
    </row>
    <row r="6077" customFormat="false" ht="17.15" hidden="false" customHeight="false" outlineLevel="0" collapsed="false">
      <c r="A6077" s="0" t="s">
        <v>850</v>
      </c>
      <c r="B6077" s="0" t="s">
        <v>98</v>
      </c>
      <c r="F6077" s="6" t="n">
        <f aca="false">Sens!F5995+Sens!F6074*Sens!F6054+Sens!F6076-Sens!F5996-Sens!F6006</f>
        <v>24.985781419411</v>
      </c>
      <c r="G6077" s="6" t="n">
        <f aca="false">Sens!G5995+Sens!G6074*Sens!G6054+Sens!G6076-Sens!G5996-Sens!G6006</f>
        <v>40.6995718830232</v>
      </c>
      <c r="H6077" s="6" t="n">
        <f aca="false">Sens!H5995+Sens!H6074*Sens!H6054+Sens!H6076-Sens!H5996-Sens!H6006</f>
        <v>57.6304114245065</v>
      </c>
      <c r="I6077" s="6" t="n">
        <f aca="false">Sens!I5995+Sens!I6074*Sens!I6054+Sens!I6076-Sens!I5996-Sens!I6006</f>
        <v>72.7088259474904</v>
      </c>
      <c r="J6077" s="6" t="n">
        <f aca="false">Sens!J5995+Sens!J6074*Sens!J6054+Sens!J6076-Sens!J5996-Sens!J6006</f>
        <v>83.1384007011916</v>
      </c>
      <c r="K6077" s="6" t="n">
        <f aca="false">Sens!K5995+Sens!K6074*Sens!K6054+Sens!K6076-Sens!K5996-Sens!K6006</f>
        <v>90.3742338726818</v>
      </c>
    </row>
    <row r="6078" customFormat="false" ht="17.15" hidden="false" customHeight="false" outlineLevel="0" collapsed="false">
      <c r="A6078" s="0" t="s">
        <v>851</v>
      </c>
      <c r="B6078" s="0" t="s">
        <v>98</v>
      </c>
      <c r="E6078" s="6" t="n">
        <f aca="false">Sens!E5977*(cxit_open+self_build*tk_cxfac)/1000*ai_net_open</f>
        <v>126.6980382</v>
      </c>
      <c r="F6078" s="6" t="n">
        <f aca="false">Sens!E6078+Sens!F6003-Sens!F6006</f>
        <v>260.440655514568</v>
      </c>
      <c r="G6078" s="6" t="n">
        <f aca="false">Sens!F6078+Sens!G6003-Sens!G6006</f>
        <v>383.533102737428</v>
      </c>
      <c r="H6078" s="6" t="n">
        <f aca="false">Sens!G6078+Sens!H6003-Sens!H6006</f>
        <v>483.896072654688</v>
      </c>
      <c r="I6078" s="6" t="n">
        <f aca="false">Sens!H6078+Sens!I6003-Sens!I6006</f>
        <v>535.640701826713</v>
      </c>
      <c r="J6078" s="6" t="n">
        <f aca="false">Sens!I6078+Sens!J6003-Sens!J6006</f>
        <v>530.994467622137</v>
      </c>
      <c r="K6078" s="6" t="n">
        <f aca="false">Sens!J6078+Sens!K6003-Sens!K6006</f>
        <v>506.3312564596</v>
      </c>
      <c r="L6078" s="1" t="s">
        <v>852</v>
      </c>
    </row>
    <row r="6079" customFormat="false" ht="17.15" hidden="false" customHeight="false" outlineLevel="0" collapsed="false">
      <c r="A6079" s="0" t="s">
        <v>853</v>
      </c>
      <c r="B6079" s="0" t="s">
        <v>129</v>
      </c>
      <c r="F6079" s="7" t="n">
        <f aca="false">Sens!F6077*(1-tax_f)/((Sens!E6078+Sens!F6078)/2)</f>
        <v>0.103263380592311</v>
      </c>
      <c r="G6079" s="7" t="n">
        <f aca="false">Sens!G6077*(1-tax_f)/((Sens!F6078+Sens!G6078)/2)</f>
        <v>0.101121069264681</v>
      </c>
      <c r="H6079" s="7" t="n">
        <f aca="false">Sens!H6077*(1-tax_f)/((Sens!G6078+Sens!H6078)/2)</f>
        <v>0.106301080128563</v>
      </c>
      <c r="I6079" s="7" t="n">
        <f aca="false">Sens!I6077*(1-tax_f)/((Sens!H6078+Sens!I6078)/2)</f>
        <v>0.114104880204208</v>
      </c>
      <c r="J6079" s="7" t="n">
        <f aca="false">Sens!J6077*(1-tax_f)/((Sens!I6078+Sens!J6078)/2)</f>
        <v>0.124711283606597</v>
      </c>
      <c r="K6079" s="7" t="n">
        <f aca="false">Sens!K6077*(1-tax_f)/((Sens!J6078+Sens!K6078)/2)</f>
        <v>0.139395727725053</v>
      </c>
    </row>
    <row r="6080" customFormat="false" ht="17.15" hidden="false" customHeight="false" outlineLevel="0" collapsed="false">
      <c r="A6080" s="1" t="s">
        <v>854</v>
      </c>
      <c r="B6080" s="0" t="s">
        <v>129</v>
      </c>
      <c r="F6080" s="7" t="n">
        <f aca="false">(Sens!F6077-Sens!F6076)*(1-tax_f)/((Sens!E6078+Sens!F6078)/2)</f>
        <v>0.0244104723214301</v>
      </c>
      <c r="G6080" s="7" t="n">
        <f aca="false">(Sens!G6077-Sens!G6076)*(1-tax_f)/((Sens!F6078+Sens!G6078)/2)</f>
        <v>0.0202068619445342</v>
      </c>
      <c r="H6080" s="7" t="n">
        <f aca="false">(Sens!H6077-Sens!H6076)*(1-tax_f)/((Sens!G6078+Sens!H6078)/2)</f>
        <v>0.0188585864186622</v>
      </c>
      <c r="I6080" s="7" t="n">
        <f aca="false">(Sens!I6077-Sens!I6076)*(1-tax_f)/((Sens!H6078+Sens!I6078)/2)</f>
        <v>0.0179788581035799</v>
      </c>
      <c r="J6080" s="7" t="n">
        <f aca="false">(Sens!J6077-Sens!J6076)*(1-tax_f)/((Sens!I6078+Sens!J6078)/2)</f>
        <v>0.0181937175491886</v>
      </c>
      <c r="K6080" s="7" t="n">
        <f aca="false">(Sens!K6077-Sens!K6076)*(1-tax_f)/((Sens!J6078+Sens!K6078)/2)</f>
        <v>0.0221014107697906</v>
      </c>
    </row>
    <row r="6081" customFormat="false" ht="17.15" hidden="false" customHeight="false" outlineLevel="0" collapsed="false">
      <c r="A6081" s="1" t="s">
        <v>855</v>
      </c>
      <c r="B6081" s="0" t="s">
        <v>129</v>
      </c>
      <c r="F6081" s="7" t="n">
        <f aca="false">(Sens!F6077-Sens!F6076+Sens!F6075)*(1-tax_f)/((Sens!E6078+Sens!F6078)/2)</f>
        <v>0.103263380592311</v>
      </c>
      <c r="G6081" s="7" t="n">
        <f aca="false">(Sens!G6077-Sens!G6076+Sens!G6075)*(1-tax_f)/((Sens!F6078+Sens!G6078)/2)</f>
        <v>0.101121069264681</v>
      </c>
      <c r="H6081" s="7" t="n">
        <f aca="false">(Sens!H6077-Sens!H6076+Sens!H6075)*(1-tax_f)/((Sens!G6078+Sens!H6078)/2)</f>
        <v>0.106301080128563</v>
      </c>
      <c r="I6081" s="7" t="n">
        <f aca="false">(Sens!I6077-Sens!I6076+Sens!I6075)*(1-tax_f)/((Sens!H6078+Sens!I6078)/2)</f>
        <v>0.114104880204208</v>
      </c>
      <c r="J6081" s="7" t="n">
        <f aca="false">(Sens!J6077-Sens!J6076+Sens!J6075)*(1-tax_f)/((Sens!I6078+Sens!J6078)/2)</f>
        <v>0.124711283606597</v>
      </c>
      <c r="K6081" s="7" t="n">
        <f aca="false">(Sens!K6077-Sens!K6076+Sens!K6075)*(1-tax_f)/((Sens!J6078+Sens!K6078)/2)</f>
        <v>0.139395727725053</v>
      </c>
    </row>
    <row r="6082" customFormat="false" ht="17.15" hidden="false" customHeight="false" outlineLevel="0" collapsed="false">
      <c r="A6082" s="1" t="s">
        <v>856</v>
      </c>
      <c r="B6082" s="0" t="s">
        <v>129</v>
      </c>
      <c r="F6082" s="7" t="n">
        <f aca="false">Sens!F6007*(1-tax_f)/(Sens!F5994*(Sens!E6078+Sens!F6078)/2)</f>
        <v>0.128275265190634</v>
      </c>
      <c r="G6082" s="7" t="n">
        <f aca="false">Sens!G6007*(1-tax_f)/(Sens!G5994*(Sens!F6078+Sens!G6078)/2)</f>
        <v>0.125320694987118</v>
      </c>
      <c r="H6082" s="7" t="n">
        <f aca="false">Sens!H6007*(1-tax_f)/(Sens!H5994*(Sens!G6078+Sens!H6078)/2)</f>
        <v>0.130928669363614</v>
      </c>
      <c r="I6082" s="7" t="n">
        <f aca="false">Sens!I6007*(1-tax_f)/(Sens!I5994*(Sens!H6078+Sens!I6078)/2)</f>
        <v>0.1400514910135</v>
      </c>
      <c r="J6082" s="7" t="n">
        <f aca="false">Sens!J6007*(1-tax_f)/(Sens!J5994*(Sens!I6078+Sens!J6078)/2)</f>
        <v>0.152858773626078</v>
      </c>
      <c r="K6082" s="7" t="n">
        <f aca="false">Sens!K6007*(1-tax_f)/(Sens!K5994*(Sens!J6078+Sens!K6078)/2)</f>
        <v>0.170595723201493</v>
      </c>
    </row>
    <row r="6083" customFormat="false" ht="17.15" hidden="false" customHeight="false" outlineLevel="0" collapsed="false">
      <c r="A6083" s="0" t="s">
        <v>857</v>
      </c>
      <c r="B6083" s="0" t="s">
        <v>209</v>
      </c>
      <c r="F6083" s="7" t="n">
        <f aca="false">Sens!F6079-wacc</f>
        <v>0.000328960499435468</v>
      </c>
      <c r="G6083" s="7" t="n">
        <f aca="false">Sens!G6079-wacc</f>
        <v>-0.00181335082819467</v>
      </c>
      <c r="H6083" s="7" t="n">
        <f aca="false">Sens!H6079-wacc</f>
        <v>0.00336666003568686</v>
      </c>
      <c r="I6083" s="7" t="n">
        <f aca="false">Sens!I6079-wacc</f>
        <v>0.011170460111332</v>
      </c>
      <c r="J6083" s="7" t="n">
        <f aca="false">Sens!J6079-wacc</f>
        <v>0.0217768635137215</v>
      </c>
      <c r="K6083" s="7" t="n">
        <f aca="false">Sens!K6079-wacc</f>
        <v>0.0364613076321768</v>
      </c>
    </row>
    <row r="6084" customFormat="false" ht="17.15" hidden="false" customHeight="false" outlineLevel="0" collapsed="false">
      <c r="A6084" s="0" t="s">
        <v>858</v>
      </c>
      <c r="B6084" s="0" t="s">
        <v>98</v>
      </c>
      <c r="F6084" s="6" t="n">
        <f aca="false">Sens!F6077*(1-tax_f)-wacc*(Sens!E6078+Sens!F6078)/2</f>
        <v>0.0636766690175676</v>
      </c>
      <c r="G6084" s="6" t="n">
        <f aca="false">Sens!G6077*(1-tax_f)-wacc*(Sens!F6078+Sens!G6078)/2</f>
        <v>-0.583875173930949</v>
      </c>
      <c r="H6084" s="6" t="n">
        <f aca="false">Sens!H6077*(1-tax_f)-wacc*(Sens!G6078+Sens!H6078)/2</f>
        <v>1.46016956929073</v>
      </c>
      <c r="I6084" s="6" t="n">
        <f aca="false">Sens!I6077*(1-tax_f)-wacc*(Sens!H6078+Sens!I6078)/2</f>
        <v>5.6943474356903</v>
      </c>
      <c r="J6084" s="6" t="n">
        <f aca="false">Sens!J6077*(1-tax_f)-wacc*(Sens!I6078+Sens!J6078)/2</f>
        <v>11.6139842520114</v>
      </c>
      <c r="K6084" s="6" t="n">
        <f aca="false">Sens!K6077*(1-tax_f)-wacc*(Sens!J6078+Sens!K6078)/2</f>
        <v>18.9111261702574</v>
      </c>
    </row>
    <row r="6085" customFormat="false" ht="17.15" hidden="false" customHeight="false" outlineLevel="0" collapsed="false">
      <c r="A6085" s="3" t="s">
        <v>1392</v>
      </c>
    </row>
    <row r="6086" customFormat="false" ht="15" hidden="false" customHeight="false" outlineLevel="0" collapsed="false">
      <c r="A6086" s="4" t="s">
        <v>43</v>
      </c>
      <c r="B6086" s="4" t="s">
        <v>65</v>
      </c>
      <c r="C6086" s="20" t="s">
        <v>788</v>
      </c>
      <c r="D6086" s="20" t="s">
        <v>789</v>
      </c>
      <c r="E6086" s="20" t="s">
        <v>790</v>
      </c>
      <c r="F6086" s="20" t="s">
        <v>791</v>
      </c>
      <c r="G6086" s="20" t="s">
        <v>792</v>
      </c>
      <c r="H6086" s="20" t="s">
        <v>793</v>
      </c>
      <c r="I6086" s="20" t="s">
        <v>794</v>
      </c>
      <c r="J6086" s="20" t="s">
        <v>795</v>
      </c>
      <c r="K6086" s="20" t="s">
        <v>796</v>
      </c>
      <c r="L6086" s="4" t="s">
        <v>47</v>
      </c>
    </row>
    <row r="6087" customFormat="false" ht="15" hidden="false" customHeight="false" outlineLevel="0" collapsed="false">
      <c r="A6087" s="1" t="s">
        <v>915</v>
      </c>
      <c r="B6087" s="0" t="s">
        <v>98</v>
      </c>
      <c r="F6087" s="6" t="n">
        <f aca="false">Sens!F6068</f>
        <v>141.890019070263</v>
      </c>
      <c r="G6087" s="6" t="n">
        <f aca="false">Sens!G6068</f>
        <v>159.406477667495</v>
      </c>
      <c r="H6087" s="6" t="n">
        <f aca="false">Sens!H6068</f>
        <v>177.071149205612</v>
      </c>
      <c r="I6087" s="6" t="n">
        <f aca="false">Sens!I6068</f>
        <v>193.751954968577</v>
      </c>
      <c r="J6087" s="6" t="n">
        <f aca="false">Sens!J6068</f>
        <v>209.073172673995</v>
      </c>
      <c r="K6087" s="6" t="n">
        <f aca="false">Sens!K6068</f>
        <v>224.071928628137</v>
      </c>
    </row>
    <row r="6088" customFormat="false" ht="17.15" hidden="false" customHeight="false" outlineLevel="0" collapsed="false">
      <c r="A6088" s="1" t="s">
        <v>937</v>
      </c>
      <c r="B6088" s="0" t="s">
        <v>98</v>
      </c>
      <c r="E6088" s="6" t="n">
        <f aca="false">Q!M38-Sens!E6006</f>
        <v>22.2285940229167</v>
      </c>
      <c r="F6088" s="6" t="n">
        <f aca="false">Sens!E6088*(1-1/life_nonai)+Sens!F6094/life_nonai</f>
        <v>23.5786693435813</v>
      </c>
      <c r="G6088" s="6" t="n">
        <f aca="false">Sens!F6088*(1-1/life_nonai)+Sens!G6094/life_nonai</f>
        <v>25.3810917662621</v>
      </c>
      <c r="H6088" s="6" t="n">
        <f aca="false">Sens!G6088*(1-1/life_nonai)+Sens!H6094/life_nonai</f>
        <v>27.5991339540448</v>
      </c>
      <c r="I6088" s="6" t="n">
        <f aca="false">Sens!H6088*(1-1/life_nonai)+Sens!I6094/life_nonai</f>
        <v>30.1565605898047</v>
      </c>
      <c r="J6088" s="6" t="n">
        <f aca="false">Sens!I6088*(1-1/life_nonai)+Sens!J6094/life_nonai</f>
        <v>32.9614958558616</v>
      </c>
      <c r="K6088" s="6" t="n">
        <f aca="false">Sens!J6088*(1-1/life_nonai)+Sens!K6094/life_nonai</f>
        <v>35.9297165444749</v>
      </c>
      <c r="L6088" s="11" t="s">
        <v>938</v>
      </c>
    </row>
    <row r="6089" customFormat="false" ht="17.15" hidden="false" customHeight="false" outlineLevel="0" collapsed="false">
      <c r="A6089" s="1" t="s">
        <v>939</v>
      </c>
      <c r="B6089" s="0" t="s">
        <v>98</v>
      </c>
      <c r="E6089" s="6" t="n">
        <f aca="false">Sens!E6006+Sens!E6088</f>
        <v>38.534</v>
      </c>
      <c r="F6089" s="6" t="n">
        <f aca="false">Sens!F6006+Sens!F6088</f>
        <v>58.306704799451</v>
      </c>
      <c r="G6089" s="6" t="n">
        <f aca="false">Sens!G6006+Sens!G6088</f>
        <v>85.8628250266016</v>
      </c>
      <c r="H6089" s="6" t="n">
        <f aca="false">Sens!H6006+Sens!H6088</f>
        <v>115.316449947184</v>
      </c>
      <c r="I6089" s="6" t="n">
        <f aca="false">Sens!I6006+Sens!I6088</f>
        <v>142.118600572026</v>
      </c>
      <c r="J6089" s="6" t="n">
        <f aca="false">Sens!J6006+Sens!J6088</f>
        <v>162.120206778527</v>
      </c>
      <c r="K6089" s="6" t="n">
        <f aca="false">Sens!K6006+Sens!K6088</f>
        <v>175.552363348948</v>
      </c>
    </row>
    <row r="6090" customFormat="false" ht="17.15" hidden="false" customHeight="false" outlineLevel="0" collapsed="false">
      <c r="A6090" s="1" t="s">
        <v>940</v>
      </c>
      <c r="B6090" s="0" t="s">
        <v>98</v>
      </c>
      <c r="F6090" s="6" t="n">
        <f aca="false">Sens!F6033*sbc_r</f>
        <v>14.9869443733272</v>
      </c>
      <c r="G6090" s="6" t="n">
        <f aca="false">Sens!G6033*sbc_r</f>
        <v>17.9323325188727</v>
      </c>
      <c r="H6090" s="6" t="n">
        <f aca="false">Sens!H6033*sbc_r</f>
        <v>20.9444574571991</v>
      </c>
      <c r="I6090" s="6" t="n">
        <f aca="false">Sens!I6033*sbc_r</f>
        <v>23.7034319533996</v>
      </c>
      <c r="J6090" s="6" t="n">
        <f aca="false">Sens!J6033*sbc_r</f>
        <v>25.9550560450683</v>
      </c>
      <c r="K6090" s="6" t="n">
        <f aca="false">Sens!K6033*sbc_r</f>
        <v>27.7776161334612</v>
      </c>
    </row>
    <row r="6091" customFormat="false" ht="17.15" hidden="false" customHeight="false" outlineLevel="0" collapsed="false">
      <c r="A6091" s="1" t="s">
        <v>941</v>
      </c>
      <c r="B6091" s="0" t="s">
        <v>98</v>
      </c>
      <c r="F6091" s="6" t="n">
        <f aca="false">wc27</f>
        <v>-4.895</v>
      </c>
      <c r="G6091" s="6" t="n">
        <f aca="false">wc_f</f>
        <v>0</v>
      </c>
      <c r="H6091" s="6" t="n">
        <f aca="false">wc_f</f>
        <v>0</v>
      </c>
      <c r="I6091" s="6" t="n">
        <f aca="false">wc_f</f>
        <v>0</v>
      </c>
      <c r="J6091" s="6" t="n">
        <f aca="false">wc_f</f>
        <v>0</v>
      </c>
      <c r="K6091" s="6" t="n">
        <f aca="false">wc_f</f>
        <v>0</v>
      </c>
      <c r="L6091" s="11" t="s">
        <v>942</v>
      </c>
    </row>
    <row r="6092" customFormat="false" ht="15" hidden="false" customHeight="false" outlineLevel="0" collapsed="false">
      <c r="A6092" s="1" t="s">
        <v>756</v>
      </c>
      <c r="B6092" s="0" t="s">
        <v>98</v>
      </c>
      <c r="E6092" s="6" t="n">
        <f aca="false">Q!M35</f>
        <v>182.935</v>
      </c>
      <c r="F6092" s="6" t="n">
        <f aca="false">Sens!F6087+Sens!F6089+Sens!F6090+Sens!F6091</f>
        <v>210.288668243041</v>
      </c>
      <c r="G6092" s="6" t="n">
        <f aca="false">Sens!G6087+Sens!G6089+Sens!G6090+Sens!G6091</f>
        <v>263.20163521297</v>
      </c>
      <c r="H6092" s="6" t="n">
        <f aca="false">Sens!H6087+Sens!H6089+Sens!H6090+Sens!H6091</f>
        <v>313.332056609996</v>
      </c>
      <c r="I6092" s="6" t="n">
        <f aca="false">Sens!I6087+Sens!I6089+Sens!I6090+Sens!I6091</f>
        <v>359.573987494002</v>
      </c>
      <c r="J6092" s="6" t="n">
        <f aca="false">Sens!J6087+Sens!J6089+Sens!J6090+Sens!J6091</f>
        <v>397.148435497591</v>
      </c>
      <c r="K6092" s="6" t="n">
        <f aca="false">Sens!K6087+Sens!K6089+Sens!K6090+Sens!K6091</f>
        <v>427.401908110546</v>
      </c>
    </row>
    <row r="6093" customFormat="false" ht="17.15" hidden="false" customHeight="false" outlineLevel="0" collapsed="false">
      <c r="A6093" s="0" t="s">
        <v>943</v>
      </c>
      <c r="B6093" s="0" t="s">
        <v>98</v>
      </c>
      <c r="F6093" s="6" t="n">
        <f aca="false">Sens!F6003</f>
        <v>168.470652770438</v>
      </c>
      <c r="G6093" s="6" t="n">
        <f aca="false">Sens!G6003</f>
        <v>183.5741804832</v>
      </c>
      <c r="H6093" s="6" t="n">
        <f aca="false">Sens!H6003</f>
        <v>188.0802859104</v>
      </c>
      <c r="I6093" s="6" t="n">
        <f aca="false">Sens!I6003</f>
        <v>163.706669154245</v>
      </c>
      <c r="J6093" s="6" t="n">
        <f aca="false">Sens!J6003</f>
        <v>124.51247671809</v>
      </c>
      <c r="K6093" s="6" t="n">
        <f aca="false">Sens!K6003</f>
        <v>114.959435641936</v>
      </c>
    </row>
    <row r="6094" customFormat="false" ht="17.15" hidden="false" customHeight="false" outlineLevel="0" collapsed="false">
      <c r="A6094" s="1" t="s">
        <v>944</v>
      </c>
      <c r="B6094" s="0" t="s">
        <v>98</v>
      </c>
      <c r="E6094" s="6" t="n">
        <f aca="false">Sens!E6011*cx_azo+Sens!E6018*cx_m365+Sens!E6019*cx_lic+(Sens!E6021+Sens!E6023)*cx_ind+Sens!E6026*cx_srch+(Sens!E6028+Sens!E6030)*cx_dev</f>
        <v>30.1846587067718</v>
      </c>
      <c r="F6094" s="6" t="n">
        <f aca="false">Sens!F6011*cx_azo+Sens!F6018*cx_m365+Sens!F6019*cx_lic+(Sens!F6021+Sens!F6023)*cx_ind+Sens!F6026*cx_srch+(Sens!F6028+Sens!F6030)*cx_dev</f>
        <v>35.7293472295625</v>
      </c>
      <c r="G6094" s="6" t="n">
        <f aca="false">Sens!G6011*cx_azo+Sens!G6018*cx_m365+Sens!G6019*cx_lic+(Sens!G6021+Sens!G6023)*cx_ind+Sens!G6026*cx_srch+(Sens!G6028+Sens!G6030)*cx_dev</f>
        <v>41.6028935703892</v>
      </c>
      <c r="H6094" s="6" t="n">
        <f aca="false">Sens!H6011*cx_azo+Sens!H6018*cx_m365+Sens!H6019*cx_lic+(Sens!H6021+Sens!H6023)*cx_ind+Sens!H6026*cx_srch+(Sens!H6028+Sens!H6030)*cx_dev</f>
        <v>47.5615136440897</v>
      </c>
      <c r="I6094" s="6" t="n">
        <f aca="false">Sens!I6011*cx_azo+Sens!I6018*cx_m365+Sens!I6019*cx_lic+(Sens!I6021+Sens!I6023)*cx_ind+Sens!I6026*cx_srch+(Sens!I6028+Sens!I6030)*cx_dev</f>
        <v>53.1734003116439</v>
      </c>
      <c r="J6094" s="6" t="n">
        <f aca="false">Sens!J6011*cx_azo+Sens!J6018*cx_m365+Sens!J6019*cx_lic+(Sens!J6021+Sens!J6023)*cx_ind+Sens!J6026*cx_srch+(Sens!J6028+Sens!J6030)*cx_dev</f>
        <v>58.2059132503738</v>
      </c>
      <c r="K6094" s="6" t="n">
        <f aca="false">Sens!K6011*cx_azo+Sens!K6018*cx_m365+Sens!K6019*cx_lic+(Sens!K6021+Sens!K6023)*cx_ind+Sens!K6026*cx_srch+(Sens!K6028+Sens!K6030)*cx_dev</f>
        <v>62.643702741994</v>
      </c>
    </row>
    <row r="6095" customFormat="false" ht="17.15" hidden="false" customHeight="false" outlineLevel="0" collapsed="false">
      <c r="A6095" s="1" t="s">
        <v>945</v>
      </c>
      <c r="B6095" s="0" t="s">
        <v>98</v>
      </c>
      <c r="E6095" s="6" t="n">
        <f aca="false">Q!M42</f>
        <v>145.3</v>
      </c>
      <c r="F6095" s="6" t="n">
        <f aca="false">Sens!F6093+Sens!F6094</f>
        <v>204.2</v>
      </c>
      <c r="G6095" s="6" t="n">
        <f aca="false">Sens!G6093+Sens!G6094</f>
        <v>225.177074053589</v>
      </c>
      <c r="H6095" s="6" t="n">
        <f aca="false">Sens!H6093+Sens!H6094</f>
        <v>235.64179955449</v>
      </c>
      <c r="I6095" s="6" t="n">
        <f aca="false">Sens!I6093+Sens!I6094</f>
        <v>216.880069465889</v>
      </c>
      <c r="J6095" s="6" t="n">
        <f aca="false">Sens!J6093+Sens!J6094</f>
        <v>182.718389968464</v>
      </c>
      <c r="K6095" s="6" t="n">
        <f aca="false">Sens!K6093+Sens!K6094</f>
        <v>177.60313838393</v>
      </c>
      <c r="L6095" s="1" t="s">
        <v>946</v>
      </c>
    </row>
    <row r="6096" customFormat="false" ht="15" hidden="false" customHeight="false" outlineLevel="0" collapsed="false">
      <c r="A6096" s="1" t="s">
        <v>947</v>
      </c>
      <c r="B6096" s="0" t="s">
        <v>98</v>
      </c>
      <c r="E6096" s="6" t="n">
        <f aca="false">fl_liab</f>
        <v>66.594</v>
      </c>
      <c r="F6096" s="6" t="n">
        <f aca="false">Sens!E6096-Sens!F6097</f>
        <v>62.46973</v>
      </c>
      <c r="G6096" s="6" t="n">
        <f aca="false">Sens!F6096-Sens!G6097</f>
        <v>57.98686785</v>
      </c>
      <c r="H6096" s="6" t="n">
        <f aca="false">Sens!G6096-Sens!H6097</f>
        <v>53.92827690325</v>
      </c>
      <c r="I6096" s="6" t="n">
        <f aca="false">Sens!H6096-Sens!I6097</f>
        <v>49.7850493638962</v>
      </c>
      <c r="J6096" s="6" t="n">
        <f aca="false">Sens!I6096-Sens!J6097</f>
        <v>45.4823765852716</v>
      </c>
      <c r="K6096" s="6" t="n">
        <f aca="false">Sens!J6096-Sens!K6097</f>
        <v>40.9860835316088</v>
      </c>
    </row>
    <row r="6097" customFormat="false" ht="15" hidden="false" customHeight="false" outlineLevel="0" collapsed="false">
      <c r="A6097" s="1" t="s">
        <v>948</v>
      </c>
      <c r="B6097" s="0" t="s">
        <v>98</v>
      </c>
      <c r="F6097" s="6" t="n">
        <f aca="false">fl_pay_27-Sens!E6096*fl_rate</f>
        <v>4.12427</v>
      </c>
      <c r="G6097" s="6" t="n">
        <f aca="false">fl_pay_28-Sens!F6096*fl_rate</f>
        <v>4.48286215</v>
      </c>
      <c r="H6097" s="6" t="n">
        <f aca="false">fl_pay_29-Sens!G6096*fl_rate</f>
        <v>4.05859094675</v>
      </c>
      <c r="I6097" s="6" t="n">
        <f aca="false">fl_pay_30-Sens!H6096*fl_rate</f>
        <v>4.14322753935375</v>
      </c>
      <c r="J6097" s="6" t="n">
        <f aca="false">fl_pay_31-Sens!I6096*fl_rate</f>
        <v>4.30267277862467</v>
      </c>
      <c r="K6097" s="6" t="n">
        <f aca="false">fl_pay_32-Sens!J6096*fl_rate</f>
        <v>4.49629305366278</v>
      </c>
    </row>
    <row r="6098" customFormat="false" ht="17.15" hidden="false" customHeight="false" outlineLevel="0" collapsed="false">
      <c r="A6098" s="1" t="s">
        <v>949</v>
      </c>
      <c r="B6098" s="0" t="s">
        <v>98</v>
      </c>
      <c r="E6098" s="6" t="n">
        <f aca="false">Q!M35-Q!M36-Q!M43</f>
        <v>63.886</v>
      </c>
      <c r="F6098" s="6" t="n">
        <f aca="false">Sens!F6092-Sens!F6095-Sens!F6097</f>
        <v>1.96439824304093</v>
      </c>
      <c r="G6098" s="6" t="n">
        <f aca="false">Sens!G6092-Sens!G6095-Sens!G6097</f>
        <v>33.5416990093803</v>
      </c>
      <c r="H6098" s="6" t="n">
        <f aca="false">Sens!H6092-Sens!H6095-Sens!H6097</f>
        <v>73.6316661087563</v>
      </c>
      <c r="I6098" s="6" t="n">
        <f aca="false">Sens!I6092-Sens!I6095-Sens!I6097</f>
        <v>138.550690488759</v>
      </c>
      <c r="J6098" s="6" t="n">
        <f aca="false">Sens!J6092-Sens!J6095-Sens!J6097</f>
        <v>210.127372750502</v>
      </c>
      <c r="K6098" s="6" t="n">
        <f aca="false">Sens!K6092-Sens!K6095-Sens!K6097</f>
        <v>245.302476672954</v>
      </c>
      <c r="L6098" s="11" t="s">
        <v>950</v>
      </c>
    </row>
    <row r="6099" customFormat="false" ht="15" hidden="false" customHeight="false" outlineLevel="0" collapsed="false">
      <c r="A6099" s="1" t="s">
        <v>951</v>
      </c>
      <c r="B6099" s="0" t="s">
        <v>75</v>
      </c>
      <c r="F6099" s="8" t="n">
        <f aca="false">dps_27</f>
        <v>3.85</v>
      </c>
      <c r="G6099" s="8" t="n">
        <f aca="false">Sens!F6099*(1+dps_g)</f>
        <v>4.158</v>
      </c>
      <c r="H6099" s="8" t="n">
        <f aca="false">Sens!G6099*(1+dps_g)</f>
        <v>4.49064</v>
      </c>
      <c r="I6099" s="8" t="n">
        <f aca="false">Sens!H6099*(1+dps_g)</f>
        <v>4.8498912</v>
      </c>
      <c r="J6099" s="8" t="n">
        <f aca="false">Sens!I6099*(1+dps_g)</f>
        <v>5.237882496</v>
      </c>
      <c r="K6099" s="8" t="n">
        <f aca="false">Sens!J6099*(1+dps_g)</f>
        <v>5.65691309568</v>
      </c>
    </row>
    <row r="6100" customFormat="false" ht="17.15" hidden="false" customHeight="false" outlineLevel="0" collapsed="false">
      <c r="A6100" s="1" t="s">
        <v>952</v>
      </c>
      <c r="B6100" s="0" t="s">
        <v>98</v>
      </c>
      <c r="E6100" s="6" t="n">
        <f aca="false">Q!M41</f>
        <v>26.445</v>
      </c>
      <c r="F6100" s="6" t="n">
        <f aca="false">Sens!F6099*Sens!E6109</f>
        <v>28.59395</v>
      </c>
      <c r="G6100" s="6" t="n">
        <f aca="false">Sens!G6099*Sens!F6109</f>
        <v>31.068576</v>
      </c>
      <c r="H6100" s="6" t="n">
        <f aca="false">Sens!H6099*Sens!G6109</f>
        <v>33.7375621012355</v>
      </c>
      <c r="I6100" s="6" t="n">
        <f aca="false">Sens!I6099*Sens!H6109</f>
        <v>36.4875063093338</v>
      </c>
      <c r="J6100" s="6" t="n">
        <f aca="false">Sens!J6099*Sens!I6109</f>
        <v>39.4749056623999</v>
      </c>
      <c r="K6100" s="6" t="n">
        <f aca="false">Sens!K6099*Sens!J6109</f>
        <v>42.720153340697</v>
      </c>
      <c r="L6100" s="1" t="s">
        <v>953</v>
      </c>
    </row>
    <row r="6101" customFormat="false" ht="15" hidden="false" customHeight="false" outlineLevel="0" collapsed="false">
      <c r="A6101" s="1" t="s">
        <v>954</v>
      </c>
      <c r="B6101" s="0" t="s">
        <v>98</v>
      </c>
      <c r="E6101" s="6" t="n">
        <f aca="false">Sens!E6098-Sens!E6100</f>
        <v>37.441</v>
      </c>
      <c r="F6101" s="6" t="n">
        <f aca="false">Sens!F6098-Sens!F6100</f>
        <v>-26.6295517569591</v>
      </c>
      <c r="G6101" s="6" t="n">
        <f aca="false">Sens!G6098-Sens!G6100</f>
        <v>2.47312300938025</v>
      </c>
      <c r="H6101" s="6" t="n">
        <f aca="false">Sens!H6098-Sens!H6100</f>
        <v>39.8941040075208</v>
      </c>
      <c r="I6101" s="6" t="n">
        <f aca="false">Sens!I6098-Sens!I6100</f>
        <v>102.063184179426</v>
      </c>
      <c r="J6101" s="6" t="n">
        <f aca="false">Sens!J6098-Sens!J6100</f>
        <v>170.652467088102</v>
      </c>
      <c r="K6101" s="6" t="n">
        <f aca="false">Sens!K6098-Sens!K6100</f>
        <v>202.582323332257</v>
      </c>
    </row>
    <row r="6102" customFormat="false" ht="15" hidden="false" customHeight="false" outlineLevel="0" collapsed="false">
      <c r="A6102" s="1" t="s">
        <v>955</v>
      </c>
      <c r="B6102" s="0" t="s">
        <v>98</v>
      </c>
      <c r="F6102" s="6" t="n">
        <f aca="false">debt_mat_27</f>
        <v>9.25</v>
      </c>
      <c r="G6102" s="6" t="n">
        <f aca="false">debt_mat_28</f>
        <v>0</v>
      </c>
      <c r="H6102" s="6" t="n">
        <f aca="false">debt_mat_29</f>
        <v>2.001</v>
      </c>
      <c r="I6102" s="6" t="n">
        <f aca="false">debt_mat_30</f>
        <v>0</v>
      </c>
      <c r="J6102" s="6" t="n">
        <f aca="false">debt_mat_31</f>
        <v>0.5</v>
      </c>
      <c r="K6102" s="6" t="n">
        <f aca="false">debt_mat_32</f>
        <v>0</v>
      </c>
    </row>
    <row r="6103" customFormat="false" ht="15" hidden="false" customHeight="false" outlineLevel="0" collapsed="false">
      <c r="A6103" s="1" t="s">
        <v>956</v>
      </c>
      <c r="B6103" s="0" t="s">
        <v>98</v>
      </c>
      <c r="E6103" s="6" t="n">
        <f aca="false">Q!M40</f>
        <v>22.271</v>
      </c>
      <c r="F6103" s="6" t="n">
        <f aca="false">MAX(0,MIN(bb_target,Sens!E6105+Sens!F6101-Sens!F6102-min_cash))</f>
        <v>0</v>
      </c>
      <c r="G6103" s="6" t="n">
        <f aca="false">MAX(0,MIN(bb_target,Sens!F6105+Sens!G6101-Sens!G6102-min_cash))</f>
        <v>2.47312300938025</v>
      </c>
      <c r="H6103" s="6" t="n">
        <f aca="false">MAX(0,MIN(bb_target,Sens!G6105+Sens!H6101-Sens!H6102-min_cash))</f>
        <v>22.271</v>
      </c>
      <c r="I6103" s="6" t="n">
        <f aca="false">MAX(0,MIN(bb_target,Sens!H6105+Sens!I6101-Sens!I6102-min_cash))</f>
        <v>22.271</v>
      </c>
      <c r="J6103" s="6" t="n">
        <f aca="false">MAX(0,MIN(bb_target,Sens!I6105+Sens!J6101-Sens!J6102-min_cash))</f>
        <v>22.271</v>
      </c>
      <c r="K6103" s="6" t="n">
        <f aca="false">MAX(0,MIN(bb_target,Sens!J6105+Sens!K6101-Sens!K6102-min_cash))</f>
        <v>22.271</v>
      </c>
    </row>
    <row r="6104" customFormat="false" ht="15" hidden="false" customHeight="false" outlineLevel="0" collapsed="false">
      <c r="A6104" s="1" t="s">
        <v>957</v>
      </c>
      <c r="B6104" s="0" t="s">
        <v>98</v>
      </c>
      <c r="F6104" s="6" t="n">
        <f aca="false">MAX(0,min_cash-(Sens!E6105+Sens!F6101-Sens!F6102-Sens!F6103))</f>
        <v>9.03655175695907</v>
      </c>
      <c r="G6104" s="6" t="n">
        <f aca="false">MAX(0,min_cash-(Sens!F6105+Sens!G6101-Sens!G6102-Sens!G6103))</f>
        <v>0</v>
      </c>
      <c r="H6104" s="6" t="n">
        <f aca="false">MAX(0,min_cash-(Sens!G6105+Sens!H6101-Sens!H6102-Sens!H6103))</f>
        <v>0</v>
      </c>
      <c r="I6104" s="6" t="n">
        <f aca="false">MAX(0,min_cash-(Sens!H6105+Sens!I6101-Sens!I6102-Sens!I6103))</f>
        <v>0</v>
      </c>
      <c r="J6104" s="6" t="n">
        <f aca="false">MAX(0,min_cash-(Sens!I6105+Sens!J6101-Sens!J6102-Sens!J6103))</f>
        <v>0</v>
      </c>
      <c r="K6104" s="6" t="n">
        <f aca="false">MAX(0,min_cash-(Sens!J6105+Sens!K6101-Sens!K6102-Sens!K6103))</f>
        <v>0</v>
      </c>
    </row>
    <row r="6105" customFormat="false" ht="15" hidden="false" customHeight="false" outlineLevel="0" collapsed="false">
      <c r="A6105" s="1" t="s">
        <v>958</v>
      </c>
      <c r="B6105" s="0" t="s">
        <v>98</v>
      </c>
      <c r="E6105" s="6" t="n">
        <f aca="false">cash_open</f>
        <v>76.843</v>
      </c>
      <c r="F6105" s="6" t="n">
        <f aca="false">Sens!E6105+Sens!F6101-Sens!F6102-Sens!F6103+Sens!F6104</f>
        <v>50</v>
      </c>
      <c r="G6105" s="6" t="n">
        <f aca="false">Sens!F6105+Sens!G6101-Sens!G6102-Sens!G6103+Sens!G6104</f>
        <v>50</v>
      </c>
      <c r="H6105" s="6" t="n">
        <f aca="false">Sens!G6105+Sens!H6101-Sens!H6102-Sens!H6103+Sens!H6104</f>
        <v>65.6221040075208</v>
      </c>
      <c r="I6105" s="6" t="n">
        <f aca="false">Sens!H6105+Sens!I6101-Sens!I6102-Sens!I6103+Sens!I6104</f>
        <v>145.414288186946</v>
      </c>
      <c r="J6105" s="6" t="n">
        <f aca="false">Sens!I6105+Sens!J6101-Sens!J6102-Sens!J6103+Sens!J6104</f>
        <v>293.295755275049</v>
      </c>
      <c r="K6105" s="6" t="n">
        <f aca="false">Sens!J6105+Sens!K6101-Sens!K6102-Sens!K6103+Sens!K6104</f>
        <v>473.607078607305</v>
      </c>
    </row>
    <row r="6106" customFormat="false" ht="15" hidden="false" customHeight="false" outlineLevel="0" collapsed="false">
      <c r="A6106" s="1" t="s">
        <v>959</v>
      </c>
      <c r="B6106" s="0" t="s">
        <v>98</v>
      </c>
      <c r="E6106" s="6" t="n">
        <f aca="false">debt_face</f>
        <v>46.136</v>
      </c>
      <c r="F6106" s="6" t="n">
        <f aca="false">Sens!E6106-Sens!F6102+Sens!F6104</f>
        <v>45.9225517569591</v>
      </c>
      <c r="G6106" s="6" t="n">
        <f aca="false">Sens!F6106-Sens!G6102+Sens!G6104</f>
        <v>45.9225517569591</v>
      </c>
      <c r="H6106" s="6" t="n">
        <f aca="false">Sens!G6106-Sens!H6102+Sens!H6104</f>
        <v>43.9215517569591</v>
      </c>
      <c r="I6106" s="6" t="n">
        <f aca="false">Sens!H6106-Sens!I6102+Sens!I6104</f>
        <v>43.9215517569591</v>
      </c>
      <c r="J6106" s="6" t="n">
        <f aca="false">Sens!I6106-Sens!J6102+Sens!J6104</f>
        <v>43.4215517569591</v>
      </c>
      <c r="K6106" s="6" t="n">
        <f aca="false">Sens!J6106-Sens!K6102+Sens!K6104</f>
        <v>43.4215517569591</v>
      </c>
    </row>
    <row r="6107" customFormat="false" ht="15" hidden="false" customHeight="false" outlineLevel="0" collapsed="false">
      <c r="A6107" s="1" t="s">
        <v>960</v>
      </c>
      <c r="B6107" s="0" t="s">
        <v>98</v>
      </c>
      <c r="E6107" s="6" t="n">
        <f aca="false">Sens!E6105-Sens!E6106</f>
        <v>30.707</v>
      </c>
      <c r="F6107" s="6" t="n">
        <f aca="false">Sens!F6105-Sens!F6106</f>
        <v>4.07744824304093</v>
      </c>
      <c r="G6107" s="6" t="n">
        <f aca="false">Sens!G6105-Sens!G6106</f>
        <v>4.07744824304093</v>
      </c>
      <c r="H6107" s="6" t="n">
        <f aca="false">Sens!H6105-Sens!H6106</f>
        <v>21.7005522505617</v>
      </c>
      <c r="I6107" s="6" t="n">
        <f aca="false">Sens!I6105-Sens!I6106</f>
        <v>101.492736429987</v>
      </c>
      <c r="J6107" s="6" t="n">
        <f aca="false">Sens!J6105-Sens!J6106</f>
        <v>249.874203518089</v>
      </c>
      <c r="K6107" s="6" t="n">
        <f aca="false">Sens!K6105-Sens!K6106</f>
        <v>430.185526850346</v>
      </c>
    </row>
    <row r="6108" customFormat="false" ht="15" hidden="false" customHeight="false" outlineLevel="0" collapsed="false">
      <c r="A6108" s="1" t="s">
        <v>961</v>
      </c>
      <c r="B6108" s="0" t="s">
        <v>75</v>
      </c>
      <c r="F6108" s="29" t="n">
        <f aca="false">px*(1+bb_g)^(Sens!F5972-base_fy-mid_yr)</f>
        <v>553.494156066711</v>
      </c>
      <c r="G6108" s="29" t="n">
        <f aca="false">px*(1+bb_g)^(Sens!G5972-base_fy-mid_yr)</f>
        <v>597.773688552047</v>
      </c>
      <c r="H6108" s="29" t="n">
        <f aca="false">px*(1+bb_g)^(Sens!H5972-base_fy-mid_yr)</f>
        <v>645.595583636211</v>
      </c>
      <c r="I6108" s="29" t="n">
        <f aca="false">px*(1+bb_g)^(Sens!I5972-base_fy-mid_yr)</f>
        <v>697.243230327108</v>
      </c>
      <c r="J6108" s="29" t="n">
        <f aca="false">px*(1+bb_g)^(Sens!J5972-base_fy-mid_yr)</f>
        <v>753.022688753277</v>
      </c>
      <c r="K6108" s="29" t="n">
        <f aca="false">px*(1+bb_g)^(Sens!K5972-base_fy-mid_yr)</f>
        <v>813.264503853539</v>
      </c>
    </row>
    <row r="6109" customFormat="false" ht="15" hidden="false" customHeight="false" outlineLevel="0" collapsed="false">
      <c r="A6109" s="1" t="s">
        <v>962</v>
      </c>
      <c r="B6109" s="1" t="s">
        <v>81</v>
      </c>
      <c r="E6109" s="14" t="n">
        <f aca="false">sh_out26</f>
        <v>7.427</v>
      </c>
      <c r="F6109" s="14" t="n">
        <f aca="false">Sens!E6109+sh_iss-Sens!F6103/Sens!F6108</f>
        <v>7.472</v>
      </c>
      <c r="G6109" s="14" t="n">
        <f aca="false">Sens!F6109+sh_iss-Sens!G6103/Sens!G6108</f>
        <v>7.51286277707309</v>
      </c>
      <c r="H6109" s="14" t="n">
        <f aca="false">Sens!G6109+sh_iss-Sens!H6103/Sens!H6108</f>
        <v>7.52336594877299</v>
      </c>
      <c r="I6109" s="14" t="n">
        <f aca="false">Sens!H6109+sh_iss-Sens!I6103/Sens!I6108</f>
        <v>7.53642444108772</v>
      </c>
      <c r="J6109" s="14" t="n">
        <f aca="false">Sens!I6109+sh_iss-Sens!J6103/Sens!J6108</f>
        <v>7.55184897100876</v>
      </c>
      <c r="K6109" s="14" t="n">
        <f aca="false">Sens!J6109+sh_iss-Sens!K6103/Sens!K6108</f>
        <v>7.5694642764912</v>
      </c>
    </row>
    <row r="6110" customFormat="false" ht="15" hidden="false" customHeight="false" outlineLevel="0" collapsed="false">
      <c r="A6110" s="1" t="s">
        <v>963</v>
      </c>
      <c r="B6110" s="1" t="s">
        <v>81</v>
      </c>
      <c r="E6110" s="14" t="n">
        <f aca="false">sh_dil26</f>
        <v>7.453</v>
      </c>
      <c r="F6110" s="14" t="n">
        <f aca="false">(Sens!E6109+Sens!F6109)/2+dil_gap</f>
        <v>7.4735</v>
      </c>
      <c r="G6110" s="14" t="n">
        <f aca="false">(Sens!F6109+Sens!G6109)/2+dil_gap</f>
        <v>7.51643138853655</v>
      </c>
      <c r="H6110" s="14" t="n">
        <f aca="false">(Sens!G6109+Sens!H6109)/2+dil_gap</f>
        <v>7.54211436292304</v>
      </c>
      <c r="I6110" s="14" t="n">
        <f aca="false">(Sens!H6109+Sens!I6109)/2+dil_gap</f>
        <v>7.55389519493035</v>
      </c>
      <c r="J6110" s="14" t="n">
        <f aca="false">(Sens!I6109+Sens!J6109)/2+dil_gap</f>
        <v>7.56813670604824</v>
      </c>
      <c r="K6110" s="14" t="n">
        <f aca="false">(Sens!J6109+Sens!K6109)/2+dil_gap</f>
        <v>7.58465662374998</v>
      </c>
    </row>
    <row r="6111" customFormat="false" ht="17.15" hidden="false" customHeight="false" outlineLevel="0" collapsed="false">
      <c r="A6111" s="1" t="s">
        <v>964</v>
      </c>
      <c r="B6111" s="0" t="s">
        <v>98</v>
      </c>
      <c r="C6111" s="6" t="n">
        <f aca="false">SUM(Sens!F6101:J6101)</f>
        <v>288.45332652747</v>
      </c>
    </row>
    <row r="6112" customFormat="false" ht="15" hidden="false" customHeight="false" outlineLevel="0" collapsed="false">
      <c r="A6112" s="23" t="s">
        <v>935</v>
      </c>
      <c r="B6112" s="30" t="s">
        <v>98</v>
      </c>
      <c r="C6112" s="24" t="n">
        <f aca="false">Sens!$C$6111-(Sens!F6101+Sens!G6101+Sens!H6101+Sens!I6101+Sens!J6101)</f>
        <v>0</v>
      </c>
      <c r="D6112" s="30"/>
      <c r="E6112" s="30"/>
      <c r="F6112" s="30"/>
      <c r="G6112" s="30"/>
      <c r="H6112" s="30"/>
      <c r="I6112" s="30"/>
      <c r="J6112" s="30"/>
      <c r="K6112" s="30"/>
    </row>
    <row r="6113" customFormat="false" ht="17.15" hidden="false" customHeight="false" outlineLevel="0" collapsed="false">
      <c r="A6113" s="1" t="s">
        <v>929</v>
      </c>
      <c r="B6113" s="1" t="s">
        <v>965</v>
      </c>
      <c r="C6113" s="32" t="str">
        <f aca="false">IF(SUM(Sens!F6104:J6104)&gt;0.05,"需要舉債 "&amp;TEXT(SUM(Sens!F6104:J6104),"0.0")&amp;" 十億美元","不需舉債")&amp;"；"&amp;IF(SUM(Sens!F6103:J6103)&lt;COUNT(Sens!F6103:J6103)*bb_target-0.05,"回購較每年 "&amp;TEXT(bb_target,"0.0")&amp;" 的目標少 "&amp;TEXT(COUNT(Sens!F6103:J6103)*bb_target-SUM(Sens!F6103:J6103),"0.0")&amp;" 十億美元（"&amp;TEXT(COUNTIF(Sens!F6103:J6103,"&lt;"&amp;(bb_target-0.05)),"0")&amp;" 年減少）","回購不減")</f>
        <v>需要舉債 9.0 十億美元；回購較每年 22.3 的目標少 42.1 十億美元（2 年減少）</v>
      </c>
    </row>
    <row r="6114" customFormat="false" ht="17.15" hidden="false" customHeight="false" outlineLevel="0" collapsed="false">
      <c r="A6114" s="3" t="s">
        <v>1393</v>
      </c>
    </row>
    <row r="6115" customFormat="false" ht="15" hidden="false" customHeight="false" outlineLevel="0" collapsed="false">
      <c r="A6115" s="4" t="s">
        <v>43</v>
      </c>
      <c r="B6115" s="4" t="s">
        <v>65</v>
      </c>
      <c r="C6115" s="20" t="s">
        <v>788</v>
      </c>
      <c r="D6115" s="20" t="s">
        <v>789</v>
      </c>
      <c r="E6115" s="20" t="s">
        <v>790</v>
      </c>
      <c r="F6115" s="20" t="s">
        <v>791</v>
      </c>
      <c r="G6115" s="20" t="s">
        <v>792</v>
      </c>
      <c r="H6115" s="20" t="s">
        <v>793</v>
      </c>
      <c r="I6115" s="20" t="s">
        <v>794</v>
      </c>
      <c r="J6115" s="20" t="s">
        <v>795</v>
      </c>
      <c r="K6115" s="20" t="s">
        <v>796</v>
      </c>
      <c r="L6115" s="4" t="s">
        <v>47</v>
      </c>
    </row>
    <row r="6116" customFormat="false" ht="15" hidden="false" customHeight="false" outlineLevel="0" collapsed="false">
      <c r="A6116" s="1" t="s">
        <v>1042</v>
      </c>
      <c r="B6116" s="1" t="s">
        <v>235</v>
      </c>
      <c r="F6116" s="36" t="n">
        <f aca="false">Sens!F5972-base_fy-mid_yr</f>
        <v>0.5</v>
      </c>
      <c r="G6116" s="36" t="n">
        <f aca="false">Sens!G5972-base_fy-mid_yr</f>
        <v>1.5</v>
      </c>
      <c r="H6116" s="36" t="n">
        <f aca="false">Sens!H5972-base_fy-mid_yr</f>
        <v>2.5</v>
      </c>
      <c r="I6116" s="36" t="n">
        <f aca="false">Sens!I5972-base_fy-mid_yr</f>
        <v>3.5</v>
      </c>
      <c r="J6116" s="36" t="n">
        <f aca="false">Sens!J5972-base_fy-mid_yr</f>
        <v>4.5</v>
      </c>
      <c r="K6116" s="36" t="n">
        <f aca="false">Sens!K5972-base_fy-mid_yr</f>
        <v>5.5</v>
      </c>
    </row>
    <row r="6117" customFormat="false" ht="15" hidden="false" customHeight="false" outlineLevel="0" collapsed="false">
      <c r="A6117" s="1" t="s">
        <v>1043</v>
      </c>
      <c r="B6117" s="0" t="s">
        <v>185</v>
      </c>
      <c r="F6117" s="14" t="n">
        <f aca="false">1/(1+wacc)^Sens!F6116</f>
        <v>0.952193373608246</v>
      </c>
      <c r="G6117" s="14" t="n">
        <f aca="false">1/(1+wacc)^Sens!G6116</f>
        <v>0.863327280626589</v>
      </c>
      <c r="H6117" s="14" t="n">
        <f aca="false">1/(1+wacc)^Sens!H6116</f>
        <v>0.782754862754115</v>
      </c>
      <c r="I6117" s="14" t="n">
        <f aca="false">1/(1+wacc)^Sens!I6116</f>
        <v>0.709702089711011</v>
      </c>
      <c r="J6117" s="14" t="n">
        <f aca="false">1/(1+wacc)^Sens!J6116</f>
        <v>0.643467169744551</v>
      </c>
      <c r="K6117" s="14" t="n">
        <f aca="false">1/(1+wacc)^Sens!K6116</f>
        <v>0.583413807767797</v>
      </c>
    </row>
    <row r="6118" customFormat="false" ht="17.15" hidden="false" customHeight="false" outlineLevel="0" collapsed="false">
      <c r="A6118" s="1" t="s">
        <v>1044</v>
      </c>
      <c r="B6118" s="0" t="s">
        <v>98</v>
      </c>
      <c r="F6118" s="6" t="n">
        <f aca="false">Sens!F6092-Sens!F6090-Sens!F6095+Sens!F6076*(1-tax_f)</f>
        <v>6.36522982150554</v>
      </c>
      <c r="G6118" s="6" t="n">
        <f aca="false">Sens!G6092-Sens!G6090-Sens!G6095+Sens!G6076*(1-tax_f)</f>
        <v>46.1455417324757</v>
      </c>
      <c r="H6118" s="6" t="n">
        <f aca="false">Sens!H6092-Sens!H6090-Sens!H6095+Sens!H6076*(1-tax_f)</f>
        <v>94.6708847048119</v>
      </c>
      <c r="I6118" s="6" t="n">
        <f aca="false">Sens!I6092-Sens!I6090-Sens!I6095+Sens!I6076*(1-tax_f)</f>
        <v>167.992493332815</v>
      </c>
      <c r="J6118" s="6" t="n">
        <f aca="false">Sens!J6092-Sens!J6090-Sens!J6095+Sens!J6076*(1-tax_f)</f>
        <v>245.28268054452</v>
      </c>
      <c r="K6118" s="6" t="n">
        <f aca="false">Sens!K6092-Sens!K6090-Sens!K6095+Sens!K6076*(1-tax_f)</f>
        <v>282.8573597263</v>
      </c>
      <c r="L6118" s="1" t="s">
        <v>1045</v>
      </c>
    </row>
    <row r="6119" customFormat="false" ht="15" hidden="false" customHeight="false" outlineLevel="0" collapsed="false">
      <c r="A6119" s="1" t="s">
        <v>1046</v>
      </c>
      <c r="B6119" s="0" t="s">
        <v>98</v>
      </c>
      <c r="F6119" s="6" t="n">
        <f aca="false">Sens!F6118*Sens!F6117</f>
        <v>6.06092965753117</v>
      </c>
      <c r="G6119" s="6" t="n">
        <f aca="false">Sens!G6118*Sens!G6117</f>
        <v>39.838705056939</v>
      </c>
      <c r="H6119" s="6" t="n">
        <f aca="false">Sens!H6118*Sens!H6117</f>
        <v>74.1040953639257</v>
      </c>
      <c r="I6119" s="6" t="n">
        <f aca="false">Sens!I6118*Sens!I6117</f>
        <v>119.224623574061</v>
      </c>
      <c r="J6119" s="6" t="n">
        <f aca="false">Sens!J6118*Sens!J6117</f>
        <v>157.831352237339</v>
      </c>
      <c r="K6119" s="6" t="n">
        <f aca="false">Sens!K6118*Sens!K6117</f>
        <v>165.022889293066</v>
      </c>
    </row>
    <row r="6120" customFormat="false" ht="17.15" hidden="false" customHeight="false" outlineLevel="0" collapsed="false">
      <c r="A6120" s="1" t="s">
        <v>1047</v>
      </c>
      <c r="B6120" s="0" t="s">
        <v>98</v>
      </c>
      <c r="C6120" s="6" t="n">
        <f aca="false">SUM(Sens!F6119:K6119)</f>
        <v>562.082595182863</v>
      </c>
    </row>
    <row r="6121" customFormat="false" ht="17.15" hidden="false" customHeight="false" outlineLevel="0" collapsed="false">
      <c r="A6121" s="1" t="s">
        <v>1048</v>
      </c>
      <c r="B6121" s="0" t="s">
        <v>98</v>
      </c>
      <c r="C6121" s="6" t="n">
        <f aca="false">Sens!K6062*(1+g_tv)*(1-tax_f)</f>
        <v>293.78497880412</v>
      </c>
    </row>
    <row r="6122" customFormat="false" ht="17.15" hidden="false" customHeight="false" outlineLevel="0" collapsed="false">
      <c r="A6122" s="1" t="s">
        <v>1049</v>
      </c>
      <c r="B6122" s="0" t="s">
        <v>98</v>
      </c>
      <c r="C6122" s="6" t="n">
        <f aca="false">Sens!$C$6121*(1-g_tv/(wacc+ronic_prem))</f>
        <v>208.162022399729</v>
      </c>
    </row>
    <row r="6123" customFormat="false" ht="17.15" hidden="false" customHeight="false" outlineLevel="0" collapsed="false">
      <c r="A6123" s="1" t="s">
        <v>1050</v>
      </c>
      <c r="B6123" s="0" t="s">
        <v>98</v>
      </c>
      <c r="C6123" s="6" t="n">
        <f aca="false">Sens!$C$6122/(wacc-g_tv)</f>
        <v>2854.09854681305</v>
      </c>
    </row>
    <row r="6124" customFormat="false" ht="15" hidden="false" customHeight="false" outlineLevel="0" collapsed="false">
      <c r="A6124" s="1" t="s">
        <v>1051</v>
      </c>
      <c r="B6124" s="0" t="s">
        <v>98</v>
      </c>
      <c r="C6124" s="6" t="n">
        <f aca="false">Sens!$C$6123/(1+wacc)^(Sens!K6116+mid_yr)</f>
        <v>1585.51670725501</v>
      </c>
    </row>
    <row r="6125" customFormat="false" ht="17.15" hidden="false" customHeight="false" outlineLevel="0" collapsed="false">
      <c r="A6125" s="0" t="s">
        <v>972</v>
      </c>
      <c r="B6125" s="0" t="s">
        <v>98</v>
      </c>
      <c r="C6125" s="6" t="n">
        <f aca="false">Sens!$C$6120+Sens!$C$6124</f>
        <v>2147.59930243787</v>
      </c>
    </row>
    <row r="6126" customFormat="false" ht="15" hidden="false" customHeight="false" outlineLevel="0" collapsed="false">
      <c r="A6126" s="1" t="s">
        <v>973</v>
      </c>
      <c r="B6126" s="0" t="s">
        <v>129</v>
      </c>
      <c r="C6126" s="7" t="n">
        <f aca="false">Sens!$C$6124/Sens!$C$6125</f>
        <v>0.73827399061603</v>
      </c>
    </row>
    <row r="6127" customFormat="false" ht="17.15" hidden="false" customHeight="false" outlineLevel="0" collapsed="false">
      <c r="A6127" s="1" t="s">
        <v>1052</v>
      </c>
      <c r="B6127" s="0" t="s">
        <v>98</v>
      </c>
      <c r="C6127" s="6" t="n">
        <f aca="false">Sens!$C$6125+Sens!E6107-Sens!E6096+oai_v</f>
        <v>2282.11230243787</v>
      </c>
    </row>
    <row r="6128" customFormat="false" ht="17.15" hidden="false" customHeight="false" outlineLevel="0" collapsed="false">
      <c r="A6128" s="0" t="s">
        <v>980</v>
      </c>
      <c r="B6128" s="0" t="s">
        <v>75</v>
      </c>
      <c r="C6128" s="5" t="n">
        <f aca="false">Sens!$C$6127/sh_dil26</f>
        <v>306.200496771484</v>
      </c>
    </row>
    <row r="6129" customFormat="false" ht="15" hidden="false" customHeight="false" outlineLevel="0" collapsed="false">
      <c r="A6129" s="1" t="s">
        <v>1053</v>
      </c>
      <c r="B6129" s="0" t="s">
        <v>75</v>
      </c>
      <c r="C6129" s="8" t="n">
        <f aca="false">dps_27+Sens!G6099*roll_div_q/q_per_yr</f>
        <v>4.8895</v>
      </c>
    </row>
    <row r="6130" customFormat="false" ht="17.15" hidden="false" customHeight="false" outlineLevel="0" collapsed="false">
      <c r="A6130" s="0" t="s">
        <v>1054</v>
      </c>
      <c r="B6130" s="0" t="s">
        <v>75</v>
      </c>
      <c r="C6130" s="5" t="n">
        <f aca="false">Sens!$C$6128*(1+wacc)^t_roll-Sens!$C$6129</f>
        <v>343.791229563059</v>
      </c>
    </row>
    <row r="6131" customFormat="false" ht="17.15" hidden="false" customHeight="false" outlineLevel="0" collapsed="false">
      <c r="A6131" s="1" t="s">
        <v>1055</v>
      </c>
      <c r="B6131" s="0" t="s">
        <v>129</v>
      </c>
      <c r="F6131" s="7" t="n">
        <f aca="false">Sens!F6088/(Sens!F6033-Sens!F5989)</f>
        <v>0.0681773598226415</v>
      </c>
      <c r="G6131" s="7" t="n">
        <f aca="false">Sens!G6088/(Sens!G6033-Sens!G5989)</f>
        <v>0.0650385409375172</v>
      </c>
      <c r="H6131" s="7" t="n">
        <f aca="false">Sens!H6088/(Sens!H6033-Sens!H5989)</f>
        <v>0.063382542471986</v>
      </c>
      <c r="I6131" s="7" t="n">
        <f aca="false">Sens!I6088/(Sens!I6033-Sens!I5989)</f>
        <v>0.0630998138876076</v>
      </c>
      <c r="J6131" s="7" t="n">
        <f aca="false">Sens!J6088/(Sens!J6033-Sens!J5989)</f>
        <v>0.0638399980286975</v>
      </c>
      <c r="K6131" s="7" t="n">
        <f aca="false">Sens!K6088/(Sens!K6033-Sens!K5989)</f>
        <v>0.0651531082402687</v>
      </c>
    </row>
    <row r="6132" customFormat="false" ht="17.15" hidden="false" customHeight="false" outlineLevel="0" collapsed="false">
      <c r="A6132" s="0" t="s">
        <v>1056</v>
      </c>
      <c r="B6132" s="0" t="s">
        <v>98</v>
      </c>
      <c r="F6132" s="6" t="n">
        <f aca="false">Sens!F6018*(al_m365+Sens!F6131+sbc_r)</f>
        <v>84.944046606333</v>
      </c>
      <c r="G6132" s="6" t="n">
        <f aca="false">Sens!G6018*(al_m365+Sens!G6131+sbc_r)</f>
        <v>99.4236143320739</v>
      </c>
      <c r="H6132" s="6" t="n">
        <f aca="false">Sens!H6018*(al_m365+Sens!H6131+sbc_r)</f>
        <v>114.068697186163</v>
      </c>
      <c r="I6132" s="6" t="n">
        <f aca="false">Sens!I6018*(al_m365+Sens!I6131+sbc_r)</f>
        <v>127.196415789369</v>
      </c>
      <c r="J6132" s="6" t="n">
        <f aca="false">Sens!J6018*(al_m365+Sens!J6131+sbc_r)</f>
        <v>138.619575691419</v>
      </c>
      <c r="K6132" s="6" t="n">
        <f aca="false">Sens!K6018*(al_m365+Sens!K6131+sbc_r)</f>
        <v>149.659768267063</v>
      </c>
      <c r="L6132" s="11" t="s">
        <v>1057</v>
      </c>
    </row>
    <row r="6133" customFormat="false" ht="17.15" hidden="false" customHeight="false" outlineLevel="0" collapsed="false">
      <c r="A6133" s="0" t="s">
        <v>1058</v>
      </c>
      <c r="B6133" s="0" t="s">
        <v>98</v>
      </c>
      <c r="F6133" s="6" t="n">
        <f aca="false">Sens!F6019*(al_lic+Sens!F6131+sbc_r)</f>
        <v>33.4285095904825</v>
      </c>
      <c r="G6133" s="6" t="n">
        <f aca="false">Sens!G6019*(al_lic+Sens!G6131+sbc_r)</f>
        <v>34.7161826947861</v>
      </c>
      <c r="H6133" s="6" t="n">
        <f aca="false">Sens!H6019*(al_lic+Sens!H6131+sbc_r)</f>
        <v>35.9223654002493</v>
      </c>
      <c r="I6133" s="6" t="n">
        <f aca="false">Sens!I6019*(al_lic+Sens!I6131+sbc_r)</f>
        <v>37.0298325864501</v>
      </c>
      <c r="J6133" s="6" t="n">
        <f aca="false">Sens!J6019*(al_lic+Sens!J6131+sbc_r)</f>
        <v>38.0103325842314</v>
      </c>
      <c r="K6133" s="6" t="n">
        <f aca="false">Sens!K6019*(al_lic+Sens!K6131+sbc_r)</f>
        <v>38.8303473189322</v>
      </c>
    </row>
    <row r="6134" customFormat="false" ht="17.15" hidden="false" customHeight="false" outlineLevel="0" collapsed="false">
      <c r="A6134" s="0" t="s">
        <v>1059</v>
      </c>
      <c r="B6134" s="0" t="s">
        <v>98</v>
      </c>
      <c r="F6134" s="6" t="n">
        <f aca="false">Sens!F6021*(al_ind+Sens!F6131+sbc_r)</f>
        <v>9.06719306746208</v>
      </c>
      <c r="G6134" s="6" t="n">
        <f aca="false">Sens!G6021*(al_ind+Sens!G6131+sbc_r)</f>
        <v>9.83485541633448</v>
      </c>
      <c r="H6134" s="6" t="n">
        <f aca="false">Sens!H6021*(al_ind+Sens!H6131+sbc_r)</f>
        <v>10.6498544617516</v>
      </c>
      <c r="I6134" s="6" t="n">
        <f aca="false">Sens!I6021*(al_ind+Sens!I6131+sbc_r)</f>
        <v>11.5103515303299</v>
      </c>
      <c r="J6134" s="6" t="n">
        <f aca="false">Sens!J6021*(al_ind+Sens!J6131+sbc_r)</f>
        <v>12.4055032067278</v>
      </c>
      <c r="K6134" s="6" t="n">
        <f aca="false">Sens!K6021*(al_ind+Sens!K6131+sbc_r)</f>
        <v>13.3173308472897</v>
      </c>
    </row>
    <row r="6135" customFormat="false" ht="17.15" hidden="false" customHeight="false" outlineLevel="0" collapsed="false">
      <c r="A6135" s="0" t="s">
        <v>1060</v>
      </c>
      <c r="B6135" s="0" t="s">
        <v>98</v>
      </c>
      <c r="F6135" s="6" t="n">
        <f aca="false">Sens!F6023*(al_fro+Sens!F6131+sbc_r)</f>
        <v>3.56887902446295</v>
      </c>
      <c r="G6135" s="6" t="n">
        <f aca="false">Sens!G6023*(al_fro+Sens!G6131+sbc_r)</f>
        <v>3.77600302676241</v>
      </c>
      <c r="H6135" s="6" t="n">
        <f aca="false">Sens!H6023*(al_fro+Sens!H6131+sbc_r)</f>
        <v>4.01322967965482</v>
      </c>
      <c r="I6135" s="6" t="n">
        <f aca="false">Sens!I6023*(al_fro+Sens!I6131+sbc_r)</f>
        <v>4.28368437397841</v>
      </c>
      <c r="J6135" s="6" t="n">
        <f aca="false">Sens!J6023*(al_fro+Sens!J6131+sbc_r)</f>
        <v>4.58803182845156</v>
      </c>
      <c r="K6135" s="6" t="n">
        <f aca="false">Sens!K6023*(al_fro+Sens!K6131+sbc_r)</f>
        <v>4.92526073140255</v>
      </c>
    </row>
    <row r="6136" customFormat="false" ht="17.15" hidden="false" customHeight="false" outlineLevel="0" collapsed="false">
      <c r="A6136" s="0" t="s">
        <v>1061</v>
      </c>
      <c r="B6136" s="0" t="s">
        <v>98</v>
      </c>
      <c r="F6136" s="6" t="n">
        <f aca="false">Sens!F6026*(al_srch+Sens!F6131+sbc_r)</f>
        <v>11.1981144415922</v>
      </c>
      <c r="G6136" s="6" t="n">
        <f aca="false">Sens!G6026*(al_srch+Sens!G6131+sbc_r)</f>
        <v>12.2607925441521</v>
      </c>
      <c r="H6136" s="6" t="n">
        <f aca="false">Sens!H6026*(al_srch+Sens!H6131+sbc_r)</f>
        <v>13.3712787172501</v>
      </c>
      <c r="I6136" s="6" t="n">
        <f aca="false">Sens!I6026*(al_srch+Sens!I6131+sbc_r)</f>
        <v>14.5205713773955</v>
      </c>
      <c r="J6136" s="6" t="n">
        <f aca="false">Sens!J6026*(al_srch+Sens!J6131+sbc_r)</f>
        <v>15.6873363367184</v>
      </c>
      <c r="K6136" s="6" t="n">
        <f aca="false">Sens!K6026*(al_srch+Sens!K6131+sbc_r)</f>
        <v>16.8403848378749</v>
      </c>
    </row>
    <row r="6137" customFormat="false" ht="17.15" hidden="false" customHeight="false" outlineLevel="0" collapsed="false">
      <c r="A6137" s="0" t="s">
        <v>1062</v>
      </c>
      <c r="B6137" s="0" t="s">
        <v>98</v>
      </c>
      <c r="F6137" s="6" t="n">
        <f aca="false">Sens!F5995-Sens!F5996+Sens!F6076</f>
        <v>52.0058926384238</v>
      </c>
      <c r="G6137" s="6" t="n">
        <f aca="false">Sens!G5995-Sens!G5996+Sens!G6076</f>
        <v>88.3347647486011</v>
      </c>
      <c r="H6137" s="6" t="n">
        <f aca="false">Sens!H5995-Sens!H5996+Sens!H6076</f>
        <v>127.36257086498</v>
      </c>
      <c r="I6137" s="6" t="n">
        <f aca="false">Sens!I5995-Sens!I5996+Sens!I6076</f>
        <v>162.831747258617</v>
      </c>
      <c r="J6137" s="6" t="n">
        <f aca="false">Sens!J5995-Sens!J5996+Sens!J6076</f>
        <v>187.88868487381</v>
      </c>
      <c r="K6137" s="6" t="n">
        <f aca="false">Sens!K5995-Sens!K5996+Sens!K6076</f>
        <v>203.019145848156</v>
      </c>
    </row>
    <row r="6138" customFormat="false" ht="17.15" hidden="false" customHeight="false" outlineLevel="0" collapsed="false">
      <c r="A6138" s="0" t="s">
        <v>1063</v>
      </c>
      <c r="B6138" s="0" t="s">
        <v>98</v>
      </c>
      <c r="F6138" s="6" t="n">
        <f aca="false">Sens!F6055+Sens!F6076+Sens!F6006+Sens!F6131*(Sens!F6025-Sens!F5989)+sbc_r*Sens!F6025</f>
        <v>243.963762269046</v>
      </c>
      <c r="G6138" s="6" t="n">
        <f aca="false">Sens!G6055+Sens!G6076+Sens!G6006+Sens!G6131*(Sens!G6025-Sens!G5989)+sbc_r*Sens!G6025</f>
        <v>309.261776219359</v>
      </c>
      <c r="H6138" s="6" t="n">
        <f aca="false">Sens!H6055+Sens!H6076+Sens!H6006+Sens!H6131*(Sens!H6025-Sens!H5989)+sbc_r*Sens!H6025</f>
        <v>377.786082802435</v>
      </c>
      <c r="I6138" s="6" t="n">
        <f aca="false">Sens!I6055+Sens!I6076+Sens!I6006+Sens!I6131*(Sens!I6025-Sens!I5989)+sbc_r*Sens!I6025</f>
        <v>440.934854655681</v>
      </c>
      <c r="J6138" s="6" t="n">
        <f aca="false">Sens!J6055+Sens!J6076+Sens!J6006+Sens!J6131*(Sens!J6025-Sens!J5989)+sbc_r*Sens!J6025</f>
        <v>490.778842652677</v>
      </c>
      <c r="K6138" s="6" t="n">
        <f aca="false">Sens!K6055+Sens!K6076+Sens!K6006+Sens!K6131*(Sens!K6025-Sens!K5989)+sbc_r*Sens!K6025</f>
        <v>528.335915031629</v>
      </c>
    </row>
    <row r="6139" customFormat="false" ht="17.15" hidden="false" customHeight="false" outlineLevel="0" collapsed="false">
      <c r="A6139" s="0" t="s">
        <v>1064</v>
      </c>
      <c r="B6139" s="0" t="s">
        <v>98</v>
      </c>
      <c r="F6139" s="6" t="n">
        <f aca="false">Sens!F6138-Sens!F6132-Sens!F6133-Sens!F6134-Sens!F6135-Sens!F6137</f>
        <v>60.9492413418818</v>
      </c>
      <c r="G6139" s="6" t="n">
        <f aca="false">Sens!G6138-Sens!G6132-Sens!G6133-Sens!G6134-Sens!G6135-Sens!G6137</f>
        <v>73.1763560008009</v>
      </c>
      <c r="H6139" s="6" t="n">
        <f aca="false">Sens!H6138-Sens!H6132-Sens!H6133-Sens!H6134-Sens!H6135-Sens!H6137</f>
        <v>85.7693652096362</v>
      </c>
      <c r="I6139" s="6" t="n">
        <f aca="false">Sens!I6138-Sens!I6132-Sens!I6133-Sens!I6134-Sens!I6135-Sens!I6137</f>
        <v>98.0828231169367</v>
      </c>
      <c r="J6139" s="6" t="n">
        <f aca="false">Sens!J6138-Sens!J6132-Sens!J6133-Sens!J6134-Sens!J6135-Sens!J6137</f>
        <v>109.266714468037</v>
      </c>
      <c r="K6139" s="6" t="n">
        <f aca="false">Sens!K6138-Sens!K6132-Sens!K6133-Sens!K6134-Sens!K6135-Sens!K6137</f>
        <v>118.584062018786</v>
      </c>
    </row>
    <row r="6140" customFormat="false" ht="17.15" hidden="false" customHeight="false" outlineLevel="0" collapsed="false">
      <c r="A6140" s="0" t="s">
        <v>1065</v>
      </c>
      <c r="B6140" s="0" t="s">
        <v>98</v>
      </c>
      <c r="F6140" s="6" t="n">
        <f aca="false">Sens!F6057+Sens!F6131*Sens!F6032+sbc_r*Sens!F6032</f>
        <v>26.1717931813002</v>
      </c>
      <c r="G6140" s="6" t="n">
        <f aca="false">Sens!G6057+Sens!G6131*Sens!G6032+sbc_r*Sens!G6032</f>
        <v>26.7581197754446</v>
      </c>
      <c r="H6140" s="6" t="n">
        <f aca="false">Sens!H6057+Sens!H6131*Sens!H6032+sbc_r*Sens!H6032</f>
        <v>27.6201174920951</v>
      </c>
      <c r="I6140" s="6" t="n">
        <f aca="false">Sens!I6057+Sens!I6131*Sens!I6032+sbc_r*Sens!I6032</f>
        <v>28.7296306530919</v>
      </c>
      <c r="J6140" s="6" t="n">
        <f aca="false">Sens!J6057+Sens!J6131*Sens!J6032+sbc_r*Sens!J6032</f>
        <v>30.04749983899</v>
      </c>
      <c r="K6140" s="6" t="n">
        <f aca="false">Sens!K6057+Sens!K6131*Sens!K6032+sbc_r*Sens!K6032</f>
        <v>31.5292329023825</v>
      </c>
    </row>
    <row r="6141" customFormat="false" ht="17.15" hidden="false" customHeight="false" outlineLevel="0" collapsed="false">
      <c r="A6141" s="0" t="s">
        <v>1066</v>
      </c>
      <c r="B6141" s="0" t="s">
        <v>98</v>
      </c>
      <c r="F6141" s="6" t="n">
        <f aca="false">(Sens!F6140-Sens!F6136)*Sens!F6028/(Sens!F6028+Sens!F6030)</f>
        <v>8.20842484359027</v>
      </c>
      <c r="G6141" s="6" t="n">
        <f aca="false">(Sens!G6140-Sens!G6136)*Sens!G6028/(Sens!G6028+Sens!G6030)</f>
        <v>7.80559384110416</v>
      </c>
      <c r="H6141" s="6" t="n">
        <f aca="false">(Sens!H6140-Sens!H6136)*Sens!H6028/(Sens!H6028+Sens!H6030)</f>
        <v>7.56817041839156</v>
      </c>
      <c r="I6141" s="6" t="n">
        <f aca="false">(Sens!I6140-Sens!I6136)*Sens!I6028/(Sens!I6028+Sens!I6030)</f>
        <v>7.47875608696462</v>
      </c>
      <c r="J6141" s="6" t="n">
        <f aca="false">(Sens!J6140-Sens!J6136)*Sens!J6028/(Sens!J6028+Sens!J6030)</f>
        <v>7.52410955955578</v>
      </c>
      <c r="K6141" s="6" t="n">
        <f aca="false">(Sens!K6140-Sens!K6136)*Sens!K6028/(Sens!K6028+Sens!K6030)</f>
        <v>7.6963261681206</v>
      </c>
    </row>
    <row r="6142" customFormat="false" ht="17.15" hidden="false" customHeight="false" outlineLevel="0" collapsed="false">
      <c r="A6142" s="0" t="s">
        <v>1067</v>
      </c>
      <c r="B6142" s="0" t="s">
        <v>98</v>
      </c>
      <c r="F6142" s="6" t="n">
        <f aca="false">Sens!F6140-Sens!F6136-Sens!F6141</f>
        <v>6.76525389611778</v>
      </c>
      <c r="G6142" s="6" t="n">
        <f aca="false">Sens!G6140-Sens!G6136-Sens!G6141</f>
        <v>6.69173339018827</v>
      </c>
      <c r="H6142" s="6" t="n">
        <f aca="false">Sens!H6140-Sens!H6136-Sens!H6141</f>
        <v>6.68066835645346</v>
      </c>
      <c r="I6142" s="6" t="n">
        <f aca="false">Sens!I6140-Sens!I6136-Sens!I6141</f>
        <v>6.73030318873177</v>
      </c>
      <c r="J6142" s="6" t="n">
        <f aca="false">Sens!J6140-Sens!J6136-Sens!J6141</f>
        <v>6.83605394271588</v>
      </c>
      <c r="K6142" s="6" t="n">
        <f aca="false">Sens!K6140-Sens!K6136-Sens!K6141</f>
        <v>6.99252189638696</v>
      </c>
    </row>
    <row r="6143" customFormat="false" ht="17.15" hidden="false" customHeight="false" outlineLevel="0" collapsed="false">
      <c r="A6143" s="0" t="s">
        <v>1068</v>
      </c>
      <c r="B6143" s="0" t="s">
        <v>98</v>
      </c>
      <c r="F6143" s="6" t="n">
        <f aca="false">Sens!F6137-tax_f*(Sens!F6137-Sens!F6006)-Sens!F6003</f>
        <v>-119.920331568525</v>
      </c>
      <c r="G6143" s="6" t="n">
        <f aca="false">Sens!G6137-tax_f*(Sens!G6137-Sens!G6006)-Sens!G6003</f>
        <v>-100.810022032251</v>
      </c>
      <c r="H6143" s="6" t="n">
        <f aca="false">Sens!H6137-tax_f*(Sens!H6137-Sens!H6006)-Sens!H6003</f>
        <v>-68.6467660197882</v>
      </c>
      <c r="I6143" s="6" t="n">
        <f aca="false">Sens!I6137-tax_f*(Sens!I6137-Sens!I6006)-Sens!I6003</f>
        <v>-11.0488633509078</v>
      </c>
      <c r="J6143" s="6" t="n">
        <f aca="false">Sens!J6137-tax_f*(Sens!J6137-Sens!J6006)-Sens!J6003</f>
        <v>51.6302133654908</v>
      </c>
      <c r="K6143" s="6" t="n">
        <f aca="false">Sens!K6137-tax_f*(Sens!K6137-Sens!K6006)-Sens!K6003</f>
        <v>75.3804103974834</v>
      </c>
    </row>
    <row r="6144" customFormat="false" ht="17.15" hidden="false" customHeight="false" outlineLevel="0" collapsed="false">
      <c r="A6144" s="0" t="s">
        <v>1069</v>
      </c>
      <c r="B6144" s="0" t="s">
        <v>98</v>
      </c>
      <c r="F6144" s="6" t="n">
        <f aca="false">Sens!F6143*Sens!F6117</f>
        <v>-114.187345080453</v>
      </c>
      <c r="G6144" s="6" t="n">
        <f aca="false">Sens!G6143*Sens!G6117</f>
        <v>-87.0320421810099</v>
      </c>
      <c r="H6144" s="6" t="n">
        <f aca="false">Sens!H6143*Sens!H6117</f>
        <v>-53.7335899143332</v>
      </c>
      <c r="I6144" s="6" t="n">
        <f aca="false">Sens!I6143*Sens!I6117</f>
        <v>-7.84140140907068</v>
      </c>
      <c r="J6144" s="6" t="n">
        <f aca="false">Sens!J6143*Sens!J6117</f>
        <v>33.2223472675997</v>
      </c>
      <c r="K6144" s="6" t="n">
        <f aca="false">Sens!K6143*Sens!K6117</f>
        <v>43.977972261095</v>
      </c>
    </row>
    <row r="6145" customFormat="false" ht="17.15" hidden="false" customHeight="false" outlineLevel="0" collapsed="false">
      <c r="A6145" s="0" t="s">
        <v>1070</v>
      </c>
      <c r="B6145" s="0" t="s">
        <v>98</v>
      </c>
      <c r="C6145" s="6" t="n">
        <f aca="false">(Sens!K6137-Sens!K6006)*(1-tax_f)*(1+g_tv)*(1-g_tv/(wacc+ronic_prem))/(wacc-g_tv)/(1+wacc)^(Sens!K6116+mid_yr)</f>
        <v>281.925087086827</v>
      </c>
    </row>
    <row r="6146" customFormat="false" ht="17.15" hidden="false" customHeight="false" outlineLevel="0" collapsed="false">
      <c r="A6146" s="1" t="s">
        <v>1071</v>
      </c>
      <c r="B6146" s="0" t="s">
        <v>98</v>
      </c>
      <c r="C6146" s="6" t="n">
        <f aca="false">(SUM(Sens!F6144:K6144)+Sens!$C$6145)*(1+wacc)^t_roll</f>
        <v>109.695358065848</v>
      </c>
      <c r="L6146" s="11" t="s">
        <v>1072</v>
      </c>
    </row>
    <row r="6147" customFormat="false" ht="17.15" hidden="false" customHeight="false" outlineLevel="0" collapsed="false">
      <c r="A6147" s="1" t="s">
        <v>1073</v>
      </c>
      <c r="B6147" s="0" t="s">
        <v>98</v>
      </c>
      <c r="C6147" s="6" t="n">
        <f aca="false">(w_ntm28*Sens!G5995+(1-w_ntm28)*Sens!H5995)*m_ai</f>
        <v>454.922440830797</v>
      </c>
    </row>
    <row r="6148" customFormat="false" ht="17.15" hidden="false" customHeight="false" outlineLevel="0" collapsed="false">
      <c r="A6148" s="1" t="s">
        <v>1074</v>
      </c>
      <c r="B6148" s="0" t="s">
        <v>98</v>
      </c>
      <c r="C6148" s="6" t="n">
        <f aca="false">(w_ntm28*Sens!G6139+(1-w_ntm28)*Sens!H6139)*m_cloud</f>
        <v>1067.56073499244</v>
      </c>
    </row>
    <row r="6149" customFormat="false" ht="17.15" hidden="false" customHeight="false" outlineLevel="0" collapsed="false">
      <c r="A6149" s="1" t="s">
        <v>1075</v>
      </c>
      <c r="B6149" s="0" t="s">
        <v>98</v>
      </c>
      <c r="C6149" s="6" t="n">
        <f aca="false">(w_ntm28*Sens!G6132+(1-w_ntm28)*Sens!H6132)*m_sw</f>
        <v>1124.90844188024</v>
      </c>
    </row>
    <row r="6150" customFormat="false" ht="17.15" hidden="false" customHeight="false" outlineLevel="0" collapsed="false">
      <c r="A6150" s="1" t="s">
        <v>1076</v>
      </c>
      <c r="B6150" s="0" t="s">
        <v>98</v>
      </c>
      <c r="C6150" s="6" t="n">
        <f aca="false">(w_ntm28*Sens!G6133+(1-w_ntm28)*Sens!H6133)*m_sw</f>
        <v>379.14616828134</v>
      </c>
    </row>
    <row r="6151" customFormat="false" ht="17.15" hidden="false" customHeight="false" outlineLevel="0" collapsed="false">
      <c r="A6151" s="1" t="s">
        <v>1077</v>
      </c>
      <c r="B6151" s="0" t="s">
        <v>98</v>
      </c>
      <c r="C6151" s="6" t="n">
        <f aca="false">(w_ntm28*Sens!G6134+(1-w_ntm28)*Sens!H6134)*m_sw</f>
        <v>109.062013245671</v>
      </c>
    </row>
    <row r="6152" customFormat="false" ht="17.15" hidden="false" customHeight="false" outlineLevel="0" collapsed="false">
      <c r="A6152" s="1" t="s">
        <v>1078</v>
      </c>
      <c r="B6152" s="0" t="s">
        <v>98</v>
      </c>
      <c r="C6152" s="6" t="n">
        <f aca="false">(w_ntm28*Sens!G6135+(1-w_ntm28)*Sens!H6135)*m_sw</f>
        <v>41.609111172448</v>
      </c>
    </row>
    <row r="6153" customFormat="false" ht="17.15" hidden="false" customHeight="false" outlineLevel="0" collapsed="false">
      <c r="A6153" s="1" t="s">
        <v>1079</v>
      </c>
      <c r="B6153" s="0" t="s">
        <v>98</v>
      </c>
      <c r="C6153" s="6" t="n">
        <f aca="false">(w_ntm28*Sens!G6136+(1-w_ntm28)*Sens!H6136)*m_ads</f>
        <v>114.966369190532</v>
      </c>
    </row>
    <row r="6154" customFormat="false" ht="17.15" hidden="false" customHeight="false" outlineLevel="0" collapsed="false">
      <c r="A6154" s="1" t="s">
        <v>1080</v>
      </c>
      <c r="B6154" s="0" t="s">
        <v>98</v>
      </c>
      <c r="C6154" s="6" t="n">
        <f aca="false">(w_ntm28*Sens!G6141+(1-w_ntm28)*Sens!H6141)*m_game</f>
        <v>97.6152211068291</v>
      </c>
    </row>
    <row r="6155" customFormat="false" ht="17.15" hidden="false" customHeight="false" outlineLevel="0" collapsed="false">
      <c r="A6155" s="1" t="s">
        <v>1081</v>
      </c>
      <c r="B6155" s="0" t="s">
        <v>98</v>
      </c>
      <c r="C6155" s="6" t="n">
        <f aca="false">(w_ntm28*Sens!G6142+(1-w_ntm28)*Sens!H6142)*m_pc</f>
        <v>96.7776202313644</v>
      </c>
    </row>
    <row r="6156" customFormat="false" ht="17.15" hidden="false" customHeight="false" outlineLevel="0" collapsed="false">
      <c r="A6156" s="1" t="s">
        <v>1082</v>
      </c>
      <c r="B6156" s="0" t="s">
        <v>98</v>
      </c>
      <c r="C6156" s="6" t="n">
        <f aca="false">Sens!$C$6146+Sens!$C$6148+Sens!$C$6149+Sens!$C$6150+Sens!$C$6151+Sens!$C$6152+Sens!$C$6153+Sens!$C$6154+Sens!$C$6155</f>
        <v>3141.34103816671</v>
      </c>
    </row>
    <row r="6157" customFormat="false" ht="17.15" hidden="false" customHeight="false" outlineLevel="0" collapsed="false">
      <c r="A6157" s="1" t="s">
        <v>1000</v>
      </c>
      <c r="B6157" s="0" t="s">
        <v>98</v>
      </c>
      <c r="C6157" s="6" t="n">
        <f aca="false">Sens!F6107+oai_v-Sens!F6096</f>
        <v>112.007718243041</v>
      </c>
      <c r="L6157" s="1" t="s">
        <v>1083</v>
      </c>
    </row>
    <row r="6158" customFormat="false" ht="15" hidden="false" customHeight="false" outlineLevel="0" collapsed="false">
      <c r="A6158" s="1" t="s">
        <v>1001</v>
      </c>
      <c r="B6158" s="0" t="s">
        <v>75</v>
      </c>
      <c r="C6158" s="5" t="n">
        <f aca="false">(Sens!$C$6156+Sens!$C$6157)/Sens!F6109</f>
        <v>435.405347485245</v>
      </c>
    </row>
    <row r="6159" customFormat="false" ht="17.15" hidden="false" customHeight="false" outlineLevel="0" collapsed="false">
      <c r="A6159" s="1" t="s">
        <v>1084</v>
      </c>
      <c r="B6159" s="0" t="s">
        <v>75</v>
      </c>
      <c r="C6159" s="5" t="n">
        <f aca="false">w_dcf*Sens!$C$6130+(1-w_dcf)*Sens!$C$6158</f>
        <v>389.598288524152</v>
      </c>
    </row>
    <row r="6160" customFormat="false" ht="17.15" hidden="false" customHeight="false" outlineLevel="0" collapsed="false">
      <c r="A6160" s="3" t="s">
        <v>1394</v>
      </c>
    </row>
    <row r="6161" customFormat="false" ht="15" hidden="false" customHeight="false" outlineLevel="0" collapsed="false">
      <c r="A6161" s="4" t="s">
        <v>43</v>
      </c>
      <c r="B6161" s="4" t="s">
        <v>65</v>
      </c>
      <c r="C6161" s="20" t="s">
        <v>788</v>
      </c>
      <c r="D6161" s="20" t="s">
        <v>789</v>
      </c>
      <c r="E6161" s="20" t="s">
        <v>790</v>
      </c>
      <c r="F6161" s="20" t="s">
        <v>791</v>
      </c>
      <c r="G6161" s="20" t="s">
        <v>792</v>
      </c>
      <c r="H6161" s="20" t="s">
        <v>793</v>
      </c>
      <c r="I6161" s="20" t="s">
        <v>794</v>
      </c>
      <c r="J6161" s="20" t="s">
        <v>795</v>
      </c>
      <c r="K6161" s="20" t="s">
        <v>796</v>
      </c>
      <c r="L6161" s="4" t="s">
        <v>47</v>
      </c>
    </row>
    <row r="6162" customFormat="false" ht="17.15" hidden="false" customHeight="false" outlineLevel="0" collapsed="false">
      <c r="A6162" s="1" t="s">
        <v>797</v>
      </c>
      <c r="B6162" s="1" t="s">
        <v>235</v>
      </c>
      <c r="C6162" s="28" t="n">
        <v>2024</v>
      </c>
      <c r="D6162" s="28" t="n">
        <v>2025</v>
      </c>
      <c r="E6162" s="28" t="n">
        <v>2026</v>
      </c>
      <c r="F6162" s="28" t="n">
        <v>2027</v>
      </c>
      <c r="G6162" s="28" t="n">
        <v>2028</v>
      </c>
      <c r="H6162" s="28" t="n">
        <v>2029</v>
      </c>
      <c r="I6162" s="28" t="n">
        <v>2030</v>
      </c>
      <c r="J6162" s="28" t="n">
        <v>2031</v>
      </c>
      <c r="K6162" s="28" t="n">
        <v>2032</v>
      </c>
    </row>
    <row r="6163" customFormat="false" ht="17.15" hidden="false" customHeight="false" outlineLevel="0" collapsed="false">
      <c r="A6163" s="1" t="s">
        <v>798</v>
      </c>
      <c r="B6163" s="0" t="s">
        <v>392</v>
      </c>
      <c r="F6163" s="29" t="n">
        <f aca="false">pace</f>
        <v>2527.2</v>
      </c>
      <c r="G6163" s="29" t="n">
        <f aca="false">pace</f>
        <v>2527.2</v>
      </c>
      <c r="H6163" s="29" t="n">
        <f aca="false">pace</f>
        <v>2527.2</v>
      </c>
      <c r="I6163" s="29" t="n">
        <f aca="false">pace+(g_tv*Sens!H6164-pace)*MIN(1,(Sens!I6162-pace_y0)/(pace_y1-pace_y0))</f>
        <v>1793.116</v>
      </c>
      <c r="J6163" s="29" t="n">
        <f aca="false">pace+(g_tv*Sens!H6164-pace)*MIN(1,(Sens!J6162-pace_y0)/(pace_y1-pace_y0))</f>
        <v>1059.032</v>
      </c>
      <c r="K6163" s="29" t="n">
        <f aca="false">pace+(g_tv*Sens!H6164-pace)*MIN(1,(Sens!K6162-pace_y0)/(pace_y1-pace_y0))</f>
        <v>324.948</v>
      </c>
      <c r="L6163" s="11" t="s">
        <v>799</v>
      </c>
    </row>
    <row r="6164" customFormat="false" ht="17.15" hidden="false" customHeight="false" outlineLevel="0" collapsed="false">
      <c r="A6164" s="1" t="s">
        <v>800</v>
      </c>
      <c r="B6164" s="0" t="s">
        <v>392</v>
      </c>
      <c r="C6164" s="29" t="n">
        <f aca="false">mw_ext_24</f>
        <v>640</v>
      </c>
      <c r="D6164" s="29" t="n">
        <f aca="false">mw_ext_25</f>
        <v>1630</v>
      </c>
      <c r="E6164" s="29" t="n">
        <f aca="false">mw_ext_26</f>
        <v>3250</v>
      </c>
      <c r="F6164" s="29" t="n">
        <f aca="false">Sens!E6164+Sens!F6163</f>
        <v>5777.2</v>
      </c>
      <c r="G6164" s="29" t="n">
        <f aca="false">Sens!F6164+Sens!G6163</f>
        <v>8304.4</v>
      </c>
      <c r="H6164" s="29" t="n">
        <f aca="false">Sens!G6164+Sens!H6163</f>
        <v>10831.6</v>
      </c>
      <c r="I6164" s="29" t="n">
        <f aca="false">Sens!H6164+Sens!I6163</f>
        <v>12624.716</v>
      </c>
      <c r="J6164" s="29" t="n">
        <f aca="false">Sens!I6164+Sens!J6163</f>
        <v>13683.748</v>
      </c>
      <c r="K6164" s="29" t="n">
        <f aca="false">Sens!J6164+Sens!K6163</f>
        <v>14008.696</v>
      </c>
      <c r="L6164" s="1" t="s">
        <v>801</v>
      </c>
    </row>
    <row r="6165" customFormat="false" ht="17.15" hidden="false" customHeight="false" outlineLevel="0" collapsed="false">
      <c r="A6165" s="1" t="s">
        <v>802</v>
      </c>
      <c r="B6165" s="0" t="s">
        <v>392</v>
      </c>
      <c r="C6165" s="29" t="n">
        <f aca="false">rent_ext_24</f>
        <v>150</v>
      </c>
      <c r="D6165" s="29" t="n">
        <f aca="false">rent_ext_25</f>
        <v>400</v>
      </c>
      <c r="E6165" s="29" t="n">
        <f aca="false">rent_ext_26</f>
        <v>550</v>
      </c>
      <c r="F6165" s="29" t="n">
        <f aca="false">rent_ext_f</f>
        <v>756</v>
      </c>
      <c r="G6165" s="29" t="n">
        <f aca="false">rent_ext_f</f>
        <v>756</v>
      </c>
      <c r="H6165" s="29" t="n">
        <f aca="false">rent_ext_f</f>
        <v>756</v>
      </c>
      <c r="I6165" s="29" t="n">
        <f aca="false">rent_ext_f</f>
        <v>756</v>
      </c>
      <c r="J6165" s="29" t="n">
        <f aca="false">rent_ext_f</f>
        <v>756</v>
      </c>
      <c r="K6165" s="29" t="n">
        <f aca="false">rent_ext_f</f>
        <v>756</v>
      </c>
      <c r="L6165" s="1" t="s">
        <v>803</v>
      </c>
    </row>
    <row r="6166" customFormat="false" ht="17.15" hidden="false" customHeight="false" outlineLevel="0" collapsed="false">
      <c r="A6166" s="1" t="s">
        <v>804</v>
      </c>
      <c r="B6166" s="0" t="s">
        <v>392</v>
      </c>
      <c r="C6166" s="29" t="n">
        <f aca="false">Sens!C6164-Sens!C6165</f>
        <v>490</v>
      </c>
      <c r="D6166" s="29" t="n">
        <f aca="false">Sens!D6164-Sens!D6165</f>
        <v>1230</v>
      </c>
      <c r="E6166" s="29" t="n">
        <f aca="false">Sens!E6164-Sens!E6165</f>
        <v>2700</v>
      </c>
      <c r="F6166" s="29" t="n">
        <f aca="false">Sens!F6164-Sens!F6165</f>
        <v>5021.2</v>
      </c>
      <c r="G6166" s="29" t="n">
        <f aca="false">Sens!G6164-Sens!G6165</f>
        <v>7548.4</v>
      </c>
      <c r="H6166" s="29" t="n">
        <f aca="false">Sens!H6164-Sens!H6165</f>
        <v>10075.6</v>
      </c>
      <c r="I6166" s="29" t="n">
        <f aca="false">Sens!I6164-Sens!I6165</f>
        <v>11868.716</v>
      </c>
      <c r="J6166" s="29" t="n">
        <f aca="false">Sens!J6164-Sens!J6165</f>
        <v>12927.748</v>
      </c>
      <c r="K6166" s="29" t="n">
        <f aca="false">Sens!K6164-Sens!K6165</f>
        <v>13252.696</v>
      </c>
    </row>
    <row r="6167" customFormat="false" ht="17.15" hidden="false" customHeight="false" outlineLevel="0" collapsed="false">
      <c r="A6167" s="1" t="s">
        <v>805</v>
      </c>
      <c r="B6167" s="0" t="s">
        <v>392</v>
      </c>
      <c r="C6167" s="29" t="n">
        <f aca="false">Sens!C6166/ext_sh</f>
        <v>816.666666666667</v>
      </c>
      <c r="D6167" s="29" t="n">
        <f aca="false">Sens!D6166/ext_sh</f>
        <v>2050</v>
      </c>
      <c r="E6167" s="29" t="n">
        <f aca="false">Sens!E6166/ext_sh</f>
        <v>4500</v>
      </c>
      <c r="F6167" s="29" t="n">
        <f aca="false">Sens!F6166/ext_sh</f>
        <v>8368.66666666667</v>
      </c>
      <c r="G6167" s="29" t="n">
        <f aca="false">Sens!G6166/ext_sh</f>
        <v>12580.6666666667</v>
      </c>
      <c r="H6167" s="29" t="n">
        <f aca="false">Sens!H6166/ext_sh</f>
        <v>16792.6666666667</v>
      </c>
      <c r="I6167" s="29" t="n">
        <f aca="false">Sens!I6166/ext_sh</f>
        <v>19781.1933333333</v>
      </c>
      <c r="J6167" s="29" t="n">
        <f aca="false">Sens!J6166/ext_sh</f>
        <v>21546.2466666667</v>
      </c>
      <c r="K6167" s="29" t="n">
        <f aca="false">Sens!K6166/ext_sh</f>
        <v>22087.8266666667</v>
      </c>
      <c r="L6167" s="1" t="s">
        <v>806</v>
      </c>
    </row>
    <row r="6168" customFormat="false" ht="17.15" hidden="false" customHeight="false" outlineLevel="0" collapsed="false">
      <c r="A6168" s="1" t="s">
        <v>807</v>
      </c>
      <c r="B6168" s="0" t="s">
        <v>392</v>
      </c>
      <c r="C6168" s="29" t="n">
        <f aca="false">Sens!C6167-Sens!C6166</f>
        <v>326.666666666667</v>
      </c>
      <c r="D6168" s="29" t="n">
        <f aca="false">Sens!D6167-Sens!D6166</f>
        <v>820</v>
      </c>
      <c r="E6168" s="29" t="n">
        <f aca="false">Sens!E6167-Sens!E6166</f>
        <v>1800</v>
      </c>
      <c r="F6168" s="29" t="n">
        <f aca="false">Sens!F6167-Sens!F6166</f>
        <v>3347.46666666667</v>
      </c>
      <c r="G6168" s="29" t="n">
        <f aca="false">Sens!G6167-Sens!G6166</f>
        <v>5032.26666666667</v>
      </c>
      <c r="H6168" s="29" t="n">
        <f aca="false">Sens!H6167-Sens!H6166</f>
        <v>6717.06666666667</v>
      </c>
      <c r="I6168" s="29" t="n">
        <f aca="false">Sens!I6167-Sens!I6166</f>
        <v>7912.47733333333</v>
      </c>
      <c r="J6168" s="29" t="n">
        <f aca="false">Sens!J6167-Sens!J6166</f>
        <v>8618.49866666667</v>
      </c>
      <c r="K6168" s="29" t="n">
        <f aca="false">Sens!K6167-Sens!K6166</f>
        <v>8835.13066666667</v>
      </c>
    </row>
    <row r="6169" customFormat="false" ht="17.15" hidden="false" customHeight="false" outlineLevel="0" collapsed="false">
      <c r="A6169" s="1" t="s">
        <v>808</v>
      </c>
      <c r="B6169" s="0" t="s">
        <v>392</v>
      </c>
      <c r="C6169" s="29" t="n">
        <f aca="false">Sens!C6167</f>
        <v>816.666666666667</v>
      </c>
      <c r="D6169" s="29" t="n">
        <f aca="false">Sens!D6167-Sens!C6167</f>
        <v>1233.33333333333</v>
      </c>
      <c r="E6169" s="29" t="n">
        <f aca="false">Sens!E6167-Sens!D6167</f>
        <v>2450</v>
      </c>
      <c r="F6169" s="29" t="n">
        <f aca="false">Sens!F6167-Sens!E6167</f>
        <v>3868.66666666667</v>
      </c>
      <c r="G6169" s="29" t="n">
        <f aca="false">Sens!G6167-Sens!F6167</f>
        <v>4212</v>
      </c>
      <c r="H6169" s="29" t="n">
        <f aca="false">Sens!H6167-Sens!G6167</f>
        <v>4212</v>
      </c>
      <c r="I6169" s="29" t="n">
        <f aca="false">Sens!I6167-Sens!H6167</f>
        <v>2988.52666666667</v>
      </c>
      <c r="J6169" s="29" t="n">
        <f aca="false">Sens!J6167-Sens!I6167</f>
        <v>1765.05333333333</v>
      </c>
      <c r="K6169" s="29" t="n">
        <f aca="false">Sens!K6167-Sens!J6167</f>
        <v>541.580000000002</v>
      </c>
    </row>
    <row r="6170" customFormat="false" ht="17.15" hidden="false" customHeight="false" outlineLevel="0" collapsed="false">
      <c r="A6170" s="1" t="s">
        <v>809</v>
      </c>
      <c r="B6170" s="0" t="s">
        <v>392</v>
      </c>
      <c r="D6170" s="29" t="n">
        <f aca="false">Sens!D6164-Sens!C6164</f>
        <v>990</v>
      </c>
      <c r="E6170" s="29" t="n">
        <f aca="false">Sens!E6164-Sens!D6164</f>
        <v>1620</v>
      </c>
      <c r="F6170" s="29" t="n">
        <f aca="false">Sens!F6164-Sens!E6164</f>
        <v>2527.2</v>
      </c>
      <c r="G6170" s="29" t="n">
        <f aca="false">Sens!G6164-Sens!F6164</f>
        <v>2527.2</v>
      </c>
      <c r="H6170" s="29" t="n">
        <f aca="false">Sens!H6164-Sens!G6164</f>
        <v>2527.2</v>
      </c>
      <c r="I6170" s="29" t="n">
        <f aca="false">Sens!I6164-Sens!H6164</f>
        <v>1793.116</v>
      </c>
      <c r="J6170" s="29" t="n">
        <f aca="false">Sens!J6164-Sens!I6164</f>
        <v>1059.032</v>
      </c>
      <c r="K6170" s="29" t="n">
        <f aca="false">Sens!K6164-Sens!J6164</f>
        <v>324.948</v>
      </c>
    </row>
    <row r="6171" customFormat="false" ht="17.15" hidden="false" customHeight="false" outlineLevel="0" collapsed="false">
      <c r="A6171" s="1" t="s">
        <v>810</v>
      </c>
      <c r="B6171" s="0" t="s">
        <v>392</v>
      </c>
      <c r="F6171" s="29" t="n">
        <f aca="false">Sens!F6188*ext_sh</f>
        <v>0</v>
      </c>
      <c r="G6171" s="29" t="n">
        <f aca="false">Sens!G6188*ext_sh</f>
        <v>0</v>
      </c>
      <c r="H6171" s="29" t="n">
        <f aca="false">Sens!H6188*ext_sh</f>
        <v>0</v>
      </c>
      <c r="I6171" s="29" t="n">
        <f aca="false">Sens!I6188*ext_sh</f>
        <v>490</v>
      </c>
      <c r="J6171" s="29" t="n">
        <f aca="false">Sens!J6188*ext_sh</f>
        <v>740</v>
      </c>
      <c r="K6171" s="29" t="n">
        <f aca="false">Sens!K6188*ext_sh</f>
        <v>1470</v>
      </c>
      <c r="L6171" s="1" t="s">
        <v>811</v>
      </c>
    </row>
    <row r="6172" customFormat="false" ht="17.15" hidden="false" customHeight="false" outlineLevel="0" collapsed="false">
      <c r="A6172" s="1" t="s">
        <v>812</v>
      </c>
      <c r="B6172" s="0" t="s">
        <v>392</v>
      </c>
      <c r="C6172" s="29" t="n">
        <f aca="false">mix_h*Sens!C6164</f>
        <v>128</v>
      </c>
      <c r="D6172" s="29" t="n">
        <f aca="false">mix_h*Sens!D6164</f>
        <v>326</v>
      </c>
      <c r="E6172" s="29" t="n">
        <f aca="false">mix_h*Sens!E6164</f>
        <v>650</v>
      </c>
      <c r="F6172" s="29" t="n">
        <f aca="false">Sens!E6172-Sens!F6171*mix_h</f>
        <v>650</v>
      </c>
      <c r="G6172" s="29" t="n">
        <f aca="false">Sens!F6172-Sens!G6171*mix_h</f>
        <v>650</v>
      </c>
      <c r="H6172" s="29" t="n">
        <f aca="false">Sens!G6172-Sens!H6171*mix_h</f>
        <v>650</v>
      </c>
      <c r="I6172" s="29" t="n">
        <f aca="false">Sens!H6172-Sens!I6171*mix_h</f>
        <v>552</v>
      </c>
      <c r="J6172" s="29" t="n">
        <f aca="false">Sens!I6172-Sens!J6171*mix_h</f>
        <v>404</v>
      </c>
      <c r="K6172" s="29" t="n">
        <f aca="false">Sens!J6172-Sens!K6171*mix_h</f>
        <v>110</v>
      </c>
    </row>
    <row r="6173" customFormat="false" ht="17.15" hidden="false" customHeight="false" outlineLevel="0" collapsed="false">
      <c r="A6173" s="1" t="s">
        <v>813</v>
      </c>
      <c r="B6173" s="0" t="s">
        <v>392</v>
      </c>
      <c r="C6173" s="29" t="n">
        <f aca="false">mix_g2*Sens!C6164</f>
        <v>288</v>
      </c>
      <c r="D6173" s="29" t="n">
        <f aca="false">mix_g2*Sens!D6164</f>
        <v>733.5</v>
      </c>
      <c r="E6173" s="29" t="n">
        <f aca="false">mix_g2*Sens!E6164</f>
        <v>1462.5</v>
      </c>
      <c r="F6173" s="29" t="n">
        <f aca="false">Sens!E6173-Sens!F6171*mix_g2</f>
        <v>1462.5</v>
      </c>
      <c r="G6173" s="29" t="n">
        <f aca="false">Sens!F6173-Sens!G6171*mix_g2</f>
        <v>1462.5</v>
      </c>
      <c r="H6173" s="29" t="n">
        <f aca="false">Sens!G6173-Sens!H6171*mix_g2</f>
        <v>1462.5</v>
      </c>
      <c r="I6173" s="29" t="n">
        <f aca="false">Sens!H6173-Sens!I6171*mix_g2</f>
        <v>1242</v>
      </c>
      <c r="J6173" s="29" t="n">
        <f aca="false">Sens!I6173-Sens!J6171*mix_g2</f>
        <v>909</v>
      </c>
      <c r="K6173" s="29" t="n">
        <f aca="false">Sens!J6173-Sens!K6171*mix_g2</f>
        <v>247.5</v>
      </c>
    </row>
    <row r="6174" customFormat="false" ht="17.15" hidden="false" customHeight="false" outlineLevel="0" collapsed="false">
      <c r="A6174" s="1" t="s">
        <v>814</v>
      </c>
      <c r="B6174" s="0" t="s">
        <v>392</v>
      </c>
      <c r="C6174" s="29" t="n">
        <f aca="false">mix_g3*Sens!C6164</f>
        <v>224</v>
      </c>
      <c r="D6174" s="29" t="n">
        <f aca="false">mix_g3*Sens!D6164</f>
        <v>570.5</v>
      </c>
      <c r="E6174" s="29" t="n">
        <f aca="false">mix_g3*Sens!E6164</f>
        <v>1137.5</v>
      </c>
      <c r="F6174" s="29" t="n">
        <f aca="false">Sens!E6174+(Sens!F6170+Sens!F6171)*a_g3_27-Sens!F6171*mix_g3</f>
        <v>2906.54</v>
      </c>
      <c r="G6174" s="29" t="n">
        <f aca="false">Sens!F6174+(Sens!G6170+Sens!G6171)*a_g3_28-Sens!G6171*mix_g3</f>
        <v>3664.7</v>
      </c>
      <c r="H6174" s="29" t="n">
        <f aca="false">Sens!G6174+(Sens!H6170+Sens!H6171)*a_g3_29-Sens!H6171*mix_g3</f>
        <v>3917.42</v>
      </c>
      <c r="I6174" s="29" t="n">
        <f aca="false">Sens!H6174+(Sens!I6170+Sens!I6171)*a_g3_29-Sens!I6171*mix_g3</f>
        <v>3974.2316</v>
      </c>
      <c r="J6174" s="29" t="n">
        <f aca="false">Sens!I6174+(Sens!J6170+Sens!J6171)*a_g3_29-Sens!J6171*mix_g3</f>
        <v>3895.1348</v>
      </c>
      <c r="K6174" s="29" t="n">
        <f aca="false">Sens!J6174+(Sens!K6170+Sens!K6171)*a_g3_29-Sens!K6171*mix_g3</f>
        <v>3560.1296</v>
      </c>
    </row>
    <row r="6175" customFormat="false" ht="17.15" hidden="false" customHeight="false" outlineLevel="0" collapsed="false">
      <c r="A6175" s="1" t="s">
        <v>815</v>
      </c>
      <c r="B6175" s="0" t="s">
        <v>392</v>
      </c>
      <c r="C6175" s="29" t="n">
        <v>0</v>
      </c>
      <c r="D6175" s="29" t="n">
        <v>0</v>
      </c>
      <c r="E6175" s="29" t="n">
        <v>0</v>
      </c>
      <c r="F6175" s="29" t="n">
        <f aca="false">Sens!E6175+(Sens!F6170+Sens!F6171)*(1-a_g3_27)</f>
        <v>758.16</v>
      </c>
      <c r="G6175" s="29" t="n">
        <f aca="false">Sens!F6175+(Sens!G6170+Sens!G6171)*(1-a_g3_28)</f>
        <v>2527.2</v>
      </c>
      <c r="H6175" s="29" t="n">
        <f aca="false">Sens!G6175+(Sens!H6170+Sens!H6171)*(1-a_g3_29)</f>
        <v>4801.68</v>
      </c>
      <c r="I6175" s="29" t="n">
        <f aca="false">Sens!H6175+(Sens!I6170+Sens!I6171)*(1-a_g3_29)</f>
        <v>6856.4844</v>
      </c>
      <c r="J6175" s="29" t="n">
        <f aca="false">Sens!I6175+(Sens!J6170+Sens!J6171)*(1-a_g3_29)</f>
        <v>8475.6132</v>
      </c>
      <c r="K6175" s="29" t="n">
        <f aca="false">Sens!J6175+(Sens!K6170+Sens!K6171)*(1-a_g3_29)</f>
        <v>10091.0664</v>
      </c>
    </row>
    <row r="6176" customFormat="false" ht="17.15" hidden="false" customHeight="false" outlineLevel="0" collapsed="false">
      <c r="A6176" s="1" t="s">
        <v>816</v>
      </c>
      <c r="B6176" s="0" t="s">
        <v>339</v>
      </c>
      <c r="C6176" s="14" t="n">
        <f aca="false">(Sens!C6172*tk_hold_h100+Sens!C6173*tk_hold_gb200+Sens!C6174*tk_hold_gb300+Sens!C6175*tk_hold_vr200)/Sens!C6164</f>
        <v>9.7235358126469</v>
      </c>
      <c r="D6176" s="14" t="n">
        <f aca="false">(Sens!D6172*tk_hold_h100+Sens!D6173*tk_hold_gb200+Sens!D6174*tk_hold_gb300+Sens!D6175*tk_hold_vr200)/Sens!D6164</f>
        <v>9.7235358126469</v>
      </c>
      <c r="E6176" s="14" t="n">
        <f aca="false">(Sens!E6172*tk_hold_h100+Sens!E6173*tk_hold_gb200+Sens!E6174*tk_hold_gb300+Sens!E6175*tk_hold_vr200)/Sens!E6164</f>
        <v>9.7235358126469</v>
      </c>
      <c r="F6176" s="14" t="n">
        <f aca="false">(Sens!F6172*tk_hold_h100+Sens!F6173*tk_hold_gb200+Sens!F6174*tk_hold_gb300+Sens!F6175*tk_hold_vr200)/Sens!F6164</f>
        <v>10.4079573161931</v>
      </c>
      <c r="G6176" s="14" t="n">
        <f aca="false">(Sens!G6172*tk_hold_h100+Sens!G6173*tk_hold_gb200+Sens!G6174*tk_hold_gb300+Sens!G6175*tk_hold_vr200)/Sens!G6164</f>
        <v>10.8388131109316</v>
      </c>
      <c r="H6176" s="14" t="n">
        <f aca="false">(Sens!H6172*tk_hold_h100+Sens!H6173*tk_hold_gb200+Sens!H6174*tk_hold_gb300+Sens!H6175*tk_hold_vr200)/Sens!H6164</f>
        <v>11.1311018388216</v>
      </c>
      <c r="I6176" s="14" t="n">
        <f aca="false">(Sens!I6172*tk_hold_h100+Sens!I6173*tk_hold_gb200+Sens!I6174*tk_hold_gb300+Sens!I6175*tk_hold_vr200)/Sens!I6164</f>
        <v>11.3594282560989</v>
      </c>
      <c r="J6176" s="14" t="n">
        <f aca="false">(Sens!J6172*tk_hold_h100+Sens!J6173*tk_hold_gb200+Sens!J6174*tk_hold_gb300+Sens!J6175*tk_hold_vr200)/Sens!J6164</f>
        <v>11.5441508808221</v>
      </c>
      <c r="K6176" s="14" t="n">
        <f aca="false">(Sens!K6172*tk_hold_h100+Sens!K6173*tk_hold_gb200+Sens!K6174*tk_hold_gb300+Sens!K6175*tk_hold_vr200)/Sens!K6164</f>
        <v>11.8053375063575</v>
      </c>
    </row>
    <row r="6177" customFormat="false" ht="17.15" hidden="false" customHeight="false" outlineLevel="0" collapsed="false">
      <c r="A6177" s="0" t="s">
        <v>817</v>
      </c>
      <c r="B6177" s="0" t="s">
        <v>185</v>
      </c>
      <c r="C6177" s="14" t="n">
        <f aca="false">k_B</f>
        <v>1.17213932619116</v>
      </c>
      <c r="D6177" s="14" t="n">
        <f aca="false">k_B</f>
        <v>1.17213932619116</v>
      </c>
      <c r="E6177" s="14" t="n">
        <f aca="false">k_B</f>
        <v>1.17213932619116</v>
      </c>
      <c r="F6177" s="14" t="n">
        <f aca="false">(k_B+((ls_C*k_long+(1-ls_C)*k_spot)-k_B)*MIN(1,(Sens!F6162-base_fy)/k_ramp))</f>
        <v>1.07843258004497</v>
      </c>
      <c r="G6177" s="14" t="n">
        <f aca="false">(k_B+((ls_C*k_long+(1-ls_C)*k_spot)-k_B)*MIN(1,(Sens!G6162-base_fy)/k_ramp))</f>
        <v>0.984725833898784</v>
      </c>
      <c r="H6177" s="14" t="n">
        <f aca="false">(k_B+((ls_C*k_long+(1-ls_C)*k_spot)-k_B)*MIN(1,(Sens!H6162-base_fy)/k_ramp))</f>
        <v>0.891019087752599</v>
      </c>
      <c r="I6177" s="14" t="n">
        <f aca="false">(k_B+((ls_C*k_long+(1-ls_C)*k_spot)-k_B)*MIN(1,(Sens!I6162-base_fy)/k_ramp))</f>
        <v>0.891019087752599</v>
      </c>
      <c r="J6177" s="14" t="n">
        <f aca="false">(k_B+((ls_C*k_long+(1-ls_C)*k_spot)-k_B)*MIN(1,(Sens!J6162-base_fy)/k_ramp))</f>
        <v>0.891019087752599</v>
      </c>
      <c r="K6177" s="14" t="n">
        <f aca="false">(k_B+((ls_C*k_long+(1-ls_C)*k_spot)-k_B)*MIN(1,(Sens!K6162-base_fy)/k_ramp))</f>
        <v>0.891019087752599</v>
      </c>
      <c r="L6177" s="1" t="s">
        <v>818</v>
      </c>
    </row>
    <row r="6178" customFormat="false" ht="17.15" hidden="false" customHeight="false" outlineLevel="0" collapsed="false">
      <c r="A6178" s="1" t="s">
        <v>819</v>
      </c>
      <c r="B6178" s="0" t="s">
        <v>339</v>
      </c>
      <c r="C6178" s="14" t="n">
        <f aca="false">Sens!C6176*Sens!C6177*chip_f</f>
        <v>11.3973387156315</v>
      </c>
      <c r="D6178" s="14" t="n">
        <f aca="false">Sens!D6176*Sens!D6177*chip_f</f>
        <v>11.3973387156315</v>
      </c>
      <c r="E6178" s="14" t="n">
        <f aca="false">Sens!E6176*Sens!E6177*chip_f</f>
        <v>11.3973387156315</v>
      </c>
      <c r="F6178" s="14" t="n">
        <f aca="false">Sens!F6176*Sens!F6177*chip_f</f>
        <v>11.2242802615</v>
      </c>
      <c r="G6178" s="14" t="n">
        <f aca="false">Sens!G6176*Sens!G6177*chip_f</f>
        <v>10.6732592791352</v>
      </c>
      <c r="H6178" s="14" t="n">
        <f aca="false">Sens!H6176*Sens!H6177*chip_f</f>
        <v>9.91802420610807</v>
      </c>
      <c r="I6178" s="14" t="n">
        <f aca="false">Sens!I6176*Sens!I6177*chip_f</f>
        <v>10.1214674021403</v>
      </c>
      <c r="J6178" s="14" t="n">
        <f aca="false">Sens!J6176*Sens!J6177*chip_f</f>
        <v>10.2860587867084</v>
      </c>
      <c r="K6178" s="14" t="n">
        <f aca="false">Sens!K6176*Sens!K6177*chip_f</f>
        <v>10.5187810555262</v>
      </c>
      <c r="L6178" s="1" t="s">
        <v>820</v>
      </c>
    </row>
    <row r="6179" customFormat="false" ht="17.15" hidden="false" customHeight="false" outlineLevel="0" collapsed="false">
      <c r="A6179" s="0" t="s">
        <v>821</v>
      </c>
      <c r="B6179" s="0" t="s">
        <v>98</v>
      </c>
      <c r="D6179" s="6" t="n">
        <f aca="false">(Sens!C6164+Sens!D6164)/2*Sens!D6178/1000</f>
        <v>12.9359794422418</v>
      </c>
      <c r="E6179" s="6" t="n">
        <f aca="false">(Sens!D6164+Sens!E6164)/2*Sens!E6178/1000</f>
        <v>27.8095064661409</v>
      </c>
      <c r="F6179" s="6" t="n">
        <f aca="false">(Sens!E6164+Sens!F6164)/2*Sens!F6178/1000</f>
        <v>50.6619113883066</v>
      </c>
      <c r="G6179" s="6" t="n">
        <f aca="false">(Sens!F6164+Sens!G6164)/2*Sens!G6178/1000</f>
        <v>75.1482839325348</v>
      </c>
      <c r="H6179" s="6" t="n">
        <f aca="false">(Sens!G6164+Sens!H6164)/2*Sens!H6178/1000</f>
        <v>94.895655604042</v>
      </c>
      <c r="I6179" s="6" t="n">
        <f aca="false">(Sens!H6164+Sens!I6164)/2*Sens!I6178/1000</f>
        <v>118.706168884151</v>
      </c>
      <c r="J6179" s="6" t="n">
        <f aca="false">(Sens!I6164+Sens!J6164)/2*Sens!J6178/1000</f>
        <v>135.305203646001</v>
      </c>
      <c r="K6179" s="6" t="n">
        <f aca="false">(Sens!J6164+Sens!K6164)/2*Sens!K6178/1000</f>
        <v>145.64537766421</v>
      </c>
      <c r="L6179" s="11" t="s">
        <v>822</v>
      </c>
    </row>
    <row r="6180" customFormat="false" ht="17.15" hidden="false" customHeight="false" outlineLevel="0" collapsed="false">
      <c r="A6180" s="1" t="s">
        <v>823</v>
      </c>
      <c r="B6180" s="0" t="s">
        <v>339</v>
      </c>
      <c r="C6180" s="14" t="n">
        <f aca="false">(Sens!C6172*tk_opex_h100+Sens!C6173*tk_opex_gb200+Sens!C6174*tk_opex_gb300+Sens!C6175*tk_opex_vr200)/Sens!C6164</f>
        <v>1.88636041306092</v>
      </c>
      <c r="D6180" s="14" t="n">
        <f aca="false">(Sens!D6172*tk_opex_h100+Sens!D6173*tk_opex_gb200+Sens!D6174*tk_opex_gb300+Sens!D6175*tk_opex_vr200)/Sens!D6164</f>
        <v>1.88636041306092</v>
      </c>
      <c r="E6180" s="14" t="n">
        <f aca="false">(Sens!E6172*tk_opex_h100+Sens!E6173*tk_opex_gb200+Sens!E6174*tk_opex_gb300+Sens!E6175*tk_opex_vr200)/Sens!E6164</f>
        <v>1.88636041306092</v>
      </c>
      <c r="F6180" s="14" t="n">
        <f aca="false">(Sens!F6172*tk_opex_h100+Sens!F6173*tk_opex_gb200+Sens!F6174*tk_opex_gb300+Sens!F6175*tk_opex_vr200)/Sens!F6164</f>
        <v>1.9430236476499</v>
      </c>
      <c r="G6180" s="14" t="n">
        <f aca="false">(Sens!G6172*tk_opex_h100+Sens!G6173*tk_opex_gb200+Sens!G6174*tk_opex_gb300+Sens!G6175*tk_opex_vr200)/Sens!G6164</f>
        <v>1.9786941852423</v>
      </c>
      <c r="H6180" s="14" t="n">
        <f aca="false">(Sens!H6172*tk_opex_h100+Sens!H6173*tk_opex_gb200+Sens!H6174*tk_opex_gb300+Sens!H6175*tk_opex_vr200)/Sens!H6164</f>
        <v>2.00289275976156</v>
      </c>
      <c r="I6180" s="14" t="n">
        <f aca="false">(Sens!I6172*tk_opex_h100+Sens!I6173*tk_opex_gb200+Sens!I6174*tk_opex_gb300+Sens!I6175*tk_opex_vr200)/Sens!I6164</f>
        <v>2.02179589661219</v>
      </c>
      <c r="J6180" s="14" t="n">
        <f aca="false">(Sens!J6172*tk_opex_h100+Sens!J6173*tk_opex_gb200+Sens!J6174*tk_opex_gb300+Sens!J6175*tk_opex_vr200)/Sens!J6164</f>
        <v>2.03708907685909</v>
      </c>
      <c r="K6180" s="14" t="n">
        <f aca="false">(Sens!K6172*tk_opex_h100+Sens!K6173*tk_opex_gb200+Sens!K6174*tk_opex_gb300+Sens!K6175*tk_opex_vr200)/Sens!K6164</f>
        <v>2.05871270931005</v>
      </c>
    </row>
    <row r="6181" customFormat="false" ht="17.15" hidden="false" customHeight="false" outlineLevel="0" collapsed="false">
      <c r="A6181" s="0" t="s">
        <v>824</v>
      </c>
      <c r="B6181" s="0" t="s">
        <v>98</v>
      </c>
      <c r="D6181" s="6" t="n">
        <f aca="false">(Sens!C6167+Sens!D6167)/2*Sens!D6180/1000</f>
        <v>2.70378325872065</v>
      </c>
      <c r="E6181" s="6" t="n">
        <f aca="false">(Sens!D6167+Sens!E6167)/2*Sens!E6180/1000</f>
        <v>6.17783035277451</v>
      </c>
      <c r="F6181" s="6" t="n">
        <f aca="false">(Sens!E6167+Sens!F6167)/2*Sens!F6180/1000</f>
        <v>12.5020618235287</v>
      </c>
      <c r="G6181" s="6" t="n">
        <f aca="false">(Sens!F6167+Sens!G6167)/2*Sens!G6180/1000</f>
        <v>20.7261620256847</v>
      </c>
      <c r="H6181" s="6" t="n">
        <f aca="false">(Sens!G6167+Sens!H6167)/2*Sens!H6180/1000</f>
        <v>29.4158183316982</v>
      </c>
      <c r="I6181" s="6" t="n">
        <f aca="false">(Sens!H6167+Sens!I6167)/2*Sens!I6180/1000</f>
        <v>36.9724400356344</v>
      </c>
      <c r="J6181" s="6" t="n">
        <f aca="false">(Sens!I6167+Sens!J6167)/2*Sens!J6180/1000</f>
        <v>42.0938382992747</v>
      </c>
      <c r="K6181" s="6" t="n">
        <f aca="false">(Sens!J6167+Sens!K6167)/2*Sens!K6180/1000</f>
        <v>44.9150106651501</v>
      </c>
    </row>
    <row r="6182" customFormat="false" ht="17.15" hidden="false" customHeight="false" outlineLevel="0" collapsed="false">
      <c r="A6182" s="0" t="s">
        <v>825</v>
      </c>
      <c r="B6182" s="0" t="s">
        <v>98</v>
      </c>
      <c r="D6182" s="6" t="n">
        <f aca="false">(Sens!C6165+Sens!D6165)/2*rent_mw/1000</f>
        <v>2.44475</v>
      </c>
      <c r="E6182" s="6" t="n">
        <f aca="false">(Sens!D6165+Sens!E6165)/2*rent_mw/1000</f>
        <v>4.22275</v>
      </c>
      <c r="F6182" s="6" t="n">
        <f aca="false">(Sens!E6165+Sens!F6165)/2*rent_mw/1000</f>
        <v>5.80517</v>
      </c>
      <c r="G6182" s="6" t="n">
        <f aca="false">(Sens!F6165+Sens!G6165)/2*rent_mw/1000</f>
        <v>6.72084</v>
      </c>
      <c r="H6182" s="6" t="n">
        <f aca="false">(Sens!G6165+Sens!H6165)/2*rent_mw/1000</f>
        <v>6.72084</v>
      </c>
      <c r="I6182" s="6" t="n">
        <f aca="false">(Sens!H6165+Sens!I6165)/2*rent_mw/1000</f>
        <v>6.72084</v>
      </c>
      <c r="J6182" s="6" t="n">
        <f aca="false">(Sens!I6165+Sens!J6165)/2*rent_mw/1000</f>
        <v>6.72084</v>
      </c>
      <c r="K6182" s="6" t="n">
        <f aca="false">(Sens!J6165+Sens!K6165)/2*rent_mw/1000</f>
        <v>6.72084</v>
      </c>
    </row>
    <row r="6183" customFormat="false" ht="17.15" hidden="false" customHeight="false" outlineLevel="0" collapsed="false">
      <c r="A6183" s="0" t="s">
        <v>826</v>
      </c>
      <c r="B6183" s="0" t="s">
        <v>98</v>
      </c>
      <c r="D6183" s="6" t="n">
        <f aca="false">(Sens!C6167+Sens!D6167)/2*(1-self_build)*fac_rent/1000</f>
        <v>0.853242375631075</v>
      </c>
      <c r="E6183" s="6" t="n">
        <f aca="false">(Sens!D6167+Sens!E6167)/2*(1-self_build)*fac_rent/1000</f>
        <v>1.94955961408728</v>
      </c>
      <c r="F6183" s="6" t="n">
        <f aca="false">(Sens!E6167+Sens!F6167)/2*(1-self_build)*fac_rent/1000</f>
        <v>3.83026455274573</v>
      </c>
      <c r="G6183" s="6" t="n">
        <f aca="false">(Sens!F6167+Sens!G6167)/2*(1-self_build)*fac_rent/1000</f>
        <v>6.23541590972812</v>
      </c>
      <c r="H6183" s="6" t="n">
        <f aca="false">(Sens!G6167+Sens!H6167)/2*(1-self_build)*fac_rent/1000</f>
        <v>8.74275792332679</v>
      </c>
      <c r="I6183" s="6" t="n">
        <f aca="false">(Sens!H6167+Sens!I6167)/2*(1-self_build)*fac_rent/1000</f>
        <v>10.8859420438599</v>
      </c>
      <c r="J6183" s="6" t="n">
        <f aca="false">(Sens!I6167+Sens!J6167)/2*(1-self_build)*fac_rent/1000</f>
        <v>12.3008103782619</v>
      </c>
      <c r="K6183" s="6" t="n">
        <f aca="false">(Sens!J6167+Sens!K6167)/2*(1-self_build)*fac_rent/1000</f>
        <v>12.9873629265328</v>
      </c>
      <c r="L6183" s="11" t="s">
        <v>827</v>
      </c>
    </row>
    <row r="6184" customFormat="false" ht="17.15" hidden="false" customHeight="false" outlineLevel="0" collapsed="false">
      <c r="A6184" s="1" t="s">
        <v>828</v>
      </c>
      <c r="B6184" s="0" t="s">
        <v>129</v>
      </c>
      <c r="D6184" s="7" t="n">
        <f aca="false">(Sens!C6166+Sens!D6166)/(Sens!C6167+Sens!D6167)</f>
        <v>0.6</v>
      </c>
      <c r="E6184" s="7" t="n">
        <f aca="false">(Sens!D6166+Sens!E6166)/(Sens!D6167+Sens!E6167)</f>
        <v>0.6</v>
      </c>
      <c r="F6184" s="7" t="n">
        <f aca="false">(Sens!E6166+Sens!F6166)/(Sens!E6167+Sens!F6167)</f>
        <v>0.6</v>
      </c>
      <c r="G6184" s="7" t="n">
        <f aca="false">(Sens!F6166+Sens!G6166)/(Sens!F6167+Sens!G6167)</f>
        <v>0.6</v>
      </c>
      <c r="H6184" s="7" t="n">
        <f aca="false">(Sens!G6166+Sens!H6166)/(Sens!G6167+Sens!H6167)</f>
        <v>0.6</v>
      </c>
      <c r="I6184" s="7" t="n">
        <f aca="false">(Sens!H6166+Sens!I6166)/(Sens!H6167+Sens!I6167)</f>
        <v>0.6</v>
      </c>
      <c r="J6184" s="7" t="n">
        <f aca="false">(Sens!I6166+Sens!J6166)/(Sens!I6167+Sens!J6167)</f>
        <v>0.6</v>
      </c>
      <c r="K6184" s="7" t="n">
        <f aca="false">(Sens!J6166+Sens!K6166)/(Sens!J6167+Sens!K6167)</f>
        <v>0.6</v>
      </c>
    </row>
    <row r="6185" customFormat="false" ht="17.15" hidden="false" customHeight="false" outlineLevel="0" collapsed="false">
      <c r="A6185" s="0" t="s">
        <v>829</v>
      </c>
      <c r="B6185" s="0" t="s">
        <v>98</v>
      </c>
      <c r="D6185" s="6" t="n">
        <f aca="false">Sens!D6179-Sens!D6184*(Sens!D6181+Sens!D6183)-Sens!D6182</f>
        <v>8.35701406163072</v>
      </c>
      <c r="E6185" s="6" t="n">
        <f aca="false">Sens!E6179-Sens!E6184*(Sens!E6181+Sens!E6183)-Sens!E6182</f>
        <v>18.7103224860238</v>
      </c>
      <c r="F6185" s="6" t="n">
        <f aca="false">Sens!F6179-Sens!F6184*(Sens!F6181+Sens!F6183)-Sens!F6182</f>
        <v>35.0573455625419</v>
      </c>
      <c r="G6185" s="6" t="n">
        <f aca="false">Sens!G6179-Sens!G6184*(Sens!G6181+Sens!G6183)-Sens!G6182</f>
        <v>52.2504971712871</v>
      </c>
      <c r="H6185" s="6" t="n">
        <f aca="false">Sens!H6179-Sens!H6184*(Sens!H6181+Sens!H6183)-Sens!H6182</f>
        <v>65.2796698510271</v>
      </c>
      <c r="I6185" s="6" t="n">
        <f aca="false">Sens!I6179-Sens!I6184*(Sens!I6181+Sens!I6183)-Sens!I6182</f>
        <v>83.2702996364549</v>
      </c>
      <c r="J6185" s="6" t="n">
        <f aca="false">Sens!J6179-Sens!J6184*(Sens!J6181+Sens!J6183)-Sens!J6182</f>
        <v>95.9475744394793</v>
      </c>
      <c r="K6185" s="6" t="n">
        <f aca="false">Sens!K6179-Sens!K6184*(Sens!K6181+Sens!K6183)-Sens!K6182</f>
        <v>104.1831135092</v>
      </c>
    </row>
    <row r="6186" customFormat="false" ht="17.15" hidden="false" customHeight="false" outlineLevel="0" collapsed="false">
      <c r="A6186" s="1" t="s">
        <v>830</v>
      </c>
      <c r="B6186" s="0" t="s">
        <v>98</v>
      </c>
      <c r="D6186" s="6" t="n">
        <f aca="false">(1-Sens!D6184)*(Sens!D6181+Sens!D6183)</f>
        <v>1.42281025374069</v>
      </c>
      <c r="E6186" s="6" t="n">
        <f aca="false">(1-Sens!E6184)*(Sens!E6181+Sens!E6183)</f>
        <v>3.25095598674472</v>
      </c>
      <c r="F6186" s="6" t="n">
        <f aca="false">(1-Sens!F6184)*(Sens!F6181+Sens!F6183)</f>
        <v>6.53293055050977</v>
      </c>
      <c r="G6186" s="6" t="n">
        <f aca="false">(1-Sens!G6184)*(Sens!G6181+Sens!G6183)</f>
        <v>10.7846311741651</v>
      </c>
      <c r="H6186" s="6" t="n">
        <f aca="false">(1-Sens!H6184)*(Sens!H6181+Sens!H6183)</f>
        <v>15.26343050201</v>
      </c>
      <c r="I6186" s="6" t="n">
        <f aca="false">(1-Sens!I6184)*(Sens!I6181+Sens!I6183)</f>
        <v>19.1433528317977</v>
      </c>
      <c r="J6186" s="6" t="n">
        <f aca="false">(1-Sens!J6184)*(Sens!J6181+Sens!J6183)</f>
        <v>21.7578594710146</v>
      </c>
      <c r="K6186" s="6" t="n">
        <f aca="false">(1-Sens!K6184)*(Sens!K6181+Sens!K6183)</f>
        <v>23.1609494366731</v>
      </c>
    </row>
    <row r="6187" customFormat="false" ht="17.15" hidden="false" customHeight="false" outlineLevel="0" collapsed="false">
      <c r="A6187" s="1" t="s">
        <v>831</v>
      </c>
      <c r="B6187" s="0" t="s">
        <v>350</v>
      </c>
      <c r="C6187" s="8" t="n">
        <f aca="false">cxit_open</f>
        <v>27.5918995</v>
      </c>
      <c r="D6187" s="8" t="n">
        <f aca="false">cxit_open</f>
        <v>27.5918995</v>
      </c>
      <c r="E6187" s="8" t="n">
        <f aca="false">cxit_open</f>
        <v>27.5918995</v>
      </c>
      <c r="F6187" s="8" t="n">
        <f aca="false">(a_g3_27*tk_cxit_gb300+(1-a_g3_27)*tk_cxit_vr200)</f>
        <v>33.8419624</v>
      </c>
      <c r="G6187" s="8" t="n">
        <f aca="false">(a_g3_28*tk_cxit_gb300+(1-a_g3_28)*tk_cxit_vr200)</f>
        <v>35.9816136</v>
      </c>
      <c r="H6187" s="8" t="n">
        <f aca="false">(a_g3_29*tk_cxit_gb300+(1-a_g3_29)*tk_cxit_vr200)</f>
        <v>37.0514392</v>
      </c>
      <c r="I6187" s="8" t="n">
        <f aca="false">(a_g3_29*tk_cxit_gb300+(1-a_g3_29)*tk_cxit_vr200)</f>
        <v>37.0514392</v>
      </c>
      <c r="J6187" s="8" t="n">
        <f aca="false">(a_g3_29*tk_cxit_gb300+(1-a_g3_29)*tk_cxit_vr200)</f>
        <v>37.0514392</v>
      </c>
      <c r="K6187" s="8" t="n">
        <f aca="false">(a_g3_29*tk_cxit_gb300+(1-a_g3_29)*tk_cxit_vr200)</f>
        <v>37.0514392</v>
      </c>
      <c r="L6187" s="11" t="s">
        <v>832</v>
      </c>
    </row>
    <row r="6188" customFormat="false" ht="17.15" hidden="false" customHeight="false" outlineLevel="0" collapsed="false">
      <c r="A6188" s="0" t="s">
        <v>833</v>
      </c>
      <c r="B6188" s="0" t="s">
        <v>392</v>
      </c>
      <c r="F6188" s="29" t="n">
        <f aca="false">Sens!C6169*IF(Sens!F6162-Sens!C6162=life_it,1,0)+Sens!D6169*IF(Sens!F6162-Sens!D6162=life_it,1,0)+Sens!E6169*IF(Sens!F6162-Sens!E6162=life_it,1,0)</f>
        <v>0</v>
      </c>
      <c r="G6188" s="29" t="n">
        <f aca="false">Sens!C6169*IF(Sens!G6162-Sens!C6162=life_it,1,0)+Sens!D6169*IF(Sens!G6162-Sens!D6162=life_it,1,0)+Sens!E6169*IF(Sens!G6162-Sens!E6162=life_it,1,0)+Sens!F6169*IF(Sens!G6162-Sens!F6162=life_it,1,0)</f>
        <v>0</v>
      </c>
      <c r="H6188" s="29" t="n">
        <f aca="false">Sens!C6169*IF(Sens!H6162-Sens!C6162=life_it,1,0)+Sens!D6169*IF(Sens!H6162-Sens!D6162=life_it,1,0)+Sens!E6169*IF(Sens!H6162-Sens!E6162=life_it,1,0)+Sens!F6169*IF(Sens!H6162-Sens!F6162=life_it,1,0)+Sens!G6169*IF(Sens!H6162-Sens!G6162=life_it,1,0)</f>
        <v>0</v>
      </c>
      <c r="I6188" s="29" t="n">
        <f aca="false">Sens!C6169*IF(Sens!I6162-Sens!C6162=life_it,1,0)+Sens!D6169*IF(Sens!I6162-Sens!D6162=life_it,1,0)+Sens!E6169*IF(Sens!I6162-Sens!E6162=life_it,1,0)+Sens!F6169*IF(Sens!I6162-Sens!F6162=life_it,1,0)+Sens!G6169*IF(Sens!I6162-Sens!G6162=life_it,1,0)+Sens!H6169*IF(Sens!I6162-Sens!H6162=life_it,1,0)</f>
        <v>816.666666666667</v>
      </c>
      <c r="J6188" s="29" t="n">
        <f aca="false">Sens!C6169*IF(Sens!J6162-Sens!C6162=life_it,1,0)+Sens!D6169*IF(Sens!J6162-Sens!D6162=life_it,1,0)+Sens!E6169*IF(Sens!J6162-Sens!E6162=life_it,1,0)+Sens!F6169*IF(Sens!J6162-Sens!F6162=life_it,1,0)+Sens!G6169*IF(Sens!J6162-Sens!G6162=life_it,1,0)+Sens!H6169*IF(Sens!J6162-Sens!H6162=life_it,1,0)+Sens!I6169*IF(Sens!J6162-Sens!I6162=life_it,1,0)</f>
        <v>1233.33333333333</v>
      </c>
      <c r="K6188" s="29" t="n">
        <f aca="false">Sens!C6169*IF(Sens!K6162-Sens!C6162=life_it,1,0)+Sens!D6169*IF(Sens!K6162-Sens!D6162=life_it,1,0)+Sens!E6169*IF(Sens!K6162-Sens!E6162=life_it,1,0)+Sens!F6169*IF(Sens!K6162-Sens!F6162=life_it,1,0)+Sens!G6169*IF(Sens!K6162-Sens!G6162=life_it,1,0)+Sens!H6169*IF(Sens!K6162-Sens!H6162=life_it,1,0)+Sens!I6169*IF(Sens!K6162-Sens!I6162=life_it,1,0)+Sens!J6169*IF(Sens!K6162-Sens!J6162=life_it,1,0)</f>
        <v>2450</v>
      </c>
      <c r="L6188" s="1" t="s">
        <v>834</v>
      </c>
    </row>
    <row r="6189" customFormat="false" ht="17.15" hidden="false" customHeight="false" outlineLevel="0" collapsed="false">
      <c r="A6189" s="0" t="s">
        <v>835</v>
      </c>
      <c r="B6189" s="0" t="s">
        <v>98</v>
      </c>
      <c r="C6189" s="6" t="n">
        <f aca="false">Sens!C6169*Sens!C6187/1000</f>
        <v>22.5333845916667</v>
      </c>
      <c r="D6189" s="6" t="n">
        <f aca="false">Sens!D6169*Sens!D6187/1000</f>
        <v>34.0300093833333</v>
      </c>
      <c r="E6189" s="6" t="n">
        <f aca="false">Sens!E6169*Sens!E6187/1000</f>
        <v>67.600153775</v>
      </c>
      <c r="F6189" s="6" t="n">
        <f aca="false">(Sens!F6169+Sens!F6188)*Sens!F6187/1000</f>
        <v>130.923271871467</v>
      </c>
      <c r="G6189" s="6" t="n">
        <f aca="false">(Sens!G6169+Sens!G6188)*Sens!G6187/1000</f>
        <v>151.5545564832</v>
      </c>
      <c r="H6189" s="6" t="n">
        <f aca="false">(Sens!H6169+Sens!H6188)*Sens!H6187/1000</f>
        <v>156.0606619104</v>
      </c>
      <c r="I6189" s="6" t="n">
        <f aca="false">(Sens!I6169+Sens!I6188)*Sens!I6187/1000</f>
        <v>140.987889434245</v>
      </c>
      <c r="J6189" s="6" t="n">
        <f aca="false">(Sens!J6169+Sens!J6188)*Sens!J6187/1000</f>
        <v>111.094541278091</v>
      </c>
      <c r="K6189" s="6" t="n">
        <f aca="false">(Sens!K6169+Sens!K6188)*Sens!K6187/1000</f>
        <v>110.842344481936</v>
      </c>
    </row>
    <row r="6190" customFormat="false" ht="17.15" hidden="false" customHeight="false" outlineLevel="0" collapsed="false">
      <c r="A6190" s="0" t="s">
        <v>836</v>
      </c>
      <c r="B6190" s="0" t="s">
        <v>98</v>
      </c>
      <c r="C6190" s="6" t="n">
        <f aca="false">Sens!C6169*self_build*tk_cxfac/1000</f>
        <v>6.2083</v>
      </c>
      <c r="D6190" s="6" t="n">
        <f aca="false">Sens!D6169*self_build*tk_cxfac/1000</f>
        <v>9.3758</v>
      </c>
      <c r="E6190" s="6" t="n">
        <f aca="false">Sens!E6169*self_build*tk_cxfac/1000</f>
        <v>18.6249</v>
      </c>
      <c r="F6190" s="6" t="n">
        <f aca="false">Sens!F6169*self_build*tk_cxfac/1000</f>
        <v>29.409604</v>
      </c>
      <c r="G6190" s="6" t="n">
        <f aca="false">Sens!G6169*self_build*tk_cxfac/1000</f>
        <v>32.019624</v>
      </c>
      <c r="H6190" s="6" t="n">
        <f aca="false">Sens!H6169*self_build*tk_cxfac/1000</f>
        <v>32.019624</v>
      </c>
      <c r="I6190" s="6" t="n">
        <f aca="false">Sens!I6169*self_build*tk_cxfac/1000</f>
        <v>22.71877972</v>
      </c>
      <c r="J6190" s="6" t="n">
        <f aca="false">Sens!J6169*self_build*tk_cxfac/1000</f>
        <v>13.41793544</v>
      </c>
      <c r="K6190" s="6" t="n">
        <f aca="false">Sens!K6169*self_build*tk_cxfac/1000</f>
        <v>4.11709116000001</v>
      </c>
    </row>
    <row r="6191" customFormat="false" ht="17.15" hidden="false" customHeight="false" outlineLevel="0" collapsed="false">
      <c r="A6191" s="0" t="s">
        <v>837</v>
      </c>
      <c r="B6191" s="0" t="s">
        <v>98</v>
      </c>
      <c r="F6191" s="6" t="n">
        <f aca="false">MAX(0,capex_floor27-Sens!F6189-Sens!F6190-Sens!F6284)</f>
        <v>8.36277689897089</v>
      </c>
      <c r="L6191" s="1" t="s">
        <v>838</v>
      </c>
    </row>
    <row r="6192" customFormat="false" ht="17.15" hidden="false" customHeight="false" outlineLevel="0" collapsed="false">
      <c r="A6192" s="0" t="s">
        <v>839</v>
      </c>
      <c r="B6192" s="0" t="s">
        <v>98</v>
      </c>
      <c r="C6192" s="6" t="n">
        <f aca="false">Sens!C6189</f>
        <v>22.5333845916667</v>
      </c>
      <c r="D6192" s="6" t="n">
        <f aca="false">Sens!D6189</f>
        <v>34.0300093833333</v>
      </c>
      <c r="E6192" s="6" t="n">
        <f aca="false">Sens!E6189</f>
        <v>67.600153775</v>
      </c>
      <c r="F6192" s="6" t="n">
        <f aca="false">Sens!F6189+Sens!F6191</f>
        <v>139.286048770438</v>
      </c>
      <c r="G6192" s="6" t="n">
        <f aca="false">Sens!G6189</f>
        <v>151.5545564832</v>
      </c>
      <c r="H6192" s="6" t="n">
        <f aca="false">Sens!H6189</f>
        <v>156.0606619104</v>
      </c>
      <c r="I6192" s="6" t="n">
        <f aca="false">Sens!I6189</f>
        <v>140.987889434245</v>
      </c>
      <c r="J6192" s="6" t="n">
        <f aca="false">Sens!J6189</f>
        <v>111.094541278091</v>
      </c>
      <c r="K6192" s="6" t="n">
        <f aca="false">Sens!K6189</f>
        <v>110.842344481936</v>
      </c>
    </row>
    <row r="6193" customFormat="false" ht="17.15" hidden="false" customHeight="false" outlineLevel="0" collapsed="false">
      <c r="A6193" s="0" t="s">
        <v>840</v>
      </c>
      <c r="B6193" s="0" t="s">
        <v>98</v>
      </c>
      <c r="C6193" s="6" t="n">
        <f aca="false">Sens!C6192+Sens!C6190</f>
        <v>28.7416845916667</v>
      </c>
      <c r="D6193" s="6" t="n">
        <f aca="false">Sens!D6192+Sens!D6190</f>
        <v>43.4058093833333</v>
      </c>
      <c r="E6193" s="6" t="n">
        <f aca="false">Sens!E6192+Sens!E6190</f>
        <v>86.225053775</v>
      </c>
      <c r="F6193" s="6" t="n">
        <f aca="false">Sens!F6192+Sens!F6190</f>
        <v>168.695652770438</v>
      </c>
      <c r="G6193" s="6" t="n">
        <f aca="false">Sens!G6192+Sens!G6190</f>
        <v>183.5741804832</v>
      </c>
      <c r="H6193" s="6" t="n">
        <f aca="false">Sens!H6192+Sens!H6190</f>
        <v>188.0802859104</v>
      </c>
      <c r="I6193" s="6" t="n">
        <f aca="false">Sens!I6192+Sens!I6190</f>
        <v>163.706669154245</v>
      </c>
      <c r="J6193" s="6" t="n">
        <f aca="false">Sens!J6192+Sens!J6190</f>
        <v>124.51247671809</v>
      </c>
      <c r="K6193" s="6" t="n">
        <f aca="false">Sens!K6192+Sens!K6190</f>
        <v>114.959435641936</v>
      </c>
      <c r="L6193" s="11" t="s">
        <v>841</v>
      </c>
    </row>
    <row r="6194" customFormat="false" ht="17.15" hidden="false" customHeight="false" outlineLevel="0" collapsed="false">
      <c r="A6194" s="0" t="s">
        <v>842</v>
      </c>
      <c r="B6194" s="0" t="s">
        <v>98</v>
      </c>
      <c r="E6194" s="6" t="n">
        <f aca="false">(Sens!C6192*IF(2&lt;life_it,1,IF(2=life_it,0.5,0))+Sens!D6192*IF(1&lt;life_it,1,IF(1=life_it,0.5,0))+Sens!E6192*0.5)/life_it</f>
        <v>15.0605784770833</v>
      </c>
      <c r="F6194" s="6" t="n">
        <f aca="false">(Sens!C6192*IF(3&lt;life_it,1,IF(3=life_it,0.5,0))+Sens!D6192*IF(2&lt;life_it,1,IF(2=life_it,0.5,0))+Sens!E6192*IF(1&lt;life_it,1,IF(1=life_it,0.5,0))+Sens!F6192*0.5)/life_it</f>
        <v>32.3010953558698</v>
      </c>
      <c r="G6194" s="6" t="n">
        <f aca="false">(Sens!C6192*IF(4&lt;life_it,1,IF(4=life_it,0.5,0))+Sens!D6192*IF(3&lt;life_it,1,IF(3=life_it,0.5,0))+Sens!E6192*IF(2&lt;life_it,1,IF(2=life_it,0.5,0))+Sens!F6192*IF(1&lt;life_it,1,IF(1=life_it,0.5,0))+Sens!G6192*0.5)/life_it</f>
        <v>56.5378124603396</v>
      </c>
      <c r="H6194" s="6" t="n">
        <f aca="false">(Sens!C6192*IF(5&lt;life_it,1,IF(5=life_it,0.5,0))+Sens!D6192*IF(4&lt;life_it,1,IF(4=life_it,0.5,0))+Sens!E6192*IF(3&lt;life_it,1,IF(3=life_it,0.5,0))+Sens!F6192*IF(2&lt;life_it,1,IF(2=life_it,0.5,0))+Sens!G6192*IF(1&lt;life_it,1,IF(1=life_it,0.5,0))+Sens!H6192*0.5)/life_it</f>
        <v>82.1724139931396</v>
      </c>
      <c r="I6194" s="6" t="n">
        <f aca="false">(Sens!C6192*IF(6&lt;life_it,1,IF(6=life_it,0.5,0))+Sens!D6192*IF(5&lt;life_it,1,IF(5=life_it,0.5,0))+Sens!E6192*IF(4&lt;life_it,1,IF(4=life_it,0.5,0))+Sens!F6192*IF(3&lt;life_it,1,IF(3=life_it,0.5,0))+Sens!G6192*IF(2&lt;life_it,1,IF(2=life_it,0.5,0))+Sens!H6192*IF(1&lt;life_it,1,IF(1=life_it,0.5,0))+Sens!I6192*0.5)/life_it</f>
        <v>105.048677889221</v>
      </c>
      <c r="J6194" s="6" t="n">
        <f aca="false">(Sens!C6192*IF(7&lt;life_it,1,IF(7=life_it,0.5,0))+Sens!D6192*IF(6&lt;life_it,1,IF(6=life_it,0.5,0))+Sens!E6192*IF(5&lt;life_it,1,IF(5=life_it,0.5,0))+Sens!F6192*IF(4&lt;life_it,1,IF(4=life_it,0.5,0))+Sens!G6192*IF(3&lt;life_it,1,IF(3=life_it,0.5,0))+Sens!H6192*IF(2&lt;life_it,1,IF(2=life_it,0.5,0))+Sens!I6192*IF(1&lt;life_it,1,IF(1=life_it,0.5,0))+Sens!J6192*0.5)/life_it</f>
        <v>121.341930950666</v>
      </c>
      <c r="K6194" s="6" t="n">
        <f aca="false">(Sens!C6192*IF(8&lt;life_it,1,IF(8=life_it,0.5,0))+Sens!D6192*IF(7&lt;life_it,1,IF(7=life_it,0.5,0))+Sens!E6192*IF(6&lt;life_it,1,IF(6=life_it,0.5,0))+Sens!F6192*IF(5&lt;life_it,1,IF(5=life_it,0.5,0))+Sens!G6192*IF(4&lt;life_it,1,IF(4=life_it,0.5,0))+Sens!H6192*IF(3&lt;life_it,1,IF(3=life_it,0.5,0))+Sens!I6192*IF(2&lt;life_it,1,IF(2=life_it,0.5,0))+Sens!J6192*IF(1&lt;life_it,1,IF(1=life_it,0.5,0))+Sens!K6192*0.5)/life_it</f>
        <v>131.367491167474</v>
      </c>
    </row>
    <row r="6195" customFormat="false" ht="17.15" hidden="false" customHeight="false" outlineLevel="0" collapsed="false">
      <c r="A6195" s="0" t="s">
        <v>843</v>
      </c>
      <c r="B6195" s="0" t="s">
        <v>98</v>
      </c>
      <c r="E6195" s="6" t="n">
        <f aca="false">(Sens!C6190*IF(2&lt;life_fac,1,IF(2=life_fac,0.5,0))+Sens!D6190*IF(1&lt;life_fac,1,IF(1=life_fac,0.5,0))+Sens!E6190*0.5)/life_fac</f>
        <v>1.2448275</v>
      </c>
      <c r="F6195" s="6" t="n">
        <f aca="false">(Sens!C6190*IF(3&lt;life_fac,1,IF(3=life_fac,0.5,0))+Sens!D6190*IF(2&lt;life_fac,1,IF(2=life_fac,0.5,0))+Sens!E6190*IF(1&lt;life_fac,1,IF(1=life_fac,0.5,0))+Sens!F6190*0.5)/life_fac</f>
        <v>2.4456901</v>
      </c>
      <c r="G6195" s="6" t="n">
        <f aca="false">(Sens!C6190*IF(4&lt;life_fac,1,IF(4=life_fac,0.5,0))+Sens!D6190*IF(3&lt;life_fac,1,IF(3=life_fac,0.5,0))+Sens!E6190*IF(2&lt;life_fac,1,IF(2=life_fac,0.5,0))+Sens!F6190*IF(1&lt;life_fac,1,IF(1=life_fac,0.5,0))+Sens!G6190*0.5)/life_fac</f>
        <v>3.9814208</v>
      </c>
      <c r="H6195" s="6" t="n">
        <f aca="false">(Sens!C6190*IF(5&lt;life_fac,1,IF(5=life_fac,0.5,0))+Sens!D6190*IF(4&lt;life_fac,1,IF(4=life_fac,0.5,0))+Sens!E6190*IF(3&lt;life_fac,1,IF(3=life_fac,0.5,0))+Sens!F6190*IF(2&lt;life_fac,1,IF(2=life_fac,0.5,0))+Sens!G6190*IF(1&lt;life_fac,1,IF(1=life_fac,0.5,0))+Sens!H6190*0.5)/life_fac</f>
        <v>5.582402</v>
      </c>
      <c r="I6195" s="6" t="n">
        <f aca="false">(Sens!C6190*IF(6&lt;life_fac,1,IF(6=life_fac,0.5,0))+Sens!D6190*IF(5&lt;life_fac,1,IF(5=life_fac,0.5,0))+Sens!E6190*IF(4&lt;life_fac,1,IF(4=life_fac,0.5,0))+Sens!F6190*IF(3&lt;life_fac,1,IF(3=life_fac,0.5,0))+Sens!G6190*IF(2&lt;life_fac,1,IF(2=life_fac,0.5,0))+Sens!H6190*IF(1&lt;life_fac,1,IF(1=life_fac,0.5,0))+Sens!I6190*0.5)/life_fac</f>
        <v>6.950862093</v>
      </c>
      <c r="J6195" s="6" t="n">
        <f aca="false">(Sens!C6190*IF(7&lt;life_fac,1,IF(7=life_fac,0.5,0))+Sens!D6190*IF(6&lt;life_fac,1,IF(6=life_fac,0.5,0))+Sens!E6190*IF(5&lt;life_fac,1,IF(5=life_fac,0.5,0))+Sens!F6190*IF(4&lt;life_fac,1,IF(4=life_fac,0.5,0))+Sens!G6190*IF(3&lt;life_fac,1,IF(3=life_fac,0.5,0))+Sens!H6190*IF(2&lt;life_fac,1,IF(2=life_fac,0.5,0))+Sens!I6190*IF(1&lt;life_fac,1,IF(1=life_fac,0.5,0))+Sens!J6190*0.5)/life_fac</f>
        <v>7.854279972</v>
      </c>
      <c r="K6195" s="6" t="n">
        <f aca="false">(Sens!C6190*IF(8&lt;life_fac,1,IF(8=life_fac,0.5,0))+Sens!D6190*IF(7&lt;life_fac,1,IF(7=life_fac,0.5,0))+Sens!E6190*IF(6&lt;life_fac,1,IF(6=life_fac,0.5,0))+Sens!F6190*IF(5&lt;life_fac,1,IF(5=life_fac,0.5,0))+Sens!G6190*IF(4&lt;life_fac,1,IF(4=life_fac,0.5,0))+Sens!H6190*IF(3&lt;life_fac,1,IF(3=life_fac,0.5,0))+Sens!I6190*IF(2&lt;life_fac,1,IF(2=life_fac,0.5,0))+Sens!J6190*IF(1&lt;life_fac,1,IF(1=life_fac,0.5,0))+Sens!K6190*0.5)/life_fac</f>
        <v>8.292655637</v>
      </c>
    </row>
    <row r="6196" customFormat="false" ht="17.15" hidden="false" customHeight="false" outlineLevel="0" collapsed="false">
      <c r="A6196" s="0" t="s">
        <v>844</v>
      </c>
      <c r="B6196" s="0" t="s">
        <v>98</v>
      </c>
      <c r="E6196" s="6" t="n">
        <f aca="false">Sens!E6194+Sens!E6195</f>
        <v>16.3054059770833</v>
      </c>
      <c r="F6196" s="6" t="n">
        <f aca="false">Sens!F6194+Sens!F6195</f>
        <v>34.7467854558698</v>
      </c>
      <c r="G6196" s="6" t="n">
        <f aca="false">Sens!G6194+Sens!G6195</f>
        <v>60.5192332603396</v>
      </c>
      <c r="H6196" s="6" t="n">
        <f aca="false">Sens!H6194+Sens!H6195</f>
        <v>87.7548159931396</v>
      </c>
      <c r="I6196" s="6" t="n">
        <f aca="false">Sens!I6194+Sens!I6195</f>
        <v>111.999539982221</v>
      </c>
      <c r="J6196" s="6" t="n">
        <f aca="false">Sens!J6194+Sens!J6195</f>
        <v>129.196210922666</v>
      </c>
      <c r="K6196" s="6" t="n">
        <f aca="false">Sens!K6194+Sens!K6195</f>
        <v>139.660146804474</v>
      </c>
    </row>
    <row r="6197" customFormat="false" ht="17.15" hidden="false" customHeight="false" outlineLevel="0" collapsed="false">
      <c r="A6197" s="0" t="s">
        <v>845</v>
      </c>
      <c r="B6197" s="0" t="s">
        <v>98</v>
      </c>
      <c r="E6197" s="6" t="n">
        <f aca="false">Sens!E6185-Sens!E6184*Sens!E6196</f>
        <v>8.92707889977379</v>
      </c>
      <c r="F6197" s="6" t="n">
        <f aca="false">Sens!F6185-Sens!F6184*Sens!F6196</f>
        <v>14.2092742890201</v>
      </c>
      <c r="G6197" s="6" t="n">
        <f aca="false">Sens!G6185-Sens!G6184*Sens!G6196</f>
        <v>15.9389572150833</v>
      </c>
      <c r="H6197" s="6" t="n">
        <f aca="false">Sens!H6185-Sens!H6184*Sens!H6196</f>
        <v>12.6267802551433</v>
      </c>
      <c r="I6197" s="6" t="n">
        <f aca="false">Sens!I6185-Sens!I6184*Sens!I6196</f>
        <v>16.0705756471222</v>
      </c>
      <c r="J6197" s="6" t="n">
        <f aca="false">Sens!J6185-Sens!J6184*Sens!J6196</f>
        <v>18.4298478858798</v>
      </c>
      <c r="K6197" s="6" t="n">
        <f aca="false">Sens!K6185-Sens!K6184*Sens!K6196</f>
        <v>20.3870254265162</v>
      </c>
    </row>
    <row r="6198" customFormat="false" ht="17.15" hidden="false" customHeight="false" outlineLevel="0" collapsed="false">
      <c r="A6198" s="3" t="s">
        <v>1395</v>
      </c>
    </row>
    <row r="6199" customFormat="false" ht="15" hidden="false" customHeight="false" outlineLevel="0" collapsed="false">
      <c r="A6199" s="4" t="s">
        <v>43</v>
      </c>
      <c r="B6199" s="4" t="s">
        <v>65</v>
      </c>
      <c r="C6199" s="20" t="s">
        <v>788</v>
      </c>
      <c r="D6199" s="20" t="s">
        <v>789</v>
      </c>
      <c r="E6199" s="20" t="s">
        <v>790</v>
      </c>
      <c r="F6199" s="20" t="s">
        <v>791</v>
      </c>
      <c r="G6199" s="20" t="s">
        <v>792</v>
      </c>
      <c r="H6199" s="20" t="s">
        <v>793</v>
      </c>
      <c r="I6199" s="20" t="s">
        <v>794</v>
      </c>
      <c r="J6199" s="20" t="s">
        <v>795</v>
      </c>
      <c r="K6199" s="20" t="s">
        <v>796</v>
      </c>
      <c r="L6199" s="4" t="s">
        <v>47</v>
      </c>
    </row>
    <row r="6200" customFormat="false" ht="17.15" hidden="false" customHeight="false" outlineLevel="0" collapsed="false">
      <c r="A6200" s="0" t="s">
        <v>864</v>
      </c>
      <c r="B6200" s="0" t="s">
        <v>98</v>
      </c>
      <c r="D6200" s="6" t="n">
        <f aca="false">Sens!D6179</f>
        <v>12.9359794422418</v>
      </c>
      <c r="E6200" s="6" t="n">
        <f aca="false">Sens!E6179</f>
        <v>27.8095064661409</v>
      </c>
      <c r="F6200" s="6" t="n">
        <f aca="false">Sens!F6179</f>
        <v>50.6619113883066</v>
      </c>
      <c r="G6200" s="6" t="n">
        <f aca="false">Sens!G6179</f>
        <v>75.1482839325348</v>
      </c>
      <c r="H6200" s="6" t="n">
        <f aca="false">Sens!H6179</f>
        <v>94.895655604042</v>
      </c>
      <c r="I6200" s="6" t="n">
        <f aca="false">Sens!I6179</f>
        <v>118.706168884151</v>
      </c>
      <c r="J6200" s="6" t="n">
        <f aca="false">Sens!J6179</f>
        <v>135.305203646001</v>
      </c>
      <c r="K6200" s="6" t="n">
        <f aca="false">Sens!K6179</f>
        <v>145.64537766421</v>
      </c>
    </row>
    <row r="6201" customFormat="false" ht="17.15" hidden="false" customHeight="false" outlineLevel="0" collapsed="false">
      <c r="A6201" s="0" t="s">
        <v>865</v>
      </c>
      <c r="B6201" s="0" t="s">
        <v>98</v>
      </c>
      <c r="D6201" s="6" t="n">
        <f aca="false">Q!L6-Sens!D6200</f>
        <v>59.6740205577583</v>
      </c>
      <c r="E6201" s="6" t="n">
        <f aca="false">Q!M6-Sens!E6200</f>
        <v>74.1284935338591</v>
      </c>
      <c r="F6201" s="6" t="n">
        <f aca="false">Sens!E6201*(1+Sens!F6202)</f>
        <v>90.0799497373663</v>
      </c>
      <c r="G6201" s="6" t="n">
        <f aca="false">Sens!F6201*(1+Sens!G6202)</f>
        <v>107.02842520331</v>
      </c>
      <c r="H6201" s="6" t="n">
        <f aca="false">Sens!G6201*(1+Sens!H6202)</f>
        <v>124.271982585636</v>
      </c>
      <c r="I6201" s="6" t="n">
        <f aca="false">Sens!H6201*(1+Sens!I6202)</f>
        <v>140.933702381855</v>
      </c>
      <c r="J6201" s="6" t="n">
        <f aca="false">Sens!I6201*(1+Sens!J6202)</f>
        <v>156.018867314332</v>
      </c>
      <c r="K6201" s="6" t="n">
        <f aca="false">Sens!J6201*(1+Sens!K6202)</f>
        <v>168.500376699478</v>
      </c>
    </row>
    <row r="6202" customFormat="false" ht="15" hidden="false" customHeight="false" outlineLevel="0" collapsed="false">
      <c r="A6202" s="1" t="s">
        <v>866</v>
      </c>
      <c r="B6202" s="0" t="s">
        <v>129</v>
      </c>
      <c r="E6202" s="7" t="n">
        <f aca="false">Sens!E6201/Sens!D6201-1</f>
        <v>0.242223883039864</v>
      </c>
      <c r="F6202" s="7" t="n">
        <f aca="false">Sens!$E$6202+(glt_azo-Sens!$E$6202)*MIN(1,(Sens!F6162-base_fy)/n_conv)</f>
        <v>0.215186569199887</v>
      </c>
      <c r="G6202" s="7" t="n">
        <f aca="false">Sens!$E$6202+(glt_azo-Sens!$E$6202)*MIN(1,(Sens!G6162-base_fy)/n_conv)</f>
        <v>0.18814925535991</v>
      </c>
      <c r="H6202" s="7" t="n">
        <f aca="false">Sens!$E$6202+(glt_azo-Sens!$E$6202)*MIN(1,(Sens!H6162-base_fy)/n_conv)</f>
        <v>0.161111941519932</v>
      </c>
      <c r="I6202" s="7" t="n">
        <f aca="false">Sens!$E$6202+(glt_azo-Sens!$E$6202)*MIN(1,(Sens!I6162-base_fy)/n_conv)</f>
        <v>0.134074627679955</v>
      </c>
      <c r="J6202" s="7" t="n">
        <f aca="false">Sens!$E$6202+(glt_azo-Sens!$E$6202)*MIN(1,(Sens!J6162-base_fy)/n_conv)</f>
        <v>0.107037313839977</v>
      </c>
      <c r="K6202" s="7" t="n">
        <f aca="false">Sens!$E$6202+(glt_azo-Sens!$E$6202)*MIN(1,(Sens!K6162-base_fy)/n_conv)</f>
        <v>0.08</v>
      </c>
    </row>
    <row r="6203" customFormat="false" ht="15" hidden="false" customHeight="false" outlineLevel="0" collapsed="false">
      <c r="A6203" s="0" t="s">
        <v>867</v>
      </c>
      <c r="B6203" s="0" t="s">
        <v>98</v>
      </c>
      <c r="D6203" s="6" t="n">
        <f aca="false">Sens!D6200+Sens!D6201</f>
        <v>72.61</v>
      </c>
      <c r="E6203" s="6" t="n">
        <f aca="false">Sens!E6200+Sens!E6201</f>
        <v>101.938</v>
      </c>
      <c r="F6203" s="6" t="n">
        <f aca="false">Sens!F6200+Sens!F6201</f>
        <v>140.741861125673</v>
      </c>
      <c r="G6203" s="6" t="n">
        <f aca="false">Sens!G6200+Sens!G6201</f>
        <v>182.176709135845</v>
      </c>
      <c r="H6203" s="6" t="n">
        <f aca="false">Sens!H6200+Sens!H6201</f>
        <v>219.167638189678</v>
      </c>
      <c r="I6203" s="6" t="n">
        <f aca="false">Sens!I6200+Sens!I6201</f>
        <v>259.639871266006</v>
      </c>
      <c r="J6203" s="6" t="n">
        <f aca="false">Sens!J6200+Sens!J6201</f>
        <v>291.324070960333</v>
      </c>
      <c r="K6203" s="6" t="n">
        <f aca="false">Sens!K6200+Sens!K6201</f>
        <v>314.145754363688</v>
      </c>
    </row>
    <row r="6204" customFormat="false" ht="17.15" hidden="false" customHeight="false" outlineLevel="0" collapsed="false">
      <c r="A6204" s="0" t="s">
        <v>868</v>
      </c>
      <c r="B6204" s="1" t="s">
        <v>521</v>
      </c>
      <c r="C6204" s="29" t="n">
        <f aca="false">cop_s24</f>
        <v>1</v>
      </c>
      <c r="D6204" s="29" t="n">
        <f aca="false">cop_s25</f>
        <v>5</v>
      </c>
      <c r="E6204" s="29" t="n">
        <f aca="false">cop_s26</f>
        <v>30</v>
      </c>
      <c r="F6204" s="29" t="n">
        <f aca="false">Sens!E6204+cop_add_C*1.5</f>
        <v>45</v>
      </c>
      <c r="G6204" s="29" t="n">
        <f aca="false">Sens!F6204+cop_add_C*1.5</f>
        <v>60</v>
      </c>
      <c r="H6204" s="29" t="n">
        <f aca="false">Sens!G6204+cop_add_C*1.5</f>
        <v>75</v>
      </c>
      <c r="I6204" s="29" t="n">
        <f aca="false">Sens!H6204+cop_add_C*1.5*cop_tail</f>
        <v>82.5</v>
      </c>
      <c r="J6204" s="29" t="n">
        <f aca="false">Sens!I6204+cop_add_C*1.5*cop_tail</f>
        <v>90</v>
      </c>
      <c r="K6204" s="29" t="n">
        <f aca="false">Sens!J6204+cop_add_C*1.5*cop_tail</f>
        <v>97.5</v>
      </c>
      <c r="L6204" s="11" t="s">
        <v>869</v>
      </c>
    </row>
    <row r="6205" customFormat="false" ht="17.15" hidden="false" customHeight="false" outlineLevel="0" collapsed="false">
      <c r="A6205" s="0" t="s">
        <v>870</v>
      </c>
      <c r="B6205" s="0" t="s">
        <v>98</v>
      </c>
      <c r="D6205" s="6" t="n">
        <f aca="false">(Sens!C6204+Sens!D6204)/2*cop_px*12/1000</f>
        <v>0.9</v>
      </c>
      <c r="E6205" s="6" t="n">
        <f aca="false">(Sens!D6204+Sens!E6204)/2*cop_px*12/1000</f>
        <v>5.25</v>
      </c>
      <c r="F6205" s="6" t="n">
        <f aca="false">(Sens!E6204+Sens!F6204)/2*cop_px*12/1000</f>
        <v>11.25</v>
      </c>
      <c r="G6205" s="6" t="n">
        <f aca="false">(Sens!F6204+Sens!G6204)/2*cop_px*12/1000</f>
        <v>15.75</v>
      </c>
      <c r="H6205" s="6" t="n">
        <f aca="false">(Sens!G6204+Sens!H6204)/2*cop_px*12/1000</f>
        <v>20.25</v>
      </c>
      <c r="I6205" s="6" t="n">
        <f aca="false">(Sens!H6204+Sens!I6204)/2*cop_px*12/1000</f>
        <v>23.625</v>
      </c>
      <c r="J6205" s="6" t="n">
        <f aca="false">(Sens!I6204+Sens!J6204)/2*cop_px*12/1000</f>
        <v>25.875</v>
      </c>
      <c r="K6205" s="6" t="n">
        <f aca="false">(Sens!J6204+Sens!K6204)/2*cop_px*12/1000</f>
        <v>28.125</v>
      </c>
      <c r="L6205" s="1" t="s">
        <v>871</v>
      </c>
    </row>
    <row r="6206" customFormat="false" ht="17.15" hidden="false" customHeight="false" outlineLevel="0" collapsed="false">
      <c r="A6206" s="0" t="s">
        <v>872</v>
      </c>
      <c r="B6206" s="0" t="s">
        <v>98</v>
      </c>
      <c r="D6206" s="6" t="n">
        <f aca="false">Q!L7-Sens!D6205</f>
        <v>83.705</v>
      </c>
      <c r="E6206" s="6" t="n">
        <f aca="false">Q!M7-Sens!E6205</f>
        <v>95.049</v>
      </c>
      <c r="F6206" s="6" t="n">
        <f aca="false">Sens!E6206*(1+Sens!F6207)</f>
        <v>106.89238776686</v>
      </c>
      <c r="G6206" s="6" t="n">
        <f aca="false">Sens!F6206*(1+Sens!G6207)</f>
        <v>119.044168448684</v>
      </c>
      <c r="H6206" s="6" t="n">
        <f aca="false">Sens!G6206*(1+Sens!H6207)</f>
        <v>131.277359388781</v>
      </c>
      <c r="I6206" s="6" t="n">
        <f aca="false">Sens!H6206*(1+Sens!I6207)</f>
        <v>143.334028071957</v>
      </c>
      <c r="J6206" s="6" t="n">
        <f aca="false">Sens!I6206*(1+Sens!J6207)</f>
        <v>154.932702785465</v>
      </c>
      <c r="K6206" s="6" t="n">
        <f aca="false">Sens!J6206*(1+Sens!K6207)</f>
        <v>165.777991980448</v>
      </c>
    </row>
    <row r="6207" customFormat="false" ht="15" hidden="false" customHeight="false" outlineLevel="0" collapsed="false">
      <c r="A6207" s="1" t="s">
        <v>866</v>
      </c>
      <c r="B6207" s="0" t="s">
        <v>129</v>
      </c>
      <c r="E6207" s="7" t="n">
        <f aca="false">Sens!E6206/Sens!D6206-1</f>
        <v>0.135523564900544</v>
      </c>
      <c r="F6207" s="7" t="n">
        <f aca="false">Sens!$E$6207+(glt_m365b-Sens!$E$6207)*MIN(1,(Sens!F6162-base_fy)/n_conv)</f>
        <v>0.124602970750453</v>
      </c>
      <c r="G6207" s="7" t="n">
        <f aca="false">Sens!$E$6207+(glt_m365b-Sens!$E$6207)*MIN(1,(Sens!G6162-base_fy)/n_conv)</f>
        <v>0.113682376600363</v>
      </c>
      <c r="H6207" s="7" t="n">
        <f aca="false">Sens!$E$6207+(glt_m365b-Sens!$E$6207)*MIN(1,(Sens!H6162-base_fy)/n_conv)</f>
        <v>0.102761782450272</v>
      </c>
      <c r="I6207" s="7" t="n">
        <f aca="false">Sens!$E$6207+(glt_m365b-Sens!$E$6207)*MIN(1,(Sens!I6162-base_fy)/n_conv)</f>
        <v>0.0918411883001813</v>
      </c>
      <c r="J6207" s="7" t="n">
        <f aca="false">Sens!$E$6207+(glt_m365b-Sens!$E$6207)*MIN(1,(Sens!J6162-base_fy)/n_conv)</f>
        <v>0.0809205941500906</v>
      </c>
      <c r="K6207" s="7" t="n">
        <f aca="false">Sens!$E$6207+(glt_m365b-Sens!$E$6207)*MIN(1,(Sens!K6162-base_fy)/n_conv)</f>
        <v>0.07</v>
      </c>
    </row>
    <row r="6208" customFormat="false" ht="15" hidden="false" customHeight="false" outlineLevel="0" collapsed="false">
      <c r="A6208" s="0" t="s">
        <v>873</v>
      </c>
      <c r="B6208" s="0" t="s">
        <v>98</v>
      </c>
      <c r="D6208" s="6" t="n">
        <f aca="false">Sens!D6206+Sens!D6205</f>
        <v>84.605</v>
      </c>
      <c r="E6208" s="6" t="n">
        <f aca="false">Sens!E6206+Sens!E6205</f>
        <v>100.299</v>
      </c>
      <c r="F6208" s="6" t="n">
        <f aca="false">Sens!F6206+Sens!F6205</f>
        <v>118.14238776686</v>
      </c>
      <c r="G6208" s="6" t="n">
        <f aca="false">Sens!G6206+Sens!G6205</f>
        <v>134.794168448684</v>
      </c>
      <c r="H6208" s="6" t="n">
        <f aca="false">Sens!H6206+Sens!H6205</f>
        <v>151.527359388781</v>
      </c>
      <c r="I6208" s="6" t="n">
        <f aca="false">Sens!I6206+Sens!I6205</f>
        <v>166.959028071957</v>
      </c>
      <c r="J6208" s="6" t="n">
        <f aca="false">Sens!J6206+Sens!J6205</f>
        <v>180.807702785465</v>
      </c>
      <c r="K6208" s="6" t="n">
        <f aca="false">Sens!K6206+Sens!K6205</f>
        <v>193.902991980448</v>
      </c>
    </row>
    <row r="6209" customFormat="false" ht="15" hidden="false" customHeight="false" outlineLevel="0" collapsed="false">
      <c r="A6209" s="0" t="s">
        <v>874</v>
      </c>
      <c r="B6209" s="0" t="s">
        <v>98</v>
      </c>
      <c r="D6209" s="6" t="n">
        <f aca="false">Q!L8</f>
        <v>35.391</v>
      </c>
      <c r="E6209" s="6" t="n">
        <f aca="false">Q!M8</f>
        <v>37.285</v>
      </c>
      <c r="F6209" s="6" t="n">
        <f aca="false">Sens!E6209*(1+Sens!F6210)</f>
        <v>39.0720834331704</v>
      </c>
      <c r="G6209" s="6" t="n">
        <f aca="false">Sens!F6209*(1+Sens!G6210)</f>
        <v>40.726562953769</v>
      </c>
      <c r="H6209" s="6" t="n">
        <f aca="false">Sens!G6209*(1+Sens!H6210)</f>
        <v>42.2235987259198</v>
      </c>
      <c r="I6209" s="6" t="n">
        <f aca="false">Sens!H6209*(1+Sens!I6210)</f>
        <v>43.5397988077414</v>
      </c>
      <c r="J6209" s="6" t="n">
        <f aca="false">Sens!I6209*(1+Sens!J6210)</f>
        <v>44.653811225693</v>
      </c>
      <c r="K6209" s="6" t="n">
        <f aca="false">Sens!J6209*(1+Sens!K6210)</f>
        <v>45.5468874502068</v>
      </c>
    </row>
    <row r="6210" customFormat="false" ht="15" hidden="false" customHeight="false" outlineLevel="0" collapsed="false">
      <c r="A6210" s="1" t="s">
        <v>866</v>
      </c>
      <c r="B6210" s="0" t="s">
        <v>129</v>
      </c>
      <c r="E6210" s="7" t="n">
        <f aca="false">Sens!E6209/Sens!D6209-1</f>
        <v>0.0535164307309768</v>
      </c>
      <c r="F6210" s="7" t="n">
        <f aca="false">Sens!$E$6210+(glt_lic-Sens!$E$6210)*MIN(1,(Sens!F6162-base_fy)/n_conv)</f>
        <v>0.0479303589424807</v>
      </c>
      <c r="G6210" s="7" t="n">
        <f aca="false">Sens!$E$6210+(glt_lic-Sens!$E$6210)*MIN(1,(Sens!G6162-base_fy)/n_conv)</f>
        <v>0.0423442871539845</v>
      </c>
      <c r="H6210" s="7" t="n">
        <f aca="false">Sens!$E$6210+(glt_lic-Sens!$E$6210)*MIN(1,(Sens!H6162-base_fy)/n_conv)</f>
        <v>0.0367582153654884</v>
      </c>
      <c r="I6210" s="7" t="n">
        <f aca="false">Sens!$E$6210+(glt_lic-Sens!$E$6210)*MIN(1,(Sens!I6162-base_fy)/n_conv)</f>
        <v>0.0311721435769923</v>
      </c>
      <c r="J6210" s="7" t="n">
        <f aca="false">Sens!$E$6210+(glt_lic-Sens!$E$6210)*MIN(1,(Sens!J6162-base_fy)/n_conv)</f>
        <v>0.0255860717884961</v>
      </c>
      <c r="K6210" s="7" t="n">
        <f aca="false">Sens!$E$6210+(glt_lic-Sens!$E$6210)*MIN(1,(Sens!K6162-base_fy)/n_conv)</f>
        <v>0.02</v>
      </c>
    </row>
    <row r="6211" customFormat="false" ht="15" hidden="false" customHeight="false" outlineLevel="0" collapsed="false">
      <c r="A6211" s="0" t="s">
        <v>875</v>
      </c>
      <c r="B6211" s="0" t="s">
        <v>98</v>
      </c>
      <c r="D6211" s="6" t="n">
        <f aca="false">Q!L9</f>
        <v>18.417</v>
      </c>
      <c r="E6211" s="6" t="n">
        <f aca="false">Q!M9</f>
        <v>20.345</v>
      </c>
      <c r="F6211" s="6" t="n">
        <f aca="false">Sens!E6211*(1+Sens!F6212)</f>
        <v>22.3572203267814</v>
      </c>
      <c r="G6211" s="6" t="n">
        <f aca="false">Sens!F6211*(1+Sens!G6212)</f>
        <v>24.4392124437232</v>
      </c>
      <c r="H6211" s="6" t="n">
        <f aca="false">Sens!G6211*(1+Sens!H6212)</f>
        <v>26.5738052080665</v>
      </c>
      <c r="I6211" s="6" t="n">
        <f aca="false">Sens!H6211*(1+Sens!I6212)</f>
        <v>28.7412169166967</v>
      </c>
      <c r="J6211" s="6" t="n">
        <f aca="false">Sens!I6211*(1+Sens!J6212)</f>
        <v>30.9192545395413</v>
      </c>
      <c r="K6211" s="6" t="n">
        <f aca="false">Sens!J6211*(1+Sens!K6212)</f>
        <v>33.0836023573092</v>
      </c>
    </row>
    <row r="6212" customFormat="false" ht="15" hidden="false" customHeight="false" outlineLevel="0" collapsed="false">
      <c r="A6212" s="1" t="s">
        <v>866</v>
      </c>
      <c r="B6212" s="0" t="s">
        <v>129</v>
      </c>
      <c r="E6212" s="7" t="n">
        <f aca="false">Sens!E6211/Sens!D6211-1</f>
        <v>0.104685888038225</v>
      </c>
      <c r="F6212" s="7" t="n">
        <f aca="false">Sens!$E$6212+(glt_ind-Sens!$E$6212)*MIN(1,(Sens!F6162-base_fy)/n_conv)</f>
        <v>0.0989049066985211</v>
      </c>
      <c r="G6212" s="7" t="n">
        <f aca="false">Sens!$E$6212+(glt_ind-Sens!$E$6212)*MIN(1,(Sens!G6162-base_fy)/n_conv)</f>
        <v>0.0931239253588169</v>
      </c>
      <c r="H6212" s="7" t="n">
        <f aca="false">Sens!$E$6212+(glt_ind-Sens!$E$6212)*MIN(1,(Sens!H6162-base_fy)/n_conv)</f>
        <v>0.0873429440191127</v>
      </c>
      <c r="I6212" s="7" t="n">
        <f aca="false">Sens!$E$6212+(glt_ind-Sens!$E$6212)*MIN(1,(Sens!I6162-base_fy)/n_conv)</f>
        <v>0.0815619626794085</v>
      </c>
      <c r="J6212" s="7" t="n">
        <f aca="false">Sens!$E$6212+(glt_ind-Sens!$E$6212)*MIN(1,(Sens!J6162-base_fy)/n_conv)</f>
        <v>0.0757809813397042</v>
      </c>
      <c r="K6212" s="7" t="n">
        <f aca="false">Sens!$E$6212+(glt_ind-Sens!$E$6212)*MIN(1,(Sens!K6162-base_fy)/n_conv)</f>
        <v>0.07</v>
      </c>
    </row>
    <row r="6213" customFormat="false" ht="15" hidden="false" customHeight="false" outlineLevel="0" collapsed="false">
      <c r="A6213" s="0" t="s">
        <v>876</v>
      </c>
      <c r="B6213" s="0" t="s">
        <v>98</v>
      </c>
      <c r="D6213" s="6" t="n">
        <f aca="false">Q!L10</f>
        <v>7.76</v>
      </c>
      <c r="E6213" s="6" t="n">
        <f aca="false">Q!M10</f>
        <v>8.26</v>
      </c>
      <c r="F6213" s="6" t="n">
        <f aca="false">Sens!E6213*(1+Sens!F6214)</f>
        <v>8.79988041237113</v>
      </c>
      <c r="G6213" s="6" t="n">
        <f aca="false">Sens!F6213*(1+Sens!G6214)</f>
        <v>9.38321269125306</v>
      </c>
      <c r="H6213" s="6" t="n">
        <f aca="false">Sens!G6213*(1+Sens!H6214)</f>
        <v>10.0139193587476</v>
      </c>
      <c r="I6213" s="6" t="n">
        <f aca="false">Sens!H6213*(1+Sens!I6214)</f>
        <v>10.6963111830911</v>
      </c>
      <c r="J6213" s="6" t="n">
        <f aca="false">Sens!I6213*(1+Sens!J6214)</f>
        <v>11.4351285534696</v>
      </c>
      <c r="K6213" s="6" t="n">
        <f aca="false">Sens!J6213*(1+Sens!K6214)</f>
        <v>12.2355875522124</v>
      </c>
    </row>
    <row r="6214" customFormat="false" ht="15" hidden="false" customHeight="false" outlineLevel="0" collapsed="false">
      <c r="A6214" s="1" t="s">
        <v>866</v>
      </c>
      <c r="B6214" s="0" t="s">
        <v>129</v>
      </c>
      <c r="E6214" s="7" t="n">
        <f aca="false">Sens!E6213/Sens!D6213-1</f>
        <v>0.0644329896907216</v>
      </c>
      <c r="F6214" s="7" t="n">
        <f aca="false">Sens!$E$6214+(glt_fro-Sens!$E$6214)*MIN(1,(Sens!F6162-base_fy)/n_conv)</f>
        <v>0.065360824742268</v>
      </c>
      <c r="G6214" s="7" t="n">
        <f aca="false">Sens!$E$6214+(glt_fro-Sens!$E$6214)*MIN(1,(Sens!G6162-base_fy)/n_conv)</f>
        <v>0.0662886597938144</v>
      </c>
      <c r="H6214" s="7" t="n">
        <f aca="false">Sens!$E$6214+(glt_fro-Sens!$E$6214)*MIN(1,(Sens!H6162-base_fy)/n_conv)</f>
        <v>0.0672164948453608</v>
      </c>
      <c r="I6214" s="7" t="n">
        <f aca="false">Sens!$E$6214+(glt_fro-Sens!$E$6214)*MIN(1,(Sens!I6162-base_fy)/n_conv)</f>
        <v>0.0681443298969072</v>
      </c>
      <c r="J6214" s="7" t="n">
        <f aca="false">Sens!$E$6214+(glt_fro-Sens!$E$6214)*MIN(1,(Sens!J6162-base_fy)/n_conv)</f>
        <v>0.0690721649484536</v>
      </c>
      <c r="K6214" s="7" t="n">
        <f aca="false">Sens!$E$6214+(glt_fro-Sens!$E$6214)*MIN(1,(Sens!K6162-base_fy)/n_conv)</f>
        <v>0.07</v>
      </c>
    </row>
    <row r="6215" customFormat="false" ht="15" hidden="false" customHeight="false" outlineLevel="0" collapsed="false">
      <c r="A6215" s="0" t="s">
        <v>704</v>
      </c>
      <c r="B6215" s="0" t="s">
        <v>98</v>
      </c>
      <c r="D6215" s="6" t="n">
        <f aca="false">Sens!D6203+Sens!D6208+Sens!D6209+Sens!D6211+Sens!D6213</f>
        <v>218.783</v>
      </c>
      <c r="E6215" s="6" t="n">
        <f aca="false">Sens!E6203+Sens!E6208+Sens!E6209+Sens!E6211+Sens!E6213</f>
        <v>268.127</v>
      </c>
      <c r="F6215" s="6" t="n">
        <f aca="false">Sens!F6203+Sens!F6208+Sens!F6209+Sens!F6211+Sens!F6213</f>
        <v>329.113433064856</v>
      </c>
      <c r="G6215" s="6" t="n">
        <f aca="false">Sens!G6203+Sens!G6208+Sens!G6209+Sens!G6211+Sens!G6213</f>
        <v>391.519865673274</v>
      </c>
      <c r="H6215" s="6" t="n">
        <f aca="false">Sens!H6203+Sens!H6208+Sens!H6209+Sens!H6211+Sens!H6213</f>
        <v>449.506320871193</v>
      </c>
      <c r="I6215" s="6" t="n">
        <f aca="false">Sens!I6203+Sens!I6208+Sens!I6209+Sens!I6211+Sens!I6213</f>
        <v>509.576226245492</v>
      </c>
      <c r="J6215" s="6" t="n">
        <f aca="false">Sens!J6203+Sens!J6208+Sens!J6209+Sens!J6211+Sens!J6213</f>
        <v>559.139968064502</v>
      </c>
      <c r="K6215" s="6" t="n">
        <f aca="false">Sens!K6203+Sens!K6208+Sens!K6209+Sens!K6211+Sens!K6213</f>
        <v>598.914823703865</v>
      </c>
    </row>
    <row r="6216" customFormat="false" ht="15" hidden="false" customHeight="false" outlineLevel="0" collapsed="false">
      <c r="A6216" s="0" t="s">
        <v>877</v>
      </c>
      <c r="B6216" s="0" t="s">
        <v>98</v>
      </c>
      <c r="D6216" s="6" t="n">
        <f aca="false">Q!L13</f>
        <v>22.171</v>
      </c>
      <c r="E6216" s="6" t="n">
        <f aca="false">Q!M13</f>
        <v>24.835</v>
      </c>
      <c r="F6216" s="6" t="n">
        <f aca="false">Sens!E6216*(1+Sens!F6217)</f>
        <v>27.6114901218559</v>
      </c>
      <c r="G6216" s="6" t="n">
        <f aca="false">Sens!F6216*(1+Sens!G6217)</f>
        <v>30.4675667338515</v>
      </c>
      <c r="H6216" s="6" t="n">
        <f aca="false">Sens!G6216*(1+Sens!H6217)</f>
        <v>33.3643766955789</v>
      </c>
      <c r="I6216" s="6" t="n">
        <f aca="false">Sens!H6216*(1+Sens!I6217)</f>
        <v>36.2577016533691</v>
      </c>
      <c r="J6216" s="6" t="n">
        <f aca="false">Sens!I6216*(1+Sens!J6217)</f>
        <v>39.0988367952171</v>
      </c>
      <c r="K6216" s="6" t="n">
        <f aca="false">Sens!J6216*(1+Sens!K6217)</f>
        <v>41.8357553708823</v>
      </c>
    </row>
    <row r="6217" customFormat="false" ht="15" hidden="false" customHeight="false" outlineLevel="0" collapsed="false">
      <c r="A6217" s="1" t="s">
        <v>866</v>
      </c>
      <c r="B6217" s="0" t="s">
        <v>129</v>
      </c>
      <c r="E6217" s="7" t="n">
        <f aca="false">Sens!E6216/Sens!D6216-1</f>
        <v>0.120156961796942</v>
      </c>
      <c r="F6217" s="7" t="n">
        <f aca="false">Sens!$E$6217+(glt_srch-Sens!$E$6217)*MIN(1,(Sens!F6162-base_fy)/n_conv)</f>
        <v>0.111797468164118</v>
      </c>
      <c r="G6217" s="7" t="n">
        <f aca="false">Sens!$E$6217+(glt_srch-Sens!$E$6217)*MIN(1,(Sens!G6162-base_fy)/n_conv)</f>
        <v>0.103437974531295</v>
      </c>
      <c r="H6217" s="7" t="n">
        <f aca="false">Sens!$E$6217+(glt_srch-Sens!$E$6217)*MIN(1,(Sens!H6162-base_fy)/n_conv)</f>
        <v>0.095078480898471</v>
      </c>
      <c r="I6217" s="7" t="n">
        <f aca="false">Sens!$E$6217+(glt_srch-Sens!$E$6217)*MIN(1,(Sens!I6162-base_fy)/n_conv)</f>
        <v>0.0867189872656474</v>
      </c>
      <c r="J6217" s="7" t="n">
        <f aca="false">Sens!$E$6217+(glt_srch-Sens!$E$6217)*MIN(1,(Sens!J6162-base_fy)/n_conv)</f>
        <v>0.0783594936328237</v>
      </c>
      <c r="K6217" s="7" t="n">
        <f aca="false">Sens!$E$6217+(glt_srch-Sens!$E$6217)*MIN(1,(Sens!K6162-base_fy)/n_conv)</f>
        <v>0.07</v>
      </c>
    </row>
    <row r="6218" customFormat="false" ht="15" hidden="false" customHeight="false" outlineLevel="0" collapsed="false">
      <c r="A6218" s="0" t="s">
        <v>878</v>
      </c>
      <c r="B6218" s="0" t="s">
        <v>98</v>
      </c>
      <c r="D6218" s="6" t="n">
        <f aca="false">Q!L14</f>
        <v>23.455</v>
      </c>
      <c r="E6218" s="6" t="n">
        <f aca="false">Q!M14</f>
        <v>21.79</v>
      </c>
      <c r="F6218" s="6" t="n">
        <f aca="false">Sens!E6218*(1+Sens!F6219)</f>
        <v>20.5736277908051</v>
      </c>
      <c r="G6218" s="6" t="n">
        <f aca="false">Sens!F6218*(1+Sens!G6219)</f>
        <v>19.7371452817919</v>
      </c>
      <c r="H6218" s="6" t="n">
        <f aca="false">Sens!G6218*(1+Sens!H6219)</f>
        <v>19.2339764043138</v>
      </c>
      <c r="I6218" s="6" t="n">
        <f aca="false">Sens!H6218*(1+Sens!I6219)</f>
        <v>19.0353086852681</v>
      </c>
      <c r="J6218" s="6" t="n">
        <f aca="false">Sens!I6218*(1+Sens!J6219)</f>
        <v>19.1273539319129</v>
      </c>
      <c r="K6218" s="6" t="n">
        <f aca="false">Sens!J6218*(1+Sens!K6219)</f>
        <v>19.5099010105511</v>
      </c>
    </row>
    <row r="6219" customFormat="false" ht="15" hidden="false" customHeight="false" outlineLevel="0" collapsed="false">
      <c r="A6219" s="1" t="s">
        <v>866</v>
      </c>
      <c r="B6219" s="0" t="s">
        <v>129</v>
      </c>
      <c r="E6219" s="7" t="n">
        <f aca="false">Sens!E6218/Sens!D6218-1</f>
        <v>-0.0709869963760392</v>
      </c>
      <c r="F6219" s="7" t="n">
        <f aca="false">Sens!$E$6219+(glt_xbox-Sens!$E$6219)*MIN(1,(Sens!F6162-base_fy)/n_conv)</f>
        <v>-0.0558224969800327</v>
      </c>
      <c r="G6219" s="7" t="n">
        <f aca="false">Sens!$E$6219+(glt_xbox-Sens!$E$6219)*MIN(1,(Sens!G6162-base_fy)/n_conv)</f>
        <v>-0.0406579975840262</v>
      </c>
      <c r="H6219" s="7" t="n">
        <f aca="false">Sens!$E$6219+(glt_xbox-Sens!$E$6219)*MIN(1,(Sens!H6162-base_fy)/n_conv)</f>
        <v>-0.0254934981880196</v>
      </c>
      <c r="I6219" s="7" t="n">
        <f aca="false">Sens!$E$6219+(glt_xbox-Sens!$E$6219)*MIN(1,(Sens!I6162-base_fy)/n_conv)</f>
        <v>-0.0103289987920131</v>
      </c>
      <c r="J6219" s="7" t="n">
        <f aca="false">Sens!$E$6219+(glt_xbox-Sens!$E$6219)*MIN(1,(Sens!J6162-base_fy)/n_conv)</f>
        <v>0.00483550060399347</v>
      </c>
      <c r="K6219" s="7" t="n">
        <f aca="false">Sens!$E$6219+(glt_xbox-Sens!$E$6219)*MIN(1,(Sens!K6162-base_fy)/n_conv)</f>
        <v>0.02</v>
      </c>
    </row>
    <row r="6220" customFormat="false" ht="15" hidden="false" customHeight="false" outlineLevel="0" collapsed="false">
      <c r="A6220" s="0" t="s">
        <v>879</v>
      </c>
      <c r="B6220" s="0" t="s">
        <v>98</v>
      </c>
      <c r="D6220" s="6" t="n">
        <f aca="false">Q!L15</f>
        <v>17.315</v>
      </c>
      <c r="E6220" s="6" t="n">
        <f aca="false">Q!M15</f>
        <v>17.087</v>
      </c>
      <c r="F6220" s="6" t="n">
        <f aca="false">Sens!E6220*(1+Sens!F6221)</f>
        <v>16.9564585436519</v>
      </c>
      <c r="G6220" s="6" t="n">
        <f aca="false">Sens!F6220*(1+Sens!G6221)</f>
        <v>16.9206490624268</v>
      </c>
      <c r="H6220" s="6" t="n">
        <f aca="false">Sens!G6220*(1+Sens!H6221)</f>
        <v>16.9784519149849</v>
      </c>
      <c r="I6220" s="6" t="n">
        <f aca="false">Sens!H6220*(1+Sens!I6221)</f>
        <v>17.1303084701817</v>
      </c>
      <c r="J6220" s="6" t="n">
        <f aca="false">Sens!I6220*(1+Sens!J6221)</f>
        <v>17.3782189407267</v>
      </c>
      <c r="K6220" s="6" t="n">
        <f aca="false">Sens!J6220*(1+Sens!K6221)</f>
        <v>17.7257833195413</v>
      </c>
    </row>
    <row r="6221" customFormat="false" ht="15" hidden="false" customHeight="false" outlineLevel="0" collapsed="false">
      <c r="A6221" s="1" t="s">
        <v>866</v>
      </c>
      <c r="B6221" s="0" t="s">
        <v>129</v>
      </c>
      <c r="E6221" s="7" t="n">
        <f aca="false">Sens!E6220/Sens!D6220-1</f>
        <v>-0.0131677736066995</v>
      </c>
      <c r="F6221" s="7" t="n">
        <f aca="false">Sens!$E$6221+(glt_win-Sens!$E$6221)*MIN(1,(Sens!F6162-base_fy)/n_conv)</f>
        <v>-0.00763981133891627</v>
      </c>
      <c r="G6221" s="7" t="n">
        <f aca="false">Sens!$E$6221+(glt_win-Sens!$E$6221)*MIN(1,(Sens!G6162-base_fy)/n_conv)</f>
        <v>-0.00211184907113301</v>
      </c>
      <c r="H6221" s="7" t="n">
        <f aca="false">Sens!$E$6221+(glt_win-Sens!$E$6221)*MIN(1,(Sens!H6162-base_fy)/n_conv)</f>
        <v>0.00341611319665024</v>
      </c>
      <c r="I6221" s="7" t="n">
        <f aca="false">Sens!$E$6221+(glt_win-Sens!$E$6221)*MIN(1,(Sens!I6162-base_fy)/n_conv)</f>
        <v>0.00894407546443349</v>
      </c>
      <c r="J6221" s="7" t="n">
        <f aca="false">Sens!$E$6221+(glt_win-Sens!$E$6221)*MIN(1,(Sens!J6162-base_fy)/n_conv)</f>
        <v>0.0144720377322168</v>
      </c>
      <c r="K6221" s="7" t="n">
        <f aca="false">Sens!$E$6221+(glt_win-Sens!$E$6221)*MIN(1,(Sens!K6162-base_fy)/n_conv)</f>
        <v>0.02</v>
      </c>
    </row>
    <row r="6222" customFormat="false" ht="15" hidden="false" customHeight="false" outlineLevel="0" collapsed="false">
      <c r="A6222" s="0" t="s">
        <v>718</v>
      </c>
      <c r="B6222" s="0" t="s">
        <v>98</v>
      </c>
      <c r="D6222" s="6" t="n">
        <f aca="false">Sens!D6216+Sens!D6218+Sens!D6220</f>
        <v>62.941</v>
      </c>
      <c r="E6222" s="6" t="n">
        <f aca="false">Sens!E6216+Sens!E6218+Sens!E6220</f>
        <v>63.712</v>
      </c>
      <c r="F6222" s="6" t="n">
        <f aca="false">Sens!F6216+Sens!F6218+Sens!F6220</f>
        <v>65.1415764563129</v>
      </c>
      <c r="G6222" s="6" t="n">
        <f aca="false">Sens!G6216+Sens!G6218+Sens!G6220</f>
        <v>67.1253610780702</v>
      </c>
      <c r="H6222" s="6" t="n">
        <f aca="false">Sens!H6216+Sens!H6218+Sens!H6220</f>
        <v>69.5768050148776</v>
      </c>
      <c r="I6222" s="6" t="n">
        <f aca="false">Sens!I6216+Sens!I6218+Sens!I6220</f>
        <v>72.4233188088189</v>
      </c>
      <c r="J6222" s="6" t="n">
        <f aca="false">Sens!J6216+Sens!J6218+Sens!J6220</f>
        <v>75.6044096678567</v>
      </c>
      <c r="K6222" s="6" t="n">
        <f aca="false">Sens!K6216+Sens!K6218+Sens!K6220</f>
        <v>79.0714397009747</v>
      </c>
    </row>
    <row r="6223" customFormat="false" ht="15" hidden="false" customHeight="false" outlineLevel="0" collapsed="false">
      <c r="A6223" s="1" t="s">
        <v>880</v>
      </c>
      <c r="B6223" s="0" t="s">
        <v>98</v>
      </c>
      <c r="D6223" s="6" t="n">
        <f aca="false">Sens!D6215+Sens!D6222</f>
        <v>281.724</v>
      </c>
      <c r="E6223" s="6" t="n">
        <f aca="false">Sens!E6215+Sens!E6222</f>
        <v>331.839</v>
      </c>
      <c r="F6223" s="6" t="n">
        <f aca="false">Sens!F6215+Sens!F6222</f>
        <v>394.255009521169</v>
      </c>
      <c r="G6223" s="6" t="n">
        <f aca="false">Sens!G6215+Sens!G6222</f>
        <v>458.645226751344</v>
      </c>
      <c r="H6223" s="6" t="n">
        <f aca="false">Sens!H6215+Sens!H6222</f>
        <v>519.083125886071</v>
      </c>
      <c r="I6223" s="6" t="n">
        <f aca="false">Sens!I6215+Sens!I6222</f>
        <v>581.999545054311</v>
      </c>
      <c r="J6223" s="6" t="n">
        <f aca="false">Sens!J6215+Sens!J6222</f>
        <v>634.744377732358</v>
      </c>
      <c r="K6223" s="6" t="n">
        <f aca="false">Sens!K6215+Sens!K6222</f>
        <v>677.986263404839</v>
      </c>
    </row>
    <row r="6224" customFormat="false" ht="15" hidden="false" customHeight="false" outlineLevel="0" collapsed="false">
      <c r="A6224" s="23" t="s">
        <v>881</v>
      </c>
      <c r="B6224" s="30" t="s">
        <v>98</v>
      </c>
      <c r="C6224" s="30"/>
      <c r="D6224" s="24" t="n">
        <f aca="false">(Sens!D6203+Sens!D6208+Sens!D6209+Sens!D6211+Sens!D6213-Sens!D6215)+(Sens!D6216+Sens!D6218+Sens!D6220-Sens!D6222)+(Sens!D6215-Q!L5)+(Sens!D6222-Q!L12)+(Sens!D6203-Q!L6)+(Sens!D6208-Q!L7)</f>
        <v>0</v>
      </c>
      <c r="E6224" s="24" t="n">
        <f aca="false">(Sens!E6203+Sens!E6208+Sens!E6209+Sens!E6211+Sens!E6213-Sens!E6215)+(Sens!E6216+Sens!E6218+Sens!E6220-Sens!E6222)+(Sens!E6215-Q!M5)+(Sens!E6222-Q!M12)+(Sens!E6203-Q!M6)+(Sens!E6208-Q!M7)</f>
        <v>0</v>
      </c>
      <c r="F6224" s="24" t="n">
        <f aca="false">(Sens!F6203+Sens!F6208+Sens!F6209+Sens!F6211+Sens!F6213-Sens!F6215)+(Sens!F6216+Sens!F6218+Sens!F6220-Sens!F6222)</f>
        <v>0</v>
      </c>
      <c r="G6224" s="24" t="n">
        <f aca="false">(Sens!G6203+Sens!G6208+Sens!G6209+Sens!G6211+Sens!G6213-Sens!G6215)+(Sens!G6216+Sens!G6218+Sens!G6220-Sens!G6222)</f>
        <v>0</v>
      </c>
      <c r="H6224" s="24" t="n">
        <f aca="false">(Sens!H6203+Sens!H6208+Sens!H6209+Sens!H6211+Sens!H6213-Sens!H6215)+(Sens!H6216+Sens!H6218+Sens!H6220-Sens!H6222)</f>
        <v>0</v>
      </c>
      <c r="I6224" s="24" t="n">
        <f aca="false">(Sens!I6203+Sens!I6208+Sens!I6209+Sens!I6211+Sens!I6213-Sens!I6215)+(Sens!I6216+Sens!I6218+Sens!I6220-Sens!I6222)</f>
        <v>0</v>
      </c>
      <c r="J6224" s="24" t="n">
        <f aca="false">(Sens!J6203+Sens!J6208+Sens!J6209+Sens!J6211+Sens!J6213-Sens!J6215)+(Sens!J6216+Sens!J6218+Sens!J6220-Sens!J6222)</f>
        <v>0</v>
      </c>
      <c r="K6224" s="24" t="n">
        <f aca="false">(Sens!K6203+Sens!K6208+Sens!K6209+Sens!K6211+Sens!K6213-Sens!K6215)+(Sens!K6216+Sens!K6218+Sens!K6220-Sens!K6222)</f>
        <v>0</v>
      </c>
    </row>
    <row r="6225" customFormat="false" ht="17.15" hidden="false" customHeight="false" outlineLevel="0" collapsed="false">
      <c r="A6225" s="3" t="s">
        <v>1396</v>
      </c>
    </row>
    <row r="6226" customFormat="false" ht="15" hidden="false" customHeight="false" outlineLevel="0" collapsed="false">
      <c r="A6226" s="4" t="s">
        <v>43</v>
      </c>
      <c r="B6226" s="4" t="s">
        <v>65</v>
      </c>
      <c r="C6226" s="20" t="s">
        <v>788</v>
      </c>
      <c r="D6226" s="20" t="s">
        <v>789</v>
      </c>
      <c r="E6226" s="20" t="s">
        <v>790</v>
      </c>
      <c r="F6226" s="20" t="s">
        <v>791</v>
      </c>
      <c r="G6226" s="20" t="s">
        <v>792</v>
      </c>
      <c r="H6226" s="20" t="s">
        <v>793</v>
      </c>
      <c r="I6226" s="20" t="s">
        <v>794</v>
      </c>
      <c r="J6226" s="20" t="s">
        <v>795</v>
      </c>
      <c r="K6226" s="20" t="s">
        <v>796</v>
      </c>
      <c r="L6226" s="4" t="s">
        <v>47</v>
      </c>
    </row>
    <row r="6227" customFormat="false" ht="15" hidden="false" customHeight="false" outlineLevel="0" collapsed="false">
      <c r="A6227" s="0" t="s">
        <v>867</v>
      </c>
      <c r="B6227" s="0" t="s">
        <v>98</v>
      </c>
      <c r="D6227" s="6" t="n">
        <f aca="false">Sens!D6203</f>
        <v>72.61</v>
      </c>
      <c r="E6227" s="6" t="n">
        <f aca="false">Sens!E6203</f>
        <v>101.938</v>
      </c>
      <c r="F6227" s="6" t="n">
        <f aca="false">Sens!F6203</f>
        <v>140.741861125673</v>
      </c>
      <c r="G6227" s="6" t="n">
        <f aca="false">Sens!G6203</f>
        <v>182.176709135845</v>
      </c>
      <c r="H6227" s="6" t="n">
        <f aca="false">Sens!H6203</f>
        <v>219.167638189678</v>
      </c>
      <c r="I6227" s="6" t="n">
        <f aca="false">Sens!I6203</f>
        <v>259.639871266006</v>
      </c>
      <c r="J6227" s="6" t="n">
        <f aca="false">Sens!J6203</f>
        <v>291.324070960333</v>
      </c>
      <c r="K6227" s="6" t="n">
        <f aca="false">Sens!K6203</f>
        <v>314.145754363688</v>
      </c>
    </row>
    <row r="6228" customFormat="false" ht="17.15" hidden="false" customHeight="false" outlineLevel="0" collapsed="false">
      <c r="A6228" s="0" t="s">
        <v>864</v>
      </c>
      <c r="B6228" s="0" t="s">
        <v>98</v>
      </c>
      <c r="D6228" s="6" t="n">
        <f aca="false">Sens!D6200</f>
        <v>12.9359794422418</v>
      </c>
      <c r="E6228" s="6" t="n">
        <f aca="false">Sens!E6200</f>
        <v>27.8095064661409</v>
      </c>
      <c r="F6228" s="6" t="n">
        <f aca="false">Sens!F6200</f>
        <v>50.6619113883066</v>
      </c>
      <c r="G6228" s="6" t="n">
        <f aca="false">Sens!G6200</f>
        <v>75.1482839325348</v>
      </c>
      <c r="H6228" s="6" t="n">
        <f aca="false">Sens!H6200</f>
        <v>94.895655604042</v>
      </c>
      <c r="I6228" s="6" t="n">
        <f aca="false">Sens!I6200</f>
        <v>118.706168884151</v>
      </c>
      <c r="J6228" s="6" t="n">
        <f aca="false">Sens!J6200</f>
        <v>135.305203646001</v>
      </c>
      <c r="K6228" s="6" t="n">
        <f aca="false">Sens!K6200</f>
        <v>145.64537766421</v>
      </c>
    </row>
    <row r="6229" customFormat="false" ht="17.15" hidden="false" customHeight="false" outlineLevel="0" collapsed="false">
      <c r="A6229" s="0" t="s">
        <v>892</v>
      </c>
      <c r="B6229" s="0" t="s">
        <v>98</v>
      </c>
      <c r="D6229" s="6" t="n">
        <f aca="false">Sens!D6201</f>
        <v>59.6740205577583</v>
      </c>
      <c r="E6229" s="6" t="n">
        <f aca="false">Sens!E6201</f>
        <v>74.1284935338591</v>
      </c>
      <c r="F6229" s="6" t="n">
        <f aca="false">Sens!F6201</f>
        <v>90.0799497373663</v>
      </c>
      <c r="G6229" s="6" t="n">
        <f aca="false">Sens!G6201</f>
        <v>107.02842520331</v>
      </c>
      <c r="H6229" s="6" t="n">
        <f aca="false">Sens!H6201</f>
        <v>124.271982585636</v>
      </c>
      <c r="I6229" s="6" t="n">
        <f aca="false">Sens!I6201</f>
        <v>140.933702381855</v>
      </c>
      <c r="J6229" s="6" t="n">
        <f aca="false">Sens!J6201</f>
        <v>156.018867314332</v>
      </c>
      <c r="K6229" s="6" t="n">
        <f aca="false">Sens!K6201</f>
        <v>168.500376699478</v>
      </c>
    </row>
    <row r="6230" customFormat="false" ht="15" hidden="false" customHeight="false" outlineLevel="0" collapsed="false">
      <c r="A6230" s="0" t="s">
        <v>873</v>
      </c>
      <c r="B6230" s="0" t="s">
        <v>98</v>
      </c>
      <c r="D6230" s="6" t="n">
        <f aca="false">Sens!D6208</f>
        <v>84.605</v>
      </c>
      <c r="E6230" s="6" t="n">
        <f aca="false">Sens!E6208</f>
        <v>100.299</v>
      </c>
      <c r="F6230" s="6" t="n">
        <f aca="false">Sens!F6208</f>
        <v>118.14238776686</v>
      </c>
      <c r="G6230" s="6" t="n">
        <f aca="false">Sens!G6208</f>
        <v>134.794168448684</v>
      </c>
      <c r="H6230" s="6" t="n">
        <f aca="false">Sens!H6208</f>
        <v>151.527359388781</v>
      </c>
      <c r="I6230" s="6" t="n">
        <f aca="false">Sens!I6208</f>
        <v>166.959028071957</v>
      </c>
      <c r="J6230" s="6" t="n">
        <f aca="false">Sens!J6208</f>
        <v>180.807702785465</v>
      </c>
      <c r="K6230" s="6" t="n">
        <f aca="false">Sens!K6208</f>
        <v>193.902991980448</v>
      </c>
    </row>
    <row r="6231" customFormat="false" ht="17.15" hidden="false" customHeight="false" outlineLevel="0" collapsed="false">
      <c r="A6231" s="0" t="s">
        <v>893</v>
      </c>
      <c r="B6231" s="0" t="s">
        <v>98</v>
      </c>
      <c r="D6231" s="6" t="n">
        <f aca="false">Sens!D6206</f>
        <v>83.705</v>
      </c>
      <c r="E6231" s="6" t="n">
        <f aca="false">Sens!E6206</f>
        <v>95.049</v>
      </c>
      <c r="F6231" s="6" t="n">
        <f aca="false">Sens!F6206</f>
        <v>106.89238776686</v>
      </c>
      <c r="G6231" s="6" t="n">
        <f aca="false">Sens!G6206</f>
        <v>119.044168448684</v>
      </c>
      <c r="H6231" s="6" t="n">
        <f aca="false">Sens!H6206</f>
        <v>131.277359388781</v>
      </c>
      <c r="I6231" s="6" t="n">
        <f aca="false">Sens!I6206</f>
        <v>143.334028071957</v>
      </c>
      <c r="J6231" s="6" t="n">
        <f aca="false">Sens!J6206</f>
        <v>154.932702785465</v>
      </c>
      <c r="K6231" s="6" t="n">
        <f aca="false">Sens!K6206</f>
        <v>165.777991980448</v>
      </c>
    </row>
    <row r="6232" customFormat="false" ht="17.15" hidden="false" customHeight="false" outlineLevel="0" collapsed="false">
      <c r="A6232" s="0" t="s">
        <v>894</v>
      </c>
      <c r="B6232" s="0" t="s">
        <v>98</v>
      </c>
      <c r="D6232" s="6" t="n">
        <f aca="false">Sens!D6205</f>
        <v>0.9</v>
      </c>
      <c r="E6232" s="6" t="n">
        <f aca="false">Sens!E6205</f>
        <v>5.25</v>
      </c>
      <c r="F6232" s="6" t="n">
        <f aca="false">Sens!F6205</f>
        <v>11.25</v>
      </c>
      <c r="G6232" s="6" t="n">
        <f aca="false">Sens!G6205</f>
        <v>15.75</v>
      </c>
      <c r="H6232" s="6" t="n">
        <f aca="false">Sens!H6205</f>
        <v>20.25</v>
      </c>
      <c r="I6232" s="6" t="n">
        <f aca="false">Sens!I6205</f>
        <v>23.625</v>
      </c>
      <c r="J6232" s="6" t="n">
        <f aca="false">Sens!J6205</f>
        <v>25.875</v>
      </c>
      <c r="K6232" s="6" t="n">
        <f aca="false">Sens!K6205</f>
        <v>28.125</v>
      </c>
    </row>
    <row r="6233" customFormat="false" ht="15" hidden="false" customHeight="false" outlineLevel="0" collapsed="false">
      <c r="A6233" s="0" t="s">
        <v>874</v>
      </c>
      <c r="B6233" s="0" t="s">
        <v>98</v>
      </c>
      <c r="D6233" s="6" t="n">
        <f aca="false">Sens!D6209</f>
        <v>35.391</v>
      </c>
      <c r="E6233" s="6" t="n">
        <f aca="false">Sens!E6209</f>
        <v>37.285</v>
      </c>
      <c r="F6233" s="6" t="n">
        <f aca="false">Sens!F6209</f>
        <v>39.0720834331704</v>
      </c>
      <c r="G6233" s="6" t="n">
        <f aca="false">Sens!G6209</f>
        <v>40.726562953769</v>
      </c>
      <c r="H6233" s="6" t="n">
        <f aca="false">Sens!H6209</f>
        <v>42.2235987259198</v>
      </c>
      <c r="I6233" s="6" t="n">
        <f aca="false">Sens!I6209</f>
        <v>43.5397988077414</v>
      </c>
      <c r="J6233" s="6" t="n">
        <f aca="false">Sens!J6209</f>
        <v>44.653811225693</v>
      </c>
      <c r="K6233" s="6" t="n">
        <f aca="false">Sens!K6209</f>
        <v>45.5468874502068</v>
      </c>
    </row>
    <row r="6234" customFormat="false" ht="15" hidden="false" customHeight="false" outlineLevel="0" collapsed="false">
      <c r="A6234" s="0" t="s">
        <v>875</v>
      </c>
      <c r="B6234" s="0" t="s">
        <v>98</v>
      </c>
      <c r="D6234" s="6" t="n">
        <f aca="false">Sens!D6211</f>
        <v>18.417</v>
      </c>
      <c r="E6234" s="6" t="n">
        <f aca="false">Sens!E6211</f>
        <v>20.345</v>
      </c>
      <c r="F6234" s="6" t="n">
        <f aca="false">Sens!F6211</f>
        <v>22.3572203267814</v>
      </c>
      <c r="G6234" s="6" t="n">
        <f aca="false">Sens!G6211</f>
        <v>24.4392124437232</v>
      </c>
      <c r="H6234" s="6" t="n">
        <f aca="false">Sens!H6211</f>
        <v>26.5738052080665</v>
      </c>
      <c r="I6234" s="6" t="n">
        <f aca="false">Sens!I6211</f>
        <v>28.7412169166967</v>
      </c>
      <c r="J6234" s="6" t="n">
        <f aca="false">Sens!J6211</f>
        <v>30.9192545395413</v>
      </c>
      <c r="K6234" s="6" t="n">
        <f aca="false">Sens!K6211</f>
        <v>33.0836023573092</v>
      </c>
    </row>
    <row r="6235" customFormat="false" ht="15" hidden="false" customHeight="false" outlineLevel="0" collapsed="false">
      <c r="A6235" s="0" t="s">
        <v>876</v>
      </c>
      <c r="B6235" s="0" t="s">
        <v>98</v>
      </c>
      <c r="D6235" s="6" t="n">
        <f aca="false">Sens!D6213</f>
        <v>7.76</v>
      </c>
      <c r="E6235" s="6" t="n">
        <f aca="false">Sens!E6213</f>
        <v>8.26</v>
      </c>
      <c r="F6235" s="6" t="n">
        <f aca="false">Sens!F6213</f>
        <v>8.79988041237113</v>
      </c>
      <c r="G6235" s="6" t="n">
        <f aca="false">Sens!G6213</f>
        <v>9.38321269125306</v>
      </c>
      <c r="H6235" s="6" t="n">
        <f aca="false">Sens!H6213</f>
        <v>10.0139193587476</v>
      </c>
      <c r="I6235" s="6" t="n">
        <f aca="false">Sens!I6213</f>
        <v>10.6963111830911</v>
      </c>
      <c r="J6235" s="6" t="n">
        <f aca="false">Sens!J6213</f>
        <v>11.4351285534696</v>
      </c>
      <c r="K6235" s="6" t="n">
        <f aca="false">Sens!K6213</f>
        <v>12.2355875522124</v>
      </c>
    </row>
    <row r="6236" customFormat="false" ht="15" hidden="false" customHeight="false" outlineLevel="0" collapsed="false">
      <c r="A6236" s="0" t="s">
        <v>704</v>
      </c>
      <c r="B6236" s="0" t="s">
        <v>98</v>
      </c>
      <c r="D6236" s="6" t="n">
        <f aca="false">Sens!D6215</f>
        <v>218.783</v>
      </c>
      <c r="E6236" s="6" t="n">
        <f aca="false">Sens!E6215</f>
        <v>268.127</v>
      </c>
      <c r="F6236" s="6" t="n">
        <f aca="false">Sens!F6215</f>
        <v>329.113433064856</v>
      </c>
      <c r="G6236" s="6" t="n">
        <f aca="false">Sens!G6215</f>
        <v>391.519865673274</v>
      </c>
      <c r="H6236" s="6" t="n">
        <f aca="false">Sens!H6215</f>
        <v>449.506320871193</v>
      </c>
      <c r="I6236" s="6" t="n">
        <f aca="false">Sens!I6215</f>
        <v>509.576226245492</v>
      </c>
      <c r="J6236" s="6" t="n">
        <f aca="false">Sens!J6215</f>
        <v>559.139968064502</v>
      </c>
      <c r="K6236" s="6" t="n">
        <f aca="false">Sens!K6215</f>
        <v>598.914823703865</v>
      </c>
    </row>
    <row r="6237" customFormat="false" ht="15" hidden="false" customHeight="false" outlineLevel="0" collapsed="false">
      <c r="A6237" s="0" t="s">
        <v>877</v>
      </c>
      <c r="B6237" s="0" t="s">
        <v>98</v>
      </c>
      <c r="D6237" s="6" t="n">
        <f aca="false">Sens!D6216</f>
        <v>22.171</v>
      </c>
      <c r="E6237" s="6" t="n">
        <f aca="false">Sens!E6216</f>
        <v>24.835</v>
      </c>
      <c r="F6237" s="6" t="n">
        <f aca="false">Sens!F6216</f>
        <v>27.6114901218559</v>
      </c>
      <c r="G6237" s="6" t="n">
        <f aca="false">Sens!G6216</f>
        <v>30.4675667338515</v>
      </c>
      <c r="H6237" s="6" t="n">
        <f aca="false">Sens!H6216</f>
        <v>33.3643766955789</v>
      </c>
      <c r="I6237" s="6" t="n">
        <f aca="false">Sens!I6216</f>
        <v>36.2577016533691</v>
      </c>
      <c r="J6237" s="6" t="n">
        <f aca="false">Sens!J6216</f>
        <v>39.0988367952171</v>
      </c>
      <c r="K6237" s="6" t="n">
        <f aca="false">Sens!K6216</f>
        <v>41.8357553708823</v>
      </c>
    </row>
    <row r="6238" customFormat="false" ht="15" hidden="false" customHeight="false" outlineLevel="0" collapsed="false">
      <c r="A6238" s="0" t="s">
        <v>878</v>
      </c>
      <c r="B6238" s="0" t="s">
        <v>98</v>
      </c>
      <c r="D6238" s="6" t="n">
        <f aca="false">Sens!D6218</f>
        <v>23.455</v>
      </c>
      <c r="E6238" s="6" t="n">
        <f aca="false">Sens!E6218</f>
        <v>21.79</v>
      </c>
      <c r="F6238" s="6" t="n">
        <f aca="false">Sens!F6218</f>
        <v>20.5736277908051</v>
      </c>
      <c r="G6238" s="6" t="n">
        <f aca="false">Sens!G6218</f>
        <v>19.7371452817919</v>
      </c>
      <c r="H6238" s="6" t="n">
        <f aca="false">Sens!H6218</f>
        <v>19.2339764043138</v>
      </c>
      <c r="I6238" s="6" t="n">
        <f aca="false">Sens!I6218</f>
        <v>19.0353086852681</v>
      </c>
      <c r="J6238" s="6" t="n">
        <f aca="false">Sens!J6218</f>
        <v>19.1273539319129</v>
      </c>
      <c r="K6238" s="6" t="n">
        <f aca="false">Sens!K6218</f>
        <v>19.5099010105511</v>
      </c>
    </row>
    <row r="6239" customFormat="false" ht="15" hidden="false" customHeight="false" outlineLevel="0" collapsed="false">
      <c r="A6239" s="0" t="s">
        <v>879</v>
      </c>
      <c r="B6239" s="0" t="s">
        <v>98</v>
      </c>
      <c r="D6239" s="6" t="n">
        <f aca="false">Sens!D6220</f>
        <v>17.315</v>
      </c>
      <c r="E6239" s="6" t="n">
        <f aca="false">Sens!E6220</f>
        <v>17.087</v>
      </c>
      <c r="F6239" s="6" t="n">
        <f aca="false">Sens!F6220</f>
        <v>16.9564585436519</v>
      </c>
      <c r="G6239" s="6" t="n">
        <f aca="false">Sens!G6220</f>
        <v>16.9206490624268</v>
      </c>
      <c r="H6239" s="6" t="n">
        <f aca="false">Sens!H6220</f>
        <v>16.9784519149849</v>
      </c>
      <c r="I6239" s="6" t="n">
        <f aca="false">Sens!I6220</f>
        <v>17.1303084701817</v>
      </c>
      <c r="J6239" s="6" t="n">
        <f aca="false">Sens!J6220</f>
        <v>17.3782189407267</v>
      </c>
      <c r="K6239" s="6" t="n">
        <f aca="false">Sens!K6220</f>
        <v>17.7257833195413</v>
      </c>
    </row>
    <row r="6240" customFormat="false" ht="15" hidden="false" customHeight="false" outlineLevel="0" collapsed="false">
      <c r="A6240" s="0" t="s">
        <v>718</v>
      </c>
      <c r="B6240" s="0" t="s">
        <v>98</v>
      </c>
      <c r="D6240" s="6" t="n">
        <f aca="false">Sens!D6222</f>
        <v>62.941</v>
      </c>
      <c r="E6240" s="6" t="n">
        <f aca="false">Sens!E6222</f>
        <v>63.712</v>
      </c>
      <c r="F6240" s="6" t="n">
        <f aca="false">Sens!F6222</f>
        <v>65.1415764563129</v>
      </c>
      <c r="G6240" s="6" t="n">
        <f aca="false">Sens!G6222</f>
        <v>67.1253610780702</v>
      </c>
      <c r="H6240" s="6" t="n">
        <f aca="false">Sens!H6222</f>
        <v>69.5768050148776</v>
      </c>
      <c r="I6240" s="6" t="n">
        <f aca="false">Sens!I6222</f>
        <v>72.4233188088189</v>
      </c>
      <c r="J6240" s="6" t="n">
        <f aca="false">Sens!J6222</f>
        <v>75.6044096678567</v>
      </c>
      <c r="K6240" s="6" t="n">
        <f aca="false">Sens!K6222</f>
        <v>79.0714397009747</v>
      </c>
    </row>
    <row r="6241" customFormat="false" ht="15" hidden="false" customHeight="false" outlineLevel="0" collapsed="false">
      <c r="A6241" s="1" t="s">
        <v>895</v>
      </c>
      <c r="B6241" s="0" t="s">
        <v>98</v>
      </c>
      <c r="D6241" s="6" t="n">
        <f aca="false">Sens!D6223</f>
        <v>281.724</v>
      </c>
      <c r="E6241" s="6" t="n">
        <f aca="false">Sens!E6223</f>
        <v>331.839</v>
      </c>
      <c r="F6241" s="6" t="n">
        <f aca="false">Sens!F6223</f>
        <v>394.255009521169</v>
      </c>
      <c r="G6241" s="6" t="n">
        <f aca="false">Sens!G6223</f>
        <v>458.645226751344</v>
      </c>
      <c r="H6241" s="6" t="n">
        <f aca="false">Sens!H6223</f>
        <v>519.083125886071</v>
      </c>
      <c r="I6241" s="6" t="n">
        <f aca="false">Sens!I6223</f>
        <v>581.999545054311</v>
      </c>
      <c r="J6241" s="6" t="n">
        <f aca="false">Sens!J6223</f>
        <v>634.744377732358</v>
      </c>
      <c r="K6241" s="6" t="n">
        <f aca="false">Sens!K6223</f>
        <v>677.986263404839</v>
      </c>
    </row>
    <row r="6242" customFormat="false" ht="15" hidden="false" customHeight="false" outlineLevel="0" collapsed="false">
      <c r="A6242" s="1" t="s">
        <v>896</v>
      </c>
      <c r="B6242" s="0" t="s">
        <v>129</v>
      </c>
      <c r="E6242" s="7" t="n">
        <f aca="false">Sens!E6241/Sens!D6241-1</f>
        <v>0.177886867998467</v>
      </c>
      <c r="F6242" s="7" t="n">
        <f aca="false">Sens!F6241/Sens!E6241-1</f>
        <v>0.188091241599597</v>
      </c>
      <c r="G6242" s="7" t="n">
        <f aca="false">Sens!G6241/Sens!F6241-1</f>
        <v>0.163321240504664</v>
      </c>
      <c r="H6242" s="7" t="n">
        <f aca="false">Sens!H6241/Sens!G6241-1</f>
        <v>0.131774835122166</v>
      </c>
      <c r="I6242" s="7" t="n">
        <f aca="false">Sens!I6241/Sens!H6241-1</f>
        <v>0.121206828021702</v>
      </c>
      <c r="J6242" s="7" t="n">
        <f aca="false">Sens!J6241/Sens!I6241-1</f>
        <v>0.0906269311140528</v>
      </c>
      <c r="K6242" s="7" t="n">
        <f aca="false">Sens!K6241/Sens!J6241-1</f>
        <v>0.0681248817468281</v>
      </c>
    </row>
    <row r="6243" customFormat="false" ht="17.15" hidden="false" customHeight="false" outlineLevel="0" collapsed="false">
      <c r="A6243" s="23" t="s">
        <v>897</v>
      </c>
      <c r="B6243" s="30" t="s">
        <v>98</v>
      </c>
      <c r="C6243" s="30"/>
      <c r="D6243" s="24" t="n">
        <f aca="false">(Sens!D6236+Sens!D6240-Sens!D6241)+(Sens!D6228+Sens!D6229-Sens!D6227)+(Sens!D6231+Sens!D6232-Sens!D6230)+(Sens!D6241-Q!L18)</f>
        <v>0</v>
      </c>
      <c r="E6243" s="24" t="n">
        <f aca="false">(Sens!E6236+Sens!E6240-Sens!E6241)+(Sens!E6228+Sens!E6229-Sens!E6227)+(Sens!E6231+Sens!E6232-Sens!E6230)+(Sens!E6241-Q!M18)</f>
        <v>0</v>
      </c>
      <c r="F6243" s="24" t="n">
        <f aca="false">(Sens!F6236+Sens!F6240-Sens!F6241)+(Sens!F6228+Sens!F6229-Sens!F6227)+(Sens!F6231+Sens!F6232-Sens!F6230)</f>
        <v>0</v>
      </c>
      <c r="G6243" s="24" t="n">
        <f aca="false">(Sens!G6236+Sens!G6240-Sens!G6241)+(Sens!G6228+Sens!G6229-Sens!G6227)+(Sens!G6231+Sens!G6232-Sens!G6230)</f>
        <v>0</v>
      </c>
      <c r="H6243" s="24" t="n">
        <f aca="false">(Sens!H6236+Sens!H6240-Sens!H6241)+(Sens!H6228+Sens!H6229-Sens!H6227)+(Sens!H6231+Sens!H6232-Sens!H6230)</f>
        <v>0</v>
      </c>
      <c r="I6243" s="24" t="n">
        <f aca="false">(Sens!I6236+Sens!I6240-Sens!I6241)+(Sens!I6228+Sens!I6229-Sens!I6227)+(Sens!I6231+Sens!I6232-Sens!I6230)</f>
        <v>0</v>
      </c>
      <c r="J6243" s="24" t="n">
        <f aca="false">(Sens!J6236+Sens!J6240-Sens!J6241)+(Sens!J6228+Sens!J6229-Sens!J6227)+(Sens!J6231+Sens!J6232-Sens!J6230)</f>
        <v>0</v>
      </c>
      <c r="K6243" s="24" t="n">
        <f aca="false">(Sens!K6236+Sens!K6240-Sens!K6241)+(Sens!K6228+Sens!K6229-Sens!K6227)+(Sens!K6231+Sens!K6232-Sens!K6230)</f>
        <v>0</v>
      </c>
    </row>
    <row r="6244" customFormat="false" ht="17.15" hidden="false" customHeight="false" outlineLevel="0" collapsed="false">
      <c r="A6244" s="0" t="s">
        <v>898</v>
      </c>
      <c r="B6244" s="0" t="s">
        <v>129</v>
      </c>
      <c r="E6244" s="7" t="n">
        <f aca="false">(Q!M21+Sens!E6181+Sens!E6182+Sens!E6183+Sens!E6196-Sens!E6179)/(Q!M5-Sens!E6179)</f>
        <v>0.570957350878296</v>
      </c>
      <c r="F6244" s="7" t="n">
        <f aca="false">Sens!$E$6244+dm_seg</f>
        <v>0.570957350878296</v>
      </c>
      <c r="G6244" s="7" t="n">
        <f aca="false">Sens!$E$6244+dm_seg</f>
        <v>0.570957350878296</v>
      </c>
      <c r="H6244" s="7" t="n">
        <f aca="false">Sens!$E$6244+dm_seg</f>
        <v>0.570957350878296</v>
      </c>
      <c r="I6244" s="7" t="n">
        <f aca="false">Sens!$E$6244+dm_seg</f>
        <v>0.570957350878296</v>
      </c>
      <c r="J6244" s="7" t="n">
        <f aca="false">Sens!$E$6244+dm_seg</f>
        <v>0.570957350878296</v>
      </c>
      <c r="K6244" s="7" t="n">
        <f aca="false">Sens!$E$6244+dm_seg</f>
        <v>0.570957350878296</v>
      </c>
      <c r="L6244" s="11" t="s">
        <v>899</v>
      </c>
    </row>
    <row r="6245" customFormat="false" ht="17.15" hidden="false" customHeight="false" outlineLevel="0" collapsed="false">
      <c r="A6245" s="0" t="s">
        <v>732</v>
      </c>
      <c r="B6245" s="0" t="s">
        <v>98</v>
      </c>
      <c r="D6245" s="6" t="n">
        <f aca="false">Q!L21</f>
        <v>110.814</v>
      </c>
      <c r="E6245" s="6" t="n">
        <f aca="false">Q!M21</f>
        <v>136.365</v>
      </c>
      <c r="F6245" s="6" t="n">
        <f aca="false">Sens!F6244*(Sens!F6215-Sens!F6179)+Sens!F6179-(Sens!F6181+Sens!F6182+Sens!F6183)-Sens!F6196</f>
        <v>152.761572720635</v>
      </c>
      <c r="G6245" s="6" t="n">
        <f aca="false">Sens!G6244*(Sens!G6215-Sens!G6179)+Sens!G6179-(Sens!G6181+Sens!G6182+Sens!G6183)-Sens!G6196</f>
        <v>161.581312940651</v>
      </c>
      <c r="H6245" s="6" t="n">
        <f aca="false">Sens!H6244*(Sens!H6215-Sens!H6179)+Sens!H6179-(Sens!H6181+Sens!H6182+Sens!H6183)-Sens!H6196</f>
        <v>164.72898939</v>
      </c>
      <c r="I6245" s="6" t="n">
        <f aca="false">Sens!I6244*(Sens!I6215-Sens!I6179)+Sens!I6179-(Sens!I6181+Sens!I6182+Sens!I6183)-Sens!I6196</f>
        <v>175.297539311115</v>
      </c>
      <c r="J6245" s="6" t="n">
        <f aca="false">Sens!J6244*(Sens!J6215-Sens!J6179)+Sens!J6179-(Sens!J6181+Sens!J6182+Sens!J6183)-Sens!J6196</f>
        <v>186.985078348313</v>
      </c>
      <c r="K6245" s="6" t="n">
        <f aca="false">Sens!K6244*(Sens!K6215-Sens!K6179)+Sens!K6179-(Sens!K6181+Sens!K6182+Sens!K6183)-Sens!K6196</f>
        <v>200.159539412927</v>
      </c>
      <c r="L6245" s="1" t="s">
        <v>900</v>
      </c>
    </row>
    <row r="6246" customFormat="false" ht="17.15" hidden="false" customHeight="false" outlineLevel="0" collapsed="false">
      <c r="A6246" s="0" t="s">
        <v>901</v>
      </c>
      <c r="B6246" s="0" t="s">
        <v>129</v>
      </c>
      <c r="E6246" s="7" t="n">
        <f aca="false">Q!M22/Q!M12</f>
        <v>0.296207935710698</v>
      </c>
      <c r="F6246" s="7" t="n">
        <f aca="false">Sens!$E$6246+dm_seg</f>
        <v>0.296207935710698</v>
      </c>
      <c r="G6246" s="7" t="n">
        <f aca="false">Sens!$E$6246+dm_seg</f>
        <v>0.296207935710698</v>
      </c>
      <c r="H6246" s="7" t="n">
        <f aca="false">Sens!$E$6246+dm_seg</f>
        <v>0.296207935710698</v>
      </c>
      <c r="I6246" s="7" t="n">
        <f aca="false">Sens!$E$6246+dm_seg</f>
        <v>0.296207935710698</v>
      </c>
      <c r="J6246" s="7" t="n">
        <f aca="false">Sens!$E$6246+dm_seg</f>
        <v>0.296207935710698</v>
      </c>
      <c r="K6246" s="7" t="n">
        <f aca="false">Sens!$E$6246+dm_seg</f>
        <v>0.296207935710698</v>
      </c>
      <c r="L6246" s="11" t="s">
        <v>902</v>
      </c>
    </row>
    <row r="6247" customFormat="false" ht="17.15" hidden="false" customHeight="false" outlineLevel="0" collapsed="false">
      <c r="A6247" s="0" t="s">
        <v>734</v>
      </c>
      <c r="B6247" s="0" t="s">
        <v>98</v>
      </c>
      <c r="D6247" s="6" t="n">
        <f aca="false">Q!L22</f>
        <v>17.714</v>
      </c>
      <c r="E6247" s="6" t="n">
        <f aca="false">Q!M22</f>
        <v>18.872</v>
      </c>
      <c r="F6247" s="6" t="n">
        <f aca="false">Sens!F6222*Sens!F6246</f>
        <v>19.2954518910651</v>
      </c>
      <c r="G6247" s="6" t="n">
        <f aca="false">Sens!G6222*Sens!G6246</f>
        <v>19.8830646387704</v>
      </c>
      <c r="H6247" s="6" t="n">
        <f aca="false">Sens!H6222*Sens!H6246</f>
        <v>20.6092017868026</v>
      </c>
      <c r="I6247" s="6" t="n">
        <f aca="false">Sens!I6222*Sens!I6246</f>
        <v>21.452361761678</v>
      </c>
      <c r="J6247" s="6" t="n">
        <f aca="false">Sens!J6222*Sens!J6246</f>
        <v>22.3946261183418</v>
      </c>
      <c r="K6247" s="6" t="n">
        <f aca="false">Sens!K6222*Sens!K6246</f>
        <v>23.4215879274986</v>
      </c>
    </row>
    <row r="6248" customFormat="false" ht="15" hidden="false" customHeight="false" outlineLevel="0" collapsed="false">
      <c r="A6248" s="1" t="s">
        <v>903</v>
      </c>
      <c r="B6248" s="0" t="s">
        <v>98</v>
      </c>
      <c r="D6248" s="6" t="n">
        <f aca="false">Sens!D6245+Sens!D6247</f>
        <v>128.528</v>
      </c>
      <c r="E6248" s="6" t="n">
        <f aca="false">Sens!E6245+Sens!E6247</f>
        <v>155.237</v>
      </c>
      <c r="F6248" s="6" t="n">
        <f aca="false">Sens!F6245+Sens!F6247</f>
        <v>172.0570246117</v>
      </c>
      <c r="G6248" s="6" t="n">
        <f aca="false">Sens!G6245+Sens!G6247</f>
        <v>181.464377579421</v>
      </c>
      <c r="H6248" s="6" t="n">
        <f aca="false">Sens!H6245+Sens!H6247</f>
        <v>185.338191176803</v>
      </c>
      <c r="I6248" s="6" t="n">
        <f aca="false">Sens!I6245+Sens!I6247</f>
        <v>196.749901072793</v>
      </c>
      <c r="J6248" s="6" t="n">
        <f aca="false">Sens!J6245+Sens!J6247</f>
        <v>209.379704466654</v>
      </c>
      <c r="K6248" s="6" t="n">
        <f aca="false">Sens!K6245+Sens!K6247</f>
        <v>223.581127340426</v>
      </c>
    </row>
    <row r="6249" customFormat="false" ht="15" hidden="false" customHeight="false" outlineLevel="0" collapsed="false">
      <c r="A6249" s="23" t="s">
        <v>904</v>
      </c>
      <c r="B6249" s="30" t="s">
        <v>98</v>
      </c>
      <c r="C6249" s="30"/>
      <c r="D6249" s="24" t="n">
        <f aca="false">Sens!D6248-Q!L23</f>
        <v>0</v>
      </c>
      <c r="E6249" s="24" t="n">
        <f aca="false">Sens!E6248-Q!M23</f>
        <v>0</v>
      </c>
      <c r="F6249" s="30"/>
      <c r="G6249" s="30"/>
      <c r="H6249" s="30"/>
      <c r="I6249" s="30"/>
      <c r="J6249" s="30"/>
      <c r="K6249" s="30"/>
    </row>
    <row r="6250" customFormat="false" ht="15" hidden="false" customHeight="false" outlineLevel="0" collapsed="false">
      <c r="A6250" s="1" t="s">
        <v>905</v>
      </c>
      <c r="B6250" s="0" t="s">
        <v>129</v>
      </c>
      <c r="D6250" s="7" t="n">
        <f aca="false">Sens!D6248/Sens!D6241</f>
        <v>0.456219562408598</v>
      </c>
      <c r="E6250" s="7" t="n">
        <f aca="false">Sens!E6248/Sens!E6241</f>
        <v>0.467808184089272</v>
      </c>
      <c r="F6250" s="7" t="n">
        <f aca="false">Sens!F6248/Sens!F6241</f>
        <v>0.436410496903178</v>
      </c>
      <c r="G6250" s="7" t="n">
        <f aca="false">Sens!G6248/Sens!G6241</f>
        <v>0.39565303854738</v>
      </c>
      <c r="H6250" s="7" t="n">
        <f aca="false">Sens!H6248/Sens!H6241</f>
        <v>0.357049154430578</v>
      </c>
      <c r="I6250" s="7" t="n">
        <f aca="false">Sens!I6248/Sens!I6241</f>
        <v>0.338058513524151</v>
      </c>
      <c r="J6250" s="7" t="n">
        <f aca="false">Sens!J6248/Sens!J6241</f>
        <v>0.329864606622699</v>
      </c>
      <c r="K6250" s="7" t="n">
        <f aca="false">Sens!K6248/Sens!K6241</f>
        <v>0.329772355884623</v>
      </c>
    </row>
    <row r="6251" customFormat="false" ht="17.15" hidden="false" customHeight="false" outlineLevel="0" collapsed="false">
      <c r="A6251" s="1" t="s">
        <v>906</v>
      </c>
      <c r="B6251" s="0" t="s">
        <v>98</v>
      </c>
      <c r="F6251" s="6" t="n">
        <f aca="false">Sens!F6266</f>
        <v>20.3640364792159</v>
      </c>
      <c r="G6251" s="6" t="n">
        <f aca="false">Sens!G6266</f>
        <v>36.4206034833886</v>
      </c>
      <c r="H6251" s="6" t="n">
        <f aca="false">Sens!H6266</f>
        <v>53.8296265805116</v>
      </c>
      <c r="I6251" s="6" t="n">
        <f aca="false">Sens!I6266</f>
        <v>69.6027603292213</v>
      </c>
      <c r="J6251" s="6" t="n">
        <f aca="false">Sens!J6266</f>
        <v>80.6445191216482</v>
      </c>
      <c r="K6251" s="6" t="n">
        <f aca="false">Sens!K6266</f>
        <v>86.9648170019786</v>
      </c>
      <c r="L6251" s="1" t="s">
        <v>907</v>
      </c>
    </row>
    <row r="6252" customFormat="false" ht="17.15" hidden="false" customHeight="false" outlineLevel="0" collapsed="false">
      <c r="A6252" s="1" t="s">
        <v>908</v>
      </c>
      <c r="B6252" s="0" t="s">
        <v>98</v>
      </c>
      <c r="D6252" s="6" t="n">
        <f aca="false">Sens!D6248</f>
        <v>128.528</v>
      </c>
      <c r="E6252" s="6" t="n">
        <f aca="false">Sens!E6248</f>
        <v>155.237</v>
      </c>
      <c r="F6252" s="6" t="n">
        <f aca="false">Sens!F6248+Sens!F6251</f>
        <v>192.421061090916</v>
      </c>
      <c r="G6252" s="6" t="n">
        <f aca="false">Sens!G6248+Sens!G6251</f>
        <v>217.88498106281</v>
      </c>
      <c r="H6252" s="6" t="n">
        <f aca="false">Sens!H6248+Sens!H6251</f>
        <v>239.167817757315</v>
      </c>
      <c r="I6252" s="6" t="n">
        <f aca="false">Sens!I6248+Sens!I6251</f>
        <v>266.352661402014</v>
      </c>
      <c r="J6252" s="6" t="n">
        <f aca="false">Sens!J6248+Sens!J6251</f>
        <v>290.024223588303</v>
      </c>
      <c r="K6252" s="6" t="n">
        <f aca="false">Sens!K6248+Sens!K6251</f>
        <v>310.545944342405</v>
      </c>
    </row>
    <row r="6253" customFormat="false" ht="17.15" hidden="false" customHeight="false" outlineLevel="0" collapsed="false">
      <c r="A6253" s="1" t="s">
        <v>909</v>
      </c>
      <c r="B6253" s="0" t="s">
        <v>98</v>
      </c>
      <c r="E6253" s="6" t="n">
        <f aca="false">Sens!E6196</f>
        <v>16.3054059770833</v>
      </c>
      <c r="F6253" s="6" t="n">
        <f aca="false">Sens!F6196</f>
        <v>34.7467854558698</v>
      </c>
      <c r="G6253" s="6" t="n">
        <f aca="false">Sens!G6196</f>
        <v>60.5192332603396</v>
      </c>
      <c r="H6253" s="6" t="n">
        <f aca="false">Sens!H6196</f>
        <v>87.7548159931396</v>
      </c>
      <c r="I6253" s="6" t="n">
        <f aca="false">Sens!I6196</f>
        <v>111.999539982221</v>
      </c>
      <c r="J6253" s="6" t="n">
        <f aca="false">Sens!J6196</f>
        <v>129.196210922666</v>
      </c>
      <c r="K6253" s="6" t="n">
        <f aca="false">Sens!K6196</f>
        <v>139.660146804474</v>
      </c>
    </row>
    <row r="6254" customFormat="false" ht="17.15" hidden="false" customHeight="false" outlineLevel="0" collapsed="false">
      <c r="A6254" s="1" t="s">
        <v>910</v>
      </c>
      <c r="B6254" s="0" t="s">
        <v>98</v>
      </c>
      <c r="E6254" s="6" t="n">
        <f aca="false">Sens!E6278</f>
        <v>22.2285940229167</v>
      </c>
      <c r="F6254" s="6" t="n">
        <f aca="false">Sens!F6278</f>
        <v>23.5561693435813</v>
      </c>
      <c r="G6254" s="6" t="n">
        <f aca="false">Sens!G6278</f>
        <v>25.2933417662621</v>
      </c>
      <c r="H6254" s="6" t="n">
        <f aca="false">Sens!H6278</f>
        <v>27.4076589540448</v>
      </c>
      <c r="I6254" s="6" t="n">
        <f aca="false">Sens!I6278</f>
        <v>29.8379830898047</v>
      </c>
      <c r="J6254" s="6" t="n">
        <f aca="false">Sens!J6278</f>
        <v>32.5060261058616</v>
      </c>
      <c r="K6254" s="6" t="n">
        <f aca="false">Sens!K6278</f>
        <v>35.3285437694749</v>
      </c>
    </row>
    <row r="6255" customFormat="false" ht="17.15" hidden="false" customHeight="false" outlineLevel="0" collapsed="false">
      <c r="A6255" s="1" t="s">
        <v>911</v>
      </c>
      <c r="B6255" s="0" t="s">
        <v>98</v>
      </c>
      <c r="D6255" s="6" t="n">
        <f aca="false">Q!L27</f>
        <v>-4.901</v>
      </c>
      <c r="E6255" s="6" t="n">
        <f aca="false">Q!M27</f>
        <v>10.697</v>
      </c>
      <c r="F6255" s="6" t="n">
        <f aca="false">oie_f</f>
        <v>-0.4</v>
      </c>
      <c r="G6255" s="6" t="n">
        <f aca="false">oie_f</f>
        <v>-0.4</v>
      </c>
      <c r="H6255" s="6" t="n">
        <f aca="false">oie_f</f>
        <v>-0.4</v>
      </c>
      <c r="I6255" s="6" t="n">
        <f aca="false">oie_f</f>
        <v>-0.4</v>
      </c>
      <c r="J6255" s="6" t="n">
        <f aca="false">oie_f</f>
        <v>-0.4</v>
      </c>
      <c r="K6255" s="6" t="n">
        <f aca="false">oie_f</f>
        <v>-0.4</v>
      </c>
      <c r="L6255" s="11" t="s">
        <v>912</v>
      </c>
    </row>
    <row r="6256" customFormat="false" ht="15" hidden="false" customHeight="false" outlineLevel="0" collapsed="false">
      <c r="A6256" s="1" t="s">
        <v>913</v>
      </c>
      <c r="B6256" s="0" t="s">
        <v>98</v>
      </c>
      <c r="D6256" s="6" t="n">
        <f aca="false">Sens!D6248+Sens!D6255</f>
        <v>123.627</v>
      </c>
      <c r="E6256" s="6" t="n">
        <f aca="false">Sens!E6248+Sens!E6255</f>
        <v>165.934</v>
      </c>
      <c r="F6256" s="6" t="n">
        <f aca="false">Sens!F6248+Sens!F6255</f>
        <v>171.6570246117</v>
      </c>
      <c r="G6256" s="6" t="n">
        <f aca="false">Sens!G6248+Sens!G6255</f>
        <v>181.064377579421</v>
      </c>
      <c r="H6256" s="6" t="n">
        <f aca="false">Sens!H6248+Sens!H6255</f>
        <v>184.938191176803</v>
      </c>
      <c r="I6256" s="6" t="n">
        <f aca="false">Sens!I6248+Sens!I6255</f>
        <v>196.349901072793</v>
      </c>
      <c r="J6256" s="6" t="n">
        <f aca="false">Sens!J6248+Sens!J6255</f>
        <v>208.979704466654</v>
      </c>
      <c r="K6256" s="6" t="n">
        <f aca="false">Sens!K6248+Sens!K6255</f>
        <v>223.181127340426</v>
      </c>
    </row>
    <row r="6257" customFormat="false" ht="15" hidden="false" customHeight="false" outlineLevel="0" collapsed="false">
      <c r="A6257" s="1" t="s">
        <v>914</v>
      </c>
      <c r="B6257" s="0" t="s">
        <v>98</v>
      </c>
      <c r="D6257" s="6" t="n">
        <f aca="false">Q!L29</f>
        <v>21.795</v>
      </c>
      <c r="E6257" s="6" t="n">
        <f aca="false">Q!M29</f>
        <v>32.185</v>
      </c>
      <c r="F6257" s="6" t="n">
        <f aca="false">Sens!F6256*tax_f</f>
        <v>34.3314049223401</v>
      </c>
      <c r="G6257" s="6" t="n">
        <f aca="false">Sens!G6256*tax_f</f>
        <v>36.2128755158843</v>
      </c>
      <c r="H6257" s="6" t="n">
        <f aca="false">Sens!H6256*tax_f</f>
        <v>36.9876382353606</v>
      </c>
      <c r="I6257" s="6" t="n">
        <f aca="false">Sens!I6256*tax_f</f>
        <v>39.2699802145585</v>
      </c>
      <c r="J6257" s="6" t="n">
        <f aca="false">Sens!J6256*tax_f</f>
        <v>41.7959408933309</v>
      </c>
      <c r="K6257" s="6" t="n">
        <f aca="false">Sens!K6256*tax_f</f>
        <v>44.6362254680852</v>
      </c>
    </row>
    <row r="6258" customFormat="false" ht="15" hidden="false" customHeight="false" outlineLevel="0" collapsed="false">
      <c r="A6258" s="1" t="s">
        <v>915</v>
      </c>
      <c r="B6258" s="0" t="s">
        <v>98</v>
      </c>
      <c r="D6258" s="6" t="n">
        <f aca="false">Sens!D6256-Sens!D6257</f>
        <v>101.832</v>
      </c>
      <c r="E6258" s="6" t="n">
        <f aca="false">Sens!E6256-Sens!E6257</f>
        <v>133.749</v>
      </c>
      <c r="F6258" s="6" t="n">
        <f aca="false">Sens!F6256-Sens!F6257</f>
        <v>137.32561968936</v>
      </c>
      <c r="G6258" s="6" t="n">
        <f aca="false">Sens!G6256-Sens!G6257</f>
        <v>144.851502063537</v>
      </c>
      <c r="H6258" s="6" t="n">
        <f aca="false">Sens!H6256-Sens!H6257</f>
        <v>147.950552941442</v>
      </c>
      <c r="I6258" s="6" t="n">
        <f aca="false">Sens!I6256-Sens!I6257</f>
        <v>157.079920858234</v>
      </c>
      <c r="J6258" s="6" t="n">
        <f aca="false">Sens!J6256-Sens!J6257</f>
        <v>167.183763573323</v>
      </c>
      <c r="K6258" s="6" t="n">
        <f aca="false">Sens!K6256-Sens!K6257</f>
        <v>178.544901872341</v>
      </c>
    </row>
    <row r="6259" customFormat="false" ht="17.15" hidden="false" customHeight="false" outlineLevel="0" collapsed="false">
      <c r="A6259" s="1" t="s">
        <v>916</v>
      </c>
      <c r="B6259" s="1" t="s">
        <v>81</v>
      </c>
      <c r="D6259" s="14" t="n">
        <f aca="false">Q!L31</f>
        <v>7.465</v>
      </c>
      <c r="E6259" s="14" t="n">
        <f aca="false">Q!M31</f>
        <v>7.453</v>
      </c>
      <c r="F6259" s="14" t="n">
        <f aca="false">Sens!F6300</f>
        <v>7.4735</v>
      </c>
      <c r="G6259" s="14" t="n">
        <f aca="false">Sens!G6300</f>
        <v>7.5185</v>
      </c>
      <c r="H6259" s="14" t="n">
        <f aca="false">Sens!H6300</f>
        <v>7.55716076350365</v>
      </c>
      <c r="I6259" s="14" t="n">
        <f aca="false">Sens!I6300</f>
        <v>7.57985077316466</v>
      </c>
      <c r="J6259" s="14" t="n">
        <f aca="false">Sens!J6300</f>
        <v>7.59409228428254</v>
      </c>
      <c r="K6259" s="14" t="n">
        <f aca="false">Sens!K6300</f>
        <v>7.61061220198428</v>
      </c>
    </row>
    <row r="6260" customFormat="false" ht="17.15" hidden="false" customHeight="false" outlineLevel="0" collapsed="false">
      <c r="A6260" s="0" t="s">
        <v>917</v>
      </c>
      <c r="B6260" s="0" t="s">
        <v>75</v>
      </c>
      <c r="D6260" s="8" t="n">
        <f aca="false">Sens!D6258/Sens!D6259</f>
        <v>13.641259209645</v>
      </c>
      <c r="E6260" s="8" t="n">
        <f aca="false">Sens!E6258/Sens!E6259</f>
        <v>17.9456594659869</v>
      </c>
      <c r="F6260" s="8" t="n">
        <f aca="false">Sens!F6258/Sens!F6259</f>
        <v>18.3750076522861</v>
      </c>
      <c r="G6260" s="8" t="n">
        <f aca="false">Sens!G6258/Sens!G6259</f>
        <v>19.2660107818763</v>
      </c>
      <c r="H6260" s="8" t="n">
        <f aca="false">Sens!H6258/Sens!H6259</f>
        <v>19.577531505741</v>
      </c>
      <c r="I6260" s="8" t="n">
        <f aca="false">Sens!I6258/Sens!I6259</f>
        <v>20.723352683189</v>
      </c>
      <c r="J6260" s="8" t="n">
        <f aca="false">Sens!J6258/Sens!J6259</f>
        <v>22.0149765521474</v>
      </c>
      <c r="K6260" s="8" t="n">
        <f aca="false">Sens!K6258/Sens!K6259</f>
        <v>23.4599920655252</v>
      </c>
      <c r="L6260" s="1" t="s">
        <v>918</v>
      </c>
    </row>
    <row r="6261" customFormat="false" ht="17.15" hidden="false" customHeight="false" outlineLevel="0" collapsed="false">
      <c r="A6261" s="1" t="s">
        <v>919</v>
      </c>
      <c r="B6261" s="0" t="s">
        <v>98</v>
      </c>
      <c r="D6261" s="6" t="n">
        <f aca="false">Sens!D6258</f>
        <v>101.832</v>
      </c>
      <c r="E6261" s="6" t="n">
        <f aca="false">Sens!E6258</f>
        <v>133.749</v>
      </c>
      <c r="F6261" s="6" t="n">
        <f aca="false">Sens!F6258+Sens!F6251*(1-tax_f)</f>
        <v>153.616848872733</v>
      </c>
      <c r="G6261" s="6" t="n">
        <f aca="false">Sens!G6258+Sens!G6251*(1-tax_f)</f>
        <v>173.987984850248</v>
      </c>
      <c r="H6261" s="6" t="n">
        <f aca="false">Sens!H6258+Sens!H6251*(1-tax_f)</f>
        <v>191.014254205852</v>
      </c>
      <c r="I6261" s="6" t="n">
        <f aca="false">Sens!I6258+Sens!I6251*(1-tax_f)</f>
        <v>212.762129121611</v>
      </c>
      <c r="J6261" s="6" t="n">
        <f aca="false">Sens!J6258+Sens!J6251*(1-tax_f)</f>
        <v>231.699378870642</v>
      </c>
      <c r="K6261" s="6" t="n">
        <f aca="false">Sens!K6258+Sens!K6251*(1-tax_f)</f>
        <v>248.116755473924</v>
      </c>
    </row>
    <row r="6262" customFormat="false" ht="17.15" hidden="false" customHeight="false" outlineLevel="0" collapsed="false">
      <c r="A6262" s="0" t="s">
        <v>920</v>
      </c>
      <c r="B6262" s="0" t="s">
        <v>75</v>
      </c>
      <c r="D6262" s="8" t="n">
        <f aca="false">Sens!D6261/Sens!D6259</f>
        <v>13.641259209645</v>
      </c>
      <c r="E6262" s="8" t="n">
        <f aca="false">Sens!E6261/Sens!E6259</f>
        <v>17.9456594659869</v>
      </c>
      <c r="F6262" s="8" t="n">
        <f aca="false">Sens!F6261/Sens!F6259</f>
        <v>20.5548737369015</v>
      </c>
      <c r="G6262" s="8" t="n">
        <f aca="false">Sens!G6261/Sens!G6259</f>
        <v>23.1413160670676</v>
      </c>
      <c r="H6262" s="8" t="n">
        <f aca="false">Sens!H6261/Sens!H6259</f>
        <v>25.2759283788603</v>
      </c>
      <c r="I6262" s="8" t="n">
        <f aca="false">Sens!I6261/Sens!I6259</f>
        <v>28.0694350705246</v>
      </c>
      <c r="J6262" s="8" t="n">
        <f aca="false">Sens!J6261/Sens!J6259</f>
        <v>30.5104771178761</v>
      </c>
      <c r="K6262" s="8" t="n">
        <f aca="false">Sens!K6261/Sens!K6259</f>
        <v>32.6014187674985</v>
      </c>
      <c r="L6262" s="1" t="s">
        <v>921</v>
      </c>
    </row>
    <row r="6263" customFormat="false" ht="17.15" hidden="false" customHeight="false" outlineLevel="0" collapsed="false">
      <c r="A6263" s="0" t="s">
        <v>922</v>
      </c>
      <c r="B6263" s="0" t="s">
        <v>129</v>
      </c>
      <c r="E6263" s="7" t="n">
        <f aca="false">Sens!E6262/Sens!D6262-1</f>
        <v>0.315542736208578</v>
      </c>
      <c r="F6263" s="7" t="n">
        <f aca="false">Sens!F6262/Sens!E6262-1</f>
        <v>0.145395284907749</v>
      </c>
      <c r="G6263" s="7" t="n">
        <f aca="false">Sens!G6262/Sens!F6262-1</f>
        <v>0.125831097931915</v>
      </c>
      <c r="H6263" s="7" t="n">
        <f aca="false">Sens!H6262/Sens!G6262-1</f>
        <v>0.0922424768585417</v>
      </c>
      <c r="I6263" s="7" t="n">
        <f aca="false">Sens!I6262/Sens!H6262-1</f>
        <v>0.11052043864789</v>
      </c>
      <c r="J6263" s="7" t="n">
        <f aca="false">Sens!J6262/Sens!I6262-1</f>
        <v>0.0869644166766579</v>
      </c>
      <c r="K6263" s="7" t="n">
        <f aca="false">Sens!K6262/Sens!J6262-1</f>
        <v>0.0685319223801104</v>
      </c>
    </row>
    <row r="6264" customFormat="false" ht="17.15" hidden="false" customHeight="false" outlineLevel="0" collapsed="false">
      <c r="A6264" s="0" t="s">
        <v>846</v>
      </c>
      <c r="B6264" s="0" t="s">
        <v>98</v>
      </c>
      <c r="E6264" s="6" t="n">
        <f aca="false">Sens!E6205</f>
        <v>5.25</v>
      </c>
      <c r="F6264" s="6" t="n">
        <f aca="false">Sens!F6205</f>
        <v>11.25</v>
      </c>
      <c r="G6264" s="6" t="n">
        <f aca="false">Sens!G6205</f>
        <v>15.75</v>
      </c>
      <c r="H6264" s="6" t="n">
        <f aca="false">Sens!H6205</f>
        <v>20.25</v>
      </c>
      <c r="I6264" s="6" t="n">
        <f aca="false">Sens!I6205</f>
        <v>23.625</v>
      </c>
      <c r="J6264" s="6" t="n">
        <f aca="false">Sens!J6205</f>
        <v>25.875</v>
      </c>
      <c r="K6264" s="6" t="n">
        <f aca="false">Sens!K6205</f>
        <v>28.125</v>
      </c>
    </row>
    <row r="6265" customFormat="false" ht="17.15" hidden="false" customHeight="false" outlineLevel="0" collapsed="false">
      <c r="A6265" s="1" t="s">
        <v>847</v>
      </c>
      <c r="B6265" s="0" t="s">
        <v>98</v>
      </c>
      <c r="F6265" s="6" t="n">
        <f aca="false">MAX(0,(Sens!E6168+Sens!F6168)/2*Sens!F6176/1000-Sens!F6264*Sens!F6244)</f>
        <v>20.3640364792159</v>
      </c>
      <c r="G6265" s="6" t="n">
        <f aca="false">MAX(0,(Sens!F6168+Sens!G6168)/2*Sens!G6176/1000-Sens!G6264*Sens!G6244)</f>
        <v>36.4206034833886</v>
      </c>
      <c r="H6265" s="6" t="n">
        <f aca="false">MAX(0,(Sens!G6168+Sens!H6168)/2*Sens!H6176/1000-Sens!H6264*Sens!H6244)</f>
        <v>53.8296265805116</v>
      </c>
      <c r="I6265" s="6" t="n">
        <f aca="false">MAX(0,(Sens!H6168+Sens!I6168)/2*Sens!I6176/1000-Sens!I6264*Sens!I6244)</f>
        <v>69.6027603292213</v>
      </c>
      <c r="J6265" s="6" t="n">
        <f aca="false">MAX(0,(Sens!I6168+Sens!J6168)/2*Sens!J6176/1000-Sens!J6264*Sens!J6244)</f>
        <v>80.6445191216482</v>
      </c>
      <c r="K6265" s="6" t="n">
        <f aca="false">MAX(0,(Sens!J6168+Sens!K6168)/2*Sens!K6176/1000-Sens!K6264*Sens!K6244)</f>
        <v>86.9648170019786</v>
      </c>
      <c r="L6265" s="1" t="s">
        <v>848</v>
      </c>
    </row>
    <row r="6266" customFormat="false" ht="17.15" hidden="false" customHeight="false" outlineLevel="0" collapsed="false">
      <c r="A6266" s="1" t="s">
        <v>849</v>
      </c>
      <c r="B6266" s="0" t="s">
        <v>98</v>
      </c>
      <c r="F6266" s="6" t="n">
        <f aca="false">IF(internal_ai_reading=2,1,0)*Sens!F6265</f>
        <v>20.3640364792159</v>
      </c>
      <c r="G6266" s="6" t="n">
        <f aca="false">IF(internal_ai_reading=2,1,0)*Sens!G6265</f>
        <v>36.4206034833886</v>
      </c>
      <c r="H6266" s="6" t="n">
        <f aca="false">IF(internal_ai_reading=2,1,0)*Sens!H6265</f>
        <v>53.8296265805116</v>
      </c>
      <c r="I6266" s="6" t="n">
        <f aca="false">IF(internal_ai_reading=2,1,0)*Sens!I6265</f>
        <v>69.6027603292213</v>
      </c>
      <c r="J6266" s="6" t="n">
        <f aca="false">IF(internal_ai_reading=2,1,0)*Sens!J6265</f>
        <v>80.6445191216482</v>
      </c>
      <c r="K6266" s="6" t="n">
        <f aca="false">IF(internal_ai_reading=2,1,0)*Sens!K6265</f>
        <v>86.9648170019786</v>
      </c>
    </row>
    <row r="6267" customFormat="false" ht="17.15" hidden="false" customHeight="false" outlineLevel="0" collapsed="false">
      <c r="A6267" s="0" t="s">
        <v>850</v>
      </c>
      <c r="B6267" s="0" t="s">
        <v>98</v>
      </c>
      <c r="F6267" s="6" t="n">
        <f aca="false">Sens!F6185+Sens!F6264*Sens!F6244+Sens!F6266-Sens!F6186-Sens!F6196</f>
        <v>20.5649362327591</v>
      </c>
      <c r="G6267" s="6" t="n">
        <f aca="false">Sens!G6185+Sens!G6264*Sens!G6244+Sens!G6266-Sens!G6186-Sens!G6196</f>
        <v>26.3598144965041</v>
      </c>
      <c r="H6267" s="6" t="n">
        <f aca="false">Sens!H6185+Sens!H6264*Sens!H6244+Sens!H6266-Sens!H6186-Sens!H6196</f>
        <v>27.6529362916746</v>
      </c>
      <c r="I6267" s="6" t="n">
        <f aca="false">Sens!I6185+Sens!I6264*Sens!I6244+Sens!I6266-Sens!I6186-Sens!I6196</f>
        <v>35.2190345661571</v>
      </c>
      <c r="J6267" s="6" t="n">
        <f aca="false">Sens!J6185+Sens!J6264*Sens!J6244+Sens!J6266-Sens!J6186-Sens!J6196</f>
        <v>40.411544621423</v>
      </c>
      <c r="K6267" s="6" t="n">
        <f aca="false">Sens!K6185+Sens!K6264*Sens!K6244+Sens!K6266-Sens!K6186-Sens!K6196</f>
        <v>44.3850097634844</v>
      </c>
    </row>
    <row r="6268" customFormat="false" ht="17.15" hidden="false" customHeight="false" outlineLevel="0" collapsed="false">
      <c r="A6268" s="0" t="s">
        <v>851</v>
      </c>
      <c r="B6268" s="0" t="s">
        <v>98</v>
      </c>
      <c r="E6268" s="6" t="n">
        <f aca="false">Sens!E6167*(cxit_open+self_build*tk_cxfac)/1000*ai_net_open</f>
        <v>126.6980382</v>
      </c>
      <c r="F6268" s="6" t="n">
        <f aca="false">Sens!E6268+Sens!F6193-Sens!F6196</f>
        <v>260.646905514568</v>
      </c>
      <c r="G6268" s="6" t="n">
        <f aca="false">Sens!F6268+Sens!G6193-Sens!G6196</f>
        <v>383.701852737428</v>
      </c>
      <c r="H6268" s="6" t="n">
        <f aca="false">Sens!G6268+Sens!H6193-Sens!H6196</f>
        <v>484.027322654689</v>
      </c>
      <c r="I6268" s="6" t="n">
        <f aca="false">Sens!H6268+Sens!I6193-Sens!I6196</f>
        <v>535.734451826713</v>
      </c>
      <c r="J6268" s="6" t="n">
        <f aca="false">Sens!I6268+Sens!J6193-Sens!J6196</f>
        <v>531.050717622138</v>
      </c>
      <c r="K6268" s="6" t="n">
        <f aca="false">Sens!J6268+Sens!K6193-Sens!K6196</f>
        <v>506.3500064596</v>
      </c>
      <c r="L6268" s="1" t="s">
        <v>852</v>
      </c>
    </row>
    <row r="6269" customFormat="false" ht="17.15" hidden="false" customHeight="false" outlineLevel="0" collapsed="false">
      <c r="A6269" s="0" t="s">
        <v>853</v>
      </c>
      <c r="B6269" s="0" t="s">
        <v>129</v>
      </c>
      <c r="F6269" s="7" t="n">
        <f aca="false">Sens!F6267*(1-tax_f)/((Sens!E6268+Sens!F6268)/2)</f>
        <v>0.0849472763394615</v>
      </c>
      <c r="G6269" s="7" t="n">
        <f aca="false">Sens!G6267*(1-tax_f)/((Sens!F6268+Sens!G6268)/2)</f>
        <v>0.0654547753127077</v>
      </c>
      <c r="H6269" s="7" t="n">
        <f aca="false">Sens!H6267*(1-tax_f)/((Sens!G6268+Sens!H6268)/2)</f>
        <v>0.050989063548181</v>
      </c>
      <c r="I6269" s="7" t="n">
        <f aca="false">Sens!I6267*(1-tax_f)/((Sens!H6268+Sens!I6268)/2)</f>
        <v>0.0552584502733575</v>
      </c>
      <c r="J6269" s="7" t="n">
        <f aca="false">Sens!J6267*(1-tax_f)/((Sens!I6268+Sens!J6268)/2)</f>
        <v>0.0606105833170537</v>
      </c>
      <c r="K6269" s="7" t="n">
        <f aca="false">Sens!K6267*(1-tax_f)/((Sens!J6268+Sens!K6268)/2)</f>
        <v>0.0684557220493896</v>
      </c>
    </row>
    <row r="6270" customFormat="false" ht="17.15" hidden="false" customHeight="false" outlineLevel="0" collapsed="false">
      <c r="A6270" s="1" t="s">
        <v>854</v>
      </c>
      <c r="B6270" s="0" t="s">
        <v>129</v>
      </c>
      <c r="F6270" s="7" t="n">
        <f aca="false">(Sens!F6267-Sens!F6266)*(1-tax_f)/((Sens!E6268+Sens!F6268)/2)</f>
        <v>0.000829853625005593</v>
      </c>
      <c r="G6270" s="7" t="n">
        <f aca="false">(Sens!G6267-Sens!G6266)*(1-tax_f)/((Sens!F6268+Sens!G6268)/2)</f>
        <v>-0.0249822199125271</v>
      </c>
      <c r="H6270" s="7" t="n">
        <f aca="false">(Sens!H6267-Sens!H6266)*(1-tax_f)/((Sens!G6268+Sens!H6268)/2)</f>
        <v>-0.0482670234560373</v>
      </c>
      <c r="I6270" s="7" t="n">
        <f aca="false">(Sens!I6267-Sens!I6266)*(1-tax_f)/((Sens!H6268+Sens!I6268)/2)</f>
        <v>-0.0539478558596493</v>
      </c>
      <c r="J6270" s="7" t="n">
        <f aca="false">(Sens!J6267-Sens!J6266)*(1-tax_f)/((Sens!I6268+Sens!J6268)/2)</f>
        <v>-0.0603427578896867</v>
      </c>
      <c r="K6270" s="7" t="n">
        <f aca="false">(Sens!K6267-Sens!K6266)*(1-tax_f)/((Sens!J6268+Sens!K6268)/2)</f>
        <v>-0.0656715288510084</v>
      </c>
    </row>
    <row r="6271" customFormat="false" ht="17.15" hidden="false" customHeight="false" outlineLevel="0" collapsed="false">
      <c r="A6271" s="1" t="s">
        <v>855</v>
      </c>
      <c r="B6271" s="0" t="s">
        <v>129</v>
      </c>
      <c r="F6271" s="7" t="n">
        <f aca="false">(Sens!F6267-Sens!F6266+Sens!F6265)*(1-tax_f)/((Sens!E6268+Sens!F6268)/2)</f>
        <v>0.0849472763394615</v>
      </c>
      <c r="G6271" s="7" t="n">
        <f aca="false">(Sens!G6267-Sens!G6266+Sens!G6265)*(1-tax_f)/((Sens!F6268+Sens!G6268)/2)</f>
        <v>0.0654547753127077</v>
      </c>
      <c r="H6271" s="7" t="n">
        <f aca="false">(Sens!H6267-Sens!H6266+Sens!H6265)*(1-tax_f)/((Sens!G6268+Sens!H6268)/2)</f>
        <v>0.050989063548181</v>
      </c>
      <c r="I6271" s="7" t="n">
        <f aca="false">(Sens!I6267-Sens!I6266+Sens!I6265)*(1-tax_f)/((Sens!H6268+Sens!I6268)/2)</f>
        <v>0.0552584502733575</v>
      </c>
      <c r="J6271" s="7" t="n">
        <f aca="false">(Sens!J6267-Sens!J6266+Sens!J6265)*(1-tax_f)/((Sens!I6268+Sens!J6268)/2)</f>
        <v>0.0606105833170537</v>
      </c>
      <c r="K6271" s="7" t="n">
        <f aca="false">(Sens!K6267-Sens!K6266+Sens!K6265)*(1-tax_f)/((Sens!J6268+Sens!K6268)/2)</f>
        <v>0.0684557220493896</v>
      </c>
    </row>
    <row r="6272" customFormat="false" ht="17.15" hidden="false" customHeight="false" outlineLevel="0" collapsed="false">
      <c r="A6272" s="1" t="s">
        <v>856</v>
      </c>
      <c r="B6272" s="0" t="s">
        <v>129</v>
      </c>
      <c r="F6272" s="7" t="n">
        <f aca="false">Sens!F6197*(1-tax_f)/(Sens!F6184*(Sens!E6268+Sens!F6268)/2)</f>
        <v>0.097823396739562</v>
      </c>
      <c r="G6272" s="7" t="n">
        <f aca="false">Sens!G6197*(1-tax_f)/(Sens!G6184*(Sens!F6268+Sens!G6268)/2)</f>
        <v>0.0659640999731177</v>
      </c>
      <c r="H6272" s="7" t="n">
        <f aca="false">Sens!H6197*(1-tax_f)/(Sens!H6184*(Sens!G6268+Sens!H6268)/2)</f>
        <v>0.0388040588798916</v>
      </c>
      <c r="I6272" s="7" t="n">
        <f aca="false">Sens!I6197*(1-tax_f)/(Sens!I6184*(Sens!H6268+Sens!I6268)/2)</f>
        <v>0.0420243918381031</v>
      </c>
      <c r="J6272" s="7" t="n">
        <f aca="false">Sens!J6197*(1-tax_f)/(Sens!J6184*(Sens!I6268+Sens!J6268)/2)</f>
        <v>0.0460695015608476</v>
      </c>
      <c r="K6272" s="7" t="n">
        <f aca="false">Sens!K6197*(1-tax_f)/(Sens!K6184*(Sens!J6268+Sens!K6268)/2)</f>
        <v>0.0524054011871821</v>
      </c>
    </row>
    <row r="6273" customFormat="false" ht="17.15" hidden="false" customHeight="false" outlineLevel="0" collapsed="false">
      <c r="A6273" s="0" t="s">
        <v>857</v>
      </c>
      <c r="B6273" s="0" t="s">
        <v>209</v>
      </c>
      <c r="F6273" s="7" t="n">
        <f aca="false">Sens!F6269-wacc</f>
        <v>-0.0179871437534143</v>
      </c>
      <c r="G6273" s="7" t="n">
        <f aca="false">Sens!G6269-wacc</f>
        <v>-0.037479644780168</v>
      </c>
      <c r="H6273" s="7" t="n">
        <f aca="false">Sens!H6269-wacc</f>
        <v>-0.0519453565446947</v>
      </c>
      <c r="I6273" s="7" t="n">
        <f aca="false">Sens!I6269-wacc</f>
        <v>-0.0476759698195183</v>
      </c>
      <c r="J6273" s="7" t="n">
        <f aca="false">Sens!J6269-wacc</f>
        <v>-0.042323836775822</v>
      </c>
      <c r="K6273" s="7" t="n">
        <f aca="false">Sens!K6269-wacc</f>
        <v>-0.0344786980434861</v>
      </c>
    </row>
    <row r="6274" customFormat="false" ht="17.15" hidden="false" customHeight="false" outlineLevel="0" collapsed="false">
      <c r="A6274" s="0" t="s">
        <v>858</v>
      </c>
      <c r="B6274" s="0" t="s">
        <v>98</v>
      </c>
      <c r="F6274" s="6" t="n">
        <f aca="false">Sens!F6267*(1-tax_f)-wacc*(Sens!E6268+Sens!F6268)/2</f>
        <v>-3.48361459237605</v>
      </c>
      <c r="G6274" s="6" t="n">
        <f aca="false">Sens!G6267*(1-tax_f)-wacc*(Sens!F6268+Sens!G6268)/2</f>
        <v>-12.0749812869136</v>
      </c>
      <c r="H6274" s="6" t="n">
        <f aca="false">Sens!H6267*(1-tax_f)-wacc*(Sens!G6268+Sens!H6268)/2</f>
        <v>-22.5372506999887</v>
      </c>
      <c r="I6274" s="6" t="n">
        <f aca="false">Sens!I6267*(1-tax_f)-wacc*(Sens!H6268+Sens!I6268)/2</f>
        <v>-24.3090657916368</v>
      </c>
      <c r="J6274" s="6" t="n">
        <f aca="false">Sens!J6267*(1-tax_f)-wacc*(Sens!I6268+Sens!J6268)/2</f>
        <v>-22.5752206933104</v>
      </c>
      <c r="K6274" s="6" t="n">
        <f aca="false">Sens!K6267*(1-tax_f)-wacc*(Sens!J6268+Sens!K6268)/2</f>
        <v>-17.884113157854</v>
      </c>
    </row>
    <row r="6275" customFormat="false" ht="17.15" hidden="false" customHeight="false" outlineLevel="0" collapsed="false">
      <c r="A6275" s="3" t="s">
        <v>1397</v>
      </c>
    </row>
    <row r="6276" customFormat="false" ht="15" hidden="false" customHeight="false" outlineLevel="0" collapsed="false">
      <c r="A6276" s="4" t="s">
        <v>43</v>
      </c>
      <c r="B6276" s="4" t="s">
        <v>65</v>
      </c>
      <c r="C6276" s="20" t="s">
        <v>788</v>
      </c>
      <c r="D6276" s="20" t="s">
        <v>789</v>
      </c>
      <c r="E6276" s="20" t="s">
        <v>790</v>
      </c>
      <c r="F6276" s="20" t="s">
        <v>791</v>
      </c>
      <c r="G6276" s="20" t="s">
        <v>792</v>
      </c>
      <c r="H6276" s="20" t="s">
        <v>793</v>
      </c>
      <c r="I6276" s="20" t="s">
        <v>794</v>
      </c>
      <c r="J6276" s="20" t="s">
        <v>795</v>
      </c>
      <c r="K6276" s="20" t="s">
        <v>796</v>
      </c>
      <c r="L6276" s="4" t="s">
        <v>47</v>
      </c>
    </row>
    <row r="6277" customFormat="false" ht="15" hidden="false" customHeight="false" outlineLevel="0" collapsed="false">
      <c r="A6277" s="1" t="s">
        <v>915</v>
      </c>
      <c r="B6277" s="0" t="s">
        <v>98</v>
      </c>
      <c r="F6277" s="6" t="n">
        <f aca="false">Sens!F6258</f>
        <v>137.32561968936</v>
      </c>
      <c r="G6277" s="6" t="n">
        <f aca="false">Sens!G6258</f>
        <v>144.851502063537</v>
      </c>
      <c r="H6277" s="6" t="n">
        <f aca="false">Sens!H6258</f>
        <v>147.950552941442</v>
      </c>
      <c r="I6277" s="6" t="n">
        <f aca="false">Sens!I6258</f>
        <v>157.079920858234</v>
      </c>
      <c r="J6277" s="6" t="n">
        <f aca="false">Sens!J6258</f>
        <v>167.183763573323</v>
      </c>
      <c r="K6277" s="6" t="n">
        <f aca="false">Sens!K6258</f>
        <v>178.544901872341</v>
      </c>
    </row>
    <row r="6278" customFormat="false" ht="17.15" hidden="false" customHeight="false" outlineLevel="0" collapsed="false">
      <c r="A6278" s="1" t="s">
        <v>937</v>
      </c>
      <c r="B6278" s="0" t="s">
        <v>98</v>
      </c>
      <c r="E6278" s="6" t="n">
        <f aca="false">Q!M38-Sens!E6196</f>
        <v>22.2285940229167</v>
      </c>
      <c r="F6278" s="6" t="n">
        <f aca="false">Sens!E6278*(1-1/life_nonai)+Sens!F6284/life_nonai</f>
        <v>23.5561693435813</v>
      </c>
      <c r="G6278" s="6" t="n">
        <f aca="false">Sens!F6278*(1-1/life_nonai)+Sens!G6284/life_nonai</f>
        <v>25.2933417662621</v>
      </c>
      <c r="H6278" s="6" t="n">
        <f aca="false">Sens!G6278*(1-1/life_nonai)+Sens!H6284/life_nonai</f>
        <v>27.4076589540448</v>
      </c>
      <c r="I6278" s="6" t="n">
        <f aca="false">Sens!H6278*(1-1/life_nonai)+Sens!I6284/life_nonai</f>
        <v>29.8379830898047</v>
      </c>
      <c r="J6278" s="6" t="n">
        <f aca="false">Sens!I6278*(1-1/life_nonai)+Sens!J6284/life_nonai</f>
        <v>32.5060261058616</v>
      </c>
      <c r="K6278" s="6" t="n">
        <f aca="false">Sens!J6278*(1-1/life_nonai)+Sens!K6284/life_nonai</f>
        <v>35.3285437694749</v>
      </c>
      <c r="L6278" s="11" t="s">
        <v>938</v>
      </c>
    </row>
    <row r="6279" customFormat="false" ht="17.15" hidden="false" customHeight="false" outlineLevel="0" collapsed="false">
      <c r="A6279" s="1" t="s">
        <v>939</v>
      </c>
      <c r="B6279" s="0" t="s">
        <v>98</v>
      </c>
      <c r="E6279" s="6" t="n">
        <f aca="false">Sens!E6196+Sens!E6278</f>
        <v>38.534</v>
      </c>
      <c r="F6279" s="6" t="n">
        <f aca="false">Sens!F6196+Sens!F6278</f>
        <v>58.302954799451</v>
      </c>
      <c r="G6279" s="6" t="n">
        <f aca="false">Sens!G6196+Sens!G6278</f>
        <v>85.8125750266016</v>
      </c>
      <c r="H6279" s="6" t="n">
        <f aca="false">Sens!H6196+Sens!H6278</f>
        <v>115.162474947184</v>
      </c>
      <c r="I6279" s="6" t="n">
        <f aca="false">Sens!I6196+Sens!I6278</f>
        <v>141.837523072026</v>
      </c>
      <c r="J6279" s="6" t="n">
        <f aca="false">Sens!J6196+Sens!J6278</f>
        <v>161.702237028527</v>
      </c>
      <c r="K6279" s="6" t="n">
        <f aca="false">Sens!K6196+Sens!K6278</f>
        <v>174.988690573948</v>
      </c>
    </row>
    <row r="6280" customFormat="false" ht="17.15" hidden="false" customHeight="false" outlineLevel="0" collapsed="false">
      <c r="A6280" s="1" t="s">
        <v>940</v>
      </c>
      <c r="B6280" s="0" t="s">
        <v>98</v>
      </c>
      <c r="F6280" s="6" t="n">
        <f aca="false">Sens!F6223*sbc_r</f>
        <v>14.738271852043</v>
      </c>
      <c r="G6280" s="6" t="n">
        <f aca="false">Sens!G6223*sbc_r</f>
        <v>17.1453446938136</v>
      </c>
      <c r="H6280" s="6" t="n">
        <f aca="false">Sens!H6223*sbc_r</f>
        <v>19.4046696639536</v>
      </c>
      <c r="I6280" s="6" t="n">
        <f aca="false">Sens!I6223*sbc_r</f>
        <v>21.7566481227304</v>
      </c>
      <c r="J6280" s="6" t="n">
        <f aca="false">Sens!J6223*sbc_r</f>
        <v>23.7283863734218</v>
      </c>
      <c r="K6280" s="6" t="n">
        <f aca="false">Sens!K6223*sbc_r</f>
        <v>25.3448798891542</v>
      </c>
    </row>
    <row r="6281" customFormat="false" ht="17.15" hidden="false" customHeight="false" outlineLevel="0" collapsed="false">
      <c r="A6281" s="1" t="s">
        <v>941</v>
      </c>
      <c r="B6281" s="0" t="s">
        <v>98</v>
      </c>
      <c r="F6281" s="6" t="n">
        <f aca="false">wc27</f>
        <v>-4.895</v>
      </c>
      <c r="G6281" s="6" t="n">
        <f aca="false">wc_f</f>
        <v>0</v>
      </c>
      <c r="H6281" s="6" t="n">
        <f aca="false">wc_f</f>
        <v>0</v>
      </c>
      <c r="I6281" s="6" t="n">
        <f aca="false">wc_f</f>
        <v>0</v>
      </c>
      <c r="J6281" s="6" t="n">
        <f aca="false">wc_f</f>
        <v>0</v>
      </c>
      <c r="K6281" s="6" t="n">
        <f aca="false">wc_f</f>
        <v>0</v>
      </c>
      <c r="L6281" s="11" t="s">
        <v>942</v>
      </c>
    </row>
    <row r="6282" customFormat="false" ht="15" hidden="false" customHeight="false" outlineLevel="0" collapsed="false">
      <c r="A6282" s="1" t="s">
        <v>756</v>
      </c>
      <c r="B6282" s="0" t="s">
        <v>98</v>
      </c>
      <c r="E6282" s="6" t="n">
        <f aca="false">Q!M35</f>
        <v>182.935</v>
      </c>
      <c r="F6282" s="6" t="n">
        <f aca="false">Sens!F6277+Sens!F6279+Sens!F6280+Sens!F6281</f>
        <v>205.471846340854</v>
      </c>
      <c r="G6282" s="6" t="n">
        <f aca="false">Sens!G6277+Sens!G6279+Sens!G6280+Sens!G6281</f>
        <v>247.809421783952</v>
      </c>
      <c r="H6282" s="6" t="n">
        <f aca="false">Sens!H6277+Sens!H6279+Sens!H6280+Sens!H6281</f>
        <v>282.51769755258</v>
      </c>
      <c r="I6282" s="6" t="n">
        <f aca="false">Sens!I6277+Sens!I6279+Sens!I6280+Sens!I6281</f>
        <v>320.67409205299</v>
      </c>
      <c r="J6282" s="6" t="n">
        <f aca="false">Sens!J6277+Sens!J6279+Sens!J6280+Sens!J6281</f>
        <v>352.614386975273</v>
      </c>
      <c r="K6282" s="6" t="n">
        <f aca="false">Sens!K6277+Sens!K6279+Sens!K6280+Sens!K6281</f>
        <v>378.878472335443</v>
      </c>
    </row>
    <row r="6283" customFormat="false" ht="17.15" hidden="false" customHeight="false" outlineLevel="0" collapsed="false">
      <c r="A6283" s="0" t="s">
        <v>943</v>
      </c>
      <c r="B6283" s="0" t="s">
        <v>98</v>
      </c>
      <c r="F6283" s="6" t="n">
        <f aca="false">Sens!F6193</f>
        <v>168.695652770438</v>
      </c>
      <c r="G6283" s="6" t="n">
        <f aca="false">Sens!G6193</f>
        <v>183.5741804832</v>
      </c>
      <c r="H6283" s="6" t="n">
        <f aca="false">Sens!H6193</f>
        <v>188.0802859104</v>
      </c>
      <c r="I6283" s="6" t="n">
        <f aca="false">Sens!I6193</f>
        <v>163.706669154245</v>
      </c>
      <c r="J6283" s="6" t="n">
        <f aca="false">Sens!J6193</f>
        <v>124.51247671809</v>
      </c>
      <c r="K6283" s="6" t="n">
        <f aca="false">Sens!K6193</f>
        <v>114.959435641936</v>
      </c>
    </row>
    <row r="6284" customFormat="false" ht="17.15" hidden="false" customHeight="false" outlineLevel="0" collapsed="false">
      <c r="A6284" s="1" t="s">
        <v>944</v>
      </c>
      <c r="B6284" s="0" t="s">
        <v>98</v>
      </c>
      <c r="E6284" s="6" t="n">
        <f aca="false">Sens!E6201*cx_azo+Sens!E6208*cx_m365+Sens!E6209*cx_lic+(Sens!E6211+Sens!E6213)*cx_ind+Sens!E6216*cx_srch+(Sens!E6218+Sens!E6220)*cx_dev</f>
        <v>30.1846587067718</v>
      </c>
      <c r="F6284" s="6" t="n">
        <f aca="false">Sens!F6201*cx_azo+Sens!F6208*cx_m365+Sens!F6209*cx_lic+(Sens!F6211+Sens!F6213)*cx_ind+Sens!F6216*cx_srch+(Sens!F6218+Sens!F6220)*cx_dev</f>
        <v>35.5043472295625</v>
      </c>
      <c r="G6284" s="6" t="n">
        <f aca="false">Sens!G6201*cx_azo+Sens!G6208*cx_m365+Sens!G6209*cx_lic+(Sens!G6211+Sens!G6213)*cx_ind+Sens!G6216*cx_srch+(Sens!G6218+Sens!G6220)*cx_dev</f>
        <v>40.9278935703892</v>
      </c>
      <c r="H6284" s="6" t="n">
        <f aca="false">Sens!H6201*cx_azo+Sens!H6208*cx_m365+Sens!H6209*cx_lic+(Sens!H6211+Sens!H6213)*cx_ind+Sens!H6216*cx_srch+(Sens!H6218+Sens!H6220)*cx_dev</f>
        <v>46.4365136440897</v>
      </c>
      <c r="I6284" s="6" t="n">
        <f aca="false">Sens!I6201*cx_azo+Sens!I6208*cx_m365+Sens!I6209*cx_lic+(Sens!I6211+Sens!I6213)*cx_ind+Sens!I6216*cx_srch+(Sens!I6218+Sens!I6220)*cx_dev</f>
        <v>51.7109003116439</v>
      </c>
      <c r="J6284" s="6" t="n">
        <f aca="false">Sens!J6201*cx_azo+Sens!J6208*cx_m365+Sens!J6209*cx_lic+(Sens!J6211+Sens!J6213)*cx_ind+Sens!J6216*cx_srch+(Sens!J6218+Sens!J6220)*cx_dev</f>
        <v>56.5184132503738</v>
      </c>
      <c r="K6284" s="6" t="n">
        <f aca="false">Sens!K6201*cx_azo+Sens!K6208*cx_m365+Sens!K6209*cx_lic+(Sens!K6211+Sens!K6213)*cx_ind+Sens!K6216*cx_srch+(Sens!K6218+Sens!K6220)*cx_dev</f>
        <v>60.731202741994</v>
      </c>
    </row>
    <row r="6285" customFormat="false" ht="17.15" hidden="false" customHeight="false" outlineLevel="0" collapsed="false">
      <c r="A6285" s="1" t="s">
        <v>945</v>
      </c>
      <c r="B6285" s="0" t="s">
        <v>98</v>
      </c>
      <c r="E6285" s="6" t="n">
        <f aca="false">Q!M42</f>
        <v>145.3</v>
      </c>
      <c r="F6285" s="6" t="n">
        <f aca="false">Sens!F6283+Sens!F6284</f>
        <v>204.2</v>
      </c>
      <c r="G6285" s="6" t="n">
        <f aca="false">Sens!G6283+Sens!G6284</f>
        <v>224.502074053589</v>
      </c>
      <c r="H6285" s="6" t="n">
        <f aca="false">Sens!H6283+Sens!H6284</f>
        <v>234.51679955449</v>
      </c>
      <c r="I6285" s="6" t="n">
        <f aca="false">Sens!I6283+Sens!I6284</f>
        <v>215.417569465889</v>
      </c>
      <c r="J6285" s="6" t="n">
        <f aca="false">Sens!J6283+Sens!J6284</f>
        <v>181.030889968464</v>
      </c>
      <c r="K6285" s="6" t="n">
        <f aca="false">Sens!K6283+Sens!K6284</f>
        <v>175.69063838393</v>
      </c>
      <c r="L6285" s="1" t="s">
        <v>946</v>
      </c>
    </row>
    <row r="6286" customFormat="false" ht="15" hidden="false" customHeight="false" outlineLevel="0" collapsed="false">
      <c r="A6286" s="1" t="s">
        <v>947</v>
      </c>
      <c r="B6286" s="0" t="s">
        <v>98</v>
      </c>
      <c r="E6286" s="6" t="n">
        <f aca="false">fl_liab</f>
        <v>66.594</v>
      </c>
      <c r="F6286" s="6" t="n">
        <f aca="false">Sens!E6286-Sens!F6287</f>
        <v>62.46973</v>
      </c>
      <c r="G6286" s="6" t="n">
        <f aca="false">Sens!F6286-Sens!G6287</f>
        <v>57.98686785</v>
      </c>
      <c r="H6286" s="6" t="n">
        <f aca="false">Sens!G6286-Sens!H6287</f>
        <v>53.92827690325</v>
      </c>
      <c r="I6286" s="6" t="n">
        <f aca="false">Sens!H6286-Sens!I6287</f>
        <v>49.7850493638962</v>
      </c>
      <c r="J6286" s="6" t="n">
        <f aca="false">Sens!I6286-Sens!J6287</f>
        <v>45.4823765852716</v>
      </c>
      <c r="K6286" s="6" t="n">
        <f aca="false">Sens!J6286-Sens!K6287</f>
        <v>40.9860835316088</v>
      </c>
    </row>
    <row r="6287" customFormat="false" ht="15" hidden="false" customHeight="false" outlineLevel="0" collapsed="false">
      <c r="A6287" s="1" t="s">
        <v>948</v>
      </c>
      <c r="B6287" s="0" t="s">
        <v>98</v>
      </c>
      <c r="F6287" s="6" t="n">
        <f aca="false">fl_pay_27-Sens!E6286*fl_rate</f>
        <v>4.12427</v>
      </c>
      <c r="G6287" s="6" t="n">
        <f aca="false">fl_pay_28-Sens!F6286*fl_rate</f>
        <v>4.48286215</v>
      </c>
      <c r="H6287" s="6" t="n">
        <f aca="false">fl_pay_29-Sens!G6286*fl_rate</f>
        <v>4.05859094675</v>
      </c>
      <c r="I6287" s="6" t="n">
        <f aca="false">fl_pay_30-Sens!H6286*fl_rate</f>
        <v>4.14322753935375</v>
      </c>
      <c r="J6287" s="6" t="n">
        <f aca="false">fl_pay_31-Sens!I6286*fl_rate</f>
        <v>4.30267277862467</v>
      </c>
      <c r="K6287" s="6" t="n">
        <f aca="false">fl_pay_32-Sens!J6286*fl_rate</f>
        <v>4.49629305366278</v>
      </c>
    </row>
    <row r="6288" customFormat="false" ht="17.15" hidden="false" customHeight="false" outlineLevel="0" collapsed="false">
      <c r="A6288" s="1" t="s">
        <v>949</v>
      </c>
      <c r="B6288" s="0" t="s">
        <v>98</v>
      </c>
      <c r="E6288" s="6" t="n">
        <f aca="false">Q!M35-Q!M36-Q!M43</f>
        <v>63.886</v>
      </c>
      <c r="F6288" s="6" t="n">
        <f aca="false">Sens!F6282-Sens!F6285-Sens!F6287</f>
        <v>-2.85242365914571</v>
      </c>
      <c r="G6288" s="6" t="n">
        <f aca="false">Sens!G6282-Sens!G6285-Sens!G6287</f>
        <v>18.8244855803632</v>
      </c>
      <c r="H6288" s="6" t="n">
        <f aca="false">Sens!H6282-Sens!H6285-Sens!H6287</f>
        <v>43.9423070513408</v>
      </c>
      <c r="I6288" s="6" t="n">
        <f aca="false">Sens!I6282-Sens!I6285-Sens!I6287</f>
        <v>101.113295047747</v>
      </c>
      <c r="J6288" s="6" t="n">
        <f aca="false">Sens!J6282-Sens!J6285-Sens!J6287</f>
        <v>167.280824228184</v>
      </c>
      <c r="K6288" s="6" t="n">
        <f aca="false">Sens!K6282-Sens!K6285-Sens!K6287</f>
        <v>198.691540897851</v>
      </c>
      <c r="L6288" s="11" t="s">
        <v>950</v>
      </c>
    </row>
    <row r="6289" customFormat="false" ht="15" hidden="false" customHeight="false" outlineLevel="0" collapsed="false">
      <c r="A6289" s="1" t="s">
        <v>951</v>
      </c>
      <c r="B6289" s="0" t="s">
        <v>75</v>
      </c>
      <c r="F6289" s="8" t="n">
        <f aca="false">dps_27</f>
        <v>3.85</v>
      </c>
      <c r="G6289" s="8" t="n">
        <f aca="false">Sens!F6289*(1+dps_g)</f>
        <v>4.158</v>
      </c>
      <c r="H6289" s="8" t="n">
        <f aca="false">Sens!G6289*(1+dps_g)</f>
        <v>4.49064</v>
      </c>
      <c r="I6289" s="8" t="n">
        <f aca="false">Sens!H6289*(1+dps_g)</f>
        <v>4.8498912</v>
      </c>
      <c r="J6289" s="8" t="n">
        <f aca="false">Sens!I6289*(1+dps_g)</f>
        <v>5.237882496</v>
      </c>
      <c r="K6289" s="8" t="n">
        <f aca="false">Sens!J6289*(1+dps_g)</f>
        <v>5.65691309568</v>
      </c>
    </row>
    <row r="6290" customFormat="false" ht="17.15" hidden="false" customHeight="false" outlineLevel="0" collapsed="false">
      <c r="A6290" s="1" t="s">
        <v>952</v>
      </c>
      <c r="B6290" s="0" t="s">
        <v>98</v>
      </c>
      <c r="E6290" s="6" t="n">
        <f aca="false">Q!M41</f>
        <v>26.445</v>
      </c>
      <c r="F6290" s="6" t="n">
        <f aca="false">Sens!F6289*Sens!E6299</f>
        <v>28.59395</v>
      </c>
      <c r="G6290" s="6" t="n">
        <f aca="false">Sens!G6289*Sens!F6299</f>
        <v>31.068576</v>
      </c>
      <c r="H6290" s="6" t="n">
        <f aca="false">Sens!H6289*Sens!G6299</f>
        <v>33.75614088</v>
      </c>
      <c r="I6290" s="6" t="n">
        <f aca="false">Sens!I6289*Sens!H6299</f>
        <v>36.6133880398033</v>
      </c>
      <c r="J6290" s="6" t="n">
        <f aca="false">Sens!J6289*Sens!I6299</f>
        <v>39.610857931307</v>
      </c>
      <c r="K6290" s="6" t="n">
        <f aca="false">Sens!K6289*Sens!J6299</f>
        <v>42.8669817911166</v>
      </c>
      <c r="L6290" s="1" t="s">
        <v>953</v>
      </c>
    </row>
    <row r="6291" customFormat="false" ht="15" hidden="false" customHeight="false" outlineLevel="0" collapsed="false">
      <c r="A6291" s="1" t="s">
        <v>954</v>
      </c>
      <c r="B6291" s="0" t="s">
        <v>98</v>
      </c>
      <c r="E6291" s="6" t="n">
        <f aca="false">Sens!E6288-Sens!E6290</f>
        <v>37.441</v>
      </c>
      <c r="F6291" s="6" t="n">
        <f aca="false">Sens!F6288-Sens!F6290</f>
        <v>-31.4463736591457</v>
      </c>
      <c r="G6291" s="6" t="n">
        <f aca="false">Sens!G6288-Sens!G6290</f>
        <v>-12.2440904196368</v>
      </c>
      <c r="H6291" s="6" t="n">
        <f aca="false">Sens!H6288-Sens!H6290</f>
        <v>10.1861661713407</v>
      </c>
      <c r="I6291" s="6" t="n">
        <f aca="false">Sens!I6288-Sens!I6290</f>
        <v>64.4999070079441</v>
      </c>
      <c r="J6291" s="6" t="n">
        <f aca="false">Sens!J6288-Sens!J6290</f>
        <v>127.669966296877</v>
      </c>
      <c r="K6291" s="6" t="n">
        <f aca="false">Sens!K6288-Sens!K6290</f>
        <v>155.824559106734</v>
      </c>
    </row>
    <row r="6292" customFormat="false" ht="15" hidden="false" customHeight="false" outlineLevel="0" collapsed="false">
      <c r="A6292" s="1" t="s">
        <v>955</v>
      </c>
      <c r="B6292" s="0" t="s">
        <v>98</v>
      </c>
      <c r="F6292" s="6" t="n">
        <f aca="false">debt_mat_27</f>
        <v>9.25</v>
      </c>
      <c r="G6292" s="6" t="n">
        <f aca="false">debt_mat_28</f>
        <v>0</v>
      </c>
      <c r="H6292" s="6" t="n">
        <f aca="false">debt_mat_29</f>
        <v>2.001</v>
      </c>
      <c r="I6292" s="6" t="n">
        <f aca="false">debt_mat_30</f>
        <v>0</v>
      </c>
      <c r="J6292" s="6" t="n">
        <f aca="false">debt_mat_31</f>
        <v>0.5</v>
      </c>
      <c r="K6292" s="6" t="n">
        <f aca="false">debt_mat_32</f>
        <v>0</v>
      </c>
    </row>
    <row r="6293" customFormat="false" ht="15" hidden="false" customHeight="false" outlineLevel="0" collapsed="false">
      <c r="A6293" s="1" t="s">
        <v>956</v>
      </c>
      <c r="B6293" s="0" t="s">
        <v>98</v>
      </c>
      <c r="E6293" s="6" t="n">
        <f aca="false">Q!M40</f>
        <v>22.271</v>
      </c>
      <c r="F6293" s="6" t="n">
        <f aca="false">MAX(0,MIN(bb_target,Sens!E6295+Sens!F6291-Sens!F6292-min_cash))</f>
        <v>0</v>
      </c>
      <c r="G6293" s="6" t="n">
        <f aca="false">MAX(0,MIN(bb_target,Sens!F6295+Sens!G6291-Sens!G6292-min_cash))</f>
        <v>0</v>
      </c>
      <c r="H6293" s="6" t="n">
        <f aca="false">MAX(0,MIN(bb_target,Sens!G6295+Sens!H6291-Sens!H6292-min_cash))</f>
        <v>8.18516617134075</v>
      </c>
      <c r="I6293" s="6" t="n">
        <f aca="false">MAX(0,MIN(bb_target,Sens!H6295+Sens!I6291-Sens!I6292-min_cash))</f>
        <v>22.271</v>
      </c>
      <c r="J6293" s="6" t="n">
        <f aca="false">MAX(0,MIN(bb_target,Sens!I6295+Sens!J6291-Sens!J6292-min_cash))</f>
        <v>22.271</v>
      </c>
      <c r="K6293" s="6" t="n">
        <f aca="false">MAX(0,MIN(bb_target,Sens!J6295+Sens!K6291-Sens!K6292-min_cash))</f>
        <v>22.271</v>
      </c>
    </row>
    <row r="6294" customFormat="false" ht="15" hidden="false" customHeight="false" outlineLevel="0" collapsed="false">
      <c r="A6294" s="1" t="s">
        <v>957</v>
      </c>
      <c r="B6294" s="0" t="s">
        <v>98</v>
      </c>
      <c r="F6294" s="6" t="n">
        <f aca="false">MAX(0,min_cash-(Sens!E6295+Sens!F6291-Sens!F6292-Sens!F6293))</f>
        <v>13.8533736591457</v>
      </c>
      <c r="G6294" s="6" t="n">
        <f aca="false">MAX(0,min_cash-(Sens!F6295+Sens!G6291-Sens!G6292-Sens!G6293))</f>
        <v>12.2440904196368</v>
      </c>
      <c r="H6294" s="6" t="n">
        <f aca="false">MAX(0,min_cash-(Sens!G6295+Sens!H6291-Sens!H6292-Sens!H6293))</f>
        <v>0</v>
      </c>
      <c r="I6294" s="6" t="n">
        <f aca="false">MAX(0,min_cash-(Sens!H6295+Sens!I6291-Sens!I6292-Sens!I6293))</f>
        <v>0</v>
      </c>
      <c r="J6294" s="6" t="n">
        <f aca="false">MAX(0,min_cash-(Sens!I6295+Sens!J6291-Sens!J6292-Sens!J6293))</f>
        <v>0</v>
      </c>
      <c r="K6294" s="6" t="n">
        <f aca="false">MAX(0,min_cash-(Sens!J6295+Sens!K6291-Sens!K6292-Sens!K6293))</f>
        <v>0</v>
      </c>
    </row>
    <row r="6295" customFormat="false" ht="15" hidden="false" customHeight="false" outlineLevel="0" collapsed="false">
      <c r="A6295" s="1" t="s">
        <v>958</v>
      </c>
      <c r="B6295" s="0" t="s">
        <v>98</v>
      </c>
      <c r="E6295" s="6" t="n">
        <f aca="false">cash_open</f>
        <v>76.843</v>
      </c>
      <c r="F6295" s="6" t="n">
        <f aca="false">Sens!E6295+Sens!F6291-Sens!F6292-Sens!F6293+Sens!F6294</f>
        <v>50</v>
      </c>
      <c r="G6295" s="6" t="n">
        <f aca="false">Sens!F6295+Sens!G6291-Sens!G6292-Sens!G6293+Sens!G6294</f>
        <v>50</v>
      </c>
      <c r="H6295" s="6" t="n">
        <f aca="false">Sens!G6295+Sens!H6291-Sens!H6292-Sens!H6293+Sens!H6294</f>
        <v>50</v>
      </c>
      <c r="I6295" s="6" t="n">
        <f aca="false">Sens!H6295+Sens!I6291-Sens!I6292-Sens!I6293+Sens!I6294</f>
        <v>92.2289070079441</v>
      </c>
      <c r="J6295" s="6" t="n">
        <f aca="false">Sens!I6295+Sens!J6291-Sens!J6292-Sens!J6293+Sens!J6294</f>
        <v>197.127873304821</v>
      </c>
      <c r="K6295" s="6" t="n">
        <f aca="false">Sens!J6295+Sens!K6291-Sens!K6292-Sens!K6293+Sens!K6294</f>
        <v>330.681432411555</v>
      </c>
    </row>
    <row r="6296" customFormat="false" ht="15" hidden="false" customHeight="false" outlineLevel="0" collapsed="false">
      <c r="A6296" s="1" t="s">
        <v>959</v>
      </c>
      <c r="B6296" s="0" t="s">
        <v>98</v>
      </c>
      <c r="E6296" s="6" t="n">
        <f aca="false">debt_face</f>
        <v>46.136</v>
      </c>
      <c r="F6296" s="6" t="n">
        <f aca="false">Sens!E6296-Sens!F6292+Sens!F6294</f>
        <v>50.7393736591457</v>
      </c>
      <c r="G6296" s="6" t="n">
        <f aca="false">Sens!F6296-Sens!G6292+Sens!G6294</f>
        <v>62.9834640787825</v>
      </c>
      <c r="H6296" s="6" t="n">
        <f aca="false">Sens!G6296-Sens!H6292+Sens!H6294</f>
        <v>60.9824640787825</v>
      </c>
      <c r="I6296" s="6" t="n">
        <f aca="false">Sens!H6296-Sens!I6292+Sens!I6294</f>
        <v>60.9824640787825</v>
      </c>
      <c r="J6296" s="6" t="n">
        <f aca="false">Sens!I6296-Sens!J6292+Sens!J6294</f>
        <v>60.4824640787825</v>
      </c>
      <c r="K6296" s="6" t="n">
        <f aca="false">Sens!J6296-Sens!K6292+Sens!K6294</f>
        <v>60.4824640787825</v>
      </c>
    </row>
    <row r="6297" customFormat="false" ht="15" hidden="false" customHeight="false" outlineLevel="0" collapsed="false">
      <c r="A6297" s="1" t="s">
        <v>960</v>
      </c>
      <c r="B6297" s="0" t="s">
        <v>98</v>
      </c>
      <c r="E6297" s="6" t="n">
        <f aca="false">Sens!E6295-Sens!E6296</f>
        <v>30.707</v>
      </c>
      <c r="F6297" s="6" t="n">
        <f aca="false">Sens!F6295-Sens!F6296</f>
        <v>-0.739373659145706</v>
      </c>
      <c r="G6297" s="6" t="n">
        <f aca="false">Sens!G6295-Sens!G6296</f>
        <v>-12.9834640787825</v>
      </c>
      <c r="H6297" s="6" t="n">
        <f aca="false">Sens!H6295-Sens!H6296</f>
        <v>-10.9824640787825</v>
      </c>
      <c r="I6297" s="6" t="n">
        <f aca="false">Sens!I6295-Sens!I6296</f>
        <v>31.2464429291616</v>
      </c>
      <c r="J6297" s="6" t="n">
        <f aca="false">Sens!J6295-Sens!J6296</f>
        <v>136.645409226038</v>
      </c>
      <c r="K6297" s="6" t="n">
        <f aca="false">Sens!K6295-Sens!K6296</f>
        <v>270.198968332772</v>
      </c>
    </row>
    <row r="6298" customFormat="false" ht="15" hidden="false" customHeight="false" outlineLevel="0" collapsed="false">
      <c r="A6298" s="1" t="s">
        <v>961</v>
      </c>
      <c r="B6298" s="0" t="s">
        <v>75</v>
      </c>
      <c r="F6298" s="29" t="n">
        <f aca="false">px*(1+bb_g)^(Sens!F6162-base_fy-mid_yr)</f>
        <v>553.494156066711</v>
      </c>
      <c r="G6298" s="29" t="n">
        <f aca="false">px*(1+bb_g)^(Sens!G6162-base_fy-mid_yr)</f>
        <v>597.773688552047</v>
      </c>
      <c r="H6298" s="29" t="n">
        <f aca="false">px*(1+bb_g)^(Sens!H6162-base_fy-mid_yr)</f>
        <v>645.595583636211</v>
      </c>
      <c r="I6298" s="29" t="n">
        <f aca="false">px*(1+bb_g)^(Sens!I6162-base_fy-mid_yr)</f>
        <v>697.243230327108</v>
      </c>
      <c r="J6298" s="29" t="n">
        <f aca="false">px*(1+bb_g)^(Sens!J6162-base_fy-mid_yr)</f>
        <v>753.022688753277</v>
      </c>
      <c r="K6298" s="29" t="n">
        <f aca="false">px*(1+bb_g)^(Sens!K6162-base_fy-mid_yr)</f>
        <v>813.264503853539</v>
      </c>
    </row>
    <row r="6299" customFormat="false" ht="15" hidden="false" customHeight="false" outlineLevel="0" collapsed="false">
      <c r="A6299" s="1" t="s">
        <v>962</v>
      </c>
      <c r="B6299" s="1" t="s">
        <v>81</v>
      </c>
      <c r="E6299" s="14" t="n">
        <f aca="false">sh_out26</f>
        <v>7.427</v>
      </c>
      <c r="F6299" s="14" t="n">
        <f aca="false">Sens!E6299+sh_iss-Sens!F6293/Sens!F6298</f>
        <v>7.472</v>
      </c>
      <c r="G6299" s="14" t="n">
        <f aca="false">Sens!F6299+sh_iss-Sens!G6293/Sens!G6298</f>
        <v>7.517</v>
      </c>
      <c r="H6299" s="14" t="n">
        <f aca="false">Sens!G6299+sh_iss-Sens!H6293/Sens!H6298</f>
        <v>7.5493215270073</v>
      </c>
      <c r="I6299" s="14" t="n">
        <f aca="false">Sens!H6299+sh_iss-Sens!I6293/Sens!I6298</f>
        <v>7.56238001932202</v>
      </c>
      <c r="J6299" s="14" t="n">
        <f aca="false">Sens!I6299+sh_iss-Sens!J6293/Sens!J6298</f>
        <v>7.57780454924306</v>
      </c>
      <c r="K6299" s="14" t="n">
        <f aca="false">Sens!J6299+sh_iss-Sens!K6293/Sens!K6298</f>
        <v>7.59541985472551</v>
      </c>
    </row>
    <row r="6300" customFormat="false" ht="15" hidden="false" customHeight="false" outlineLevel="0" collapsed="false">
      <c r="A6300" s="1" t="s">
        <v>963</v>
      </c>
      <c r="B6300" s="1" t="s">
        <v>81</v>
      </c>
      <c r="E6300" s="14" t="n">
        <f aca="false">sh_dil26</f>
        <v>7.453</v>
      </c>
      <c r="F6300" s="14" t="n">
        <f aca="false">(Sens!E6299+Sens!F6299)/2+dil_gap</f>
        <v>7.4735</v>
      </c>
      <c r="G6300" s="14" t="n">
        <f aca="false">(Sens!F6299+Sens!G6299)/2+dil_gap</f>
        <v>7.5185</v>
      </c>
      <c r="H6300" s="14" t="n">
        <f aca="false">(Sens!G6299+Sens!H6299)/2+dil_gap</f>
        <v>7.55716076350365</v>
      </c>
      <c r="I6300" s="14" t="n">
        <f aca="false">(Sens!H6299+Sens!I6299)/2+dil_gap</f>
        <v>7.57985077316466</v>
      </c>
      <c r="J6300" s="14" t="n">
        <f aca="false">(Sens!I6299+Sens!J6299)/2+dil_gap</f>
        <v>7.59409228428254</v>
      </c>
      <c r="K6300" s="14" t="n">
        <f aca="false">(Sens!J6299+Sens!K6299)/2+dil_gap</f>
        <v>7.61061220198428</v>
      </c>
    </row>
    <row r="6301" customFormat="false" ht="17.15" hidden="false" customHeight="false" outlineLevel="0" collapsed="false">
      <c r="A6301" s="1" t="s">
        <v>964</v>
      </c>
      <c r="B6301" s="0" t="s">
        <v>98</v>
      </c>
      <c r="C6301" s="6" t="n">
        <f aca="false">SUM(Sens!F6291:J6291)</f>
        <v>158.665575397379</v>
      </c>
    </row>
    <row r="6302" customFormat="false" ht="15" hidden="false" customHeight="false" outlineLevel="0" collapsed="false">
      <c r="A6302" s="23" t="s">
        <v>935</v>
      </c>
      <c r="B6302" s="30" t="s">
        <v>98</v>
      </c>
      <c r="C6302" s="24" t="n">
        <f aca="false">Sens!$C$6301-(Sens!F6291+Sens!G6291+Sens!H6291+Sens!I6291+Sens!J6291)</f>
        <v>0</v>
      </c>
      <c r="D6302" s="30"/>
      <c r="E6302" s="30"/>
      <c r="F6302" s="30"/>
      <c r="G6302" s="30"/>
      <c r="H6302" s="30"/>
      <c r="I6302" s="30"/>
      <c r="J6302" s="30"/>
      <c r="K6302" s="30"/>
    </row>
    <row r="6303" customFormat="false" ht="17.15" hidden="false" customHeight="false" outlineLevel="0" collapsed="false">
      <c r="A6303" s="1" t="s">
        <v>929</v>
      </c>
      <c r="B6303" s="1" t="s">
        <v>965</v>
      </c>
      <c r="C6303" s="32" t="str">
        <f aca="false">IF(SUM(Sens!F6294:J6294)&gt;0.05,"需要舉債 "&amp;TEXT(SUM(Sens!F6294:J6294),"0.0")&amp;" 十億美元","不需舉債")&amp;"；"&amp;IF(SUM(Sens!F6293:J6293)&lt;COUNT(Sens!F6293:J6293)*bb_target-0.05,"回購較每年 "&amp;TEXT(bb_target,"0.0")&amp;" 的目標少 "&amp;TEXT(COUNT(Sens!F6293:J6293)*bb_target-SUM(Sens!F6293:J6293),"0.0")&amp;" 十億美元（"&amp;TEXT(COUNTIF(Sens!F6293:J6293,"&lt;"&amp;(bb_target-0.05)),"0")&amp;" 年減少）","回購不減")</f>
        <v>需要舉債 26.1 十億美元；回購較每年 22.3 的目標少 58.6 十億美元（3 年減少）</v>
      </c>
    </row>
    <row r="6304" customFormat="false" ht="17.15" hidden="false" customHeight="false" outlineLevel="0" collapsed="false">
      <c r="A6304" s="3" t="s">
        <v>1398</v>
      </c>
    </row>
    <row r="6305" customFormat="false" ht="15" hidden="false" customHeight="false" outlineLevel="0" collapsed="false">
      <c r="A6305" s="4" t="s">
        <v>43</v>
      </c>
      <c r="B6305" s="4" t="s">
        <v>65</v>
      </c>
      <c r="C6305" s="20" t="s">
        <v>788</v>
      </c>
      <c r="D6305" s="20" t="s">
        <v>789</v>
      </c>
      <c r="E6305" s="20" t="s">
        <v>790</v>
      </c>
      <c r="F6305" s="20" t="s">
        <v>791</v>
      </c>
      <c r="G6305" s="20" t="s">
        <v>792</v>
      </c>
      <c r="H6305" s="20" t="s">
        <v>793</v>
      </c>
      <c r="I6305" s="20" t="s">
        <v>794</v>
      </c>
      <c r="J6305" s="20" t="s">
        <v>795</v>
      </c>
      <c r="K6305" s="20" t="s">
        <v>796</v>
      </c>
      <c r="L6305" s="4" t="s">
        <v>47</v>
      </c>
    </row>
    <row r="6306" customFormat="false" ht="15" hidden="false" customHeight="false" outlineLevel="0" collapsed="false">
      <c r="A6306" s="1" t="s">
        <v>1042</v>
      </c>
      <c r="B6306" s="1" t="s">
        <v>235</v>
      </c>
      <c r="F6306" s="36" t="n">
        <f aca="false">Sens!F6162-base_fy-mid_yr</f>
        <v>0.5</v>
      </c>
      <c r="G6306" s="36" t="n">
        <f aca="false">Sens!G6162-base_fy-mid_yr</f>
        <v>1.5</v>
      </c>
      <c r="H6306" s="36" t="n">
        <f aca="false">Sens!H6162-base_fy-mid_yr</f>
        <v>2.5</v>
      </c>
      <c r="I6306" s="36" t="n">
        <f aca="false">Sens!I6162-base_fy-mid_yr</f>
        <v>3.5</v>
      </c>
      <c r="J6306" s="36" t="n">
        <f aca="false">Sens!J6162-base_fy-mid_yr</f>
        <v>4.5</v>
      </c>
      <c r="K6306" s="36" t="n">
        <f aca="false">Sens!K6162-base_fy-mid_yr</f>
        <v>5.5</v>
      </c>
    </row>
    <row r="6307" customFormat="false" ht="15" hidden="false" customHeight="false" outlineLevel="0" collapsed="false">
      <c r="A6307" s="1" t="s">
        <v>1043</v>
      </c>
      <c r="B6307" s="0" t="s">
        <v>185</v>
      </c>
      <c r="F6307" s="14" t="n">
        <f aca="false">1/(1+wacc)^Sens!F6306</f>
        <v>0.952193373608246</v>
      </c>
      <c r="G6307" s="14" t="n">
        <f aca="false">1/(1+wacc)^Sens!G6306</f>
        <v>0.863327280626589</v>
      </c>
      <c r="H6307" s="14" t="n">
        <f aca="false">1/(1+wacc)^Sens!H6306</f>
        <v>0.782754862754115</v>
      </c>
      <c r="I6307" s="14" t="n">
        <f aca="false">1/(1+wacc)^Sens!I6306</f>
        <v>0.709702089711011</v>
      </c>
      <c r="J6307" s="14" t="n">
        <f aca="false">1/(1+wacc)^Sens!J6306</f>
        <v>0.643467169744551</v>
      </c>
      <c r="K6307" s="14" t="n">
        <f aca="false">1/(1+wacc)^Sens!K6306</f>
        <v>0.583413807767797</v>
      </c>
    </row>
    <row r="6308" customFormat="false" ht="17.15" hidden="false" customHeight="false" outlineLevel="0" collapsed="false">
      <c r="A6308" s="1" t="s">
        <v>1044</v>
      </c>
      <c r="B6308" s="0" t="s">
        <v>98</v>
      </c>
      <c r="F6308" s="6" t="n">
        <f aca="false">Sens!F6282-Sens!F6280-Sens!F6285+Sens!F6266*(1-tax_f)</f>
        <v>2.824803672184</v>
      </c>
      <c r="G6308" s="6" t="n">
        <f aca="false">Sens!G6282-Sens!G6280-Sens!G6285+Sens!G6266*(1-tax_f)</f>
        <v>35.2984858232604</v>
      </c>
      <c r="H6308" s="6" t="n">
        <f aca="false">Sens!H6282-Sens!H6280-Sens!H6285+Sens!H6266*(1-tax_f)</f>
        <v>71.6599295985464</v>
      </c>
      <c r="I6308" s="6" t="n">
        <f aca="false">Sens!I6282-Sens!I6280-Sens!I6285+Sens!I6266*(1-tax_f)</f>
        <v>139.182082727748</v>
      </c>
      <c r="J6308" s="6" t="n">
        <f aca="false">Sens!J6282-Sens!J6280-Sens!J6285+Sens!J6266*(1-tax_f)</f>
        <v>212.370725930705</v>
      </c>
      <c r="K6308" s="6" t="n">
        <f aca="false">Sens!K6282-Sens!K6280-Sens!K6285+Sens!K6266*(1-tax_f)</f>
        <v>247.414807663942</v>
      </c>
      <c r="L6308" s="1" t="s">
        <v>1045</v>
      </c>
    </row>
    <row r="6309" customFormat="false" ht="15" hidden="false" customHeight="false" outlineLevel="0" collapsed="false">
      <c r="A6309" s="1" t="s">
        <v>1046</v>
      </c>
      <c r="B6309" s="0" t="s">
        <v>98</v>
      </c>
      <c r="F6309" s="6" t="n">
        <f aca="false">Sens!F6308*Sens!F6307</f>
        <v>2.68975933839785</v>
      </c>
      <c r="G6309" s="6" t="n">
        <f aca="false">Sens!G6308*Sens!G6307</f>
        <v>30.4741457760316</v>
      </c>
      <c r="H6309" s="6" t="n">
        <f aca="false">Sens!H6308*Sens!H6307</f>
        <v>56.0921583578798</v>
      </c>
      <c r="I6309" s="6" t="n">
        <f aca="false">Sens!I6308*Sens!I6307</f>
        <v>98.7778149622134</v>
      </c>
      <c r="J6309" s="6" t="n">
        <f aca="false">Sens!J6308*Sens!J6307</f>
        <v>136.653589951227</v>
      </c>
      <c r="K6309" s="6" t="n">
        <f aca="false">Sens!K6308*Sens!K6307</f>
        <v>144.345215037358</v>
      </c>
    </row>
    <row r="6310" customFormat="false" ht="17.15" hidden="false" customHeight="false" outlineLevel="0" collapsed="false">
      <c r="A6310" s="1" t="s">
        <v>1047</v>
      </c>
      <c r="B6310" s="0" t="s">
        <v>98</v>
      </c>
      <c r="C6310" s="6" t="n">
        <f aca="false">SUM(Sens!F6309:K6309)</f>
        <v>469.032683423107</v>
      </c>
    </row>
    <row r="6311" customFormat="false" ht="17.15" hidden="false" customHeight="false" outlineLevel="0" collapsed="false">
      <c r="A6311" s="1" t="s">
        <v>1048</v>
      </c>
      <c r="B6311" s="0" t="s">
        <v>98</v>
      </c>
      <c r="C6311" s="6" t="n">
        <f aca="false">Sens!K6252*(1+g_tv)*(1-tax_f)</f>
        <v>255.889858138141</v>
      </c>
    </row>
    <row r="6312" customFormat="false" ht="17.15" hidden="false" customHeight="false" outlineLevel="0" collapsed="false">
      <c r="A6312" s="1" t="s">
        <v>1049</v>
      </c>
      <c r="B6312" s="0" t="s">
        <v>98</v>
      </c>
      <c r="C6312" s="6" t="n">
        <f aca="false">Sens!$C$6311*(1-g_tv/(wacc+ronic_prem))</f>
        <v>181.311347497894</v>
      </c>
    </row>
    <row r="6313" customFormat="false" ht="17.15" hidden="false" customHeight="false" outlineLevel="0" collapsed="false">
      <c r="A6313" s="1" t="s">
        <v>1050</v>
      </c>
      <c r="B6313" s="0" t="s">
        <v>98</v>
      </c>
      <c r="C6313" s="6" t="n">
        <f aca="false">Sens!$C$6312/(wacc-g_tv)</f>
        <v>2485.95035467492</v>
      </c>
    </row>
    <row r="6314" customFormat="false" ht="15" hidden="false" customHeight="false" outlineLevel="0" collapsed="false">
      <c r="A6314" s="1" t="s">
        <v>1051</v>
      </c>
      <c r="B6314" s="0" t="s">
        <v>98</v>
      </c>
      <c r="C6314" s="6" t="n">
        <f aca="false">Sens!$C$6313/(1+wacc)^(Sens!K6306+mid_yr)</f>
        <v>1381.00200679643</v>
      </c>
    </row>
    <row r="6315" customFormat="false" ht="17.15" hidden="false" customHeight="false" outlineLevel="0" collapsed="false">
      <c r="A6315" s="0" t="s">
        <v>972</v>
      </c>
      <c r="B6315" s="0" t="s">
        <v>98</v>
      </c>
      <c r="C6315" s="6" t="n">
        <f aca="false">Sens!$C$6310+Sens!$C$6314</f>
        <v>1850.03469021954</v>
      </c>
    </row>
    <row r="6316" customFormat="false" ht="15" hidden="false" customHeight="false" outlineLevel="0" collapsed="false">
      <c r="A6316" s="1" t="s">
        <v>973</v>
      </c>
      <c r="B6316" s="0" t="s">
        <v>129</v>
      </c>
      <c r="C6316" s="7" t="n">
        <f aca="false">Sens!$C$6314/Sens!$C$6315</f>
        <v>0.746473573764475</v>
      </c>
    </row>
    <row r="6317" customFormat="false" ht="17.15" hidden="false" customHeight="false" outlineLevel="0" collapsed="false">
      <c r="A6317" s="1" t="s">
        <v>1052</v>
      </c>
      <c r="B6317" s="0" t="s">
        <v>98</v>
      </c>
      <c r="C6317" s="6" t="n">
        <f aca="false">Sens!$C$6315+Sens!E6297-Sens!E6286+oai_v</f>
        <v>1984.54769021954</v>
      </c>
    </row>
    <row r="6318" customFormat="false" ht="17.15" hidden="false" customHeight="false" outlineLevel="0" collapsed="false">
      <c r="A6318" s="0" t="s">
        <v>980</v>
      </c>
      <c r="B6318" s="0" t="s">
        <v>75</v>
      </c>
      <c r="C6318" s="5" t="n">
        <f aca="false">Sens!$C$6317/sh_dil26</f>
        <v>266.275015459485</v>
      </c>
    </row>
    <row r="6319" customFormat="false" ht="15" hidden="false" customHeight="false" outlineLevel="0" collapsed="false">
      <c r="A6319" s="1" t="s">
        <v>1053</v>
      </c>
      <c r="B6319" s="0" t="s">
        <v>75</v>
      </c>
      <c r="C6319" s="8" t="n">
        <f aca="false">dps_27+Sens!G6289*roll_div_q/q_per_yr</f>
        <v>4.8895</v>
      </c>
    </row>
    <row r="6320" customFormat="false" ht="17.15" hidden="false" customHeight="false" outlineLevel="0" collapsed="false">
      <c r="A6320" s="0" t="s">
        <v>1054</v>
      </c>
      <c r="B6320" s="0" t="s">
        <v>75</v>
      </c>
      <c r="C6320" s="5" t="n">
        <f aca="false">Sens!$C$6318*(1+wacc)^t_roll-Sens!$C$6319</f>
        <v>298.326750900199</v>
      </c>
    </row>
    <row r="6321" customFormat="false" ht="17.15" hidden="false" customHeight="false" outlineLevel="0" collapsed="false">
      <c r="A6321" s="1" t="s">
        <v>1055</v>
      </c>
      <c r="B6321" s="0" t="s">
        <v>129</v>
      </c>
      <c r="F6321" s="7" t="n">
        <f aca="false">Sens!F6278/(Sens!F6223-Sens!F6179)</f>
        <v>0.0685583309780933</v>
      </c>
      <c r="G6321" s="7" t="n">
        <f aca="false">Sens!G6278/(Sens!G6223-Sens!G6179)</f>
        <v>0.0659544808371847</v>
      </c>
      <c r="H6321" s="7" t="n">
        <f aca="false">Sens!H6278/(Sens!H6223-Sens!H6179)</f>
        <v>0.0646121370247507</v>
      </c>
      <c r="I6321" s="7" t="n">
        <f aca="false">Sens!I6278/(Sens!I6223-Sens!I6179)</f>
        <v>0.0644040787642208</v>
      </c>
      <c r="J6321" s="7" t="n">
        <f aca="false">Sens!J6278/(Sens!J6223-Sens!J6179)</f>
        <v>0.0650850549825735</v>
      </c>
      <c r="K6321" s="7" t="n">
        <f aca="false">Sens!K6278/(Sens!K6223-Sens!K6179)</f>
        <v>0.066364513257935</v>
      </c>
    </row>
    <row r="6322" customFormat="false" ht="17.15" hidden="false" customHeight="false" outlineLevel="0" collapsed="false">
      <c r="A6322" s="0" t="s">
        <v>1056</v>
      </c>
      <c r="B6322" s="0" t="s">
        <v>98</v>
      </c>
      <c r="F6322" s="6" t="n">
        <f aca="false">Sens!F6208*(al_m365+Sens!F6321+sbc_r)</f>
        <v>83.4015455699067</v>
      </c>
      <c r="G6322" s="6" t="n">
        <f aca="false">Sens!G6208*(al_m365+Sens!G6321+sbc_r)</f>
        <v>94.8057350814682</v>
      </c>
      <c r="H6322" s="6" t="n">
        <f aca="false">Sens!H6208*(al_m365+Sens!H6321+sbc_r)</f>
        <v>106.371406705049</v>
      </c>
      <c r="I6322" s="6" t="n">
        <f aca="false">Sens!I6208*(al_m365+Sens!I6321+sbc_r)</f>
        <v>117.169619485206</v>
      </c>
      <c r="J6322" s="6" t="n">
        <f aca="false">Sens!J6208*(al_m365+Sens!J6321+sbc_r)</f>
        <v>127.011560471347</v>
      </c>
      <c r="K6322" s="6" t="n">
        <f aca="false">Sens!K6208*(al_m365+Sens!K6321+sbc_r)</f>
        <v>136.458668169587</v>
      </c>
      <c r="L6322" s="11" t="s">
        <v>1057</v>
      </c>
    </row>
    <row r="6323" customFormat="false" ht="17.15" hidden="false" customHeight="false" outlineLevel="0" collapsed="false">
      <c r="A6323" s="0" t="s">
        <v>1058</v>
      </c>
      <c r="B6323" s="0" t="s">
        <v>98</v>
      </c>
      <c r="F6323" s="6" t="n">
        <f aca="false">Sens!F6209*(al_lic+Sens!F6321+sbc_r)</f>
        <v>33.4433949272539</v>
      </c>
      <c r="G6323" s="6" t="n">
        <f aca="false">Sens!G6209*(al_lic+Sens!G6321+sbc_r)</f>
        <v>34.7534857787718</v>
      </c>
      <c r="H6323" s="6" t="n">
        <f aca="false">Sens!H6209*(al_lic+Sens!H6321+sbc_r)</f>
        <v>35.9742833072409</v>
      </c>
      <c r="I6323" s="6" t="n">
        <f aca="false">Sens!I6209*(al_lic+Sens!I6321+sbc_r)</f>
        <v>37.0866200167698</v>
      </c>
      <c r="J6323" s="6" t="n">
        <f aca="false">Sens!J6209*(al_lic+Sens!J6321+sbc_r)</f>
        <v>38.0659291224151</v>
      </c>
      <c r="K6323" s="6" t="n">
        <f aca="false">Sens!K6209*(al_lic+Sens!K6321+sbc_r)</f>
        <v>38.8855230469285</v>
      </c>
    </row>
    <row r="6324" customFormat="false" ht="17.15" hidden="false" customHeight="false" outlineLevel="0" collapsed="false">
      <c r="A6324" s="0" t="s">
        <v>1059</v>
      </c>
      <c r="B6324" s="0" t="s">
        <v>98</v>
      </c>
      <c r="F6324" s="6" t="n">
        <f aca="false">Sens!F6211*(al_ind+Sens!F6321+sbc_r)</f>
        <v>9.07571052352267</v>
      </c>
      <c r="G6324" s="6" t="n">
        <f aca="false">Sens!G6211*(al_ind+Sens!G6321+sbc_r)</f>
        <v>9.85724026612813</v>
      </c>
      <c r="H6324" s="6" t="n">
        <f aca="false">Sens!H6211*(al_ind+Sens!H6321+sbc_r)</f>
        <v>10.6825294678816</v>
      </c>
      <c r="I6324" s="6" t="n">
        <f aca="false">Sens!I6211*(al_ind+Sens!I6321+sbc_r)</f>
        <v>11.5478376900655</v>
      </c>
      <c r="J6324" s="6" t="n">
        <f aca="false">Sens!J6211*(al_ind+Sens!J6321+sbc_r)</f>
        <v>12.4439994396009</v>
      </c>
      <c r="K6324" s="6" t="n">
        <f aca="false">Sens!K6211*(al_ind+Sens!K6321+sbc_r)</f>
        <v>13.3574084891878</v>
      </c>
    </row>
    <row r="6325" customFormat="false" ht="17.15" hidden="false" customHeight="false" outlineLevel="0" collapsed="false">
      <c r="A6325" s="0" t="s">
        <v>1060</v>
      </c>
      <c r="B6325" s="0" t="s">
        <v>98</v>
      </c>
      <c r="F6325" s="6" t="n">
        <f aca="false">Sens!F6213*(al_fro+Sens!F6321+sbc_r)</f>
        <v>3.57223152507149</v>
      </c>
      <c r="G6325" s="6" t="n">
        <f aca="false">Sens!G6213*(al_fro+Sens!G6321+sbc_r)</f>
        <v>3.7845974856534</v>
      </c>
      <c r="H6325" s="6" t="n">
        <f aca="false">Sens!H6213*(al_fro+Sens!H6321+sbc_r)</f>
        <v>4.02554274035016</v>
      </c>
      <c r="I6325" s="6" t="n">
        <f aca="false">Sens!I6213*(al_fro+Sens!I6321+sbc_r)</f>
        <v>4.29763519696384</v>
      </c>
      <c r="J6325" s="6" t="n">
        <f aca="false">Sens!J6213*(al_fro+Sens!J6321+sbc_r)</f>
        <v>4.60226921477552</v>
      </c>
      <c r="K6325" s="6" t="n">
        <f aca="false">Sens!K6213*(al_fro+Sens!K6321+sbc_r)</f>
        <v>4.9400829835574</v>
      </c>
    </row>
    <row r="6326" customFormat="false" ht="17.15" hidden="false" customHeight="false" outlineLevel="0" collapsed="false">
      <c r="A6326" s="0" t="s">
        <v>1061</v>
      </c>
      <c r="B6326" s="0" t="s">
        <v>98</v>
      </c>
      <c r="F6326" s="6" t="n">
        <f aca="false">Sens!F6216*(al_srch+Sens!F6321+sbc_r)</f>
        <v>11.2086336228877</v>
      </c>
      <c r="G6326" s="6" t="n">
        <f aca="false">Sens!G6216*(al_srch+Sens!G6321+sbc_r)</f>
        <v>12.2886990041694</v>
      </c>
      <c r="H6326" s="6" t="n">
        <f aca="false">Sens!H6216*(al_srch+Sens!H6321+sbc_r)</f>
        <v>13.4123033730914</v>
      </c>
      <c r="I6326" s="6" t="n">
        <f aca="false">Sens!I6216*(al_srch+Sens!I6321+sbc_r)</f>
        <v>14.5678610241687</v>
      </c>
      <c r="J6326" s="6" t="n">
        <f aca="false">Sens!J6216*(al_srch+Sens!J6321+sbc_r)</f>
        <v>15.7360166153587</v>
      </c>
      <c r="K6326" s="6" t="n">
        <f aca="false">Sens!K6216*(al_srch+Sens!K6321+sbc_r)</f>
        <v>16.8910648818491</v>
      </c>
    </row>
    <row r="6327" customFormat="false" ht="17.15" hidden="false" customHeight="false" outlineLevel="0" collapsed="false">
      <c r="A6327" s="0" t="s">
        <v>1062</v>
      </c>
      <c r="B6327" s="0" t="s">
        <v>98</v>
      </c>
      <c r="F6327" s="6" t="n">
        <f aca="false">Sens!F6185-Sens!F6186+Sens!F6266</f>
        <v>48.888451491248</v>
      </c>
      <c r="G6327" s="6" t="n">
        <f aca="false">Sens!G6185-Sens!G6186+Sens!G6266</f>
        <v>77.8864694805106</v>
      </c>
      <c r="H6327" s="6" t="n">
        <f aca="false">Sens!H6185-Sens!H6186+Sens!H6266</f>
        <v>103.845865929529</v>
      </c>
      <c r="I6327" s="6" t="n">
        <f aca="false">Sens!I6185-Sens!I6186+Sens!I6266</f>
        <v>133.729707133878</v>
      </c>
      <c r="J6327" s="6" t="n">
        <f aca="false">Sens!J6185-Sens!J6186+Sens!J6266</f>
        <v>154.834234090113</v>
      </c>
      <c r="K6327" s="6" t="n">
        <f aca="false">Sens!K6185-Sens!K6186+Sens!K6266</f>
        <v>167.986981074506</v>
      </c>
    </row>
    <row r="6328" customFormat="false" ht="17.15" hidden="false" customHeight="false" outlineLevel="0" collapsed="false">
      <c r="A6328" s="0" t="s">
        <v>1063</v>
      </c>
      <c r="B6328" s="0" t="s">
        <v>98</v>
      </c>
      <c r="F6328" s="6" t="n">
        <f aca="false">Sens!F6245+Sens!F6266+Sens!F6196+Sens!F6321*(Sens!F6215-Sens!F6179)+sbc_r*Sens!F6215</f>
        <v>239.265677499459</v>
      </c>
      <c r="G6328" s="6" t="n">
        <f aca="false">Sens!G6245+Sens!G6266+Sens!G6196+Sens!G6321*(Sens!G6215-Sens!G6179)+sbc_r*Sens!G6215</f>
        <v>294.02329821129</v>
      </c>
      <c r="H6328" s="6" t="n">
        <f aca="false">Sens!H6245+Sens!H6266+Sens!H6196+Sens!H6321*(Sens!H6215-Sens!H6179)+sbc_r*Sens!H6215</f>
        <v>346.029293615912</v>
      </c>
      <c r="I6328" s="6" t="n">
        <f aca="false">Sens!I6245+Sens!I6266+Sens!I6196+Sens!I6321*(Sens!I6215-Sens!I6179)+sbc_r*Sens!I6215</f>
        <v>401.122742752708</v>
      </c>
      <c r="J6328" s="6" t="n">
        <f aca="false">Sens!J6245+Sens!J6266+Sens!J6196+Sens!J6321*(Sens!J6215-Sens!J6179)+sbc_r*Sens!J6215</f>
        <v>445.313215355261</v>
      </c>
      <c r="K6328" s="6" t="n">
        <f aca="false">Sens!K6245+Sens!K6266+Sens!K6196+Sens!K6321*(Sens!K6215-Sens!K6179)+sbc_r*Sens!K6215</f>
        <v>479.254494364317</v>
      </c>
    </row>
    <row r="6329" customFormat="false" ht="17.15" hidden="false" customHeight="false" outlineLevel="0" collapsed="false">
      <c r="A6329" s="0" t="s">
        <v>1064</v>
      </c>
      <c r="B6329" s="0" t="s">
        <v>98</v>
      </c>
      <c r="F6329" s="6" t="n">
        <f aca="false">Sens!F6328-Sens!F6322-Sens!F6323-Sens!F6324-Sens!F6325-Sens!F6327</f>
        <v>60.8843434624567</v>
      </c>
      <c r="G6329" s="6" t="n">
        <f aca="false">Sens!G6328-Sens!G6322-Sens!G6323-Sens!G6324-Sens!G6325-Sens!G6327</f>
        <v>72.9357701187577</v>
      </c>
      <c r="H6329" s="6" t="n">
        <f aca="false">Sens!H6328-Sens!H6322-Sens!H6323-Sens!H6324-Sens!H6325-Sens!H6327</f>
        <v>85.1296654658621</v>
      </c>
      <c r="I6329" s="6" t="n">
        <f aca="false">Sens!I6328-Sens!I6322-Sens!I6323-Sens!I6324-Sens!I6325-Sens!I6327</f>
        <v>97.2913232298244</v>
      </c>
      <c r="J6329" s="6" t="n">
        <f aca="false">Sens!J6328-Sens!J6322-Sens!J6323-Sens!J6324-Sens!J6325-Sens!J6327</f>
        <v>108.35522301701</v>
      </c>
      <c r="K6329" s="6" t="n">
        <f aca="false">Sens!K6328-Sens!K6322-Sens!K6323-Sens!K6324-Sens!K6325-Sens!K6327</f>
        <v>117.62583060055</v>
      </c>
    </row>
    <row r="6330" customFormat="false" ht="17.15" hidden="false" customHeight="false" outlineLevel="0" collapsed="false">
      <c r="A6330" s="0" t="s">
        <v>1065</v>
      </c>
      <c r="B6330" s="0" t="s">
        <v>98</v>
      </c>
      <c r="F6330" s="6" t="n">
        <f aca="false">Sens!F6247+Sens!F6321*Sens!F6222+sbc_r*Sens!F6222</f>
        <v>26.1966102429508</v>
      </c>
      <c r="G6330" s="6" t="n">
        <f aca="false">Sens!G6247+Sens!G6321*Sens!G6222+sbc_r*Sens!G6222</f>
        <v>26.8196025719355</v>
      </c>
      <c r="H6330" s="6" t="n">
        <f aca="false">Sens!H6247+Sens!H6321*Sens!H6222+sbc_r*Sens!H6222</f>
        <v>27.7056687525402</v>
      </c>
      <c r="I6330" s="6" t="n">
        <f aca="false">Sens!I6247+Sens!I6321*Sens!I6222+sbc_r*Sens!I6222</f>
        <v>28.824089844062</v>
      </c>
      <c r="J6330" s="6" t="n">
        <f aca="false">Sens!J6247+Sens!J6321*Sens!J6222+sbc_r*Sens!J6222</f>
        <v>30.1416316349907</v>
      </c>
      <c r="K6330" s="6" t="n">
        <f aca="false">Sens!K6247+Sens!K6321*Sens!K6222+sbc_r*Sens!K6222</f>
        <v>31.6250204411904</v>
      </c>
    </row>
    <row r="6331" customFormat="false" ht="17.15" hidden="false" customHeight="false" outlineLevel="0" collapsed="false">
      <c r="A6331" s="0" t="s">
        <v>1066</v>
      </c>
      <c r="B6331" s="0" t="s">
        <v>98</v>
      </c>
      <c r="F6331" s="6" t="n">
        <f aca="false">(Sens!F6330-Sens!F6326)*Sens!F6218/(Sens!F6218+Sens!F6220)</f>
        <v>8.21626280234157</v>
      </c>
      <c r="G6331" s="6" t="n">
        <f aca="false">(Sens!G6330-Sens!G6326)*Sens!G6218/(Sens!G6218+Sens!G6220)</f>
        <v>7.82367187997329</v>
      </c>
      <c r="H6331" s="6" t="n">
        <f aca="false">(Sens!H6330-Sens!H6326)*Sens!H6218/(Sens!H6218+Sens!H6220)</f>
        <v>7.59182041100631</v>
      </c>
      <c r="I6331" s="6" t="n">
        <f aca="false">(Sens!I6330-Sens!I6326)*Sens!I6218/(Sens!I6218+Sens!I6220)</f>
        <v>7.50358317149831</v>
      </c>
      <c r="J6331" s="6" t="n">
        <f aca="false">(Sens!J6330-Sens!J6326)*Sens!J6218/(Sens!J6218+Sens!J6220)</f>
        <v>7.54792420457795</v>
      </c>
      <c r="K6331" s="6" t="n">
        <f aca="false">(Sens!K6330-Sens!K6326)*Sens!K6218/(Sens!K6218+Sens!K6220)</f>
        <v>7.71996056009895</v>
      </c>
    </row>
    <row r="6332" customFormat="false" ht="17.15" hidden="false" customHeight="false" outlineLevel="0" collapsed="false">
      <c r="A6332" s="0" t="s">
        <v>1067</v>
      </c>
      <c r="B6332" s="0" t="s">
        <v>98</v>
      </c>
      <c r="F6332" s="6" t="n">
        <f aca="false">Sens!F6330-Sens!F6326-Sens!F6331</f>
        <v>6.77171381772152</v>
      </c>
      <c r="G6332" s="6" t="n">
        <f aca="false">Sens!G6330-Sens!G6326-Sens!G6331</f>
        <v>6.70723168779282</v>
      </c>
      <c r="H6332" s="6" t="n">
        <f aca="false">Sens!H6330-Sens!H6326-Sens!H6331</f>
        <v>6.7015449684425</v>
      </c>
      <c r="I6332" s="6" t="n">
        <f aca="false">Sens!I6330-Sens!I6326-Sens!I6331</f>
        <v>6.75264564839498</v>
      </c>
      <c r="J6332" s="6" t="n">
        <f aca="false">Sens!J6330-Sens!J6326-Sens!J6331</f>
        <v>6.85769081505401</v>
      </c>
      <c r="K6332" s="6" t="n">
        <f aca="false">Sens!K6330-Sens!K6326-Sens!K6331</f>
        <v>7.01399499924232</v>
      </c>
    </row>
    <row r="6333" customFormat="false" ht="17.15" hidden="false" customHeight="false" outlineLevel="0" collapsed="false">
      <c r="A6333" s="0" t="s">
        <v>1068</v>
      </c>
      <c r="B6333" s="0" t="s">
        <v>98</v>
      </c>
      <c r="F6333" s="6" t="n">
        <f aca="false">Sens!F6327-tax_f*(Sens!F6327-Sens!F6196)-Sens!F6193</f>
        <v>-122.635534486265</v>
      </c>
      <c r="G6333" s="6" t="n">
        <f aca="false">Sens!G6327-tax_f*(Sens!G6327-Sens!G6196)-Sens!G6193</f>
        <v>-109.161158246724</v>
      </c>
      <c r="H6333" s="6" t="n">
        <f aca="false">Sens!H6327-tax_f*(Sens!H6327-Sens!H6196)-Sens!H6193</f>
        <v>-87.452629968149</v>
      </c>
      <c r="I6333" s="6" t="n">
        <f aca="false">Sens!I6327-tax_f*(Sens!I6327-Sens!I6196)-Sens!I6193</f>
        <v>-34.3229954506984</v>
      </c>
      <c r="J6333" s="6" t="n">
        <f aca="false">Sens!J6327-tax_f*(Sens!J6327-Sens!J6196)-Sens!J6193</f>
        <v>25.194152738533</v>
      </c>
      <c r="K6333" s="6" t="n">
        <f aca="false">Sens!K6327-tax_f*(Sens!K6327-Sens!K6196)-Sens!K6193</f>
        <v>47.3621785785633</v>
      </c>
    </row>
    <row r="6334" customFormat="false" ht="17.15" hidden="false" customHeight="false" outlineLevel="0" collapsed="false">
      <c r="A6334" s="0" t="s">
        <v>1069</v>
      </c>
      <c r="B6334" s="0" t="s">
        <v>98</v>
      </c>
      <c r="F6334" s="6" t="n">
        <f aca="false">Sens!F6333*Sens!F6307</f>
        <v>-116.772743306727</v>
      </c>
      <c r="G6334" s="6" t="n">
        <f aca="false">Sens!G6333*Sens!G6307</f>
        <v>-94.2418058991926</v>
      </c>
      <c r="H6334" s="6" t="n">
        <f aca="false">Sens!H6333*Sens!H6307</f>
        <v>-68.453971368205</v>
      </c>
      <c r="I6334" s="6" t="n">
        <f aca="false">Sens!I6333*Sens!I6307</f>
        <v>-24.3591015965022</v>
      </c>
      <c r="J6334" s="6" t="n">
        <f aca="false">Sens!J6333*Sens!J6307</f>
        <v>16.2116101567758</v>
      </c>
      <c r="K6334" s="6" t="n">
        <f aca="false">Sens!K6333*Sens!K6307</f>
        <v>27.631748948698</v>
      </c>
    </row>
    <row r="6335" customFormat="false" ht="17.15" hidden="false" customHeight="false" outlineLevel="0" collapsed="false">
      <c r="A6335" s="0" t="s">
        <v>1070</v>
      </c>
      <c r="B6335" s="0" t="s">
        <v>98</v>
      </c>
      <c r="C6335" s="6" t="n">
        <f aca="false">(Sens!K6327-Sens!K6196)*(1-tax_f)*(1+g_tv)*(1-g_tv/(wacc+ronic_prem))/(wacc-g_tv)/(1+wacc)^(Sens!K6306+mid_yr)</f>
        <v>125.969814405214</v>
      </c>
    </row>
    <row r="6336" customFormat="false" ht="17.15" hidden="false" customHeight="false" outlineLevel="0" collapsed="false">
      <c r="A6336" s="1" t="s">
        <v>1071</v>
      </c>
      <c r="B6336" s="0" t="s">
        <v>98</v>
      </c>
      <c r="C6336" s="6" t="n">
        <f aca="false">(SUM(Sens!F6334:K6334)+Sens!$C$6335)*(1+wacc)^t_roll</f>
        <v>-152.606727367957</v>
      </c>
      <c r="L6336" s="11" t="s">
        <v>1072</v>
      </c>
    </row>
    <row r="6337" customFormat="false" ht="17.15" hidden="false" customHeight="false" outlineLevel="0" collapsed="false">
      <c r="A6337" s="1" t="s">
        <v>1073</v>
      </c>
      <c r="B6337" s="0" t="s">
        <v>98</v>
      </c>
      <c r="C6337" s="6" t="n">
        <f aca="false">(w_ntm28*Sens!G6185+(1-w_ntm28)*Sens!H6185)*m_ai</f>
        <v>338.776008390068</v>
      </c>
    </row>
    <row r="6338" customFormat="false" ht="17.15" hidden="false" customHeight="false" outlineLevel="0" collapsed="false">
      <c r="A6338" s="1" t="s">
        <v>1074</v>
      </c>
      <c r="B6338" s="0" t="s">
        <v>98</v>
      </c>
      <c r="C6338" s="6" t="n">
        <f aca="false">(w_ntm28*Sens!G6329+(1-w_ntm28)*Sens!H6329)*m_cloud</f>
        <v>1062.45266297615</v>
      </c>
    </row>
    <row r="6339" customFormat="false" ht="17.15" hidden="false" customHeight="false" outlineLevel="0" collapsed="false">
      <c r="A6339" s="1" t="s">
        <v>1075</v>
      </c>
      <c r="B6339" s="0" t="s">
        <v>98</v>
      </c>
      <c r="C6339" s="6" t="n">
        <f aca="false">(w_ntm28*Sens!G6322+(1-w_ntm28)*Sens!H6322)*m_sw</f>
        <v>1064.28356057052</v>
      </c>
    </row>
    <row r="6340" customFormat="false" ht="17.15" hidden="false" customHeight="false" outlineLevel="0" collapsed="false">
      <c r="A6340" s="1" t="s">
        <v>1076</v>
      </c>
      <c r="B6340" s="0" t="s">
        <v>98</v>
      </c>
      <c r="C6340" s="6" t="n">
        <f aca="false">(w_ntm28*Sens!G6323+(1-w_ntm28)*Sens!H6323)*m_sw</f>
        <v>379.600069343012</v>
      </c>
    </row>
    <row r="6341" customFormat="false" ht="17.15" hidden="false" customHeight="false" outlineLevel="0" collapsed="false">
      <c r="A6341" s="1" t="s">
        <v>1077</v>
      </c>
      <c r="B6341" s="0" t="s">
        <v>98</v>
      </c>
      <c r="C6341" s="6" t="n">
        <f aca="false">(w_ntm28*Sens!G6324+(1-w_ntm28)*Sens!H6324)*m_sw</f>
        <v>109.339697774772</v>
      </c>
    </row>
    <row r="6342" customFormat="false" ht="17.15" hidden="false" customHeight="false" outlineLevel="0" collapsed="false">
      <c r="A6342" s="1" t="s">
        <v>1078</v>
      </c>
      <c r="B6342" s="0" t="s">
        <v>98</v>
      </c>
      <c r="C6342" s="6" t="n">
        <f aca="false">(w_ntm28*Sens!G6325+(1-w_ntm28)*Sens!H6325)*m_sw</f>
        <v>41.7149148521404</v>
      </c>
    </row>
    <row r="6343" customFormat="false" ht="17.15" hidden="false" customHeight="false" outlineLevel="0" collapsed="false">
      <c r="A6343" s="1" t="s">
        <v>1079</v>
      </c>
      <c r="B6343" s="0" t="s">
        <v>98</v>
      </c>
      <c r="C6343" s="6" t="n">
        <f aca="false">(w_ntm28*Sens!G6326+(1-w_ntm28)*Sens!H6326)*m_ads</f>
        <v>115.259232104706</v>
      </c>
    </row>
    <row r="6344" customFormat="false" ht="17.15" hidden="false" customHeight="false" outlineLevel="0" collapsed="false">
      <c r="A6344" s="1" t="s">
        <v>1080</v>
      </c>
      <c r="B6344" s="0" t="s">
        <v>98</v>
      </c>
      <c r="C6344" s="6" t="n">
        <f aca="false">(w_ntm28*Sens!G6331+(1-w_ntm28)*Sens!H6331)*m_game</f>
        <v>97.8662977118428</v>
      </c>
    </row>
    <row r="6345" customFormat="false" ht="17.15" hidden="false" customHeight="false" outlineLevel="0" collapsed="false">
      <c r="A6345" s="1" t="s">
        <v>1081</v>
      </c>
      <c r="B6345" s="0" t="s">
        <v>98</v>
      </c>
      <c r="C6345" s="6" t="n">
        <f aca="false">(w_ntm28*Sens!G6332+(1-w_ntm28)*Sens!H6332)*m_pc</f>
        <v>97.0270402050418</v>
      </c>
    </row>
    <row r="6346" customFormat="false" ht="17.15" hidden="false" customHeight="false" outlineLevel="0" collapsed="false">
      <c r="A6346" s="1" t="s">
        <v>1082</v>
      </c>
      <c r="B6346" s="0" t="s">
        <v>98</v>
      </c>
      <c r="C6346" s="6" t="n">
        <f aca="false">Sens!$C$6336+Sens!$C$6338+Sens!$C$6339+Sens!$C$6340+Sens!$C$6341+Sens!$C$6342+Sens!$C$6343+Sens!$C$6344+Sens!$C$6345</f>
        <v>2814.93674817022</v>
      </c>
    </row>
    <row r="6347" customFormat="false" ht="17.15" hidden="false" customHeight="false" outlineLevel="0" collapsed="false">
      <c r="A6347" s="1" t="s">
        <v>1000</v>
      </c>
      <c r="B6347" s="0" t="s">
        <v>98</v>
      </c>
      <c r="C6347" s="6" t="n">
        <f aca="false">Sens!F6297+oai_v-Sens!F6286</f>
        <v>107.190896340854</v>
      </c>
      <c r="L6347" s="1" t="s">
        <v>1083</v>
      </c>
    </row>
    <row r="6348" customFormat="false" ht="15" hidden="false" customHeight="false" outlineLevel="0" collapsed="false">
      <c r="A6348" s="1" t="s">
        <v>1001</v>
      </c>
      <c r="B6348" s="0" t="s">
        <v>75</v>
      </c>
      <c r="C6348" s="5" t="n">
        <f aca="false">(Sens!$C$6346+Sens!$C$6347)/Sens!F6299</f>
        <v>391.077040218292</v>
      </c>
    </row>
    <row r="6349" customFormat="false" ht="17.15" hidden="false" customHeight="false" outlineLevel="0" collapsed="false">
      <c r="A6349" s="1" t="s">
        <v>1084</v>
      </c>
      <c r="B6349" s="0" t="s">
        <v>75</v>
      </c>
      <c r="C6349" s="5" t="n">
        <f aca="false">w_dcf*Sens!$C$6320+(1-w_dcf)*Sens!$C$6348</f>
        <v>344.701895559245</v>
      </c>
    </row>
    <row r="6350" customFormat="false" ht="17.15" hidden="false" customHeight="false" outlineLevel="0" collapsed="false">
      <c r="A6350" s="3" t="s">
        <v>1399</v>
      </c>
    </row>
    <row r="6351" customFormat="false" ht="15" hidden="false" customHeight="false" outlineLevel="0" collapsed="false">
      <c r="A6351" s="4" t="s">
        <v>43</v>
      </c>
      <c r="B6351" s="4" t="s">
        <v>65</v>
      </c>
      <c r="C6351" s="20" t="s">
        <v>788</v>
      </c>
      <c r="D6351" s="20" t="s">
        <v>789</v>
      </c>
      <c r="E6351" s="20" t="s">
        <v>790</v>
      </c>
      <c r="F6351" s="20" t="s">
        <v>791</v>
      </c>
      <c r="G6351" s="20" t="s">
        <v>792</v>
      </c>
      <c r="H6351" s="20" t="s">
        <v>793</v>
      </c>
      <c r="I6351" s="20" t="s">
        <v>794</v>
      </c>
      <c r="J6351" s="20" t="s">
        <v>795</v>
      </c>
      <c r="K6351" s="20" t="s">
        <v>796</v>
      </c>
      <c r="L6351" s="4" t="s">
        <v>47</v>
      </c>
    </row>
    <row r="6352" customFormat="false" ht="17.15" hidden="false" customHeight="false" outlineLevel="0" collapsed="false">
      <c r="A6352" s="1" t="s">
        <v>797</v>
      </c>
      <c r="B6352" s="1" t="s">
        <v>235</v>
      </c>
      <c r="C6352" s="28" t="n">
        <v>2024</v>
      </c>
      <c r="D6352" s="28" t="n">
        <v>2025</v>
      </c>
      <c r="E6352" s="28" t="n">
        <v>2026</v>
      </c>
      <c r="F6352" s="28" t="n">
        <v>2027</v>
      </c>
      <c r="G6352" s="28" t="n">
        <v>2028</v>
      </c>
      <c r="H6352" s="28" t="n">
        <v>2029</v>
      </c>
      <c r="I6352" s="28" t="n">
        <v>2030</v>
      </c>
      <c r="J6352" s="28" t="n">
        <v>2031</v>
      </c>
      <c r="K6352" s="28" t="n">
        <v>2032</v>
      </c>
    </row>
    <row r="6353" customFormat="false" ht="17.15" hidden="false" customHeight="false" outlineLevel="0" collapsed="false">
      <c r="A6353" s="1" t="s">
        <v>798</v>
      </c>
      <c r="B6353" s="0" t="s">
        <v>392</v>
      </c>
      <c r="F6353" s="29" t="n">
        <f aca="false">pace</f>
        <v>2527.2</v>
      </c>
      <c r="G6353" s="29" t="n">
        <f aca="false">pace</f>
        <v>2527.2</v>
      </c>
      <c r="H6353" s="29" t="n">
        <f aca="false">pace</f>
        <v>2527.2</v>
      </c>
      <c r="I6353" s="29" t="n">
        <f aca="false">pace+(g_tv*Sens!H6354-pace)*MIN(1,(Sens!I6352-pace_y0)/(pace_y1-pace_y0))</f>
        <v>1793.116</v>
      </c>
      <c r="J6353" s="29" t="n">
        <f aca="false">pace+(g_tv*Sens!H6354-pace)*MIN(1,(Sens!J6352-pace_y0)/(pace_y1-pace_y0))</f>
        <v>1059.032</v>
      </c>
      <c r="K6353" s="29" t="n">
        <f aca="false">pace+(g_tv*Sens!H6354-pace)*MIN(1,(Sens!K6352-pace_y0)/(pace_y1-pace_y0))</f>
        <v>324.948</v>
      </c>
      <c r="L6353" s="11" t="s">
        <v>799</v>
      </c>
    </row>
    <row r="6354" customFormat="false" ht="17.15" hidden="false" customHeight="false" outlineLevel="0" collapsed="false">
      <c r="A6354" s="1" t="s">
        <v>800</v>
      </c>
      <c r="B6354" s="0" t="s">
        <v>392</v>
      </c>
      <c r="C6354" s="29" t="n">
        <f aca="false">mw_ext_24</f>
        <v>640</v>
      </c>
      <c r="D6354" s="29" t="n">
        <f aca="false">mw_ext_25</f>
        <v>1630</v>
      </c>
      <c r="E6354" s="29" t="n">
        <f aca="false">mw_ext_26</f>
        <v>3250</v>
      </c>
      <c r="F6354" s="29" t="n">
        <f aca="false">Sens!E6354+Sens!F6353</f>
        <v>5777.2</v>
      </c>
      <c r="G6354" s="29" t="n">
        <f aca="false">Sens!F6354+Sens!G6353</f>
        <v>8304.4</v>
      </c>
      <c r="H6354" s="29" t="n">
        <f aca="false">Sens!G6354+Sens!H6353</f>
        <v>10831.6</v>
      </c>
      <c r="I6354" s="29" t="n">
        <f aca="false">Sens!H6354+Sens!I6353</f>
        <v>12624.716</v>
      </c>
      <c r="J6354" s="29" t="n">
        <f aca="false">Sens!I6354+Sens!J6353</f>
        <v>13683.748</v>
      </c>
      <c r="K6354" s="29" t="n">
        <f aca="false">Sens!J6354+Sens!K6353</f>
        <v>14008.696</v>
      </c>
      <c r="L6354" s="1" t="s">
        <v>801</v>
      </c>
    </row>
    <row r="6355" customFormat="false" ht="17.15" hidden="false" customHeight="false" outlineLevel="0" collapsed="false">
      <c r="A6355" s="1" t="s">
        <v>802</v>
      </c>
      <c r="B6355" s="0" t="s">
        <v>392</v>
      </c>
      <c r="C6355" s="29" t="n">
        <f aca="false">rent_ext_24</f>
        <v>150</v>
      </c>
      <c r="D6355" s="29" t="n">
        <f aca="false">rent_ext_25</f>
        <v>400</v>
      </c>
      <c r="E6355" s="29" t="n">
        <f aca="false">rent_ext_26</f>
        <v>550</v>
      </c>
      <c r="F6355" s="29" t="n">
        <f aca="false">rent_ext_f</f>
        <v>756</v>
      </c>
      <c r="G6355" s="29" t="n">
        <f aca="false">rent_ext_f</f>
        <v>756</v>
      </c>
      <c r="H6355" s="29" t="n">
        <f aca="false">rent_ext_f</f>
        <v>756</v>
      </c>
      <c r="I6355" s="29" t="n">
        <f aca="false">rent_ext_f</f>
        <v>756</v>
      </c>
      <c r="J6355" s="29" t="n">
        <f aca="false">rent_ext_f</f>
        <v>756</v>
      </c>
      <c r="K6355" s="29" t="n">
        <f aca="false">rent_ext_f</f>
        <v>756</v>
      </c>
      <c r="L6355" s="1" t="s">
        <v>803</v>
      </c>
    </row>
    <row r="6356" customFormat="false" ht="17.15" hidden="false" customHeight="false" outlineLevel="0" collapsed="false">
      <c r="A6356" s="1" t="s">
        <v>804</v>
      </c>
      <c r="B6356" s="0" t="s">
        <v>392</v>
      </c>
      <c r="C6356" s="29" t="n">
        <f aca="false">Sens!C6354-Sens!C6355</f>
        <v>490</v>
      </c>
      <c r="D6356" s="29" t="n">
        <f aca="false">Sens!D6354-Sens!D6355</f>
        <v>1230</v>
      </c>
      <c r="E6356" s="29" t="n">
        <f aca="false">Sens!E6354-Sens!E6355</f>
        <v>2700</v>
      </c>
      <c r="F6356" s="29" t="n">
        <f aca="false">Sens!F6354-Sens!F6355</f>
        <v>5021.2</v>
      </c>
      <c r="G6356" s="29" t="n">
        <f aca="false">Sens!G6354-Sens!G6355</f>
        <v>7548.4</v>
      </c>
      <c r="H6356" s="29" t="n">
        <f aca="false">Sens!H6354-Sens!H6355</f>
        <v>10075.6</v>
      </c>
      <c r="I6356" s="29" t="n">
        <f aca="false">Sens!I6354-Sens!I6355</f>
        <v>11868.716</v>
      </c>
      <c r="J6356" s="29" t="n">
        <f aca="false">Sens!J6354-Sens!J6355</f>
        <v>12927.748</v>
      </c>
      <c r="K6356" s="29" t="n">
        <f aca="false">Sens!K6354-Sens!K6355</f>
        <v>13252.696</v>
      </c>
    </row>
    <row r="6357" customFormat="false" ht="17.15" hidden="false" customHeight="false" outlineLevel="0" collapsed="false">
      <c r="A6357" s="1" t="s">
        <v>805</v>
      </c>
      <c r="B6357" s="0" t="s">
        <v>392</v>
      </c>
      <c r="C6357" s="29" t="n">
        <f aca="false">Sens!C6356/ext_sh</f>
        <v>816.666666666667</v>
      </c>
      <c r="D6357" s="29" t="n">
        <f aca="false">Sens!D6356/ext_sh</f>
        <v>2050</v>
      </c>
      <c r="E6357" s="29" t="n">
        <f aca="false">Sens!E6356/ext_sh</f>
        <v>4500</v>
      </c>
      <c r="F6357" s="29" t="n">
        <f aca="false">Sens!F6356/ext_sh</f>
        <v>8368.66666666667</v>
      </c>
      <c r="G6357" s="29" t="n">
        <f aca="false">Sens!G6356/ext_sh</f>
        <v>12580.6666666667</v>
      </c>
      <c r="H6357" s="29" t="n">
        <f aca="false">Sens!H6356/ext_sh</f>
        <v>16792.6666666667</v>
      </c>
      <c r="I6357" s="29" t="n">
        <f aca="false">Sens!I6356/ext_sh</f>
        <v>19781.1933333333</v>
      </c>
      <c r="J6357" s="29" t="n">
        <f aca="false">Sens!J6356/ext_sh</f>
        <v>21546.2466666667</v>
      </c>
      <c r="K6357" s="29" t="n">
        <f aca="false">Sens!K6356/ext_sh</f>
        <v>22087.8266666667</v>
      </c>
      <c r="L6357" s="1" t="s">
        <v>806</v>
      </c>
    </row>
    <row r="6358" customFormat="false" ht="17.15" hidden="false" customHeight="false" outlineLevel="0" collapsed="false">
      <c r="A6358" s="1" t="s">
        <v>807</v>
      </c>
      <c r="B6358" s="0" t="s">
        <v>392</v>
      </c>
      <c r="C6358" s="29" t="n">
        <f aca="false">Sens!C6357-Sens!C6356</f>
        <v>326.666666666667</v>
      </c>
      <c r="D6358" s="29" t="n">
        <f aca="false">Sens!D6357-Sens!D6356</f>
        <v>820</v>
      </c>
      <c r="E6358" s="29" t="n">
        <f aca="false">Sens!E6357-Sens!E6356</f>
        <v>1800</v>
      </c>
      <c r="F6358" s="29" t="n">
        <f aca="false">Sens!F6357-Sens!F6356</f>
        <v>3347.46666666667</v>
      </c>
      <c r="G6358" s="29" t="n">
        <f aca="false">Sens!G6357-Sens!G6356</f>
        <v>5032.26666666667</v>
      </c>
      <c r="H6358" s="29" t="n">
        <f aca="false">Sens!H6357-Sens!H6356</f>
        <v>6717.06666666667</v>
      </c>
      <c r="I6358" s="29" t="n">
        <f aca="false">Sens!I6357-Sens!I6356</f>
        <v>7912.47733333333</v>
      </c>
      <c r="J6358" s="29" t="n">
        <f aca="false">Sens!J6357-Sens!J6356</f>
        <v>8618.49866666667</v>
      </c>
      <c r="K6358" s="29" t="n">
        <f aca="false">Sens!K6357-Sens!K6356</f>
        <v>8835.13066666667</v>
      </c>
    </row>
    <row r="6359" customFormat="false" ht="17.15" hidden="false" customHeight="false" outlineLevel="0" collapsed="false">
      <c r="A6359" s="1" t="s">
        <v>808</v>
      </c>
      <c r="B6359" s="0" t="s">
        <v>392</v>
      </c>
      <c r="C6359" s="29" t="n">
        <f aca="false">Sens!C6357</f>
        <v>816.666666666667</v>
      </c>
      <c r="D6359" s="29" t="n">
        <f aca="false">Sens!D6357-Sens!C6357</f>
        <v>1233.33333333333</v>
      </c>
      <c r="E6359" s="29" t="n">
        <f aca="false">Sens!E6357-Sens!D6357</f>
        <v>2450</v>
      </c>
      <c r="F6359" s="29" t="n">
        <f aca="false">Sens!F6357-Sens!E6357</f>
        <v>3868.66666666667</v>
      </c>
      <c r="G6359" s="29" t="n">
        <f aca="false">Sens!G6357-Sens!F6357</f>
        <v>4212</v>
      </c>
      <c r="H6359" s="29" t="n">
        <f aca="false">Sens!H6357-Sens!G6357</f>
        <v>4212</v>
      </c>
      <c r="I6359" s="29" t="n">
        <f aca="false">Sens!I6357-Sens!H6357</f>
        <v>2988.52666666667</v>
      </c>
      <c r="J6359" s="29" t="n">
        <f aca="false">Sens!J6357-Sens!I6357</f>
        <v>1765.05333333333</v>
      </c>
      <c r="K6359" s="29" t="n">
        <f aca="false">Sens!K6357-Sens!J6357</f>
        <v>541.580000000002</v>
      </c>
    </row>
    <row r="6360" customFormat="false" ht="17.15" hidden="false" customHeight="false" outlineLevel="0" collapsed="false">
      <c r="A6360" s="1" t="s">
        <v>809</v>
      </c>
      <c r="B6360" s="0" t="s">
        <v>392</v>
      </c>
      <c r="D6360" s="29" t="n">
        <f aca="false">Sens!D6354-Sens!C6354</f>
        <v>990</v>
      </c>
      <c r="E6360" s="29" t="n">
        <f aca="false">Sens!E6354-Sens!D6354</f>
        <v>1620</v>
      </c>
      <c r="F6360" s="29" t="n">
        <f aca="false">Sens!F6354-Sens!E6354</f>
        <v>2527.2</v>
      </c>
      <c r="G6360" s="29" t="n">
        <f aca="false">Sens!G6354-Sens!F6354</f>
        <v>2527.2</v>
      </c>
      <c r="H6360" s="29" t="n">
        <f aca="false">Sens!H6354-Sens!G6354</f>
        <v>2527.2</v>
      </c>
      <c r="I6360" s="29" t="n">
        <f aca="false">Sens!I6354-Sens!H6354</f>
        <v>1793.116</v>
      </c>
      <c r="J6360" s="29" t="n">
        <f aca="false">Sens!J6354-Sens!I6354</f>
        <v>1059.032</v>
      </c>
      <c r="K6360" s="29" t="n">
        <f aca="false">Sens!K6354-Sens!J6354</f>
        <v>324.948</v>
      </c>
    </row>
    <row r="6361" customFormat="false" ht="17.15" hidden="false" customHeight="false" outlineLevel="0" collapsed="false">
      <c r="A6361" s="1" t="s">
        <v>810</v>
      </c>
      <c r="B6361" s="0" t="s">
        <v>392</v>
      </c>
      <c r="F6361" s="29" t="n">
        <f aca="false">Sens!F6378*ext_sh</f>
        <v>0</v>
      </c>
      <c r="G6361" s="29" t="n">
        <f aca="false">Sens!G6378*ext_sh</f>
        <v>0</v>
      </c>
      <c r="H6361" s="29" t="n">
        <f aca="false">Sens!H6378*ext_sh</f>
        <v>0</v>
      </c>
      <c r="I6361" s="29" t="n">
        <f aca="false">Sens!I6378*ext_sh</f>
        <v>490</v>
      </c>
      <c r="J6361" s="29" t="n">
        <f aca="false">Sens!J6378*ext_sh</f>
        <v>740</v>
      </c>
      <c r="K6361" s="29" t="n">
        <f aca="false">Sens!K6378*ext_sh</f>
        <v>1470</v>
      </c>
      <c r="L6361" s="1" t="s">
        <v>811</v>
      </c>
    </row>
    <row r="6362" customFormat="false" ht="17.15" hidden="false" customHeight="false" outlineLevel="0" collapsed="false">
      <c r="A6362" s="1" t="s">
        <v>812</v>
      </c>
      <c r="B6362" s="0" t="s">
        <v>392</v>
      </c>
      <c r="C6362" s="29" t="n">
        <f aca="false">mix_h*Sens!C6354</f>
        <v>128</v>
      </c>
      <c r="D6362" s="29" t="n">
        <f aca="false">mix_h*Sens!D6354</f>
        <v>326</v>
      </c>
      <c r="E6362" s="29" t="n">
        <f aca="false">mix_h*Sens!E6354</f>
        <v>650</v>
      </c>
      <c r="F6362" s="29" t="n">
        <f aca="false">Sens!E6362-Sens!F6361*mix_h</f>
        <v>650</v>
      </c>
      <c r="G6362" s="29" t="n">
        <f aca="false">Sens!F6362-Sens!G6361*mix_h</f>
        <v>650</v>
      </c>
      <c r="H6362" s="29" t="n">
        <f aca="false">Sens!G6362-Sens!H6361*mix_h</f>
        <v>650</v>
      </c>
      <c r="I6362" s="29" t="n">
        <f aca="false">Sens!H6362-Sens!I6361*mix_h</f>
        <v>552</v>
      </c>
      <c r="J6362" s="29" t="n">
        <f aca="false">Sens!I6362-Sens!J6361*mix_h</f>
        <v>404</v>
      </c>
      <c r="K6362" s="29" t="n">
        <f aca="false">Sens!J6362-Sens!K6361*mix_h</f>
        <v>110</v>
      </c>
    </row>
    <row r="6363" customFormat="false" ht="17.15" hidden="false" customHeight="false" outlineLevel="0" collapsed="false">
      <c r="A6363" s="1" t="s">
        <v>813</v>
      </c>
      <c r="B6363" s="0" t="s">
        <v>392</v>
      </c>
      <c r="C6363" s="29" t="n">
        <f aca="false">mix_g2*Sens!C6354</f>
        <v>288</v>
      </c>
      <c r="D6363" s="29" t="n">
        <f aca="false">mix_g2*Sens!D6354</f>
        <v>733.5</v>
      </c>
      <c r="E6363" s="29" t="n">
        <f aca="false">mix_g2*Sens!E6354</f>
        <v>1462.5</v>
      </c>
      <c r="F6363" s="29" t="n">
        <f aca="false">Sens!E6363-Sens!F6361*mix_g2</f>
        <v>1462.5</v>
      </c>
      <c r="G6363" s="29" t="n">
        <f aca="false">Sens!F6363-Sens!G6361*mix_g2</f>
        <v>1462.5</v>
      </c>
      <c r="H6363" s="29" t="n">
        <f aca="false">Sens!G6363-Sens!H6361*mix_g2</f>
        <v>1462.5</v>
      </c>
      <c r="I6363" s="29" t="n">
        <f aca="false">Sens!H6363-Sens!I6361*mix_g2</f>
        <v>1242</v>
      </c>
      <c r="J6363" s="29" t="n">
        <f aca="false">Sens!I6363-Sens!J6361*mix_g2</f>
        <v>909</v>
      </c>
      <c r="K6363" s="29" t="n">
        <f aca="false">Sens!J6363-Sens!K6361*mix_g2</f>
        <v>247.5</v>
      </c>
    </row>
    <row r="6364" customFormat="false" ht="17.15" hidden="false" customHeight="false" outlineLevel="0" collapsed="false">
      <c r="A6364" s="1" t="s">
        <v>814</v>
      </c>
      <c r="B6364" s="0" t="s">
        <v>392</v>
      </c>
      <c r="C6364" s="29" t="n">
        <f aca="false">mix_g3*Sens!C6354</f>
        <v>224</v>
      </c>
      <c r="D6364" s="29" t="n">
        <f aca="false">mix_g3*Sens!D6354</f>
        <v>570.5</v>
      </c>
      <c r="E6364" s="29" t="n">
        <f aca="false">mix_g3*Sens!E6354</f>
        <v>1137.5</v>
      </c>
      <c r="F6364" s="29" t="n">
        <f aca="false">Sens!E6364+(Sens!F6360+Sens!F6361)*a_g3_27-Sens!F6361*mix_g3</f>
        <v>2906.54</v>
      </c>
      <c r="G6364" s="29" t="n">
        <f aca="false">Sens!F6364+(Sens!G6360+Sens!G6361)*a_g3_28-Sens!G6361*mix_g3</f>
        <v>3664.7</v>
      </c>
      <c r="H6364" s="29" t="n">
        <f aca="false">Sens!G6364+(Sens!H6360+Sens!H6361)*a_g3_29-Sens!H6361*mix_g3</f>
        <v>3917.42</v>
      </c>
      <c r="I6364" s="29" t="n">
        <f aca="false">Sens!H6364+(Sens!I6360+Sens!I6361)*a_g3_29-Sens!I6361*mix_g3</f>
        <v>3974.2316</v>
      </c>
      <c r="J6364" s="29" t="n">
        <f aca="false">Sens!I6364+(Sens!J6360+Sens!J6361)*a_g3_29-Sens!J6361*mix_g3</f>
        <v>3895.1348</v>
      </c>
      <c r="K6364" s="29" t="n">
        <f aca="false">Sens!J6364+(Sens!K6360+Sens!K6361)*a_g3_29-Sens!K6361*mix_g3</f>
        <v>3560.1296</v>
      </c>
    </row>
    <row r="6365" customFormat="false" ht="17.15" hidden="false" customHeight="false" outlineLevel="0" collapsed="false">
      <c r="A6365" s="1" t="s">
        <v>815</v>
      </c>
      <c r="B6365" s="0" t="s">
        <v>392</v>
      </c>
      <c r="C6365" s="29" t="n">
        <v>0</v>
      </c>
      <c r="D6365" s="29" t="n">
        <v>0</v>
      </c>
      <c r="E6365" s="29" t="n">
        <v>0</v>
      </c>
      <c r="F6365" s="29" t="n">
        <f aca="false">Sens!E6365+(Sens!F6360+Sens!F6361)*(1-a_g3_27)</f>
        <v>758.16</v>
      </c>
      <c r="G6365" s="29" t="n">
        <f aca="false">Sens!F6365+(Sens!G6360+Sens!G6361)*(1-a_g3_28)</f>
        <v>2527.2</v>
      </c>
      <c r="H6365" s="29" t="n">
        <f aca="false">Sens!G6365+(Sens!H6360+Sens!H6361)*(1-a_g3_29)</f>
        <v>4801.68</v>
      </c>
      <c r="I6365" s="29" t="n">
        <f aca="false">Sens!H6365+(Sens!I6360+Sens!I6361)*(1-a_g3_29)</f>
        <v>6856.4844</v>
      </c>
      <c r="J6365" s="29" t="n">
        <f aca="false">Sens!I6365+(Sens!J6360+Sens!J6361)*(1-a_g3_29)</f>
        <v>8475.6132</v>
      </c>
      <c r="K6365" s="29" t="n">
        <f aca="false">Sens!J6365+(Sens!K6360+Sens!K6361)*(1-a_g3_29)</f>
        <v>10091.0664</v>
      </c>
    </row>
    <row r="6366" customFormat="false" ht="17.15" hidden="false" customHeight="false" outlineLevel="0" collapsed="false">
      <c r="A6366" s="1" t="s">
        <v>816</v>
      </c>
      <c r="B6366" s="0" t="s">
        <v>339</v>
      </c>
      <c r="C6366" s="14" t="n">
        <f aca="false">(Sens!C6362*tk_hold_h100+Sens!C6363*tk_hold_gb200+Sens!C6364*tk_hold_gb300+Sens!C6365*tk_hold_vr200)/Sens!C6354</f>
        <v>9.7235358126469</v>
      </c>
      <c r="D6366" s="14" t="n">
        <f aca="false">(Sens!D6362*tk_hold_h100+Sens!D6363*tk_hold_gb200+Sens!D6364*tk_hold_gb300+Sens!D6365*tk_hold_vr200)/Sens!D6354</f>
        <v>9.7235358126469</v>
      </c>
      <c r="E6366" s="14" t="n">
        <f aca="false">(Sens!E6362*tk_hold_h100+Sens!E6363*tk_hold_gb200+Sens!E6364*tk_hold_gb300+Sens!E6365*tk_hold_vr200)/Sens!E6354</f>
        <v>9.7235358126469</v>
      </c>
      <c r="F6366" s="14" t="n">
        <f aca="false">(Sens!F6362*tk_hold_h100+Sens!F6363*tk_hold_gb200+Sens!F6364*tk_hold_gb300+Sens!F6365*tk_hold_vr200)/Sens!F6354</f>
        <v>10.4079573161931</v>
      </c>
      <c r="G6366" s="14" t="n">
        <f aca="false">(Sens!G6362*tk_hold_h100+Sens!G6363*tk_hold_gb200+Sens!G6364*tk_hold_gb300+Sens!G6365*tk_hold_vr200)/Sens!G6354</f>
        <v>10.8388131109316</v>
      </c>
      <c r="H6366" s="14" t="n">
        <f aca="false">(Sens!H6362*tk_hold_h100+Sens!H6363*tk_hold_gb200+Sens!H6364*tk_hold_gb300+Sens!H6365*tk_hold_vr200)/Sens!H6354</f>
        <v>11.1311018388216</v>
      </c>
      <c r="I6366" s="14" t="n">
        <f aca="false">(Sens!I6362*tk_hold_h100+Sens!I6363*tk_hold_gb200+Sens!I6364*tk_hold_gb300+Sens!I6365*tk_hold_vr200)/Sens!I6354</f>
        <v>11.3594282560989</v>
      </c>
      <c r="J6366" s="14" t="n">
        <f aca="false">(Sens!J6362*tk_hold_h100+Sens!J6363*tk_hold_gb200+Sens!J6364*tk_hold_gb300+Sens!J6365*tk_hold_vr200)/Sens!J6354</f>
        <v>11.5441508808221</v>
      </c>
      <c r="K6366" s="14" t="n">
        <f aca="false">(Sens!K6362*tk_hold_h100+Sens!K6363*tk_hold_gb200+Sens!K6364*tk_hold_gb300+Sens!K6365*tk_hold_vr200)/Sens!K6354</f>
        <v>11.8053375063575</v>
      </c>
    </row>
    <row r="6367" customFormat="false" ht="17.15" hidden="false" customHeight="false" outlineLevel="0" collapsed="false">
      <c r="A6367" s="0" t="s">
        <v>817</v>
      </c>
      <c r="B6367" s="0" t="s">
        <v>185</v>
      </c>
      <c r="C6367" s="14" t="n">
        <f aca="false">k_B</f>
        <v>1.17213932619116</v>
      </c>
      <c r="D6367" s="14" t="n">
        <f aca="false">k_B</f>
        <v>1.17213932619116</v>
      </c>
      <c r="E6367" s="14" t="n">
        <f aca="false">k_B</f>
        <v>1.17213932619116</v>
      </c>
      <c r="F6367" s="14" t="n">
        <f aca="false">(k_B+((ls_A*k_long+(1-ls_A)*k_spot)-k_B)*MIN(1,(Sens!F6352-base_fy)/k_ramp))</f>
        <v>1.25022828131298</v>
      </c>
      <c r="G6367" s="14" t="n">
        <f aca="false">(k_B+((ls_A*k_long+(1-ls_A)*k_spot)-k_B)*MIN(1,(Sens!G6352-base_fy)/k_ramp))</f>
        <v>1.3283172364348</v>
      </c>
      <c r="H6367" s="14" t="n">
        <f aca="false">(k_B+((ls_A*k_long+(1-ls_A)*k_spot)-k_B)*MIN(1,(Sens!H6352-base_fy)/k_ramp))</f>
        <v>1.40640619155662</v>
      </c>
      <c r="I6367" s="14" t="n">
        <f aca="false">(k_B+((ls_A*k_long+(1-ls_A)*k_spot)-k_B)*MIN(1,(Sens!I6352-base_fy)/k_ramp))</f>
        <v>1.40640619155662</v>
      </c>
      <c r="J6367" s="14" t="n">
        <f aca="false">(k_B+((ls_A*k_long+(1-ls_A)*k_spot)-k_B)*MIN(1,(Sens!J6352-base_fy)/k_ramp))</f>
        <v>1.40640619155662</v>
      </c>
      <c r="K6367" s="14" t="n">
        <f aca="false">(k_B+((ls_A*k_long+(1-ls_A)*k_spot)-k_B)*MIN(1,(Sens!K6352-base_fy)/k_ramp))</f>
        <v>1.40640619155662</v>
      </c>
      <c r="L6367" s="1" t="s">
        <v>818</v>
      </c>
    </row>
    <row r="6368" customFormat="false" ht="17.15" hidden="false" customHeight="false" outlineLevel="0" collapsed="false">
      <c r="A6368" s="1" t="s">
        <v>819</v>
      </c>
      <c r="B6368" s="0" t="s">
        <v>339</v>
      </c>
      <c r="C6368" s="14" t="n">
        <f aca="false">Sens!C6366*Sens!C6367*chip_f</f>
        <v>11.3973387156315</v>
      </c>
      <c r="D6368" s="14" t="n">
        <f aca="false">Sens!D6366*Sens!D6367*chip_f</f>
        <v>11.3973387156315</v>
      </c>
      <c r="E6368" s="14" t="n">
        <f aca="false">Sens!E6366*Sens!E6367*chip_f</f>
        <v>11.3973387156315</v>
      </c>
      <c r="F6368" s="14" t="n">
        <f aca="false">Sens!F6366*Sens!F6367*chip_f</f>
        <v>13.0123225874029</v>
      </c>
      <c r="G6368" s="14" t="n">
        <f aca="false">Sens!G6366*Sens!G6367*chip_f</f>
        <v>14.3973822777458</v>
      </c>
      <c r="H6368" s="14" t="n">
        <f aca="false">Sens!H6366*Sens!H6367*chip_f</f>
        <v>15.6548505449659</v>
      </c>
      <c r="I6368" s="14" t="n">
        <f aca="false">Sens!I6366*Sens!I6367*chip_f</f>
        <v>15.9759702319207</v>
      </c>
      <c r="J6368" s="14" t="n">
        <f aca="false">Sens!J6366*Sens!J6367*chip_f</f>
        <v>16.2357652750519</v>
      </c>
      <c r="K6368" s="14" t="n">
        <f aca="false">Sens!K6366*Sens!K6367*chip_f</f>
        <v>16.6030997623568</v>
      </c>
      <c r="L6368" s="1" t="s">
        <v>820</v>
      </c>
    </row>
    <row r="6369" customFormat="false" ht="17.15" hidden="false" customHeight="false" outlineLevel="0" collapsed="false">
      <c r="A6369" s="0" t="s">
        <v>821</v>
      </c>
      <c r="B6369" s="0" t="s">
        <v>98</v>
      </c>
      <c r="D6369" s="6" t="n">
        <f aca="false">(Sens!C6354+Sens!D6354)/2*Sens!D6368/1000</f>
        <v>12.9359794422418</v>
      </c>
      <c r="E6369" s="6" t="n">
        <f aca="false">(Sens!D6354+Sens!E6354)/2*Sens!E6368/1000</f>
        <v>27.8095064661409</v>
      </c>
      <c r="F6369" s="6" t="n">
        <f aca="false">(Sens!E6354+Sens!F6354)/2*Sens!F6368/1000</f>
        <v>58.7324192305018</v>
      </c>
      <c r="G6369" s="6" t="n">
        <f aca="false">(Sens!F6354+Sens!G6354)/2*Sens!G6368/1000</f>
        <v>101.369089141153</v>
      </c>
      <c r="H6369" s="6" t="n">
        <f aca="false">(Sens!G6354+Sens!H6354)/2*Sens!H6368/1000</f>
        <v>149.785610014234</v>
      </c>
      <c r="I6369" s="6" t="n">
        <f aca="false">(Sens!H6354+Sens!I6354)/2*Sens!I6368/1000</f>
        <v>187.368703083263</v>
      </c>
      <c r="J6369" s="6" t="n">
        <f aca="false">(Sens!I6354+Sens!J6354)/2*Sens!J6368/1000</f>
        <v>213.569023125577</v>
      </c>
      <c r="K6369" s="6" t="n">
        <f aca="false">(Sens!J6354+Sens!K6354)/2*Sens!K6368/1000</f>
        <v>229.890205197739</v>
      </c>
      <c r="L6369" s="11" t="s">
        <v>822</v>
      </c>
    </row>
    <row r="6370" customFormat="false" ht="17.15" hidden="false" customHeight="false" outlineLevel="0" collapsed="false">
      <c r="A6370" s="1" t="s">
        <v>823</v>
      </c>
      <c r="B6370" s="0" t="s">
        <v>339</v>
      </c>
      <c r="C6370" s="14" t="n">
        <f aca="false">(Sens!C6362*tk_opex_h100+Sens!C6363*tk_opex_gb200+Sens!C6364*tk_opex_gb300+Sens!C6365*tk_opex_vr200)/Sens!C6354</f>
        <v>1.88636041306092</v>
      </c>
      <c r="D6370" s="14" t="n">
        <f aca="false">(Sens!D6362*tk_opex_h100+Sens!D6363*tk_opex_gb200+Sens!D6364*tk_opex_gb300+Sens!D6365*tk_opex_vr200)/Sens!D6354</f>
        <v>1.88636041306092</v>
      </c>
      <c r="E6370" s="14" t="n">
        <f aca="false">(Sens!E6362*tk_opex_h100+Sens!E6363*tk_opex_gb200+Sens!E6364*tk_opex_gb300+Sens!E6365*tk_opex_vr200)/Sens!E6354</f>
        <v>1.88636041306092</v>
      </c>
      <c r="F6370" s="14" t="n">
        <f aca="false">(Sens!F6362*tk_opex_h100+Sens!F6363*tk_opex_gb200+Sens!F6364*tk_opex_gb300+Sens!F6365*tk_opex_vr200)/Sens!F6354</f>
        <v>1.9430236476499</v>
      </c>
      <c r="G6370" s="14" t="n">
        <f aca="false">(Sens!G6362*tk_opex_h100+Sens!G6363*tk_opex_gb200+Sens!G6364*tk_opex_gb300+Sens!G6365*tk_opex_vr200)/Sens!G6354</f>
        <v>1.9786941852423</v>
      </c>
      <c r="H6370" s="14" t="n">
        <f aca="false">(Sens!H6362*tk_opex_h100+Sens!H6363*tk_opex_gb200+Sens!H6364*tk_opex_gb300+Sens!H6365*tk_opex_vr200)/Sens!H6354</f>
        <v>2.00289275976156</v>
      </c>
      <c r="I6370" s="14" t="n">
        <f aca="false">(Sens!I6362*tk_opex_h100+Sens!I6363*tk_opex_gb200+Sens!I6364*tk_opex_gb300+Sens!I6365*tk_opex_vr200)/Sens!I6354</f>
        <v>2.02179589661219</v>
      </c>
      <c r="J6370" s="14" t="n">
        <f aca="false">(Sens!J6362*tk_opex_h100+Sens!J6363*tk_opex_gb200+Sens!J6364*tk_opex_gb300+Sens!J6365*tk_opex_vr200)/Sens!J6354</f>
        <v>2.03708907685909</v>
      </c>
      <c r="K6370" s="14" t="n">
        <f aca="false">(Sens!K6362*tk_opex_h100+Sens!K6363*tk_opex_gb200+Sens!K6364*tk_opex_gb300+Sens!K6365*tk_opex_vr200)/Sens!K6354</f>
        <v>2.05871270931005</v>
      </c>
    </row>
    <row r="6371" customFormat="false" ht="17.15" hidden="false" customHeight="false" outlineLevel="0" collapsed="false">
      <c r="A6371" s="0" t="s">
        <v>824</v>
      </c>
      <c r="B6371" s="0" t="s">
        <v>98</v>
      </c>
      <c r="D6371" s="6" t="n">
        <f aca="false">(Sens!C6357+Sens!D6357)/2*Sens!D6370/1000</f>
        <v>2.70378325872065</v>
      </c>
      <c r="E6371" s="6" t="n">
        <f aca="false">(Sens!D6357+Sens!E6357)/2*Sens!E6370/1000</f>
        <v>6.17783035277451</v>
      </c>
      <c r="F6371" s="6" t="n">
        <f aca="false">(Sens!E6357+Sens!F6357)/2*Sens!F6370/1000</f>
        <v>12.5020618235287</v>
      </c>
      <c r="G6371" s="6" t="n">
        <f aca="false">(Sens!F6357+Sens!G6357)/2*Sens!G6370/1000</f>
        <v>20.7261620256847</v>
      </c>
      <c r="H6371" s="6" t="n">
        <f aca="false">(Sens!G6357+Sens!H6357)/2*Sens!H6370/1000</f>
        <v>29.4158183316982</v>
      </c>
      <c r="I6371" s="6" t="n">
        <f aca="false">(Sens!H6357+Sens!I6357)/2*Sens!I6370/1000</f>
        <v>36.9724400356344</v>
      </c>
      <c r="J6371" s="6" t="n">
        <f aca="false">(Sens!I6357+Sens!J6357)/2*Sens!J6370/1000</f>
        <v>42.0938382992747</v>
      </c>
      <c r="K6371" s="6" t="n">
        <f aca="false">(Sens!J6357+Sens!K6357)/2*Sens!K6370/1000</f>
        <v>44.9150106651501</v>
      </c>
    </row>
    <row r="6372" customFormat="false" ht="17.15" hidden="false" customHeight="false" outlineLevel="0" collapsed="false">
      <c r="A6372" s="0" t="s">
        <v>825</v>
      </c>
      <c r="B6372" s="0" t="s">
        <v>98</v>
      </c>
      <c r="D6372" s="6" t="n">
        <f aca="false">(Sens!C6355+Sens!D6355)/2*rent_mw/1000</f>
        <v>2.44475</v>
      </c>
      <c r="E6372" s="6" t="n">
        <f aca="false">(Sens!D6355+Sens!E6355)/2*rent_mw/1000</f>
        <v>4.22275</v>
      </c>
      <c r="F6372" s="6" t="n">
        <f aca="false">(Sens!E6355+Sens!F6355)/2*rent_mw/1000</f>
        <v>5.80517</v>
      </c>
      <c r="G6372" s="6" t="n">
        <f aca="false">(Sens!F6355+Sens!G6355)/2*rent_mw/1000</f>
        <v>6.72084</v>
      </c>
      <c r="H6372" s="6" t="n">
        <f aca="false">(Sens!G6355+Sens!H6355)/2*rent_mw/1000</f>
        <v>6.72084</v>
      </c>
      <c r="I6372" s="6" t="n">
        <f aca="false">(Sens!H6355+Sens!I6355)/2*rent_mw/1000</f>
        <v>6.72084</v>
      </c>
      <c r="J6372" s="6" t="n">
        <f aca="false">(Sens!I6355+Sens!J6355)/2*rent_mw/1000</f>
        <v>6.72084</v>
      </c>
      <c r="K6372" s="6" t="n">
        <f aca="false">(Sens!J6355+Sens!K6355)/2*rent_mw/1000</f>
        <v>6.72084</v>
      </c>
    </row>
    <row r="6373" customFormat="false" ht="17.15" hidden="false" customHeight="false" outlineLevel="0" collapsed="false">
      <c r="A6373" s="0" t="s">
        <v>826</v>
      </c>
      <c r="B6373" s="0" t="s">
        <v>98</v>
      </c>
      <c r="D6373" s="6" t="n">
        <f aca="false">(Sens!C6357+Sens!D6357)/2*(1-self_build)*fac_rent/1000</f>
        <v>0.853242375631075</v>
      </c>
      <c r="E6373" s="6" t="n">
        <f aca="false">(Sens!D6357+Sens!E6357)/2*(1-self_build)*fac_rent/1000</f>
        <v>1.94955961408728</v>
      </c>
      <c r="F6373" s="6" t="n">
        <f aca="false">(Sens!E6357+Sens!F6357)/2*(1-self_build)*fac_rent/1000</f>
        <v>3.83026455274573</v>
      </c>
      <c r="G6373" s="6" t="n">
        <f aca="false">(Sens!F6357+Sens!G6357)/2*(1-self_build)*fac_rent/1000</f>
        <v>6.23541590972812</v>
      </c>
      <c r="H6373" s="6" t="n">
        <f aca="false">(Sens!G6357+Sens!H6357)/2*(1-self_build)*fac_rent/1000</f>
        <v>8.74275792332679</v>
      </c>
      <c r="I6373" s="6" t="n">
        <f aca="false">(Sens!H6357+Sens!I6357)/2*(1-self_build)*fac_rent/1000</f>
        <v>10.8859420438599</v>
      </c>
      <c r="J6373" s="6" t="n">
        <f aca="false">(Sens!I6357+Sens!J6357)/2*(1-self_build)*fac_rent/1000</f>
        <v>12.3008103782619</v>
      </c>
      <c r="K6373" s="6" t="n">
        <f aca="false">(Sens!J6357+Sens!K6357)/2*(1-self_build)*fac_rent/1000</f>
        <v>12.9873629265328</v>
      </c>
      <c r="L6373" s="11" t="s">
        <v>827</v>
      </c>
    </row>
    <row r="6374" customFormat="false" ht="17.15" hidden="false" customHeight="false" outlineLevel="0" collapsed="false">
      <c r="A6374" s="1" t="s">
        <v>828</v>
      </c>
      <c r="B6374" s="0" t="s">
        <v>129</v>
      </c>
      <c r="D6374" s="7" t="n">
        <f aca="false">(Sens!C6356+Sens!D6356)/(Sens!C6357+Sens!D6357)</f>
        <v>0.6</v>
      </c>
      <c r="E6374" s="7" t="n">
        <f aca="false">(Sens!D6356+Sens!E6356)/(Sens!D6357+Sens!E6357)</f>
        <v>0.6</v>
      </c>
      <c r="F6374" s="7" t="n">
        <f aca="false">(Sens!E6356+Sens!F6356)/(Sens!E6357+Sens!F6357)</f>
        <v>0.6</v>
      </c>
      <c r="G6374" s="7" t="n">
        <f aca="false">(Sens!F6356+Sens!G6356)/(Sens!F6357+Sens!G6357)</f>
        <v>0.6</v>
      </c>
      <c r="H6374" s="7" t="n">
        <f aca="false">(Sens!G6356+Sens!H6356)/(Sens!G6357+Sens!H6357)</f>
        <v>0.6</v>
      </c>
      <c r="I6374" s="7" t="n">
        <f aca="false">(Sens!H6356+Sens!I6356)/(Sens!H6357+Sens!I6357)</f>
        <v>0.6</v>
      </c>
      <c r="J6374" s="7" t="n">
        <f aca="false">(Sens!I6356+Sens!J6356)/(Sens!I6357+Sens!J6357)</f>
        <v>0.6</v>
      </c>
      <c r="K6374" s="7" t="n">
        <f aca="false">(Sens!J6356+Sens!K6356)/(Sens!J6357+Sens!K6357)</f>
        <v>0.6</v>
      </c>
    </row>
    <row r="6375" customFormat="false" ht="17.15" hidden="false" customHeight="false" outlineLevel="0" collapsed="false">
      <c r="A6375" s="0" t="s">
        <v>829</v>
      </c>
      <c r="B6375" s="0" t="s">
        <v>98</v>
      </c>
      <c r="D6375" s="6" t="n">
        <f aca="false">Sens!D6369-Sens!D6374*(Sens!D6371+Sens!D6373)-Sens!D6372</f>
        <v>8.35701406163072</v>
      </c>
      <c r="E6375" s="6" t="n">
        <f aca="false">Sens!E6369-Sens!E6374*(Sens!E6371+Sens!E6373)-Sens!E6372</f>
        <v>18.7103224860238</v>
      </c>
      <c r="F6375" s="6" t="n">
        <f aca="false">Sens!F6369-Sens!F6374*(Sens!F6371+Sens!F6373)-Sens!F6372</f>
        <v>43.1278534047371</v>
      </c>
      <c r="G6375" s="6" t="n">
        <f aca="false">Sens!G6369-Sens!G6374*(Sens!G6371+Sens!G6373)-Sens!G6372</f>
        <v>78.4713023799053</v>
      </c>
      <c r="H6375" s="6" t="n">
        <f aca="false">Sens!H6369-Sens!H6374*(Sens!H6371+Sens!H6373)-Sens!H6372</f>
        <v>120.169624261219</v>
      </c>
      <c r="I6375" s="6" t="n">
        <f aca="false">Sens!I6369-Sens!I6374*(Sens!I6371+Sens!I6373)-Sens!I6372</f>
        <v>151.932833835566</v>
      </c>
      <c r="J6375" s="6" t="n">
        <f aca="false">Sens!J6369-Sens!J6374*(Sens!J6371+Sens!J6373)-Sens!J6372</f>
        <v>174.211393919055</v>
      </c>
      <c r="K6375" s="6" t="n">
        <f aca="false">Sens!K6369-Sens!K6374*(Sens!K6371+Sens!K6373)-Sens!K6372</f>
        <v>188.427941042729</v>
      </c>
    </row>
    <row r="6376" customFormat="false" ht="17.15" hidden="false" customHeight="false" outlineLevel="0" collapsed="false">
      <c r="A6376" s="1" t="s">
        <v>830</v>
      </c>
      <c r="B6376" s="0" t="s">
        <v>98</v>
      </c>
      <c r="D6376" s="6" t="n">
        <f aca="false">(1-Sens!D6374)*(Sens!D6371+Sens!D6373)</f>
        <v>1.42281025374069</v>
      </c>
      <c r="E6376" s="6" t="n">
        <f aca="false">(1-Sens!E6374)*(Sens!E6371+Sens!E6373)</f>
        <v>3.25095598674472</v>
      </c>
      <c r="F6376" s="6" t="n">
        <f aca="false">(1-Sens!F6374)*(Sens!F6371+Sens!F6373)</f>
        <v>6.53293055050977</v>
      </c>
      <c r="G6376" s="6" t="n">
        <f aca="false">(1-Sens!G6374)*(Sens!G6371+Sens!G6373)</f>
        <v>10.7846311741651</v>
      </c>
      <c r="H6376" s="6" t="n">
        <f aca="false">(1-Sens!H6374)*(Sens!H6371+Sens!H6373)</f>
        <v>15.26343050201</v>
      </c>
      <c r="I6376" s="6" t="n">
        <f aca="false">(1-Sens!I6374)*(Sens!I6371+Sens!I6373)</f>
        <v>19.1433528317977</v>
      </c>
      <c r="J6376" s="6" t="n">
        <f aca="false">(1-Sens!J6374)*(Sens!J6371+Sens!J6373)</f>
        <v>21.7578594710146</v>
      </c>
      <c r="K6376" s="6" t="n">
        <f aca="false">(1-Sens!K6374)*(Sens!K6371+Sens!K6373)</f>
        <v>23.1609494366731</v>
      </c>
    </row>
    <row r="6377" customFormat="false" ht="17.15" hidden="false" customHeight="false" outlineLevel="0" collapsed="false">
      <c r="A6377" s="1" t="s">
        <v>831</v>
      </c>
      <c r="B6377" s="0" t="s">
        <v>350</v>
      </c>
      <c r="C6377" s="8" t="n">
        <f aca="false">cxit_open</f>
        <v>27.5918995</v>
      </c>
      <c r="D6377" s="8" t="n">
        <f aca="false">cxit_open</f>
        <v>27.5918995</v>
      </c>
      <c r="E6377" s="8" t="n">
        <f aca="false">cxit_open</f>
        <v>27.5918995</v>
      </c>
      <c r="F6377" s="8" t="n">
        <f aca="false">(a_g3_27*tk_cxit_gb300+(1-a_g3_27)*tk_cxit_vr200)</f>
        <v>33.8419624</v>
      </c>
      <c r="G6377" s="8" t="n">
        <f aca="false">(a_g3_28*tk_cxit_gb300+(1-a_g3_28)*tk_cxit_vr200)</f>
        <v>35.9816136</v>
      </c>
      <c r="H6377" s="8" t="n">
        <f aca="false">(a_g3_29*tk_cxit_gb300+(1-a_g3_29)*tk_cxit_vr200)</f>
        <v>37.0514392</v>
      </c>
      <c r="I6377" s="8" t="n">
        <f aca="false">(a_g3_29*tk_cxit_gb300+(1-a_g3_29)*tk_cxit_vr200)</f>
        <v>37.0514392</v>
      </c>
      <c r="J6377" s="8" t="n">
        <f aca="false">(a_g3_29*tk_cxit_gb300+(1-a_g3_29)*tk_cxit_vr200)</f>
        <v>37.0514392</v>
      </c>
      <c r="K6377" s="8" t="n">
        <f aca="false">(a_g3_29*tk_cxit_gb300+(1-a_g3_29)*tk_cxit_vr200)</f>
        <v>37.0514392</v>
      </c>
      <c r="L6377" s="11" t="s">
        <v>832</v>
      </c>
    </row>
    <row r="6378" customFormat="false" ht="17.15" hidden="false" customHeight="false" outlineLevel="0" collapsed="false">
      <c r="A6378" s="0" t="s">
        <v>833</v>
      </c>
      <c r="B6378" s="0" t="s">
        <v>392</v>
      </c>
      <c r="F6378" s="29" t="n">
        <f aca="false">Sens!C6359*IF(Sens!F6352-Sens!C6352=life_it,1,0)+Sens!D6359*IF(Sens!F6352-Sens!D6352=life_it,1,0)+Sens!E6359*IF(Sens!F6352-Sens!E6352=life_it,1,0)</f>
        <v>0</v>
      </c>
      <c r="G6378" s="29" t="n">
        <f aca="false">Sens!C6359*IF(Sens!G6352-Sens!C6352=life_it,1,0)+Sens!D6359*IF(Sens!G6352-Sens!D6352=life_it,1,0)+Sens!E6359*IF(Sens!G6352-Sens!E6352=life_it,1,0)+Sens!F6359*IF(Sens!G6352-Sens!F6352=life_it,1,0)</f>
        <v>0</v>
      </c>
      <c r="H6378" s="29" t="n">
        <f aca="false">Sens!C6359*IF(Sens!H6352-Sens!C6352=life_it,1,0)+Sens!D6359*IF(Sens!H6352-Sens!D6352=life_it,1,0)+Sens!E6359*IF(Sens!H6352-Sens!E6352=life_it,1,0)+Sens!F6359*IF(Sens!H6352-Sens!F6352=life_it,1,0)+Sens!G6359*IF(Sens!H6352-Sens!G6352=life_it,1,0)</f>
        <v>0</v>
      </c>
      <c r="I6378" s="29" t="n">
        <f aca="false">Sens!C6359*IF(Sens!I6352-Sens!C6352=life_it,1,0)+Sens!D6359*IF(Sens!I6352-Sens!D6352=life_it,1,0)+Sens!E6359*IF(Sens!I6352-Sens!E6352=life_it,1,0)+Sens!F6359*IF(Sens!I6352-Sens!F6352=life_it,1,0)+Sens!G6359*IF(Sens!I6352-Sens!G6352=life_it,1,0)+Sens!H6359*IF(Sens!I6352-Sens!H6352=life_it,1,0)</f>
        <v>816.666666666667</v>
      </c>
      <c r="J6378" s="29" t="n">
        <f aca="false">Sens!C6359*IF(Sens!J6352-Sens!C6352=life_it,1,0)+Sens!D6359*IF(Sens!J6352-Sens!D6352=life_it,1,0)+Sens!E6359*IF(Sens!J6352-Sens!E6352=life_it,1,0)+Sens!F6359*IF(Sens!J6352-Sens!F6352=life_it,1,0)+Sens!G6359*IF(Sens!J6352-Sens!G6352=life_it,1,0)+Sens!H6359*IF(Sens!J6352-Sens!H6352=life_it,1,0)+Sens!I6359*IF(Sens!J6352-Sens!I6352=life_it,1,0)</f>
        <v>1233.33333333333</v>
      </c>
      <c r="K6378" s="29" t="n">
        <f aca="false">Sens!C6359*IF(Sens!K6352-Sens!C6352=life_it,1,0)+Sens!D6359*IF(Sens!K6352-Sens!D6352=life_it,1,0)+Sens!E6359*IF(Sens!K6352-Sens!E6352=life_it,1,0)+Sens!F6359*IF(Sens!K6352-Sens!F6352=life_it,1,0)+Sens!G6359*IF(Sens!K6352-Sens!G6352=life_it,1,0)+Sens!H6359*IF(Sens!K6352-Sens!H6352=life_it,1,0)+Sens!I6359*IF(Sens!K6352-Sens!I6352=life_it,1,0)+Sens!J6359*IF(Sens!K6352-Sens!J6352=life_it,1,0)</f>
        <v>2450</v>
      </c>
      <c r="L6378" s="1" t="s">
        <v>834</v>
      </c>
    </row>
    <row r="6379" customFormat="false" ht="17.15" hidden="false" customHeight="false" outlineLevel="0" collapsed="false">
      <c r="A6379" s="0" t="s">
        <v>835</v>
      </c>
      <c r="B6379" s="0" t="s">
        <v>98</v>
      </c>
      <c r="C6379" s="6" t="n">
        <f aca="false">Sens!C6359*Sens!C6377/1000</f>
        <v>22.5333845916667</v>
      </c>
      <c r="D6379" s="6" t="n">
        <f aca="false">Sens!D6359*Sens!D6377/1000</f>
        <v>34.0300093833333</v>
      </c>
      <c r="E6379" s="6" t="n">
        <f aca="false">Sens!E6359*Sens!E6377/1000</f>
        <v>67.600153775</v>
      </c>
      <c r="F6379" s="6" t="n">
        <f aca="false">(Sens!F6359+Sens!F6378)*Sens!F6377/1000</f>
        <v>130.923271871467</v>
      </c>
      <c r="G6379" s="6" t="n">
        <f aca="false">(Sens!G6359+Sens!G6378)*Sens!G6377/1000</f>
        <v>151.5545564832</v>
      </c>
      <c r="H6379" s="6" t="n">
        <f aca="false">(Sens!H6359+Sens!H6378)*Sens!H6377/1000</f>
        <v>156.0606619104</v>
      </c>
      <c r="I6379" s="6" t="n">
        <f aca="false">(Sens!I6359+Sens!I6378)*Sens!I6377/1000</f>
        <v>140.987889434245</v>
      </c>
      <c r="J6379" s="6" t="n">
        <f aca="false">(Sens!J6359+Sens!J6378)*Sens!J6377/1000</f>
        <v>111.094541278091</v>
      </c>
      <c r="K6379" s="6" t="n">
        <f aca="false">(Sens!K6359+Sens!K6378)*Sens!K6377/1000</f>
        <v>110.842344481936</v>
      </c>
    </row>
    <row r="6380" customFormat="false" ht="17.15" hidden="false" customHeight="false" outlineLevel="0" collapsed="false">
      <c r="A6380" s="0" t="s">
        <v>836</v>
      </c>
      <c r="B6380" s="0" t="s">
        <v>98</v>
      </c>
      <c r="C6380" s="6" t="n">
        <f aca="false">Sens!C6359*self_build*tk_cxfac/1000</f>
        <v>6.2083</v>
      </c>
      <c r="D6380" s="6" t="n">
        <f aca="false">Sens!D6359*self_build*tk_cxfac/1000</f>
        <v>9.3758</v>
      </c>
      <c r="E6380" s="6" t="n">
        <f aca="false">Sens!E6359*self_build*tk_cxfac/1000</f>
        <v>18.6249</v>
      </c>
      <c r="F6380" s="6" t="n">
        <f aca="false">Sens!F6359*self_build*tk_cxfac/1000</f>
        <v>29.409604</v>
      </c>
      <c r="G6380" s="6" t="n">
        <f aca="false">Sens!G6359*self_build*tk_cxfac/1000</f>
        <v>32.019624</v>
      </c>
      <c r="H6380" s="6" t="n">
        <f aca="false">Sens!H6359*self_build*tk_cxfac/1000</f>
        <v>32.019624</v>
      </c>
      <c r="I6380" s="6" t="n">
        <f aca="false">Sens!I6359*self_build*tk_cxfac/1000</f>
        <v>22.71877972</v>
      </c>
      <c r="J6380" s="6" t="n">
        <f aca="false">Sens!J6359*self_build*tk_cxfac/1000</f>
        <v>13.41793544</v>
      </c>
      <c r="K6380" s="6" t="n">
        <f aca="false">Sens!K6359*self_build*tk_cxfac/1000</f>
        <v>4.11709116000001</v>
      </c>
    </row>
    <row r="6381" customFormat="false" ht="17.15" hidden="false" customHeight="false" outlineLevel="0" collapsed="false">
      <c r="A6381" s="0" t="s">
        <v>837</v>
      </c>
      <c r="B6381" s="0" t="s">
        <v>98</v>
      </c>
      <c r="F6381" s="6" t="n">
        <f aca="false">MAX(0,capex_floor27-Sens!F6379-Sens!F6380-Sens!F6474)</f>
        <v>8.51577689897088</v>
      </c>
      <c r="L6381" s="1" t="s">
        <v>838</v>
      </c>
    </row>
    <row r="6382" customFormat="false" ht="17.15" hidden="false" customHeight="false" outlineLevel="0" collapsed="false">
      <c r="A6382" s="0" t="s">
        <v>839</v>
      </c>
      <c r="B6382" s="0" t="s">
        <v>98</v>
      </c>
      <c r="C6382" s="6" t="n">
        <f aca="false">Sens!C6379</f>
        <v>22.5333845916667</v>
      </c>
      <c r="D6382" s="6" t="n">
        <f aca="false">Sens!D6379</f>
        <v>34.0300093833333</v>
      </c>
      <c r="E6382" s="6" t="n">
        <f aca="false">Sens!E6379</f>
        <v>67.600153775</v>
      </c>
      <c r="F6382" s="6" t="n">
        <f aca="false">Sens!F6379+Sens!F6381</f>
        <v>139.439048770438</v>
      </c>
      <c r="G6382" s="6" t="n">
        <f aca="false">Sens!G6379</f>
        <v>151.5545564832</v>
      </c>
      <c r="H6382" s="6" t="n">
        <f aca="false">Sens!H6379</f>
        <v>156.0606619104</v>
      </c>
      <c r="I6382" s="6" t="n">
        <f aca="false">Sens!I6379</f>
        <v>140.987889434245</v>
      </c>
      <c r="J6382" s="6" t="n">
        <f aca="false">Sens!J6379</f>
        <v>111.094541278091</v>
      </c>
      <c r="K6382" s="6" t="n">
        <f aca="false">Sens!K6379</f>
        <v>110.842344481936</v>
      </c>
    </row>
    <row r="6383" customFormat="false" ht="17.15" hidden="false" customHeight="false" outlineLevel="0" collapsed="false">
      <c r="A6383" s="0" t="s">
        <v>840</v>
      </c>
      <c r="B6383" s="0" t="s">
        <v>98</v>
      </c>
      <c r="C6383" s="6" t="n">
        <f aca="false">Sens!C6382+Sens!C6380</f>
        <v>28.7416845916667</v>
      </c>
      <c r="D6383" s="6" t="n">
        <f aca="false">Sens!D6382+Sens!D6380</f>
        <v>43.4058093833333</v>
      </c>
      <c r="E6383" s="6" t="n">
        <f aca="false">Sens!E6382+Sens!E6380</f>
        <v>86.225053775</v>
      </c>
      <c r="F6383" s="6" t="n">
        <f aca="false">Sens!F6382+Sens!F6380</f>
        <v>168.848652770438</v>
      </c>
      <c r="G6383" s="6" t="n">
        <f aca="false">Sens!G6382+Sens!G6380</f>
        <v>183.5741804832</v>
      </c>
      <c r="H6383" s="6" t="n">
        <f aca="false">Sens!H6382+Sens!H6380</f>
        <v>188.0802859104</v>
      </c>
      <c r="I6383" s="6" t="n">
        <f aca="false">Sens!I6382+Sens!I6380</f>
        <v>163.706669154245</v>
      </c>
      <c r="J6383" s="6" t="n">
        <f aca="false">Sens!J6382+Sens!J6380</f>
        <v>124.51247671809</v>
      </c>
      <c r="K6383" s="6" t="n">
        <f aca="false">Sens!K6382+Sens!K6380</f>
        <v>114.959435641936</v>
      </c>
      <c r="L6383" s="11" t="s">
        <v>841</v>
      </c>
    </row>
    <row r="6384" customFormat="false" ht="17.15" hidden="false" customHeight="false" outlineLevel="0" collapsed="false">
      <c r="A6384" s="0" t="s">
        <v>842</v>
      </c>
      <c r="B6384" s="0" t="s">
        <v>98</v>
      </c>
      <c r="E6384" s="6" t="n">
        <f aca="false">(Sens!C6382*IF(2&lt;life_it,1,IF(2=life_it,0.5,0))+Sens!D6382*IF(1&lt;life_it,1,IF(1=life_it,0.5,0))+Sens!E6382*0.5)/life_it</f>
        <v>15.0605784770833</v>
      </c>
      <c r="F6384" s="6" t="n">
        <f aca="false">(Sens!C6382*IF(3&lt;life_it,1,IF(3=life_it,0.5,0))+Sens!D6382*IF(2&lt;life_it,1,IF(2=life_it,0.5,0))+Sens!E6382*IF(1&lt;life_it,1,IF(1=life_it,0.5,0))+Sens!F6382*0.5)/life_it</f>
        <v>32.3138453558698</v>
      </c>
      <c r="G6384" s="6" t="n">
        <f aca="false">(Sens!C6382*IF(4&lt;life_it,1,IF(4=life_it,0.5,0))+Sens!D6382*IF(3&lt;life_it,1,IF(3=life_it,0.5,0))+Sens!E6382*IF(2&lt;life_it,1,IF(2=life_it,0.5,0))+Sens!F6382*IF(1&lt;life_it,1,IF(1=life_it,0.5,0))+Sens!G6382*0.5)/life_it</f>
        <v>56.5633124603396</v>
      </c>
      <c r="H6384" s="6" t="n">
        <f aca="false">(Sens!C6382*IF(5&lt;life_it,1,IF(5=life_it,0.5,0))+Sens!D6382*IF(4&lt;life_it,1,IF(4=life_it,0.5,0))+Sens!E6382*IF(3&lt;life_it,1,IF(3=life_it,0.5,0))+Sens!F6382*IF(2&lt;life_it,1,IF(2=life_it,0.5,0))+Sens!G6382*IF(1&lt;life_it,1,IF(1=life_it,0.5,0))+Sens!H6382*0.5)/life_it</f>
        <v>82.1979139931396</v>
      </c>
      <c r="I6384" s="6" t="n">
        <f aca="false">(Sens!C6382*IF(6&lt;life_it,1,IF(6=life_it,0.5,0))+Sens!D6382*IF(5&lt;life_it,1,IF(5=life_it,0.5,0))+Sens!E6382*IF(4&lt;life_it,1,IF(4=life_it,0.5,0))+Sens!F6382*IF(3&lt;life_it,1,IF(3=life_it,0.5,0))+Sens!G6382*IF(2&lt;life_it,1,IF(2=life_it,0.5,0))+Sens!H6382*IF(1&lt;life_it,1,IF(1=life_it,0.5,0))+Sens!I6382*0.5)/life_it</f>
        <v>105.074177889221</v>
      </c>
      <c r="J6384" s="6" t="n">
        <f aca="false">(Sens!C6382*IF(7&lt;life_it,1,IF(7=life_it,0.5,0))+Sens!D6382*IF(6&lt;life_it,1,IF(6=life_it,0.5,0))+Sens!E6382*IF(5&lt;life_it,1,IF(5=life_it,0.5,0))+Sens!F6382*IF(4&lt;life_it,1,IF(4=life_it,0.5,0))+Sens!G6382*IF(3&lt;life_it,1,IF(3=life_it,0.5,0))+Sens!H6382*IF(2&lt;life_it,1,IF(2=life_it,0.5,0))+Sens!I6382*IF(1&lt;life_it,1,IF(1=life_it,0.5,0))+Sens!J6382*0.5)/life_it</f>
        <v>121.367430950666</v>
      </c>
      <c r="K6384" s="6" t="n">
        <f aca="false">(Sens!C6382*IF(8&lt;life_it,1,IF(8=life_it,0.5,0))+Sens!D6382*IF(7&lt;life_it,1,IF(7=life_it,0.5,0))+Sens!E6382*IF(6&lt;life_it,1,IF(6=life_it,0.5,0))+Sens!F6382*IF(5&lt;life_it,1,IF(5=life_it,0.5,0))+Sens!G6382*IF(4&lt;life_it,1,IF(4=life_it,0.5,0))+Sens!H6382*IF(3&lt;life_it,1,IF(3=life_it,0.5,0))+Sens!I6382*IF(2&lt;life_it,1,IF(2=life_it,0.5,0))+Sens!J6382*IF(1&lt;life_it,1,IF(1=life_it,0.5,0))+Sens!K6382*0.5)/life_it</f>
        <v>131.392991167474</v>
      </c>
    </row>
    <row r="6385" customFormat="false" ht="17.15" hidden="false" customHeight="false" outlineLevel="0" collapsed="false">
      <c r="A6385" s="0" t="s">
        <v>843</v>
      </c>
      <c r="B6385" s="0" t="s">
        <v>98</v>
      </c>
      <c r="E6385" s="6" t="n">
        <f aca="false">(Sens!C6380*IF(2&lt;life_fac,1,IF(2=life_fac,0.5,0))+Sens!D6380*IF(1&lt;life_fac,1,IF(1=life_fac,0.5,0))+Sens!E6380*0.5)/life_fac</f>
        <v>1.2448275</v>
      </c>
      <c r="F6385" s="6" t="n">
        <f aca="false">(Sens!C6380*IF(3&lt;life_fac,1,IF(3=life_fac,0.5,0))+Sens!D6380*IF(2&lt;life_fac,1,IF(2=life_fac,0.5,0))+Sens!E6380*IF(1&lt;life_fac,1,IF(1=life_fac,0.5,0))+Sens!F6380*0.5)/life_fac</f>
        <v>2.4456901</v>
      </c>
      <c r="G6385" s="6" t="n">
        <f aca="false">(Sens!C6380*IF(4&lt;life_fac,1,IF(4=life_fac,0.5,0))+Sens!D6380*IF(3&lt;life_fac,1,IF(3=life_fac,0.5,0))+Sens!E6380*IF(2&lt;life_fac,1,IF(2=life_fac,0.5,0))+Sens!F6380*IF(1&lt;life_fac,1,IF(1=life_fac,0.5,0))+Sens!G6380*0.5)/life_fac</f>
        <v>3.9814208</v>
      </c>
      <c r="H6385" s="6" t="n">
        <f aca="false">(Sens!C6380*IF(5&lt;life_fac,1,IF(5=life_fac,0.5,0))+Sens!D6380*IF(4&lt;life_fac,1,IF(4=life_fac,0.5,0))+Sens!E6380*IF(3&lt;life_fac,1,IF(3=life_fac,0.5,0))+Sens!F6380*IF(2&lt;life_fac,1,IF(2=life_fac,0.5,0))+Sens!G6380*IF(1&lt;life_fac,1,IF(1=life_fac,0.5,0))+Sens!H6380*0.5)/life_fac</f>
        <v>5.582402</v>
      </c>
      <c r="I6385" s="6" t="n">
        <f aca="false">(Sens!C6380*IF(6&lt;life_fac,1,IF(6=life_fac,0.5,0))+Sens!D6380*IF(5&lt;life_fac,1,IF(5=life_fac,0.5,0))+Sens!E6380*IF(4&lt;life_fac,1,IF(4=life_fac,0.5,0))+Sens!F6380*IF(3&lt;life_fac,1,IF(3=life_fac,0.5,0))+Sens!G6380*IF(2&lt;life_fac,1,IF(2=life_fac,0.5,0))+Sens!H6380*IF(1&lt;life_fac,1,IF(1=life_fac,0.5,0))+Sens!I6380*0.5)/life_fac</f>
        <v>6.950862093</v>
      </c>
      <c r="J6385" s="6" t="n">
        <f aca="false">(Sens!C6380*IF(7&lt;life_fac,1,IF(7=life_fac,0.5,0))+Sens!D6380*IF(6&lt;life_fac,1,IF(6=life_fac,0.5,0))+Sens!E6380*IF(5&lt;life_fac,1,IF(5=life_fac,0.5,0))+Sens!F6380*IF(4&lt;life_fac,1,IF(4=life_fac,0.5,0))+Sens!G6380*IF(3&lt;life_fac,1,IF(3=life_fac,0.5,0))+Sens!H6380*IF(2&lt;life_fac,1,IF(2=life_fac,0.5,0))+Sens!I6380*IF(1&lt;life_fac,1,IF(1=life_fac,0.5,0))+Sens!J6380*0.5)/life_fac</f>
        <v>7.854279972</v>
      </c>
      <c r="K6385" s="6" t="n">
        <f aca="false">(Sens!C6380*IF(8&lt;life_fac,1,IF(8=life_fac,0.5,0))+Sens!D6380*IF(7&lt;life_fac,1,IF(7=life_fac,0.5,0))+Sens!E6380*IF(6&lt;life_fac,1,IF(6=life_fac,0.5,0))+Sens!F6380*IF(5&lt;life_fac,1,IF(5=life_fac,0.5,0))+Sens!G6380*IF(4&lt;life_fac,1,IF(4=life_fac,0.5,0))+Sens!H6380*IF(3&lt;life_fac,1,IF(3=life_fac,0.5,0))+Sens!I6380*IF(2&lt;life_fac,1,IF(2=life_fac,0.5,0))+Sens!J6380*IF(1&lt;life_fac,1,IF(1=life_fac,0.5,0))+Sens!K6380*0.5)/life_fac</f>
        <v>8.292655637</v>
      </c>
    </row>
    <row r="6386" customFormat="false" ht="17.15" hidden="false" customHeight="false" outlineLevel="0" collapsed="false">
      <c r="A6386" s="0" t="s">
        <v>844</v>
      </c>
      <c r="B6386" s="0" t="s">
        <v>98</v>
      </c>
      <c r="E6386" s="6" t="n">
        <f aca="false">Sens!E6384+Sens!E6385</f>
        <v>16.3054059770833</v>
      </c>
      <c r="F6386" s="6" t="n">
        <f aca="false">Sens!F6384+Sens!F6385</f>
        <v>34.7595354558698</v>
      </c>
      <c r="G6386" s="6" t="n">
        <f aca="false">Sens!G6384+Sens!G6385</f>
        <v>60.5447332603396</v>
      </c>
      <c r="H6386" s="6" t="n">
        <f aca="false">Sens!H6384+Sens!H6385</f>
        <v>87.7803159931396</v>
      </c>
      <c r="I6386" s="6" t="n">
        <f aca="false">Sens!I6384+Sens!I6385</f>
        <v>112.025039982221</v>
      </c>
      <c r="J6386" s="6" t="n">
        <f aca="false">Sens!J6384+Sens!J6385</f>
        <v>129.221710922666</v>
      </c>
      <c r="K6386" s="6" t="n">
        <f aca="false">Sens!K6384+Sens!K6385</f>
        <v>139.685646804474</v>
      </c>
    </row>
    <row r="6387" customFormat="false" ht="17.15" hidden="false" customHeight="false" outlineLevel="0" collapsed="false">
      <c r="A6387" s="0" t="s">
        <v>845</v>
      </c>
      <c r="B6387" s="0" t="s">
        <v>98</v>
      </c>
      <c r="E6387" s="6" t="n">
        <f aca="false">Sens!E6375-Sens!E6374*Sens!E6386</f>
        <v>8.92707889977379</v>
      </c>
      <c r="F6387" s="6" t="n">
        <f aca="false">Sens!F6375-Sens!F6374*Sens!F6386</f>
        <v>22.2721321312152</v>
      </c>
      <c r="G6387" s="6" t="n">
        <f aca="false">Sens!G6375-Sens!G6374*Sens!G6386</f>
        <v>42.1444624237015</v>
      </c>
      <c r="H6387" s="6" t="n">
        <f aca="false">Sens!H6375-Sens!H6374*Sens!H6386</f>
        <v>67.5014346653351</v>
      </c>
      <c r="I6387" s="6" t="n">
        <f aca="false">Sens!I6375-Sens!I6374*Sens!I6386</f>
        <v>84.7178098462332</v>
      </c>
      <c r="J6387" s="6" t="n">
        <f aca="false">Sens!J6375-Sens!J6374*Sens!J6386</f>
        <v>96.6783673654554</v>
      </c>
      <c r="K6387" s="6" t="n">
        <f aca="false">Sens!K6375-Sens!K6374*Sens!K6386</f>
        <v>104.616552960045</v>
      </c>
    </row>
    <row r="6388" customFormat="false" ht="17.15" hidden="false" customHeight="false" outlineLevel="0" collapsed="false">
      <c r="A6388" s="3" t="s">
        <v>1400</v>
      </c>
    </row>
    <row r="6389" customFormat="false" ht="15" hidden="false" customHeight="false" outlineLevel="0" collapsed="false">
      <c r="A6389" s="4" t="s">
        <v>43</v>
      </c>
      <c r="B6389" s="4" t="s">
        <v>65</v>
      </c>
      <c r="C6389" s="20" t="s">
        <v>788</v>
      </c>
      <c r="D6389" s="20" t="s">
        <v>789</v>
      </c>
      <c r="E6389" s="20" t="s">
        <v>790</v>
      </c>
      <c r="F6389" s="20" t="s">
        <v>791</v>
      </c>
      <c r="G6389" s="20" t="s">
        <v>792</v>
      </c>
      <c r="H6389" s="20" t="s">
        <v>793</v>
      </c>
      <c r="I6389" s="20" t="s">
        <v>794</v>
      </c>
      <c r="J6389" s="20" t="s">
        <v>795</v>
      </c>
      <c r="K6389" s="20" t="s">
        <v>796</v>
      </c>
      <c r="L6389" s="4" t="s">
        <v>47</v>
      </c>
    </row>
    <row r="6390" customFormat="false" ht="17.15" hidden="false" customHeight="false" outlineLevel="0" collapsed="false">
      <c r="A6390" s="0" t="s">
        <v>864</v>
      </c>
      <c r="B6390" s="0" t="s">
        <v>98</v>
      </c>
      <c r="D6390" s="6" t="n">
        <f aca="false">Sens!D6369</f>
        <v>12.9359794422418</v>
      </c>
      <c r="E6390" s="6" t="n">
        <f aca="false">Sens!E6369</f>
        <v>27.8095064661409</v>
      </c>
      <c r="F6390" s="6" t="n">
        <f aca="false">Sens!F6369</f>
        <v>58.7324192305018</v>
      </c>
      <c r="G6390" s="6" t="n">
        <f aca="false">Sens!G6369</f>
        <v>101.369089141153</v>
      </c>
      <c r="H6390" s="6" t="n">
        <f aca="false">Sens!H6369</f>
        <v>149.785610014234</v>
      </c>
      <c r="I6390" s="6" t="n">
        <f aca="false">Sens!I6369</f>
        <v>187.368703083263</v>
      </c>
      <c r="J6390" s="6" t="n">
        <f aca="false">Sens!J6369</f>
        <v>213.569023125577</v>
      </c>
      <c r="K6390" s="6" t="n">
        <f aca="false">Sens!K6369</f>
        <v>229.890205197739</v>
      </c>
    </row>
    <row r="6391" customFormat="false" ht="17.15" hidden="false" customHeight="false" outlineLevel="0" collapsed="false">
      <c r="A6391" s="0" t="s">
        <v>865</v>
      </c>
      <c r="B6391" s="0" t="s">
        <v>98</v>
      </c>
      <c r="D6391" s="6" t="n">
        <f aca="false">Q!L6-Sens!D6390</f>
        <v>59.6740205577583</v>
      </c>
      <c r="E6391" s="6" t="n">
        <f aca="false">Q!M6-Sens!E6390</f>
        <v>74.1284935338591</v>
      </c>
      <c r="F6391" s="6" t="n">
        <f aca="false">Sens!E6391*(1+Sens!F6392)</f>
        <v>90.0799497373663</v>
      </c>
      <c r="G6391" s="6" t="n">
        <f aca="false">Sens!F6391*(1+Sens!G6392)</f>
        <v>107.02842520331</v>
      </c>
      <c r="H6391" s="6" t="n">
        <f aca="false">Sens!G6391*(1+Sens!H6392)</f>
        <v>124.271982585636</v>
      </c>
      <c r="I6391" s="6" t="n">
        <f aca="false">Sens!H6391*(1+Sens!I6392)</f>
        <v>140.933702381855</v>
      </c>
      <c r="J6391" s="6" t="n">
        <f aca="false">Sens!I6391*(1+Sens!J6392)</f>
        <v>156.018867314332</v>
      </c>
      <c r="K6391" s="6" t="n">
        <f aca="false">Sens!J6391*(1+Sens!K6392)</f>
        <v>168.500376699478</v>
      </c>
    </row>
    <row r="6392" customFormat="false" ht="15" hidden="false" customHeight="false" outlineLevel="0" collapsed="false">
      <c r="A6392" s="1" t="s">
        <v>866</v>
      </c>
      <c r="B6392" s="0" t="s">
        <v>129</v>
      </c>
      <c r="E6392" s="7" t="n">
        <f aca="false">Sens!E6391/Sens!D6391-1</f>
        <v>0.242223883039864</v>
      </c>
      <c r="F6392" s="7" t="n">
        <f aca="false">Sens!$E$6392+(glt_azo-Sens!$E$6392)*MIN(1,(Sens!F6352-base_fy)/n_conv)</f>
        <v>0.215186569199887</v>
      </c>
      <c r="G6392" s="7" t="n">
        <f aca="false">Sens!$E$6392+(glt_azo-Sens!$E$6392)*MIN(1,(Sens!G6352-base_fy)/n_conv)</f>
        <v>0.18814925535991</v>
      </c>
      <c r="H6392" s="7" t="n">
        <f aca="false">Sens!$E$6392+(glt_azo-Sens!$E$6392)*MIN(1,(Sens!H6352-base_fy)/n_conv)</f>
        <v>0.161111941519932</v>
      </c>
      <c r="I6392" s="7" t="n">
        <f aca="false">Sens!$E$6392+(glt_azo-Sens!$E$6392)*MIN(1,(Sens!I6352-base_fy)/n_conv)</f>
        <v>0.134074627679955</v>
      </c>
      <c r="J6392" s="7" t="n">
        <f aca="false">Sens!$E$6392+(glt_azo-Sens!$E$6392)*MIN(1,(Sens!J6352-base_fy)/n_conv)</f>
        <v>0.107037313839977</v>
      </c>
      <c r="K6392" s="7" t="n">
        <f aca="false">Sens!$E$6392+(glt_azo-Sens!$E$6392)*MIN(1,(Sens!K6352-base_fy)/n_conv)</f>
        <v>0.08</v>
      </c>
    </row>
    <row r="6393" customFormat="false" ht="15" hidden="false" customHeight="false" outlineLevel="0" collapsed="false">
      <c r="A6393" s="0" t="s">
        <v>867</v>
      </c>
      <c r="B6393" s="0" t="s">
        <v>98</v>
      </c>
      <c r="D6393" s="6" t="n">
        <f aca="false">Sens!D6390+Sens!D6391</f>
        <v>72.61</v>
      </c>
      <c r="E6393" s="6" t="n">
        <f aca="false">Sens!E6390+Sens!E6391</f>
        <v>101.938</v>
      </c>
      <c r="F6393" s="6" t="n">
        <f aca="false">Sens!F6390+Sens!F6391</f>
        <v>148.812368967868</v>
      </c>
      <c r="G6393" s="6" t="n">
        <f aca="false">Sens!G6390+Sens!G6391</f>
        <v>208.397514344463</v>
      </c>
      <c r="H6393" s="6" t="n">
        <f aca="false">Sens!H6390+Sens!H6391</f>
        <v>274.05759259987</v>
      </c>
      <c r="I6393" s="6" t="n">
        <f aca="false">Sens!I6390+Sens!I6391</f>
        <v>328.302405465117</v>
      </c>
      <c r="J6393" s="6" t="n">
        <f aca="false">Sens!J6390+Sens!J6391</f>
        <v>369.587890439908</v>
      </c>
      <c r="K6393" s="6" t="n">
        <f aca="false">Sens!K6390+Sens!K6391</f>
        <v>398.390581897217</v>
      </c>
    </row>
    <row r="6394" customFormat="false" ht="17.15" hidden="false" customHeight="false" outlineLevel="0" collapsed="false">
      <c r="A6394" s="0" t="s">
        <v>868</v>
      </c>
      <c r="B6394" s="1" t="s">
        <v>521</v>
      </c>
      <c r="C6394" s="29" t="n">
        <f aca="false">cop_s24</f>
        <v>1</v>
      </c>
      <c r="D6394" s="29" t="n">
        <f aca="false">cop_s25</f>
        <v>5</v>
      </c>
      <c r="E6394" s="29" t="n">
        <f aca="false">cop_s26</f>
        <v>30</v>
      </c>
      <c r="F6394" s="29" t="n">
        <f aca="false">Sens!E6394+cop_add_A</f>
        <v>60</v>
      </c>
      <c r="G6394" s="29" t="n">
        <f aca="false">Sens!F6394+cop_add_A</f>
        <v>90</v>
      </c>
      <c r="H6394" s="29" t="n">
        <f aca="false">Sens!G6394+cop_add_A</f>
        <v>120</v>
      </c>
      <c r="I6394" s="29" t="n">
        <f aca="false">Sens!H6394+cop_add_A*cop_tail</f>
        <v>135</v>
      </c>
      <c r="J6394" s="29" t="n">
        <f aca="false">Sens!I6394+cop_add_A*cop_tail</f>
        <v>150</v>
      </c>
      <c r="K6394" s="29" t="n">
        <f aca="false">Sens!J6394+cop_add_A*cop_tail</f>
        <v>165</v>
      </c>
      <c r="L6394" s="11" t="s">
        <v>869</v>
      </c>
    </row>
    <row r="6395" customFormat="false" ht="17.15" hidden="false" customHeight="false" outlineLevel="0" collapsed="false">
      <c r="A6395" s="0" t="s">
        <v>870</v>
      </c>
      <c r="B6395" s="0" t="s">
        <v>98</v>
      </c>
      <c r="D6395" s="6" t="n">
        <f aca="false">(Sens!C6394+Sens!D6394)/2*cop_px*12/1000</f>
        <v>0.9</v>
      </c>
      <c r="E6395" s="6" t="n">
        <f aca="false">(Sens!D6394+Sens!E6394)/2*cop_px*12/1000</f>
        <v>5.25</v>
      </c>
      <c r="F6395" s="6" t="n">
        <f aca="false">(Sens!E6394+Sens!F6394)/2*cop_px_lo*12/1000</f>
        <v>9.72</v>
      </c>
      <c r="G6395" s="6" t="n">
        <f aca="false">(Sens!F6394+Sens!G6394)/2*cop_px_lo*12/1000</f>
        <v>16.2</v>
      </c>
      <c r="H6395" s="6" t="n">
        <f aca="false">(Sens!G6394+Sens!H6394)/2*cop_px_lo*12/1000</f>
        <v>22.68</v>
      </c>
      <c r="I6395" s="6" t="n">
        <f aca="false">(Sens!H6394+Sens!I6394)/2*cop_px_lo*12/1000</f>
        <v>27.54</v>
      </c>
      <c r="J6395" s="6" t="n">
        <f aca="false">(Sens!I6394+Sens!J6394)/2*cop_px_lo*12/1000</f>
        <v>30.78</v>
      </c>
      <c r="K6395" s="6" t="n">
        <f aca="false">(Sens!J6394+Sens!K6394)/2*cop_px_lo*12/1000</f>
        <v>34.02</v>
      </c>
      <c r="L6395" s="1" t="s">
        <v>871</v>
      </c>
    </row>
    <row r="6396" customFormat="false" ht="17.15" hidden="false" customHeight="false" outlineLevel="0" collapsed="false">
      <c r="A6396" s="0" t="s">
        <v>872</v>
      </c>
      <c r="B6396" s="0" t="s">
        <v>98</v>
      </c>
      <c r="D6396" s="6" t="n">
        <f aca="false">Q!L7-Sens!D6395</f>
        <v>83.705</v>
      </c>
      <c r="E6396" s="6" t="n">
        <f aca="false">Q!M7-Sens!E6395</f>
        <v>95.049</v>
      </c>
      <c r="F6396" s="6" t="n">
        <f aca="false">Sens!E6396*(1+Sens!F6397)</f>
        <v>106.89238776686</v>
      </c>
      <c r="G6396" s="6" t="n">
        <f aca="false">Sens!F6396*(1+Sens!G6397)</f>
        <v>119.044168448684</v>
      </c>
      <c r="H6396" s="6" t="n">
        <f aca="false">Sens!G6396*(1+Sens!H6397)</f>
        <v>131.277359388781</v>
      </c>
      <c r="I6396" s="6" t="n">
        <f aca="false">Sens!H6396*(1+Sens!I6397)</f>
        <v>143.334028071957</v>
      </c>
      <c r="J6396" s="6" t="n">
        <f aca="false">Sens!I6396*(1+Sens!J6397)</f>
        <v>154.932702785465</v>
      </c>
      <c r="K6396" s="6" t="n">
        <f aca="false">Sens!J6396*(1+Sens!K6397)</f>
        <v>165.777991980448</v>
      </c>
    </row>
    <row r="6397" customFormat="false" ht="15" hidden="false" customHeight="false" outlineLevel="0" collapsed="false">
      <c r="A6397" s="1" t="s">
        <v>866</v>
      </c>
      <c r="B6397" s="0" t="s">
        <v>129</v>
      </c>
      <c r="E6397" s="7" t="n">
        <f aca="false">Sens!E6396/Sens!D6396-1</f>
        <v>0.135523564900544</v>
      </c>
      <c r="F6397" s="7" t="n">
        <f aca="false">Sens!$E$6397+(glt_m365b-Sens!$E$6397)*MIN(1,(Sens!F6352-base_fy)/n_conv)</f>
        <v>0.124602970750453</v>
      </c>
      <c r="G6397" s="7" t="n">
        <f aca="false">Sens!$E$6397+(glt_m365b-Sens!$E$6397)*MIN(1,(Sens!G6352-base_fy)/n_conv)</f>
        <v>0.113682376600363</v>
      </c>
      <c r="H6397" s="7" t="n">
        <f aca="false">Sens!$E$6397+(glt_m365b-Sens!$E$6397)*MIN(1,(Sens!H6352-base_fy)/n_conv)</f>
        <v>0.102761782450272</v>
      </c>
      <c r="I6397" s="7" t="n">
        <f aca="false">Sens!$E$6397+(glt_m365b-Sens!$E$6397)*MIN(1,(Sens!I6352-base_fy)/n_conv)</f>
        <v>0.0918411883001813</v>
      </c>
      <c r="J6397" s="7" t="n">
        <f aca="false">Sens!$E$6397+(glt_m365b-Sens!$E$6397)*MIN(1,(Sens!J6352-base_fy)/n_conv)</f>
        <v>0.0809205941500906</v>
      </c>
      <c r="K6397" s="7" t="n">
        <f aca="false">Sens!$E$6397+(glt_m365b-Sens!$E$6397)*MIN(1,(Sens!K6352-base_fy)/n_conv)</f>
        <v>0.07</v>
      </c>
    </row>
    <row r="6398" customFormat="false" ht="15" hidden="false" customHeight="false" outlineLevel="0" collapsed="false">
      <c r="A6398" s="0" t="s">
        <v>873</v>
      </c>
      <c r="B6398" s="0" t="s">
        <v>98</v>
      </c>
      <c r="D6398" s="6" t="n">
        <f aca="false">Sens!D6396+Sens!D6395</f>
        <v>84.605</v>
      </c>
      <c r="E6398" s="6" t="n">
        <f aca="false">Sens!E6396+Sens!E6395</f>
        <v>100.299</v>
      </c>
      <c r="F6398" s="6" t="n">
        <f aca="false">Sens!F6396+Sens!F6395</f>
        <v>116.61238776686</v>
      </c>
      <c r="G6398" s="6" t="n">
        <f aca="false">Sens!G6396+Sens!G6395</f>
        <v>135.244168448684</v>
      </c>
      <c r="H6398" s="6" t="n">
        <f aca="false">Sens!H6396+Sens!H6395</f>
        <v>153.957359388781</v>
      </c>
      <c r="I6398" s="6" t="n">
        <f aca="false">Sens!I6396+Sens!I6395</f>
        <v>170.874028071957</v>
      </c>
      <c r="J6398" s="6" t="n">
        <f aca="false">Sens!J6396+Sens!J6395</f>
        <v>185.712702785465</v>
      </c>
      <c r="K6398" s="6" t="n">
        <f aca="false">Sens!K6396+Sens!K6395</f>
        <v>199.797991980448</v>
      </c>
    </row>
    <row r="6399" customFormat="false" ht="15" hidden="false" customHeight="false" outlineLevel="0" collapsed="false">
      <c r="A6399" s="0" t="s">
        <v>874</v>
      </c>
      <c r="B6399" s="0" t="s">
        <v>98</v>
      </c>
      <c r="D6399" s="6" t="n">
        <f aca="false">Q!L8</f>
        <v>35.391</v>
      </c>
      <c r="E6399" s="6" t="n">
        <f aca="false">Q!M8</f>
        <v>37.285</v>
      </c>
      <c r="F6399" s="6" t="n">
        <f aca="false">Sens!E6399*(1+Sens!F6400)</f>
        <v>39.0720834331704</v>
      </c>
      <c r="G6399" s="6" t="n">
        <f aca="false">Sens!F6399*(1+Sens!G6400)</f>
        <v>40.726562953769</v>
      </c>
      <c r="H6399" s="6" t="n">
        <f aca="false">Sens!G6399*(1+Sens!H6400)</f>
        <v>42.2235987259198</v>
      </c>
      <c r="I6399" s="6" t="n">
        <f aca="false">Sens!H6399*(1+Sens!I6400)</f>
        <v>43.5397988077414</v>
      </c>
      <c r="J6399" s="6" t="n">
        <f aca="false">Sens!I6399*(1+Sens!J6400)</f>
        <v>44.653811225693</v>
      </c>
      <c r="K6399" s="6" t="n">
        <f aca="false">Sens!J6399*(1+Sens!K6400)</f>
        <v>45.5468874502068</v>
      </c>
    </row>
    <row r="6400" customFormat="false" ht="15" hidden="false" customHeight="false" outlineLevel="0" collapsed="false">
      <c r="A6400" s="1" t="s">
        <v>866</v>
      </c>
      <c r="B6400" s="0" t="s">
        <v>129</v>
      </c>
      <c r="E6400" s="7" t="n">
        <f aca="false">Sens!E6399/Sens!D6399-1</f>
        <v>0.0535164307309768</v>
      </c>
      <c r="F6400" s="7" t="n">
        <f aca="false">Sens!$E$6400+(glt_lic-Sens!$E$6400)*MIN(1,(Sens!F6352-base_fy)/n_conv)</f>
        <v>0.0479303589424807</v>
      </c>
      <c r="G6400" s="7" t="n">
        <f aca="false">Sens!$E$6400+(glt_lic-Sens!$E$6400)*MIN(1,(Sens!G6352-base_fy)/n_conv)</f>
        <v>0.0423442871539845</v>
      </c>
      <c r="H6400" s="7" t="n">
        <f aca="false">Sens!$E$6400+(glt_lic-Sens!$E$6400)*MIN(1,(Sens!H6352-base_fy)/n_conv)</f>
        <v>0.0367582153654884</v>
      </c>
      <c r="I6400" s="7" t="n">
        <f aca="false">Sens!$E$6400+(glt_lic-Sens!$E$6400)*MIN(1,(Sens!I6352-base_fy)/n_conv)</f>
        <v>0.0311721435769923</v>
      </c>
      <c r="J6400" s="7" t="n">
        <f aca="false">Sens!$E$6400+(glt_lic-Sens!$E$6400)*MIN(1,(Sens!J6352-base_fy)/n_conv)</f>
        <v>0.0255860717884961</v>
      </c>
      <c r="K6400" s="7" t="n">
        <f aca="false">Sens!$E$6400+(glt_lic-Sens!$E$6400)*MIN(1,(Sens!K6352-base_fy)/n_conv)</f>
        <v>0.02</v>
      </c>
    </row>
    <row r="6401" customFormat="false" ht="15" hidden="false" customHeight="false" outlineLevel="0" collapsed="false">
      <c r="A6401" s="0" t="s">
        <v>875</v>
      </c>
      <c r="B6401" s="0" t="s">
        <v>98</v>
      </c>
      <c r="D6401" s="6" t="n">
        <f aca="false">Q!L9</f>
        <v>18.417</v>
      </c>
      <c r="E6401" s="6" t="n">
        <f aca="false">Q!M9</f>
        <v>20.345</v>
      </c>
      <c r="F6401" s="6" t="n">
        <f aca="false">Sens!E6401*(1+Sens!F6402)</f>
        <v>22.3572203267814</v>
      </c>
      <c r="G6401" s="6" t="n">
        <f aca="false">Sens!F6401*(1+Sens!G6402)</f>
        <v>24.4392124437232</v>
      </c>
      <c r="H6401" s="6" t="n">
        <f aca="false">Sens!G6401*(1+Sens!H6402)</f>
        <v>26.5738052080665</v>
      </c>
      <c r="I6401" s="6" t="n">
        <f aca="false">Sens!H6401*(1+Sens!I6402)</f>
        <v>28.7412169166967</v>
      </c>
      <c r="J6401" s="6" t="n">
        <f aca="false">Sens!I6401*(1+Sens!J6402)</f>
        <v>30.9192545395413</v>
      </c>
      <c r="K6401" s="6" t="n">
        <f aca="false">Sens!J6401*(1+Sens!K6402)</f>
        <v>33.0836023573092</v>
      </c>
    </row>
    <row r="6402" customFormat="false" ht="15" hidden="false" customHeight="false" outlineLevel="0" collapsed="false">
      <c r="A6402" s="1" t="s">
        <v>866</v>
      </c>
      <c r="B6402" s="0" t="s">
        <v>129</v>
      </c>
      <c r="E6402" s="7" t="n">
        <f aca="false">Sens!E6401/Sens!D6401-1</f>
        <v>0.104685888038225</v>
      </c>
      <c r="F6402" s="7" t="n">
        <f aca="false">Sens!$E$6402+(glt_ind-Sens!$E$6402)*MIN(1,(Sens!F6352-base_fy)/n_conv)</f>
        <v>0.0989049066985211</v>
      </c>
      <c r="G6402" s="7" t="n">
        <f aca="false">Sens!$E$6402+(glt_ind-Sens!$E$6402)*MIN(1,(Sens!G6352-base_fy)/n_conv)</f>
        <v>0.0931239253588169</v>
      </c>
      <c r="H6402" s="7" t="n">
        <f aca="false">Sens!$E$6402+(glt_ind-Sens!$E$6402)*MIN(1,(Sens!H6352-base_fy)/n_conv)</f>
        <v>0.0873429440191127</v>
      </c>
      <c r="I6402" s="7" t="n">
        <f aca="false">Sens!$E$6402+(glt_ind-Sens!$E$6402)*MIN(1,(Sens!I6352-base_fy)/n_conv)</f>
        <v>0.0815619626794085</v>
      </c>
      <c r="J6402" s="7" t="n">
        <f aca="false">Sens!$E$6402+(glt_ind-Sens!$E$6402)*MIN(1,(Sens!J6352-base_fy)/n_conv)</f>
        <v>0.0757809813397042</v>
      </c>
      <c r="K6402" s="7" t="n">
        <f aca="false">Sens!$E$6402+(glt_ind-Sens!$E$6402)*MIN(1,(Sens!K6352-base_fy)/n_conv)</f>
        <v>0.07</v>
      </c>
    </row>
    <row r="6403" customFormat="false" ht="15" hidden="false" customHeight="false" outlineLevel="0" collapsed="false">
      <c r="A6403" s="0" t="s">
        <v>876</v>
      </c>
      <c r="B6403" s="0" t="s">
        <v>98</v>
      </c>
      <c r="D6403" s="6" t="n">
        <f aca="false">Q!L10</f>
        <v>7.76</v>
      </c>
      <c r="E6403" s="6" t="n">
        <f aca="false">Q!M10</f>
        <v>8.26</v>
      </c>
      <c r="F6403" s="6" t="n">
        <f aca="false">Sens!E6403*(1+Sens!F6404)</f>
        <v>8.79988041237113</v>
      </c>
      <c r="G6403" s="6" t="n">
        <f aca="false">Sens!F6403*(1+Sens!G6404)</f>
        <v>9.38321269125306</v>
      </c>
      <c r="H6403" s="6" t="n">
        <f aca="false">Sens!G6403*(1+Sens!H6404)</f>
        <v>10.0139193587476</v>
      </c>
      <c r="I6403" s="6" t="n">
        <f aca="false">Sens!H6403*(1+Sens!I6404)</f>
        <v>10.6963111830911</v>
      </c>
      <c r="J6403" s="6" t="n">
        <f aca="false">Sens!I6403*(1+Sens!J6404)</f>
        <v>11.4351285534696</v>
      </c>
      <c r="K6403" s="6" t="n">
        <f aca="false">Sens!J6403*(1+Sens!K6404)</f>
        <v>12.2355875522124</v>
      </c>
    </row>
    <row r="6404" customFormat="false" ht="15" hidden="false" customHeight="false" outlineLevel="0" collapsed="false">
      <c r="A6404" s="1" t="s">
        <v>866</v>
      </c>
      <c r="B6404" s="0" t="s">
        <v>129</v>
      </c>
      <c r="E6404" s="7" t="n">
        <f aca="false">Sens!E6403/Sens!D6403-1</f>
        <v>0.0644329896907216</v>
      </c>
      <c r="F6404" s="7" t="n">
        <f aca="false">Sens!$E$6404+(glt_fro-Sens!$E$6404)*MIN(1,(Sens!F6352-base_fy)/n_conv)</f>
        <v>0.065360824742268</v>
      </c>
      <c r="G6404" s="7" t="n">
        <f aca="false">Sens!$E$6404+(glt_fro-Sens!$E$6404)*MIN(1,(Sens!G6352-base_fy)/n_conv)</f>
        <v>0.0662886597938144</v>
      </c>
      <c r="H6404" s="7" t="n">
        <f aca="false">Sens!$E$6404+(glt_fro-Sens!$E$6404)*MIN(1,(Sens!H6352-base_fy)/n_conv)</f>
        <v>0.0672164948453608</v>
      </c>
      <c r="I6404" s="7" t="n">
        <f aca="false">Sens!$E$6404+(glt_fro-Sens!$E$6404)*MIN(1,(Sens!I6352-base_fy)/n_conv)</f>
        <v>0.0681443298969072</v>
      </c>
      <c r="J6404" s="7" t="n">
        <f aca="false">Sens!$E$6404+(glt_fro-Sens!$E$6404)*MIN(1,(Sens!J6352-base_fy)/n_conv)</f>
        <v>0.0690721649484536</v>
      </c>
      <c r="K6404" s="7" t="n">
        <f aca="false">Sens!$E$6404+(glt_fro-Sens!$E$6404)*MIN(1,(Sens!K6352-base_fy)/n_conv)</f>
        <v>0.07</v>
      </c>
    </row>
    <row r="6405" customFormat="false" ht="15" hidden="false" customHeight="false" outlineLevel="0" collapsed="false">
      <c r="A6405" s="0" t="s">
        <v>704</v>
      </c>
      <c r="B6405" s="0" t="s">
        <v>98</v>
      </c>
      <c r="D6405" s="6" t="n">
        <f aca="false">Sens!D6393+Sens!D6398+Sens!D6399+Sens!D6401+Sens!D6403</f>
        <v>218.783</v>
      </c>
      <c r="E6405" s="6" t="n">
        <f aca="false">Sens!E6393+Sens!E6398+Sens!E6399+Sens!E6401+Sens!E6403</f>
        <v>268.127</v>
      </c>
      <c r="F6405" s="6" t="n">
        <f aca="false">Sens!F6393+Sens!F6398+Sens!F6399+Sens!F6401+Sens!F6403</f>
        <v>335.653940907051</v>
      </c>
      <c r="G6405" s="6" t="n">
        <f aca="false">Sens!G6393+Sens!G6398+Sens!G6399+Sens!G6401+Sens!G6403</f>
        <v>418.190670881892</v>
      </c>
      <c r="H6405" s="6" t="n">
        <f aca="false">Sens!H6393+Sens!H6398+Sens!H6399+Sens!H6401+Sens!H6403</f>
        <v>506.826275281385</v>
      </c>
      <c r="I6405" s="6" t="n">
        <f aca="false">Sens!I6393+Sens!I6398+Sens!I6399+Sens!I6401+Sens!I6403</f>
        <v>582.153760444603</v>
      </c>
      <c r="J6405" s="6" t="n">
        <f aca="false">Sens!J6393+Sens!J6398+Sens!J6399+Sens!J6401+Sens!J6403</f>
        <v>642.308787544077</v>
      </c>
      <c r="K6405" s="6" t="n">
        <f aca="false">Sens!K6393+Sens!K6398+Sens!K6399+Sens!K6401+Sens!K6403</f>
        <v>689.054651237393</v>
      </c>
    </row>
    <row r="6406" customFormat="false" ht="15" hidden="false" customHeight="false" outlineLevel="0" collapsed="false">
      <c r="A6406" s="0" t="s">
        <v>877</v>
      </c>
      <c r="B6406" s="0" t="s">
        <v>98</v>
      </c>
      <c r="D6406" s="6" t="n">
        <f aca="false">Q!L13</f>
        <v>22.171</v>
      </c>
      <c r="E6406" s="6" t="n">
        <f aca="false">Q!M13</f>
        <v>24.835</v>
      </c>
      <c r="F6406" s="6" t="n">
        <f aca="false">Sens!E6406*(1+Sens!F6407)</f>
        <v>27.6114901218559</v>
      </c>
      <c r="G6406" s="6" t="n">
        <f aca="false">Sens!F6406*(1+Sens!G6407)</f>
        <v>30.4675667338515</v>
      </c>
      <c r="H6406" s="6" t="n">
        <f aca="false">Sens!G6406*(1+Sens!H6407)</f>
        <v>33.3643766955789</v>
      </c>
      <c r="I6406" s="6" t="n">
        <f aca="false">Sens!H6406*(1+Sens!I6407)</f>
        <v>36.2577016533691</v>
      </c>
      <c r="J6406" s="6" t="n">
        <f aca="false">Sens!I6406*(1+Sens!J6407)</f>
        <v>39.0988367952171</v>
      </c>
      <c r="K6406" s="6" t="n">
        <f aca="false">Sens!J6406*(1+Sens!K6407)</f>
        <v>41.8357553708823</v>
      </c>
    </row>
    <row r="6407" customFormat="false" ht="15" hidden="false" customHeight="false" outlineLevel="0" collapsed="false">
      <c r="A6407" s="1" t="s">
        <v>866</v>
      </c>
      <c r="B6407" s="0" t="s">
        <v>129</v>
      </c>
      <c r="E6407" s="7" t="n">
        <f aca="false">Sens!E6406/Sens!D6406-1</f>
        <v>0.120156961796942</v>
      </c>
      <c r="F6407" s="7" t="n">
        <f aca="false">Sens!$E$6407+(glt_srch-Sens!$E$6407)*MIN(1,(Sens!F6352-base_fy)/n_conv)</f>
        <v>0.111797468164118</v>
      </c>
      <c r="G6407" s="7" t="n">
        <f aca="false">Sens!$E$6407+(glt_srch-Sens!$E$6407)*MIN(1,(Sens!G6352-base_fy)/n_conv)</f>
        <v>0.103437974531295</v>
      </c>
      <c r="H6407" s="7" t="n">
        <f aca="false">Sens!$E$6407+(glt_srch-Sens!$E$6407)*MIN(1,(Sens!H6352-base_fy)/n_conv)</f>
        <v>0.095078480898471</v>
      </c>
      <c r="I6407" s="7" t="n">
        <f aca="false">Sens!$E$6407+(glt_srch-Sens!$E$6407)*MIN(1,(Sens!I6352-base_fy)/n_conv)</f>
        <v>0.0867189872656474</v>
      </c>
      <c r="J6407" s="7" t="n">
        <f aca="false">Sens!$E$6407+(glt_srch-Sens!$E$6407)*MIN(1,(Sens!J6352-base_fy)/n_conv)</f>
        <v>0.0783594936328237</v>
      </c>
      <c r="K6407" s="7" t="n">
        <f aca="false">Sens!$E$6407+(glt_srch-Sens!$E$6407)*MIN(1,(Sens!K6352-base_fy)/n_conv)</f>
        <v>0.07</v>
      </c>
    </row>
    <row r="6408" customFormat="false" ht="15" hidden="false" customHeight="false" outlineLevel="0" collapsed="false">
      <c r="A6408" s="0" t="s">
        <v>878</v>
      </c>
      <c r="B6408" s="0" t="s">
        <v>98</v>
      </c>
      <c r="D6408" s="6" t="n">
        <f aca="false">Q!L14</f>
        <v>23.455</v>
      </c>
      <c r="E6408" s="6" t="n">
        <f aca="false">Q!M14</f>
        <v>21.79</v>
      </c>
      <c r="F6408" s="6" t="n">
        <f aca="false">Sens!E6408*(1+Sens!F6409)</f>
        <v>20.5736277908051</v>
      </c>
      <c r="G6408" s="6" t="n">
        <f aca="false">Sens!F6408*(1+Sens!G6409)</f>
        <v>19.7371452817919</v>
      </c>
      <c r="H6408" s="6" t="n">
        <f aca="false">Sens!G6408*(1+Sens!H6409)</f>
        <v>19.2339764043138</v>
      </c>
      <c r="I6408" s="6" t="n">
        <f aca="false">Sens!H6408*(1+Sens!I6409)</f>
        <v>19.0353086852681</v>
      </c>
      <c r="J6408" s="6" t="n">
        <f aca="false">Sens!I6408*(1+Sens!J6409)</f>
        <v>19.1273539319129</v>
      </c>
      <c r="K6408" s="6" t="n">
        <f aca="false">Sens!J6408*(1+Sens!K6409)</f>
        <v>19.5099010105511</v>
      </c>
    </row>
    <row r="6409" customFormat="false" ht="15" hidden="false" customHeight="false" outlineLevel="0" collapsed="false">
      <c r="A6409" s="1" t="s">
        <v>866</v>
      </c>
      <c r="B6409" s="0" t="s">
        <v>129</v>
      </c>
      <c r="E6409" s="7" t="n">
        <f aca="false">Sens!E6408/Sens!D6408-1</f>
        <v>-0.0709869963760392</v>
      </c>
      <c r="F6409" s="7" t="n">
        <f aca="false">Sens!$E$6409+(glt_xbox-Sens!$E$6409)*MIN(1,(Sens!F6352-base_fy)/n_conv)</f>
        <v>-0.0558224969800327</v>
      </c>
      <c r="G6409" s="7" t="n">
        <f aca="false">Sens!$E$6409+(glt_xbox-Sens!$E$6409)*MIN(1,(Sens!G6352-base_fy)/n_conv)</f>
        <v>-0.0406579975840262</v>
      </c>
      <c r="H6409" s="7" t="n">
        <f aca="false">Sens!$E$6409+(glt_xbox-Sens!$E$6409)*MIN(1,(Sens!H6352-base_fy)/n_conv)</f>
        <v>-0.0254934981880196</v>
      </c>
      <c r="I6409" s="7" t="n">
        <f aca="false">Sens!$E$6409+(glt_xbox-Sens!$E$6409)*MIN(1,(Sens!I6352-base_fy)/n_conv)</f>
        <v>-0.0103289987920131</v>
      </c>
      <c r="J6409" s="7" t="n">
        <f aca="false">Sens!$E$6409+(glt_xbox-Sens!$E$6409)*MIN(1,(Sens!J6352-base_fy)/n_conv)</f>
        <v>0.00483550060399347</v>
      </c>
      <c r="K6409" s="7" t="n">
        <f aca="false">Sens!$E$6409+(glt_xbox-Sens!$E$6409)*MIN(1,(Sens!K6352-base_fy)/n_conv)</f>
        <v>0.02</v>
      </c>
    </row>
    <row r="6410" customFormat="false" ht="15" hidden="false" customHeight="false" outlineLevel="0" collapsed="false">
      <c r="A6410" s="0" t="s">
        <v>879</v>
      </c>
      <c r="B6410" s="0" t="s">
        <v>98</v>
      </c>
      <c r="D6410" s="6" t="n">
        <f aca="false">Q!L15</f>
        <v>17.315</v>
      </c>
      <c r="E6410" s="6" t="n">
        <f aca="false">Q!M15</f>
        <v>17.087</v>
      </c>
      <c r="F6410" s="6" t="n">
        <f aca="false">Sens!E6410*(1+Sens!F6411)</f>
        <v>16.9564585436519</v>
      </c>
      <c r="G6410" s="6" t="n">
        <f aca="false">Sens!F6410*(1+Sens!G6411)</f>
        <v>16.9206490624268</v>
      </c>
      <c r="H6410" s="6" t="n">
        <f aca="false">Sens!G6410*(1+Sens!H6411)</f>
        <v>16.9784519149849</v>
      </c>
      <c r="I6410" s="6" t="n">
        <f aca="false">Sens!H6410*(1+Sens!I6411)</f>
        <v>17.1303084701817</v>
      </c>
      <c r="J6410" s="6" t="n">
        <f aca="false">Sens!I6410*(1+Sens!J6411)</f>
        <v>17.3782189407267</v>
      </c>
      <c r="K6410" s="6" t="n">
        <f aca="false">Sens!J6410*(1+Sens!K6411)</f>
        <v>17.7257833195413</v>
      </c>
    </row>
    <row r="6411" customFormat="false" ht="15" hidden="false" customHeight="false" outlineLevel="0" collapsed="false">
      <c r="A6411" s="1" t="s">
        <v>866</v>
      </c>
      <c r="B6411" s="0" t="s">
        <v>129</v>
      </c>
      <c r="E6411" s="7" t="n">
        <f aca="false">Sens!E6410/Sens!D6410-1</f>
        <v>-0.0131677736066995</v>
      </c>
      <c r="F6411" s="7" t="n">
        <f aca="false">Sens!$E$6411+(glt_win-Sens!$E$6411)*MIN(1,(Sens!F6352-base_fy)/n_conv)</f>
        <v>-0.00763981133891627</v>
      </c>
      <c r="G6411" s="7" t="n">
        <f aca="false">Sens!$E$6411+(glt_win-Sens!$E$6411)*MIN(1,(Sens!G6352-base_fy)/n_conv)</f>
        <v>-0.00211184907113301</v>
      </c>
      <c r="H6411" s="7" t="n">
        <f aca="false">Sens!$E$6411+(glt_win-Sens!$E$6411)*MIN(1,(Sens!H6352-base_fy)/n_conv)</f>
        <v>0.00341611319665024</v>
      </c>
      <c r="I6411" s="7" t="n">
        <f aca="false">Sens!$E$6411+(glt_win-Sens!$E$6411)*MIN(1,(Sens!I6352-base_fy)/n_conv)</f>
        <v>0.00894407546443349</v>
      </c>
      <c r="J6411" s="7" t="n">
        <f aca="false">Sens!$E$6411+(glt_win-Sens!$E$6411)*MIN(1,(Sens!J6352-base_fy)/n_conv)</f>
        <v>0.0144720377322168</v>
      </c>
      <c r="K6411" s="7" t="n">
        <f aca="false">Sens!$E$6411+(glt_win-Sens!$E$6411)*MIN(1,(Sens!K6352-base_fy)/n_conv)</f>
        <v>0.02</v>
      </c>
    </row>
    <row r="6412" customFormat="false" ht="15" hidden="false" customHeight="false" outlineLevel="0" collapsed="false">
      <c r="A6412" s="0" t="s">
        <v>718</v>
      </c>
      <c r="B6412" s="0" t="s">
        <v>98</v>
      </c>
      <c r="D6412" s="6" t="n">
        <f aca="false">Sens!D6406+Sens!D6408+Sens!D6410</f>
        <v>62.941</v>
      </c>
      <c r="E6412" s="6" t="n">
        <f aca="false">Sens!E6406+Sens!E6408+Sens!E6410</f>
        <v>63.712</v>
      </c>
      <c r="F6412" s="6" t="n">
        <f aca="false">Sens!F6406+Sens!F6408+Sens!F6410</f>
        <v>65.1415764563129</v>
      </c>
      <c r="G6412" s="6" t="n">
        <f aca="false">Sens!G6406+Sens!G6408+Sens!G6410</f>
        <v>67.1253610780702</v>
      </c>
      <c r="H6412" s="6" t="n">
        <f aca="false">Sens!H6406+Sens!H6408+Sens!H6410</f>
        <v>69.5768050148776</v>
      </c>
      <c r="I6412" s="6" t="n">
        <f aca="false">Sens!I6406+Sens!I6408+Sens!I6410</f>
        <v>72.4233188088189</v>
      </c>
      <c r="J6412" s="6" t="n">
        <f aca="false">Sens!J6406+Sens!J6408+Sens!J6410</f>
        <v>75.6044096678567</v>
      </c>
      <c r="K6412" s="6" t="n">
        <f aca="false">Sens!K6406+Sens!K6408+Sens!K6410</f>
        <v>79.0714397009747</v>
      </c>
    </row>
    <row r="6413" customFormat="false" ht="15" hidden="false" customHeight="false" outlineLevel="0" collapsed="false">
      <c r="A6413" s="1" t="s">
        <v>880</v>
      </c>
      <c r="B6413" s="0" t="s">
        <v>98</v>
      </c>
      <c r="D6413" s="6" t="n">
        <f aca="false">Sens!D6405+Sens!D6412</f>
        <v>281.724</v>
      </c>
      <c r="E6413" s="6" t="n">
        <f aca="false">Sens!E6405+Sens!E6412</f>
        <v>331.839</v>
      </c>
      <c r="F6413" s="6" t="n">
        <f aca="false">Sens!F6405+Sens!F6412</f>
        <v>400.795517363364</v>
      </c>
      <c r="G6413" s="6" t="n">
        <f aca="false">Sens!G6405+Sens!G6412</f>
        <v>485.316031959962</v>
      </c>
      <c r="H6413" s="6" t="n">
        <f aca="false">Sens!H6405+Sens!H6412</f>
        <v>576.403080296263</v>
      </c>
      <c r="I6413" s="6" t="n">
        <f aca="false">Sens!I6405+Sens!I6412</f>
        <v>654.577079253422</v>
      </c>
      <c r="J6413" s="6" t="n">
        <f aca="false">Sens!J6405+Sens!J6412</f>
        <v>717.913197211934</v>
      </c>
      <c r="K6413" s="6" t="n">
        <f aca="false">Sens!K6405+Sens!K6412</f>
        <v>768.126090938368</v>
      </c>
    </row>
    <row r="6414" customFormat="false" ht="15" hidden="false" customHeight="false" outlineLevel="0" collapsed="false">
      <c r="A6414" s="23" t="s">
        <v>881</v>
      </c>
      <c r="B6414" s="30" t="s">
        <v>98</v>
      </c>
      <c r="C6414" s="30"/>
      <c r="D6414" s="24" t="n">
        <f aca="false">(Sens!D6393+Sens!D6398+Sens!D6399+Sens!D6401+Sens!D6403-Sens!D6405)+(Sens!D6406+Sens!D6408+Sens!D6410-Sens!D6412)+(Sens!D6405-Q!L5)+(Sens!D6412-Q!L12)+(Sens!D6393-Q!L6)+(Sens!D6398-Q!L7)</f>
        <v>0</v>
      </c>
      <c r="E6414" s="24" t="n">
        <f aca="false">(Sens!E6393+Sens!E6398+Sens!E6399+Sens!E6401+Sens!E6403-Sens!E6405)+(Sens!E6406+Sens!E6408+Sens!E6410-Sens!E6412)+(Sens!E6405-Q!M5)+(Sens!E6412-Q!M12)+(Sens!E6393-Q!M6)+(Sens!E6398-Q!M7)</f>
        <v>0</v>
      </c>
      <c r="F6414" s="24" t="n">
        <f aca="false">(Sens!F6393+Sens!F6398+Sens!F6399+Sens!F6401+Sens!F6403-Sens!F6405)+(Sens!F6406+Sens!F6408+Sens!F6410-Sens!F6412)</f>
        <v>0</v>
      </c>
      <c r="G6414" s="24" t="n">
        <f aca="false">(Sens!G6393+Sens!G6398+Sens!G6399+Sens!G6401+Sens!G6403-Sens!G6405)+(Sens!G6406+Sens!G6408+Sens!G6410-Sens!G6412)</f>
        <v>0</v>
      </c>
      <c r="H6414" s="24" t="n">
        <f aca="false">(Sens!H6393+Sens!H6398+Sens!H6399+Sens!H6401+Sens!H6403-Sens!H6405)+(Sens!H6406+Sens!H6408+Sens!H6410-Sens!H6412)</f>
        <v>0</v>
      </c>
      <c r="I6414" s="24" t="n">
        <f aca="false">(Sens!I6393+Sens!I6398+Sens!I6399+Sens!I6401+Sens!I6403-Sens!I6405)+(Sens!I6406+Sens!I6408+Sens!I6410-Sens!I6412)</f>
        <v>0</v>
      </c>
      <c r="J6414" s="24" t="n">
        <f aca="false">(Sens!J6393+Sens!J6398+Sens!J6399+Sens!J6401+Sens!J6403-Sens!J6405)+(Sens!J6406+Sens!J6408+Sens!J6410-Sens!J6412)</f>
        <v>0</v>
      </c>
      <c r="K6414" s="24" t="n">
        <f aca="false">(Sens!K6393+Sens!K6398+Sens!K6399+Sens!K6401+Sens!K6403-Sens!K6405)+(Sens!K6406+Sens!K6408+Sens!K6410-Sens!K6412)</f>
        <v>0</v>
      </c>
    </row>
    <row r="6415" customFormat="false" ht="17.15" hidden="false" customHeight="false" outlineLevel="0" collapsed="false">
      <c r="A6415" s="3" t="s">
        <v>1401</v>
      </c>
    </row>
    <row r="6416" customFormat="false" ht="15" hidden="false" customHeight="false" outlineLevel="0" collapsed="false">
      <c r="A6416" s="4" t="s">
        <v>43</v>
      </c>
      <c r="B6416" s="4" t="s">
        <v>65</v>
      </c>
      <c r="C6416" s="20" t="s">
        <v>788</v>
      </c>
      <c r="D6416" s="20" t="s">
        <v>789</v>
      </c>
      <c r="E6416" s="20" t="s">
        <v>790</v>
      </c>
      <c r="F6416" s="20" t="s">
        <v>791</v>
      </c>
      <c r="G6416" s="20" t="s">
        <v>792</v>
      </c>
      <c r="H6416" s="20" t="s">
        <v>793</v>
      </c>
      <c r="I6416" s="20" t="s">
        <v>794</v>
      </c>
      <c r="J6416" s="20" t="s">
        <v>795</v>
      </c>
      <c r="K6416" s="20" t="s">
        <v>796</v>
      </c>
      <c r="L6416" s="4" t="s">
        <v>47</v>
      </c>
    </row>
    <row r="6417" customFormat="false" ht="15" hidden="false" customHeight="false" outlineLevel="0" collapsed="false">
      <c r="A6417" s="0" t="s">
        <v>867</v>
      </c>
      <c r="B6417" s="0" t="s">
        <v>98</v>
      </c>
      <c r="D6417" s="6" t="n">
        <f aca="false">Sens!D6393</f>
        <v>72.61</v>
      </c>
      <c r="E6417" s="6" t="n">
        <f aca="false">Sens!E6393</f>
        <v>101.938</v>
      </c>
      <c r="F6417" s="6" t="n">
        <f aca="false">Sens!F6393</f>
        <v>148.812368967868</v>
      </c>
      <c r="G6417" s="6" t="n">
        <f aca="false">Sens!G6393</f>
        <v>208.397514344463</v>
      </c>
      <c r="H6417" s="6" t="n">
        <f aca="false">Sens!H6393</f>
        <v>274.05759259987</v>
      </c>
      <c r="I6417" s="6" t="n">
        <f aca="false">Sens!I6393</f>
        <v>328.302405465117</v>
      </c>
      <c r="J6417" s="6" t="n">
        <f aca="false">Sens!J6393</f>
        <v>369.587890439908</v>
      </c>
      <c r="K6417" s="6" t="n">
        <f aca="false">Sens!K6393</f>
        <v>398.390581897217</v>
      </c>
    </row>
    <row r="6418" customFormat="false" ht="17.15" hidden="false" customHeight="false" outlineLevel="0" collapsed="false">
      <c r="A6418" s="0" t="s">
        <v>864</v>
      </c>
      <c r="B6418" s="0" t="s">
        <v>98</v>
      </c>
      <c r="D6418" s="6" t="n">
        <f aca="false">Sens!D6390</f>
        <v>12.9359794422418</v>
      </c>
      <c r="E6418" s="6" t="n">
        <f aca="false">Sens!E6390</f>
        <v>27.8095064661409</v>
      </c>
      <c r="F6418" s="6" t="n">
        <f aca="false">Sens!F6390</f>
        <v>58.7324192305018</v>
      </c>
      <c r="G6418" s="6" t="n">
        <f aca="false">Sens!G6390</f>
        <v>101.369089141153</v>
      </c>
      <c r="H6418" s="6" t="n">
        <f aca="false">Sens!H6390</f>
        <v>149.785610014234</v>
      </c>
      <c r="I6418" s="6" t="n">
        <f aca="false">Sens!I6390</f>
        <v>187.368703083263</v>
      </c>
      <c r="J6418" s="6" t="n">
        <f aca="false">Sens!J6390</f>
        <v>213.569023125577</v>
      </c>
      <c r="K6418" s="6" t="n">
        <f aca="false">Sens!K6390</f>
        <v>229.890205197739</v>
      </c>
    </row>
    <row r="6419" customFormat="false" ht="17.15" hidden="false" customHeight="false" outlineLevel="0" collapsed="false">
      <c r="A6419" s="0" t="s">
        <v>892</v>
      </c>
      <c r="B6419" s="0" t="s">
        <v>98</v>
      </c>
      <c r="D6419" s="6" t="n">
        <f aca="false">Sens!D6391</f>
        <v>59.6740205577583</v>
      </c>
      <c r="E6419" s="6" t="n">
        <f aca="false">Sens!E6391</f>
        <v>74.1284935338591</v>
      </c>
      <c r="F6419" s="6" t="n">
        <f aca="false">Sens!F6391</f>
        <v>90.0799497373663</v>
      </c>
      <c r="G6419" s="6" t="n">
        <f aca="false">Sens!G6391</f>
        <v>107.02842520331</v>
      </c>
      <c r="H6419" s="6" t="n">
        <f aca="false">Sens!H6391</f>
        <v>124.271982585636</v>
      </c>
      <c r="I6419" s="6" t="n">
        <f aca="false">Sens!I6391</f>
        <v>140.933702381855</v>
      </c>
      <c r="J6419" s="6" t="n">
        <f aca="false">Sens!J6391</f>
        <v>156.018867314332</v>
      </c>
      <c r="K6419" s="6" t="n">
        <f aca="false">Sens!K6391</f>
        <v>168.500376699478</v>
      </c>
    </row>
    <row r="6420" customFormat="false" ht="15" hidden="false" customHeight="false" outlineLevel="0" collapsed="false">
      <c r="A6420" s="0" t="s">
        <v>873</v>
      </c>
      <c r="B6420" s="0" t="s">
        <v>98</v>
      </c>
      <c r="D6420" s="6" t="n">
        <f aca="false">Sens!D6398</f>
        <v>84.605</v>
      </c>
      <c r="E6420" s="6" t="n">
        <f aca="false">Sens!E6398</f>
        <v>100.299</v>
      </c>
      <c r="F6420" s="6" t="n">
        <f aca="false">Sens!F6398</f>
        <v>116.61238776686</v>
      </c>
      <c r="G6420" s="6" t="n">
        <f aca="false">Sens!G6398</f>
        <v>135.244168448684</v>
      </c>
      <c r="H6420" s="6" t="n">
        <f aca="false">Sens!H6398</f>
        <v>153.957359388781</v>
      </c>
      <c r="I6420" s="6" t="n">
        <f aca="false">Sens!I6398</f>
        <v>170.874028071957</v>
      </c>
      <c r="J6420" s="6" t="n">
        <f aca="false">Sens!J6398</f>
        <v>185.712702785465</v>
      </c>
      <c r="K6420" s="6" t="n">
        <f aca="false">Sens!K6398</f>
        <v>199.797991980448</v>
      </c>
    </row>
    <row r="6421" customFormat="false" ht="17.15" hidden="false" customHeight="false" outlineLevel="0" collapsed="false">
      <c r="A6421" s="0" t="s">
        <v>893</v>
      </c>
      <c r="B6421" s="0" t="s">
        <v>98</v>
      </c>
      <c r="D6421" s="6" t="n">
        <f aca="false">Sens!D6396</f>
        <v>83.705</v>
      </c>
      <c r="E6421" s="6" t="n">
        <f aca="false">Sens!E6396</f>
        <v>95.049</v>
      </c>
      <c r="F6421" s="6" t="n">
        <f aca="false">Sens!F6396</f>
        <v>106.89238776686</v>
      </c>
      <c r="G6421" s="6" t="n">
        <f aca="false">Sens!G6396</f>
        <v>119.044168448684</v>
      </c>
      <c r="H6421" s="6" t="n">
        <f aca="false">Sens!H6396</f>
        <v>131.277359388781</v>
      </c>
      <c r="I6421" s="6" t="n">
        <f aca="false">Sens!I6396</f>
        <v>143.334028071957</v>
      </c>
      <c r="J6421" s="6" t="n">
        <f aca="false">Sens!J6396</f>
        <v>154.932702785465</v>
      </c>
      <c r="K6421" s="6" t="n">
        <f aca="false">Sens!K6396</f>
        <v>165.777991980448</v>
      </c>
    </row>
    <row r="6422" customFormat="false" ht="17.15" hidden="false" customHeight="false" outlineLevel="0" collapsed="false">
      <c r="A6422" s="0" t="s">
        <v>894</v>
      </c>
      <c r="B6422" s="0" t="s">
        <v>98</v>
      </c>
      <c r="D6422" s="6" t="n">
        <f aca="false">Sens!D6395</f>
        <v>0.9</v>
      </c>
      <c r="E6422" s="6" t="n">
        <f aca="false">Sens!E6395</f>
        <v>5.25</v>
      </c>
      <c r="F6422" s="6" t="n">
        <f aca="false">Sens!F6395</f>
        <v>9.72</v>
      </c>
      <c r="G6422" s="6" t="n">
        <f aca="false">Sens!G6395</f>
        <v>16.2</v>
      </c>
      <c r="H6422" s="6" t="n">
        <f aca="false">Sens!H6395</f>
        <v>22.68</v>
      </c>
      <c r="I6422" s="6" t="n">
        <f aca="false">Sens!I6395</f>
        <v>27.54</v>
      </c>
      <c r="J6422" s="6" t="n">
        <f aca="false">Sens!J6395</f>
        <v>30.78</v>
      </c>
      <c r="K6422" s="6" t="n">
        <f aca="false">Sens!K6395</f>
        <v>34.02</v>
      </c>
    </row>
    <row r="6423" customFormat="false" ht="15" hidden="false" customHeight="false" outlineLevel="0" collapsed="false">
      <c r="A6423" s="0" t="s">
        <v>874</v>
      </c>
      <c r="B6423" s="0" t="s">
        <v>98</v>
      </c>
      <c r="D6423" s="6" t="n">
        <f aca="false">Sens!D6399</f>
        <v>35.391</v>
      </c>
      <c r="E6423" s="6" t="n">
        <f aca="false">Sens!E6399</f>
        <v>37.285</v>
      </c>
      <c r="F6423" s="6" t="n">
        <f aca="false">Sens!F6399</f>
        <v>39.0720834331704</v>
      </c>
      <c r="G6423" s="6" t="n">
        <f aca="false">Sens!G6399</f>
        <v>40.726562953769</v>
      </c>
      <c r="H6423" s="6" t="n">
        <f aca="false">Sens!H6399</f>
        <v>42.2235987259198</v>
      </c>
      <c r="I6423" s="6" t="n">
        <f aca="false">Sens!I6399</f>
        <v>43.5397988077414</v>
      </c>
      <c r="J6423" s="6" t="n">
        <f aca="false">Sens!J6399</f>
        <v>44.653811225693</v>
      </c>
      <c r="K6423" s="6" t="n">
        <f aca="false">Sens!K6399</f>
        <v>45.5468874502068</v>
      </c>
    </row>
    <row r="6424" customFormat="false" ht="15" hidden="false" customHeight="false" outlineLevel="0" collapsed="false">
      <c r="A6424" s="0" t="s">
        <v>875</v>
      </c>
      <c r="B6424" s="0" t="s">
        <v>98</v>
      </c>
      <c r="D6424" s="6" t="n">
        <f aca="false">Sens!D6401</f>
        <v>18.417</v>
      </c>
      <c r="E6424" s="6" t="n">
        <f aca="false">Sens!E6401</f>
        <v>20.345</v>
      </c>
      <c r="F6424" s="6" t="n">
        <f aca="false">Sens!F6401</f>
        <v>22.3572203267814</v>
      </c>
      <c r="G6424" s="6" t="n">
        <f aca="false">Sens!G6401</f>
        <v>24.4392124437232</v>
      </c>
      <c r="H6424" s="6" t="n">
        <f aca="false">Sens!H6401</f>
        <v>26.5738052080665</v>
      </c>
      <c r="I6424" s="6" t="n">
        <f aca="false">Sens!I6401</f>
        <v>28.7412169166967</v>
      </c>
      <c r="J6424" s="6" t="n">
        <f aca="false">Sens!J6401</f>
        <v>30.9192545395413</v>
      </c>
      <c r="K6424" s="6" t="n">
        <f aca="false">Sens!K6401</f>
        <v>33.0836023573092</v>
      </c>
    </row>
    <row r="6425" customFormat="false" ht="15" hidden="false" customHeight="false" outlineLevel="0" collapsed="false">
      <c r="A6425" s="0" t="s">
        <v>876</v>
      </c>
      <c r="B6425" s="0" t="s">
        <v>98</v>
      </c>
      <c r="D6425" s="6" t="n">
        <f aca="false">Sens!D6403</f>
        <v>7.76</v>
      </c>
      <c r="E6425" s="6" t="n">
        <f aca="false">Sens!E6403</f>
        <v>8.26</v>
      </c>
      <c r="F6425" s="6" t="n">
        <f aca="false">Sens!F6403</f>
        <v>8.79988041237113</v>
      </c>
      <c r="G6425" s="6" t="n">
        <f aca="false">Sens!G6403</f>
        <v>9.38321269125306</v>
      </c>
      <c r="H6425" s="6" t="n">
        <f aca="false">Sens!H6403</f>
        <v>10.0139193587476</v>
      </c>
      <c r="I6425" s="6" t="n">
        <f aca="false">Sens!I6403</f>
        <v>10.6963111830911</v>
      </c>
      <c r="J6425" s="6" t="n">
        <f aca="false">Sens!J6403</f>
        <v>11.4351285534696</v>
      </c>
      <c r="K6425" s="6" t="n">
        <f aca="false">Sens!K6403</f>
        <v>12.2355875522124</v>
      </c>
    </row>
    <row r="6426" customFormat="false" ht="15" hidden="false" customHeight="false" outlineLevel="0" collapsed="false">
      <c r="A6426" s="0" t="s">
        <v>704</v>
      </c>
      <c r="B6426" s="0" t="s">
        <v>98</v>
      </c>
      <c r="D6426" s="6" t="n">
        <f aca="false">Sens!D6405</f>
        <v>218.783</v>
      </c>
      <c r="E6426" s="6" t="n">
        <f aca="false">Sens!E6405</f>
        <v>268.127</v>
      </c>
      <c r="F6426" s="6" t="n">
        <f aca="false">Sens!F6405</f>
        <v>335.653940907051</v>
      </c>
      <c r="G6426" s="6" t="n">
        <f aca="false">Sens!G6405</f>
        <v>418.190670881892</v>
      </c>
      <c r="H6426" s="6" t="n">
        <f aca="false">Sens!H6405</f>
        <v>506.826275281385</v>
      </c>
      <c r="I6426" s="6" t="n">
        <f aca="false">Sens!I6405</f>
        <v>582.153760444603</v>
      </c>
      <c r="J6426" s="6" t="n">
        <f aca="false">Sens!J6405</f>
        <v>642.308787544077</v>
      </c>
      <c r="K6426" s="6" t="n">
        <f aca="false">Sens!K6405</f>
        <v>689.054651237393</v>
      </c>
    </row>
    <row r="6427" customFormat="false" ht="15" hidden="false" customHeight="false" outlineLevel="0" collapsed="false">
      <c r="A6427" s="0" t="s">
        <v>877</v>
      </c>
      <c r="B6427" s="0" t="s">
        <v>98</v>
      </c>
      <c r="D6427" s="6" t="n">
        <f aca="false">Sens!D6406</f>
        <v>22.171</v>
      </c>
      <c r="E6427" s="6" t="n">
        <f aca="false">Sens!E6406</f>
        <v>24.835</v>
      </c>
      <c r="F6427" s="6" t="n">
        <f aca="false">Sens!F6406</f>
        <v>27.6114901218559</v>
      </c>
      <c r="G6427" s="6" t="n">
        <f aca="false">Sens!G6406</f>
        <v>30.4675667338515</v>
      </c>
      <c r="H6427" s="6" t="n">
        <f aca="false">Sens!H6406</f>
        <v>33.3643766955789</v>
      </c>
      <c r="I6427" s="6" t="n">
        <f aca="false">Sens!I6406</f>
        <v>36.2577016533691</v>
      </c>
      <c r="J6427" s="6" t="n">
        <f aca="false">Sens!J6406</f>
        <v>39.0988367952171</v>
      </c>
      <c r="K6427" s="6" t="n">
        <f aca="false">Sens!K6406</f>
        <v>41.8357553708823</v>
      </c>
    </row>
    <row r="6428" customFormat="false" ht="15" hidden="false" customHeight="false" outlineLevel="0" collapsed="false">
      <c r="A6428" s="0" t="s">
        <v>878</v>
      </c>
      <c r="B6428" s="0" t="s">
        <v>98</v>
      </c>
      <c r="D6428" s="6" t="n">
        <f aca="false">Sens!D6408</f>
        <v>23.455</v>
      </c>
      <c r="E6428" s="6" t="n">
        <f aca="false">Sens!E6408</f>
        <v>21.79</v>
      </c>
      <c r="F6428" s="6" t="n">
        <f aca="false">Sens!F6408</f>
        <v>20.5736277908051</v>
      </c>
      <c r="G6428" s="6" t="n">
        <f aca="false">Sens!G6408</f>
        <v>19.7371452817919</v>
      </c>
      <c r="H6428" s="6" t="n">
        <f aca="false">Sens!H6408</f>
        <v>19.2339764043138</v>
      </c>
      <c r="I6428" s="6" t="n">
        <f aca="false">Sens!I6408</f>
        <v>19.0353086852681</v>
      </c>
      <c r="J6428" s="6" t="n">
        <f aca="false">Sens!J6408</f>
        <v>19.1273539319129</v>
      </c>
      <c r="K6428" s="6" t="n">
        <f aca="false">Sens!K6408</f>
        <v>19.5099010105511</v>
      </c>
    </row>
    <row r="6429" customFormat="false" ht="15" hidden="false" customHeight="false" outlineLevel="0" collapsed="false">
      <c r="A6429" s="0" t="s">
        <v>879</v>
      </c>
      <c r="B6429" s="0" t="s">
        <v>98</v>
      </c>
      <c r="D6429" s="6" t="n">
        <f aca="false">Sens!D6410</f>
        <v>17.315</v>
      </c>
      <c r="E6429" s="6" t="n">
        <f aca="false">Sens!E6410</f>
        <v>17.087</v>
      </c>
      <c r="F6429" s="6" t="n">
        <f aca="false">Sens!F6410</f>
        <v>16.9564585436519</v>
      </c>
      <c r="G6429" s="6" t="n">
        <f aca="false">Sens!G6410</f>
        <v>16.9206490624268</v>
      </c>
      <c r="H6429" s="6" t="n">
        <f aca="false">Sens!H6410</f>
        <v>16.9784519149849</v>
      </c>
      <c r="I6429" s="6" t="n">
        <f aca="false">Sens!I6410</f>
        <v>17.1303084701817</v>
      </c>
      <c r="J6429" s="6" t="n">
        <f aca="false">Sens!J6410</f>
        <v>17.3782189407267</v>
      </c>
      <c r="K6429" s="6" t="n">
        <f aca="false">Sens!K6410</f>
        <v>17.7257833195413</v>
      </c>
    </row>
    <row r="6430" customFormat="false" ht="15" hidden="false" customHeight="false" outlineLevel="0" collapsed="false">
      <c r="A6430" s="0" t="s">
        <v>718</v>
      </c>
      <c r="B6430" s="0" t="s">
        <v>98</v>
      </c>
      <c r="D6430" s="6" t="n">
        <f aca="false">Sens!D6412</f>
        <v>62.941</v>
      </c>
      <c r="E6430" s="6" t="n">
        <f aca="false">Sens!E6412</f>
        <v>63.712</v>
      </c>
      <c r="F6430" s="6" t="n">
        <f aca="false">Sens!F6412</f>
        <v>65.1415764563129</v>
      </c>
      <c r="G6430" s="6" t="n">
        <f aca="false">Sens!G6412</f>
        <v>67.1253610780702</v>
      </c>
      <c r="H6430" s="6" t="n">
        <f aca="false">Sens!H6412</f>
        <v>69.5768050148776</v>
      </c>
      <c r="I6430" s="6" t="n">
        <f aca="false">Sens!I6412</f>
        <v>72.4233188088189</v>
      </c>
      <c r="J6430" s="6" t="n">
        <f aca="false">Sens!J6412</f>
        <v>75.6044096678567</v>
      </c>
      <c r="K6430" s="6" t="n">
        <f aca="false">Sens!K6412</f>
        <v>79.0714397009747</v>
      </c>
    </row>
    <row r="6431" customFormat="false" ht="15" hidden="false" customHeight="false" outlineLevel="0" collapsed="false">
      <c r="A6431" s="1" t="s">
        <v>895</v>
      </c>
      <c r="B6431" s="0" t="s">
        <v>98</v>
      </c>
      <c r="D6431" s="6" t="n">
        <f aca="false">Sens!D6413</f>
        <v>281.724</v>
      </c>
      <c r="E6431" s="6" t="n">
        <f aca="false">Sens!E6413</f>
        <v>331.839</v>
      </c>
      <c r="F6431" s="6" t="n">
        <f aca="false">Sens!F6413</f>
        <v>400.795517363364</v>
      </c>
      <c r="G6431" s="6" t="n">
        <f aca="false">Sens!G6413</f>
        <v>485.316031959962</v>
      </c>
      <c r="H6431" s="6" t="n">
        <f aca="false">Sens!H6413</f>
        <v>576.403080296263</v>
      </c>
      <c r="I6431" s="6" t="n">
        <f aca="false">Sens!I6413</f>
        <v>654.577079253422</v>
      </c>
      <c r="J6431" s="6" t="n">
        <f aca="false">Sens!J6413</f>
        <v>717.913197211934</v>
      </c>
      <c r="K6431" s="6" t="n">
        <f aca="false">Sens!K6413</f>
        <v>768.126090938368</v>
      </c>
    </row>
    <row r="6432" customFormat="false" ht="15" hidden="false" customHeight="false" outlineLevel="0" collapsed="false">
      <c r="A6432" s="1" t="s">
        <v>896</v>
      </c>
      <c r="B6432" s="0" t="s">
        <v>129</v>
      </c>
      <c r="E6432" s="7" t="n">
        <f aca="false">Sens!E6431/Sens!D6431-1</f>
        <v>0.177886867998467</v>
      </c>
      <c r="F6432" s="7" t="n">
        <f aca="false">Sens!F6431/Sens!E6431-1</f>
        <v>0.207801124531366</v>
      </c>
      <c r="G6432" s="7" t="n">
        <f aca="false">Sens!G6431/Sens!F6431-1</f>
        <v>0.210881885986693</v>
      </c>
      <c r="H6432" s="7" t="n">
        <f aca="false">Sens!H6431/Sens!G6431-1</f>
        <v>0.187686048549525</v>
      </c>
      <c r="I6432" s="7" t="n">
        <f aca="false">Sens!I6431/Sens!H6431-1</f>
        <v>0.135623839686942</v>
      </c>
      <c r="J6432" s="7" t="n">
        <f aca="false">Sens!J6431/Sens!I6431-1</f>
        <v>0.0967588385935383</v>
      </c>
      <c r="K6432" s="7" t="n">
        <f aca="false">Sens!K6431/Sens!J6431-1</f>
        <v>0.06994284813462</v>
      </c>
    </row>
    <row r="6433" customFormat="false" ht="17.15" hidden="false" customHeight="false" outlineLevel="0" collapsed="false">
      <c r="A6433" s="23" t="s">
        <v>897</v>
      </c>
      <c r="B6433" s="30" t="s">
        <v>98</v>
      </c>
      <c r="C6433" s="30"/>
      <c r="D6433" s="24" t="n">
        <f aca="false">(Sens!D6426+Sens!D6430-Sens!D6431)+(Sens!D6418+Sens!D6419-Sens!D6417)+(Sens!D6421+Sens!D6422-Sens!D6420)+(Sens!D6431-Q!L18)</f>
        <v>0</v>
      </c>
      <c r="E6433" s="24" t="n">
        <f aca="false">(Sens!E6426+Sens!E6430-Sens!E6431)+(Sens!E6418+Sens!E6419-Sens!E6417)+(Sens!E6421+Sens!E6422-Sens!E6420)+(Sens!E6431-Q!M18)</f>
        <v>0</v>
      </c>
      <c r="F6433" s="24" t="n">
        <f aca="false">(Sens!F6426+Sens!F6430-Sens!F6431)+(Sens!F6418+Sens!F6419-Sens!F6417)+(Sens!F6421+Sens!F6422-Sens!F6420)</f>
        <v>0</v>
      </c>
      <c r="G6433" s="24" t="n">
        <f aca="false">(Sens!G6426+Sens!G6430-Sens!G6431)+(Sens!G6418+Sens!G6419-Sens!G6417)+(Sens!G6421+Sens!G6422-Sens!G6420)</f>
        <v>0</v>
      </c>
      <c r="H6433" s="24" t="n">
        <f aca="false">(Sens!H6426+Sens!H6430-Sens!H6431)+(Sens!H6418+Sens!H6419-Sens!H6417)+(Sens!H6421+Sens!H6422-Sens!H6420)</f>
        <v>0</v>
      </c>
      <c r="I6433" s="24" t="n">
        <f aca="false">(Sens!I6426+Sens!I6430-Sens!I6431)+(Sens!I6418+Sens!I6419-Sens!I6417)+(Sens!I6421+Sens!I6422-Sens!I6420)</f>
        <v>0</v>
      </c>
      <c r="J6433" s="24" t="n">
        <f aca="false">(Sens!J6426+Sens!J6430-Sens!J6431)+(Sens!J6418+Sens!J6419-Sens!J6417)+(Sens!J6421+Sens!J6422-Sens!J6420)</f>
        <v>0</v>
      </c>
      <c r="K6433" s="24" t="n">
        <f aca="false">(Sens!K6426+Sens!K6430-Sens!K6431)+(Sens!K6418+Sens!K6419-Sens!K6417)+(Sens!K6421+Sens!K6422-Sens!K6420)</f>
        <v>0</v>
      </c>
    </row>
    <row r="6434" customFormat="false" ht="17.15" hidden="false" customHeight="false" outlineLevel="0" collapsed="false">
      <c r="A6434" s="0" t="s">
        <v>898</v>
      </c>
      <c r="B6434" s="0" t="s">
        <v>129</v>
      </c>
      <c r="E6434" s="7" t="n">
        <f aca="false">(Q!M21+Sens!E6371+Sens!E6372+Sens!E6373+Sens!E6386-Sens!E6369)/(Q!M5-Sens!E6369)</f>
        <v>0.570957350878296</v>
      </c>
      <c r="F6434" s="7" t="n">
        <f aca="false">Sens!$E$6434+dm_seg</f>
        <v>0.570957350878296</v>
      </c>
      <c r="G6434" s="7" t="n">
        <f aca="false">Sens!$E$6434+dm_seg</f>
        <v>0.570957350878296</v>
      </c>
      <c r="H6434" s="7" t="n">
        <f aca="false">Sens!$E$6434+dm_seg</f>
        <v>0.570957350878296</v>
      </c>
      <c r="I6434" s="7" t="n">
        <f aca="false">Sens!$E$6434+dm_seg</f>
        <v>0.570957350878296</v>
      </c>
      <c r="J6434" s="7" t="n">
        <f aca="false">Sens!$E$6434+dm_seg</f>
        <v>0.570957350878296</v>
      </c>
      <c r="K6434" s="7" t="n">
        <f aca="false">Sens!$E$6434+dm_seg</f>
        <v>0.570957350878296</v>
      </c>
      <c r="L6434" s="11" t="s">
        <v>899</v>
      </c>
    </row>
    <row r="6435" customFormat="false" ht="17.15" hidden="false" customHeight="false" outlineLevel="0" collapsed="false">
      <c r="A6435" s="0" t="s">
        <v>732</v>
      </c>
      <c r="B6435" s="0" t="s">
        <v>98</v>
      </c>
      <c r="D6435" s="6" t="n">
        <f aca="false">Q!L21</f>
        <v>110.814</v>
      </c>
      <c r="E6435" s="6" t="n">
        <f aca="false">Q!M21</f>
        <v>136.365</v>
      </c>
      <c r="F6435" s="6" t="n">
        <f aca="false">Sens!F6434*(Sens!F6405-Sens!F6369)+Sens!F6369-(Sens!F6371+Sens!F6372+Sens!F6373)-Sens!F6386</f>
        <v>159.945765815987</v>
      </c>
      <c r="G6435" s="6" t="n">
        <f aca="false">Sens!G6434*(Sens!G6405-Sens!G6369)+Sens!G6369-(Sens!G6371+Sens!G6372+Sens!G6373)-Sens!G6386</f>
        <v>188.033548957165</v>
      </c>
      <c r="H6435" s="6" t="n">
        <f aca="false">Sens!H6434*(Sens!H6405-Sens!H6369)+Sens!H6369-(Sens!H6371+Sens!H6372+Sens!H6373)-Sens!H6386</f>
        <v>220.980870162826</v>
      </c>
      <c r="I6435" s="6" t="n">
        <f aca="false">Sens!I6434*(Sens!I6405-Sens!I6369)+Sens!I6369-(Sens!I6371+Sens!I6372+Sens!I6373)-Sens!I6386</f>
        <v>246.169871538914</v>
      </c>
      <c r="J6435" s="6" t="n">
        <f aca="false">Sens!J6434*(Sens!J6405-Sens!J6369)+Sens!J6369-(Sens!J6371+Sens!J6372+Sens!J6373)-Sens!J6386</f>
        <v>268.023943633946</v>
      </c>
      <c r="K6435" s="6" t="n">
        <f aca="false">Sens!K6434*(Sens!K6405-Sens!K6369)+Sens!K6369-(Sens!K6371+Sens!K6372+Sens!K6373)-Sens!K6386</f>
        <v>287.744660529884</v>
      </c>
      <c r="L6435" s="1" t="s">
        <v>900</v>
      </c>
    </row>
    <row r="6436" customFormat="false" ht="17.15" hidden="false" customHeight="false" outlineLevel="0" collapsed="false">
      <c r="A6436" s="0" t="s">
        <v>901</v>
      </c>
      <c r="B6436" s="0" t="s">
        <v>129</v>
      </c>
      <c r="E6436" s="7" t="n">
        <f aca="false">Q!M22/Q!M12</f>
        <v>0.296207935710698</v>
      </c>
      <c r="F6436" s="7" t="n">
        <f aca="false">Sens!$E$6436+dm_seg</f>
        <v>0.296207935710698</v>
      </c>
      <c r="G6436" s="7" t="n">
        <f aca="false">Sens!$E$6436+dm_seg</f>
        <v>0.296207935710698</v>
      </c>
      <c r="H6436" s="7" t="n">
        <f aca="false">Sens!$E$6436+dm_seg</f>
        <v>0.296207935710698</v>
      </c>
      <c r="I6436" s="7" t="n">
        <f aca="false">Sens!$E$6436+dm_seg</f>
        <v>0.296207935710698</v>
      </c>
      <c r="J6436" s="7" t="n">
        <f aca="false">Sens!$E$6436+dm_seg</f>
        <v>0.296207935710698</v>
      </c>
      <c r="K6436" s="7" t="n">
        <f aca="false">Sens!$E$6436+dm_seg</f>
        <v>0.296207935710698</v>
      </c>
      <c r="L6436" s="11" t="s">
        <v>902</v>
      </c>
    </row>
    <row r="6437" customFormat="false" ht="17.15" hidden="false" customHeight="false" outlineLevel="0" collapsed="false">
      <c r="A6437" s="0" t="s">
        <v>734</v>
      </c>
      <c r="B6437" s="0" t="s">
        <v>98</v>
      </c>
      <c r="D6437" s="6" t="n">
        <f aca="false">Q!L22</f>
        <v>17.714</v>
      </c>
      <c r="E6437" s="6" t="n">
        <f aca="false">Q!M22</f>
        <v>18.872</v>
      </c>
      <c r="F6437" s="6" t="n">
        <f aca="false">Sens!F6412*Sens!F6436</f>
        <v>19.2954518910651</v>
      </c>
      <c r="G6437" s="6" t="n">
        <f aca="false">Sens!G6412*Sens!G6436</f>
        <v>19.8830646387704</v>
      </c>
      <c r="H6437" s="6" t="n">
        <f aca="false">Sens!H6412*Sens!H6436</f>
        <v>20.6092017868026</v>
      </c>
      <c r="I6437" s="6" t="n">
        <f aca="false">Sens!I6412*Sens!I6436</f>
        <v>21.452361761678</v>
      </c>
      <c r="J6437" s="6" t="n">
        <f aca="false">Sens!J6412*Sens!J6436</f>
        <v>22.3946261183418</v>
      </c>
      <c r="K6437" s="6" t="n">
        <f aca="false">Sens!K6412*Sens!K6436</f>
        <v>23.4215879274986</v>
      </c>
    </row>
    <row r="6438" customFormat="false" ht="15" hidden="false" customHeight="false" outlineLevel="0" collapsed="false">
      <c r="A6438" s="1" t="s">
        <v>903</v>
      </c>
      <c r="B6438" s="0" t="s">
        <v>98</v>
      </c>
      <c r="D6438" s="6" t="n">
        <f aca="false">Sens!D6435+Sens!D6437</f>
        <v>128.528</v>
      </c>
      <c r="E6438" s="6" t="n">
        <f aca="false">Sens!E6435+Sens!E6437</f>
        <v>155.237</v>
      </c>
      <c r="F6438" s="6" t="n">
        <f aca="false">Sens!F6435+Sens!F6437</f>
        <v>179.241217707052</v>
      </c>
      <c r="G6438" s="6" t="n">
        <f aca="false">Sens!G6435+Sens!G6437</f>
        <v>207.916613595935</v>
      </c>
      <c r="H6438" s="6" t="n">
        <f aca="false">Sens!H6435+Sens!H6437</f>
        <v>241.590071949629</v>
      </c>
      <c r="I6438" s="6" t="n">
        <f aca="false">Sens!I6435+Sens!I6437</f>
        <v>267.622233300592</v>
      </c>
      <c r="J6438" s="6" t="n">
        <f aca="false">Sens!J6435+Sens!J6437</f>
        <v>290.418569752288</v>
      </c>
      <c r="K6438" s="6" t="n">
        <f aca="false">Sens!K6435+Sens!K6437</f>
        <v>311.166248457382</v>
      </c>
    </row>
    <row r="6439" customFormat="false" ht="15" hidden="false" customHeight="false" outlineLevel="0" collapsed="false">
      <c r="A6439" s="23" t="s">
        <v>904</v>
      </c>
      <c r="B6439" s="30" t="s">
        <v>98</v>
      </c>
      <c r="C6439" s="30"/>
      <c r="D6439" s="24" t="n">
        <f aca="false">Sens!D6438-Q!L23</f>
        <v>0</v>
      </c>
      <c r="E6439" s="24" t="n">
        <f aca="false">Sens!E6438-Q!M23</f>
        <v>0</v>
      </c>
      <c r="F6439" s="30"/>
      <c r="G6439" s="30"/>
      <c r="H6439" s="30"/>
      <c r="I6439" s="30"/>
      <c r="J6439" s="30"/>
      <c r="K6439" s="30"/>
    </row>
    <row r="6440" customFormat="false" ht="15" hidden="false" customHeight="false" outlineLevel="0" collapsed="false">
      <c r="A6440" s="1" t="s">
        <v>905</v>
      </c>
      <c r="B6440" s="0" t="s">
        <v>129</v>
      </c>
      <c r="D6440" s="7" t="n">
        <f aca="false">Sens!D6438/Sens!D6431</f>
        <v>0.456219562408598</v>
      </c>
      <c r="E6440" s="7" t="n">
        <f aca="false">Sens!E6438/Sens!E6431</f>
        <v>0.467808184089272</v>
      </c>
      <c r="F6440" s="7" t="n">
        <f aca="false">Sens!F6438/Sens!F6431</f>
        <v>0.447213628750619</v>
      </c>
      <c r="G6440" s="7" t="n">
        <f aca="false">Sens!G6438/Sens!G6431</f>
        <v>0.42841488824562</v>
      </c>
      <c r="H6440" s="7" t="n">
        <f aca="false">Sens!H6438/Sens!H6431</f>
        <v>0.419133901618734</v>
      </c>
      <c r="I6440" s="7" t="n">
        <f aca="false">Sens!I6438/Sens!I6431</f>
        <v>0.408847547191583</v>
      </c>
      <c r="J6440" s="7" t="n">
        <f aca="false">Sens!J6438/Sens!J6431</f>
        <v>0.404531593624618</v>
      </c>
      <c r="K6440" s="7" t="n">
        <f aca="false">Sens!K6438/Sens!K6431</f>
        <v>0.405097876674455</v>
      </c>
    </row>
    <row r="6441" customFormat="false" ht="17.15" hidden="false" customHeight="false" outlineLevel="0" collapsed="false">
      <c r="A6441" s="1" t="s">
        <v>906</v>
      </c>
      <c r="B6441" s="0" t="s">
        <v>98</v>
      </c>
      <c r="F6441" s="6" t="n">
        <f aca="false">Sens!F6456</f>
        <v>21.2376012260597</v>
      </c>
      <c r="G6441" s="6" t="n">
        <f aca="false">Sens!G6456</f>
        <v>36.1636726754934</v>
      </c>
      <c r="H6441" s="6" t="n">
        <f aca="false">Sens!H6456</f>
        <v>52.4422002178773</v>
      </c>
      <c r="I6441" s="6" t="n">
        <f aca="false">Sens!I6456</f>
        <v>67.3674623005328</v>
      </c>
      <c r="J6441" s="6" t="n">
        <f aca="false">Sens!J6456</f>
        <v>77.8439733155902</v>
      </c>
      <c r="K6441" s="6" t="n">
        <f aca="false">Sens!K6456</f>
        <v>83.5990234185511</v>
      </c>
      <c r="L6441" s="1" t="s">
        <v>907</v>
      </c>
    </row>
    <row r="6442" customFormat="false" ht="17.15" hidden="false" customHeight="false" outlineLevel="0" collapsed="false">
      <c r="A6442" s="1" t="s">
        <v>908</v>
      </c>
      <c r="B6442" s="0" t="s">
        <v>98</v>
      </c>
      <c r="D6442" s="6" t="n">
        <f aca="false">Sens!D6438</f>
        <v>128.528</v>
      </c>
      <c r="E6442" s="6" t="n">
        <f aca="false">Sens!E6438</f>
        <v>155.237</v>
      </c>
      <c r="F6442" s="6" t="n">
        <f aca="false">Sens!F6438+Sens!F6441</f>
        <v>200.478818933111</v>
      </c>
      <c r="G6442" s="6" t="n">
        <f aca="false">Sens!G6438+Sens!G6441</f>
        <v>244.080286271428</v>
      </c>
      <c r="H6442" s="6" t="n">
        <f aca="false">Sens!H6438+Sens!H6441</f>
        <v>294.032272167506</v>
      </c>
      <c r="I6442" s="6" t="n">
        <f aca="false">Sens!I6438+Sens!I6441</f>
        <v>334.989695601125</v>
      </c>
      <c r="J6442" s="6" t="n">
        <f aca="false">Sens!J6438+Sens!J6441</f>
        <v>368.262543067878</v>
      </c>
      <c r="K6442" s="6" t="n">
        <f aca="false">Sens!K6438+Sens!K6441</f>
        <v>394.765271875933</v>
      </c>
    </row>
    <row r="6443" customFormat="false" ht="17.15" hidden="false" customHeight="false" outlineLevel="0" collapsed="false">
      <c r="A6443" s="1" t="s">
        <v>909</v>
      </c>
      <c r="B6443" s="0" t="s">
        <v>98</v>
      </c>
      <c r="E6443" s="6" t="n">
        <f aca="false">Sens!E6386</f>
        <v>16.3054059770833</v>
      </c>
      <c r="F6443" s="6" t="n">
        <f aca="false">Sens!F6386</f>
        <v>34.7595354558698</v>
      </c>
      <c r="G6443" s="6" t="n">
        <f aca="false">Sens!G6386</f>
        <v>60.5447332603396</v>
      </c>
      <c r="H6443" s="6" t="n">
        <f aca="false">Sens!H6386</f>
        <v>87.7803159931396</v>
      </c>
      <c r="I6443" s="6" t="n">
        <f aca="false">Sens!I6386</f>
        <v>112.025039982221</v>
      </c>
      <c r="J6443" s="6" t="n">
        <f aca="false">Sens!J6386</f>
        <v>129.221710922666</v>
      </c>
      <c r="K6443" s="6" t="n">
        <f aca="false">Sens!K6386</f>
        <v>139.685646804474</v>
      </c>
    </row>
    <row r="6444" customFormat="false" ht="17.15" hidden="false" customHeight="false" outlineLevel="0" collapsed="false">
      <c r="A6444" s="1" t="s">
        <v>910</v>
      </c>
      <c r="B6444" s="0" t="s">
        <v>98</v>
      </c>
      <c r="E6444" s="6" t="n">
        <f aca="false">Sens!E6468</f>
        <v>22.2285940229167</v>
      </c>
      <c r="F6444" s="6" t="n">
        <f aca="false">Sens!F6468</f>
        <v>23.5408693435813</v>
      </c>
      <c r="G6444" s="6" t="n">
        <f aca="false">Sens!G6468</f>
        <v>25.2840717662621</v>
      </c>
      <c r="H6444" s="6" t="n">
        <f aca="false">Sens!H6468</f>
        <v>27.4236159540448</v>
      </c>
      <c r="I6444" s="6" t="n">
        <f aca="false">Sens!I6468</f>
        <v>29.8914943898047</v>
      </c>
      <c r="J6444" s="6" t="n">
        <f aca="false">Sens!J6468</f>
        <v>32.6032362758616</v>
      </c>
      <c r="K6444" s="6" t="n">
        <f aca="false">Sens!K6468</f>
        <v>35.4749829224749</v>
      </c>
    </row>
    <row r="6445" customFormat="false" ht="17.15" hidden="false" customHeight="false" outlineLevel="0" collapsed="false">
      <c r="A6445" s="1" t="s">
        <v>911</v>
      </c>
      <c r="B6445" s="0" t="s">
        <v>98</v>
      </c>
      <c r="D6445" s="6" t="n">
        <f aca="false">Q!L27</f>
        <v>-4.901</v>
      </c>
      <c r="E6445" s="6" t="n">
        <f aca="false">Q!M27</f>
        <v>10.697</v>
      </c>
      <c r="F6445" s="6" t="n">
        <f aca="false">oie_f</f>
        <v>-0.4</v>
      </c>
      <c r="G6445" s="6" t="n">
        <f aca="false">oie_f</f>
        <v>-0.4</v>
      </c>
      <c r="H6445" s="6" t="n">
        <f aca="false">oie_f</f>
        <v>-0.4</v>
      </c>
      <c r="I6445" s="6" t="n">
        <f aca="false">oie_f</f>
        <v>-0.4</v>
      </c>
      <c r="J6445" s="6" t="n">
        <f aca="false">oie_f</f>
        <v>-0.4</v>
      </c>
      <c r="K6445" s="6" t="n">
        <f aca="false">oie_f</f>
        <v>-0.4</v>
      </c>
      <c r="L6445" s="11" t="s">
        <v>912</v>
      </c>
    </row>
    <row r="6446" customFormat="false" ht="15" hidden="false" customHeight="false" outlineLevel="0" collapsed="false">
      <c r="A6446" s="1" t="s">
        <v>913</v>
      </c>
      <c r="B6446" s="0" t="s">
        <v>98</v>
      </c>
      <c r="D6446" s="6" t="n">
        <f aca="false">Sens!D6438+Sens!D6445</f>
        <v>123.627</v>
      </c>
      <c r="E6446" s="6" t="n">
        <f aca="false">Sens!E6438+Sens!E6445</f>
        <v>165.934</v>
      </c>
      <c r="F6446" s="6" t="n">
        <f aca="false">Sens!F6438+Sens!F6445</f>
        <v>178.841217707052</v>
      </c>
      <c r="G6446" s="6" t="n">
        <f aca="false">Sens!G6438+Sens!G6445</f>
        <v>207.516613595935</v>
      </c>
      <c r="H6446" s="6" t="n">
        <f aca="false">Sens!H6438+Sens!H6445</f>
        <v>241.190071949629</v>
      </c>
      <c r="I6446" s="6" t="n">
        <f aca="false">Sens!I6438+Sens!I6445</f>
        <v>267.222233300592</v>
      </c>
      <c r="J6446" s="6" t="n">
        <f aca="false">Sens!J6438+Sens!J6445</f>
        <v>290.018569752288</v>
      </c>
      <c r="K6446" s="6" t="n">
        <f aca="false">Sens!K6438+Sens!K6445</f>
        <v>310.766248457382</v>
      </c>
    </row>
    <row r="6447" customFormat="false" ht="15" hidden="false" customHeight="false" outlineLevel="0" collapsed="false">
      <c r="A6447" s="1" t="s">
        <v>914</v>
      </c>
      <c r="B6447" s="0" t="s">
        <v>98</v>
      </c>
      <c r="D6447" s="6" t="n">
        <f aca="false">Q!L29</f>
        <v>21.795</v>
      </c>
      <c r="E6447" s="6" t="n">
        <f aca="false">Q!M29</f>
        <v>32.185</v>
      </c>
      <c r="F6447" s="6" t="n">
        <f aca="false">Sens!F6446*tax_f</f>
        <v>35.7682435414103</v>
      </c>
      <c r="G6447" s="6" t="n">
        <f aca="false">Sens!G6446*tax_f</f>
        <v>41.503322719187</v>
      </c>
      <c r="H6447" s="6" t="n">
        <f aca="false">Sens!H6446*tax_f</f>
        <v>48.2380143899258</v>
      </c>
      <c r="I6447" s="6" t="n">
        <f aca="false">Sens!I6446*tax_f</f>
        <v>53.4444466601185</v>
      </c>
      <c r="J6447" s="6" t="n">
        <f aca="false">Sens!J6446*tax_f</f>
        <v>58.0037139504576</v>
      </c>
      <c r="K6447" s="6" t="n">
        <f aca="false">Sens!K6446*tax_f</f>
        <v>62.1532496914765</v>
      </c>
    </row>
    <row r="6448" customFormat="false" ht="15" hidden="false" customHeight="false" outlineLevel="0" collapsed="false">
      <c r="A6448" s="1" t="s">
        <v>915</v>
      </c>
      <c r="B6448" s="0" t="s">
        <v>98</v>
      </c>
      <c r="D6448" s="6" t="n">
        <f aca="false">Sens!D6446-Sens!D6447</f>
        <v>101.832</v>
      </c>
      <c r="E6448" s="6" t="n">
        <f aca="false">Sens!E6446-Sens!E6447</f>
        <v>133.749</v>
      </c>
      <c r="F6448" s="6" t="n">
        <f aca="false">Sens!F6446-Sens!F6447</f>
        <v>143.072974165641</v>
      </c>
      <c r="G6448" s="6" t="n">
        <f aca="false">Sens!G6446-Sens!G6447</f>
        <v>166.013290876748</v>
      </c>
      <c r="H6448" s="6" t="n">
        <f aca="false">Sens!H6446-Sens!H6447</f>
        <v>192.952057559703</v>
      </c>
      <c r="I6448" s="6" t="n">
        <f aca="false">Sens!I6446-Sens!I6447</f>
        <v>213.777786640474</v>
      </c>
      <c r="J6448" s="6" t="n">
        <f aca="false">Sens!J6446-Sens!J6447</f>
        <v>232.01485580183</v>
      </c>
      <c r="K6448" s="6" t="n">
        <f aca="false">Sens!K6446-Sens!K6447</f>
        <v>248.612998765906</v>
      </c>
    </row>
    <row r="6449" customFormat="false" ht="17.15" hidden="false" customHeight="false" outlineLevel="0" collapsed="false">
      <c r="A6449" s="1" t="s">
        <v>916</v>
      </c>
      <c r="B6449" s="1" t="s">
        <v>81</v>
      </c>
      <c r="D6449" s="14" t="n">
        <f aca="false">Q!L31</f>
        <v>7.465</v>
      </c>
      <c r="E6449" s="14" t="n">
        <f aca="false">Q!M31</f>
        <v>7.453</v>
      </c>
      <c r="F6449" s="14" t="n">
        <f aca="false">Sens!F6490</f>
        <v>7.4735</v>
      </c>
      <c r="G6449" s="14" t="n">
        <f aca="false">Sens!G6490</f>
        <v>7.51023102441955</v>
      </c>
      <c r="H6449" s="14" t="n">
        <f aca="false">Sens!H6490</f>
        <v>7.52971363468906</v>
      </c>
      <c r="I6449" s="14" t="n">
        <f aca="false">Sens!I6490</f>
        <v>7.54149446669638</v>
      </c>
      <c r="J6449" s="14" t="n">
        <f aca="false">Sens!J6490</f>
        <v>7.55573597781426</v>
      </c>
      <c r="K6449" s="14" t="n">
        <f aca="false">Sens!K6490</f>
        <v>7.572255895516</v>
      </c>
    </row>
    <row r="6450" customFormat="false" ht="17.15" hidden="false" customHeight="false" outlineLevel="0" collapsed="false">
      <c r="A6450" s="0" t="s">
        <v>917</v>
      </c>
      <c r="B6450" s="0" t="s">
        <v>75</v>
      </c>
      <c r="D6450" s="8" t="n">
        <f aca="false">Sens!D6448/Sens!D6449</f>
        <v>13.641259209645</v>
      </c>
      <c r="E6450" s="8" t="n">
        <f aca="false">Sens!E6448/Sens!E6449</f>
        <v>17.9456594659869</v>
      </c>
      <c r="F6450" s="8" t="n">
        <f aca="false">Sens!F6448/Sens!F6449</f>
        <v>19.1440388259372</v>
      </c>
      <c r="G6450" s="8" t="n">
        <f aca="false">Sens!G6448/Sens!G6449</f>
        <v>22.1049512773915</v>
      </c>
      <c r="H6450" s="8" t="n">
        <f aca="false">Sens!H6448/Sens!H6449</f>
        <v>25.6254177676534</v>
      </c>
      <c r="I6450" s="8" t="n">
        <f aca="false">Sens!I6448/Sens!I6449</f>
        <v>28.3468731011509</v>
      </c>
      <c r="J6450" s="8" t="n">
        <f aca="false">Sens!J6448/Sens!J6449</f>
        <v>30.7071152940085</v>
      </c>
      <c r="K6450" s="8" t="n">
        <f aca="false">Sens!K6448/Sens!K6449</f>
        <v>32.8320915452851</v>
      </c>
      <c r="L6450" s="1" t="s">
        <v>918</v>
      </c>
    </row>
    <row r="6451" customFormat="false" ht="17.15" hidden="false" customHeight="false" outlineLevel="0" collapsed="false">
      <c r="A6451" s="1" t="s">
        <v>919</v>
      </c>
      <c r="B6451" s="0" t="s">
        <v>98</v>
      </c>
      <c r="D6451" s="6" t="n">
        <f aca="false">Sens!D6448</f>
        <v>101.832</v>
      </c>
      <c r="E6451" s="6" t="n">
        <f aca="false">Sens!E6448</f>
        <v>133.749</v>
      </c>
      <c r="F6451" s="6" t="n">
        <f aca="false">Sens!F6448+Sens!F6441*(1-tax_f)</f>
        <v>160.063055146489</v>
      </c>
      <c r="G6451" s="6" t="n">
        <f aca="false">Sens!G6448+Sens!G6441*(1-tax_f)</f>
        <v>194.944229017143</v>
      </c>
      <c r="H6451" s="6" t="n">
        <f aca="false">Sens!H6448+Sens!H6441*(1-tax_f)</f>
        <v>234.905817734005</v>
      </c>
      <c r="I6451" s="6" t="n">
        <f aca="false">Sens!I6448+Sens!I6441*(1-tax_f)</f>
        <v>267.6717564809</v>
      </c>
      <c r="J6451" s="6" t="n">
        <f aca="false">Sens!J6448+Sens!J6441*(1-tax_f)</f>
        <v>294.290034454303</v>
      </c>
      <c r="K6451" s="6" t="n">
        <f aca="false">Sens!K6448+Sens!K6441*(1-tax_f)</f>
        <v>315.492217500747</v>
      </c>
    </row>
    <row r="6452" customFormat="false" ht="17.15" hidden="false" customHeight="false" outlineLevel="0" collapsed="false">
      <c r="A6452" s="0" t="s">
        <v>920</v>
      </c>
      <c r="B6452" s="0" t="s">
        <v>75</v>
      </c>
      <c r="D6452" s="8" t="n">
        <f aca="false">Sens!D6451/Sens!D6449</f>
        <v>13.641259209645</v>
      </c>
      <c r="E6452" s="8" t="n">
        <f aca="false">Sens!E6451/Sens!E6449</f>
        <v>17.9456594659869</v>
      </c>
      <c r="F6452" s="8" t="n">
        <f aca="false">Sens!F6451/Sens!F6449</f>
        <v>21.4174155544911</v>
      </c>
      <c r="G6452" s="8" t="n">
        <f aca="false">Sens!G6451/Sens!G6449</f>
        <v>25.9571547643848</v>
      </c>
      <c r="H6452" s="8" t="n">
        <f aca="false">Sens!H6451/Sens!H6449</f>
        <v>31.1971781571884</v>
      </c>
      <c r="I6452" s="8" t="n">
        <f aca="false">Sens!I6451/Sens!I6449</f>
        <v>35.4931980210225</v>
      </c>
      <c r="J6452" s="8" t="n">
        <f aca="false">Sens!J6451/Sens!J6449</f>
        <v>38.9492215342648</v>
      </c>
      <c r="K6452" s="8" t="n">
        <f aca="false">Sens!K6451/Sens!K6449</f>
        <v>41.6642308255284</v>
      </c>
      <c r="L6452" s="1" t="s">
        <v>921</v>
      </c>
    </row>
    <row r="6453" customFormat="false" ht="17.15" hidden="false" customHeight="false" outlineLevel="0" collapsed="false">
      <c r="A6453" s="0" t="s">
        <v>922</v>
      </c>
      <c r="B6453" s="0" t="s">
        <v>129</v>
      </c>
      <c r="E6453" s="7" t="n">
        <f aca="false">Sens!E6452/Sens!D6452-1</f>
        <v>0.315542736208578</v>
      </c>
      <c r="F6453" s="7" t="n">
        <f aca="false">Sens!F6452/Sens!E6452-1</f>
        <v>0.19345937635139</v>
      </c>
      <c r="G6453" s="7" t="n">
        <f aca="false">Sens!G6452/Sens!F6452-1</f>
        <v>0.211964846941664</v>
      </c>
      <c r="H6453" s="7" t="n">
        <f aca="false">Sens!H6452/Sens!G6452-1</f>
        <v>0.201872024895166</v>
      </c>
      <c r="I6453" s="7" t="n">
        <f aca="false">Sens!I6452/Sens!H6452-1</f>
        <v>0.137705398936675</v>
      </c>
      <c r="J6453" s="7" t="n">
        <f aca="false">Sens!J6452/Sens!I6452-1</f>
        <v>0.0973714318781671</v>
      </c>
      <c r="K6453" s="7" t="n">
        <f aca="false">Sens!K6452/Sens!J6452-1</f>
        <v>0.0697063813939152</v>
      </c>
    </row>
    <row r="6454" customFormat="false" ht="17.15" hidden="false" customHeight="false" outlineLevel="0" collapsed="false">
      <c r="A6454" s="0" t="s">
        <v>846</v>
      </c>
      <c r="B6454" s="0" t="s">
        <v>98</v>
      </c>
      <c r="E6454" s="6" t="n">
        <f aca="false">Sens!E6395</f>
        <v>5.25</v>
      </c>
      <c r="F6454" s="6" t="n">
        <f aca="false">Sens!F6395</f>
        <v>9.72</v>
      </c>
      <c r="G6454" s="6" t="n">
        <f aca="false">Sens!G6395</f>
        <v>16.2</v>
      </c>
      <c r="H6454" s="6" t="n">
        <f aca="false">Sens!H6395</f>
        <v>22.68</v>
      </c>
      <c r="I6454" s="6" t="n">
        <f aca="false">Sens!I6395</f>
        <v>27.54</v>
      </c>
      <c r="J6454" s="6" t="n">
        <f aca="false">Sens!J6395</f>
        <v>30.78</v>
      </c>
      <c r="K6454" s="6" t="n">
        <f aca="false">Sens!K6395</f>
        <v>34.02</v>
      </c>
    </row>
    <row r="6455" customFormat="false" ht="17.15" hidden="false" customHeight="false" outlineLevel="0" collapsed="false">
      <c r="A6455" s="1" t="s">
        <v>847</v>
      </c>
      <c r="B6455" s="0" t="s">
        <v>98</v>
      </c>
      <c r="F6455" s="6" t="n">
        <f aca="false">MAX(0,(Sens!E6358+Sens!F6358)/2*Sens!F6366/1000-Sens!F6454*Sens!F6434)</f>
        <v>21.2376012260597</v>
      </c>
      <c r="G6455" s="6" t="n">
        <f aca="false">MAX(0,(Sens!F6358+Sens!G6358)/2*Sens!G6366/1000-Sens!G6454*Sens!G6434)</f>
        <v>36.1636726754934</v>
      </c>
      <c r="H6455" s="6" t="n">
        <f aca="false">MAX(0,(Sens!G6358+Sens!H6358)/2*Sens!H6366/1000-Sens!H6454*Sens!H6434)</f>
        <v>52.4422002178773</v>
      </c>
      <c r="I6455" s="6" t="n">
        <f aca="false">MAX(0,(Sens!H6358+Sens!I6358)/2*Sens!I6366/1000-Sens!I6454*Sens!I6434)</f>
        <v>67.3674623005328</v>
      </c>
      <c r="J6455" s="6" t="n">
        <f aca="false">MAX(0,(Sens!I6358+Sens!J6358)/2*Sens!J6366/1000-Sens!J6454*Sens!J6434)</f>
        <v>77.8439733155902</v>
      </c>
      <c r="K6455" s="6" t="n">
        <f aca="false">MAX(0,(Sens!J6358+Sens!K6358)/2*Sens!K6366/1000-Sens!K6454*Sens!K6434)</f>
        <v>83.5990234185511</v>
      </c>
      <c r="L6455" s="1" t="s">
        <v>848</v>
      </c>
    </row>
    <row r="6456" customFormat="false" ht="17.15" hidden="false" customHeight="false" outlineLevel="0" collapsed="false">
      <c r="A6456" s="1" t="s">
        <v>849</v>
      </c>
      <c r="B6456" s="0" t="s">
        <v>98</v>
      </c>
      <c r="F6456" s="6" t="n">
        <f aca="false">IF(internal_ai_reading=2,1,0)*Sens!F6455</f>
        <v>21.2376012260597</v>
      </c>
      <c r="G6456" s="6" t="n">
        <f aca="false">IF(internal_ai_reading=2,1,0)*Sens!G6455</f>
        <v>36.1636726754934</v>
      </c>
      <c r="H6456" s="6" t="n">
        <f aca="false">IF(internal_ai_reading=2,1,0)*Sens!H6455</f>
        <v>52.4422002178773</v>
      </c>
      <c r="I6456" s="6" t="n">
        <f aca="false">IF(internal_ai_reading=2,1,0)*Sens!I6455</f>
        <v>67.3674623005328</v>
      </c>
      <c r="J6456" s="6" t="n">
        <f aca="false">IF(internal_ai_reading=2,1,0)*Sens!J6455</f>
        <v>77.8439733155902</v>
      </c>
      <c r="K6456" s="6" t="n">
        <f aca="false">IF(internal_ai_reading=2,1,0)*Sens!K6455</f>
        <v>83.5990234185511</v>
      </c>
    </row>
    <row r="6457" customFormat="false" ht="17.15" hidden="false" customHeight="false" outlineLevel="0" collapsed="false">
      <c r="A6457" s="0" t="s">
        <v>850</v>
      </c>
      <c r="B6457" s="0" t="s">
        <v>98</v>
      </c>
      <c r="F6457" s="6" t="n">
        <f aca="false">Sens!F6375+Sens!F6454*Sens!F6434+Sens!F6456-Sens!F6376-Sens!F6386</f>
        <v>28.6226940749543</v>
      </c>
      <c r="G6457" s="6" t="n">
        <f aca="false">Sens!G6375+Sens!G6454*Sens!G6434+Sens!G6456-Sens!G6376-Sens!G6386</f>
        <v>52.5551197051223</v>
      </c>
      <c r="H6457" s="6" t="n">
        <f aca="false">Sens!H6375+Sens!H6454*Sens!H6434+Sens!H6456-Sens!H6376-Sens!H6386</f>
        <v>82.5173907018664</v>
      </c>
      <c r="I6457" s="6" t="n">
        <f aca="false">Sens!I6375+Sens!I6454*Sens!I6434+Sens!I6456-Sens!I6376-Sens!I6386</f>
        <v>103.856068765268</v>
      </c>
      <c r="J6457" s="6" t="n">
        <f aca="false">Sens!J6375+Sens!J6454*Sens!J6434+Sens!J6456-Sens!J6376-Sens!J6386</f>
        <v>118.649864100999</v>
      </c>
      <c r="K6457" s="6" t="n">
        <f aca="false">Sens!K6375+Sens!K6454*Sens!K6434+Sens!K6456-Sens!K6376-Sens!K6386</f>
        <v>128.604337297013</v>
      </c>
    </row>
    <row r="6458" customFormat="false" ht="17.15" hidden="false" customHeight="false" outlineLevel="0" collapsed="false">
      <c r="A6458" s="0" t="s">
        <v>851</v>
      </c>
      <c r="B6458" s="0" t="s">
        <v>98</v>
      </c>
      <c r="E6458" s="6" t="n">
        <f aca="false">Sens!E6357*(cxit_open+self_build*tk_cxfac)/1000*ai_net_open</f>
        <v>126.6980382</v>
      </c>
      <c r="F6458" s="6" t="n">
        <f aca="false">Sens!E6458+Sens!F6383-Sens!F6386</f>
        <v>260.787155514568</v>
      </c>
      <c r="G6458" s="6" t="n">
        <f aca="false">Sens!F6458+Sens!G6383-Sens!G6386</f>
        <v>383.816602737428</v>
      </c>
      <c r="H6458" s="6" t="n">
        <f aca="false">Sens!G6458+Sens!H6383-Sens!H6386</f>
        <v>484.116572654688</v>
      </c>
      <c r="I6458" s="6" t="n">
        <f aca="false">Sens!H6458+Sens!I6383-Sens!I6386</f>
        <v>535.798201826713</v>
      </c>
      <c r="J6458" s="6" t="n">
        <f aca="false">Sens!I6458+Sens!J6383-Sens!J6386</f>
        <v>531.088967622137</v>
      </c>
      <c r="K6458" s="6" t="n">
        <f aca="false">Sens!J6458+Sens!K6383-Sens!K6386</f>
        <v>506.3627564596</v>
      </c>
      <c r="L6458" s="1" t="s">
        <v>852</v>
      </c>
    </row>
    <row r="6459" customFormat="false" ht="17.15" hidden="false" customHeight="false" outlineLevel="0" collapsed="false">
      <c r="A6459" s="0" t="s">
        <v>853</v>
      </c>
      <c r="B6459" s="0" t="s">
        <v>129</v>
      </c>
      <c r="F6459" s="7" t="n">
        <f aca="false">Sens!F6457*(1-tax_f)/((Sens!E6458+Sens!F6458)/2)</f>
        <v>0.118188543105112</v>
      </c>
      <c r="G6459" s="7" t="n">
        <f aca="false">Sens!G6457*(1-tax_f)/((Sens!F6458+Sens!G6458)/2)</f>
        <v>0.130449427965207</v>
      </c>
      <c r="H6459" s="7" t="n">
        <f aca="false">Sens!H6457*(1-tax_f)/((Sens!G6458+Sens!H6458)/2)</f>
        <v>0.152117500363249</v>
      </c>
      <c r="I6459" s="7" t="n">
        <f aca="false">Sens!I6457*(1-tax_f)/((Sens!H6458+Sens!I6458)/2)</f>
        <v>0.162925093529429</v>
      </c>
      <c r="J6459" s="7" t="n">
        <f aca="false">Sens!J6457*(1-tax_f)/((Sens!I6458+Sens!J6458)/2)</f>
        <v>0.177938012563848</v>
      </c>
      <c r="K6459" s="7" t="n">
        <f aca="false">Sens!K6457*(1-tax_f)/((Sens!J6458+Sens!K6458)/2)</f>
        <v>0.198338809314089</v>
      </c>
    </row>
    <row r="6460" customFormat="false" ht="17.15" hidden="false" customHeight="false" outlineLevel="0" collapsed="false">
      <c r="A6460" s="1" t="s">
        <v>854</v>
      </c>
      <c r="B6460" s="0" t="s">
        <v>129</v>
      </c>
      <c r="F6460" s="7" t="n">
        <f aca="false">(Sens!F6457-Sens!F6456)*(1-tax_f)/((Sens!E6458+Sens!F6458)/2)</f>
        <v>0.0304944517878416</v>
      </c>
      <c r="G6460" s="7" t="n">
        <f aca="false">(Sens!G6457-Sens!G6456)*(1-tax_f)/((Sens!F6458+Sens!G6458)/2)</f>
        <v>0.0406859484011163</v>
      </c>
      <c r="H6460" s="7" t="n">
        <f aca="false">(Sens!H6457-Sens!H6456)*(1-tax_f)/((Sens!G6458+Sens!H6458)/2)</f>
        <v>0.0554424074787124</v>
      </c>
      <c r="I6460" s="7" t="n">
        <f aca="false">(Sens!I6457-Sens!I6456)*(1-tax_f)/((Sens!H6458+Sens!I6458)/2)</f>
        <v>0.0572418125556246</v>
      </c>
      <c r="J6460" s="7" t="n">
        <f aca="false">(Sens!J6457-Sens!J6456)*(1-tax_f)/((Sens!I6458+Sens!J6458)/2)</f>
        <v>0.0611961856194988</v>
      </c>
      <c r="K6460" s="7" t="n">
        <f aca="false">(Sens!K6457-Sens!K6456)*(1-tax_f)/((Sens!J6458+Sens!K6458)/2)</f>
        <v>0.0694090149296103</v>
      </c>
    </row>
    <row r="6461" customFormat="false" ht="17.15" hidden="false" customHeight="false" outlineLevel="0" collapsed="false">
      <c r="A6461" s="1" t="s">
        <v>855</v>
      </c>
      <c r="B6461" s="0" t="s">
        <v>129</v>
      </c>
      <c r="F6461" s="7" t="n">
        <f aca="false">(Sens!F6457-Sens!F6456+Sens!F6455)*(1-tax_f)/((Sens!E6458+Sens!F6458)/2)</f>
        <v>0.118188543105112</v>
      </c>
      <c r="G6461" s="7" t="n">
        <f aca="false">(Sens!G6457-Sens!G6456+Sens!G6455)*(1-tax_f)/((Sens!F6458+Sens!G6458)/2)</f>
        <v>0.130449427965207</v>
      </c>
      <c r="H6461" s="7" t="n">
        <f aca="false">(Sens!H6457-Sens!H6456+Sens!H6455)*(1-tax_f)/((Sens!G6458+Sens!H6458)/2)</f>
        <v>0.152117500363249</v>
      </c>
      <c r="I6461" s="7" t="n">
        <f aca="false">(Sens!I6457-Sens!I6456+Sens!I6455)*(1-tax_f)/((Sens!H6458+Sens!I6458)/2)</f>
        <v>0.162925093529429</v>
      </c>
      <c r="J6461" s="7" t="n">
        <f aca="false">(Sens!J6457-Sens!J6456+Sens!J6455)*(1-tax_f)/((Sens!I6458+Sens!J6458)/2)</f>
        <v>0.177938012563848</v>
      </c>
      <c r="K6461" s="7" t="n">
        <f aca="false">(Sens!K6457-Sens!K6456+Sens!K6455)*(1-tax_f)/((Sens!J6458+Sens!K6458)/2)</f>
        <v>0.198338809314089</v>
      </c>
    </row>
    <row r="6462" customFormat="false" ht="17.15" hidden="false" customHeight="false" outlineLevel="0" collapsed="false">
      <c r="A6462" s="1" t="s">
        <v>856</v>
      </c>
      <c r="B6462" s="0" t="s">
        <v>129</v>
      </c>
      <c r="F6462" s="7" t="n">
        <f aca="false">Sens!F6387*(1-tax_f)/(Sens!F6374*(Sens!E6458+Sens!F6458)/2)</f>
        <v>0.153276443366911</v>
      </c>
      <c r="G6462" s="7" t="n">
        <f aca="false">Sens!G6387*(1-tax_f)/(Sens!G6374*(Sens!F6458+Sens!G6458)/2)</f>
        <v>0.174347778291941</v>
      </c>
      <c r="H6462" s="7" t="n">
        <f aca="false">Sens!H6387*(1-tax_f)/(Sens!H6374*(Sens!G6458+Sens!H6458)/2)</f>
        <v>0.207393646052191</v>
      </c>
      <c r="I6462" s="7" t="n">
        <f aca="false">Sens!I6387*(1-tax_f)/(Sens!I6374*(Sens!H6458+Sens!I6458)/2)</f>
        <v>0.221502977741279</v>
      </c>
      <c r="J6462" s="7" t="n">
        <f aca="false">Sens!J6387*(1-tax_f)/(Sens!J6374*(Sens!I6458+Sens!J6458)/2)</f>
        <v>0.24164596503152</v>
      </c>
      <c r="K6462" s="7" t="n">
        <f aca="false">Sens!K6387*(1-tax_f)/(Sens!K6374*(Sens!J6458+Sens!K6458)/2)</f>
        <v>0.268906463871412</v>
      </c>
    </row>
    <row r="6463" customFormat="false" ht="17.15" hidden="false" customHeight="false" outlineLevel="0" collapsed="false">
      <c r="A6463" s="0" t="s">
        <v>857</v>
      </c>
      <c r="B6463" s="0" t="s">
        <v>209</v>
      </c>
      <c r="F6463" s="7" t="n">
        <f aca="false">Sens!F6459-wacc</f>
        <v>0.0152541230122362</v>
      </c>
      <c r="G6463" s="7" t="n">
        <f aca="false">Sens!G6459-wacc</f>
        <v>0.0275150078723317</v>
      </c>
      <c r="H6463" s="7" t="n">
        <f aca="false">Sens!H6459-wacc</f>
        <v>0.0491830802703734</v>
      </c>
      <c r="I6463" s="7" t="n">
        <f aca="false">Sens!I6459-wacc</f>
        <v>0.0599906734365535</v>
      </c>
      <c r="J6463" s="7" t="n">
        <f aca="false">Sens!J6459-wacc</f>
        <v>0.0750035924709723</v>
      </c>
      <c r="K6463" s="7" t="n">
        <f aca="false">Sens!K6459-wacc</f>
        <v>0.0954043892212136</v>
      </c>
    </row>
    <row r="6464" customFormat="false" ht="17.15" hidden="false" customHeight="false" outlineLevel="0" collapsed="false">
      <c r="A6464" s="0" t="s">
        <v>858</v>
      </c>
      <c r="B6464" s="0" t="s">
        <v>98</v>
      </c>
      <c r="F6464" s="6" t="n">
        <f aca="false">Sens!F6457*(1-tax_f)-wacc*(Sens!E6458+Sens!F6458)/2</f>
        <v>2.95537340517109</v>
      </c>
      <c r="G6464" s="6" t="n">
        <f aca="false">Sens!G6457*(1-tax_f)-wacc*(Sens!F6458+Sens!G6458)/2</f>
        <v>8.86813874141914</v>
      </c>
      <c r="H6464" s="6" t="n">
        <f aca="false">Sens!H6457*(1-tax_f)-wacc*(Sens!G6458+Sens!H6458)/2</f>
        <v>21.3438135173153</v>
      </c>
      <c r="I6464" s="6" t="n">
        <f aca="false">Sens!I6457*(1-tax_f)-wacc*(Sens!H6458+Sens!I6458)/2</f>
        <v>30.5926870845149</v>
      </c>
      <c r="J6464" s="6" t="n">
        <f aca="false">Sens!J6457*(1-tax_f)-wacc*(Sens!I6458+Sens!J6458)/2</f>
        <v>40.0101852349254</v>
      </c>
      <c r="K6464" s="6" t="n">
        <f aca="false">Sens!K6457*(1-tax_f)-wacc*(Sens!J6458+Sens!K6458)/2</f>
        <v>49.4887240412566</v>
      </c>
    </row>
    <row r="6465" customFormat="false" ht="17.15" hidden="false" customHeight="false" outlineLevel="0" collapsed="false">
      <c r="A6465" s="3" t="s">
        <v>1402</v>
      </c>
    </row>
    <row r="6466" customFormat="false" ht="15" hidden="false" customHeight="false" outlineLevel="0" collapsed="false">
      <c r="A6466" s="4" t="s">
        <v>43</v>
      </c>
      <c r="B6466" s="4" t="s">
        <v>65</v>
      </c>
      <c r="C6466" s="20" t="s">
        <v>788</v>
      </c>
      <c r="D6466" s="20" t="s">
        <v>789</v>
      </c>
      <c r="E6466" s="20" t="s">
        <v>790</v>
      </c>
      <c r="F6466" s="20" t="s">
        <v>791</v>
      </c>
      <c r="G6466" s="20" t="s">
        <v>792</v>
      </c>
      <c r="H6466" s="20" t="s">
        <v>793</v>
      </c>
      <c r="I6466" s="20" t="s">
        <v>794</v>
      </c>
      <c r="J6466" s="20" t="s">
        <v>795</v>
      </c>
      <c r="K6466" s="20" t="s">
        <v>796</v>
      </c>
      <c r="L6466" s="4" t="s">
        <v>47</v>
      </c>
    </row>
    <row r="6467" customFormat="false" ht="15" hidden="false" customHeight="false" outlineLevel="0" collapsed="false">
      <c r="A6467" s="1" t="s">
        <v>915</v>
      </c>
      <c r="B6467" s="0" t="s">
        <v>98</v>
      </c>
      <c r="F6467" s="6" t="n">
        <f aca="false">Sens!F6448</f>
        <v>143.072974165641</v>
      </c>
      <c r="G6467" s="6" t="n">
        <f aca="false">Sens!G6448</f>
        <v>166.013290876748</v>
      </c>
      <c r="H6467" s="6" t="n">
        <f aca="false">Sens!H6448</f>
        <v>192.952057559703</v>
      </c>
      <c r="I6467" s="6" t="n">
        <f aca="false">Sens!I6448</f>
        <v>213.777786640474</v>
      </c>
      <c r="J6467" s="6" t="n">
        <f aca="false">Sens!J6448</f>
        <v>232.01485580183</v>
      </c>
      <c r="K6467" s="6" t="n">
        <f aca="false">Sens!K6448</f>
        <v>248.612998765906</v>
      </c>
    </row>
    <row r="6468" customFormat="false" ht="17.15" hidden="false" customHeight="false" outlineLevel="0" collapsed="false">
      <c r="A6468" s="1" t="s">
        <v>937</v>
      </c>
      <c r="B6468" s="0" t="s">
        <v>98</v>
      </c>
      <c r="E6468" s="6" t="n">
        <f aca="false">Q!M38-Sens!E6386</f>
        <v>22.2285940229167</v>
      </c>
      <c r="F6468" s="6" t="n">
        <f aca="false">Sens!E6468*(1-1/life_nonai)+Sens!F6474/life_nonai</f>
        <v>23.5408693435813</v>
      </c>
      <c r="G6468" s="6" t="n">
        <f aca="false">Sens!F6468*(1-1/life_nonai)+Sens!G6474/life_nonai</f>
        <v>25.2840717662621</v>
      </c>
      <c r="H6468" s="6" t="n">
        <f aca="false">Sens!G6468*(1-1/life_nonai)+Sens!H6474/life_nonai</f>
        <v>27.4236159540448</v>
      </c>
      <c r="I6468" s="6" t="n">
        <f aca="false">Sens!H6468*(1-1/life_nonai)+Sens!I6474/life_nonai</f>
        <v>29.8914943898047</v>
      </c>
      <c r="J6468" s="6" t="n">
        <f aca="false">Sens!I6468*(1-1/life_nonai)+Sens!J6474/life_nonai</f>
        <v>32.6032362758616</v>
      </c>
      <c r="K6468" s="6" t="n">
        <f aca="false">Sens!J6468*(1-1/life_nonai)+Sens!K6474/life_nonai</f>
        <v>35.4749829224749</v>
      </c>
      <c r="L6468" s="11" t="s">
        <v>938</v>
      </c>
    </row>
    <row r="6469" customFormat="false" ht="17.15" hidden="false" customHeight="false" outlineLevel="0" collapsed="false">
      <c r="A6469" s="1" t="s">
        <v>939</v>
      </c>
      <c r="B6469" s="0" t="s">
        <v>98</v>
      </c>
      <c r="E6469" s="6" t="n">
        <f aca="false">Sens!E6386+Sens!E6468</f>
        <v>38.534</v>
      </c>
      <c r="F6469" s="6" t="n">
        <f aca="false">Sens!F6386+Sens!F6468</f>
        <v>58.300404799451</v>
      </c>
      <c r="G6469" s="6" t="n">
        <f aca="false">Sens!G6386+Sens!G6468</f>
        <v>85.8288050266016</v>
      </c>
      <c r="H6469" s="6" t="n">
        <f aca="false">Sens!H6386+Sens!H6468</f>
        <v>115.203931947184</v>
      </c>
      <c r="I6469" s="6" t="n">
        <f aca="false">Sens!I6386+Sens!I6468</f>
        <v>141.916534372026</v>
      </c>
      <c r="J6469" s="6" t="n">
        <f aca="false">Sens!J6386+Sens!J6468</f>
        <v>161.824947198527</v>
      </c>
      <c r="K6469" s="6" t="n">
        <f aca="false">Sens!K6386+Sens!K6468</f>
        <v>175.160629726948</v>
      </c>
    </row>
    <row r="6470" customFormat="false" ht="17.15" hidden="false" customHeight="false" outlineLevel="0" collapsed="false">
      <c r="A6470" s="1" t="s">
        <v>940</v>
      </c>
      <c r="B6470" s="0" t="s">
        <v>98</v>
      </c>
      <c r="F6470" s="6" t="n">
        <f aca="false">Sens!F6413*sbc_r</f>
        <v>14.9827729498116</v>
      </c>
      <c r="G6470" s="6" t="n">
        <f aca="false">Sens!G6413*sbc_r</f>
        <v>18.1423683667783</v>
      </c>
      <c r="H6470" s="6" t="n">
        <f aca="false">Sens!H6413*sbc_r</f>
        <v>21.5474377968688</v>
      </c>
      <c r="I6470" s="6" t="n">
        <f aca="false">Sens!I6413*sbc_r</f>
        <v>24.4697840462957</v>
      </c>
      <c r="J6470" s="6" t="n">
        <f aca="false">Sens!J6413*sbc_r</f>
        <v>26.8374519312499</v>
      </c>
      <c r="K6470" s="6" t="n">
        <f aca="false">Sens!K6413*sbc_r</f>
        <v>28.7145397559975</v>
      </c>
    </row>
    <row r="6471" customFormat="false" ht="17.15" hidden="false" customHeight="false" outlineLevel="0" collapsed="false">
      <c r="A6471" s="1" t="s">
        <v>941</v>
      </c>
      <c r="B6471" s="0" t="s">
        <v>98</v>
      </c>
      <c r="F6471" s="6" t="n">
        <f aca="false">wc27</f>
        <v>-4.895</v>
      </c>
      <c r="G6471" s="6" t="n">
        <f aca="false">wc_f</f>
        <v>0</v>
      </c>
      <c r="H6471" s="6" t="n">
        <f aca="false">wc_f</f>
        <v>0</v>
      </c>
      <c r="I6471" s="6" t="n">
        <f aca="false">wc_f</f>
        <v>0</v>
      </c>
      <c r="J6471" s="6" t="n">
        <f aca="false">wc_f</f>
        <v>0</v>
      </c>
      <c r="K6471" s="6" t="n">
        <f aca="false">wc_f</f>
        <v>0</v>
      </c>
      <c r="L6471" s="11" t="s">
        <v>942</v>
      </c>
    </row>
    <row r="6472" customFormat="false" ht="15" hidden="false" customHeight="false" outlineLevel="0" collapsed="false">
      <c r="A6472" s="1" t="s">
        <v>756</v>
      </c>
      <c r="B6472" s="0" t="s">
        <v>98</v>
      </c>
      <c r="E6472" s="6" t="n">
        <f aca="false">Q!M35</f>
        <v>182.935</v>
      </c>
      <c r="F6472" s="6" t="n">
        <f aca="false">Sens!F6467+Sens!F6469+Sens!F6470+Sens!F6471</f>
        <v>211.461151914904</v>
      </c>
      <c r="G6472" s="6" t="n">
        <f aca="false">Sens!G6467+Sens!G6469+Sens!G6470+Sens!G6471</f>
        <v>269.984464270128</v>
      </c>
      <c r="H6472" s="6" t="n">
        <f aca="false">Sens!H6467+Sens!H6469+Sens!H6470+Sens!H6471</f>
        <v>329.703427303756</v>
      </c>
      <c r="I6472" s="6" t="n">
        <f aca="false">Sens!I6467+Sens!I6469+Sens!I6470+Sens!I6471</f>
        <v>380.164105058796</v>
      </c>
      <c r="J6472" s="6" t="n">
        <f aca="false">Sens!J6467+Sens!J6469+Sens!J6470+Sens!J6471</f>
        <v>420.677254931608</v>
      </c>
      <c r="K6472" s="6" t="n">
        <f aca="false">Sens!K6467+Sens!K6469+Sens!K6470+Sens!K6471</f>
        <v>452.488168248852</v>
      </c>
    </row>
    <row r="6473" customFormat="false" ht="17.15" hidden="false" customHeight="false" outlineLevel="0" collapsed="false">
      <c r="A6473" s="0" t="s">
        <v>943</v>
      </c>
      <c r="B6473" s="0" t="s">
        <v>98</v>
      </c>
      <c r="F6473" s="6" t="n">
        <f aca="false">Sens!F6383</f>
        <v>168.848652770438</v>
      </c>
      <c r="G6473" s="6" t="n">
        <f aca="false">Sens!G6383</f>
        <v>183.5741804832</v>
      </c>
      <c r="H6473" s="6" t="n">
        <f aca="false">Sens!H6383</f>
        <v>188.0802859104</v>
      </c>
      <c r="I6473" s="6" t="n">
        <f aca="false">Sens!I6383</f>
        <v>163.706669154245</v>
      </c>
      <c r="J6473" s="6" t="n">
        <f aca="false">Sens!J6383</f>
        <v>124.51247671809</v>
      </c>
      <c r="K6473" s="6" t="n">
        <f aca="false">Sens!K6383</f>
        <v>114.959435641936</v>
      </c>
    </row>
    <row r="6474" customFormat="false" ht="17.15" hidden="false" customHeight="false" outlineLevel="0" collapsed="false">
      <c r="A6474" s="1" t="s">
        <v>944</v>
      </c>
      <c r="B6474" s="0" t="s">
        <v>98</v>
      </c>
      <c r="E6474" s="6" t="n">
        <f aca="false">Sens!E6391*cx_azo+Sens!E6398*cx_m365+Sens!E6399*cx_lic+(Sens!E6401+Sens!E6403)*cx_ind+Sens!E6406*cx_srch+(Sens!E6408+Sens!E6410)*cx_dev</f>
        <v>30.1846587067718</v>
      </c>
      <c r="F6474" s="6" t="n">
        <f aca="false">Sens!F6391*cx_azo+Sens!F6398*cx_m365+Sens!F6399*cx_lic+(Sens!F6401+Sens!F6403)*cx_ind+Sens!F6406*cx_srch+(Sens!F6408+Sens!F6410)*cx_dev</f>
        <v>35.3513472295625</v>
      </c>
      <c r="G6474" s="6" t="n">
        <f aca="false">Sens!G6391*cx_azo+Sens!G6398*cx_m365+Sens!G6399*cx_lic+(Sens!G6401+Sens!G6403)*cx_ind+Sens!G6406*cx_srch+(Sens!G6408+Sens!G6410)*cx_dev</f>
        <v>40.9728935703892</v>
      </c>
      <c r="H6474" s="6" t="n">
        <f aca="false">Sens!H6391*cx_azo+Sens!H6398*cx_m365+Sens!H6399*cx_lic+(Sens!H6401+Sens!H6403)*cx_ind+Sens!H6406*cx_srch+(Sens!H6408+Sens!H6410)*cx_dev</f>
        <v>46.6795136440897</v>
      </c>
      <c r="I6474" s="6" t="n">
        <f aca="false">Sens!I6391*cx_azo+Sens!I6398*cx_m365+Sens!I6399*cx_lic+(Sens!I6401+Sens!I6403)*cx_ind+Sens!I6406*cx_srch+(Sens!I6408+Sens!I6410)*cx_dev</f>
        <v>52.1024003116439</v>
      </c>
      <c r="J6474" s="6" t="n">
        <f aca="false">Sens!J6391*cx_azo+Sens!J6398*cx_m365+Sens!J6399*cx_lic+(Sens!J6401+Sens!J6403)*cx_ind+Sens!J6406*cx_srch+(Sens!J6408+Sens!J6410)*cx_dev</f>
        <v>57.0089132503738</v>
      </c>
      <c r="K6474" s="6" t="n">
        <f aca="false">Sens!K6391*cx_azo+Sens!K6398*cx_m365+Sens!K6399*cx_lic+(Sens!K6401+Sens!K6403)*cx_ind+Sens!K6406*cx_srch+(Sens!K6408+Sens!K6410)*cx_dev</f>
        <v>61.320702741994</v>
      </c>
    </row>
    <row r="6475" customFormat="false" ht="17.15" hidden="false" customHeight="false" outlineLevel="0" collapsed="false">
      <c r="A6475" s="1" t="s">
        <v>945</v>
      </c>
      <c r="B6475" s="0" t="s">
        <v>98</v>
      </c>
      <c r="E6475" s="6" t="n">
        <f aca="false">Q!M42</f>
        <v>145.3</v>
      </c>
      <c r="F6475" s="6" t="n">
        <f aca="false">Sens!F6473+Sens!F6474</f>
        <v>204.2</v>
      </c>
      <c r="G6475" s="6" t="n">
        <f aca="false">Sens!G6473+Sens!G6474</f>
        <v>224.547074053589</v>
      </c>
      <c r="H6475" s="6" t="n">
        <f aca="false">Sens!H6473+Sens!H6474</f>
        <v>234.75979955449</v>
      </c>
      <c r="I6475" s="6" t="n">
        <f aca="false">Sens!I6473+Sens!I6474</f>
        <v>215.809069465889</v>
      </c>
      <c r="J6475" s="6" t="n">
        <f aca="false">Sens!J6473+Sens!J6474</f>
        <v>181.521389968464</v>
      </c>
      <c r="K6475" s="6" t="n">
        <f aca="false">Sens!K6473+Sens!K6474</f>
        <v>176.28013838393</v>
      </c>
      <c r="L6475" s="1" t="s">
        <v>946</v>
      </c>
    </row>
    <row r="6476" customFormat="false" ht="15" hidden="false" customHeight="false" outlineLevel="0" collapsed="false">
      <c r="A6476" s="1" t="s">
        <v>947</v>
      </c>
      <c r="B6476" s="0" t="s">
        <v>98</v>
      </c>
      <c r="E6476" s="6" t="n">
        <f aca="false">fl_liab</f>
        <v>66.594</v>
      </c>
      <c r="F6476" s="6" t="n">
        <f aca="false">Sens!E6476-Sens!F6477</f>
        <v>62.46973</v>
      </c>
      <c r="G6476" s="6" t="n">
        <f aca="false">Sens!F6476-Sens!G6477</f>
        <v>57.98686785</v>
      </c>
      <c r="H6476" s="6" t="n">
        <f aca="false">Sens!G6476-Sens!H6477</f>
        <v>53.92827690325</v>
      </c>
      <c r="I6476" s="6" t="n">
        <f aca="false">Sens!H6476-Sens!I6477</f>
        <v>49.7850493638962</v>
      </c>
      <c r="J6476" s="6" t="n">
        <f aca="false">Sens!I6476-Sens!J6477</f>
        <v>45.4823765852716</v>
      </c>
      <c r="K6476" s="6" t="n">
        <f aca="false">Sens!J6476-Sens!K6477</f>
        <v>40.9860835316088</v>
      </c>
    </row>
    <row r="6477" customFormat="false" ht="15" hidden="false" customHeight="false" outlineLevel="0" collapsed="false">
      <c r="A6477" s="1" t="s">
        <v>948</v>
      </c>
      <c r="B6477" s="0" t="s">
        <v>98</v>
      </c>
      <c r="F6477" s="6" t="n">
        <f aca="false">fl_pay_27-Sens!E6476*fl_rate</f>
        <v>4.12427</v>
      </c>
      <c r="G6477" s="6" t="n">
        <f aca="false">fl_pay_28-Sens!F6476*fl_rate</f>
        <v>4.48286215</v>
      </c>
      <c r="H6477" s="6" t="n">
        <f aca="false">fl_pay_29-Sens!G6476*fl_rate</f>
        <v>4.05859094675</v>
      </c>
      <c r="I6477" s="6" t="n">
        <f aca="false">fl_pay_30-Sens!H6476*fl_rate</f>
        <v>4.14322753935375</v>
      </c>
      <c r="J6477" s="6" t="n">
        <f aca="false">fl_pay_31-Sens!I6476*fl_rate</f>
        <v>4.30267277862467</v>
      </c>
      <c r="K6477" s="6" t="n">
        <f aca="false">fl_pay_32-Sens!J6476*fl_rate</f>
        <v>4.49629305366278</v>
      </c>
    </row>
    <row r="6478" customFormat="false" ht="17.15" hidden="false" customHeight="false" outlineLevel="0" collapsed="false">
      <c r="A6478" s="1" t="s">
        <v>949</v>
      </c>
      <c r="B6478" s="0" t="s">
        <v>98</v>
      </c>
      <c r="E6478" s="6" t="n">
        <f aca="false">Q!M35-Q!M36-Q!M43</f>
        <v>63.886</v>
      </c>
      <c r="F6478" s="6" t="n">
        <f aca="false">Sens!F6472-Sens!F6475-Sens!F6477</f>
        <v>3.13688191490399</v>
      </c>
      <c r="G6478" s="6" t="n">
        <f aca="false">Sens!G6472-Sens!G6475-Sens!G6477</f>
        <v>40.9545280665386</v>
      </c>
      <c r="H6478" s="6" t="n">
        <f aca="false">Sens!H6472-Sens!H6475-Sens!H6477</f>
        <v>90.8850368025168</v>
      </c>
      <c r="I6478" s="6" t="n">
        <f aca="false">Sens!I6472-Sens!I6475-Sens!I6477</f>
        <v>160.211808053552</v>
      </c>
      <c r="J6478" s="6" t="n">
        <f aca="false">Sens!J6472-Sens!J6475-Sens!J6477</f>
        <v>234.853192184519</v>
      </c>
      <c r="K6478" s="6" t="n">
        <f aca="false">Sens!K6472-Sens!K6475-Sens!K6477</f>
        <v>271.711736811259</v>
      </c>
      <c r="L6478" s="11" t="s">
        <v>950</v>
      </c>
    </row>
    <row r="6479" customFormat="false" ht="15" hidden="false" customHeight="false" outlineLevel="0" collapsed="false">
      <c r="A6479" s="1" t="s">
        <v>951</v>
      </c>
      <c r="B6479" s="0" t="s">
        <v>75</v>
      </c>
      <c r="F6479" s="8" t="n">
        <f aca="false">dps_27</f>
        <v>3.85</v>
      </c>
      <c r="G6479" s="8" t="n">
        <f aca="false">Sens!F6479*(1+dps_g)</f>
        <v>4.158</v>
      </c>
      <c r="H6479" s="8" t="n">
        <f aca="false">Sens!G6479*(1+dps_g)</f>
        <v>4.49064</v>
      </c>
      <c r="I6479" s="8" t="n">
        <f aca="false">Sens!H6479*(1+dps_g)</f>
        <v>4.8498912</v>
      </c>
      <c r="J6479" s="8" t="n">
        <f aca="false">Sens!I6479*(1+dps_g)</f>
        <v>5.237882496</v>
      </c>
      <c r="K6479" s="8" t="n">
        <f aca="false">Sens!J6479*(1+dps_g)</f>
        <v>5.65691309568</v>
      </c>
    </row>
    <row r="6480" customFormat="false" ht="17.15" hidden="false" customHeight="false" outlineLevel="0" collapsed="false">
      <c r="A6480" s="1" t="s">
        <v>952</v>
      </c>
      <c r="B6480" s="0" t="s">
        <v>98</v>
      </c>
      <c r="E6480" s="6" t="n">
        <f aca="false">Q!M41</f>
        <v>26.445</v>
      </c>
      <c r="F6480" s="6" t="n">
        <f aca="false">Sens!F6479*Sens!E6489</f>
        <v>28.59395</v>
      </c>
      <c r="G6480" s="6" t="n">
        <f aca="false">Sens!G6479*Sens!F6489</f>
        <v>31.068576</v>
      </c>
      <c r="H6480" s="6" t="n">
        <f aca="false">Sens!H6479*Sens!G6489</f>
        <v>33.6818748949989</v>
      </c>
      <c r="I6480" s="6" t="n">
        <f aca="false">Sens!I6479*Sens!H6489</f>
        <v>36.4273641265982</v>
      </c>
      <c r="J6480" s="6" t="n">
        <f aca="false">Sens!J6479*Sens!I6489</f>
        <v>39.4099521050455</v>
      </c>
      <c r="K6480" s="6" t="n">
        <f aca="false">Sens!K6479*Sens!J6489</f>
        <v>42.6500034987542</v>
      </c>
      <c r="L6480" s="1" t="s">
        <v>953</v>
      </c>
    </row>
    <row r="6481" customFormat="false" ht="15" hidden="false" customHeight="false" outlineLevel="0" collapsed="false">
      <c r="A6481" s="1" t="s">
        <v>954</v>
      </c>
      <c r="B6481" s="0" t="s">
        <v>98</v>
      </c>
      <c r="E6481" s="6" t="n">
        <f aca="false">Sens!E6478-Sens!E6480</f>
        <v>37.441</v>
      </c>
      <c r="F6481" s="6" t="n">
        <f aca="false">Sens!F6478-Sens!F6480</f>
        <v>-25.457068085096</v>
      </c>
      <c r="G6481" s="6" t="n">
        <f aca="false">Sens!G6478-Sens!G6480</f>
        <v>9.88595206653857</v>
      </c>
      <c r="H6481" s="6" t="n">
        <f aca="false">Sens!H6478-Sens!H6480</f>
        <v>57.2031619075179</v>
      </c>
      <c r="I6481" s="6" t="n">
        <f aca="false">Sens!I6478-Sens!I6480</f>
        <v>123.784443926954</v>
      </c>
      <c r="J6481" s="6" t="n">
        <f aca="false">Sens!J6478-Sens!J6480</f>
        <v>195.443240079473</v>
      </c>
      <c r="K6481" s="6" t="n">
        <f aca="false">Sens!K6478-Sens!K6480</f>
        <v>229.061733312505</v>
      </c>
    </row>
    <row r="6482" customFormat="false" ht="15" hidden="false" customHeight="false" outlineLevel="0" collapsed="false">
      <c r="A6482" s="1" t="s">
        <v>955</v>
      </c>
      <c r="B6482" s="0" t="s">
        <v>98</v>
      </c>
      <c r="F6482" s="6" t="n">
        <f aca="false">debt_mat_27</f>
        <v>9.25</v>
      </c>
      <c r="G6482" s="6" t="n">
        <f aca="false">debt_mat_28</f>
        <v>0</v>
      </c>
      <c r="H6482" s="6" t="n">
        <f aca="false">debt_mat_29</f>
        <v>2.001</v>
      </c>
      <c r="I6482" s="6" t="n">
        <f aca="false">debt_mat_30</f>
        <v>0</v>
      </c>
      <c r="J6482" s="6" t="n">
        <f aca="false">debt_mat_31</f>
        <v>0.5</v>
      </c>
      <c r="K6482" s="6" t="n">
        <f aca="false">debt_mat_32</f>
        <v>0</v>
      </c>
    </row>
    <row r="6483" customFormat="false" ht="15" hidden="false" customHeight="false" outlineLevel="0" collapsed="false">
      <c r="A6483" s="1" t="s">
        <v>956</v>
      </c>
      <c r="B6483" s="0" t="s">
        <v>98</v>
      </c>
      <c r="E6483" s="6" t="n">
        <f aca="false">Q!M40</f>
        <v>22.271</v>
      </c>
      <c r="F6483" s="6" t="n">
        <f aca="false">MAX(0,MIN(bb_target,Sens!E6485+Sens!F6481-Sens!F6482-min_cash))</f>
        <v>0</v>
      </c>
      <c r="G6483" s="6" t="n">
        <f aca="false">MAX(0,MIN(bb_target,Sens!F6485+Sens!G6481-Sens!G6482-min_cash))</f>
        <v>9.88595206653857</v>
      </c>
      <c r="H6483" s="6" t="n">
        <f aca="false">MAX(0,MIN(bb_target,Sens!G6485+Sens!H6481-Sens!H6482-min_cash))</f>
        <v>22.271</v>
      </c>
      <c r="I6483" s="6" t="n">
        <f aca="false">MAX(0,MIN(bb_target,Sens!H6485+Sens!I6481-Sens!I6482-min_cash))</f>
        <v>22.271</v>
      </c>
      <c r="J6483" s="6" t="n">
        <f aca="false">MAX(0,MIN(bb_target,Sens!I6485+Sens!J6481-Sens!J6482-min_cash))</f>
        <v>22.271</v>
      </c>
      <c r="K6483" s="6" t="n">
        <f aca="false">MAX(0,MIN(bb_target,Sens!J6485+Sens!K6481-Sens!K6482-min_cash))</f>
        <v>22.271</v>
      </c>
    </row>
    <row r="6484" customFormat="false" ht="15" hidden="false" customHeight="false" outlineLevel="0" collapsed="false">
      <c r="A6484" s="1" t="s">
        <v>957</v>
      </c>
      <c r="B6484" s="0" t="s">
        <v>98</v>
      </c>
      <c r="F6484" s="6" t="n">
        <f aca="false">MAX(0,min_cash-(Sens!E6485+Sens!F6481-Sens!F6482-Sens!F6483))</f>
        <v>7.86406808509601</v>
      </c>
      <c r="G6484" s="6" t="n">
        <f aca="false">MAX(0,min_cash-(Sens!F6485+Sens!G6481-Sens!G6482-Sens!G6483))</f>
        <v>0</v>
      </c>
      <c r="H6484" s="6" t="n">
        <f aca="false">MAX(0,min_cash-(Sens!G6485+Sens!H6481-Sens!H6482-Sens!H6483))</f>
        <v>0</v>
      </c>
      <c r="I6484" s="6" t="n">
        <f aca="false">MAX(0,min_cash-(Sens!H6485+Sens!I6481-Sens!I6482-Sens!I6483))</f>
        <v>0</v>
      </c>
      <c r="J6484" s="6" t="n">
        <f aca="false">MAX(0,min_cash-(Sens!I6485+Sens!J6481-Sens!J6482-Sens!J6483))</f>
        <v>0</v>
      </c>
      <c r="K6484" s="6" t="n">
        <f aca="false">MAX(0,min_cash-(Sens!J6485+Sens!K6481-Sens!K6482-Sens!K6483))</f>
        <v>0</v>
      </c>
    </row>
    <row r="6485" customFormat="false" ht="15" hidden="false" customHeight="false" outlineLevel="0" collapsed="false">
      <c r="A6485" s="1" t="s">
        <v>958</v>
      </c>
      <c r="B6485" s="0" t="s">
        <v>98</v>
      </c>
      <c r="E6485" s="6" t="n">
        <f aca="false">cash_open</f>
        <v>76.843</v>
      </c>
      <c r="F6485" s="6" t="n">
        <f aca="false">Sens!E6485+Sens!F6481-Sens!F6482-Sens!F6483+Sens!F6484</f>
        <v>50</v>
      </c>
      <c r="G6485" s="6" t="n">
        <f aca="false">Sens!F6485+Sens!G6481-Sens!G6482-Sens!G6483+Sens!G6484</f>
        <v>50</v>
      </c>
      <c r="H6485" s="6" t="n">
        <f aca="false">Sens!G6485+Sens!H6481-Sens!H6482-Sens!H6483+Sens!H6484</f>
        <v>82.9311619075179</v>
      </c>
      <c r="I6485" s="6" t="n">
        <f aca="false">Sens!H6485+Sens!I6481-Sens!I6482-Sens!I6483+Sens!I6484</f>
        <v>184.444605834472</v>
      </c>
      <c r="J6485" s="6" t="n">
        <f aca="false">Sens!I6485+Sens!J6481-Sens!J6482-Sens!J6483+Sens!J6484</f>
        <v>357.116845913945</v>
      </c>
      <c r="K6485" s="6" t="n">
        <f aca="false">Sens!J6485+Sens!K6481-Sens!K6482-Sens!K6483+Sens!K6484</f>
        <v>563.90757922645</v>
      </c>
    </row>
    <row r="6486" customFormat="false" ht="15" hidden="false" customHeight="false" outlineLevel="0" collapsed="false">
      <c r="A6486" s="1" t="s">
        <v>959</v>
      </c>
      <c r="B6486" s="0" t="s">
        <v>98</v>
      </c>
      <c r="E6486" s="6" t="n">
        <f aca="false">debt_face</f>
        <v>46.136</v>
      </c>
      <c r="F6486" s="6" t="n">
        <f aca="false">Sens!E6486-Sens!F6482+Sens!F6484</f>
        <v>44.750068085096</v>
      </c>
      <c r="G6486" s="6" t="n">
        <f aca="false">Sens!F6486-Sens!G6482+Sens!G6484</f>
        <v>44.750068085096</v>
      </c>
      <c r="H6486" s="6" t="n">
        <f aca="false">Sens!G6486-Sens!H6482+Sens!H6484</f>
        <v>42.749068085096</v>
      </c>
      <c r="I6486" s="6" t="n">
        <f aca="false">Sens!H6486-Sens!I6482+Sens!I6484</f>
        <v>42.749068085096</v>
      </c>
      <c r="J6486" s="6" t="n">
        <f aca="false">Sens!I6486-Sens!J6482+Sens!J6484</f>
        <v>42.249068085096</v>
      </c>
      <c r="K6486" s="6" t="n">
        <f aca="false">Sens!J6486-Sens!K6482+Sens!K6484</f>
        <v>42.249068085096</v>
      </c>
    </row>
    <row r="6487" customFormat="false" ht="15" hidden="false" customHeight="false" outlineLevel="0" collapsed="false">
      <c r="A6487" s="1" t="s">
        <v>960</v>
      </c>
      <c r="B6487" s="0" t="s">
        <v>98</v>
      </c>
      <c r="E6487" s="6" t="n">
        <f aca="false">Sens!E6485-Sens!E6486</f>
        <v>30.707</v>
      </c>
      <c r="F6487" s="6" t="n">
        <f aca="false">Sens!F6485-Sens!F6486</f>
        <v>5.24993191490399</v>
      </c>
      <c r="G6487" s="6" t="n">
        <f aca="false">Sens!G6485-Sens!G6486</f>
        <v>5.24993191490399</v>
      </c>
      <c r="H6487" s="6" t="n">
        <f aca="false">Sens!H6485-Sens!H6486</f>
        <v>40.1820938224219</v>
      </c>
      <c r="I6487" s="6" t="n">
        <f aca="false">Sens!I6485-Sens!I6486</f>
        <v>141.695537749376</v>
      </c>
      <c r="J6487" s="6" t="n">
        <f aca="false">Sens!J6485-Sens!J6486</f>
        <v>314.867777828849</v>
      </c>
      <c r="K6487" s="6" t="n">
        <f aca="false">Sens!K6485-Sens!K6486</f>
        <v>521.658511141354</v>
      </c>
    </row>
    <row r="6488" customFormat="false" ht="15" hidden="false" customHeight="false" outlineLevel="0" collapsed="false">
      <c r="A6488" s="1" t="s">
        <v>961</v>
      </c>
      <c r="B6488" s="0" t="s">
        <v>75</v>
      </c>
      <c r="F6488" s="29" t="n">
        <f aca="false">px*(1+bb_g)^(Sens!F6352-base_fy-mid_yr)</f>
        <v>553.494156066711</v>
      </c>
      <c r="G6488" s="29" t="n">
        <f aca="false">px*(1+bb_g)^(Sens!G6352-base_fy-mid_yr)</f>
        <v>597.773688552047</v>
      </c>
      <c r="H6488" s="29" t="n">
        <f aca="false">px*(1+bb_g)^(Sens!H6352-base_fy-mid_yr)</f>
        <v>645.595583636211</v>
      </c>
      <c r="I6488" s="29" t="n">
        <f aca="false">px*(1+bb_g)^(Sens!I6352-base_fy-mid_yr)</f>
        <v>697.243230327108</v>
      </c>
      <c r="J6488" s="29" t="n">
        <f aca="false">px*(1+bb_g)^(Sens!J6352-base_fy-mid_yr)</f>
        <v>753.022688753277</v>
      </c>
      <c r="K6488" s="29" t="n">
        <f aca="false">px*(1+bb_g)^(Sens!K6352-base_fy-mid_yr)</f>
        <v>813.264503853539</v>
      </c>
    </row>
    <row r="6489" customFormat="false" ht="15" hidden="false" customHeight="false" outlineLevel="0" collapsed="false">
      <c r="A6489" s="1" t="s">
        <v>962</v>
      </c>
      <c r="B6489" s="1" t="s">
        <v>81</v>
      </c>
      <c r="E6489" s="14" t="n">
        <f aca="false">sh_out26</f>
        <v>7.427</v>
      </c>
      <c r="F6489" s="14" t="n">
        <f aca="false">Sens!E6489+sh_iss-Sens!F6483/Sens!F6488</f>
        <v>7.472</v>
      </c>
      <c r="G6489" s="14" t="n">
        <f aca="false">Sens!F6489+sh_iss-Sens!G6483/Sens!G6488</f>
        <v>7.50046204883911</v>
      </c>
      <c r="H6489" s="14" t="n">
        <f aca="false">Sens!G6489+sh_iss-Sens!H6483/Sens!H6488</f>
        <v>7.51096522053901</v>
      </c>
      <c r="I6489" s="14" t="n">
        <f aca="false">Sens!H6489+sh_iss-Sens!I6483/Sens!I6488</f>
        <v>7.52402371285374</v>
      </c>
      <c r="J6489" s="14" t="n">
        <f aca="false">Sens!I6489+sh_iss-Sens!J6483/Sens!J6488</f>
        <v>7.53944824277478</v>
      </c>
      <c r="K6489" s="14" t="n">
        <f aca="false">Sens!J6489+sh_iss-Sens!K6483/Sens!K6488</f>
        <v>7.55706354825722</v>
      </c>
    </row>
    <row r="6490" customFormat="false" ht="15" hidden="false" customHeight="false" outlineLevel="0" collapsed="false">
      <c r="A6490" s="1" t="s">
        <v>963</v>
      </c>
      <c r="B6490" s="1" t="s">
        <v>81</v>
      </c>
      <c r="E6490" s="14" t="n">
        <f aca="false">sh_dil26</f>
        <v>7.453</v>
      </c>
      <c r="F6490" s="14" t="n">
        <f aca="false">(Sens!E6489+Sens!F6489)/2+dil_gap</f>
        <v>7.4735</v>
      </c>
      <c r="G6490" s="14" t="n">
        <f aca="false">(Sens!F6489+Sens!G6489)/2+dil_gap</f>
        <v>7.51023102441955</v>
      </c>
      <c r="H6490" s="14" t="n">
        <f aca="false">(Sens!G6489+Sens!H6489)/2+dil_gap</f>
        <v>7.52971363468906</v>
      </c>
      <c r="I6490" s="14" t="n">
        <f aca="false">(Sens!H6489+Sens!I6489)/2+dil_gap</f>
        <v>7.54149446669638</v>
      </c>
      <c r="J6490" s="14" t="n">
        <f aca="false">(Sens!I6489+Sens!J6489)/2+dil_gap</f>
        <v>7.55573597781426</v>
      </c>
      <c r="K6490" s="14" t="n">
        <f aca="false">(Sens!J6489+Sens!K6489)/2+dil_gap</f>
        <v>7.572255895516</v>
      </c>
    </row>
    <row r="6491" customFormat="false" ht="17.15" hidden="false" customHeight="false" outlineLevel="0" collapsed="false">
      <c r="A6491" s="1" t="s">
        <v>964</v>
      </c>
      <c r="B6491" s="0" t="s">
        <v>98</v>
      </c>
      <c r="C6491" s="6" t="n">
        <f aca="false">SUM(Sens!F6481:J6481)</f>
        <v>360.859729895388</v>
      </c>
    </row>
    <row r="6492" customFormat="false" ht="15" hidden="false" customHeight="false" outlineLevel="0" collapsed="false">
      <c r="A6492" s="23" t="s">
        <v>935</v>
      </c>
      <c r="B6492" s="30" t="s">
        <v>98</v>
      </c>
      <c r="C6492" s="24" t="n">
        <f aca="false">Sens!$C$6491-(Sens!F6481+Sens!G6481+Sens!H6481+Sens!I6481+Sens!J6481)</f>
        <v>0</v>
      </c>
      <c r="D6492" s="30"/>
      <c r="E6492" s="30"/>
      <c r="F6492" s="30"/>
      <c r="G6492" s="30"/>
      <c r="H6492" s="30"/>
      <c r="I6492" s="30"/>
      <c r="J6492" s="30"/>
      <c r="K6492" s="30"/>
    </row>
    <row r="6493" customFormat="false" ht="17.15" hidden="false" customHeight="false" outlineLevel="0" collapsed="false">
      <c r="A6493" s="1" t="s">
        <v>929</v>
      </c>
      <c r="B6493" s="1" t="s">
        <v>965</v>
      </c>
      <c r="C6493" s="32" t="str">
        <f aca="false">IF(SUM(Sens!F6484:J6484)&gt;0.05,"需要舉債 "&amp;TEXT(SUM(Sens!F6484:J6484),"0.0")&amp;" 十億美元","不需舉債")&amp;"；"&amp;IF(SUM(Sens!F6483:J6483)&lt;COUNT(Sens!F6483:J6483)*bb_target-0.05,"回購較每年 "&amp;TEXT(bb_target,"0.0")&amp;" 的目標少 "&amp;TEXT(COUNT(Sens!F6483:J6483)*bb_target-SUM(Sens!F6483:J6483),"0.0")&amp;" 十億美元（"&amp;TEXT(COUNTIF(Sens!F6483:J6483,"&lt;"&amp;(bb_target-0.05)),"0")&amp;" 年減少）","回購不減")</f>
        <v>需要舉債 7.9 十億美元；回購較每年 22.3 的目標少 34.7 十億美元（2 年減少）</v>
      </c>
    </row>
    <row r="6494" customFormat="false" ht="17.15" hidden="false" customHeight="false" outlineLevel="0" collapsed="false">
      <c r="A6494" s="3" t="s">
        <v>1403</v>
      </c>
    </row>
    <row r="6495" customFormat="false" ht="15" hidden="false" customHeight="false" outlineLevel="0" collapsed="false">
      <c r="A6495" s="4" t="s">
        <v>43</v>
      </c>
      <c r="B6495" s="4" t="s">
        <v>65</v>
      </c>
      <c r="C6495" s="20" t="s">
        <v>788</v>
      </c>
      <c r="D6495" s="20" t="s">
        <v>789</v>
      </c>
      <c r="E6495" s="20" t="s">
        <v>790</v>
      </c>
      <c r="F6495" s="20" t="s">
        <v>791</v>
      </c>
      <c r="G6495" s="20" t="s">
        <v>792</v>
      </c>
      <c r="H6495" s="20" t="s">
        <v>793</v>
      </c>
      <c r="I6495" s="20" t="s">
        <v>794</v>
      </c>
      <c r="J6495" s="20" t="s">
        <v>795</v>
      </c>
      <c r="K6495" s="20" t="s">
        <v>796</v>
      </c>
      <c r="L6495" s="4" t="s">
        <v>47</v>
      </c>
    </row>
    <row r="6496" customFormat="false" ht="15" hidden="false" customHeight="false" outlineLevel="0" collapsed="false">
      <c r="A6496" s="1" t="s">
        <v>1042</v>
      </c>
      <c r="B6496" s="1" t="s">
        <v>235</v>
      </c>
      <c r="F6496" s="36" t="n">
        <f aca="false">Sens!F6352-base_fy-mid_yr</f>
        <v>0.5</v>
      </c>
      <c r="G6496" s="36" t="n">
        <f aca="false">Sens!G6352-base_fy-mid_yr</f>
        <v>1.5</v>
      </c>
      <c r="H6496" s="36" t="n">
        <f aca="false">Sens!H6352-base_fy-mid_yr</f>
        <v>2.5</v>
      </c>
      <c r="I6496" s="36" t="n">
        <f aca="false">Sens!I6352-base_fy-mid_yr</f>
        <v>3.5</v>
      </c>
      <c r="J6496" s="36" t="n">
        <f aca="false">Sens!J6352-base_fy-mid_yr</f>
        <v>4.5</v>
      </c>
      <c r="K6496" s="36" t="n">
        <f aca="false">Sens!K6352-base_fy-mid_yr</f>
        <v>5.5</v>
      </c>
    </row>
    <row r="6497" customFormat="false" ht="15" hidden="false" customHeight="false" outlineLevel="0" collapsed="false">
      <c r="A6497" s="1" t="s">
        <v>1043</v>
      </c>
      <c r="B6497" s="0" t="s">
        <v>185</v>
      </c>
      <c r="F6497" s="14" t="n">
        <f aca="false">1/(1+wacc)^Sens!F6496</f>
        <v>0.952193373608246</v>
      </c>
      <c r="G6497" s="14" t="n">
        <f aca="false">1/(1+wacc)^Sens!G6496</f>
        <v>0.863327280626589</v>
      </c>
      <c r="H6497" s="14" t="n">
        <f aca="false">1/(1+wacc)^Sens!H6496</f>
        <v>0.782754862754115</v>
      </c>
      <c r="I6497" s="14" t="n">
        <f aca="false">1/(1+wacc)^Sens!I6496</f>
        <v>0.709702089711011</v>
      </c>
      <c r="J6497" s="14" t="n">
        <f aca="false">1/(1+wacc)^Sens!J6496</f>
        <v>0.643467169744551</v>
      </c>
      <c r="K6497" s="14" t="n">
        <f aca="false">1/(1+wacc)^Sens!K6496</f>
        <v>0.583413807767797</v>
      </c>
    </row>
    <row r="6498" customFormat="false" ht="17.15" hidden="false" customHeight="false" outlineLevel="0" collapsed="false">
      <c r="A6498" s="1" t="s">
        <v>1044</v>
      </c>
      <c r="B6498" s="0" t="s">
        <v>98</v>
      </c>
      <c r="F6498" s="6" t="n">
        <f aca="false">Sens!F6472-Sens!F6470-Sens!F6475+Sens!F6456*(1-tax_f)</f>
        <v>9.26845994594014</v>
      </c>
      <c r="G6498" s="6" t="n">
        <f aca="false">Sens!G6472-Sens!G6470-Sens!G6475+Sens!G6456*(1-tax_f)</f>
        <v>56.225959990155</v>
      </c>
      <c r="H6498" s="6" t="n">
        <f aca="false">Sens!H6472-Sens!H6470-Sens!H6475+Sens!H6456*(1-tax_f)</f>
        <v>115.3499501267</v>
      </c>
      <c r="I6498" s="6" t="n">
        <f aca="false">Sens!I6472-Sens!I6470-Sens!I6475+Sens!I6456*(1-tax_f)</f>
        <v>193.779221387037</v>
      </c>
      <c r="J6498" s="6" t="n">
        <f aca="false">Sens!J6472-Sens!J6470-Sens!J6475+Sens!J6456*(1-tax_f)</f>
        <v>274.593591684366</v>
      </c>
      <c r="K6498" s="6" t="n">
        <f aca="false">Sens!K6472-Sens!K6470-Sens!K6475+Sens!K6456*(1-tax_f)</f>
        <v>314.372708843765</v>
      </c>
      <c r="L6498" s="1" t="s">
        <v>1045</v>
      </c>
    </row>
    <row r="6499" customFormat="false" ht="15" hidden="false" customHeight="false" outlineLevel="0" collapsed="false">
      <c r="A6499" s="1" t="s">
        <v>1046</v>
      </c>
      <c r="B6499" s="0" t="s">
        <v>98</v>
      </c>
      <c r="F6499" s="6" t="n">
        <f aca="false">Sens!F6498*Sens!F6497</f>
        <v>8.82536614407765</v>
      </c>
      <c r="G6499" s="6" t="n">
        <f aca="false">Sens!G6498*Sens!G6497</f>
        <v>48.5414051389199</v>
      </c>
      <c r="H6499" s="6" t="n">
        <f aca="false">Sens!H6498*Sens!H6497</f>
        <v>90.290734380119</v>
      </c>
      <c r="I6499" s="6" t="n">
        <f aca="false">Sens!I6498*Sens!I6497</f>
        <v>137.525518360953</v>
      </c>
      <c r="J6499" s="6" t="n">
        <f aca="false">Sens!J6498*Sens!J6497</f>
        <v>176.69196127113</v>
      </c>
      <c r="K6499" s="6" t="n">
        <f aca="false">Sens!K6498*Sens!K6497</f>
        <v>183.409379124818</v>
      </c>
    </row>
    <row r="6500" customFormat="false" ht="17.15" hidden="false" customHeight="false" outlineLevel="0" collapsed="false">
      <c r="A6500" s="1" t="s">
        <v>1047</v>
      </c>
      <c r="B6500" s="0" t="s">
        <v>98</v>
      </c>
      <c r="C6500" s="6" t="n">
        <f aca="false">SUM(Sens!F6499:K6499)</f>
        <v>645.284364420017</v>
      </c>
    </row>
    <row r="6501" customFormat="false" ht="17.15" hidden="false" customHeight="false" outlineLevel="0" collapsed="false">
      <c r="A6501" s="1" t="s">
        <v>1048</v>
      </c>
      <c r="B6501" s="0" t="s">
        <v>98</v>
      </c>
      <c r="C6501" s="6" t="n">
        <f aca="false">Sens!K6442*(1+g_tv)*(1-tax_f)</f>
        <v>325.286584025769</v>
      </c>
    </row>
    <row r="6502" customFormat="false" ht="17.15" hidden="false" customHeight="false" outlineLevel="0" collapsed="false">
      <c r="A6502" s="1" t="s">
        <v>1049</v>
      </c>
      <c r="B6502" s="0" t="s">
        <v>98</v>
      </c>
      <c r="C6502" s="6" t="n">
        <f aca="false">Sens!$C$6501*(1-g_tv/(wacc+ronic_prem))</f>
        <v>230.482557229212</v>
      </c>
    </row>
    <row r="6503" customFormat="false" ht="17.15" hidden="false" customHeight="false" outlineLevel="0" collapsed="false">
      <c r="A6503" s="1" t="s">
        <v>1050</v>
      </c>
      <c r="B6503" s="0" t="s">
        <v>98</v>
      </c>
      <c r="C6503" s="6" t="n">
        <f aca="false">Sens!$C$6502/(wacc-g_tv)</f>
        <v>3160.13422655191</v>
      </c>
    </row>
    <row r="6504" customFormat="false" ht="15" hidden="false" customHeight="false" outlineLevel="0" collapsed="false">
      <c r="A6504" s="1" t="s">
        <v>1051</v>
      </c>
      <c r="B6504" s="0" t="s">
        <v>98</v>
      </c>
      <c r="C6504" s="6" t="n">
        <f aca="false">Sens!$C$6503/(1+wacc)^(Sens!K6496+mid_yr)</f>
        <v>1755.52649328147</v>
      </c>
    </row>
    <row r="6505" customFormat="false" ht="17.15" hidden="false" customHeight="false" outlineLevel="0" collapsed="false">
      <c r="A6505" s="0" t="s">
        <v>972</v>
      </c>
      <c r="B6505" s="0" t="s">
        <v>98</v>
      </c>
      <c r="C6505" s="6" t="n">
        <f aca="false">Sens!$C$6500+Sens!$C$6504</f>
        <v>2400.81085770149</v>
      </c>
    </row>
    <row r="6506" customFormat="false" ht="15" hidden="false" customHeight="false" outlineLevel="0" collapsed="false">
      <c r="A6506" s="1" t="s">
        <v>973</v>
      </c>
      <c r="B6506" s="0" t="s">
        <v>129</v>
      </c>
      <c r="C6506" s="7" t="n">
        <f aca="false">Sens!$C$6504/Sens!$C$6505</f>
        <v>0.731222323345452</v>
      </c>
    </row>
    <row r="6507" customFormat="false" ht="17.15" hidden="false" customHeight="false" outlineLevel="0" collapsed="false">
      <c r="A6507" s="1" t="s">
        <v>1052</v>
      </c>
      <c r="B6507" s="0" t="s">
        <v>98</v>
      </c>
      <c r="C6507" s="6" t="n">
        <f aca="false">Sens!$C$6505+Sens!E6487-Sens!E6476+oai_v</f>
        <v>2535.32385770149</v>
      </c>
    </row>
    <row r="6508" customFormat="false" ht="17.15" hidden="false" customHeight="false" outlineLevel="0" collapsed="false">
      <c r="A6508" s="0" t="s">
        <v>980</v>
      </c>
      <c r="B6508" s="0" t="s">
        <v>75</v>
      </c>
      <c r="C6508" s="5" t="n">
        <f aca="false">Sens!$C$6507/sh_dil26</f>
        <v>340.174944009323</v>
      </c>
    </row>
    <row r="6509" customFormat="false" ht="15" hidden="false" customHeight="false" outlineLevel="0" collapsed="false">
      <c r="A6509" s="1" t="s">
        <v>1053</v>
      </c>
      <c r="B6509" s="0" t="s">
        <v>75</v>
      </c>
      <c r="C6509" s="8" t="n">
        <f aca="false">dps_27+Sens!G6479*roll_div_q/q_per_yr</f>
        <v>4.8895</v>
      </c>
    </row>
    <row r="6510" customFormat="false" ht="17.15" hidden="false" customHeight="false" outlineLevel="0" collapsed="false">
      <c r="A6510" s="0" t="s">
        <v>1054</v>
      </c>
      <c r="B6510" s="0" t="s">
        <v>75</v>
      </c>
      <c r="C6510" s="5" t="n">
        <f aca="false">Sens!$C$6508*(1+wacc)^t_roll-Sens!$C$6509</f>
        <v>382.479067023466</v>
      </c>
    </row>
    <row r="6511" customFormat="false" ht="17.15" hidden="false" customHeight="false" outlineLevel="0" collapsed="false">
      <c r="A6511" s="1" t="s">
        <v>1055</v>
      </c>
      <c r="B6511" s="0" t="s">
        <v>129</v>
      </c>
      <c r="F6511" s="7" t="n">
        <f aca="false">Sens!F6468/(Sens!F6413-Sens!F6369)</f>
        <v>0.0688202541346265</v>
      </c>
      <c r="G6511" s="7" t="n">
        <f aca="false">Sens!G6468/(Sens!G6413-Sens!G6369)</f>
        <v>0.0658530357883173</v>
      </c>
      <c r="H6511" s="7" t="n">
        <f aca="false">Sens!H6468/(Sens!H6413-Sens!H6369)</f>
        <v>0.0642815118094334</v>
      </c>
      <c r="I6511" s="7" t="n">
        <f aca="false">Sens!I6468/(Sens!I6413-Sens!I6369)</f>
        <v>0.0639789351270493</v>
      </c>
      <c r="J6511" s="7" t="n">
        <f aca="false">Sens!J6468/(Sens!J6413-Sens!J6369)</f>
        <v>0.0646448158837641</v>
      </c>
      <c r="K6511" s="7" t="n">
        <f aca="false">Sens!K6468/(Sens!K6413-Sens!K6369)</f>
        <v>0.0659097318895045</v>
      </c>
    </row>
    <row r="6512" customFormat="false" ht="17.15" hidden="false" customHeight="false" outlineLevel="0" collapsed="false">
      <c r="A6512" s="0" t="s">
        <v>1056</v>
      </c>
      <c r="B6512" s="0" t="s">
        <v>98</v>
      </c>
      <c r="F6512" s="6" t="n">
        <f aca="false">Sens!F6398*(al_m365+Sens!F6511+sbc_r)</f>
        <v>82.3519994514205</v>
      </c>
      <c r="G6512" s="6" t="n">
        <f aca="false">Sens!G6398*(al_m365+Sens!G6511+sbc_r)</f>
        <v>95.1085169103278</v>
      </c>
      <c r="H6512" s="6" t="n">
        <f aca="false">Sens!H6398*(al_m365+Sens!H6511+sbc_r)</f>
        <v>108.026351697226</v>
      </c>
      <c r="I6512" s="6" t="n">
        <f aca="false">Sens!I6398*(al_m365+Sens!I6511+sbc_r)</f>
        <v>119.844468272489</v>
      </c>
      <c r="J6512" s="6" t="n">
        <f aca="false">Sens!J6398*(al_m365+Sens!J6511+sbc_r)</f>
        <v>130.37540625811</v>
      </c>
      <c r="K6512" s="6" t="n">
        <f aca="false">Sens!K6398*(al_m365+Sens!K6511+sbc_r)</f>
        <v>140.516392916298</v>
      </c>
      <c r="L6512" s="11" t="s">
        <v>1057</v>
      </c>
    </row>
    <row r="6513" customFormat="false" ht="17.15" hidden="false" customHeight="false" outlineLevel="0" collapsed="false">
      <c r="A6513" s="0" t="s">
        <v>1058</v>
      </c>
      <c r="B6513" s="0" t="s">
        <v>98</v>
      </c>
      <c r="F6513" s="6" t="n">
        <f aca="false">Sens!F6399*(al_lic+Sens!F6511+sbc_r)</f>
        <v>33.4536288106791</v>
      </c>
      <c r="G6513" s="6" t="n">
        <f aca="false">Sens!G6399*(al_lic+Sens!G6511+sbc_r)</f>
        <v>34.7493542706027</v>
      </c>
      <c r="H6513" s="6" t="n">
        <f aca="false">Sens!H6399*(al_lic+Sens!H6511+sbc_r)</f>
        <v>35.9603231208206</v>
      </c>
      <c r="I6513" s="6" t="n">
        <f aca="false">Sens!I6399*(al_lic+Sens!I6511+sbc_r)</f>
        <v>37.068109348343</v>
      </c>
      <c r="J6513" s="6" t="n">
        <f aca="false">Sens!J6399*(al_lic+Sens!J6511+sbc_r)</f>
        <v>38.0462707688027</v>
      </c>
      <c r="K6513" s="6" t="n">
        <f aca="false">Sens!K6399*(al_lic+Sens!K6511+sbc_r)</f>
        <v>38.8648091711261</v>
      </c>
    </row>
    <row r="6514" customFormat="false" ht="17.15" hidden="false" customHeight="false" outlineLevel="0" collapsed="false">
      <c r="A6514" s="0" t="s">
        <v>1059</v>
      </c>
      <c r="B6514" s="0" t="s">
        <v>98</v>
      </c>
      <c r="F6514" s="6" t="n">
        <f aca="false">Sens!F6401*(al_ind+Sens!F6511+sbc_r)</f>
        <v>9.08156639724196</v>
      </c>
      <c r="G6514" s="6" t="n">
        <f aca="false">Sens!G6401*(al_ind+Sens!G6511+sbc_r)</f>
        <v>9.8547610290275</v>
      </c>
      <c r="H6514" s="6" t="n">
        <f aca="false">Sens!H6401*(al_ind+Sens!H6511+sbc_r)</f>
        <v>10.6737434978129</v>
      </c>
      <c r="I6514" s="6" t="n">
        <f aca="false">Sens!I6401*(al_ind+Sens!I6511+sbc_r)</f>
        <v>11.5356185445688</v>
      </c>
      <c r="J6514" s="6" t="n">
        <f aca="false">Sens!J6401*(al_ind+Sens!J6511+sbc_r)</f>
        <v>12.4303875748465</v>
      </c>
      <c r="K6514" s="6" t="n">
        <f aca="false">Sens!K6401*(al_ind+Sens!K6511+sbc_r)</f>
        <v>13.3423626832351</v>
      </c>
    </row>
    <row r="6515" customFormat="false" ht="17.15" hidden="false" customHeight="false" outlineLevel="0" collapsed="false">
      <c r="A6515" s="0" t="s">
        <v>1060</v>
      </c>
      <c r="B6515" s="0" t="s">
        <v>98</v>
      </c>
      <c r="F6515" s="6" t="n">
        <f aca="false">Sens!F6403*(al_fro+Sens!F6511+sbc_r)</f>
        <v>3.57453641752621</v>
      </c>
      <c r="G6515" s="6" t="n">
        <f aca="false">Sens!G6403*(al_fro+Sens!G6511+sbc_r)</f>
        <v>3.7836456051834</v>
      </c>
      <c r="H6515" s="6" t="n">
        <f aca="false">Sens!H6403*(al_fro+Sens!H6511+sbc_r)</f>
        <v>4.022231886106</v>
      </c>
      <c r="I6515" s="6" t="n">
        <f aca="false">Sens!I6403*(al_fro+Sens!I6511+sbc_r)</f>
        <v>4.29308772832314</v>
      </c>
      <c r="J6515" s="6" t="n">
        <f aca="false">Sens!J6403*(al_fro+Sens!J6511+sbc_r)</f>
        <v>4.59723502408637</v>
      </c>
      <c r="K6515" s="6" t="n">
        <f aca="false">Sens!K6403*(al_fro+Sens!K6511+sbc_r)</f>
        <v>4.93451846630685</v>
      </c>
    </row>
    <row r="6516" customFormat="false" ht="17.15" hidden="false" customHeight="false" outlineLevel="0" collapsed="false">
      <c r="A6516" s="0" t="s">
        <v>1061</v>
      </c>
      <c r="B6516" s="0" t="s">
        <v>98</v>
      </c>
      <c r="F6516" s="6" t="n">
        <f aca="false">Sens!F6406*(al_srch+Sens!F6511+sbc_r)</f>
        <v>11.215865711537</v>
      </c>
      <c r="G6516" s="6" t="n">
        <f aca="false">Sens!G6406*(al_srch+Sens!G6511+sbc_r)</f>
        <v>12.2856082203733</v>
      </c>
      <c r="H6516" s="6" t="n">
        <f aca="false">Sens!H6406*(al_srch+Sens!H6511+sbc_r)</f>
        <v>13.4012722688625</v>
      </c>
      <c r="I6516" s="6" t="n">
        <f aca="false">Sens!I6406*(al_srch+Sens!I6511+sbc_r)</f>
        <v>14.5524462930123</v>
      </c>
      <c r="J6516" s="6" t="n">
        <f aca="false">Sens!J6406*(al_srch+Sens!J6511+sbc_r)</f>
        <v>15.7188037786835</v>
      </c>
      <c r="K6516" s="6" t="n">
        <f aca="false">Sens!K6406*(al_srch+Sens!K6511+sbc_r)</f>
        <v>16.8720387597722</v>
      </c>
    </row>
    <row r="6517" customFormat="false" ht="17.15" hidden="false" customHeight="false" outlineLevel="0" collapsed="false">
      <c r="A6517" s="0" t="s">
        <v>1062</v>
      </c>
      <c r="B6517" s="0" t="s">
        <v>98</v>
      </c>
      <c r="F6517" s="6" t="n">
        <f aca="false">Sens!F6375-Sens!F6376+Sens!F6456</f>
        <v>57.832524080287</v>
      </c>
      <c r="G6517" s="6" t="n">
        <f aca="false">Sens!G6375-Sens!G6376+Sens!G6456</f>
        <v>103.850343881234</v>
      </c>
      <c r="H6517" s="6" t="n">
        <f aca="false">Sens!H6375-Sens!H6376+Sens!H6456</f>
        <v>157.348393977086</v>
      </c>
      <c r="I6517" s="6" t="n">
        <f aca="false">Sens!I6375-Sens!I6376+Sens!I6456</f>
        <v>200.156943304301</v>
      </c>
      <c r="J6517" s="6" t="n">
        <f aca="false">Sens!J6375-Sens!J6376+Sens!J6456</f>
        <v>230.29750776363</v>
      </c>
      <c r="K6517" s="6" t="n">
        <f aca="false">Sens!K6375-Sens!K6376+Sens!K6456</f>
        <v>248.866015024607</v>
      </c>
    </row>
    <row r="6518" customFormat="false" ht="17.15" hidden="false" customHeight="false" outlineLevel="0" collapsed="false">
      <c r="A6518" s="0" t="s">
        <v>1063</v>
      </c>
      <c r="B6518" s="0" t="s">
        <v>98</v>
      </c>
      <c r="F6518" s="6" t="n">
        <f aca="false">Sens!F6435+Sens!F6456+Sens!F6386+Sens!F6511*(Sens!F6405-Sens!F6369)+sbc_r*Sens!F6405</f>
        <v>247.548324352096</v>
      </c>
      <c r="G6518" s="6" t="n">
        <f aca="false">Sens!G6435+Sens!G6456+Sens!G6386+Sens!G6511*(Sens!G6405-Sens!G6369)+sbc_r*Sens!G6405</f>
        <v>321.238666628408</v>
      </c>
      <c r="H6518" s="6" t="n">
        <f aca="false">Sens!H6435+Sens!H6456+Sens!H6386+Sens!H6511*(Sens!H6405-Sens!H6369)+sbc_r*Sens!H6405</f>
        <v>403.100977005158</v>
      </c>
      <c r="I6518" s="6" t="n">
        <f aca="false">Sens!I6435+Sens!I6456+Sens!I6386+Sens!I6511*(Sens!I6405-Sens!I6369)+sbc_r*Sens!I6405</f>
        <v>472.582714488559</v>
      </c>
      <c r="J6518" s="6" t="n">
        <f aca="false">Sens!J6435+Sens!J6456+Sens!J6386+Sens!J6511*(Sens!J6405-Sens!J6369)+sbc_r*Sens!J6405</f>
        <v>526.816594579843</v>
      </c>
      <c r="K6518" s="6" t="n">
        <f aca="false">Sens!K6435+Sens!K6456+Sens!K6386+Sens!K6511*(Sens!K6405-Sens!K6369)+sbc_r*Sens!K6405</f>
        <v>567.05138113524</v>
      </c>
    </row>
    <row r="6519" customFormat="false" ht="17.15" hidden="false" customHeight="false" outlineLevel="0" collapsed="false">
      <c r="A6519" s="0" t="s">
        <v>1064</v>
      </c>
      <c r="B6519" s="0" t="s">
        <v>98</v>
      </c>
      <c r="F6519" s="6" t="n">
        <f aca="false">Sens!F6518-Sens!F6512-Sens!F6513-Sens!F6514-Sens!F6515-Sens!F6517</f>
        <v>61.2540691949415</v>
      </c>
      <c r="G6519" s="6" t="n">
        <f aca="false">Sens!G6518-Sens!G6512-Sens!G6513-Sens!G6514-Sens!G6515-Sens!G6517</f>
        <v>73.8920449320326</v>
      </c>
      <c r="H6519" s="6" t="n">
        <f aca="false">Sens!H6518-Sens!H6512-Sens!H6513-Sens!H6514-Sens!H6515-Sens!H6517</f>
        <v>87.0699328261064</v>
      </c>
      <c r="I6519" s="6" t="n">
        <f aca="false">Sens!I6518-Sens!I6512-Sens!I6513-Sens!I6514-Sens!I6515-Sens!I6517</f>
        <v>99.6844872905345</v>
      </c>
      <c r="J6519" s="6" t="n">
        <f aca="false">Sens!J6518-Sens!J6512-Sens!J6513-Sens!J6514-Sens!J6515-Sens!J6517</f>
        <v>111.069787190367</v>
      </c>
      <c r="K6519" s="6" t="n">
        <f aca="false">Sens!K6518-Sens!K6512-Sens!K6513-Sens!K6514-Sens!K6515-Sens!K6517</f>
        <v>120.527282873667</v>
      </c>
    </row>
    <row r="6520" customFormat="false" ht="17.15" hidden="false" customHeight="false" outlineLevel="0" collapsed="false">
      <c r="A6520" s="0" t="s">
        <v>1065</v>
      </c>
      <c r="B6520" s="0" t="s">
        <v>98</v>
      </c>
      <c r="F6520" s="6" t="n">
        <f aca="false">Sens!F6437+Sens!F6511*Sens!F6412+sbc_r*Sens!F6412</f>
        <v>26.2136723302777</v>
      </c>
      <c r="G6520" s="6" t="n">
        <f aca="false">Sens!G6437+Sens!G6511*Sens!G6412+sbc_r*Sens!G6412</f>
        <v>26.8127930364007</v>
      </c>
      <c r="H6520" s="6" t="n">
        <f aca="false">Sens!H6437+Sens!H6511*Sens!H6412+sbc_r*Sens!H6412</f>
        <v>27.6826649064011</v>
      </c>
      <c r="I6520" s="6" t="n">
        <f aca="false">Sens!I6437+Sens!I6511*Sens!I6412+sbc_r*Sens!I6412</f>
        <v>28.7932995308876</v>
      </c>
      <c r="J6520" s="6" t="n">
        <f aca="false">Sens!J6437+Sens!J6511*Sens!J6412+sbc_r*Sens!J6412</f>
        <v>30.1083476178125</v>
      </c>
      <c r="K6520" s="6" t="n">
        <f aca="false">Sens!K6437+Sens!K6511*Sens!K6412+sbc_r*Sens!K6412</f>
        <v>31.5890602236394</v>
      </c>
    </row>
    <row r="6521" customFormat="false" ht="17.15" hidden="false" customHeight="false" outlineLevel="0" collapsed="false">
      <c r="A6521" s="0" t="s">
        <v>1066</v>
      </c>
      <c r="B6521" s="0" t="s">
        <v>98</v>
      </c>
      <c r="F6521" s="6" t="n">
        <f aca="false">(Sens!F6520-Sens!F6516)*Sens!F6408/(Sens!F6408+Sens!F6410)</f>
        <v>8.22165151187388</v>
      </c>
      <c r="G6521" s="6" t="n">
        <f aca="false">(Sens!G6520-Sens!G6516)*Sens!G6408/(Sens!G6408+Sens!G6410)</f>
        <v>7.82166964430567</v>
      </c>
      <c r="H6521" s="6" t="n">
        <f aca="false">(Sens!H6520-Sens!H6516)*Sens!H6408/(Sens!H6408+Sens!H6410)</f>
        <v>7.58546117341622</v>
      </c>
      <c r="I6521" s="6" t="n">
        <f aca="false">(Sens!I6520-Sens!I6516)*Sens!I6408/(Sens!I6408+Sens!I6410)</f>
        <v>7.49549043112917</v>
      </c>
      <c r="J6521" s="6" t="n">
        <f aca="false">(Sens!J6520-Sens!J6516)*Sens!J6408/(Sens!J6408+Sens!J6410)</f>
        <v>7.53950359552036</v>
      </c>
      <c r="K6521" s="6" t="n">
        <f aca="false">(Sens!K6520-Sens!K6516)*Sens!K6408/(Sens!K6408+Sens!K6410)</f>
        <v>7.71108782061943</v>
      </c>
    </row>
    <row r="6522" customFormat="false" ht="17.15" hidden="false" customHeight="false" outlineLevel="0" collapsed="false">
      <c r="A6522" s="0" t="s">
        <v>1067</v>
      </c>
      <c r="B6522" s="0" t="s">
        <v>98</v>
      </c>
      <c r="F6522" s="6" t="n">
        <f aca="false">Sens!F6520-Sens!F6516-Sens!F6521</f>
        <v>6.7761551068669</v>
      </c>
      <c r="G6522" s="6" t="n">
        <f aca="false">Sens!G6520-Sens!G6516-Sens!G6521</f>
        <v>6.70551517172181</v>
      </c>
      <c r="H6522" s="6" t="n">
        <f aca="false">Sens!H6520-Sens!H6516-Sens!H6521</f>
        <v>6.69593146412235</v>
      </c>
      <c r="I6522" s="6" t="n">
        <f aca="false">Sens!I6520-Sens!I6516-Sens!I6521</f>
        <v>6.7453628067461</v>
      </c>
      <c r="J6522" s="6" t="n">
        <f aca="false">Sens!J6520-Sens!J6516-Sens!J6521</f>
        <v>6.85004024360863</v>
      </c>
      <c r="K6522" s="6" t="n">
        <f aca="false">Sens!K6520-Sens!K6516-Sens!K6521</f>
        <v>7.00593364324776</v>
      </c>
    </row>
    <row r="6523" customFormat="false" ht="17.15" hidden="false" customHeight="false" outlineLevel="0" collapsed="false">
      <c r="A6523" s="0" t="s">
        <v>1068</v>
      </c>
      <c r="B6523" s="0" t="s">
        <v>98</v>
      </c>
      <c r="F6523" s="6" t="n">
        <f aca="false">Sens!F6517-tax_f*(Sens!F6517-Sens!F6386)-Sens!F6383</f>
        <v>-115.630726415034</v>
      </c>
      <c r="G6523" s="6" t="n">
        <f aca="false">Sens!G6517-tax_f*(Sens!G6517-Sens!G6386)-Sens!G6383</f>
        <v>-88.3849587261453</v>
      </c>
      <c r="H6523" s="6" t="n">
        <f aca="false">Sens!H6517-tax_f*(Sens!H6517-Sens!H6386)-Sens!H6383</f>
        <v>-44.645507530103</v>
      </c>
      <c r="I6523" s="6" t="n">
        <f aca="false">Sens!I6517-tax_f*(Sens!I6517-Sens!I6386)-Sens!I6383</f>
        <v>18.8238934856396</v>
      </c>
      <c r="J6523" s="6" t="n">
        <f aca="false">Sens!J6517-tax_f*(Sens!J6517-Sens!J6386)-Sens!J6383</f>
        <v>85.569871677347</v>
      </c>
      <c r="K6523" s="6" t="n">
        <f aca="false">Sens!K6517-tax_f*(Sens!K6517-Sens!K6386)-Sens!K6383</f>
        <v>112.070505738644</v>
      </c>
    </row>
    <row r="6524" customFormat="false" ht="17.15" hidden="false" customHeight="false" outlineLevel="0" collapsed="false">
      <c r="A6524" s="0" t="s">
        <v>1069</v>
      </c>
      <c r="B6524" s="0" t="s">
        <v>98</v>
      </c>
      <c r="F6524" s="6" t="n">
        <f aca="false">Sens!F6523*Sens!F6497</f>
        <v>-110.102811477903</v>
      </c>
      <c r="G6524" s="6" t="n">
        <f aca="false">Sens!G6523*Sens!G6497</f>
        <v>-76.3051460653363</v>
      </c>
      <c r="H6524" s="6" t="n">
        <f aca="false">Sens!H6523*Sens!H6497</f>
        <v>-34.9464881193136</v>
      </c>
      <c r="I6524" s="6" t="n">
        <f aca="false">Sens!I6523*Sens!I6497</f>
        <v>13.3593565432559</v>
      </c>
      <c r="J6524" s="6" t="n">
        <f aca="false">Sens!J6523*Sens!J6497</f>
        <v>55.0614031436269</v>
      </c>
      <c r="K6524" s="6" t="n">
        <f aca="false">Sens!K6523*Sens!K6497</f>
        <v>65.3834804914451</v>
      </c>
    </row>
    <row r="6525" customFormat="false" ht="17.15" hidden="false" customHeight="false" outlineLevel="0" collapsed="false">
      <c r="A6525" s="0" t="s">
        <v>1070</v>
      </c>
      <c r="B6525" s="0" t="s">
        <v>98</v>
      </c>
      <c r="C6525" s="6" t="n">
        <f aca="false">(Sens!K6517-Sens!K6386)*(1-tax_f)*(1+g_tv)*(1-g_tv/(wacc+ronic_prem))/(wacc-g_tv)/(1+wacc)^(Sens!K6496+mid_yr)</f>
        <v>485.526571387232</v>
      </c>
    </row>
    <row r="6526" customFormat="false" ht="17.15" hidden="false" customHeight="false" outlineLevel="0" collapsed="false">
      <c r="A6526" s="1" t="s">
        <v>1071</v>
      </c>
      <c r="B6526" s="0" t="s">
        <v>98</v>
      </c>
      <c r="C6526" s="6" t="n">
        <f aca="false">(SUM(Sens!F6524:K6524)+Sens!$C$6525)*(1+wacc)^t_roll</f>
        <v>453.188976095868</v>
      </c>
      <c r="L6526" s="11" t="s">
        <v>1072</v>
      </c>
    </row>
    <row r="6527" customFormat="false" ht="17.15" hidden="false" customHeight="false" outlineLevel="0" collapsed="false">
      <c r="A6527" s="1" t="s">
        <v>1073</v>
      </c>
      <c r="B6527" s="0" t="s">
        <v>98</v>
      </c>
      <c r="C6527" s="6" t="n">
        <f aca="false">(w_ntm28*Sens!G6375+(1-w_ntm28)*Sens!H6375)*m_ai</f>
        <v>551.711134531404</v>
      </c>
    </row>
    <row r="6528" customFormat="false" ht="17.15" hidden="false" customHeight="false" outlineLevel="0" collapsed="false">
      <c r="A6528" s="1" t="s">
        <v>1074</v>
      </c>
      <c r="B6528" s="0" t="s">
        <v>98</v>
      </c>
      <c r="C6528" s="6" t="n">
        <f aca="false">(w_ntm28*Sens!G6519+(1-w_ntm28)*Sens!H6519)*m_cloud</f>
        <v>1080.06469784326</v>
      </c>
    </row>
    <row r="6529" customFormat="false" ht="17.15" hidden="false" customHeight="false" outlineLevel="0" collapsed="false">
      <c r="A6529" s="1" t="s">
        <v>1075</v>
      </c>
      <c r="B6529" s="0" t="s">
        <v>98</v>
      </c>
      <c r="C6529" s="6" t="n">
        <f aca="false">(w_ntm28*Sens!G6512+(1-w_ntm28)*Sens!H6512)*m_sw</f>
        <v>1072.27469126832</v>
      </c>
    </row>
    <row r="6530" customFormat="false" ht="17.15" hidden="false" customHeight="false" outlineLevel="0" collapsed="false">
      <c r="A6530" s="1" t="s">
        <v>1076</v>
      </c>
      <c r="B6530" s="0" t="s">
        <v>98</v>
      </c>
      <c r="C6530" s="6" t="n">
        <f aca="false">(w_ntm28*Sens!G6513+(1-w_ntm28)*Sens!H6513)*m_sw</f>
        <v>379.521132157352</v>
      </c>
    </row>
    <row r="6531" customFormat="false" ht="17.15" hidden="false" customHeight="false" outlineLevel="0" collapsed="false">
      <c r="A6531" s="1" t="s">
        <v>1077</v>
      </c>
      <c r="B6531" s="0" t="s">
        <v>98</v>
      </c>
      <c r="C6531" s="6" t="n">
        <f aca="false">(w_ntm28*Sens!G6514+(1-w_ntm28)*Sens!H6514)*m_sw</f>
        <v>109.29090201273</v>
      </c>
    </row>
    <row r="6532" customFormat="false" ht="17.15" hidden="false" customHeight="false" outlineLevel="0" collapsed="false">
      <c r="A6532" s="1" t="s">
        <v>1078</v>
      </c>
      <c r="B6532" s="0" t="s">
        <v>98</v>
      </c>
      <c r="C6532" s="6" t="n">
        <f aca="false">(w_ntm28*Sens!G6515+(1-w_ntm28)*Sens!H6515)*m_sw</f>
        <v>41.6963981699746</v>
      </c>
    </row>
    <row r="6533" customFormat="false" ht="17.15" hidden="false" customHeight="false" outlineLevel="0" collapsed="false">
      <c r="A6533" s="1" t="s">
        <v>1079</v>
      </c>
      <c r="B6533" s="0" t="s">
        <v>98</v>
      </c>
      <c r="C6533" s="6" t="n">
        <f aca="false">(w_ntm28*Sens!G6516+(1-w_ntm28)*Sens!H6516)*m_ads</f>
        <v>115.207689624162</v>
      </c>
    </row>
    <row r="6534" customFormat="false" ht="17.15" hidden="false" customHeight="false" outlineLevel="0" collapsed="false">
      <c r="A6534" s="1" t="s">
        <v>1080</v>
      </c>
      <c r="B6534" s="0" t="s">
        <v>98</v>
      </c>
      <c r="C6534" s="6" t="n">
        <f aca="false">(w_ntm28*Sens!G6521+(1-w_ntm28)*Sens!H6521)*m_game</f>
        <v>97.8232192993467</v>
      </c>
    </row>
    <row r="6535" customFormat="false" ht="17.15" hidden="false" customHeight="false" outlineLevel="0" collapsed="false">
      <c r="A6535" s="1" t="s">
        <v>1081</v>
      </c>
      <c r="B6535" s="0" t="s">
        <v>98</v>
      </c>
      <c r="C6535" s="6" t="n">
        <f aca="false">(w_ntm28*Sens!G6522+(1-w_ntm28)*Sens!H6522)*m_pc</f>
        <v>96.9839722132317</v>
      </c>
    </row>
    <row r="6536" customFormat="false" ht="17.15" hidden="false" customHeight="false" outlineLevel="0" collapsed="false">
      <c r="A6536" s="1" t="s">
        <v>1082</v>
      </c>
      <c r="B6536" s="0" t="s">
        <v>98</v>
      </c>
      <c r="C6536" s="6" t="n">
        <f aca="false">Sens!$C$6526+Sens!$C$6528+Sens!$C$6529+Sens!$C$6530+Sens!$C$6531+Sens!$C$6532+Sens!$C$6533+Sens!$C$6534+Sens!$C$6535</f>
        <v>3446.05167868425</v>
      </c>
    </row>
    <row r="6537" customFormat="false" ht="17.15" hidden="false" customHeight="false" outlineLevel="0" collapsed="false">
      <c r="A6537" s="1" t="s">
        <v>1000</v>
      </c>
      <c r="B6537" s="0" t="s">
        <v>98</v>
      </c>
      <c r="C6537" s="6" t="n">
        <f aca="false">Sens!F6487+oai_v-Sens!F6476</f>
        <v>113.180201914904</v>
      </c>
      <c r="L6537" s="1" t="s">
        <v>1083</v>
      </c>
    </row>
    <row r="6538" customFormat="false" ht="15" hidden="false" customHeight="false" outlineLevel="0" collapsed="false">
      <c r="A6538" s="1" t="s">
        <v>1001</v>
      </c>
      <c r="B6538" s="0" t="s">
        <v>75</v>
      </c>
      <c r="C6538" s="5" t="n">
        <f aca="false">(Sens!$C$6536+Sens!$C$6537)/Sens!F6489</f>
        <v>476.342596439929</v>
      </c>
    </row>
    <row r="6539" customFormat="false" ht="17.15" hidden="false" customHeight="false" outlineLevel="0" collapsed="false">
      <c r="A6539" s="1" t="s">
        <v>1084</v>
      </c>
      <c r="B6539" s="0" t="s">
        <v>75</v>
      </c>
      <c r="C6539" s="5" t="n">
        <f aca="false">w_dcf*Sens!$C$6510+(1-w_dcf)*Sens!$C$6538</f>
        <v>429.410831731698</v>
      </c>
    </row>
    <row r="6540" customFormat="false" ht="17.15" hidden="false" customHeight="false" outlineLevel="0" collapsed="false">
      <c r="A6540" s="3" t="s">
        <v>1404</v>
      </c>
    </row>
    <row r="6541" customFormat="false" ht="15" hidden="false" customHeight="false" outlineLevel="0" collapsed="false">
      <c r="A6541" s="4" t="s">
        <v>43</v>
      </c>
      <c r="B6541" s="4" t="s">
        <v>65</v>
      </c>
      <c r="C6541" s="20" t="s">
        <v>788</v>
      </c>
      <c r="D6541" s="20" t="s">
        <v>789</v>
      </c>
      <c r="E6541" s="20" t="s">
        <v>790</v>
      </c>
      <c r="F6541" s="20" t="s">
        <v>791</v>
      </c>
      <c r="G6541" s="20" t="s">
        <v>792</v>
      </c>
      <c r="H6541" s="20" t="s">
        <v>793</v>
      </c>
      <c r="I6541" s="20" t="s">
        <v>794</v>
      </c>
      <c r="J6541" s="20" t="s">
        <v>795</v>
      </c>
      <c r="K6541" s="20" t="s">
        <v>796</v>
      </c>
      <c r="L6541" s="4" t="s">
        <v>47</v>
      </c>
    </row>
    <row r="6542" customFormat="false" ht="17.15" hidden="false" customHeight="false" outlineLevel="0" collapsed="false">
      <c r="A6542" s="1" t="s">
        <v>797</v>
      </c>
      <c r="B6542" s="1" t="s">
        <v>235</v>
      </c>
      <c r="C6542" s="28" t="n">
        <v>2024</v>
      </c>
      <c r="D6542" s="28" t="n">
        <v>2025</v>
      </c>
      <c r="E6542" s="28" t="n">
        <v>2026</v>
      </c>
      <c r="F6542" s="28" t="n">
        <v>2027</v>
      </c>
      <c r="G6542" s="28" t="n">
        <v>2028</v>
      </c>
      <c r="H6542" s="28" t="n">
        <v>2029</v>
      </c>
      <c r="I6542" s="28" t="n">
        <v>2030</v>
      </c>
      <c r="J6542" s="28" t="n">
        <v>2031</v>
      </c>
      <c r="K6542" s="28" t="n">
        <v>2032</v>
      </c>
    </row>
    <row r="6543" customFormat="false" ht="17.15" hidden="false" customHeight="false" outlineLevel="0" collapsed="false">
      <c r="A6543" s="1" t="s">
        <v>798</v>
      </c>
      <c r="B6543" s="0" t="s">
        <v>392</v>
      </c>
      <c r="F6543" s="29" t="n">
        <f aca="false">pace</f>
        <v>2527.2</v>
      </c>
      <c r="G6543" s="29" t="n">
        <f aca="false">pace</f>
        <v>2527.2</v>
      </c>
      <c r="H6543" s="29" t="n">
        <f aca="false">pace</f>
        <v>2527.2</v>
      </c>
      <c r="I6543" s="29" t="n">
        <f aca="false">pace+(g_tv*Sens!H6544-pace)*MIN(1,(Sens!I6542-pace_y0)/(pace_y1-pace_y0))</f>
        <v>1793.116</v>
      </c>
      <c r="J6543" s="29" t="n">
        <f aca="false">pace+(g_tv*Sens!H6544-pace)*MIN(1,(Sens!J6542-pace_y0)/(pace_y1-pace_y0))</f>
        <v>1059.032</v>
      </c>
      <c r="K6543" s="29" t="n">
        <f aca="false">pace+(g_tv*Sens!H6544-pace)*MIN(1,(Sens!K6542-pace_y0)/(pace_y1-pace_y0))</f>
        <v>324.948</v>
      </c>
      <c r="L6543" s="11" t="s">
        <v>799</v>
      </c>
    </row>
    <row r="6544" customFormat="false" ht="17.15" hidden="false" customHeight="false" outlineLevel="0" collapsed="false">
      <c r="A6544" s="1" t="s">
        <v>800</v>
      </c>
      <c r="B6544" s="0" t="s">
        <v>392</v>
      </c>
      <c r="C6544" s="29" t="n">
        <f aca="false">mw_ext_24</f>
        <v>640</v>
      </c>
      <c r="D6544" s="29" t="n">
        <f aca="false">mw_ext_25</f>
        <v>1630</v>
      </c>
      <c r="E6544" s="29" t="n">
        <f aca="false">mw_ext_26</f>
        <v>3250</v>
      </c>
      <c r="F6544" s="29" t="n">
        <f aca="false">Sens!E6544+Sens!F6543</f>
        <v>5777.2</v>
      </c>
      <c r="G6544" s="29" t="n">
        <f aca="false">Sens!F6544+Sens!G6543</f>
        <v>8304.4</v>
      </c>
      <c r="H6544" s="29" t="n">
        <f aca="false">Sens!G6544+Sens!H6543</f>
        <v>10831.6</v>
      </c>
      <c r="I6544" s="29" t="n">
        <f aca="false">Sens!H6544+Sens!I6543</f>
        <v>12624.716</v>
      </c>
      <c r="J6544" s="29" t="n">
        <f aca="false">Sens!I6544+Sens!J6543</f>
        <v>13683.748</v>
      </c>
      <c r="K6544" s="29" t="n">
        <f aca="false">Sens!J6544+Sens!K6543</f>
        <v>14008.696</v>
      </c>
      <c r="L6544" s="1" t="s">
        <v>801</v>
      </c>
    </row>
    <row r="6545" customFormat="false" ht="17.15" hidden="false" customHeight="false" outlineLevel="0" collapsed="false">
      <c r="A6545" s="1" t="s">
        <v>802</v>
      </c>
      <c r="B6545" s="0" t="s">
        <v>392</v>
      </c>
      <c r="C6545" s="29" t="n">
        <f aca="false">rent_ext_24</f>
        <v>150</v>
      </c>
      <c r="D6545" s="29" t="n">
        <f aca="false">rent_ext_25</f>
        <v>400</v>
      </c>
      <c r="E6545" s="29" t="n">
        <f aca="false">rent_ext_26</f>
        <v>550</v>
      </c>
      <c r="F6545" s="29" t="n">
        <f aca="false">rent_ext_f</f>
        <v>756</v>
      </c>
      <c r="G6545" s="29" t="n">
        <f aca="false">rent_ext_f</f>
        <v>756</v>
      </c>
      <c r="H6545" s="29" t="n">
        <f aca="false">rent_ext_f</f>
        <v>756</v>
      </c>
      <c r="I6545" s="29" t="n">
        <f aca="false">rent_ext_f</f>
        <v>756</v>
      </c>
      <c r="J6545" s="29" t="n">
        <f aca="false">rent_ext_f</f>
        <v>756</v>
      </c>
      <c r="K6545" s="29" t="n">
        <f aca="false">rent_ext_f</f>
        <v>756</v>
      </c>
      <c r="L6545" s="1" t="s">
        <v>803</v>
      </c>
    </row>
    <row r="6546" customFormat="false" ht="17.15" hidden="false" customHeight="false" outlineLevel="0" collapsed="false">
      <c r="A6546" s="1" t="s">
        <v>804</v>
      </c>
      <c r="B6546" s="0" t="s">
        <v>392</v>
      </c>
      <c r="C6546" s="29" t="n">
        <f aca="false">Sens!C6544-Sens!C6545</f>
        <v>490</v>
      </c>
      <c r="D6546" s="29" t="n">
        <f aca="false">Sens!D6544-Sens!D6545</f>
        <v>1230</v>
      </c>
      <c r="E6546" s="29" t="n">
        <f aca="false">Sens!E6544-Sens!E6545</f>
        <v>2700</v>
      </c>
      <c r="F6546" s="29" t="n">
        <f aca="false">Sens!F6544-Sens!F6545</f>
        <v>5021.2</v>
      </c>
      <c r="G6546" s="29" t="n">
        <f aca="false">Sens!G6544-Sens!G6545</f>
        <v>7548.4</v>
      </c>
      <c r="H6546" s="29" t="n">
        <f aca="false">Sens!H6544-Sens!H6545</f>
        <v>10075.6</v>
      </c>
      <c r="I6546" s="29" t="n">
        <f aca="false">Sens!I6544-Sens!I6545</f>
        <v>11868.716</v>
      </c>
      <c r="J6546" s="29" t="n">
        <f aca="false">Sens!J6544-Sens!J6545</f>
        <v>12927.748</v>
      </c>
      <c r="K6546" s="29" t="n">
        <f aca="false">Sens!K6544-Sens!K6545</f>
        <v>13252.696</v>
      </c>
    </row>
    <row r="6547" customFormat="false" ht="17.15" hidden="false" customHeight="false" outlineLevel="0" collapsed="false">
      <c r="A6547" s="1" t="s">
        <v>805</v>
      </c>
      <c r="B6547" s="0" t="s">
        <v>392</v>
      </c>
      <c r="C6547" s="29" t="n">
        <f aca="false">Sens!C6546/ext_sh</f>
        <v>816.666666666667</v>
      </c>
      <c r="D6547" s="29" t="n">
        <f aca="false">Sens!D6546/ext_sh</f>
        <v>2050</v>
      </c>
      <c r="E6547" s="29" t="n">
        <f aca="false">Sens!E6546/ext_sh</f>
        <v>4500</v>
      </c>
      <c r="F6547" s="29" t="n">
        <f aca="false">Sens!F6546/ext_sh</f>
        <v>8368.66666666667</v>
      </c>
      <c r="G6547" s="29" t="n">
        <f aca="false">Sens!G6546/ext_sh</f>
        <v>12580.6666666667</v>
      </c>
      <c r="H6547" s="29" t="n">
        <f aca="false">Sens!H6546/ext_sh</f>
        <v>16792.6666666667</v>
      </c>
      <c r="I6547" s="29" t="n">
        <f aca="false">Sens!I6546/ext_sh</f>
        <v>19781.1933333333</v>
      </c>
      <c r="J6547" s="29" t="n">
        <f aca="false">Sens!J6546/ext_sh</f>
        <v>21546.2466666667</v>
      </c>
      <c r="K6547" s="29" t="n">
        <f aca="false">Sens!K6546/ext_sh</f>
        <v>22087.8266666667</v>
      </c>
      <c r="L6547" s="1" t="s">
        <v>806</v>
      </c>
    </row>
    <row r="6548" customFormat="false" ht="17.15" hidden="false" customHeight="false" outlineLevel="0" collapsed="false">
      <c r="A6548" s="1" t="s">
        <v>807</v>
      </c>
      <c r="B6548" s="0" t="s">
        <v>392</v>
      </c>
      <c r="C6548" s="29" t="n">
        <f aca="false">Sens!C6547-Sens!C6546</f>
        <v>326.666666666667</v>
      </c>
      <c r="D6548" s="29" t="n">
        <f aca="false">Sens!D6547-Sens!D6546</f>
        <v>820</v>
      </c>
      <c r="E6548" s="29" t="n">
        <f aca="false">Sens!E6547-Sens!E6546</f>
        <v>1800</v>
      </c>
      <c r="F6548" s="29" t="n">
        <f aca="false">Sens!F6547-Sens!F6546</f>
        <v>3347.46666666667</v>
      </c>
      <c r="G6548" s="29" t="n">
        <f aca="false">Sens!G6547-Sens!G6546</f>
        <v>5032.26666666667</v>
      </c>
      <c r="H6548" s="29" t="n">
        <f aca="false">Sens!H6547-Sens!H6546</f>
        <v>6717.06666666667</v>
      </c>
      <c r="I6548" s="29" t="n">
        <f aca="false">Sens!I6547-Sens!I6546</f>
        <v>7912.47733333333</v>
      </c>
      <c r="J6548" s="29" t="n">
        <f aca="false">Sens!J6547-Sens!J6546</f>
        <v>8618.49866666667</v>
      </c>
      <c r="K6548" s="29" t="n">
        <f aca="false">Sens!K6547-Sens!K6546</f>
        <v>8835.13066666667</v>
      </c>
    </row>
    <row r="6549" customFormat="false" ht="17.15" hidden="false" customHeight="false" outlineLevel="0" collapsed="false">
      <c r="A6549" s="1" t="s">
        <v>808</v>
      </c>
      <c r="B6549" s="0" t="s">
        <v>392</v>
      </c>
      <c r="C6549" s="29" t="n">
        <f aca="false">Sens!C6547</f>
        <v>816.666666666667</v>
      </c>
      <c r="D6549" s="29" t="n">
        <f aca="false">Sens!D6547-Sens!C6547</f>
        <v>1233.33333333333</v>
      </c>
      <c r="E6549" s="29" t="n">
        <f aca="false">Sens!E6547-Sens!D6547</f>
        <v>2450</v>
      </c>
      <c r="F6549" s="29" t="n">
        <f aca="false">Sens!F6547-Sens!E6547</f>
        <v>3868.66666666667</v>
      </c>
      <c r="G6549" s="29" t="n">
        <f aca="false">Sens!G6547-Sens!F6547</f>
        <v>4212</v>
      </c>
      <c r="H6549" s="29" t="n">
        <f aca="false">Sens!H6547-Sens!G6547</f>
        <v>4212</v>
      </c>
      <c r="I6549" s="29" t="n">
        <f aca="false">Sens!I6547-Sens!H6547</f>
        <v>2988.52666666667</v>
      </c>
      <c r="J6549" s="29" t="n">
        <f aca="false">Sens!J6547-Sens!I6547</f>
        <v>1765.05333333333</v>
      </c>
      <c r="K6549" s="29" t="n">
        <f aca="false">Sens!K6547-Sens!J6547</f>
        <v>541.580000000002</v>
      </c>
    </row>
    <row r="6550" customFormat="false" ht="17.15" hidden="false" customHeight="false" outlineLevel="0" collapsed="false">
      <c r="A6550" s="1" t="s">
        <v>809</v>
      </c>
      <c r="B6550" s="0" t="s">
        <v>392</v>
      </c>
      <c r="D6550" s="29" t="n">
        <f aca="false">Sens!D6544-Sens!C6544</f>
        <v>990</v>
      </c>
      <c r="E6550" s="29" t="n">
        <f aca="false">Sens!E6544-Sens!D6544</f>
        <v>1620</v>
      </c>
      <c r="F6550" s="29" t="n">
        <f aca="false">Sens!F6544-Sens!E6544</f>
        <v>2527.2</v>
      </c>
      <c r="G6550" s="29" t="n">
        <f aca="false">Sens!G6544-Sens!F6544</f>
        <v>2527.2</v>
      </c>
      <c r="H6550" s="29" t="n">
        <f aca="false">Sens!H6544-Sens!G6544</f>
        <v>2527.2</v>
      </c>
      <c r="I6550" s="29" t="n">
        <f aca="false">Sens!I6544-Sens!H6544</f>
        <v>1793.116</v>
      </c>
      <c r="J6550" s="29" t="n">
        <f aca="false">Sens!J6544-Sens!I6544</f>
        <v>1059.032</v>
      </c>
      <c r="K6550" s="29" t="n">
        <f aca="false">Sens!K6544-Sens!J6544</f>
        <v>324.948</v>
      </c>
    </row>
    <row r="6551" customFormat="false" ht="17.15" hidden="false" customHeight="false" outlineLevel="0" collapsed="false">
      <c r="A6551" s="1" t="s">
        <v>810</v>
      </c>
      <c r="B6551" s="0" t="s">
        <v>392</v>
      </c>
      <c r="F6551" s="29" t="n">
        <f aca="false">Sens!F6568*ext_sh</f>
        <v>0</v>
      </c>
      <c r="G6551" s="29" t="n">
        <f aca="false">Sens!G6568*ext_sh</f>
        <v>0</v>
      </c>
      <c r="H6551" s="29" t="n">
        <f aca="false">Sens!H6568*ext_sh</f>
        <v>0</v>
      </c>
      <c r="I6551" s="29" t="n">
        <f aca="false">Sens!I6568*ext_sh</f>
        <v>490</v>
      </c>
      <c r="J6551" s="29" t="n">
        <f aca="false">Sens!J6568*ext_sh</f>
        <v>740</v>
      </c>
      <c r="K6551" s="29" t="n">
        <f aca="false">Sens!K6568*ext_sh</f>
        <v>1470</v>
      </c>
      <c r="L6551" s="1" t="s">
        <v>811</v>
      </c>
    </row>
    <row r="6552" customFormat="false" ht="17.15" hidden="false" customHeight="false" outlineLevel="0" collapsed="false">
      <c r="A6552" s="1" t="s">
        <v>812</v>
      </c>
      <c r="B6552" s="0" t="s">
        <v>392</v>
      </c>
      <c r="C6552" s="29" t="n">
        <f aca="false">mix_h*Sens!C6544</f>
        <v>128</v>
      </c>
      <c r="D6552" s="29" t="n">
        <f aca="false">mix_h*Sens!D6544</f>
        <v>326</v>
      </c>
      <c r="E6552" s="29" t="n">
        <f aca="false">mix_h*Sens!E6544</f>
        <v>650</v>
      </c>
      <c r="F6552" s="29" t="n">
        <f aca="false">Sens!E6552-Sens!F6551*mix_h</f>
        <v>650</v>
      </c>
      <c r="G6552" s="29" t="n">
        <f aca="false">Sens!F6552-Sens!G6551*mix_h</f>
        <v>650</v>
      </c>
      <c r="H6552" s="29" t="n">
        <f aca="false">Sens!G6552-Sens!H6551*mix_h</f>
        <v>650</v>
      </c>
      <c r="I6552" s="29" t="n">
        <f aca="false">Sens!H6552-Sens!I6551*mix_h</f>
        <v>552</v>
      </c>
      <c r="J6552" s="29" t="n">
        <f aca="false">Sens!I6552-Sens!J6551*mix_h</f>
        <v>404</v>
      </c>
      <c r="K6552" s="29" t="n">
        <f aca="false">Sens!J6552-Sens!K6551*mix_h</f>
        <v>110</v>
      </c>
    </row>
    <row r="6553" customFormat="false" ht="17.15" hidden="false" customHeight="false" outlineLevel="0" collapsed="false">
      <c r="A6553" s="1" t="s">
        <v>813</v>
      </c>
      <c r="B6553" s="0" t="s">
        <v>392</v>
      </c>
      <c r="C6553" s="29" t="n">
        <f aca="false">mix_g2*Sens!C6544</f>
        <v>288</v>
      </c>
      <c r="D6553" s="29" t="n">
        <f aca="false">mix_g2*Sens!D6544</f>
        <v>733.5</v>
      </c>
      <c r="E6553" s="29" t="n">
        <f aca="false">mix_g2*Sens!E6544</f>
        <v>1462.5</v>
      </c>
      <c r="F6553" s="29" t="n">
        <f aca="false">Sens!E6553-Sens!F6551*mix_g2</f>
        <v>1462.5</v>
      </c>
      <c r="G6553" s="29" t="n">
        <f aca="false">Sens!F6553-Sens!G6551*mix_g2</f>
        <v>1462.5</v>
      </c>
      <c r="H6553" s="29" t="n">
        <f aca="false">Sens!G6553-Sens!H6551*mix_g2</f>
        <v>1462.5</v>
      </c>
      <c r="I6553" s="29" t="n">
        <f aca="false">Sens!H6553-Sens!I6551*mix_g2</f>
        <v>1242</v>
      </c>
      <c r="J6553" s="29" t="n">
        <f aca="false">Sens!I6553-Sens!J6551*mix_g2</f>
        <v>909</v>
      </c>
      <c r="K6553" s="29" t="n">
        <f aca="false">Sens!J6553-Sens!K6551*mix_g2</f>
        <v>247.5</v>
      </c>
    </row>
    <row r="6554" customFormat="false" ht="17.15" hidden="false" customHeight="false" outlineLevel="0" collapsed="false">
      <c r="A6554" s="1" t="s">
        <v>814</v>
      </c>
      <c r="B6554" s="0" t="s">
        <v>392</v>
      </c>
      <c r="C6554" s="29" t="n">
        <f aca="false">mix_g3*Sens!C6544</f>
        <v>224</v>
      </c>
      <c r="D6554" s="29" t="n">
        <f aca="false">mix_g3*Sens!D6544</f>
        <v>570.5</v>
      </c>
      <c r="E6554" s="29" t="n">
        <f aca="false">mix_g3*Sens!E6544</f>
        <v>1137.5</v>
      </c>
      <c r="F6554" s="29" t="n">
        <f aca="false">Sens!E6554+(Sens!F6550+Sens!F6551)*a_g3_27-Sens!F6551*mix_g3</f>
        <v>2906.54</v>
      </c>
      <c r="G6554" s="29" t="n">
        <f aca="false">Sens!F6554+(Sens!G6550+Sens!G6551)*a_g3_28-Sens!G6551*mix_g3</f>
        <v>3664.7</v>
      </c>
      <c r="H6554" s="29" t="n">
        <f aca="false">Sens!G6554+(Sens!H6550+Sens!H6551)*a_g3_29-Sens!H6551*mix_g3</f>
        <v>3917.42</v>
      </c>
      <c r="I6554" s="29" t="n">
        <f aca="false">Sens!H6554+(Sens!I6550+Sens!I6551)*a_g3_29-Sens!I6551*mix_g3</f>
        <v>3974.2316</v>
      </c>
      <c r="J6554" s="29" t="n">
        <f aca="false">Sens!I6554+(Sens!J6550+Sens!J6551)*a_g3_29-Sens!J6551*mix_g3</f>
        <v>3895.1348</v>
      </c>
      <c r="K6554" s="29" t="n">
        <f aca="false">Sens!J6554+(Sens!K6550+Sens!K6551)*a_g3_29-Sens!K6551*mix_g3</f>
        <v>3560.1296</v>
      </c>
    </row>
    <row r="6555" customFormat="false" ht="17.15" hidden="false" customHeight="false" outlineLevel="0" collapsed="false">
      <c r="A6555" s="1" t="s">
        <v>815</v>
      </c>
      <c r="B6555" s="0" t="s">
        <v>392</v>
      </c>
      <c r="C6555" s="29" t="n">
        <v>0</v>
      </c>
      <c r="D6555" s="29" t="n">
        <v>0</v>
      </c>
      <c r="E6555" s="29" t="n">
        <v>0</v>
      </c>
      <c r="F6555" s="29" t="n">
        <f aca="false">Sens!E6555+(Sens!F6550+Sens!F6551)*(1-a_g3_27)</f>
        <v>758.16</v>
      </c>
      <c r="G6555" s="29" t="n">
        <f aca="false">Sens!F6555+(Sens!G6550+Sens!G6551)*(1-a_g3_28)</f>
        <v>2527.2</v>
      </c>
      <c r="H6555" s="29" t="n">
        <f aca="false">Sens!G6555+(Sens!H6550+Sens!H6551)*(1-a_g3_29)</f>
        <v>4801.68</v>
      </c>
      <c r="I6555" s="29" t="n">
        <f aca="false">Sens!H6555+(Sens!I6550+Sens!I6551)*(1-a_g3_29)</f>
        <v>6856.4844</v>
      </c>
      <c r="J6555" s="29" t="n">
        <f aca="false">Sens!I6555+(Sens!J6550+Sens!J6551)*(1-a_g3_29)</f>
        <v>8475.6132</v>
      </c>
      <c r="K6555" s="29" t="n">
        <f aca="false">Sens!J6555+(Sens!K6550+Sens!K6551)*(1-a_g3_29)</f>
        <v>10091.0664</v>
      </c>
    </row>
    <row r="6556" customFormat="false" ht="17.15" hidden="false" customHeight="false" outlineLevel="0" collapsed="false">
      <c r="A6556" s="1" t="s">
        <v>816</v>
      </c>
      <c r="B6556" s="0" t="s">
        <v>339</v>
      </c>
      <c r="C6556" s="14" t="n">
        <f aca="false">(Sens!C6552*tk_hold_h100+Sens!C6553*tk_hold_gb200+Sens!C6554*tk_hold_gb300+Sens!C6555*tk_hold_vr200)/Sens!C6544</f>
        <v>9.7235358126469</v>
      </c>
      <c r="D6556" s="14" t="n">
        <f aca="false">(Sens!D6552*tk_hold_h100+Sens!D6553*tk_hold_gb200+Sens!D6554*tk_hold_gb300+Sens!D6555*tk_hold_vr200)/Sens!D6544</f>
        <v>9.7235358126469</v>
      </c>
      <c r="E6556" s="14" t="n">
        <f aca="false">(Sens!E6552*tk_hold_h100+Sens!E6553*tk_hold_gb200+Sens!E6554*tk_hold_gb300+Sens!E6555*tk_hold_vr200)/Sens!E6544</f>
        <v>9.7235358126469</v>
      </c>
      <c r="F6556" s="14" t="n">
        <f aca="false">(Sens!F6552*tk_hold_h100+Sens!F6553*tk_hold_gb200+Sens!F6554*tk_hold_gb300+Sens!F6555*tk_hold_vr200)/Sens!F6544</f>
        <v>10.4079573161931</v>
      </c>
      <c r="G6556" s="14" t="n">
        <f aca="false">(Sens!G6552*tk_hold_h100+Sens!G6553*tk_hold_gb200+Sens!G6554*tk_hold_gb300+Sens!G6555*tk_hold_vr200)/Sens!G6544</f>
        <v>10.8388131109316</v>
      </c>
      <c r="H6556" s="14" t="n">
        <f aca="false">(Sens!H6552*tk_hold_h100+Sens!H6553*tk_hold_gb200+Sens!H6554*tk_hold_gb300+Sens!H6555*tk_hold_vr200)/Sens!H6544</f>
        <v>11.1311018388216</v>
      </c>
      <c r="I6556" s="14" t="n">
        <f aca="false">(Sens!I6552*tk_hold_h100+Sens!I6553*tk_hold_gb200+Sens!I6554*tk_hold_gb300+Sens!I6555*tk_hold_vr200)/Sens!I6544</f>
        <v>11.3594282560989</v>
      </c>
      <c r="J6556" s="14" t="n">
        <f aca="false">(Sens!J6552*tk_hold_h100+Sens!J6553*tk_hold_gb200+Sens!J6554*tk_hold_gb300+Sens!J6555*tk_hold_vr200)/Sens!J6544</f>
        <v>11.5441508808221</v>
      </c>
      <c r="K6556" s="14" t="n">
        <f aca="false">(Sens!K6552*tk_hold_h100+Sens!K6553*tk_hold_gb200+Sens!K6554*tk_hold_gb300+Sens!K6555*tk_hold_vr200)/Sens!K6544</f>
        <v>11.8053375063575</v>
      </c>
    </row>
    <row r="6557" customFormat="false" ht="17.15" hidden="false" customHeight="false" outlineLevel="0" collapsed="false">
      <c r="A6557" s="0" t="s">
        <v>817</v>
      </c>
      <c r="B6557" s="0" t="s">
        <v>185</v>
      </c>
      <c r="C6557" s="14" t="n">
        <f aca="false">k_B</f>
        <v>1.17213932619116</v>
      </c>
      <c r="D6557" s="14" t="n">
        <f aca="false">k_B</f>
        <v>1.17213932619116</v>
      </c>
      <c r="E6557" s="14" t="n">
        <f aca="false">k_B</f>
        <v>1.17213932619116</v>
      </c>
      <c r="F6557" s="14" t="n">
        <f aca="false">(k_B+((ls_B*k_long+(1-ls_B)*k_spot)-k_B)*MIN(1,(Sens!F6542-base_fy)/k_ramp))</f>
        <v>1.17213932619116</v>
      </c>
      <c r="G6557" s="14" t="n">
        <f aca="false">(k_B+((ls_B*k_long+(1-ls_B)*k_spot)-k_B)*MIN(1,(Sens!G6542-base_fy)/k_ramp))</f>
        <v>1.17213932619116</v>
      </c>
      <c r="H6557" s="14" t="n">
        <f aca="false">(k_B+((ls_B*k_long+(1-ls_B)*k_spot)-k_B)*MIN(1,(Sens!H6542-base_fy)/k_ramp))</f>
        <v>1.17213932619116</v>
      </c>
      <c r="I6557" s="14" t="n">
        <f aca="false">(k_B+((ls_B*k_long+(1-ls_B)*k_spot)-k_B)*MIN(1,(Sens!I6542-base_fy)/k_ramp))</f>
        <v>1.17213932619116</v>
      </c>
      <c r="J6557" s="14" t="n">
        <f aca="false">(k_B+((ls_B*k_long+(1-ls_B)*k_spot)-k_B)*MIN(1,(Sens!J6542-base_fy)/k_ramp))</f>
        <v>1.17213932619116</v>
      </c>
      <c r="K6557" s="14" t="n">
        <f aca="false">(k_B+((ls_B*k_long+(1-ls_B)*k_spot)-k_B)*MIN(1,(Sens!K6542-base_fy)/k_ramp))</f>
        <v>1.17213932619116</v>
      </c>
      <c r="L6557" s="1" t="s">
        <v>818</v>
      </c>
    </row>
    <row r="6558" customFormat="false" ht="17.15" hidden="false" customHeight="false" outlineLevel="0" collapsed="false">
      <c r="A6558" s="1" t="s">
        <v>819</v>
      </c>
      <c r="B6558" s="0" t="s">
        <v>339</v>
      </c>
      <c r="C6558" s="14" t="n">
        <f aca="false">Sens!C6556*Sens!C6557*chip_f</f>
        <v>11.3973387156315</v>
      </c>
      <c r="D6558" s="14" t="n">
        <f aca="false">Sens!D6556*Sens!D6557*chip_f</f>
        <v>11.3973387156315</v>
      </c>
      <c r="E6558" s="14" t="n">
        <f aca="false">Sens!E6556*Sens!E6557*chip_f</f>
        <v>11.3973387156315</v>
      </c>
      <c r="F6558" s="14" t="n">
        <f aca="false">Sens!F6556*Sens!F6557*chip_f</f>
        <v>12.1995760756289</v>
      </c>
      <c r="G6558" s="14" t="n">
        <f aca="false">Sens!G6556*Sens!G6557*chip_f</f>
        <v>12.7045990965592</v>
      </c>
      <c r="H6558" s="14" t="n">
        <f aca="false">Sens!H6556*Sens!H6557*chip_f</f>
        <v>13.0472022091214</v>
      </c>
      <c r="I6558" s="14" t="n">
        <f aca="false">Sens!I6556*Sens!I6557*chip_f</f>
        <v>13.3148325820205</v>
      </c>
      <c r="J6558" s="14" t="n">
        <f aca="false">Sens!J6556*Sens!J6557*chip_f</f>
        <v>13.5313532348958</v>
      </c>
      <c r="K6558" s="14" t="n">
        <f aca="false">Sens!K6556*Sens!K6557*chip_f</f>
        <v>13.8375003501611</v>
      </c>
      <c r="L6558" s="1" t="s">
        <v>820</v>
      </c>
    </row>
    <row r="6559" customFormat="false" ht="17.15" hidden="false" customHeight="false" outlineLevel="0" collapsed="false">
      <c r="A6559" s="0" t="s">
        <v>821</v>
      </c>
      <c r="B6559" s="0" t="s">
        <v>98</v>
      </c>
      <c r="D6559" s="6" t="n">
        <f aca="false">(Sens!C6544+Sens!D6544)/2*Sens!D6558/1000</f>
        <v>12.9359794422418</v>
      </c>
      <c r="E6559" s="6" t="n">
        <f aca="false">(Sens!D6544+Sens!E6544)/2*Sens!E6558/1000</f>
        <v>27.8095064661409</v>
      </c>
      <c r="F6559" s="6" t="n">
        <f aca="false">(Sens!E6544+Sens!F6544)/2*Sens!F6558/1000</f>
        <v>55.0640065749585</v>
      </c>
      <c r="G6559" s="6" t="n">
        <f aca="false">(Sens!F6544+Sens!G6544)/2*Sens!G6558/1000</f>
        <v>89.4505413190538</v>
      </c>
      <c r="H6559" s="6" t="n">
        <f aca="false">(Sens!G6544+Sens!H6544)/2*Sens!H6558/1000</f>
        <v>124.835630736874</v>
      </c>
      <c r="I6559" s="6" t="n">
        <f aca="false">(Sens!H6544+Sens!I6544)/2*Sens!I6558/1000</f>
        <v>156.158460265485</v>
      </c>
      <c r="J6559" s="6" t="n">
        <f aca="false">(Sens!I6544+Sens!J6544)/2*Sens!J6558/1000</f>
        <v>177.99455972577</v>
      </c>
      <c r="K6559" s="6" t="n">
        <f aca="false">(Sens!J6544+Sens!K6544)/2*Sens!K6558/1000</f>
        <v>191.597101773408</v>
      </c>
      <c r="L6559" s="11" t="s">
        <v>822</v>
      </c>
    </row>
    <row r="6560" customFormat="false" ht="17.15" hidden="false" customHeight="false" outlineLevel="0" collapsed="false">
      <c r="A6560" s="1" t="s">
        <v>823</v>
      </c>
      <c r="B6560" s="0" t="s">
        <v>339</v>
      </c>
      <c r="C6560" s="14" t="n">
        <f aca="false">(Sens!C6552*tk_opex_h100+Sens!C6553*tk_opex_gb200+Sens!C6554*tk_opex_gb300+Sens!C6555*tk_opex_vr200)/Sens!C6544</f>
        <v>1.88636041306092</v>
      </c>
      <c r="D6560" s="14" t="n">
        <f aca="false">(Sens!D6552*tk_opex_h100+Sens!D6553*tk_opex_gb200+Sens!D6554*tk_opex_gb300+Sens!D6555*tk_opex_vr200)/Sens!D6544</f>
        <v>1.88636041306092</v>
      </c>
      <c r="E6560" s="14" t="n">
        <f aca="false">(Sens!E6552*tk_opex_h100+Sens!E6553*tk_opex_gb200+Sens!E6554*tk_opex_gb300+Sens!E6555*tk_opex_vr200)/Sens!E6544</f>
        <v>1.88636041306092</v>
      </c>
      <c r="F6560" s="14" t="n">
        <f aca="false">(Sens!F6552*tk_opex_h100+Sens!F6553*tk_opex_gb200+Sens!F6554*tk_opex_gb300+Sens!F6555*tk_opex_vr200)/Sens!F6544</f>
        <v>1.9430236476499</v>
      </c>
      <c r="G6560" s="14" t="n">
        <f aca="false">(Sens!G6552*tk_opex_h100+Sens!G6553*tk_opex_gb200+Sens!G6554*tk_opex_gb300+Sens!G6555*tk_opex_vr200)/Sens!G6544</f>
        <v>1.9786941852423</v>
      </c>
      <c r="H6560" s="14" t="n">
        <f aca="false">(Sens!H6552*tk_opex_h100+Sens!H6553*tk_opex_gb200+Sens!H6554*tk_opex_gb300+Sens!H6555*tk_opex_vr200)/Sens!H6544</f>
        <v>2.00289275976156</v>
      </c>
      <c r="I6560" s="14" t="n">
        <f aca="false">(Sens!I6552*tk_opex_h100+Sens!I6553*tk_opex_gb200+Sens!I6554*tk_opex_gb300+Sens!I6555*tk_opex_vr200)/Sens!I6544</f>
        <v>2.02179589661219</v>
      </c>
      <c r="J6560" s="14" t="n">
        <f aca="false">(Sens!J6552*tk_opex_h100+Sens!J6553*tk_opex_gb200+Sens!J6554*tk_opex_gb300+Sens!J6555*tk_opex_vr200)/Sens!J6544</f>
        <v>2.03708907685909</v>
      </c>
      <c r="K6560" s="14" t="n">
        <f aca="false">(Sens!K6552*tk_opex_h100+Sens!K6553*tk_opex_gb200+Sens!K6554*tk_opex_gb300+Sens!K6555*tk_opex_vr200)/Sens!K6544</f>
        <v>2.05871270931005</v>
      </c>
    </row>
    <row r="6561" customFormat="false" ht="17.15" hidden="false" customHeight="false" outlineLevel="0" collapsed="false">
      <c r="A6561" s="0" t="s">
        <v>824</v>
      </c>
      <c r="B6561" s="0" t="s">
        <v>98</v>
      </c>
      <c r="D6561" s="6" t="n">
        <f aca="false">(Sens!C6547+Sens!D6547)/2*Sens!D6560/1000</f>
        <v>2.70378325872065</v>
      </c>
      <c r="E6561" s="6" t="n">
        <f aca="false">(Sens!D6547+Sens!E6547)/2*Sens!E6560/1000</f>
        <v>6.17783035277451</v>
      </c>
      <c r="F6561" s="6" t="n">
        <f aca="false">(Sens!E6547+Sens!F6547)/2*Sens!F6560/1000</f>
        <v>12.5020618235287</v>
      </c>
      <c r="G6561" s="6" t="n">
        <f aca="false">(Sens!F6547+Sens!G6547)/2*Sens!G6560/1000</f>
        <v>20.7261620256847</v>
      </c>
      <c r="H6561" s="6" t="n">
        <f aca="false">(Sens!G6547+Sens!H6547)/2*Sens!H6560/1000</f>
        <v>29.4158183316982</v>
      </c>
      <c r="I6561" s="6" t="n">
        <f aca="false">(Sens!H6547+Sens!I6547)/2*Sens!I6560/1000</f>
        <v>36.9724400356344</v>
      </c>
      <c r="J6561" s="6" t="n">
        <f aca="false">(Sens!I6547+Sens!J6547)/2*Sens!J6560/1000</f>
        <v>42.0938382992747</v>
      </c>
      <c r="K6561" s="6" t="n">
        <f aca="false">(Sens!J6547+Sens!K6547)/2*Sens!K6560/1000</f>
        <v>44.9150106651501</v>
      </c>
    </row>
    <row r="6562" customFormat="false" ht="17.15" hidden="false" customHeight="false" outlineLevel="0" collapsed="false">
      <c r="A6562" s="0" t="s">
        <v>825</v>
      </c>
      <c r="B6562" s="0" t="s">
        <v>98</v>
      </c>
      <c r="D6562" s="6" t="n">
        <f aca="false">(Sens!C6545+Sens!D6545)/2*rent_mw/1000</f>
        <v>2.44475</v>
      </c>
      <c r="E6562" s="6" t="n">
        <f aca="false">(Sens!D6545+Sens!E6545)/2*rent_mw/1000</f>
        <v>4.22275</v>
      </c>
      <c r="F6562" s="6" t="n">
        <f aca="false">(Sens!E6545+Sens!F6545)/2*rent_mw/1000</f>
        <v>5.80517</v>
      </c>
      <c r="G6562" s="6" t="n">
        <f aca="false">(Sens!F6545+Sens!G6545)/2*rent_mw/1000</f>
        <v>6.72084</v>
      </c>
      <c r="H6562" s="6" t="n">
        <f aca="false">(Sens!G6545+Sens!H6545)/2*rent_mw/1000</f>
        <v>6.72084</v>
      </c>
      <c r="I6562" s="6" t="n">
        <f aca="false">(Sens!H6545+Sens!I6545)/2*rent_mw/1000</f>
        <v>6.72084</v>
      </c>
      <c r="J6562" s="6" t="n">
        <f aca="false">(Sens!I6545+Sens!J6545)/2*rent_mw/1000</f>
        <v>6.72084</v>
      </c>
      <c r="K6562" s="6" t="n">
        <f aca="false">(Sens!J6545+Sens!K6545)/2*rent_mw/1000</f>
        <v>6.72084</v>
      </c>
    </row>
    <row r="6563" customFormat="false" ht="17.15" hidden="false" customHeight="false" outlineLevel="0" collapsed="false">
      <c r="A6563" s="0" t="s">
        <v>826</v>
      </c>
      <c r="B6563" s="0" t="s">
        <v>98</v>
      </c>
      <c r="D6563" s="6" t="n">
        <f aca="false">(Sens!C6547+Sens!D6547)/2*(1-self_build)*fac_rent/1000</f>
        <v>0.853242375631075</v>
      </c>
      <c r="E6563" s="6" t="n">
        <f aca="false">(Sens!D6547+Sens!E6547)/2*(1-self_build)*fac_rent/1000</f>
        <v>1.94955961408728</v>
      </c>
      <c r="F6563" s="6" t="n">
        <f aca="false">(Sens!E6547+Sens!F6547)/2*(1-self_build)*fac_rent/1000</f>
        <v>3.83026455274573</v>
      </c>
      <c r="G6563" s="6" t="n">
        <f aca="false">(Sens!F6547+Sens!G6547)/2*(1-self_build)*fac_rent/1000</f>
        <v>6.23541590972812</v>
      </c>
      <c r="H6563" s="6" t="n">
        <f aca="false">(Sens!G6547+Sens!H6547)/2*(1-self_build)*fac_rent/1000</f>
        <v>8.74275792332679</v>
      </c>
      <c r="I6563" s="6" t="n">
        <f aca="false">(Sens!H6547+Sens!I6547)/2*(1-self_build)*fac_rent/1000</f>
        <v>10.8859420438599</v>
      </c>
      <c r="J6563" s="6" t="n">
        <f aca="false">(Sens!I6547+Sens!J6547)/2*(1-self_build)*fac_rent/1000</f>
        <v>12.3008103782619</v>
      </c>
      <c r="K6563" s="6" t="n">
        <f aca="false">(Sens!J6547+Sens!K6547)/2*(1-self_build)*fac_rent/1000</f>
        <v>12.9873629265328</v>
      </c>
      <c r="L6563" s="11" t="s">
        <v>827</v>
      </c>
    </row>
    <row r="6564" customFormat="false" ht="17.15" hidden="false" customHeight="false" outlineLevel="0" collapsed="false">
      <c r="A6564" s="1" t="s">
        <v>828</v>
      </c>
      <c r="B6564" s="0" t="s">
        <v>129</v>
      </c>
      <c r="D6564" s="7" t="n">
        <f aca="false">(Sens!C6546+Sens!D6546)/(Sens!C6547+Sens!D6547)</f>
        <v>0.6</v>
      </c>
      <c r="E6564" s="7" t="n">
        <f aca="false">(Sens!D6546+Sens!E6546)/(Sens!D6547+Sens!E6547)</f>
        <v>0.6</v>
      </c>
      <c r="F6564" s="7" t="n">
        <f aca="false">(Sens!E6546+Sens!F6546)/(Sens!E6547+Sens!F6547)</f>
        <v>0.6</v>
      </c>
      <c r="G6564" s="7" t="n">
        <f aca="false">(Sens!F6546+Sens!G6546)/(Sens!F6547+Sens!G6547)</f>
        <v>0.6</v>
      </c>
      <c r="H6564" s="7" t="n">
        <f aca="false">(Sens!G6546+Sens!H6546)/(Sens!G6547+Sens!H6547)</f>
        <v>0.6</v>
      </c>
      <c r="I6564" s="7" t="n">
        <f aca="false">(Sens!H6546+Sens!I6546)/(Sens!H6547+Sens!I6547)</f>
        <v>0.6</v>
      </c>
      <c r="J6564" s="7" t="n">
        <f aca="false">(Sens!I6546+Sens!J6546)/(Sens!I6547+Sens!J6547)</f>
        <v>0.6</v>
      </c>
      <c r="K6564" s="7" t="n">
        <f aca="false">(Sens!J6546+Sens!K6546)/(Sens!J6547+Sens!K6547)</f>
        <v>0.6</v>
      </c>
    </row>
    <row r="6565" customFormat="false" ht="17.15" hidden="false" customHeight="false" outlineLevel="0" collapsed="false">
      <c r="A6565" s="0" t="s">
        <v>829</v>
      </c>
      <c r="B6565" s="0" t="s">
        <v>98</v>
      </c>
      <c r="D6565" s="6" t="n">
        <f aca="false">Sens!D6559-Sens!D6564*(Sens!D6561+Sens!D6563)-Sens!D6562</f>
        <v>8.35701406163072</v>
      </c>
      <c r="E6565" s="6" t="n">
        <f aca="false">Sens!E6559-Sens!E6564*(Sens!E6561+Sens!E6563)-Sens!E6562</f>
        <v>18.7103224860238</v>
      </c>
      <c r="F6565" s="6" t="n">
        <f aca="false">Sens!F6559-Sens!F6564*(Sens!F6561+Sens!F6563)-Sens!F6562</f>
        <v>39.4594407491938</v>
      </c>
      <c r="G6565" s="6" t="n">
        <f aca="false">Sens!G6559-Sens!G6564*(Sens!G6561+Sens!G6563)-Sens!G6562</f>
        <v>66.5527545578061</v>
      </c>
      <c r="H6565" s="6" t="n">
        <f aca="false">Sens!H6559-Sens!H6564*(Sens!H6561+Sens!H6563)-Sens!H6562</f>
        <v>95.219644983859</v>
      </c>
      <c r="I6565" s="6" t="n">
        <f aca="false">Sens!I6559-Sens!I6564*(Sens!I6561+Sens!I6563)-Sens!I6562</f>
        <v>120.722591017788</v>
      </c>
      <c r="J6565" s="6" t="n">
        <f aca="false">Sens!J6559-Sens!J6564*(Sens!J6561+Sens!J6563)-Sens!J6562</f>
        <v>138.636930519248</v>
      </c>
      <c r="K6565" s="6" t="n">
        <f aca="false">Sens!K6559-Sens!K6564*(Sens!K6561+Sens!K6563)-Sens!K6562</f>
        <v>150.134837618398</v>
      </c>
    </row>
    <row r="6566" customFormat="false" ht="17.15" hidden="false" customHeight="false" outlineLevel="0" collapsed="false">
      <c r="A6566" s="1" t="s">
        <v>830</v>
      </c>
      <c r="B6566" s="0" t="s">
        <v>98</v>
      </c>
      <c r="D6566" s="6" t="n">
        <f aca="false">(1-Sens!D6564)*(Sens!D6561+Sens!D6563)</f>
        <v>1.42281025374069</v>
      </c>
      <c r="E6566" s="6" t="n">
        <f aca="false">(1-Sens!E6564)*(Sens!E6561+Sens!E6563)</f>
        <v>3.25095598674472</v>
      </c>
      <c r="F6566" s="6" t="n">
        <f aca="false">(1-Sens!F6564)*(Sens!F6561+Sens!F6563)</f>
        <v>6.53293055050977</v>
      </c>
      <c r="G6566" s="6" t="n">
        <f aca="false">(1-Sens!G6564)*(Sens!G6561+Sens!G6563)</f>
        <v>10.7846311741651</v>
      </c>
      <c r="H6566" s="6" t="n">
        <f aca="false">(1-Sens!H6564)*(Sens!H6561+Sens!H6563)</f>
        <v>15.26343050201</v>
      </c>
      <c r="I6566" s="6" t="n">
        <f aca="false">(1-Sens!I6564)*(Sens!I6561+Sens!I6563)</f>
        <v>19.1433528317977</v>
      </c>
      <c r="J6566" s="6" t="n">
        <f aca="false">(1-Sens!J6564)*(Sens!J6561+Sens!J6563)</f>
        <v>21.7578594710146</v>
      </c>
      <c r="K6566" s="6" t="n">
        <f aca="false">(1-Sens!K6564)*(Sens!K6561+Sens!K6563)</f>
        <v>23.1609494366731</v>
      </c>
    </row>
    <row r="6567" customFormat="false" ht="17.15" hidden="false" customHeight="false" outlineLevel="0" collapsed="false">
      <c r="A6567" s="1" t="s">
        <v>831</v>
      </c>
      <c r="B6567" s="0" t="s">
        <v>350</v>
      </c>
      <c r="C6567" s="8" t="n">
        <f aca="false">cxit_open</f>
        <v>27.5918995</v>
      </c>
      <c r="D6567" s="8" t="n">
        <f aca="false">cxit_open</f>
        <v>27.5918995</v>
      </c>
      <c r="E6567" s="8" t="n">
        <f aca="false">cxit_open</f>
        <v>27.5918995</v>
      </c>
      <c r="F6567" s="8" t="n">
        <f aca="false">(a_g3_27*tk_cxit_gb300+(1-a_g3_27)*tk_cxit_vr200)</f>
        <v>33.8419624</v>
      </c>
      <c r="G6567" s="8" t="n">
        <f aca="false">(a_g3_28*tk_cxit_gb300+(1-a_g3_28)*tk_cxit_vr200)</f>
        <v>35.9816136</v>
      </c>
      <c r="H6567" s="8" t="n">
        <f aca="false">(a_g3_29*tk_cxit_gb300+(1-a_g3_29)*tk_cxit_vr200)</f>
        <v>37.0514392</v>
      </c>
      <c r="I6567" s="8" t="n">
        <f aca="false">(a_g3_29*tk_cxit_gb300+(1-a_g3_29)*tk_cxit_vr200)</f>
        <v>37.0514392</v>
      </c>
      <c r="J6567" s="8" t="n">
        <f aca="false">(a_g3_29*tk_cxit_gb300+(1-a_g3_29)*tk_cxit_vr200)</f>
        <v>37.0514392</v>
      </c>
      <c r="K6567" s="8" t="n">
        <f aca="false">(a_g3_29*tk_cxit_gb300+(1-a_g3_29)*tk_cxit_vr200)</f>
        <v>37.0514392</v>
      </c>
      <c r="L6567" s="11" t="s">
        <v>832</v>
      </c>
    </row>
    <row r="6568" customFormat="false" ht="17.15" hidden="false" customHeight="false" outlineLevel="0" collapsed="false">
      <c r="A6568" s="0" t="s">
        <v>833</v>
      </c>
      <c r="B6568" s="0" t="s">
        <v>392</v>
      </c>
      <c r="F6568" s="29" t="n">
        <f aca="false">Sens!C6549*IF(Sens!F6542-Sens!C6542=life_it,1,0)+Sens!D6549*IF(Sens!F6542-Sens!D6542=life_it,1,0)+Sens!E6549*IF(Sens!F6542-Sens!E6542=life_it,1,0)</f>
        <v>0</v>
      </c>
      <c r="G6568" s="29" t="n">
        <f aca="false">Sens!C6549*IF(Sens!G6542-Sens!C6542=life_it,1,0)+Sens!D6549*IF(Sens!G6542-Sens!D6542=life_it,1,0)+Sens!E6549*IF(Sens!G6542-Sens!E6542=life_it,1,0)+Sens!F6549*IF(Sens!G6542-Sens!F6542=life_it,1,0)</f>
        <v>0</v>
      </c>
      <c r="H6568" s="29" t="n">
        <f aca="false">Sens!C6549*IF(Sens!H6542-Sens!C6542=life_it,1,0)+Sens!D6549*IF(Sens!H6542-Sens!D6542=life_it,1,0)+Sens!E6549*IF(Sens!H6542-Sens!E6542=life_it,1,0)+Sens!F6549*IF(Sens!H6542-Sens!F6542=life_it,1,0)+Sens!G6549*IF(Sens!H6542-Sens!G6542=life_it,1,0)</f>
        <v>0</v>
      </c>
      <c r="I6568" s="29" t="n">
        <f aca="false">Sens!C6549*IF(Sens!I6542-Sens!C6542=life_it,1,0)+Sens!D6549*IF(Sens!I6542-Sens!D6542=life_it,1,0)+Sens!E6549*IF(Sens!I6542-Sens!E6542=life_it,1,0)+Sens!F6549*IF(Sens!I6542-Sens!F6542=life_it,1,0)+Sens!G6549*IF(Sens!I6542-Sens!G6542=life_it,1,0)+Sens!H6549*IF(Sens!I6542-Sens!H6542=life_it,1,0)</f>
        <v>816.666666666667</v>
      </c>
      <c r="J6568" s="29" t="n">
        <f aca="false">Sens!C6549*IF(Sens!J6542-Sens!C6542=life_it,1,0)+Sens!D6549*IF(Sens!J6542-Sens!D6542=life_it,1,0)+Sens!E6549*IF(Sens!J6542-Sens!E6542=life_it,1,0)+Sens!F6549*IF(Sens!J6542-Sens!F6542=life_it,1,0)+Sens!G6549*IF(Sens!J6542-Sens!G6542=life_it,1,0)+Sens!H6549*IF(Sens!J6542-Sens!H6542=life_it,1,0)+Sens!I6549*IF(Sens!J6542-Sens!I6542=life_it,1,0)</f>
        <v>1233.33333333333</v>
      </c>
      <c r="K6568" s="29" t="n">
        <f aca="false">Sens!C6549*IF(Sens!K6542-Sens!C6542=life_it,1,0)+Sens!D6549*IF(Sens!K6542-Sens!D6542=life_it,1,0)+Sens!E6549*IF(Sens!K6542-Sens!E6542=life_it,1,0)+Sens!F6549*IF(Sens!K6542-Sens!F6542=life_it,1,0)+Sens!G6549*IF(Sens!K6542-Sens!G6542=life_it,1,0)+Sens!H6549*IF(Sens!K6542-Sens!H6542=life_it,1,0)+Sens!I6549*IF(Sens!K6542-Sens!I6542=life_it,1,0)+Sens!J6549*IF(Sens!K6542-Sens!J6542=life_it,1,0)</f>
        <v>2450</v>
      </c>
      <c r="L6568" s="1" t="s">
        <v>834</v>
      </c>
    </row>
    <row r="6569" customFormat="false" ht="17.15" hidden="false" customHeight="false" outlineLevel="0" collapsed="false">
      <c r="A6569" s="0" t="s">
        <v>835</v>
      </c>
      <c r="B6569" s="0" t="s">
        <v>98</v>
      </c>
      <c r="C6569" s="6" t="n">
        <f aca="false">Sens!C6549*Sens!C6567/1000</f>
        <v>22.5333845916667</v>
      </c>
      <c r="D6569" s="6" t="n">
        <f aca="false">Sens!D6549*Sens!D6567/1000</f>
        <v>34.0300093833333</v>
      </c>
      <c r="E6569" s="6" t="n">
        <f aca="false">Sens!E6549*Sens!E6567/1000</f>
        <v>67.600153775</v>
      </c>
      <c r="F6569" s="6" t="n">
        <f aca="false">(Sens!F6549+Sens!F6568)*Sens!F6567/1000</f>
        <v>130.923271871467</v>
      </c>
      <c r="G6569" s="6" t="n">
        <f aca="false">(Sens!G6549+Sens!G6568)*Sens!G6567/1000</f>
        <v>151.5545564832</v>
      </c>
      <c r="H6569" s="6" t="n">
        <f aca="false">(Sens!H6549+Sens!H6568)*Sens!H6567/1000</f>
        <v>156.0606619104</v>
      </c>
      <c r="I6569" s="6" t="n">
        <f aca="false">(Sens!I6549+Sens!I6568)*Sens!I6567/1000</f>
        <v>140.987889434245</v>
      </c>
      <c r="J6569" s="6" t="n">
        <f aca="false">(Sens!J6549+Sens!J6568)*Sens!J6567/1000</f>
        <v>111.094541278091</v>
      </c>
      <c r="K6569" s="6" t="n">
        <f aca="false">(Sens!K6549+Sens!K6568)*Sens!K6567/1000</f>
        <v>110.842344481936</v>
      </c>
    </row>
    <row r="6570" customFormat="false" ht="17.15" hidden="false" customHeight="false" outlineLevel="0" collapsed="false">
      <c r="A6570" s="0" t="s">
        <v>836</v>
      </c>
      <c r="B6570" s="0" t="s">
        <v>98</v>
      </c>
      <c r="C6570" s="6" t="n">
        <f aca="false">Sens!C6549*self_build*tk_cxfac/1000</f>
        <v>6.2083</v>
      </c>
      <c r="D6570" s="6" t="n">
        <f aca="false">Sens!D6549*self_build*tk_cxfac/1000</f>
        <v>9.3758</v>
      </c>
      <c r="E6570" s="6" t="n">
        <f aca="false">Sens!E6549*self_build*tk_cxfac/1000</f>
        <v>18.6249</v>
      </c>
      <c r="F6570" s="6" t="n">
        <f aca="false">Sens!F6549*self_build*tk_cxfac/1000</f>
        <v>29.409604</v>
      </c>
      <c r="G6570" s="6" t="n">
        <f aca="false">Sens!G6549*self_build*tk_cxfac/1000</f>
        <v>32.019624</v>
      </c>
      <c r="H6570" s="6" t="n">
        <f aca="false">Sens!H6549*self_build*tk_cxfac/1000</f>
        <v>32.019624</v>
      </c>
      <c r="I6570" s="6" t="n">
        <f aca="false">Sens!I6549*self_build*tk_cxfac/1000</f>
        <v>22.71877972</v>
      </c>
      <c r="J6570" s="6" t="n">
        <f aca="false">Sens!J6549*self_build*tk_cxfac/1000</f>
        <v>13.41793544</v>
      </c>
      <c r="K6570" s="6" t="n">
        <f aca="false">Sens!K6549*self_build*tk_cxfac/1000</f>
        <v>4.11709116000001</v>
      </c>
    </row>
    <row r="6571" customFormat="false" ht="17.15" hidden="false" customHeight="false" outlineLevel="0" collapsed="false">
      <c r="A6571" s="0" t="s">
        <v>837</v>
      </c>
      <c r="B6571" s="0" t="s">
        <v>98</v>
      </c>
      <c r="F6571" s="6" t="n">
        <f aca="false">MAX(0,capex_floor27-Sens!F6569-Sens!F6570-Sens!F6664)</f>
        <v>8.62377689897089</v>
      </c>
      <c r="L6571" s="1" t="s">
        <v>838</v>
      </c>
    </row>
    <row r="6572" customFormat="false" ht="17.15" hidden="false" customHeight="false" outlineLevel="0" collapsed="false">
      <c r="A6572" s="0" t="s">
        <v>839</v>
      </c>
      <c r="B6572" s="0" t="s">
        <v>98</v>
      </c>
      <c r="C6572" s="6" t="n">
        <f aca="false">Sens!C6569</f>
        <v>22.5333845916667</v>
      </c>
      <c r="D6572" s="6" t="n">
        <f aca="false">Sens!D6569</f>
        <v>34.0300093833333</v>
      </c>
      <c r="E6572" s="6" t="n">
        <f aca="false">Sens!E6569</f>
        <v>67.600153775</v>
      </c>
      <c r="F6572" s="6" t="n">
        <f aca="false">Sens!F6569+Sens!F6571</f>
        <v>139.547048770438</v>
      </c>
      <c r="G6572" s="6" t="n">
        <f aca="false">Sens!G6569</f>
        <v>151.5545564832</v>
      </c>
      <c r="H6572" s="6" t="n">
        <f aca="false">Sens!H6569</f>
        <v>156.0606619104</v>
      </c>
      <c r="I6572" s="6" t="n">
        <f aca="false">Sens!I6569</f>
        <v>140.987889434245</v>
      </c>
      <c r="J6572" s="6" t="n">
        <f aca="false">Sens!J6569</f>
        <v>111.094541278091</v>
      </c>
      <c r="K6572" s="6" t="n">
        <f aca="false">Sens!K6569</f>
        <v>110.842344481936</v>
      </c>
    </row>
    <row r="6573" customFormat="false" ht="17.15" hidden="false" customHeight="false" outlineLevel="0" collapsed="false">
      <c r="A6573" s="0" t="s">
        <v>840</v>
      </c>
      <c r="B6573" s="0" t="s">
        <v>98</v>
      </c>
      <c r="C6573" s="6" t="n">
        <f aca="false">Sens!C6572+Sens!C6570</f>
        <v>28.7416845916667</v>
      </c>
      <c r="D6573" s="6" t="n">
        <f aca="false">Sens!D6572+Sens!D6570</f>
        <v>43.4058093833333</v>
      </c>
      <c r="E6573" s="6" t="n">
        <f aca="false">Sens!E6572+Sens!E6570</f>
        <v>86.225053775</v>
      </c>
      <c r="F6573" s="6" t="n">
        <f aca="false">Sens!F6572+Sens!F6570</f>
        <v>168.956652770438</v>
      </c>
      <c r="G6573" s="6" t="n">
        <f aca="false">Sens!G6572+Sens!G6570</f>
        <v>183.5741804832</v>
      </c>
      <c r="H6573" s="6" t="n">
        <f aca="false">Sens!H6572+Sens!H6570</f>
        <v>188.0802859104</v>
      </c>
      <c r="I6573" s="6" t="n">
        <f aca="false">Sens!I6572+Sens!I6570</f>
        <v>163.706669154245</v>
      </c>
      <c r="J6573" s="6" t="n">
        <f aca="false">Sens!J6572+Sens!J6570</f>
        <v>124.51247671809</v>
      </c>
      <c r="K6573" s="6" t="n">
        <f aca="false">Sens!K6572+Sens!K6570</f>
        <v>114.959435641936</v>
      </c>
      <c r="L6573" s="11" t="s">
        <v>841</v>
      </c>
    </row>
    <row r="6574" customFormat="false" ht="17.15" hidden="false" customHeight="false" outlineLevel="0" collapsed="false">
      <c r="A6574" s="0" t="s">
        <v>842</v>
      </c>
      <c r="B6574" s="0" t="s">
        <v>98</v>
      </c>
      <c r="E6574" s="6" t="n">
        <f aca="false">(Sens!C6572*IF(2&lt;life_it,1,IF(2=life_it,0.5,0))+Sens!D6572*IF(1&lt;life_it,1,IF(1=life_it,0.5,0))+Sens!E6572*0.5)/life_it</f>
        <v>15.0605784770833</v>
      </c>
      <c r="F6574" s="6" t="n">
        <f aca="false">(Sens!C6572*IF(3&lt;life_it,1,IF(3=life_it,0.5,0))+Sens!D6572*IF(2&lt;life_it,1,IF(2=life_it,0.5,0))+Sens!E6572*IF(1&lt;life_it,1,IF(1=life_it,0.5,0))+Sens!F6572*0.5)/life_it</f>
        <v>32.3228453558698</v>
      </c>
      <c r="G6574" s="6" t="n">
        <f aca="false">(Sens!C6572*IF(4&lt;life_it,1,IF(4=life_it,0.5,0))+Sens!D6572*IF(3&lt;life_it,1,IF(3=life_it,0.5,0))+Sens!E6572*IF(2&lt;life_it,1,IF(2=life_it,0.5,0))+Sens!F6572*IF(1&lt;life_it,1,IF(1=life_it,0.5,0))+Sens!G6572*0.5)/life_it</f>
        <v>56.5813124603396</v>
      </c>
      <c r="H6574" s="6" t="n">
        <f aca="false">(Sens!C6572*IF(5&lt;life_it,1,IF(5=life_it,0.5,0))+Sens!D6572*IF(4&lt;life_it,1,IF(4=life_it,0.5,0))+Sens!E6572*IF(3&lt;life_it,1,IF(3=life_it,0.5,0))+Sens!F6572*IF(2&lt;life_it,1,IF(2=life_it,0.5,0))+Sens!G6572*IF(1&lt;life_it,1,IF(1=life_it,0.5,0))+Sens!H6572*0.5)/life_it</f>
        <v>82.2159139931396</v>
      </c>
      <c r="I6574" s="6" t="n">
        <f aca="false">(Sens!C6572*IF(6&lt;life_it,1,IF(6=life_it,0.5,0))+Sens!D6572*IF(5&lt;life_it,1,IF(5=life_it,0.5,0))+Sens!E6572*IF(4&lt;life_it,1,IF(4=life_it,0.5,0))+Sens!F6572*IF(3&lt;life_it,1,IF(3=life_it,0.5,0))+Sens!G6572*IF(2&lt;life_it,1,IF(2=life_it,0.5,0))+Sens!H6572*IF(1&lt;life_it,1,IF(1=life_it,0.5,0))+Sens!I6572*0.5)/life_it</f>
        <v>105.092177889221</v>
      </c>
      <c r="J6574" s="6" t="n">
        <f aca="false">(Sens!C6572*IF(7&lt;life_it,1,IF(7=life_it,0.5,0))+Sens!D6572*IF(6&lt;life_it,1,IF(6=life_it,0.5,0))+Sens!E6572*IF(5&lt;life_it,1,IF(5=life_it,0.5,0))+Sens!F6572*IF(4&lt;life_it,1,IF(4=life_it,0.5,0))+Sens!G6572*IF(3&lt;life_it,1,IF(3=life_it,0.5,0))+Sens!H6572*IF(2&lt;life_it,1,IF(2=life_it,0.5,0))+Sens!I6572*IF(1&lt;life_it,1,IF(1=life_it,0.5,0))+Sens!J6572*0.5)/life_it</f>
        <v>121.385430950666</v>
      </c>
      <c r="K6574" s="6" t="n">
        <f aca="false">(Sens!C6572*IF(8&lt;life_it,1,IF(8=life_it,0.5,0))+Sens!D6572*IF(7&lt;life_it,1,IF(7=life_it,0.5,0))+Sens!E6572*IF(6&lt;life_it,1,IF(6=life_it,0.5,0))+Sens!F6572*IF(5&lt;life_it,1,IF(5=life_it,0.5,0))+Sens!G6572*IF(4&lt;life_it,1,IF(4=life_it,0.5,0))+Sens!H6572*IF(3&lt;life_it,1,IF(3=life_it,0.5,0))+Sens!I6572*IF(2&lt;life_it,1,IF(2=life_it,0.5,0))+Sens!J6572*IF(1&lt;life_it,1,IF(1=life_it,0.5,0))+Sens!K6572*0.5)/life_it</f>
        <v>131.410991167474</v>
      </c>
    </row>
    <row r="6575" customFormat="false" ht="17.15" hidden="false" customHeight="false" outlineLevel="0" collapsed="false">
      <c r="A6575" s="0" t="s">
        <v>843</v>
      </c>
      <c r="B6575" s="0" t="s">
        <v>98</v>
      </c>
      <c r="E6575" s="6" t="n">
        <f aca="false">(Sens!C6570*IF(2&lt;life_fac,1,IF(2=life_fac,0.5,0))+Sens!D6570*IF(1&lt;life_fac,1,IF(1=life_fac,0.5,0))+Sens!E6570*0.5)/life_fac</f>
        <v>1.2448275</v>
      </c>
      <c r="F6575" s="6" t="n">
        <f aca="false">(Sens!C6570*IF(3&lt;life_fac,1,IF(3=life_fac,0.5,0))+Sens!D6570*IF(2&lt;life_fac,1,IF(2=life_fac,0.5,0))+Sens!E6570*IF(1&lt;life_fac,1,IF(1=life_fac,0.5,0))+Sens!F6570*0.5)/life_fac</f>
        <v>2.4456901</v>
      </c>
      <c r="G6575" s="6" t="n">
        <f aca="false">(Sens!C6570*IF(4&lt;life_fac,1,IF(4=life_fac,0.5,0))+Sens!D6570*IF(3&lt;life_fac,1,IF(3=life_fac,0.5,0))+Sens!E6570*IF(2&lt;life_fac,1,IF(2=life_fac,0.5,0))+Sens!F6570*IF(1&lt;life_fac,1,IF(1=life_fac,0.5,0))+Sens!G6570*0.5)/life_fac</f>
        <v>3.9814208</v>
      </c>
      <c r="H6575" s="6" t="n">
        <f aca="false">(Sens!C6570*IF(5&lt;life_fac,1,IF(5=life_fac,0.5,0))+Sens!D6570*IF(4&lt;life_fac,1,IF(4=life_fac,0.5,0))+Sens!E6570*IF(3&lt;life_fac,1,IF(3=life_fac,0.5,0))+Sens!F6570*IF(2&lt;life_fac,1,IF(2=life_fac,0.5,0))+Sens!G6570*IF(1&lt;life_fac,1,IF(1=life_fac,0.5,0))+Sens!H6570*0.5)/life_fac</f>
        <v>5.582402</v>
      </c>
      <c r="I6575" s="6" t="n">
        <f aca="false">(Sens!C6570*IF(6&lt;life_fac,1,IF(6=life_fac,0.5,0))+Sens!D6570*IF(5&lt;life_fac,1,IF(5=life_fac,0.5,0))+Sens!E6570*IF(4&lt;life_fac,1,IF(4=life_fac,0.5,0))+Sens!F6570*IF(3&lt;life_fac,1,IF(3=life_fac,0.5,0))+Sens!G6570*IF(2&lt;life_fac,1,IF(2=life_fac,0.5,0))+Sens!H6570*IF(1&lt;life_fac,1,IF(1=life_fac,0.5,0))+Sens!I6570*0.5)/life_fac</f>
        <v>6.950862093</v>
      </c>
      <c r="J6575" s="6" t="n">
        <f aca="false">(Sens!C6570*IF(7&lt;life_fac,1,IF(7=life_fac,0.5,0))+Sens!D6570*IF(6&lt;life_fac,1,IF(6=life_fac,0.5,0))+Sens!E6570*IF(5&lt;life_fac,1,IF(5=life_fac,0.5,0))+Sens!F6570*IF(4&lt;life_fac,1,IF(4=life_fac,0.5,0))+Sens!G6570*IF(3&lt;life_fac,1,IF(3=life_fac,0.5,0))+Sens!H6570*IF(2&lt;life_fac,1,IF(2=life_fac,0.5,0))+Sens!I6570*IF(1&lt;life_fac,1,IF(1=life_fac,0.5,0))+Sens!J6570*0.5)/life_fac</f>
        <v>7.854279972</v>
      </c>
      <c r="K6575" s="6" t="n">
        <f aca="false">(Sens!C6570*IF(8&lt;life_fac,1,IF(8=life_fac,0.5,0))+Sens!D6570*IF(7&lt;life_fac,1,IF(7=life_fac,0.5,0))+Sens!E6570*IF(6&lt;life_fac,1,IF(6=life_fac,0.5,0))+Sens!F6570*IF(5&lt;life_fac,1,IF(5=life_fac,0.5,0))+Sens!G6570*IF(4&lt;life_fac,1,IF(4=life_fac,0.5,0))+Sens!H6570*IF(3&lt;life_fac,1,IF(3=life_fac,0.5,0))+Sens!I6570*IF(2&lt;life_fac,1,IF(2=life_fac,0.5,0))+Sens!J6570*IF(1&lt;life_fac,1,IF(1=life_fac,0.5,0))+Sens!K6570*0.5)/life_fac</f>
        <v>8.292655637</v>
      </c>
    </row>
    <row r="6576" customFormat="false" ht="17.15" hidden="false" customHeight="false" outlineLevel="0" collapsed="false">
      <c r="A6576" s="0" t="s">
        <v>844</v>
      </c>
      <c r="B6576" s="0" t="s">
        <v>98</v>
      </c>
      <c r="E6576" s="6" t="n">
        <f aca="false">Sens!E6574+Sens!E6575</f>
        <v>16.3054059770833</v>
      </c>
      <c r="F6576" s="6" t="n">
        <f aca="false">Sens!F6574+Sens!F6575</f>
        <v>34.7685354558698</v>
      </c>
      <c r="G6576" s="6" t="n">
        <f aca="false">Sens!G6574+Sens!G6575</f>
        <v>60.5627332603396</v>
      </c>
      <c r="H6576" s="6" t="n">
        <f aca="false">Sens!H6574+Sens!H6575</f>
        <v>87.7983159931396</v>
      </c>
      <c r="I6576" s="6" t="n">
        <f aca="false">Sens!I6574+Sens!I6575</f>
        <v>112.043039982221</v>
      </c>
      <c r="J6576" s="6" t="n">
        <f aca="false">Sens!J6574+Sens!J6575</f>
        <v>129.239710922666</v>
      </c>
      <c r="K6576" s="6" t="n">
        <f aca="false">Sens!K6574+Sens!K6575</f>
        <v>139.703646804474</v>
      </c>
    </row>
    <row r="6577" customFormat="false" ht="17.15" hidden="false" customHeight="false" outlineLevel="0" collapsed="false">
      <c r="A6577" s="0" t="s">
        <v>845</v>
      </c>
      <c r="B6577" s="0" t="s">
        <v>98</v>
      </c>
      <c r="E6577" s="6" t="n">
        <f aca="false">Sens!E6565-Sens!E6564*Sens!E6576</f>
        <v>8.92707889977379</v>
      </c>
      <c r="F6577" s="6" t="n">
        <f aca="false">Sens!F6565-Sens!F6564*Sens!F6576</f>
        <v>18.598319475672</v>
      </c>
      <c r="G6577" s="6" t="n">
        <f aca="false">Sens!G6565-Sens!G6564*Sens!G6576</f>
        <v>30.2151146016024</v>
      </c>
      <c r="H6577" s="6" t="n">
        <f aca="false">Sens!H6565-Sens!H6564*Sens!H6576</f>
        <v>42.5406553879752</v>
      </c>
      <c r="I6577" s="6" t="n">
        <f aca="false">Sens!I6565-Sens!I6564*Sens!I6576</f>
        <v>53.4967670284555</v>
      </c>
      <c r="J6577" s="6" t="n">
        <f aca="false">Sens!J6565-Sens!J6564*Sens!J6576</f>
        <v>61.0931039656484</v>
      </c>
      <c r="K6577" s="6" t="n">
        <f aca="false">Sens!K6565-Sens!K6564*Sens!K6576</f>
        <v>66.3126495357137</v>
      </c>
    </row>
    <row r="6578" customFormat="false" ht="17.15" hidden="false" customHeight="false" outlineLevel="0" collapsed="false">
      <c r="A6578" s="3" t="s">
        <v>1405</v>
      </c>
    </row>
    <row r="6579" customFormat="false" ht="15" hidden="false" customHeight="false" outlineLevel="0" collapsed="false">
      <c r="A6579" s="4" t="s">
        <v>43</v>
      </c>
      <c r="B6579" s="4" t="s">
        <v>65</v>
      </c>
      <c r="C6579" s="20" t="s">
        <v>788</v>
      </c>
      <c r="D6579" s="20" t="s">
        <v>789</v>
      </c>
      <c r="E6579" s="20" t="s">
        <v>790</v>
      </c>
      <c r="F6579" s="20" t="s">
        <v>791</v>
      </c>
      <c r="G6579" s="20" t="s">
        <v>792</v>
      </c>
      <c r="H6579" s="20" t="s">
        <v>793</v>
      </c>
      <c r="I6579" s="20" t="s">
        <v>794</v>
      </c>
      <c r="J6579" s="20" t="s">
        <v>795</v>
      </c>
      <c r="K6579" s="20" t="s">
        <v>796</v>
      </c>
      <c r="L6579" s="4" t="s">
        <v>47</v>
      </c>
    </row>
    <row r="6580" customFormat="false" ht="17.15" hidden="false" customHeight="false" outlineLevel="0" collapsed="false">
      <c r="A6580" s="0" t="s">
        <v>864</v>
      </c>
      <c r="B6580" s="0" t="s">
        <v>98</v>
      </c>
      <c r="D6580" s="6" t="n">
        <f aca="false">Sens!D6559</f>
        <v>12.9359794422418</v>
      </c>
      <c r="E6580" s="6" t="n">
        <f aca="false">Sens!E6559</f>
        <v>27.8095064661409</v>
      </c>
      <c r="F6580" s="6" t="n">
        <f aca="false">Sens!F6559</f>
        <v>55.0640065749585</v>
      </c>
      <c r="G6580" s="6" t="n">
        <f aca="false">Sens!G6559</f>
        <v>89.4505413190538</v>
      </c>
      <c r="H6580" s="6" t="n">
        <f aca="false">Sens!H6559</f>
        <v>124.835630736874</v>
      </c>
      <c r="I6580" s="6" t="n">
        <f aca="false">Sens!I6559</f>
        <v>156.158460265485</v>
      </c>
      <c r="J6580" s="6" t="n">
        <f aca="false">Sens!J6559</f>
        <v>177.99455972577</v>
      </c>
      <c r="K6580" s="6" t="n">
        <f aca="false">Sens!K6559</f>
        <v>191.597101773408</v>
      </c>
    </row>
    <row r="6581" customFormat="false" ht="17.15" hidden="false" customHeight="false" outlineLevel="0" collapsed="false">
      <c r="A6581" s="0" t="s">
        <v>865</v>
      </c>
      <c r="B6581" s="0" t="s">
        <v>98</v>
      </c>
      <c r="D6581" s="6" t="n">
        <f aca="false">Q!L6-Sens!D6580</f>
        <v>59.6740205577583</v>
      </c>
      <c r="E6581" s="6" t="n">
        <f aca="false">Q!M6-Sens!E6580</f>
        <v>74.1284935338591</v>
      </c>
      <c r="F6581" s="6" t="n">
        <f aca="false">Sens!E6581*(1+Sens!F6582)</f>
        <v>90.0799497373663</v>
      </c>
      <c r="G6581" s="6" t="n">
        <f aca="false">Sens!F6581*(1+Sens!G6582)</f>
        <v>107.02842520331</v>
      </c>
      <c r="H6581" s="6" t="n">
        <f aca="false">Sens!G6581*(1+Sens!H6582)</f>
        <v>124.271982585636</v>
      </c>
      <c r="I6581" s="6" t="n">
        <f aca="false">Sens!H6581*(1+Sens!I6582)</f>
        <v>140.933702381855</v>
      </c>
      <c r="J6581" s="6" t="n">
        <f aca="false">Sens!I6581*(1+Sens!J6582)</f>
        <v>156.018867314332</v>
      </c>
      <c r="K6581" s="6" t="n">
        <f aca="false">Sens!J6581*(1+Sens!K6582)</f>
        <v>168.500376699478</v>
      </c>
    </row>
    <row r="6582" customFormat="false" ht="15" hidden="false" customHeight="false" outlineLevel="0" collapsed="false">
      <c r="A6582" s="1" t="s">
        <v>866</v>
      </c>
      <c r="B6582" s="0" t="s">
        <v>129</v>
      </c>
      <c r="E6582" s="7" t="n">
        <f aca="false">Sens!E6581/Sens!D6581-1</f>
        <v>0.242223883039864</v>
      </c>
      <c r="F6582" s="7" t="n">
        <f aca="false">Sens!$E$6582+(glt_azo-Sens!$E$6582)*MIN(1,(Sens!F6542-base_fy)/n_conv)</f>
        <v>0.215186569199887</v>
      </c>
      <c r="G6582" s="7" t="n">
        <f aca="false">Sens!$E$6582+(glt_azo-Sens!$E$6582)*MIN(1,(Sens!G6542-base_fy)/n_conv)</f>
        <v>0.18814925535991</v>
      </c>
      <c r="H6582" s="7" t="n">
        <f aca="false">Sens!$E$6582+(glt_azo-Sens!$E$6582)*MIN(1,(Sens!H6542-base_fy)/n_conv)</f>
        <v>0.161111941519932</v>
      </c>
      <c r="I6582" s="7" t="n">
        <f aca="false">Sens!$E$6582+(glt_azo-Sens!$E$6582)*MIN(1,(Sens!I6542-base_fy)/n_conv)</f>
        <v>0.134074627679955</v>
      </c>
      <c r="J6582" s="7" t="n">
        <f aca="false">Sens!$E$6582+(glt_azo-Sens!$E$6582)*MIN(1,(Sens!J6542-base_fy)/n_conv)</f>
        <v>0.107037313839977</v>
      </c>
      <c r="K6582" s="7" t="n">
        <f aca="false">Sens!$E$6582+(glt_azo-Sens!$E$6582)*MIN(1,(Sens!K6542-base_fy)/n_conv)</f>
        <v>0.08</v>
      </c>
    </row>
    <row r="6583" customFormat="false" ht="15" hidden="false" customHeight="false" outlineLevel="0" collapsed="false">
      <c r="A6583" s="0" t="s">
        <v>867</v>
      </c>
      <c r="B6583" s="0" t="s">
        <v>98</v>
      </c>
      <c r="D6583" s="6" t="n">
        <f aca="false">Sens!D6580+Sens!D6581</f>
        <v>72.61</v>
      </c>
      <c r="E6583" s="6" t="n">
        <f aca="false">Sens!E6580+Sens!E6581</f>
        <v>101.938</v>
      </c>
      <c r="F6583" s="6" t="n">
        <f aca="false">Sens!F6580+Sens!F6581</f>
        <v>145.143956312325</v>
      </c>
      <c r="G6583" s="6" t="n">
        <f aca="false">Sens!G6580+Sens!G6581</f>
        <v>196.478966522364</v>
      </c>
      <c r="H6583" s="6" t="n">
        <f aca="false">Sens!H6580+Sens!H6581</f>
        <v>249.10761332251</v>
      </c>
      <c r="I6583" s="6" t="n">
        <f aca="false">Sens!I6580+Sens!I6581</f>
        <v>297.09216264734</v>
      </c>
      <c r="J6583" s="6" t="n">
        <f aca="false">Sens!J6580+Sens!J6581</f>
        <v>334.013427040101</v>
      </c>
      <c r="K6583" s="6" t="n">
        <f aca="false">Sens!K6580+Sens!K6581</f>
        <v>360.097478472886</v>
      </c>
    </row>
    <row r="6584" customFormat="false" ht="17.15" hidden="false" customHeight="false" outlineLevel="0" collapsed="false">
      <c r="A6584" s="0" t="s">
        <v>868</v>
      </c>
      <c r="B6584" s="1" t="s">
        <v>521</v>
      </c>
      <c r="C6584" s="29" t="n">
        <f aca="false">cop_s24</f>
        <v>1</v>
      </c>
      <c r="D6584" s="29" t="n">
        <f aca="false">cop_s25</f>
        <v>5</v>
      </c>
      <c r="E6584" s="29" t="n">
        <f aca="false">cop_s26</f>
        <v>30</v>
      </c>
      <c r="F6584" s="29" t="n">
        <f aca="false">Sens!E6584+cop_add_B</f>
        <v>50</v>
      </c>
      <c r="G6584" s="29" t="n">
        <f aca="false">Sens!F6584+cop_add_B</f>
        <v>70</v>
      </c>
      <c r="H6584" s="29" t="n">
        <f aca="false">Sens!G6584+cop_add_B</f>
        <v>90</v>
      </c>
      <c r="I6584" s="29" t="n">
        <f aca="false">Sens!H6584+cop_add_B*cop_tail</f>
        <v>100</v>
      </c>
      <c r="J6584" s="29" t="n">
        <f aca="false">Sens!I6584+cop_add_B*cop_tail</f>
        <v>110</v>
      </c>
      <c r="K6584" s="29" t="n">
        <f aca="false">Sens!J6584+cop_add_B*cop_tail</f>
        <v>120</v>
      </c>
      <c r="L6584" s="11" t="s">
        <v>869</v>
      </c>
    </row>
    <row r="6585" customFormat="false" ht="17.15" hidden="false" customHeight="false" outlineLevel="0" collapsed="false">
      <c r="A6585" s="0" t="s">
        <v>870</v>
      </c>
      <c r="B6585" s="0" t="s">
        <v>98</v>
      </c>
      <c r="D6585" s="6" t="n">
        <f aca="false">(Sens!C6584+Sens!D6584)/2*cop_px*12/1000</f>
        <v>0.9</v>
      </c>
      <c r="E6585" s="6" t="n">
        <f aca="false">(Sens!D6584+Sens!E6584)/2*cop_px*12/1000</f>
        <v>5.25</v>
      </c>
      <c r="F6585" s="6" t="n">
        <f aca="false">(Sens!E6584+Sens!F6584)/2*cop_px_lo*12/1000</f>
        <v>8.64</v>
      </c>
      <c r="G6585" s="6" t="n">
        <f aca="false">(Sens!F6584+Sens!G6584)/2*cop_px_lo*12/1000</f>
        <v>12.96</v>
      </c>
      <c r="H6585" s="6" t="n">
        <f aca="false">(Sens!G6584+Sens!H6584)/2*cop_px_lo*12/1000</f>
        <v>17.28</v>
      </c>
      <c r="I6585" s="6" t="n">
        <f aca="false">(Sens!H6584+Sens!I6584)/2*cop_px_lo*12/1000</f>
        <v>20.52</v>
      </c>
      <c r="J6585" s="6" t="n">
        <f aca="false">(Sens!I6584+Sens!J6584)/2*cop_px_lo*12/1000</f>
        <v>22.68</v>
      </c>
      <c r="K6585" s="6" t="n">
        <f aca="false">(Sens!J6584+Sens!K6584)/2*cop_px_lo*12/1000</f>
        <v>24.84</v>
      </c>
      <c r="L6585" s="1" t="s">
        <v>871</v>
      </c>
    </row>
    <row r="6586" customFormat="false" ht="17.15" hidden="false" customHeight="false" outlineLevel="0" collapsed="false">
      <c r="A6586" s="0" t="s">
        <v>872</v>
      </c>
      <c r="B6586" s="0" t="s">
        <v>98</v>
      </c>
      <c r="D6586" s="6" t="n">
        <f aca="false">Q!L7-Sens!D6585</f>
        <v>83.705</v>
      </c>
      <c r="E6586" s="6" t="n">
        <f aca="false">Q!M7-Sens!E6585</f>
        <v>95.049</v>
      </c>
      <c r="F6586" s="6" t="n">
        <f aca="false">Sens!E6586*(1+Sens!F6587)</f>
        <v>106.89238776686</v>
      </c>
      <c r="G6586" s="6" t="n">
        <f aca="false">Sens!F6586*(1+Sens!G6587)</f>
        <v>119.044168448684</v>
      </c>
      <c r="H6586" s="6" t="n">
        <f aca="false">Sens!G6586*(1+Sens!H6587)</f>
        <v>131.277359388781</v>
      </c>
      <c r="I6586" s="6" t="n">
        <f aca="false">Sens!H6586*(1+Sens!I6587)</f>
        <v>143.334028071957</v>
      </c>
      <c r="J6586" s="6" t="n">
        <f aca="false">Sens!I6586*(1+Sens!J6587)</f>
        <v>154.932702785465</v>
      </c>
      <c r="K6586" s="6" t="n">
        <f aca="false">Sens!J6586*(1+Sens!K6587)</f>
        <v>165.777991980448</v>
      </c>
    </row>
    <row r="6587" customFormat="false" ht="15" hidden="false" customHeight="false" outlineLevel="0" collapsed="false">
      <c r="A6587" s="1" t="s">
        <v>866</v>
      </c>
      <c r="B6587" s="0" t="s">
        <v>129</v>
      </c>
      <c r="E6587" s="7" t="n">
        <f aca="false">Sens!E6586/Sens!D6586-1</f>
        <v>0.135523564900544</v>
      </c>
      <c r="F6587" s="7" t="n">
        <f aca="false">Sens!$E$6587+(glt_m365b-Sens!$E$6587)*MIN(1,(Sens!F6542-base_fy)/n_conv)</f>
        <v>0.124602970750453</v>
      </c>
      <c r="G6587" s="7" t="n">
        <f aca="false">Sens!$E$6587+(glt_m365b-Sens!$E$6587)*MIN(1,(Sens!G6542-base_fy)/n_conv)</f>
        <v>0.113682376600363</v>
      </c>
      <c r="H6587" s="7" t="n">
        <f aca="false">Sens!$E$6587+(glt_m365b-Sens!$E$6587)*MIN(1,(Sens!H6542-base_fy)/n_conv)</f>
        <v>0.102761782450272</v>
      </c>
      <c r="I6587" s="7" t="n">
        <f aca="false">Sens!$E$6587+(glt_m365b-Sens!$E$6587)*MIN(1,(Sens!I6542-base_fy)/n_conv)</f>
        <v>0.0918411883001813</v>
      </c>
      <c r="J6587" s="7" t="n">
        <f aca="false">Sens!$E$6587+(glt_m365b-Sens!$E$6587)*MIN(1,(Sens!J6542-base_fy)/n_conv)</f>
        <v>0.0809205941500906</v>
      </c>
      <c r="K6587" s="7" t="n">
        <f aca="false">Sens!$E$6587+(glt_m365b-Sens!$E$6587)*MIN(1,(Sens!K6542-base_fy)/n_conv)</f>
        <v>0.07</v>
      </c>
    </row>
    <row r="6588" customFormat="false" ht="15" hidden="false" customHeight="false" outlineLevel="0" collapsed="false">
      <c r="A6588" s="0" t="s">
        <v>873</v>
      </c>
      <c r="B6588" s="0" t="s">
        <v>98</v>
      </c>
      <c r="D6588" s="6" t="n">
        <f aca="false">Sens!D6586+Sens!D6585</f>
        <v>84.605</v>
      </c>
      <c r="E6588" s="6" t="n">
        <f aca="false">Sens!E6586+Sens!E6585</f>
        <v>100.299</v>
      </c>
      <c r="F6588" s="6" t="n">
        <f aca="false">Sens!F6586+Sens!F6585</f>
        <v>115.53238776686</v>
      </c>
      <c r="G6588" s="6" t="n">
        <f aca="false">Sens!G6586+Sens!G6585</f>
        <v>132.004168448684</v>
      </c>
      <c r="H6588" s="6" t="n">
        <f aca="false">Sens!H6586+Sens!H6585</f>
        <v>148.557359388781</v>
      </c>
      <c r="I6588" s="6" t="n">
        <f aca="false">Sens!I6586+Sens!I6585</f>
        <v>163.854028071957</v>
      </c>
      <c r="J6588" s="6" t="n">
        <f aca="false">Sens!J6586+Sens!J6585</f>
        <v>177.612702785465</v>
      </c>
      <c r="K6588" s="6" t="n">
        <f aca="false">Sens!K6586+Sens!K6585</f>
        <v>190.617991980448</v>
      </c>
    </row>
    <row r="6589" customFormat="false" ht="15" hidden="false" customHeight="false" outlineLevel="0" collapsed="false">
      <c r="A6589" s="0" t="s">
        <v>874</v>
      </c>
      <c r="B6589" s="0" t="s">
        <v>98</v>
      </c>
      <c r="D6589" s="6" t="n">
        <f aca="false">Q!L8</f>
        <v>35.391</v>
      </c>
      <c r="E6589" s="6" t="n">
        <f aca="false">Q!M8</f>
        <v>37.285</v>
      </c>
      <c r="F6589" s="6" t="n">
        <f aca="false">Sens!E6589*(1+Sens!F6590)</f>
        <v>39.0720834331704</v>
      </c>
      <c r="G6589" s="6" t="n">
        <f aca="false">Sens!F6589*(1+Sens!G6590)</f>
        <v>40.726562953769</v>
      </c>
      <c r="H6589" s="6" t="n">
        <f aca="false">Sens!G6589*(1+Sens!H6590)</f>
        <v>42.2235987259198</v>
      </c>
      <c r="I6589" s="6" t="n">
        <f aca="false">Sens!H6589*(1+Sens!I6590)</f>
        <v>43.5397988077414</v>
      </c>
      <c r="J6589" s="6" t="n">
        <f aca="false">Sens!I6589*(1+Sens!J6590)</f>
        <v>44.653811225693</v>
      </c>
      <c r="K6589" s="6" t="n">
        <f aca="false">Sens!J6589*(1+Sens!K6590)</f>
        <v>45.5468874502068</v>
      </c>
    </row>
    <row r="6590" customFormat="false" ht="15" hidden="false" customHeight="false" outlineLevel="0" collapsed="false">
      <c r="A6590" s="1" t="s">
        <v>866</v>
      </c>
      <c r="B6590" s="0" t="s">
        <v>129</v>
      </c>
      <c r="E6590" s="7" t="n">
        <f aca="false">Sens!E6589/Sens!D6589-1</f>
        <v>0.0535164307309768</v>
      </c>
      <c r="F6590" s="7" t="n">
        <f aca="false">Sens!$E$6590+(glt_lic-Sens!$E$6590)*MIN(1,(Sens!F6542-base_fy)/n_conv)</f>
        <v>0.0479303589424807</v>
      </c>
      <c r="G6590" s="7" t="n">
        <f aca="false">Sens!$E$6590+(glt_lic-Sens!$E$6590)*MIN(1,(Sens!G6542-base_fy)/n_conv)</f>
        <v>0.0423442871539845</v>
      </c>
      <c r="H6590" s="7" t="n">
        <f aca="false">Sens!$E$6590+(glt_lic-Sens!$E$6590)*MIN(1,(Sens!H6542-base_fy)/n_conv)</f>
        <v>0.0367582153654884</v>
      </c>
      <c r="I6590" s="7" t="n">
        <f aca="false">Sens!$E$6590+(glt_lic-Sens!$E$6590)*MIN(1,(Sens!I6542-base_fy)/n_conv)</f>
        <v>0.0311721435769923</v>
      </c>
      <c r="J6590" s="7" t="n">
        <f aca="false">Sens!$E$6590+(glt_lic-Sens!$E$6590)*MIN(1,(Sens!J6542-base_fy)/n_conv)</f>
        <v>0.0255860717884961</v>
      </c>
      <c r="K6590" s="7" t="n">
        <f aca="false">Sens!$E$6590+(glt_lic-Sens!$E$6590)*MIN(1,(Sens!K6542-base_fy)/n_conv)</f>
        <v>0.02</v>
      </c>
    </row>
    <row r="6591" customFormat="false" ht="15" hidden="false" customHeight="false" outlineLevel="0" collapsed="false">
      <c r="A6591" s="0" t="s">
        <v>875</v>
      </c>
      <c r="B6591" s="0" t="s">
        <v>98</v>
      </c>
      <c r="D6591" s="6" t="n">
        <f aca="false">Q!L9</f>
        <v>18.417</v>
      </c>
      <c r="E6591" s="6" t="n">
        <f aca="false">Q!M9</f>
        <v>20.345</v>
      </c>
      <c r="F6591" s="6" t="n">
        <f aca="false">Sens!E6591*(1+Sens!F6592)</f>
        <v>22.3572203267814</v>
      </c>
      <c r="G6591" s="6" t="n">
        <f aca="false">Sens!F6591*(1+Sens!G6592)</f>
        <v>24.4392124437232</v>
      </c>
      <c r="H6591" s="6" t="n">
        <f aca="false">Sens!G6591*(1+Sens!H6592)</f>
        <v>26.5738052080665</v>
      </c>
      <c r="I6591" s="6" t="n">
        <f aca="false">Sens!H6591*(1+Sens!I6592)</f>
        <v>28.7412169166967</v>
      </c>
      <c r="J6591" s="6" t="n">
        <f aca="false">Sens!I6591*(1+Sens!J6592)</f>
        <v>30.9192545395413</v>
      </c>
      <c r="K6591" s="6" t="n">
        <f aca="false">Sens!J6591*(1+Sens!K6592)</f>
        <v>33.0836023573092</v>
      </c>
    </row>
    <row r="6592" customFormat="false" ht="15" hidden="false" customHeight="false" outlineLevel="0" collapsed="false">
      <c r="A6592" s="1" t="s">
        <v>866</v>
      </c>
      <c r="B6592" s="0" t="s">
        <v>129</v>
      </c>
      <c r="E6592" s="7" t="n">
        <f aca="false">Sens!E6591/Sens!D6591-1</f>
        <v>0.104685888038225</v>
      </c>
      <c r="F6592" s="7" t="n">
        <f aca="false">Sens!$E$6592+(glt_ind-Sens!$E$6592)*MIN(1,(Sens!F6542-base_fy)/n_conv)</f>
        <v>0.0989049066985211</v>
      </c>
      <c r="G6592" s="7" t="n">
        <f aca="false">Sens!$E$6592+(glt_ind-Sens!$E$6592)*MIN(1,(Sens!G6542-base_fy)/n_conv)</f>
        <v>0.0931239253588169</v>
      </c>
      <c r="H6592" s="7" t="n">
        <f aca="false">Sens!$E$6592+(glt_ind-Sens!$E$6592)*MIN(1,(Sens!H6542-base_fy)/n_conv)</f>
        <v>0.0873429440191127</v>
      </c>
      <c r="I6592" s="7" t="n">
        <f aca="false">Sens!$E$6592+(glt_ind-Sens!$E$6592)*MIN(1,(Sens!I6542-base_fy)/n_conv)</f>
        <v>0.0815619626794085</v>
      </c>
      <c r="J6592" s="7" t="n">
        <f aca="false">Sens!$E$6592+(glt_ind-Sens!$E$6592)*MIN(1,(Sens!J6542-base_fy)/n_conv)</f>
        <v>0.0757809813397042</v>
      </c>
      <c r="K6592" s="7" t="n">
        <f aca="false">Sens!$E$6592+(glt_ind-Sens!$E$6592)*MIN(1,(Sens!K6542-base_fy)/n_conv)</f>
        <v>0.07</v>
      </c>
    </row>
    <row r="6593" customFormat="false" ht="15" hidden="false" customHeight="false" outlineLevel="0" collapsed="false">
      <c r="A6593" s="0" t="s">
        <v>876</v>
      </c>
      <c r="B6593" s="0" t="s">
        <v>98</v>
      </c>
      <c r="D6593" s="6" t="n">
        <f aca="false">Q!L10</f>
        <v>7.76</v>
      </c>
      <c r="E6593" s="6" t="n">
        <f aca="false">Q!M10</f>
        <v>8.26</v>
      </c>
      <c r="F6593" s="6" t="n">
        <f aca="false">Sens!E6593*(1+Sens!F6594)</f>
        <v>8.79988041237113</v>
      </c>
      <c r="G6593" s="6" t="n">
        <f aca="false">Sens!F6593*(1+Sens!G6594)</f>
        <v>9.38321269125306</v>
      </c>
      <c r="H6593" s="6" t="n">
        <f aca="false">Sens!G6593*(1+Sens!H6594)</f>
        <v>10.0139193587476</v>
      </c>
      <c r="I6593" s="6" t="n">
        <f aca="false">Sens!H6593*(1+Sens!I6594)</f>
        <v>10.6963111830911</v>
      </c>
      <c r="J6593" s="6" t="n">
        <f aca="false">Sens!I6593*(1+Sens!J6594)</f>
        <v>11.4351285534696</v>
      </c>
      <c r="K6593" s="6" t="n">
        <f aca="false">Sens!J6593*(1+Sens!K6594)</f>
        <v>12.2355875522124</v>
      </c>
    </row>
    <row r="6594" customFormat="false" ht="15" hidden="false" customHeight="false" outlineLevel="0" collapsed="false">
      <c r="A6594" s="1" t="s">
        <v>866</v>
      </c>
      <c r="B6594" s="0" t="s">
        <v>129</v>
      </c>
      <c r="E6594" s="7" t="n">
        <f aca="false">Sens!E6593/Sens!D6593-1</f>
        <v>0.0644329896907216</v>
      </c>
      <c r="F6594" s="7" t="n">
        <f aca="false">Sens!$E$6594+(glt_fro-Sens!$E$6594)*MIN(1,(Sens!F6542-base_fy)/n_conv)</f>
        <v>0.065360824742268</v>
      </c>
      <c r="G6594" s="7" t="n">
        <f aca="false">Sens!$E$6594+(glt_fro-Sens!$E$6594)*MIN(1,(Sens!G6542-base_fy)/n_conv)</f>
        <v>0.0662886597938144</v>
      </c>
      <c r="H6594" s="7" t="n">
        <f aca="false">Sens!$E$6594+(glt_fro-Sens!$E$6594)*MIN(1,(Sens!H6542-base_fy)/n_conv)</f>
        <v>0.0672164948453608</v>
      </c>
      <c r="I6594" s="7" t="n">
        <f aca="false">Sens!$E$6594+(glt_fro-Sens!$E$6594)*MIN(1,(Sens!I6542-base_fy)/n_conv)</f>
        <v>0.0681443298969072</v>
      </c>
      <c r="J6594" s="7" t="n">
        <f aca="false">Sens!$E$6594+(glt_fro-Sens!$E$6594)*MIN(1,(Sens!J6542-base_fy)/n_conv)</f>
        <v>0.0690721649484536</v>
      </c>
      <c r="K6594" s="7" t="n">
        <f aca="false">Sens!$E$6594+(glt_fro-Sens!$E$6594)*MIN(1,(Sens!K6542-base_fy)/n_conv)</f>
        <v>0.07</v>
      </c>
    </row>
    <row r="6595" customFormat="false" ht="15" hidden="false" customHeight="false" outlineLevel="0" collapsed="false">
      <c r="A6595" s="0" t="s">
        <v>704</v>
      </c>
      <c r="B6595" s="0" t="s">
        <v>98</v>
      </c>
      <c r="D6595" s="6" t="n">
        <f aca="false">Sens!D6583+Sens!D6588+Sens!D6589+Sens!D6591+Sens!D6593</f>
        <v>218.783</v>
      </c>
      <c r="E6595" s="6" t="n">
        <f aca="false">Sens!E6583+Sens!E6588+Sens!E6589+Sens!E6591+Sens!E6593</f>
        <v>268.127</v>
      </c>
      <c r="F6595" s="6" t="n">
        <f aca="false">Sens!F6583+Sens!F6588+Sens!F6589+Sens!F6591+Sens!F6593</f>
        <v>330.905528251508</v>
      </c>
      <c r="G6595" s="6" t="n">
        <f aca="false">Sens!G6583+Sens!G6588+Sens!G6589+Sens!G6591+Sens!G6593</f>
        <v>403.032123059793</v>
      </c>
      <c r="H6595" s="6" t="n">
        <f aca="false">Sens!H6583+Sens!H6588+Sens!H6589+Sens!H6591+Sens!H6593</f>
        <v>476.476296004025</v>
      </c>
      <c r="I6595" s="6" t="n">
        <f aca="false">Sens!I6583+Sens!I6588+Sens!I6589+Sens!I6591+Sens!I6593</f>
        <v>543.923517626826</v>
      </c>
      <c r="J6595" s="6" t="n">
        <f aca="false">Sens!J6583+Sens!J6588+Sens!J6589+Sens!J6591+Sens!J6593</f>
        <v>598.63432414427</v>
      </c>
      <c r="K6595" s="6" t="n">
        <f aca="false">Sens!K6583+Sens!K6588+Sens!K6589+Sens!K6591+Sens!K6593</f>
        <v>641.581547813062</v>
      </c>
    </row>
    <row r="6596" customFormat="false" ht="15" hidden="false" customHeight="false" outlineLevel="0" collapsed="false">
      <c r="A6596" s="0" t="s">
        <v>877</v>
      </c>
      <c r="B6596" s="0" t="s">
        <v>98</v>
      </c>
      <c r="D6596" s="6" t="n">
        <f aca="false">Q!L13</f>
        <v>22.171</v>
      </c>
      <c r="E6596" s="6" t="n">
        <f aca="false">Q!M13</f>
        <v>24.835</v>
      </c>
      <c r="F6596" s="6" t="n">
        <f aca="false">Sens!E6596*(1+Sens!F6597)</f>
        <v>27.6114901218559</v>
      </c>
      <c r="G6596" s="6" t="n">
        <f aca="false">Sens!F6596*(1+Sens!G6597)</f>
        <v>30.4675667338515</v>
      </c>
      <c r="H6596" s="6" t="n">
        <f aca="false">Sens!G6596*(1+Sens!H6597)</f>
        <v>33.3643766955789</v>
      </c>
      <c r="I6596" s="6" t="n">
        <f aca="false">Sens!H6596*(1+Sens!I6597)</f>
        <v>36.2577016533691</v>
      </c>
      <c r="J6596" s="6" t="n">
        <f aca="false">Sens!I6596*(1+Sens!J6597)</f>
        <v>39.0988367952171</v>
      </c>
      <c r="K6596" s="6" t="n">
        <f aca="false">Sens!J6596*(1+Sens!K6597)</f>
        <v>41.8357553708823</v>
      </c>
    </row>
    <row r="6597" customFormat="false" ht="15" hidden="false" customHeight="false" outlineLevel="0" collapsed="false">
      <c r="A6597" s="1" t="s">
        <v>866</v>
      </c>
      <c r="B6597" s="0" t="s">
        <v>129</v>
      </c>
      <c r="E6597" s="7" t="n">
        <f aca="false">Sens!E6596/Sens!D6596-1</f>
        <v>0.120156961796942</v>
      </c>
      <c r="F6597" s="7" t="n">
        <f aca="false">Sens!$E$6597+(glt_srch-Sens!$E$6597)*MIN(1,(Sens!F6542-base_fy)/n_conv)</f>
        <v>0.111797468164118</v>
      </c>
      <c r="G6597" s="7" t="n">
        <f aca="false">Sens!$E$6597+(glt_srch-Sens!$E$6597)*MIN(1,(Sens!G6542-base_fy)/n_conv)</f>
        <v>0.103437974531295</v>
      </c>
      <c r="H6597" s="7" t="n">
        <f aca="false">Sens!$E$6597+(glt_srch-Sens!$E$6597)*MIN(1,(Sens!H6542-base_fy)/n_conv)</f>
        <v>0.095078480898471</v>
      </c>
      <c r="I6597" s="7" t="n">
        <f aca="false">Sens!$E$6597+(glt_srch-Sens!$E$6597)*MIN(1,(Sens!I6542-base_fy)/n_conv)</f>
        <v>0.0867189872656474</v>
      </c>
      <c r="J6597" s="7" t="n">
        <f aca="false">Sens!$E$6597+(glt_srch-Sens!$E$6597)*MIN(1,(Sens!J6542-base_fy)/n_conv)</f>
        <v>0.0783594936328237</v>
      </c>
      <c r="K6597" s="7" t="n">
        <f aca="false">Sens!$E$6597+(glt_srch-Sens!$E$6597)*MIN(1,(Sens!K6542-base_fy)/n_conv)</f>
        <v>0.07</v>
      </c>
    </row>
    <row r="6598" customFormat="false" ht="15" hidden="false" customHeight="false" outlineLevel="0" collapsed="false">
      <c r="A6598" s="0" t="s">
        <v>878</v>
      </c>
      <c r="B6598" s="0" t="s">
        <v>98</v>
      </c>
      <c r="D6598" s="6" t="n">
        <f aca="false">Q!L14</f>
        <v>23.455</v>
      </c>
      <c r="E6598" s="6" t="n">
        <f aca="false">Q!M14</f>
        <v>21.79</v>
      </c>
      <c r="F6598" s="6" t="n">
        <f aca="false">Sens!E6598*(1+Sens!F6599)</f>
        <v>20.5736277908051</v>
      </c>
      <c r="G6598" s="6" t="n">
        <f aca="false">Sens!F6598*(1+Sens!G6599)</f>
        <v>19.7371452817919</v>
      </c>
      <c r="H6598" s="6" t="n">
        <f aca="false">Sens!G6598*(1+Sens!H6599)</f>
        <v>19.2339764043138</v>
      </c>
      <c r="I6598" s="6" t="n">
        <f aca="false">Sens!H6598*(1+Sens!I6599)</f>
        <v>19.0353086852681</v>
      </c>
      <c r="J6598" s="6" t="n">
        <f aca="false">Sens!I6598*(1+Sens!J6599)</f>
        <v>19.1273539319129</v>
      </c>
      <c r="K6598" s="6" t="n">
        <f aca="false">Sens!J6598*(1+Sens!K6599)</f>
        <v>19.5099010105511</v>
      </c>
    </row>
    <row r="6599" customFormat="false" ht="15" hidden="false" customHeight="false" outlineLevel="0" collapsed="false">
      <c r="A6599" s="1" t="s">
        <v>866</v>
      </c>
      <c r="B6599" s="0" t="s">
        <v>129</v>
      </c>
      <c r="E6599" s="7" t="n">
        <f aca="false">Sens!E6598/Sens!D6598-1</f>
        <v>-0.0709869963760392</v>
      </c>
      <c r="F6599" s="7" t="n">
        <f aca="false">Sens!$E$6599+(glt_xbox-Sens!$E$6599)*MIN(1,(Sens!F6542-base_fy)/n_conv)</f>
        <v>-0.0558224969800327</v>
      </c>
      <c r="G6599" s="7" t="n">
        <f aca="false">Sens!$E$6599+(glt_xbox-Sens!$E$6599)*MIN(1,(Sens!G6542-base_fy)/n_conv)</f>
        <v>-0.0406579975840262</v>
      </c>
      <c r="H6599" s="7" t="n">
        <f aca="false">Sens!$E$6599+(glt_xbox-Sens!$E$6599)*MIN(1,(Sens!H6542-base_fy)/n_conv)</f>
        <v>-0.0254934981880196</v>
      </c>
      <c r="I6599" s="7" t="n">
        <f aca="false">Sens!$E$6599+(glt_xbox-Sens!$E$6599)*MIN(1,(Sens!I6542-base_fy)/n_conv)</f>
        <v>-0.0103289987920131</v>
      </c>
      <c r="J6599" s="7" t="n">
        <f aca="false">Sens!$E$6599+(glt_xbox-Sens!$E$6599)*MIN(1,(Sens!J6542-base_fy)/n_conv)</f>
        <v>0.00483550060399347</v>
      </c>
      <c r="K6599" s="7" t="n">
        <f aca="false">Sens!$E$6599+(glt_xbox-Sens!$E$6599)*MIN(1,(Sens!K6542-base_fy)/n_conv)</f>
        <v>0.02</v>
      </c>
    </row>
    <row r="6600" customFormat="false" ht="15" hidden="false" customHeight="false" outlineLevel="0" collapsed="false">
      <c r="A6600" s="0" t="s">
        <v>879</v>
      </c>
      <c r="B6600" s="0" t="s">
        <v>98</v>
      </c>
      <c r="D6600" s="6" t="n">
        <f aca="false">Q!L15</f>
        <v>17.315</v>
      </c>
      <c r="E6600" s="6" t="n">
        <f aca="false">Q!M15</f>
        <v>17.087</v>
      </c>
      <c r="F6600" s="6" t="n">
        <f aca="false">Sens!E6600*(1+Sens!F6601)</f>
        <v>16.9564585436519</v>
      </c>
      <c r="G6600" s="6" t="n">
        <f aca="false">Sens!F6600*(1+Sens!G6601)</f>
        <v>16.9206490624268</v>
      </c>
      <c r="H6600" s="6" t="n">
        <f aca="false">Sens!G6600*(1+Sens!H6601)</f>
        <v>16.9784519149849</v>
      </c>
      <c r="I6600" s="6" t="n">
        <f aca="false">Sens!H6600*(1+Sens!I6601)</f>
        <v>17.1303084701817</v>
      </c>
      <c r="J6600" s="6" t="n">
        <f aca="false">Sens!I6600*(1+Sens!J6601)</f>
        <v>17.3782189407267</v>
      </c>
      <c r="K6600" s="6" t="n">
        <f aca="false">Sens!J6600*(1+Sens!K6601)</f>
        <v>17.7257833195413</v>
      </c>
    </row>
    <row r="6601" customFormat="false" ht="15" hidden="false" customHeight="false" outlineLevel="0" collapsed="false">
      <c r="A6601" s="1" t="s">
        <v>866</v>
      </c>
      <c r="B6601" s="0" t="s">
        <v>129</v>
      </c>
      <c r="E6601" s="7" t="n">
        <f aca="false">Sens!E6600/Sens!D6600-1</f>
        <v>-0.0131677736066995</v>
      </c>
      <c r="F6601" s="7" t="n">
        <f aca="false">Sens!$E$6601+(glt_win-Sens!$E$6601)*MIN(1,(Sens!F6542-base_fy)/n_conv)</f>
        <v>-0.00763981133891627</v>
      </c>
      <c r="G6601" s="7" t="n">
        <f aca="false">Sens!$E$6601+(glt_win-Sens!$E$6601)*MIN(1,(Sens!G6542-base_fy)/n_conv)</f>
        <v>-0.00211184907113301</v>
      </c>
      <c r="H6601" s="7" t="n">
        <f aca="false">Sens!$E$6601+(glt_win-Sens!$E$6601)*MIN(1,(Sens!H6542-base_fy)/n_conv)</f>
        <v>0.00341611319665024</v>
      </c>
      <c r="I6601" s="7" t="n">
        <f aca="false">Sens!$E$6601+(glt_win-Sens!$E$6601)*MIN(1,(Sens!I6542-base_fy)/n_conv)</f>
        <v>0.00894407546443349</v>
      </c>
      <c r="J6601" s="7" t="n">
        <f aca="false">Sens!$E$6601+(glt_win-Sens!$E$6601)*MIN(1,(Sens!J6542-base_fy)/n_conv)</f>
        <v>0.0144720377322168</v>
      </c>
      <c r="K6601" s="7" t="n">
        <f aca="false">Sens!$E$6601+(glt_win-Sens!$E$6601)*MIN(1,(Sens!K6542-base_fy)/n_conv)</f>
        <v>0.02</v>
      </c>
    </row>
    <row r="6602" customFormat="false" ht="15" hidden="false" customHeight="false" outlineLevel="0" collapsed="false">
      <c r="A6602" s="0" t="s">
        <v>718</v>
      </c>
      <c r="B6602" s="0" t="s">
        <v>98</v>
      </c>
      <c r="D6602" s="6" t="n">
        <f aca="false">Sens!D6596+Sens!D6598+Sens!D6600</f>
        <v>62.941</v>
      </c>
      <c r="E6602" s="6" t="n">
        <f aca="false">Sens!E6596+Sens!E6598+Sens!E6600</f>
        <v>63.712</v>
      </c>
      <c r="F6602" s="6" t="n">
        <f aca="false">Sens!F6596+Sens!F6598+Sens!F6600</f>
        <v>65.1415764563129</v>
      </c>
      <c r="G6602" s="6" t="n">
        <f aca="false">Sens!G6596+Sens!G6598+Sens!G6600</f>
        <v>67.1253610780702</v>
      </c>
      <c r="H6602" s="6" t="n">
        <f aca="false">Sens!H6596+Sens!H6598+Sens!H6600</f>
        <v>69.5768050148776</v>
      </c>
      <c r="I6602" s="6" t="n">
        <f aca="false">Sens!I6596+Sens!I6598+Sens!I6600</f>
        <v>72.4233188088189</v>
      </c>
      <c r="J6602" s="6" t="n">
        <f aca="false">Sens!J6596+Sens!J6598+Sens!J6600</f>
        <v>75.6044096678567</v>
      </c>
      <c r="K6602" s="6" t="n">
        <f aca="false">Sens!K6596+Sens!K6598+Sens!K6600</f>
        <v>79.0714397009747</v>
      </c>
    </row>
    <row r="6603" customFormat="false" ht="15" hidden="false" customHeight="false" outlineLevel="0" collapsed="false">
      <c r="A6603" s="1" t="s">
        <v>880</v>
      </c>
      <c r="B6603" s="0" t="s">
        <v>98</v>
      </c>
      <c r="D6603" s="6" t="n">
        <f aca="false">Sens!D6595+Sens!D6602</f>
        <v>281.724</v>
      </c>
      <c r="E6603" s="6" t="n">
        <f aca="false">Sens!E6595+Sens!E6602</f>
        <v>331.839</v>
      </c>
      <c r="F6603" s="6" t="n">
        <f aca="false">Sens!F6595+Sens!F6602</f>
        <v>396.047104707821</v>
      </c>
      <c r="G6603" s="6" t="n">
        <f aca="false">Sens!G6595+Sens!G6602</f>
        <v>470.157484137863</v>
      </c>
      <c r="H6603" s="6" t="n">
        <f aca="false">Sens!H6595+Sens!H6602</f>
        <v>546.053101018903</v>
      </c>
      <c r="I6603" s="6" t="n">
        <f aca="false">Sens!I6595+Sens!I6602</f>
        <v>616.346836435645</v>
      </c>
      <c r="J6603" s="6" t="n">
        <f aca="false">Sens!J6595+Sens!J6602</f>
        <v>674.238733812127</v>
      </c>
      <c r="K6603" s="6" t="n">
        <f aca="false">Sens!K6595+Sens!K6602</f>
        <v>720.652987514037</v>
      </c>
    </row>
    <row r="6604" customFormat="false" ht="15" hidden="false" customHeight="false" outlineLevel="0" collapsed="false">
      <c r="A6604" s="23" t="s">
        <v>881</v>
      </c>
      <c r="B6604" s="30" t="s">
        <v>98</v>
      </c>
      <c r="C6604" s="30"/>
      <c r="D6604" s="24" t="n">
        <f aca="false">(Sens!D6583+Sens!D6588+Sens!D6589+Sens!D6591+Sens!D6593-Sens!D6595)+(Sens!D6596+Sens!D6598+Sens!D6600-Sens!D6602)+(Sens!D6595-Q!L5)+(Sens!D6602-Q!L12)+(Sens!D6583-Q!L6)+(Sens!D6588-Q!L7)</f>
        <v>0</v>
      </c>
      <c r="E6604" s="24" t="n">
        <f aca="false">(Sens!E6583+Sens!E6588+Sens!E6589+Sens!E6591+Sens!E6593-Sens!E6595)+(Sens!E6596+Sens!E6598+Sens!E6600-Sens!E6602)+(Sens!E6595-Q!M5)+(Sens!E6602-Q!M12)+(Sens!E6583-Q!M6)+(Sens!E6588-Q!M7)</f>
        <v>0</v>
      </c>
      <c r="F6604" s="24" t="n">
        <f aca="false">(Sens!F6583+Sens!F6588+Sens!F6589+Sens!F6591+Sens!F6593-Sens!F6595)+(Sens!F6596+Sens!F6598+Sens!F6600-Sens!F6602)</f>
        <v>0</v>
      </c>
      <c r="G6604" s="24" t="n">
        <f aca="false">(Sens!G6583+Sens!G6588+Sens!G6589+Sens!G6591+Sens!G6593-Sens!G6595)+(Sens!G6596+Sens!G6598+Sens!G6600-Sens!G6602)</f>
        <v>0</v>
      </c>
      <c r="H6604" s="24" t="n">
        <f aca="false">(Sens!H6583+Sens!H6588+Sens!H6589+Sens!H6591+Sens!H6593-Sens!H6595)+(Sens!H6596+Sens!H6598+Sens!H6600-Sens!H6602)</f>
        <v>0</v>
      </c>
      <c r="I6604" s="24" t="n">
        <f aca="false">(Sens!I6583+Sens!I6588+Sens!I6589+Sens!I6591+Sens!I6593-Sens!I6595)+(Sens!I6596+Sens!I6598+Sens!I6600-Sens!I6602)</f>
        <v>0</v>
      </c>
      <c r="J6604" s="24" t="n">
        <f aca="false">(Sens!J6583+Sens!J6588+Sens!J6589+Sens!J6591+Sens!J6593-Sens!J6595)+(Sens!J6596+Sens!J6598+Sens!J6600-Sens!J6602)</f>
        <v>0</v>
      </c>
      <c r="K6604" s="24" t="n">
        <f aca="false">(Sens!K6583+Sens!K6588+Sens!K6589+Sens!K6591+Sens!K6593-Sens!K6595)+(Sens!K6596+Sens!K6598+Sens!K6600-Sens!K6602)</f>
        <v>0</v>
      </c>
    </row>
    <row r="6605" customFormat="false" ht="17.15" hidden="false" customHeight="false" outlineLevel="0" collapsed="false">
      <c r="A6605" s="3" t="s">
        <v>1406</v>
      </c>
    </row>
    <row r="6606" customFormat="false" ht="15" hidden="false" customHeight="false" outlineLevel="0" collapsed="false">
      <c r="A6606" s="4" t="s">
        <v>43</v>
      </c>
      <c r="B6606" s="4" t="s">
        <v>65</v>
      </c>
      <c r="C6606" s="20" t="s">
        <v>788</v>
      </c>
      <c r="D6606" s="20" t="s">
        <v>789</v>
      </c>
      <c r="E6606" s="20" t="s">
        <v>790</v>
      </c>
      <c r="F6606" s="20" t="s">
        <v>791</v>
      </c>
      <c r="G6606" s="20" t="s">
        <v>792</v>
      </c>
      <c r="H6606" s="20" t="s">
        <v>793</v>
      </c>
      <c r="I6606" s="20" t="s">
        <v>794</v>
      </c>
      <c r="J6606" s="20" t="s">
        <v>795</v>
      </c>
      <c r="K6606" s="20" t="s">
        <v>796</v>
      </c>
      <c r="L6606" s="4" t="s">
        <v>47</v>
      </c>
    </row>
    <row r="6607" customFormat="false" ht="15" hidden="false" customHeight="false" outlineLevel="0" collapsed="false">
      <c r="A6607" s="0" t="s">
        <v>867</v>
      </c>
      <c r="B6607" s="0" t="s">
        <v>98</v>
      </c>
      <c r="D6607" s="6" t="n">
        <f aca="false">Sens!D6583</f>
        <v>72.61</v>
      </c>
      <c r="E6607" s="6" t="n">
        <f aca="false">Sens!E6583</f>
        <v>101.938</v>
      </c>
      <c r="F6607" s="6" t="n">
        <f aca="false">Sens!F6583</f>
        <v>145.143956312325</v>
      </c>
      <c r="G6607" s="6" t="n">
        <f aca="false">Sens!G6583</f>
        <v>196.478966522364</v>
      </c>
      <c r="H6607" s="6" t="n">
        <f aca="false">Sens!H6583</f>
        <v>249.10761332251</v>
      </c>
      <c r="I6607" s="6" t="n">
        <f aca="false">Sens!I6583</f>
        <v>297.09216264734</v>
      </c>
      <c r="J6607" s="6" t="n">
        <f aca="false">Sens!J6583</f>
        <v>334.013427040101</v>
      </c>
      <c r="K6607" s="6" t="n">
        <f aca="false">Sens!K6583</f>
        <v>360.097478472886</v>
      </c>
    </row>
    <row r="6608" customFormat="false" ht="17.15" hidden="false" customHeight="false" outlineLevel="0" collapsed="false">
      <c r="A6608" s="0" t="s">
        <v>864</v>
      </c>
      <c r="B6608" s="0" t="s">
        <v>98</v>
      </c>
      <c r="D6608" s="6" t="n">
        <f aca="false">Sens!D6580</f>
        <v>12.9359794422418</v>
      </c>
      <c r="E6608" s="6" t="n">
        <f aca="false">Sens!E6580</f>
        <v>27.8095064661409</v>
      </c>
      <c r="F6608" s="6" t="n">
        <f aca="false">Sens!F6580</f>
        <v>55.0640065749585</v>
      </c>
      <c r="G6608" s="6" t="n">
        <f aca="false">Sens!G6580</f>
        <v>89.4505413190538</v>
      </c>
      <c r="H6608" s="6" t="n">
        <f aca="false">Sens!H6580</f>
        <v>124.835630736874</v>
      </c>
      <c r="I6608" s="6" t="n">
        <f aca="false">Sens!I6580</f>
        <v>156.158460265485</v>
      </c>
      <c r="J6608" s="6" t="n">
        <f aca="false">Sens!J6580</f>
        <v>177.99455972577</v>
      </c>
      <c r="K6608" s="6" t="n">
        <f aca="false">Sens!K6580</f>
        <v>191.597101773408</v>
      </c>
    </row>
    <row r="6609" customFormat="false" ht="17.15" hidden="false" customHeight="false" outlineLevel="0" collapsed="false">
      <c r="A6609" s="0" t="s">
        <v>892</v>
      </c>
      <c r="B6609" s="0" t="s">
        <v>98</v>
      </c>
      <c r="D6609" s="6" t="n">
        <f aca="false">Sens!D6581</f>
        <v>59.6740205577583</v>
      </c>
      <c r="E6609" s="6" t="n">
        <f aca="false">Sens!E6581</f>
        <v>74.1284935338591</v>
      </c>
      <c r="F6609" s="6" t="n">
        <f aca="false">Sens!F6581</f>
        <v>90.0799497373663</v>
      </c>
      <c r="G6609" s="6" t="n">
        <f aca="false">Sens!G6581</f>
        <v>107.02842520331</v>
      </c>
      <c r="H6609" s="6" t="n">
        <f aca="false">Sens!H6581</f>
        <v>124.271982585636</v>
      </c>
      <c r="I6609" s="6" t="n">
        <f aca="false">Sens!I6581</f>
        <v>140.933702381855</v>
      </c>
      <c r="J6609" s="6" t="n">
        <f aca="false">Sens!J6581</f>
        <v>156.018867314332</v>
      </c>
      <c r="K6609" s="6" t="n">
        <f aca="false">Sens!K6581</f>
        <v>168.500376699478</v>
      </c>
    </row>
    <row r="6610" customFormat="false" ht="15" hidden="false" customHeight="false" outlineLevel="0" collapsed="false">
      <c r="A6610" s="0" t="s">
        <v>873</v>
      </c>
      <c r="B6610" s="0" t="s">
        <v>98</v>
      </c>
      <c r="D6610" s="6" t="n">
        <f aca="false">Sens!D6588</f>
        <v>84.605</v>
      </c>
      <c r="E6610" s="6" t="n">
        <f aca="false">Sens!E6588</f>
        <v>100.299</v>
      </c>
      <c r="F6610" s="6" t="n">
        <f aca="false">Sens!F6588</f>
        <v>115.53238776686</v>
      </c>
      <c r="G6610" s="6" t="n">
        <f aca="false">Sens!G6588</f>
        <v>132.004168448684</v>
      </c>
      <c r="H6610" s="6" t="n">
        <f aca="false">Sens!H6588</f>
        <v>148.557359388781</v>
      </c>
      <c r="I6610" s="6" t="n">
        <f aca="false">Sens!I6588</f>
        <v>163.854028071957</v>
      </c>
      <c r="J6610" s="6" t="n">
        <f aca="false">Sens!J6588</f>
        <v>177.612702785465</v>
      </c>
      <c r="K6610" s="6" t="n">
        <f aca="false">Sens!K6588</f>
        <v>190.617991980448</v>
      </c>
    </row>
    <row r="6611" customFormat="false" ht="17.15" hidden="false" customHeight="false" outlineLevel="0" collapsed="false">
      <c r="A6611" s="0" t="s">
        <v>893</v>
      </c>
      <c r="B6611" s="0" t="s">
        <v>98</v>
      </c>
      <c r="D6611" s="6" t="n">
        <f aca="false">Sens!D6586</f>
        <v>83.705</v>
      </c>
      <c r="E6611" s="6" t="n">
        <f aca="false">Sens!E6586</f>
        <v>95.049</v>
      </c>
      <c r="F6611" s="6" t="n">
        <f aca="false">Sens!F6586</f>
        <v>106.89238776686</v>
      </c>
      <c r="G6611" s="6" t="n">
        <f aca="false">Sens!G6586</f>
        <v>119.044168448684</v>
      </c>
      <c r="H6611" s="6" t="n">
        <f aca="false">Sens!H6586</f>
        <v>131.277359388781</v>
      </c>
      <c r="I6611" s="6" t="n">
        <f aca="false">Sens!I6586</f>
        <v>143.334028071957</v>
      </c>
      <c r="J6611" s="6" t="n">
        <f aca="false">Sens!J6586</f>
        <v>154.932702785465</v>
      </c>
      <c r="K6611" s="6" t="n">
        <f aca="false">Sens!K6586</f>
        <v>165.777991980448</v>
      </c>
    </row>
    <row r="6612" customFormat="false" ht="17.15" hidden="false" customHeight="false" outlineLevel="0" collapsed="false">
      <c r="A6612" s="0" t="s">
        <v>894</v>
      </c>
      <c r="B6612" s="0" t="s">
        <v>98</v>
      </c>
      <c r="D6612" s="6" t="n">
        <f aca="false">Sens!D6585</f>
        <v>0.9</v>
      </c>
      <c r="E6612" s="6" t="n">
        <f aca="false">Sens!E6585</f>
        <v>5.25</v>
      </c>
      <c r="F6612" s="6" t="n">
        <f aca="false">Sens!F6585</f>
        <v>8.64</v>
      </c>
      <c r="G6612" s="6" t="n">
        <f aca="false">Sens!G6585</f>
        <v>12.96</v>
      </c>
      <c r="H6612" s="6" t="n">
        <f aca="false">Sens!H6585</f>
        <v>17.28</v>
      </c>
      <c r="I6612" s="6" t="n">
        <f aca="false">Sens!I6585</f>
        <v>20.52</v>
      </c>
      <c r="J6612" s="6" t="n">
        <f aca="false">Sens!J6585</f>
        <v>22.68</v>
      </c>
      <c r="K6612" s="6" t="n">
        <f aca="false">Sens!K6585</f>
        <v>24.84</v>
      </c>
    </row>
    <row r="6613" customFormat="false" ht="15" hidden="false" customHeight="false" outlineLevel="0" collapsed="false">
      <c r="A6613" s="0" t="s">
        <v>874</v>
      </c>
      <c r="B6613" s="0" t="s">
        <v>98</v>
      </c>
      <c r="D6613" s="6" t="n">
        <f aca="false">Sens!D6589</f>
        <v>35.391</v>
      </c>
      <c r="E6613" s="6" t="n">
        <f aca="false">Sens!E6589</f>
        <v>37.285</v>
      </c>
      <c r="F6613" s="6" t="n">
        <f aca="false">Sens!F6589</f>
        <v>39.0720834331704</v>
      </c>
      <c r="G6613" s="6" t="n">
        <f aca="false">Sens!G6589</f>
        <v>40.726562953769</v>
      </c>
      <c r="H6613" s="6" t="n">
        <f aca="false">Sens!H6589</f>
        <v>42.2235987259198</v>
      </c>
      <c r="I6613" s="6" t="n">
        <f aca="false">Sens!I6589</f>
        <v>43.5397988077414</v>
      </c>
      <c r="J6613" s="6" t="n">
        <f aca="false">Sens!J6589</f>
        <v>44.653811225693</v>
      </c>
      <c r="K6613" s="6" t="n">
        <f aca="false">Sens!K6589</f>
        <v>45.5468874502068</v>
      </c>
    </row>
    <row r="6614" customFormat="false" ht="15" hidden="false" customHeight="false" outlineLevel="0" collapsed="false">
      <c r="A6614" s="0" t="s">
        <v>875</v>
      </c>
      <c r="B6614" s="0" t="s">
        <v>98</v>
      </c>
      <c r="D6614" s="6" t="n">
        <f aca="false">Sens!D6591</f>
        <v>18.417</v>
      </c>
      <c r="E6614" s="6" t="n">
        <f aca="false">Sens!E6591</f>
        <v>20.345</v>
      </c>
      <c r="F6614" s="6" t="n">
        <f aca="false">Sens!F6591</f>
        <v>22.3572203267814</v>
      </c>
      <c r="G6614" s="6" t="n">
        <f aca="false">Sens!G6591</f>
        <v>24.4392124437232</v>
      </c>
      <c r="H6614" s="6" t="n">
        <f aca="false">Sens!H6591</f>
        <v>26.5738052080665</v>
      </c>
      <c r="I6614" s="6" t="n">
        <f aca="false">Sens!I6591</f>
        <v>28.7412169166967</v>
      </c>
      <c r="J6614" s="6" t="n">
        <f aca="false">Sens!J6591</f>
        <v>30.9192545395413</v>
      </c>
      <c r="K6614" s="6" t="n">
        <f aca="false">Sens!K6591</f>
        <v>33.0836023573092</v>
      </c>
    </row>
    <row r="6615" customFormat="false" ht="15" hidden="false" customHeight="false" outlineLevel="0" collapsed="false">
      <c r="A6615" s="0" t="s">
        <v>876</v>
      </c>
      <c r="B6615" s="0" t="s">
        <v>98</v>
      </c>
      <c r="D6615" s="6" t="n">
        <f aca="false">Sens!D6593</f>
        <v>7.76</v>
      </c>
      <c r="E6615" s="6" t="n">
        <f aca="false">Sens!E6593</f>
        <v>8.26</v>
      </c>
      <c r="F6615" s="6" t="n">
        <f aca="false">Sens!F6593</f>
        <v>8.79988041237113</v>
      </c>
      <c r="G6615" s="6" t="n">
        <f aca="false">Sens!G6593</f>
        <v>9.38321269125306</v>
      </c>
      <c r="H6615" s="6" t="n">
        <f aca="false">Sens!H6593</f>
        <v>10.0139193587476</v>
      </c>
      <c r="I6615" s="6" t="n">
        <f aca="false">Sens!I6593</f>
        <v>10.6963111830911</v>
      </c>
      <c r="J6615" s="6" t="n">
        <f aca="false">Sens!J6593</f>
        <v>11.4351285534696</v>
      </c>
      <c r="K6615" s="6" t="n">
        <f aca="false">Sens!K6593</f>
        <v>12.2355875522124</v>
      </c>
    </row>
    <row r="6616" customFormat="false" ht="15" hidden="false" customHeight="false" outlineLevel="0" collapsed="false">
      <c r="A6616" s="0" t="s">
        <v>704</v>
      </c>
      <c r="B6616" s="0" t="s">
        <v>98</v>
      </c>
      <c r="D6616" s="6" t="n">
        <f aca="false">Sens!D6595</f>
        <v>218.783</v>
      </c>
      <c r="E6616" s="6" t="n">
        <f aca="false">Sens!E6595</f>
        <v>268.127</v>
      </c>
      <c r="F6616" s="6" t="n">
        <f aca="false">Sens!F6595</f>
        <v>330.905528251508</v>
      </c>
      <c r="G6616" s="6" t="n">
        <f aca="false">Sens!G6595</f>
        <v>403.032123059793</v>
      </c>
      <c r="H6616" s="6" t="n">
        <f aca="false">Sens!H6595</f>
        <v>476.476296004025</v>
      </c>
      <c r="I6616" s="6" t="n">
        <f aca="false">Sens!I6595</f>
        <v>543.923517626826</v>
      </c>
      <c r="J6616" s="6" t="n">
        <f aca="false">Sens!J6595</f>
        <v>598.63432414427</v>
      </c>
      <c r="K6616" s="6" t="n">
        <f aca="false">Sens!K6595</f>
        <v>641.581547813062</v>
      </c>
    </row>
    <row r="6617" customFormat="false" ht="15" hidden="false" customHeight="false" outlineLevel="0" collapsed="false">
      <c r="A6617" s="0" t="s">
        <v>877</v>
      </c>
      <c r="B6617" s="0" t="s">
        <v>98</v>
      </c>
      <c r="D6617" s="6" t="n">
        <f aca="false">Sens!D6596</f>
        <v>22.171</v>
      </c>
      <c r="E6617" s="6" t="n">
        <f aca="false">Sens!E6596</f>
        <v>24.835</v>
      </c>
      <c r="F6617" s="6" t="n">
        <f aca="false">Sens!F6596</f>
        <v>27.6114901218559</v>
      </c>
      <c r="G6617" s="6" t="n">
        <f aca="false">Sens!G6596</f>
        <v>30.4675667338515</v>
      </c>
      <c r="H6617" s="6" t="n">
        <f aca="false">Sens!H6596</f>
        <v>33.3643766955789</v>
      </c>
      <c r="I6617" s="6" t="n">
        <f aca="false">Sens!I6596</f>
        <v>36.2577016533691</v>
      </c>
      <c r="J6617" s="6" t="n">
        <f aca="false">Sens!J6596</f>
        <v>39.0988367952171</v>
      </c>
      <c r="K6617" s="6" t="n">
        <f aca="false">Sens!K6596</f>
        <v>41.8357553708823</v>
      </c>
    </row>
    <row r="6618" customFormat="false" ht="15" hidden="false" customHeight="false" outlineLevel="0" collapsed="false">
      <c r="A6618" s="0" t="s">
        <v>878</v>
      </c>
      <c r="B6618" s="0" t="s">
        <v>98</v>
      </c>
      <c r="D6618" s="6" t="n">
        <f aca="false">Sens!D6598</f>
        <v>23.455</v>
      </c>
      <c r="E6618" s="6" t="n">
        <f aca="false">Sens!E6598</f>
        <v>21.79</v>
      </c>
      <c r="F6618" s="6" t="n">
        <f aca="false">Sens!F6598</f>
        <v>20.5736277908051</v>
      </c>
      <c r="G6618" s="6" t="n">
        <f aca="false">Sens!G6598</f>
        <v>19.7371452817919</v>
      </c>
      <c r="H6618" s="6" t="n">
        <f aca="false">Sens!H6598</f>
        <v>19.2339764043138</v>
      </c>
      <c r="I6618" s="6" t="n">
        <f aca="false">Sens!I6598</f>
        <v>19.0353086852681</v>
      </c>
      <c r="J6618" s="6" t="n">
        <f aca="false">Sens!J6598</f>
        <v>19.1273539319129</v>
      </c>
      <c r="K6618" s="6" t="n">
        <f aca="false">Sens!K6598</f>
        <v>19.5099010105511</v>
      </c>
    </row>
    <row r="6619" customFormat="false" ht="15" hidden="false" customHeight="false" outlineLevel="0" collapsed="false">
      <c r="A6619" s="0" t="s">
        <v>879</v>
      </c>
      <c r="B6619" s="0" t="s">
        <v>98</v>
      </c>
      <c r="D6619" s="6" t="n">
        <f aca="false">Sens!D6600</f>
        <v>17.315</v>
      </c>
      <c r="E6619" s="6" t="n">
        <f aca="false">Sens!E6600</f>
        <v>17.087</v>
      </c>
      <c r="F6619" s="6" t="n">
        <f aca="false">Sens!F6600</f>
        <v>16.9564585436519</v>
      </c>
      <c r="G6619" s="6" t="n">
        <f aca="false">Sens!G6600</f>
        <v>16.9206490624268</v>
      </c>
      <c r="H6619" s="6" t="n">
        <f aca="false">Sens!H6600</f>
        <v>16.9784519149849</v>
      </c>
      <c r="I6619" s="6" t="n">
        <f aca="false">Sens!I6600</f>
        <v>17.1303084701817</v>
      </c>
      <c r="J6619" s="6" t="n">
        <f aca="false">Sens!J6600</f>
        <v>17.3782189407267</v>
      </c>
      <c r="K6619" s="6" t="n">
        <f aca="false">Sens!K6600</f>
        <v>17.7257833195413</v>
      </c>
    </row>
    <row r="6620" customFormat="false" ht="15" hidden="false" customHeight="false" outlineLevel="0" collapsed="false">
      <c r="A6620" s="0" t="s">
        <v>718</v>
      </c>
      <c r="B6620" s="0" t="s">
        <v>98</v>
      </c>
      <c r="D6620" s="6" t="n">
        <f aca="false">Sens!D6602</f>
        <v>62.941</v>
      </c>
      <c r="E6620" s="6" t="n">
        <f aca="false">Sens!E6602</f>
        <v>63.712</v>
      </c>
      <c r="F6620" s="6" t="n">
        <f aca="false">Sens!F6602</f>
        <v>65.1415764563129</v>
      </c>
      <c r="G6620" s="6" t="n">
        <f aca="false">Sens!G6602</f>
        <v>67.1253610780702</v>
      </c>
      <c r="H6620" s="6" t="n">
        <f aca="false">Sens!H6602</f>
        <v>69.5768050148776</v>
      </c>
      <c r="I6620" s="6" t="n">
        <f aca="false">Sens!I6602</f>
        <v>72.4233188088189</v>
      </c>
      <c r="J6620" s="6" t="n">
        <f aca="false">Sens!J6602</f>
        <v>75.6044096678567</v>
      </c>
      <c r="K6620" s="6" t="n">
        <f aca="false">Sens!K6602</f>
        <v>79.0714397009747</v>
      </c>
    </row>
    <row r="6621" customFormat="false" ht="15" hidden="false" customHeight="false" outlineLevel="0" collapsed="false">
      <c r="A6621" s="1" t="s">
        <v>895</v>
      </c>
      <c r="B6621" s="0" t="s">
        <v>98</v>
      </c>
      <c r="D6621" s="6" t="n">
        <f aca="false">Sens!D6603</f>
        <v>281.724</v>
      </c>
      <c r="E6621" s="6" t="n">
        <f aca="false">Sens!E6603</f>
        <v>331.839</v>
      </c>
      <c r="F6621" s="6" t="n">
        <f aca="false">Sens!F6603</f>
        <v>396.047104707821</v>
      </c>
      <c r="G6621" s="6" t="n">
        <f aca="false">Sens!G6603</f>
        <v>470.157484137863</v>
      </c>
      <c r="H6621" s="6" t="n">
        <f aca="false">Sens!H6603</f>
        <v>546.053101018903</v>
      </c>
      <c r="I6621" s="6" t="n">
        <f aca="false">Sens!I6603</f>
        <v>616.346836435645</v>
      </c>
      <c r="J6621" s="6" t="n">
        <f aca="false">Sens!J6603</f>
        <v>674.238733812127</v>
      </c>
      <c r="K6621" s="6" t="n">
        <f aca="false">Sens!K6603</f>
        <v>720.652987514037</v>
      </c>
    </row>
    <row r="6622" customFormat="false" ht="15" hidden="false" customHeight="false" outlineLevel="0" collapsed="false">
      <c r="A6622" s="1" t="s">
        <v>896</v>
      </c>
      <c r="B6622" s="0" t="s">
        <v>129</v>
      </c>
      <c r="E6622" s="7" t="n">
        <f aca="false">Sens!E6621/Sens!D6621-1</f>
        <v>0.177886867998467</v>
      </c>
      <c r="F6622" s="7" t="n">
        <f aca="false">Sens!F6621/Sens!E6621-1</f>
        <v>0.193491737583046</v>
      </c>
      <c r="G6622" s="7" t="n">
        <f aca="false">Sens!G6621/Sens!F6621-1</f>
        <v>0.187125164024912</v>
      </c>
      <c r="H6622" s="7" t="n">
        <f aca="false">Sens!H6621/Sens!G6621-1</f>
        <v>0.161425946500056</v>
      </c>
      <c r="I6622" s="7" t="n">
        <f aca="false">Sens!I6621/Sens!H6621-1</f>
        <v>0.128730585515544</v>
      </c>
      <c r="J6622" s="7" t="n">
        <f aca="false">Sens!J6621/Sens!I6621-1</f>
        <v>0.0939274673839055</v>
      </c>
      <c r="K6622" s="7" t="n">
        <f aca="false">Sens!K6621/Sens!J6621-1</f>
        <v>0.0688394946393613</v>
      </c>
    </row>
    <row r="6623" customFormat="false" ht="17.15" hidden="false" customHeight="false" outlineLevel="0" collapsed="false">
      <c r="A6623" s="23" t="s">
        <v>897</v>
      </c>
      <c r="B6623" s="30" t="s">
        <v>98</v>
      </c>
      <c r="C6623" s="30"/>
      <c r="D6623" s="24" t="n">
        <f aca="false">(Sens!D6616+Sens!D6620-Sens!D6621)+(Sens!D6608+Sens!D6609-Sens!D6607)+(Sens!D6611+Sens!D6612-Sens!D6610)+(Sens!D6621-Q!L18)</f>
        <v>0</v>
      </c>
      <c r="E6623" s="24" t="n">
        <f aca="false">(Sens!E6616+Sens!E6620-Sens!E6621)+(Sens!E6608+Sens!E6609-Sens!E6607)+(Sens!E6611+Sens!E6612-Sens!E6610)+(Sens!E6621-Q!M18)</f>
        <v>0</v>
      </c>
      <c r="F6623" s="24" t="n">
        <f aca="false">(Sens!F6616+Sens!F6620-Sens!F6621)+(Sens!F6608+Sens!F6609-Sens!F6607)+(Sens!F6611+Sens!F6612-Sens!F6610)</f>
        <v>0</v>
      </c>
      <c r="G6623" s="24" t="n">
        <f aca="false">(Sens!G6616+Sens!G6620-Sens!G6621)+(Sens!G6608+Sens!G6609-Sens!G6607)+(Sens!G6611+Sens!G6612-Sens!G6610)</f>
        <v>0</v>
      </c>
      <c r="H6623" s="24" t="n">
        <f aca="false">(Sens!H6616+Sens!H6620-Sens!H6621)+(Sens!H6608+Sens!H6609-Sens!H6607)+(Sens!H6611+Sens!H6612-Sens!H6610)</f>
        <v>0</v>
      </c>
      <c r="I6623" s="24" t="n">
        <f aca="false">(Sens!I6616+Sens!I6620-Sens!I6621)+(Sens!I6608+Sens!I6609-Sens!I6607)+(Sens!I6611+Sens!I6612-Sens!I6610)</f>
        <v>0</v>
      </c>
      <c r="J6623" s="24" t="n">
        <f aca="false">(Sens!J6616+Sens!J6620-Sens!J6621)+(Sens!J6608+Sens!J6609-Sens!J6607)+(Sens!J6611+Sens!J6612-Sens!J6610)</f>
        <v>0</v>
      </c>
      <c r="K6623" s="24" t="n">
        <f aca="false">(Sens!K6616+Sens!K6620-Sens!K6621)+(Sens!K6608+Sens!K6609-Sens!K6607)+(Sens!K6611+Sens!K6612-Sens!K6610)</f>
        <v>0</v>
      </c>
    </row>
    <row r="6624" customFormat="false" ht="17.15" hidden="false" customHeight="false" outlineLevel="0" collapsed="false">
      <c r="A6624" s="0" t="s">
        <v>898</v>
      </c>
      <c r="B6624" s="0" t="s">
        <v>129</v>
      </c>
      <c r="E6624" s="7" t="n">
        <f aca="false">(Q!M21+Sens!E6561+Sens!E6562+Sens!E6563+Sens!E6576-Sens!E6559)/(Q!M5-Sens!E6559)</f>
        <v>0.570957350878296</v>
      </c>
      <c r="F6624" s="7" t="n">
        <f aca="false">Sens!$E$6624+dm_seg</f>
        <v>0.570957350878296</v>
      </c>
      <c r="G6624" s="7" t="n">
        <f aca="false">Sens!$E$6624+dm_seg</f>
        <v>0.570957350878296</v>
      </c>
      <c r="H6624" s="7" t="n">
        <f aca="false">Sens!$E$6624+dm_seg</f>
        <v>0.570957350878296</v>
      </c>
      <c r="I6624" s="7" t="n">
        <f aca="false">Sens!$E$6624+dm_seg</f>
        <v>0.570957350878296</v>
      </c>
      <c r="J6624" s="7" t="n">
        <f aca="false">Sens!$E$6624+dm_seg</f>
        <v>0.570957350878296</v>
      </c>
      <c r="K6624" s="7" t="n">
        <f aca="false">Sens!$E$6624+dm_seg</f>
        <v>0.570957350878296</v>
      </c>
      <c r="L6624" s="11" t="s">
        <v>899</v>
      </c>
    </row>
    <row r="6625" customFormat="false" ht="17.15" hidden="false" customHeight="false" outlineLevel="0" collapsed="false">
      <c r="A6625" s="0" t="s">
        <v>732</v>
      </c>
      <c r="B6625" s="0" t="s">
        <v>98</v>
      </c>
      <c r="D6625" s="6" t="n">
        <f aca="false">Q!L21</f>
        <v>110.814</v>
      </c>
      <c r="E6625" s="6" t="n">
        <f aca="false">Q!M21</f>
        <v>136.365</v>
      </c>
      <c r="F6625" s="6" t="n">
        <f aca="false">Sens!F6624*(Sens!F6595-Sens!F6559)+Sens!F6559-(Sens!F6561+Sens!F6562+Sens!F6563)-Sens!F6576</f>
        <v>155.651719221495</v>
      </c>
      <c r="G6625" s="6" t="n">
        <f aca="false">Sens!G6624*(Sens!G6595-Sens!G6559)+Sens!G6559-(Sens!G6561+Sens!G6562+Sens!G6563)-Sens!G6576</f>
        <v>174.24709931822</v>
      </c>
      <c r="H6625" s="6" t="n">
        <f aca="false">Sens!H6624*(Sens!H6595-Sens!H6559)+Sens!H6559-(Sens!H6561+Sens!H6562+Sens!H6563)-Sens!H6576</f>
        <v>192.929721190724</v>
      </c>
      <c r="I6625" s="6" t="n">
        <f aca="false">Sens!I6624*(Sens!I6595-Sens!I6559)+Sens!I6559-(Sens!I6561+Sens!I6562+Sens!I6563)-Sens!I6576</f>
        <v>210.933508117971</v>
      </c>
      <c r="J6625" s="6" t="n">
        <f aca="false">Sens!J6624*(Sens!J6595-Sens!J6559)+Sens!J6559-(Sens!J6561+Sens!J6562+Sens!J6563)-Sens!J6576</f>
        <v>227.806725692025</v>
      </c>
      <c r="K6625" s="6" t="n">
        <f aca="false">Sens!K6624*(Sens!K6595-Sens!K6559)+Sens!K6559-(Sens!K6561+Sens!K6562+Sens!K6563)-Sens!K6576</f>
        <v>244.19216862449</v>
      </c>
      <c r="L6625" s="1" t="s">
        <v>900</v>
      </c>
    </row>
    <row r="6626" customFormat="false" ht="17.15" hidden="false" customHeight="false" outlineLevel="0" collapsed="false">
      <c r="A6626" s="0" t="s">
        <v>901</v>
      </c>
      <c r="B6626" s="0" t="s">
        <v>129</v>
      </c>
      <c r="E6626" s="7" t="n">
        <f aca="false">Q!M22/Q!M12</f>
        <v>0.296207935710698</v>
      </c>
      <c r="F6626" s="7" t="n">
        <f aca="false">Sens!$E$6626+dm_seg</f>
        <v>0.296207935710698</v>
      </c>
      <c r="G6626" s="7" t="n">
        <f aca="false">Sens!$E$6626+dm_seg</f>
        <v>0.296207935710698</v>
      </c>
      <c r="H6626" s="7" t="n">
        <f aca="false">Sens!$E$6626+dm_seg</f>
        <v>0.296207935710698</v>
      </c>
      <c r="I6626" s="7" t="n">
        <f aca="false">Sens!$E$6626+dm_seg</f>
        <v>0.296207935710698</v>
      </c>
      <c r="J6626" s="7" t="n">
        <f aca="false">Sens!$E$6626+dm_seg</f>
        <v>0.296207935710698</v>
      </c>
      <c r="K6626" s="7" t="n">
        <f aca="false">Sens!$E$6626+dm_seg</f>
        <v>0.296207935710698</v>
      </c>
      <c r="L6626" s="11" t="s">
        <v>902</v>
      </c>
    </row>
    <row r="6627" customFormat="false" ht="17.15" hidden="false" customHeight="false" outlineLevel="0" collapsed="false">
      <c r="A6627" s="0" t="s">
        <v>734</v>
      </c>
      <c r="B6627" s="0" t="s">
        <v>98</v>
      </c>
      <c r="D6627" s="6" t="n">
        <f aca="false">Q!L22</f>
        <v>17.714</v>
      </c>
      <c r="E6627" s="6" t="n">
        <f aca="false">Q!M22</f>
        <v>18.872</v>
      </c>
      <c r="F6627" s="6" t="n">
        <f aca="false">Sens!F6602*Sens!F6626</f>
        <v>19.2954518910651</v>
      </c>
      <c r="G6627" s="6" t="n">
        <f aca="false">Sens!G6602*Sens!G6626</f>
        <v>19.8830646387704</v>
      </c>
      <c r="H6627" s="6" t="n">
        <f aca="false">Sens!H6602*Sens!H6626</f>
        <v>20.6092017868026</v>
      </c>
      <c r="I6627" s="6" t="n">
        <f aca="false">Sens!I6602*Sens!I6626</f>
        <v>21.452361761678</v>
      </c>
      <c r="J6627" s="6" t="n">
        <f aca="false">Sens!J6602*Sens!J6626</f>
        <v>22.3946261183418</v>
      </c>
      <c r="K6627" s="6" t="n">
        <f aca="false">Sens!K6602*Sens!K6626</f>
        <v>23.4215879274986</v>
      </c>
    </row>
    <row r="6628" customFormat="false" ht="15" hidden="false" customHeight="false" outlineLevel="0" collapsed="false">
      <c r="A6628" s="1" t="s">
        <v>903</v>
      </c>
      <c r="B6628" s="0" t="s">
        <v>98</v>
      </c>
      <c r="D6628" s="6" t="n">
        <f aca="false">Sens!D6625+Sens!D6627</f>
        <v>128.528</v>
      </c>
      <c r="E6628" s="6" t="n">
        <f aca="false">Sens!E6625+Sens!E6627</f>
        <v>155.237</v>
      </c>
      <c r="F6628" s="6" t="n">
        <f aca="false">Sens!F6625+Sens!F6627</f>
        <v>174.94717111256</v>
      </c>
      <c r="G6628" s="6" t="n">
        <f aca="false">Sens!G6625+Sens!G6627</f>
        <v>194.13016395699</v>
      </c>
      <c r="H6628" s="6" t="n">
        <f aca="false">Sens!H6625+Sens!H6627</f>
        <v>213.538922977526</v>
      </c>
      <c r="I6628" s="6" t="n">
        <f aca="false">Sens!I6625+Sens!I6627</f>
        <v>232.385869879649</v>
      </c>
      <c r="J6628" s="6" t="n">
        <f aca="false">Sens!J6625+Sens!J6627</f>
        <v>250.201351810367</v>
      </c>
      <c r="K6628" s="6" t="n">
        <f aca="false">Sens!K6625+Sens!K6627</f>
        <v>267.613756551988</v>
      </c>
    </row>
    <row r="6629" customFormat="false" ht="15" hidden="false" customHeight="false" outlineLevel="0" collapsed="false">
      <c r="A6629" s="23" t="s">
        <v>904</v>
      </c>
      <c r="B6629" s="30" t="s">
        <v>98</v>
      </c>
      <c r="C6629" s="30"/>
      <c r="D6629" s="24" t="n">
        <f aca="false">Sens!D6628-Q!L23</f>
        <v>0</v>
      </c>
      <c r="E6629" s="24" t="n">
        <f aca="false">Sens!E6628-Q!M23</f>
        <v>0</v>
      </c>
      <c r="F6629" s="30"/>
      <c r="G6629" s="30"/>
      <c r="H6629" s="30"/>
      <c r="I6629" s="30"/>
      <c r="J6629" s="30"/>
      <c r="K6629" s="30"/>
    </row>
    <row r="6630" customFormat="false" ht="15" hidden="false" customHeight="false" outlineLevel="0" collapsed="false">
      <c r="A6630" s="1" t="s">
        <v>905</v>
      </c>
      <c r="B6630" s="0" t="s">
        <v>129</v>
      </c>
      <c r="D6630" s="7" t="n">
        <f aca="false">Sens!D6628/Sens!D6621</f>
        <v>0.456219562408598</v>
      </c>
      <c r="E6630" s="7" t="n">
        <f aca="false">Sens!E6628/Sens!E6621</f>
        <v>0.467808184089272</v>
      </c>
      <c r="F6630" s="7" t="n">
        <f aca="false">Sens!F6628/Sens!F6621</f>
        <v>0.441733240902305</v>
      </c>
      <c r="G6630" s="7" t="n">
        <f aca="false">Sens!G6628/Sens!G6621</f>
        <v>0.412904549021421</v>
      </c>
      <c r="H6630" s="7" t="n">
        <f aca="false">Sens!H6628/Sens!H6621</f>
        <v>0.391058896248507</v>
      </c>
      <c r="I6630" s="7" t="n">
        <f aca="false">Sens!I6628/Sens!I6621</f>
        <v>0.377037499248872</v>
      </c>
      <c r="J6630" s="7" t="n">
        <f aca="false">Sens!J6628/Sens!J6621</f>
        <v>0.371087182125737</v>
      </c>
      <c r="K6630" s="7" t="n">
        <f aca="false">Sens!K6628/Sens!K6621</f>
        <v>0.371348986528382</v>
      </c>
    </row>
    <row r="6631" customFormat="false" ht="17.15" hidden="false" customHeight="false" outlineLevel="0" collapsed="false">
      <c r="A6631" s="1" t="s">
        <v>906</v>
      </c>
      <c r="B6631" s="0" t="s">
        <v>98</v>
      </c>
      <c r="F6631" s="6" t="n">
        <f aca="false">Sens!F6646</f>
        <v>21.8542351650082</v>
      </c>
      <c r="G6631" s="6" t="n">
        <f aca="false">Sens!G6646</f>
        <v>38.013574492339</v>
      </c>
      <c r="H6631" s="6" t="n">
        <f aca="false">Sens!H6646</f>
        <v>55.5253699126201</v>
      </c>
      <c r="I6631" s="6" t="n">
        <f aca="false">Sens!I6646</f>
        <v>71.3755829036984</v>
      </c>
      <c r="J6631" s="6" t="n">
        <f aca="false">Sens!J6646</f>
        <v>82.4687278577044</v>
      </c>
      <c r="K6631" s="6" t="n">
        <f aca="false">Sens!K6646</f>
        <v>88.8404118996138</v>
      </c>
      <c r="L6631" s="1" t="s">
        <v>907</v>
      </c>
    </row>
    <row r="6632" customFormat="false" ht="17.15" hidden="false" customHeight="false" outlineLevel="0" collapsed="false">
      <c r="A6632" s="1" t="s">
        <v>908</v>
      </c>
      <c r="B6632" s="0" t="s">
        <v>98</v>
      </c>
      <c r="D6632" s="6" t="n">
        <f aca="false">Sens!D6628</f>
        <v>128.528</v>
      </c>
      <c r="E6632" s="6" t="n">
        <f aca="false">Sens!E6628</f>
        <v>155.237</v>
      </c>
      <c r="F6632" s="6" t="n">
        <f aca="false">Sens!F6628+Sens!F6631</f>
        <v>196.801406277568</v>
      </c>
      <c r="G6632" s="6" t="n">
        <f aca="false">Sens!G6628+Sens!G6631</f>
        <v>232.143738449329</v>
      </c>
      <c r="H6632" s="6" t="n">
        <f aca="false">Sens!H6628+Sens!H6631</f>
        <v>269.064292890146</v>
      </c>
      <c r="I6632" s="6" t="n">
        <f aca="false">Sens!I6628+Sens!I6631</f>
        <v>303.761452783348</v>
      </c>
      <c r="J6632" s="6" t="n">
        <f aca="false">Sens!J6628+Sens!J6631</f>
        <v>332.670079668071</v>
      </c>
      <c r="K6632" s="6" t="n">
        <f aca="false">Sens!K6628+Sens!K6631</f>
        <v>356.454168451602</v>
      </c>
    </row>
    <row r="6633" customFormat="false" ht="17.15" hidden="false" customHeight="false" outlineLevel="0" collapsed="false">
      <c r="A6633" s="1" t="s">
        <v>909</v>
      </c>
      <c r="B6633" s="0" t="s">
        <v>98</v>
      </c>
      <c r="E6633" s="6" t="n">
        <f aca="false">Sens!E6576</f>
        <v>16.3054059770833</v>
      </c>
      <c r="F6633" s="6" t="n">
        <f aca="false">Sens!F6576</f>
        <v>34.7685354558698</v>
      </c>
      <c r="G6633" s="6" t="n">
        <f aca="false">Sens!G6576</f>
        <v>60.5627332603396</v>
      </c>
      <c r="H6633" s="6" t="n">
        <f aca="false">Sens!H6576</f>
        <v>87.7983159931396</v>
      </c>
      <c r="I6633" s="6" t="n">
        <f aca="false">Sens!I6576</f>
        <v>112.043039982221</v>
      </c>
      <c r="J6633" s="6" t="n">
        <f aca="false">Sens!J6576</f>
        <v>129.239710922666</v>
      </c>
      <c r="K6633" s="6" t="n">
        <f aca="false">Sens!K6576</f>
        <v>139.703646804474</v>
      </c>
    </row>
    <row r="6634" customFormat="false" ht="17.15" hidden="false" customHeight="false" outlineLevel="0" collapsed="false">
      <c r="A6634" s="1" t="s">
        <v>910</v>
      </c>
      <c r="B6634" s="0" t="s">
        <v>98</v>
      </c>
      <c r="E6634" s="6" t="n">
        <f aca="false">Sens!E6658</f>
        <v>22.2285940229167</v>
      </c>
      <c r="F6634" s="6" t="n">
        <f aca="false">Sens!F6658</f>
        <v>23.5300693435813</v>
      </c>
      <c r="G6634" s="6" t="n">
        <f aca="false">Sens!G6658</f>
        <v>25.241951766262</v>
      </c>
      <c r="H6634" s="6" t="n">
        <f aca="false">Sens!H6658</f>
        <v>27.3317079540448</v>
      </c>
      <c r="I6634" s="6" t="n">
        <f aca="false">Sens!I6658</f>
        <v>29.7385771898047</v>
      </c>
      <c r="J6634" s="6" t="n">
        <f aca="false">Sens!J6658</f>
        <v>32.3846107958616</v>
      </c>
      <c r="K6634" s="6" t="n">
        <f aca="false">Sens!K6658</f>
        <v>35.1864199904749</v>
      </c>
    </row>
    <row r="6635" customFormat="false" ht="17.15" hidden="false" customHeight="false" outlineLevel="0" collapsed="false">
      <c r="A6635" s="1" t="s">
        <v>911</v>
      </c>
      <c r="B6635" s="0" t="s">
        <v>98</v>
      </c>
      <c r="D6635" s="6" t="n">
        <f aca="false">Q!L27</f>
        <v>-4.901</v>
      </c>
      <c r="E6635" s="6" t="n">
        <f aca="false">Q!M27</f>
        <v>10.697</v>
      </c>
      <c r="F6635" s="6" t="n">
        <f aca="false">oie_f</f>
        <v>-0.4</v>
      </c>
      <c r="G6635" s="6" t="n">
        <f aca="false">oie_f</f>
        <v>-0.4</v>
      </c>
      <c r="H6635" s="6" t="n">
        <f aca="false">oie_f</f>
        <v>-0.4</v>
      </c>
      <c r="I6635" s="6" t="n">
        <f aca="false">oie_f</f>
        <v>-0.4</v>
      </c>
      <c r="J6635" s="6" t="n">
        <f aca="false">oie_f</f>
        <v>-0.4</v>
      </c>
      <c r="K6635" s="6" t="n">
        <f aca="false">oie_f</f>
        <v>-0.4</v>
      </c>
      <c r="L6635" s="11" t="s">
        <v>912</v>
      </c>
    </row>
    <row r="6636" customFormat="false" ht="15" hidden="false" customHeight="false" outlineLevel="0" collapsed="false">
      <c r="A6636" s="1" t="s">
        <v>913</v>
      </c>
      <c r="B6636" s="0" t="s">
        <v>98</v>
      </c>
      <c r="D6636" s="6" t="n">
        <f aca="false">Sens!D6628+Sens!D6635</f>
        <v>123.627</v>
      </c>
      <c r="E6636" s="6" t="n">
        <f aca="false">Sens!E6628+Sens!E6635</f>
        <v>165.934</v>
      </c>
      <c r="F6636" s="6" t="n">
        <f aca="false">Sens!F6628+Sens!F6635</f>
        <v>174.54717111256</v>
      </c>
      <c r="G6636" s="6" t="n">
        <f aca="false">Sens!G6628+Sens!G6635</f>
        <v>193.73016395699</v>
      </c>
      <c r="H6636" s="6" t="n">
        <f aca="false">Sens!H6628+Sens!H6635</f>
        <v>213.138922977526</v>
      </c>
      <c r="I6636" s="6" t="n">
        <f aca="false">Sens!I6628+Sens!I6635</f>
        <v>231.985869879649</v>
      </c>
      <c r="J6636" s="6" t="n">
        <f aca="false">Sens!J6628+Sens!J6635</f>
        <v>249.801351810367</v>
      </c>
      <c r="K6636" s="6" t="n">
        <f aca="false">Sens!K6628+Sens!K6635</f>
        <v>267.213756551988</v>
      </c>
    </row>
    <row r="6637" customFormat="false" ht="15" hidden="false" customHeight="false" outlineLevel="0" collapsed="false">
      <c r="A6637" s="1" t="s">
        <v>914</v>
      </c>
      <c r="B6637" s="0" t="s">
        <v>98</v>
      </c>
      <c r="D6637" s="6" t="n">
        <f aca="false">Q!L29</f>
        <v>21.795</v>
      </c>
      <c r="E6637" s="6" t="n">
        <f aca="false">Q!M29</f>
        <v>32.185</v>
      </c>
      <c r="F6637" s="6" t="n">
        <f aca="false">Sens!F6636*tax_f</f>
        <v>34.909434222512</v>
      </c>
      <c r="G6637" s="6" t="n">
        <f aca="false">Sens!G6636*tax_f</f>
        <v>38.746032791398</v>
      </c>
      <c r="H6637" s="6" t="n">
        <f aca="false">Sens!H6636*tax_f</f>
        <v>42.6277845955053</v>
      </c>
      <c r="I6637" s="6" t="n">
        <f aca="false">Sens!I6636*tax_f</f>
        <v>46.3971739759298</v>
      </c>
      <c r="J6637" s="6" t="n">
        <f aca="false">Sens!J6636*tax_f</f>
        <v>49.9602703620734</v>
      </c>
      <c r="K6637" s="6" t="n">
        <f aca="false">Sens!K6636*tax_f</f>
        <v>53.4427513103977</v>
      </c>
    </row>
    <row r="6638" customFormat="false" ht="15" hidden="false" customHeight="false" outlineLevel="0" collapsed="false">
      <c r="A6638" s="1" t="s">
        <v>915</v>
      </c>
      <c r="B6638" s="0" t="s">
        <v>98</v>
      </c>
      <c r="D6638" s="6" t="n">
        <f aca="false">Sens!D6636-Sens!D6637</f>
        <v>101.832</v>
      </c>
      <c r="E6638" s="6" t="n">
        <f aca="false">Sens!E6636-Sens!E6637</f>
        <v>133.749</v>
      </c>
      <c r="F6638" s="6" t="n">
        <f aca="false">Sens!F6636-Sens!F6637</f>
        <v>139.637736890048</v>
      </c>
      <c r="G6638" s="6" t="n">
        <f aca="false">Sens!G6636-Sens!G6637</f>
        <v>154.984131165592</v>
      </c>
      <c r="H6638" s="6" t="n">
        <f aca="false">Sens!H6636-Sens!H6637</f>
        <v>170.511138382021</v>
      </c>
      <c r="I6638" s="6" t="n">
        <f aca="false">Sens!I6636-Sens!I6637</f>
        <v>185.588695903719</v>
      </c>
      <c r="J6638" s="6" t="n">
        <f aca="false">Sens!J6636-Sens!J6637</f>
        <v>199.841081448293</v>
      </c>
      <c r="K6638" s="6" t="n">
        <f aca="false">Sens!K6636-Sens!K6637</f>
        <v>213.771005241591</v>
      </c>
    </row>
    <row r="6639" customFormat="false" ht="17.15" hidden="false" customHeight="false" outlineLevel="0" collapsed="false">
      <c r="A6639" s="1" t="s">
        <v>916</v>
      </c>
      <c r="B6639" s="1" t="s">
        <v>81</v>
      </c>
      <c r="D6639" s="14" t="n">
        <f aca="false">Q!L31</f>
        <v>7.465</v>
      </c>
      <c r="E6639" s="14" t="n">
        <f aca="false">Q!M31</f>
        <v>7.453</v>
      </c>
      <c r="F6639" s="14" t="n">
        <f aca="false">Sens!F6680</f>
        <v>7.4735</v>
      </c>
      <c r="G6639" s="14" t="n">
        <f aca="false">Sens!G6680</f>
        <v>7.5185</v>
      </c>
      <c r="H6639" s="14" t="n">
        <f aca="false">Sens!H6680</f>
        <v>7.54625158584995</v>
      </c>
      <c r="I6639" s="14" t="n">
        <f aca="false">Sens!I6680</f>
        <v>7.55803241785726</v>
      </c>
      <c r="J6639" s="14" t="n">
        <f aca="false">Sens!J6680</f>
        <v>7.57227392897515</v>
      </c>
      <c r="K6639" s="14" t="n">
        <f aca="false">Sens!K6680</f>
        <v>7.58879384667689</v>
      </c>
    </row>
    <row r="6640" customFormat="false" ht="17.15" hidden="false" customHeight="false" outlineLevel="0" collapsed="false">
      <c r="A6640" s="0" t="s">
        <v>917</v>
      </c>
      <c r="B6640" s="0" t="s">
        <v>75</v>
      </c>
      <c r="D6640" s="8" t="n">
        <f aca="false">Sens!D6638/Sens!D6639</f>
        <v>13.641259209645</v>
      </c>
      <c r="E6640" s="8" t="n">
        <f aca="false">Sens!E6638/Sens!E6639</f>
        <v>17.9456594659869</v>
      </c>
      <c r="F6640" s="8" t="n">
        <f aca="false">Sens!F6638/Sens!F6639</f>
        <v>18.6843830721948</v>
      </c>
      <c r="G6640" s="8" t="n">
        <f aca="false">Sens!G6638/Sens!G6639</f>
        <v>20.6137036863193</v>
      </c>
      <c r="H6640" s="8" t="n">
        <f aca="false">Sens!H6638/Sens!H6639</f>
        <v>22.5954749112458</v>
      </c>
      <c r="I6640" s="8" t="n">
        <f aca="false">Sens!I6638/Sens!I6639</f>
        <v>24.5551600791274</v>
      </c>
      <c r="J6640" s="8" t="n">
        <f aca="false">Sens!J6638/Sens!J6639</f>
        <v>26.3911584977936</v>
      </c>
      <c r="K6640" s="8" t="n">
        <f aca="false">Sens!K6638/Sens!K6639</f>
        <v>28.1692993063977</v>
      </c>
      <c r="L6640" s="1" t="s">
        <v>918</v>
      </c>
    </row>
    <row r="6641" customFormat="false" ht="17.15" hidden="false" customHeight="false" outlineLevel="0" collapsed="false">
      <c r="A6641" s="1" t="s">
        <v>919</v>
      </c>
      <c r="B6641" s="0" t="s">
        <v>98</v>
      </c>
      <c r="D6641" s="6" t="n">
        <f aca="false">Sens!D6638</f>
        <v>101.832</v>
      </c>
      <c r="E6641" s="6" t="n">
        <f aca="false">Sens!E6638</f>
        <v>133.749</v>
      </c>
      <c r="F6641" s="6" t="n">
        <f aca="false">Sens!F6638+Sens!F6631*(1-tax_f)</f>
        <v>157.121125022054</v>
      </c>
      <c r="G6641" s="6" t="n">
        <f aca="false">Sens!G6638+Sens!G6631*(1-tax_f)</f>
        <v>185.394990759463</v>
      </c>
      <c r="H6641" s="6" t="n">
        <f aca="false">Sens!H6638+Sens!H6631*(1-tax_f)</f>
        <v>214.931434312117</v>
      </c>
      <c r="I6641" s="6" t="n">
        <f aca="false">Sens!I6638+Sens!I6631*(1-tax_f)</f>
        <v>242.689162226678</v>
      </c>
      <c r="J6641" s="6" t="n">
        <f aca="false">Sens!J6638+Sens!J6631*(1-tax_f)</f>
        <v>265.816063734457</v>
      </c>
      <c r="K6641" s="6" t="n">
        <f aca="false">Sens!K6638+Sens!K6631*(1-tax_f)</f>
        <v>284.843334761282</v>
      </c>
    </row>
    <row r="6642" customFormat="false" ht="17.15" hidden="false" customHeight="false" outlineLevel="0" collapsed="false">
      <c r="A6642" s="0" t="s">
        <v>920</v>
      </c>
      <c r="B6642" s="0" t="s">
        <v>75</v>
      </c>
      <c r="D6642" s="8" t="n">
        <f aca="false">Sens!D6641/Sens!D6639</f>
        <v>13.641259209645</v>
      </c>
      <c r="E6642" s="8" t="n">
        <f aca="false">Sens!E6641/Sens!E6639</f>
        <v>17.9456594659869</v>
      </c>
      <c r="F6642" s="8" t="n">
        <f aca="false">Sens!F6641/Sens!F6639</f>
        <v>21.0237673141171</v>
      </c>
      <c r="G6642" s="8" t="n">
        <f aca="false">Sens!G6641/Sens!G6639</f>
        <v>24.658507782066</v>
      </c>
      <c r="H6642" s="8" t="n">
        <f aca="false">Sens!H6641/Sens!H6639</f>
        <v>28.4818802907575</v>
      </c>
      <c r="I6642" s="8" t="n">
        <f aca="false">Sens!I6641/Sens!I6639</f>
        <v>32.1100980796642</v>
      </c>
      <c r="J6642" s="8" t="n">
        <f aca="false">Sens!J6641/Sens!J6639</f>
        <v>35.1038626214138</v>
      </c>
      <c r="K6642" s="8" t="n">
        <f aca="false">Sens!K6641/Sens!K6639</f>
        <v>37.5347308829603</v>
      </c>
      <c r="L6642" s="1" t="s">
        <v>921</v>
      </c>
    </row>
    <row r="6643" customFormat="false" ht="17.15" hidden="false" customHeight="false" outlineLevel="0" collapsed="false">
      <c r="A6643" s="0" t="s">
        <v>922</v>
      </c>
      <c r="B6643" s="0" t="s">
        <v>129</v>
      </c>
      <c r="E6643" s="7" t="n">
        <f aca="false">Sens!E6642/Sens!D6642-1</f>
        <v>0.315542736208578</v>
      </c>
      <c r="F6643" s="7" t="n">
        <f aca="false">Sens!F6642/Sens!E6642-1</f>
        <v>0.171523807969518</v>
      </c>
      <c r="G6643" s="7" t="n">
        <f aca="false">Sens!G6642/Sens!F6642-1</f>
        <v>0.172887209682357</v>
      </c>
      <c r="H6643" s="7" t="n">
        <f aca="false">Sens!H6642/Sens!G6642-1</f>
        <v>0.155052874345957</v>
      </c>
      <c r="I6643" s="7" t="n">
        <f aca="false">Sens!I6642/Sens!H6642-1</f>
        <v>0.127386877266107</v>
      </c>
      <c r="J6643" s="7" t="n">
        <f aca="false">Sens!J6642/Sens!I6642-1</f>
        <v>0.0932343630443675</v>
      </c>
      <c r="K6643" s="7" t="n">
        <f aca="false">Sens!K6642/Sens!J6642-1</f>
        <v>0.0692478855607068</v>
      </c>
    </row>
    <row r="6644" customFormat="false" ht="17.15" hidden="false" customHeight="false" outlineLevel="0" collapsed="false">
      <c r="A6644" s="0" t="s">
        <v>846</v>
      </c>
      <c r="B6644" s="0" t="s">
        <v>98</v>
      </c>
      <c r="E6644" s="6" t="n">
        <f aca="false">Sens!E6585</f>
        <v>5.25</v>
      </c>
      <c r="F6644" s="6" t="n">
        <f aca="false">Sens!F6585</f>
        <v>8.64</v>
      </c>
      <c r="G6644" s="6" t="n">
        <f aca="false">Sens!G6585</f>
        <v>12.96</v>
      </c>
      <c r="H6644" s="6" t="n">
        <f aca="false">Sens!H6585</f>
        <v>17.28</v>
      </c>
      <c r="I6644" s="6" t="n">
        <f aca="false">Sens!I6585</f>
        <v>20.52</v>
      </c>
      <c r="J6644" s="6" t="n">
        <f aca="false">Sens!J6585</f>
        <v>22.68</v>
      </c>
      <c r="K6644" s="6" t="n">
        <f aca="false">Sens!K6585</f>
        <v>24.84</v>
      </c>
    </row>
    <row r="6645" customFormat="false" ht="17.15" hidden="false" customHeight="false" outlineLevel="0" collapsed="false">
      <c r="A6645" s="1" t="s">
        <v>847</v>
      </c>
      <c r="B6645" s="0" t="s">
        <v>98</v>
      </c>
      <c r="F6645" s="6" t="n">
        <f aca="false">MAX(0,(Sens!E6548+Sens!F6548)/2*Sens!F6556/1000-Sens!F6644*Sens!F6624)</f>
        <v>21.8542351650082</v>
      </c>
      <c r="G6645" s="6" t="n">
        <f aca="false">MAX(0,(Sens!F6548+Sens!G6548)/2*Sens!G6556/1000-Sens!G6644*Sens!G6624)</f>
        <v>38.013574492339</v>
      </c>
      <c r="H6645" s="6" t="n">
        <f aca="false">MAX(0,(Sens!G6548+Sens!H6548)/2*Sens!H6556/1000-Sens!H6644*Sens!H6624)</f>
        <v>55.5253699126201</v>
      </c>
      <c r="I6645" s="6" t="n">
        <f aca="false">MAX(0,(Sens!H6548+Sens!I6548)/2*Sens!I6556/1000-Sens!I6644*Sens!I6624)</f>
        <v>71.3755829036984</v>
      </c>
      <c r="J6645" s="6" t="n">
        <f aca="false">MAX(0,(Sens!I6548+Sens!J6548)/2*Sens!J6556/1000-Sens!J6644*Sens!J6624)</f>
        <v>82.4687278577044</v>
      </c>
      <c r="K6645" s="6" t="n">
        <f aca="false">MAX(0,(Sens!J6548+Sens!K6548)/2*Sens!K6556/1000-Sens!K6644*Sens!K6624)</f>
        <v>88.8404118996138</v>
      </c>
      <c r="L6645" s="1" t="s">
        <v>848</v>
      </c>
    </row>
    <row r="6646" customFormat="false" ht="17.15" hidden="false" customHeight="false" outlineLevel="0" collapsed="false">
      <c r="A6646" s="1" t="s">
        <v>849</v>
      </c>
      <c r="B6646" s="0" t="s">
        <v>98</v>
      </c>
      <c r="F6646" s="6" t="n">
        <f aca="false">IF(internal_ai_reading=2,1,0)*Sens!F6645</f>
        <v>21.8542351650082</v>
      </c>
      <c r="G6646" s="6" t="n">
        <f aca="false">IF(internal_ai_reading=2,1,0)*Sens!G6645</f>
        <v>38.013574492339</v>
      </c>
      <c r="H6646" s="6" t="n">
        <f aca="false">IF(internal_ai_reading=2,1,0)*Sens!H6645</f>
        <v>55.5253699126201</v>
      </c>
      <c r="I6646" s="6" t="n">
        <f aca="false">IF(internal_ai_reading=2,1,0)*Sens!I6645</f>
        <v>71.3755829036984</v>
      </c>
      <c r="J6646" s="6" t="n">
        <f aca="false">IF(internal_ai_reading=2,1,0)*Sens!J6645</f>
        <v>82.4687278577044</v>
      </c>
      <c r="K6646" s="6" t="n">
        <f aca="false">IF(internal_ai_reading=2,1,0)*Sens!K6645</f>
        <v>88.8404118996138</v>
      </c>
    </row>
    <row r="6647" customFormat="false" ht="17.15" hidden="false" customHeight="false" outlineLevel="0" collapsed="false">
      <c r="A6647" s="0" t="s">
        <v>850</v>
      </c>
      <c r="B6647" s="0" t="s">
        <v>98</v>
      </c>
      <c r="F6647" s="6" t="n">
        <f aca="false">Sens!F6565+Sens!F6644*Sens!F6624+Sens!F6646-Sens!F6566-Sens!F6576</f>
        <v>24.945281419411</v>
      </c>
      <c r="G6647" s="6" t="n">
        <f aca="false">Sens!G6565+Sens!G6644*Sens!G6624+Sens!G6646-Sens!G6566-Sens!G6576</f>
        <v>40.6185718830232</v>
      </c>
      <c r="H6647" s="6" t="n">
        <f aca="false">Sens!H6565+Sens!H6644*Sens!H6624+Sens!H6646-Sens!H6566-Sens!H6576</f>
        <v>57.5494114245065</v>
      </c>
      <c r="I6647" s="6" t="n">
        <f aca="false">Sens!I6565+Sens!I6644*Sens!I6624+Sens!I6646-Sens!I6566-Sens!I6576</f>
        <v>72.6278259474904</v>
      </c>
      <c r="J6647" s="6" t="n">
        <f aca="false">Sens!J6565+Sens!J6644*Sens!J6624+Sens!J6646-Sens!J6566-Sens!J6576</f>
        <v>83.0574007011916</v>
      </c>
      <c r="K6647" s="6" t="n">
        <f aca="false">Sens!K6565+Sens!K6644*Sens!K6624+Sens!K6646-Sens!K6566-Sens!K6576</f>
        <v>90.2932338726819</v>
      </c>
    </row>
    <row r="6648" customFormat="false" ht="17.15" hidden="false" customHeight="false" outlineLevel="0" collapsed="false">
      <c r="A6648" s="0" t="s">
        <v>851</v>
      </c>
      <c r="B6648" s="0" t="s">
        <v>98</v>
      </c>
      <c r="E6648" s="6" t="n">
        <f aca="false">Sens!E6547*(cxit_open+self_build*tk_cxfac)/1000*ai_net_open</f>
        <v>126.6980382</v>
      </c>
      <c r="F6648" s="6" t="n">
        <f aca="false">Sens!E6648+Sens!F6573-Sens!F6576</f>
        <v>260.886155514568</v>
      </c>
      <c r="G6648" s="6" t="n">
        <f aca="false">Sens!F6648+Sens!G6573-Sens!G6576</f>
        <v>383.897602737428</v>
      </c>
      <c r="H6648" s="6" t="n">
        <f aca="false">Sens!G6648+Sens!H6573-Sens!H6576</f>
        <v>484.179572654688</v>
      </c>
      <c r="I6648" s="6" t="n">
        <f aca="false">Sens!H6648+Sens!I6573-Sens!I6576</f>
        <v>535.843201826713</v>
      </c>
      <c r="J6648" s="6" t="n">
        <f aca="false">Sens!I6648+Sens!J6573-Sens!J6576</f>
        <v>531.115967622138</v>
      </c>
      <c r="K6648" s="6" t="n">
        <f aca="false">Sens!J6648+Sens!K6573-Sens!K6576</f>
        <v>506.3717564596</v>
      </c>
      <c r="L6648" s="1" t="s">
        <v>852</v>
      </c>
    </row>
    <row r="6649" customFormat="false" ht="17.15" hidden="false" customHeight="false" outlineLevel="0" collapsed="false">
      <c r="A6649" s="0" t="s">
        <v>853</v>
      </c>
      <c r="B6649" s="0" t="s">
        <v>129</v>
      </c>
      <c r="F6649" s="7" t="n">
        <f aca="false">Sens!F6647*(1-tax_f)/((Sens!E6648+Sens!F6648)/2)</f>
        <v>0.102977497323977</v>
      </c>
      <c r="G6649" s="7" t="n">
        <f aca="false">Sens!G6647*(1-tax_f)/((Sens!F6648+Sens!G6648)/2)</f>
        <v>0.100793039807677</v>
      </c>
      <c r="H6649" s="7" t="n">
        <f aca="false">Sens!H6647*(1-tax_f)/((Sens!G6648+Sens!H6648)/2)</f>
        <v>0.106072433292141</v>
      </c>
      <c r="I6649" s="7" t="n">
        <f aca="false">Sens!I6647*(1-tax_f)/((Sens!H6648+Sens!I6648)/2)</f>
        <v>0.113923457812072</v>
      </c>
      <c r="J6649" s="7" t="n">
        <f aca="false">Sens!J6647*(1-tax_f)/((Sens!I6648+Sens!J6648)/2)</f>
        <v>0.124551946247909</v>
      </c>
      <c r="K6649" s="7" t="n">
        <f aca="false">Sens!K6647*(1-tax_f)/((Sens!J6648+Sens!K6648)/2)</f>
        <v>0.13924904443969</v>
      </c>
    </row>
    <row r="6650" customFormat="false" ht="17.15" hidden="false" customHeight="false" outlineLevel="0" collapsed="false">
      <c r="A6650" s="1" t="s">
        <v>854</v>
      </c>
      <c r="B6650" s="0" t="s">
        <v>129</v>
      </c>
      <c r="F6650" s="7" t="n">
        <f aca="false">(Sens!F6647-Sens!F6646)*(1-tax_f)/((Sens!E6648+Sens!F6648)/2)</f>
        <v>0.0127602572221679</v>
      </c>
      <c r="G6650" s="7" t="n">
        <f aca="false">(Sens!G6647-Sens!G6646)*(1-tax_f)/((Sens!F6648+Sens!G6648)/2)</f>
        <v>0.00646417620132678</v>
      </c>
      <c r="H6650" s="7" t="n">
        <f aca="false">(Sens!H6647-Sens!H6646)*(1-tax_f)/((Sens!G6648+Sens!H6648)/2)</f>
        <v>0.00373062039968431</v>
      </c>
      <c r="I6650" s="7" t="n">
        <f aca="false">(Sens!I6647-Sens!I6646)*(1-tax_f)/((Sens!H6648+Sens!I6648)/2)</f>
        <v>0.00196425895596869</v>
      </c>
      <c r="J6650" s="7" t="n">
        <f aca="false">(Sens!J6647-Sens!J6646)*(1-tax_f)/((Sens!I6648+Sens!J6648)/2)</f>
        <v>0.000882767191612439</v>
      </c>
      <c r="K6650" s="7" t="n">
        <f aca="false">(Sens!K6647-Sens!K6646)*(1-tax_f)/((Sens!J6648+Sens!K6648)/2)</f>
        <v>0.00224052304711967</v>
      </c>
    </row>
    <row r="6651" customFormat="false" ht="17.15" hidden="false" customHeight="false" outlineLevel="0" collapsed="false">
      <c r="A6651" s="1" t="s">
        <v>855</v>
      </c>
      <c r="B6651" s="0" t="s">
        <v>129</v>
      </c>
      <c r="F6651" s="7" t="n">
        <f aca="false">(Sens!F6647-Sens!F6646+Sens!F6645)*(1-tax_f)/((Sens!E6648+Sens!F6648)/2)</f>
        <v>0.102977497323977</v>
      </c>
      <c r="G6651" s="7" t="n">
        <f aca="false">(Sens!G6647-Sens!G6646+Sens!G6645)*(1-tax_f)/((Sens!F6648+Sens!G6648)/2)</f>
        <v>0.100793039807677</v>
      </c>
      <c r="H6651" s="7" t="n">
        <f aca="false">(Sens!H6647-Sens!H6646+Sens!H6645)*(1-tax_f)/((Sens!G6648+Sens!H6648)/2)</f>
        <v>0.106072433292141</v>
      </c>
      <c r="I6651" s="7" t="n">
        <f aca="false">(Sens!I6647-Sens!I6646+Sens!I6645)*(1-tax_f)/((Sens!H6648+Sens!I6648)/2)</f>
        <v>0.113923457812072</v>
      </c>
      <c r="J6651" s="7" t="n">
        <f aca="false">(Sens!J6647-Sens!J6646+Sens!J6645)*(1-tax_f)/((Sens!I6648+Sens!J6648)/2)</f>
        <v>0.124551946247909</v>
      </c>
      <c r="K6651" s="7" t="n">
        <f aca="false">(Sens!K6647-Sens!K6646+Sens!K6645)*(1-tax_f)/((Sens!J6648+Sens!K6648)/2)</f>
        <v>0.13924904443969</v>
      </c>
    </row>
    <row r="6652" customFormat="false" ht="17.15" hidden="false" customHeight="false" outlineLevel="0" collapsed="false">
      <c r="A6652" s="1" t="s">
        <v>856</v>
      </c>
      <c r="B6652" s="0" t="s">
        <v>129</v>
      </c>
      <c r="F6652" s="7" t="n">
        <f aca="false">Sens!F6577*(1-tax_f)/(Sens!F6564*(Sens!E6648+Sens!F6648)/2)</f>
        <v>0.127960632569851</v>
      </c>
      <c r="G6652" s="7" t="n">
        <f aca="false">Sens!G6577*(1-tax_f)/(Sens!G6564*(Sens!F6648+Sens!G6648)/2)</f>
        <v>0.124962265110463</v>
      </c>
      <c r="H6652" s="7" t="n">
        <f aca="false">Sens!H6577*(1-tax_f)/(Sens!H6564*(Sens!G6648+Sens!H6648)/2)</f>
        <v>0.130681638588211</v>
      </c>
      <c r="I6652" s="7" t="n">
        <f aca="false">Sens!I6577*(1-tax_f)/(Sens!I6564*(Sens!H6648+Sens!I6648)/2)</f>
        <v>0.139857706100479</v>
      </c>
      <c r="J6652" s="7" t="n">
        <f aca="false">Sens!J6577*(1-tax_f)/(Sens!J6564*(Sens!I6648+Sens!J6648)/2)</f>
        <v>0.152690888811192</v>
      </c>
      <c r="K6652" s="7" t="n">
        <f aca="false">Sens!K6577*(1-tax_f)/(Sens!K6564*(Sens!J6648+Sens!K6648)/2)</f>
        <v>0.17044416814835</v>
      </c>
    </row>
    <row r="6653" customFormat="false" ht="17.15" hidden="false" customHeight="false" outlineLevel="0" collapsed="false">
      <c r="A6653" s="0" t="s">
        <v>857</v>
      </c>
      <c r="B6653" s="0" t="s">
        <v>209</v>
      </c>
      <c r="F6653" s="7" t="n">
        <f aca="false">Sens!F6649-wacc</f>
        <v>4.30772311010574E-005</v>
      </c>
      <c r="G6653" s="7" t="n">
        <f aca="false">Sens!G6649-wacc</f>
        <v>-0.00214138028519867</v>
      </c>
      <c r="H6653" s="7" t="n">
        <f aca="false">Sens!H6649-wacc</f>
        <v>0.00313801319926518</v>
      </c>
      <c r="I6653" s="7" t="n">
        <f aca="false">Sens!I6649-wacc</f>
        <v>0.0109890377191964</v>
      </c>
      <c r="J6653" s="7" t="n">
        <f aca="false">Sens!J6649-wacc</f>
        <v>0.021617526155033</v>
      </c>
      <c r="K6653" s="7" t="n">
        <f aca="false">Sens!K6649-wacc</f>
        <v>0.0363146243468145</v>
      </c>
    </row>
    <row r="6654" customFormat="false" ht="17.15" hidden="false" customHeight="false" outlineLevel="0" collapsed="false">
      <c r="A6654" s="0" t="s">
        <v>858</v>
      </c>
      <c r="B6654" s="0" t="s">
        <v>98</v>
      </c>
      <c r="F6654" s="6" t="n">
        <f aca="false">Sens!F6647*(1-tax_f)-wacc*(Sens!E6648+Sens!F6648)/2</f>
        <v>0.00834802694187786</v>
      </c>
      <c r="G6654" s="6" t="n">
        <f aca="false">Sens!G6647*(1-tax_f)-wacc*(Sens!F6648+Sens!G6648)/2</f>
        <v>-0.690363614068559</v>
      </c>
      <c r="H6654" s="6" t="n">
        <f aca="false">Sens!H6647*(1-tax_f)-wacc*(Sens!G6648+Sens!H6648)/2</f>
        <v>1.36201881718065</v>
      </c>
      <c r="I6654" s="6" t="n">
        <f aca="false">Sens!I6647*(1-tax_f)-wacc*(Sens!H6648+Sens!I6648)/2</f>
        <v>5.60453437160773</v>
      </c>
      <c r="J6654" s="6" t="n">
        <f aca="false">Sens!J6647*(1-tax_f)-wacc*(Sens!I6648+Sens!J6648)/2</f>
        <v>11.5325088759564</v>
      </c>
      <c r="K6654" s="6" t="n">
        <f aca="false">Sens!K6647*(1-tax_f)-wacc*(Sens!J6648+Sens!K6648)/2</f>
        <v>18.8379884822299</v>
      </c>
    </row>
    <row r="6655" customFormat="false" ht="17.15" hidden="false" customHeight="false" outlineLevel="0" collapsed="false">
      <c r="A6655" s="3" t="s">
        <v>1407</v>
      </c>
    </row>
    <row r="6656" customFormat="false" ht="15" hidden="false" customHeight="false" outlineLevel="0" collapsed="false">
      <c r="A6656" s="4" t="s">
        <v>43</v>
      </c>
      <c r="B6656" s="4" t="s">
        <v>65</v>
      </c>
      <c r="C6656" s="20" t="s">
        <v>788</v>
      </c>
      <c r="D6656" s="20" t="s">
        <v>789</v>
      </c>
      <c r="E6656" s="20" t="s">
        <v>790</v>
      </c>
      <c r="F6656" s="20" t="s">
        <v>791</v>
      </c>
      <c r="G6656" s="20" t="s">
        <v>792</v>
      </c>
      <c r="H6656" s="20" t="s">
        <v>793</v>
      </c>
      <c r="I6656" s="20" t="s">
        <v>794</v>
      </c>
      <c r="J6656" s="20" t="s">
        <v>795</v>
      </c>
      <c r="K6656" s="20" t="s">
        <v>796</v>
      </c>
      <c r="L6656" s="4" t="s">
        <v>47</v>
      </c>
    </row>
    <row r="6657" customFormat="false" ht="15" hidden="false" customHeight="false" outlineLevel="0" collapsed="false">
      <c r="A6657" s="1" t="s">
        <v>915</v>
      </c>
      <c r="B6657" s="0" t="s">
        <v>98</v>
      </c>
      <c r="F6657" s="6" t="n">
        <f aca="false">Sens!F6638</f>
        <v>139.637736890048</v>
      </c>
      <c r="G6657" s="6" t="n">
        <f aca="false">Sens!G6638</f>
        <v>154.984131165592</v>
      </c>
      <c r="H6657" s="6" t="n">
        <f aca="false">Sens!H6638</f>
        <v>170.511138382021</v>
      </c>
      <c r="I6657" s="6" t="n">
        <f aca="false">Sens!I6638</f>
        <v>185.588695903719</v>
      </c>
      <c r="J6657" s="6" t="n">
        <f aca="false">Sens!J6638</f>
        <v>199.841081448293</v>
      </c>
      <c r="K6657" s="6" t="n">
        <f aca="false">Sens!K6638</f>
        <v>213.771005241591</v>
      </c>
    </row>
    <row r="6658" customFormat="false" ht="17.15" hidden="false" customHeight="false" outlineLevel="0" collapsed="false">
      <c r="A6658" s="1" t="s">
        <v>937</v>
      </c>
      <c r="B6658" s="0" t="s">
        <v>98</v>
      </c>
      <c r="E6658" s="6" t="n">
        <f aca="false">Q!M38-Sens!E6576</f>
        <v>22.2285940229167</v>
      </c>
      <c r="F6658" s="6" t="n">
        <f aca="false">Sens!E6658*(1-1/life_nonai)+Sens!F6664/life_nonai</f>
        <v>23.5300693435813</v>
      </c>
      <c r="G6658" s="6" t="n">
        <f aca="false">Sens!F6658*(1-1/life_nonai)+Sens!G6664/life_nonai</f>
        <v>25.241951766262</v>
      </c>
      <c r="H6658" s="6" t="n">
        <f aca="false">Sens!G6658*(1-1/life_nonai)+Sens!H6664/life_nonai</f>
        <v>27.3317079540448</v>
      </c>
      <c r="I6658" s="6" t="n">
        <f aca="false">Sens!H6658*(1-1/life_nonai)+Sens!I6664/life_nonai</f>
        <v>29.7385771898047</v>
      </c>
      <c r="J6658" s="6" t="n">
        <f aca="false">Sens!I6658*(1-1/life_nonai)+Sens!J6664/life_nonai</f>
        <v>32.3846107958616</v>
      </c>
      <c r="K6658" s="6" t="n">
        <f aca="false">Sens!J6658*(1-1/life_nonai)+Sens!K6664/life_nonai</f>
        <v>35.1864199904749</v>
      </c>
      <c r="L6658" s="11" t="s">
        <v>938</v>
      </c>
    </row>
    <row r="6659" customFormat="false" ht="17.15" hidden="false" customHeight="false" outlineLevel="0" collapsed="false">
      <c r="A6659" s="1" t="s">
        <v>939</v>
      </c>
      <c r="B6659" s="0" t="s">
        <v>98</v>
      </c>
      <c r="E6659" s="6" t="n">
        <f aca="false">Sens!E6576+Sens!E6658</f>
        <v>38.534</v>
      </c>
      <c r="F6659" s="6" t="n">
        <f aca="false">Sens!F6576+Sens!F6658</f>
        <v>58.298604799451</v>
      </c>
      <c r="G6659" s="6" t="n">
        <f aca="false">Sens!G6576+Sens!G6658</f>
        <v>85.8046850266017</v>
      </c>
      <c r="H6659" s="6" t="n">
        <f aca="false">Sens!H6576+Sens!H6658</f>
        <v>115.130023947184</v>
      </c>
      <c r="I6659" s="6" t="n">
        <f aca="false">Sens!I6576+Sens!I6658</f>
        <v>141.781617172026</v>
      </c>
      <c r="J6659" s="6" t="n">
        <f aca="false">Sens!J6576+Sens!J6658</f>
        <v>161.624321718527</v>
      </c>
      <c r="K6659" s="6" t="n">
        <f aca="false">Sens!K6576+Sens!K6658</f>
        <v>174.890066794948</v>
      </c>
    </row>
    <row r="6660" customFormat="false" ht="17.15" hidden="false" customHeight="false" outlineLevel="0" collapsed="false">
      <c r="A6660" s="1" t="s">
        <v>940</v>
      </c>
      <c r="B6660" s="0" t="s">
        <v>98</v>
      </c>
      <c r="F6660" s="6" t="n">
        <f aca="false">Sens!F6603*sbc_r</f>
        <v>14.8052650047177</v>
      </c>
      <c r="G6660" s="6" t="n">
        <f aca="false">Sens!G6603*sbc_r</f>
        <v>17.5757026471578</v>
      </c>
      <c r="H6660" s="6" t="n">
        <f aca="false">Sens!H6603*sbc_r</f>
        <v>20.4128770823788</v>
      </c>
      <c r="I6660" s="6" t="n">
        <f aca="false">Sens!I6603*sbc_r</f>
        <v>23.0406387012502</v>
      </c>
      <c r="J6660" s="6" t="n">
        <f aca="false">Sens!J6603*sbc_r</f>
        <v>25.2047875413662</v>
      </c>
      <c r="K6660" s="6" t="n">
        <f aca="false">Sens!K6603*sbc_r</f>
        <v>26.9398723782064</v>
      </c>
    </row>
    <row r="6661" customFormat="false" ht="17.15" hidden="false" customHeight="false" outlineLevel="0" collapsed="false">
      <c r="A6661" s="1" t="s">
        <v>941</v>
      </c>
      <c r="B6661" s="0" t="s">
        <v>98</v>
      </c>
      <c r="F6661" s="6" t="n">
        <f aca="false">wc27</f>
        <v>-4.895</v>
      </c>
      <c r="G6661" s="6" t="n">
        <f aca="false">wc_f</f>
        <v>0</v>
      </c>
      <c r="H6661" s="6" t="n">
        <f aca="false">wc_f</f>
        <v>0</v>
      </c>
      <c r="I6661" s="6" t="n">
        <f aca="false">wc_f</f>
        <v>0</v>
      </c>
      <c r="J6661" s="6" t="n">
        <f aca="false">wc_f</f>
        <v>0</v>
      </c>
      <c r="K6661" s="6" t="n">
        <f aca="false">wc_f</f>
        <v>0</v>
      </c>
      <c r="L6661" s="11" t="s">
        <v>942</v>
      </c>
    </row>
    <row r="6662" customFormat="false" ht="15" hidden="false" customHeight="false" outlineLevel="0" collapsed="false">
      <c r="A6662" s="1" t="s">
        <v>756</v>
      </c>
      <c r="B6662" s="0" t="s">
        <v>98</v>
      </c>
      <c r="E6662" s="6" t="n">
        <f aca="false">Q!M35</f>
        <v>182.935</v>
      </c>
      <c r="F6662" s="6" t="n">
        <f aca="false">Sens!F6657+Sens!F6659+Sens!F6660+Sens!F6661</f>
        <v>207.846606694217</v>
      </c>
      <c r="G6662" s="6" t="n">
        <f aca="false">Sens!G6657+Sens!G6659+Sens!G6660+Sens!G6661</f>
        <v>258.364518839351</v>
      </c>
      <c r="H6662" s="6" t="n">
        <f aca="false">Sens!H6657+Sens!H6659+Sens!H6660+Sens!H6661</f>
        <v>306.054039411584</v>
      </c>
      <c r="I6662" s="6" t="n">
        <f aca="false">Sens!I6657+Sens!I6659+Sens!I6660+Sens!I6661</f>
        <v>350.410951776995</v>
      </c>
      <c r="J6662" s="6" t="n">
        <f aca="false">Sens!J6657+Sens!J6659+Sens!J6660+Sens!J6661</f>
        <v>386.670190708187</v>
      </c>
      <c r="K6662" s="6" t="n">
        <f aca="false">Sens!K6657+Sens!K6659+Sens!K6660+Sens!K6661</f>
        <v>415.600944414746</v>
      </c>
    </row>
    <row r="6663" customFormat="false" ht="17.15" hidden="false" customHeight="false" outlineLevel="0" collapsed="false">
      <c r="A6663" s="0" t="s">
        <v>943</v>
      </c>
      <c r="B6663" s="0" t="s">
        <v>98</v>
      </c>
      <c r="F6663" s="6" t="n">
        <f aca="false">Sens!F6573</f>
        <v>168.956652770438</v>
      </c>
      <c r="G6663" s="6" t="n">
        <f aca="false">Sens!G6573</f>
        <v>183.5741804832</v>
      </c>
      <c r="H6663" s="6" t="n">
        <f aca="false">Sens!H6573</f>
        <v>188.0802859104</v>
      </c>
      <c r="I6663" s="6" t="n">
        <f aca="false">Sens!I6573</f>
        <v>163.706669154245</v>
      </c>
      <c r="J6663" s="6" t="n">
        <f aca="false">Sens!J6573</f>
        <v>124.51247671809</v>
      </c>
      <c r="K6663" s="6" t="n">
        <f aca="false">Sens!K6573</f>
        <v>114.959435641936</v>
      </c>
    </row>
    <row r="6664" customFormat="false" ht="17.15" hidden="false" customHeight="false" outlineLevel="0" collapsed="false">
      <c r="A6664" s="1" t="s">
        <v>944</v>
      </c>
      <c r="B6664" s="0" t="s">
        <v>98</v>
      </c>
      <c r="E6664" s="6" t="n">
        <f aca="false">Sens!E6581*cx_azo+Sens!E6588*cx_m365+Sens!E6589*cx_lic+(Sens!E6591+Sens!E6593)*cx_ind+Sens!E6596*cx_srch+(Sens!E6598+Sens!E6600)*cx_dev</f>
        <v>30.1846587067718</v>
      </c>
      <c r="F6664" s="6" t="n">
        <f aca="false">Sens!F6581*cx_azo+Sens!F6588*cx_m365+Sens!F6589*cx_lic+(Sens!F6591+Sens!F6593)*cx_ind+Sens!F6596*cx_srch+(Sens!F6598+Sens!F6600)*cx_dev</f>
        <v>35.2433472295625</v>
      </c>
      <c r="G6664" s="6" t="n">
        <f aca="false">Sens!G6581*cx_azo+Sens!G6588*cx_m365+Sens!G6589*cx_lic+(Sens!G6591+Sens!G6593)*cx_ind+Sens!G6596*cx_srch+(Sens!G6598+Sens!G6600)*cx_dev</f>
        <v>40.6488935703892</v>
      </c>
      <c r="H6664" s="6" t="n">
        <f aca="false">Sens!H6581*cx_azo+Sens!H6588*cx_m365+Sens!H6589*cx_lic+(Sens!H6591+Sens!H6593)*cx_ind+Sens!H6596*cx_srch+(Sens!H6598+Sens!H6600)*cx_dev</f>
        <v>46.1395136440897</v>
      </c>
      <c r="I6664" s="6" t="n">
        <f aca="false">Sens!I6581*cx_azo+Sens!I6588*cx_m365+Sens!I6589*cx_lic+(Sens!I6591+Sens!I6593)*cx_ind+Sens!I6596*cx_srch+(Sens!I6598+Sens!I6600)*cx_dev</f>
        <v>51.4004003116439</v>
      </c>
      <c r="J6664" s="6" t="n">
        <f aca="false">Sens!J6581*cx_azo+Sens!J6588*cx_m365+Sens!J6589*cx_lic+(Sens!J6591+Sens!J6593)*cx_ind+Sens!J6596*cx_srch+(Sens!J6598+Sens!J6600)*cx_dev</f>
        <v>56.1989132503738</v>
      </c>
      <c r="K6664" s="6" t="n">
        <f aca="false">Sens!K6581*cx_azo+Sens!K6588*cx_m365+Sens!K6589*cx_lic+(Sens!K6591+Sens!K6593)*cx_ind+Sens!K6596*cx_srch+(Sens!K6598+Sens!K6600)*cx_dev</f>
        <v>60.402702741994</v>
      </c>
    </row>
    <row r="6665" customFormat="false" ht="17.15" hidden="false" customHeight="false" outlineLevel="0" collapsed="false">
      <c r="A6665" s="1" t="s">
        <v>945</v>
      </c>
      <c r="B6665" s="0" t="s">
        <v>98</v>
      </c>
      <c r="E6665" s="6" t="n">
        <f aca="false">Q!M42</f>
        <v>145.3</v>
      </c>
      <c r="F6665" s="6" t="n">
        <f aca="false">Sens!F6663+Sens!F6664</f>
        <v>204.2</v>
      </c>
      <c r="G6665" s="6" t="n">
        <f aca="false">Sens!G6663+Sens!G6664</f>
        <v>224.223074053589</v>
      </c>
      <c r="H6665" s="6" t="n">
        <f aca="false">Sens!H6663+Sens!H6664</f>
        <v>234.21979955449</v>
      </c>
      <c r="I6665" s="6" t="n">
        <f aca="false">Sens!I6663+Sens!I6664</f>
        <v>215.107069465889</v>
      </c>
      <c r="J6665" s="6" t="n">
        <f aca="false">Sens!J6663+Sens!J6664</f>
        <v>180.711389968464</v>
      </c>
      <c r="K6665" s="6" t="n">
        <f aca="false">Sens!K6663+Sens!K6664</f>
        <v>175.36213838393</v>
      </c>
      <c r="L6665" s="1" t="s">
        <v>946</v>
      </c>
    </row>
    <row r="6666" customFormat="false" ht="15" hidden="false" customHeight="false" outlineLevel="0" collapsed="false">
      <c r="A6666" s="1" t="s">
        <v>947</v>
      </c>
      <c r="B6666" s="0" t="s">
        <v>98</v>
      </c>
      <c r="E6666" s="6" t="n">
        <f aca="false">fl_liab</f>
        <v>66.594</v>
      </c>
      <c r="F6666" s="6" t="n">
        <f aca="false">Sens!E6666-Sens!F6667</f>
        <v>62.46973</v>
      </c>
      <c r="G6666" s="6" t="n">
        <f aca="false">Sens!F6666-Sens!G6667</f>
        <v>57.98686785</v>
      </c>
      <c r="H6666" s="6" t="n">
        <f aca="false">Sens!G6666-Sens!H6667</f>
        <v>53.92827690325</v>
      </c>
      <c r="I6666" s="6" t="n">
        <f aca="false">Sens!H6666-Sens!I6667</f>
        <v>49.7850493638962</v>
      </c>
      <c r="J6666" s="6" t="n">
        <f aca="false">Sens!I6666-Sens!J6667</f>
        <v>45.4823765852716</v>
      </c>
      <c r="K6666" s="6" t="n">
        <f aca="false">Sens!J6666-Sens!K6667</f>
        <v>40.9860835316088</v>
      </c>
    </row>
    <row r="6667" customFormat="false" ht="15" hidden="false" customHeight="false" outlineLevel="0" collapsed="false">
      <c r="A6667" s="1" t="s">
        <v>948</v>
      </c>
      <c r="B6667" s="0" t="s">
        <v>98</v>
      </c>
      <c r="F6667" s="6" t="n">
        <f aca="false">fl_pay_27-Sens!E6666*fl_rate</f>
        <v>4.12427</v>
      </c>
      <c r="G6667" s="6" t="n">
        <f aca="false">fl_pay_28-Sens!F6666*fl_rate</f>
        <v>4.48286215</v>
      </c>
      <c r="H6667" s="6" t="n">
        <f aca="false">fl_pay_29-Sens!G6666*fl_rate</f>
        <v>4.05859094675</v>
      </c>
      <c r="I6667" s="6" t="n">
        <f aca="false">fl_pay_30-Sens!H6666*fl_rate</f>
        <v>4.14322753935375</v>
      </c>
      <c r="J6667" s="6" t="n">
        <f aca="false">fl_pay_31-Sens!I6666*fl_rate</f>
        <v>4.30267277862467</v>
      </c>
      <c r="K6667" s="6" t="n">
        <f aca="false">fl_pay_32-Sens!J6666*fl_rate</f>
        <v>4.49629305366278</v>
      </c>
    </row>
    <row r="6668" customFormat="false" ht="17.15" hidden="false" customHeight="false" outlineLevel="0" collapsed="false">
      <c r="A6668" s="1" t="s">
        <v>949</v>
      </c>
      <c r="B6668" s="0" t="s">
        <v>98</v>
      </c>
      <c r="E6668" s="6" t="n">
        <f aca="false">Q!M35-Q!M36-Q!M43</f>
        <v>63.886</v>
      </c>
      <c r="F6668" s="6" t="n">
        <f aca="false">Sens!F6662-Sens!F6665-Sens!F6667</f>
        <v>-0.477663305783386</v>
      </c>
      <c r="G6668" s="6" t="n">
        <f aca="false">Sens!G6662-Sens!G6665-Sens!G6667</f>
        <v>29.6585826357621</v>
      </c>
      <c r="H6668" s="6" t="n">
        <f aca="false">Sens!H6662-Sens!H6665-Sens!H6667</f>
        <v>67.7756489103446</v>
      </c>
      <c r="I6668" s="6" t="n">
        <f aca="false">Sens!I6662-Sens!I6665-Sens!I6667</f>
        <v>131.160654771752</v>
      </c>
      <c r="J6668" s="6" t="n">
        <f aca="false">Sens!J6662-Sens!J6665-Sens!J6667</f>
        <v>201.656127961098</v>
      </c>
      <c r="K6668" s="6" t="n">
        <f aca="false">Sens!K6662-Sens!K6665-Sens!K6667</f>
        <v>235.742512977153</v>
      </c>
      <c r="L6668" s="11" t="s">
        <v>950</v>
      </c>
    </row>
    <row r="6669" customFormat="false" ht="15" hidden="false" customHeight="false" outlineLevel="0" collapsed="false">
      <c r="A6669" s="1" t="s">
        <v>951</v>
      </c>
      <c r="B6669" s="0" t="s">
        <v>75</v>
      </c>
      <c r="F6669" s="8" t="n">
        <f aca="false">dps_27</f>
        <v>3.85</v>
      </c>
      <c r="G6669" s="8" t="n">
        <f aca="false">Sens!F6669*(1+dps_g)</f>
        <v>4.158</v>
      </c>
      <c r="H6669" s="8" t="n">
        <f aca="false">Sens!G6669*(1+dps_g)</f>
        <v>4.49064</v>
      </c>
      <c r="I6669" s="8" t="n">
        <f aca="false">Sens!H6669*(1+dps_g)</f>
        <v>4.8498912</v>
      </c>
      <c r="J6669" s="8" t="n">
        <f aca="false">Sens!I6669*(1+dps_g)</f>
        <v>5.237882496</v>
      </c>
      <c r="K6669" s="8" t="n">
        <f aca="false">Sens!J6669*(1+dps_g)</f>
        <v>5.65691309568</v>
      </c>
    </row>
    <row r="6670" customFormat="false" ht="17.15" hidden="false" customHeight="false" outlineLevel="0" collapsed="false">
      <c r="A6670" s="1" t="s">
        <v>952</v>
      </c>
      <c r="B6670" s="0" t="s">
        <v>98</v>
      </c>
      <c r="E6670" s="6" t="n">
        <f aca="false">Q!M41</f>
        <v>26.445</v>
      </c>
      <c r="F6670" s="6" t="n">
        <f aca="false">Sens!F6669*Sens!E6679</f>
        <v>28.59395</v>
      </c>
      <c r="G6670" s="6" t="n">
        <f aca="false">Sens!G6669*Sens!F6679</f>
        <v>31.068576</v>
      </c>
      <c r="H6670" s="6" t="n">
        <f aca="false">Sens!H6669*Sens!G6679</f>
        <v>33.75614088</v>
      </c>
      <c r="I6670" s="6" t="n">
        <f aca="false">Sens!I6669*Sens!H6679</f>
        <v>36.5075713903995</v>
      </c>
      <c r="J6670" s="6" t="n">
        <f aca="false">Sens!J6669*Sens!I6679</f>
        <v>39.4965759499509</v>
      </c>
      <c r="K6670" s="6" t="n">
        <f aca="false">Sens!K6669*Sens!J6679</f>
        <v>42.743557251252</v>
      </c>
      <c r="L6670" s="1" t="s">
        <v>953</v>
      </c>
    </row>
    <row r="6671" customFormat="false" ht="15" hidden="false" customHeight="false" outlineLevel="0" collapsed="false">
      <c r="A6671" s="1" t="s">
        <v>954</v>
      </c>
      <c r="B6671" s="0" t="s">
        <v>98</v>
      </c>
      <c r="E6671" s="6" t="n">
        <f aca="false">Sens!E6668-Sens!E6670</f>
        <v>37.441</v>
      </c>
      <c r="F6671" s="6" t="n">
        <f aca="false">Sens!F6668-Sens!F6670</f>
        <v>-29.0716133057834</v>
      </c>
      <c r="G6671" s="6" t="n">
        <f aca="false">Sens!G6668-Sens!G6670</f>
        <v>-1.40999336423787</v>
      </c>
      <c r="H6671" s="6" t="n">
        <f aca="false">Sens!H6668-Sens!H6670</f>
        <v>34.0195080303446</v>
      </c>
      <c r="I6671" s="6" t="n">
        <f aca="false">Sens!I6668-Sens!I6670</f>
        <v>94.6530833813528</v>
      </c>
      <c r="J6671" s="6" t="n">
        <f aca="false">Sens!J6668-Sens!J6670</f>
        <v>162.159552011147</v>
      </c>
      <c r="K6671" s="6" t="n">
        <f aca="false">Sens!K6668-Sens!K6670</f>
        <v>192.998955725901</v>
      </c>
    </row>
    <row r="6672" customFormat="false" ht="15" hidden="false" customHeight="false" outlineLevel="0" collapsed="false">
      <c r="A6672" s="1" t="s">
        <v>955</v>
      </c>
      <c r="B6672" s="0" t="s">
        <v>98</v>
      </c>
      <c r="F6672" s="6" t="n">
        <f aca="false">debt_mat_27</f>
        <v>9.25</v>
      </c>
      <c r="G6672" s="6" t="n">
        <f aca="false">debt_mat_28</f>
        <v>0</v>
      </c>
      <c r="H6672" s="6" t="n">
        <f aca="false">debt_mat_29</f>
        <v>2.001</v>
      </c>
      <c r="I6672" s="6" t="n">
        <f aca="false">debt_mat_30</f>
        <v>0</v>
      </c>
      <c r="J6672" s="6" t="n">
        <f aca="false">debt_mat_31</f>
        <v>0.5</v>
      </c>
      <c r="K6672" s="6" t="n">
        <f aca="false">debt_mat_32</f>
        <v>0</v>
      </c>
    </row>
    <row r="6673" customFormat="false" ht="15" hidden="false" customHeight="false" outlineLevel="0" collapsed="false">
      <c r="A6673" s="1" t="s">
        <v>956</v>
      </c>
      <c r="B6673" s="0" t="s">
        <v>98</v>
      </c>
      <c r="E6673" s="6" t="n">
        <f aca="false">Q!M40</f>
        <v>22.271</v>
      </c>
      <c r="F6673" s="6" t="n">
        <f aca="false">MAX(0,MIN(bb_target,Sens!E6675+Sens!F6671-Sens!F6672-min_cash))</f>
        <v>0</v>
      </c>
      <c r="G6673" s="6" t="n">
        <f aca="false">MAX(0,MIN(bb_target,Sens!F6675+Sens!G6671-Sens!G6672-min_cash))</f>
        <v>0</v>
      </c>
      <c r="H6673" s="6" t="n">
        <f aca="false">MAX(0,MIN(bb_target,Sens!G6675+Sens!H6671-Sens!H6672-min_cash))</f>
        <v>22.271</v>
      </c>
      <c r="I6673" s="6" t="n">
        <f aca="false">MAX(0,MIN(bb_target,Sens!H6675+Sens!I6671-Sens!I6672-min_cash))</f>
        <v>22.271</v>
      </c>
      <c r="J6673" s="6" t="n">
        <f aca="false">MAX(0,MIN(bb_target,Sens!I6675+Sens!J6671-Sens!J6672-min_cash))</f>
        <v>22.271</v>
      </c>
      <c r="K6673" s="6" t="n">
        <f aca="false">MAX(0,MIN(bb_target,Sens!J6675+Sens!K6671-Sens!K6672-min_cash))</f>
        <v>22.271</v>
      </c>
    </row>
    <row r="6674" customFormat="false" ht="15" hidden="false" customHeight="false" outlineLevel="0" collapsed="false">
      <c r="A6674" s="1" t="s">
        <v>957</v>
      </c>
      <c r="B6674" s="0" t="s">
        <v>98</v>
      </c>
      <c r="F6674" s="6" t="n">
        <f aca="false">MAX(0,min_cash-(Sens!E6675+Sens!F6671-Sens!F6672-Sens!F6673))</f>
        <v>11.4786133057834</v>
      </c>
      <c r="G6674" s="6" t="n">
        <f aca="false">MAX(0,min_cash-(Sens!F6675+Sens!G6671-Sens!G6672-Sens!G6673))</f>
        <v>1.40999336423786</v>
      </c>
      <c r="H6674" s="6" t="n">
        <f aca="false">MAX(0,min_cash-(Sens!G6675+Sens!H6671-Sens!H6672-Sens!H6673))</f>
        <v>0</v>
      </c>
      <c r="I6674" s="6" t="n">
        <f aca="false">MAX(0,min_cash-(Sens!H6675+Sens!I6671-Sens!I6672-Sens!I6673))</f>
        <v>0</v>
      </c>
      <c r="J6674" s="6" t="n">
        <f aca="false">MAX(0,min_cash-(Sens!I6675+Sens!J6671-Sens!J6672-Sens!J6673))</f>
        <v>0</v>
      </c>
      <c r="K6674" s="6" t="n">
        <f aca="false">MAX(0,min_cash-(Sens!J6675+Sens!K6671-Sens!K6672-Sens!K6673))</f>
        <v>0</v>
      </c>
    </row>
    <row r="6675" customFormat="false" ht="15" hidden="false" customHeight="false" outlineLevel="0" collapsed="false">
      <c r="A6675" s="1" t="s">
        <v>958</v>
      </c>
      <c r="B6675" s="0" t="s">
        <v>98</v>
      </c>
      <c r="E6675" s="6" t="n">
        <f aca="false">cash_open</f>
        <v>76.843</v>
      </c>
      <c r="F6675" s="6" t="n">
        <f aca="false">Sens!E6675+Sens!F6671-Sens!F6672-Sens!F6673+Sens!F6674</f>
        <v>50</v>
      </c>
      <c r="G6675" s="6" t="n">
        <f aca="false">Sens!F6675+Sens!G6671-Sens!G6672-Sens!G6673+Sens!G6674</f>
        <v>50</v>
      </c>
      <c r="H6675" s="6" t="n">
        <f aca="false">Sens!G6675+Sens!H6671-Sens!H6672-Sens!H6673+Sens!H6674</f>
        <v>59.7475080303446</v>
      </c>
      <c r="I6675" s="6" t="n">
        <f aca="false">Sens!H6675+Sens!I6671-Sens!I6672-Sens!I6673+Sens!I6674</f>
        <v>132.129591411697</v>
      </c>
      <c r="J6675" s="6" t="n">
        <f aca="false">Sens!I6675+Sens!J6671-Sens!J6672-Sens!J6673+Sens!J6674</f>
        <v>271.518143422845</v>
      </c>
      <c r="K6675" s="6" t="n">
        <f aca="false">Sens!J6675+Sens!K6671-Sens!K6672-Sens!K6673+Sens!K6674</f>
        <v>442.246099148745</v>
      </c>
    </row>
    <row r="6676" customFormat="false" ht="15" hidden="false" customHeight="false" outlineLevel="0" collapsed="false">
      <c r="A6676" s="1" t="s">
        <v>959</v>
      </c>
      <c r="B6676" s="0" t="s">
        <v>98</v>
      </c>
      <c r="E6676" s="6" t="n">
        <f aca="false">debt_face</f>
        <v>46.136</v>
      </c>
      <c r="F6676" s="6" t="n">
        <f aca="false">Sens!E6676-Sens!F6672+Sens!F6674</f>
        <v>48.3646133057834</v>
      </c>
      <c r="G6676" s="6" t="n">
        <f aca="false">Sens!F6676-Sens!G6672+Sens!G6674</f>
        <v>49.7746066700213</v>
      </c>
      <c r="H6676" s="6" t="n">
        <f aca="false">Sens!G6676-Sens!H6672+Sens!H6674</f>
        <v>47.7736066700213</v>
      </c>
      <c r="I6676" s="6" t="n">
        <f aca="false">Sens!H6676-Sens!I6672+Sens!I6674</f>
        <v>47.7736066700213</v>
      </c>
      <c r="J6676" s="6" t="n">
        <f aca="false">Sens!I6676-Sens!J6672+Sens!J6674</f>
        <v>47.2736066700213</v>
      </c>
      <c r="K6676" s="6" t="n">
        <f aca="false">Sens!J6676-Sens!K6672+Sens!K6674</f>
        <v>47.2736066700213</v>
      </c>
    </row>
    <row r="6677" customFormat="false" ht="15" hidden="false" customHeight="false" outlineLevel="0" collapsed="false">
      <c r="A6677" s="1" t="s">
        <v>960</v>
      </c>
      <c r="B6677" s="0" t="s">
        <v>98</v>
      </c>
      <c r="E6677" s="6" t="n">
        <f aca="false">Sens!E6675-Sens!E6676</f>
        <v>30.707</v>
      </c>
      <c r="F6677" s="6" t="n">
        <f aca="false">Sens!F6675-Sens!F6676</f>
        <v>1.63538669421661</v>
      </c>
      <c r="G6677" s="6" t="n">
        <f aca="false">Sens!G6675-Sens!G6676</f>
        <v>0.225393329978751</v>
      </c>
      <c r="H6677" s="6" t="n">
        <f aca="false">Sens!H6675-Sens!H6676</f>
        <v>11.9739013603233</v>
      </c>
      <c r="I6677" s="6" t="n">
        <f aca="false">Sens!I6675-Sens!I6676</f>
        <v>84.3559847416761</v>
      </c>
      <c r="J6677" s="6" t="n">
        <f aca="false">Sens!J6675-Sens!J6676</f>
        <v>224.244536752823</v>
      </c>
      <c r="K6677" s="6" t="n">
        <f aca="false">Sens!K6675-Sens!K6676</f>
        <v>394.972492478724</v>
      </c>
    </row>
    <row r="6678" customFormat="false" ht="15" hidden="false" customHeight="false" outlineLevel="0" collapsed="false">
      <c r="A6678" s="1" t="s">
        <v>961</v>
      </c>
      <c r="B6678" s="0" t="s">
        <v>75</v>
      </c>
      <c r="F6678" s="29" t="n">
        <f aca="false">px*(1+bb_g)^(Sens!F6542-base_fy-mid_yr)</f>
        <v>553.494156066711</v>
      </c>
      <c r="G6678" s="29" t="n">
        <f aca="false">px*(1+bb_g)^(Sens!G6542-base_fy-mid_yr)</f>
        <v>597.773688552047</v>
      </c>
      <c r="H6678" s="29" t="n">
        <f aca="false">px*(1+bb_g)^(Sens!H6542-base_fy-mid_yr)</f>
        <v>645.595583636211</v>
      </c>
      <c r="I6678" s="29" t="n">
        <f aca="false">px*(1+bb_g)^(Sens!I6542-base_fy-mid_yr)</f>
        <v>697.243230327108</v>
      </c>
      <c r="J6678" s="29" t="n">
        <f aca="false">px*(1+bb_g)^(Sens!J6542-base_fy-mid_yr)</f>
        <v>753.022688753277</v>
      </c>
      <c r="K6678" s="29" t="n">
        <f aca="false">px*(1+bb_g)^(Sens!K6542-base_fy-mid_yr)</f>
        <v>813.264503853539</v>
      </c>
    </row>
    <row r="6679" customFormat="false" ht="15" hidden="false" customHeight="false" outlineLevel="0" collapsed="false">
      <c r="A6679" s="1" t="s">
        <v>962</v>
      </c>
      <c r="B6679" s="1" t="s">
        <v>81</v>
      </c>
      <c r="E6679" s="14" t="n">
        <f aca="false">sh_out26</f>
        <v>7.427</v>
      </c>
      <c r="F6679" s="14" t="n">
        <f aca="false">Sens!E6679+sh_iss-Sens!F6673/Sens!F6678</f>
        <v>7.472</v>
      </c>
      <c r="G6679" s="14" t="n">
        <f aca="false">Sens!F6679+sh_iss-Sens!G6673/Sens!G6678</f>
        <v>7.517</v>
      </c>
      <c r="H6679" s="14" t="n">
        <f aca="false">Sens!G6679+sh_iss-Sens!H6673/Sens!H6678</f>
        <v>7.5275031716999</v>
      </c>
      <c r="I6679" s="14" t="n">
        <f aca="false">Sens!H6679+sh_iss-Sens!I6673/Sens!I6678</f>
        <v>7.54056166401463</v>
      </c>
      <c r="J6679" s="14" t="n">
        <f aca="false">Sens!I6679+sh_iss-Sens!J6673/Sens!J6678</f>
        <v>7.55598619393567</v>
      </c>
      <c r="K6679" s="14" t="n">
        <f aca="false">Sens!J6679+sh_iss-Sens!K6673/Sens!K6678</f>
        <v>7.57360149941811</v>
      </c>
    </row>
    <row r="6680" customFormat="false" ht="15" hidden="false" customHeight="false" outlineLevel="0" collapsed="false">
      <c r="A6680" s="1" t="s">
        <v>963</v>
      </c>
      <c r="B6680" s="1" t="s">
        <v>81</v>
      </c>
      <c r="E6680" s="14" t="n">
        <f aca="false">sh_dil26</f>
        <v>7.453</v>
      </c>
      <c r="F6680" s="14" t="n">
        <f aca="false">(Sens!E6679+Sens!F6679)/2+dil_gap</f>
        <v>7.4735</v>
      </c>
      <c r="G6680" s="14" t="n">
        <f aca="false">(Sens!F6679+Sens!G6679)/2+dil_gap</f>
        <v>7.5185</v>
      </c>
      <c r="H6680" s="14" t="n">
        <f aca="false">(Sens!G6679+Sens!H6679)/2+dil_gap</f>
        <v>7.54625158584995</v>
      </c>
      <c r="I6680" s="14" t="n">
        <f aca="false">(Sens!H6679+Sens!I6679)/2+dil_gap</f>
        <v>7.55803241785726</v>
      </c>
      <c r="J6680" s="14" t="n">
        <f aca="false">(Sens!I6679+Sens!J6679)/2+dil_gap</f>
        <v>7.57227392897515</v>
      </c>
      <c r="K6680" s="14" t="n">
        <f aca="false">(Sens!J6679+Sens!K6679)/2+dil_gap</f>
        <v>7.58879384667689</v>
      </c>
    </row>
    <row r="6681" customFormat="false" ht="17.15" hidden="false" customHeight="false" outlineLevel="0" collapsed="false">
      <c r="A6681" s="1" t="s">
        <v>964</v>
      </c>
      <c r="B6681" s="0" t="s">
        <v>98</v>
      </c>
      <c r="C6681" s="6" t="n">
        <f aca="false">SUM(Sens!F6671:J6671)</f>
        <v>260.350536752823</v>
      </c>
    </row>
    <row r="6682" customFormat="false" ht="15" hidden="false" customHeight="false" outlineLevel="0" collapsed="false">
      <c r="A6682" s="23" t="s">
        <v>935</v>
      </c>
      <c r="B6682" s="30" t="s">
        <v>98</v>
      </c>
      <c r="C6682" s="24" t="n">
        <f aca="false">Sens!$C$6681-(Sens!F6671+Sens!G6671+Sens!H6671+Sens!I6671+Sens!J6671)</f>
        <v>0</v>
      </c>
      <c r="D6682" s="30"/>
      <c r="E6682" s="30"/>
      <c r="F6682" s="30"/>
      <c r="G6682" s="30"/>
      <c r="H6682" s="30"/>
      <c r="I6682" s="30"/>
      <c r="J6682" s="30"/>
      <c r="K6682" s="30"/>
    </row>
    <row r="6683" customFormat="false" ht="17.15" hidden="false" customHeight="false" outlineLevel="0" collapsed="false">
      <c r="A6683" s="1" t="s">
        <v>929</v>
      </c>
      <c r="B6683" s="1" t="s">
        <v>965</v>
      </c>
      <c r="C6683" s="32" t="str">
        <f aca="false">IF(SUM(Sens!F6674:J6674)&gt;0.05,"需要舉債 "&amp;TEXT(SUM(Sens!F6674:J6674),"0.0")&amp;" 十億美元","不需舉債")&amp;"；"&amp;IF(SUM(Sens!F6673:J6673)&lt;COUNT(Sens!F6673:J6673)*bb_target-0.05,"回購較每年 "&amp;TEXT(bb_target,"0.0")&amp;" 的目標少 "&amp;TEXT(COUNT(Sens!F6673:J6673)*bb_target-SUM(Sens!F6673:J6673),"0.0")&amp;" 十億美元（"&amp;TEXT(COUNTIF(Sens!F6673:J6673,"&lt;"&amp;(bb_target-0.05)),"0")&amp;" 年減少）","回購不減")</f>
        <v>需要舉債 12.9 十億美元；回購較每年 22.3 的目標少 44.5 十億美元（2 年減少）</v>
      </c>
    </row>
    <row r="6684" customFormat="false" ht="17.15" hidden="false" customHeight="false" outlineLevel="0" collapsed="false">
      <c r="A6684" s="3" t="s">
        <v>1408</v>
      </c>
    </row>
    <row r="6685" customFormat="false" ht="15" hidden="false" customHeight="false" outlineLevel="0" collapsed="false">
      <c r="A6685" s="4" t="s">
        <v>43</v>
      </c>
      <c r="B6685" s="4" t="s">
        <v>65</v>
      </c>
      <c r="C6685" s="20" t="s">
        <v>788</v>
      </c>
      <c r="D6685" s="20" t="s">
        <v>789</v>
      </c>
      <c r="E6685" s="20" t="s">
        <v>790</v>
      </c>
      <c r="F6685" s="20" t="s">
        <v>791</v>
      </c>
      <c r="G6685" s="20" t="s">
        <v>792</v>
      </c>
      <c r="H6685" s="20" t="s">
        <v>793</v>
      </c>
      <c r="I6685" s="20" t="s">
        <v>794</v>
      </c>
      <c r="J6685" s="20" t="s">
        <v>795</v>
      </c>
      <c r="K6685" s="20" t="s">
        <v>796</v>
      </c>
      <c r="L6685" s="4" t="s">
        <v>47</v>
      </c>
    </row>
    <row r="6686" customFormat="false" ht="15" hidden="false" customHeight="false" outlineLevel="0" collapsed="false">
      <c r="A6686" s="1" t="s">
        <v>1042</v>
      </c>
      <c r="B6686" s="1" t="s">
        <v>235</v>
      </c>
      <c r="F6686" s="36" t="n">
        <f aca="false">Sens!F6542-base_fy-mid_yr</f>
        <v>0.5</v>
      </c>
      <c r="G6686" s="36" t="n">
        <f aca="false">Sens!G6542-base_fy-mid_yr</f>
        <v>1.5</v>
      </c>
      <c r="H6686" s="36" t="n">
        <f aca="false">Sens!H6542-base_fy-mid_yr</f>
        <v>2.5</v>
      </c>
      <c r="I6686" s="36" t="n">
        <f aca="false">Sens!I6542-base_fy-mid_yr</f>
        <v>3.5</v>
      </c>
      <c r="J6686" s="36" t="n">
        <f aca="false">Sens!J6542-base_fy-mid_yr</f>
        <v>4.5</v>
      </c>
      <c r="K6686" s="36" t="n">
        <f aca="false">Sens!K6542-base_fy-mid_yr</f>
        <v>5.5</v>
      </c>
    </row>
    <row r="6687" customFormat="false" ht="15" hidden="false" customHeight="false" outlineLevel="0" collapsed="false">
      <c r="A6687" s="1" t="s">
        <v>1043</v>
      </c>
      <c r="B6687" s="0" t="s">
        <v>185</v>
      </c>
      <c r="F6687" s="14" t="n">
        <f aca="false">1/(1+wacc)^Sens!F6686</f>
        <v>0.952193373608246</v>
      </c>
      <c r="G6687" s="14" t="n">
        <f aca="false">1/(1+wacc)^Sens!G6686</f>
        <v>0.863327280626589</v>
      </c>
      <c r="H6687" s="14" t="n">
        <f aca="false">1/(1+wacc)^Sens!H6686</f>
        <v>0.782754862754115</v>
      </c>
      <c r="I6687" s="14" t="n">
        <f aca="false">1/(1+wacc)^Sens!I6686</f>
        <v>0.709702089711011</v>
      </c>
      <c r="J6687" s="14" t="n">
        <f aca="false">1/(1+wacc)^Sens!J6686</f>
        <v>0.643467169744551</v>
      </c>
      <c r="K6687" s="14" t="n">
        <f aca="false">1/(1+wacc)^Sens!K6686</f>
        <v>0.583413807767797</v>
      </c>
    </row>
    <row r="6688" customFormat="false" ht="17.15" hidden="false" customHeight="false" outlineLevel="0" collapsed="false">
      <c r="A6688" s="1" t="s">
        <v>1044</v>
      </c>
      <c r="B6688" s="0" t="s">
        <v>98</v>
      </c>
      <c r="F6688" s="6" t="n">
        <f aca="false">Sens!F6662-Sens!F6660-Sens!F6665+Sens!F6646*(1-tax_f)</f>
        <v>6.32472982150552</v>
      </c>
      <c r="G6688" s="6" t="n">
        <f aca="false">Sens!G6662-Sens!G6660-Sens!G6665+Sens!G6646*(1-tax_f)</f>
        <v>46.9766017324756</v>
      </c>
      <c r="H6688" s="6" t="n">
        <f aca="false">Sens!H6662-Sens!H6660-Sens!H6665+Sens!H6646*(1-tax_f)</f>
        <v>95.8416587048119</v>
      </c>
      <c r="I6688" s="6" t="n">
        <f aca="false">Sens!I6662-Sens!I6660-Sens!I6665+Sens!I6646*(1-tax_f)</f>
        <v>169.363709932815</v>
      </c>
      <c r="J6688" s="6" t="n">
        <f aca="false">Sens!J6662-Sens!J6660-Sens!J6665+Sens!J6646*(1-tax_f)</f>
        <v>246.72899548452</v>
      </c>
      <c r="K6688" s="6" t="n">
        <f aca="false">Sens!K6662-Sens!K6660-Sens!K6665+Sens!K6646*(1-tax_f)</f>
        <v>284.3712631723</v>
      </c>
      <c r="L6688" s="1" t="s">
        <v>1045</v>
      </c>
    </row>
    <row r="6689" customFormat="false" ht="15" hidden="false" customHeight="false" outlineLevel="0" collapsed="false">
      <c r="A6689" s="1" t="s">
        <v>1046</v>
      </c>
      <c r="B6689" s="0" t="s">
        <v>98</v>
      </c>
      <c r="F6689" s="6" t="n">
        <f aca="false">Sens!F6688*Sens!F6687</f>
        <v>6.02236582590002</v>
      </c>
      <c r="G6689" s="6" t="n">
        <f aca="false">Sens!G6688*Sens!G6687</f>
        <v>40.5561818267764</v>
      </c>
      <c r="H6689" s="6" t="n">
        <f aca="false">Sens!H6688*Sens!H6687</f>
        <v>75.0205244056118</v>
      </c>
      <c r="I6689" s="6" t="n">
        <f aca="false">Sens!I6688*Sens!I6687</f>
        <v>120.197778860528</v>
      </c>
      <c r="J6689" s="6" t="n">
        <f aca="false">Sens!J6688*Sens!J6687</f>
        <v>158.76200841834</v>
      </c>
      <c r="K6689" s="6" t="n">
        <f aca="false">Sens!K6688*Sens!K6687</f>
        <v>165.90612146709</v>
      </c>
    </row>
    <row r="6690" customFormat="false" ht="17.15" hidden="false" customHeight="false" outlineLevel="0" collapsed="false">
      <c r="A6690" s="1" t="s">
        <v>1047</v>
      </c>
      <c r="B6690" s="0" t="s">
        <v>98</v>
      </c>
      <c r="C6690" s="6" t="n">
        <f aca="false">SUM(Sens!F6689:K6689)</f>
        <v>566.464980804246</v>
      </c>
    </row>
    <row r="6691" customFormat="false" ht="17.15" hidden="false" customHeight="false" outlineLevel="0" collapsed="false">
      <c r="A6691" s="1" t="s">
        <v>1048</v>
      </c>
      <c r="B6691" s="0" t="s">
        <v>98</v>
      </c>
      <c r="C6691" s="6" t="n">
        <f aca="false">Sens!K6632*(1+g_tv)*(1-tax_f)</f>
        <v>293.71823480412</v>
      </c>
    </row>
    <row r="6692" customFormat="false" ht="17.15" hidden="false" customHeight="false" outlineLevel="0" collapsed="false">
      <c r="A6692" s="1" t="s">
        <v>1049</v>
      </c>
      <c r="B6692" s="0" t="s">
        <v>98</v>
      </c>
      <c r="C6692" s="6" t="n">
        <f aca="false">Sens!$C$6691*(1-g_tv/(wacc+ronic_prem))</f>
        <v>208.114730785026</v>
      </c>
    </row>
    <row r="6693" customFormat="false" ht="17.15" hidden="false" customHeight="false" outlineLevel="0" collapsed="false">
      <c r="A6693" s="1" t="s">
        <v>1050</v>
      </c>
      <c r="B6693" s="0" t="s">
        <v>98</v>
      </c>
      <c r="C6693" s="6" t="n">
        <f aca="false">Sens!$C$6692/(wacc-g_tv)</f>
        <v>2853.4501339698</v>
      </c>
    </row>
    <row r="6694" customFormat="false" ht="15" hidden="false" customHeight="false" outlineLevel="0" collapsed="false">
      <c r="A6694" s="1" t="s">
        <v>1051</v>
      </c>
      <c r="B6694" s="0" t="s">
        <v>98</v>
      </c>
      <c r="C6694" s="6" t="n">
        <f aca="false">Sens!$C$6693/(1+wacc)^(Sens!K6686+mid_yr)</f>
        <v>1585.15649916153</v>
      </c>
    </row>
    <row r="6695" customFormat="false" ht="17.15" hidden="false" customHeight="false" outlineLevel="0" collapsed="false">
      <c r="A6695" s="0" t="s">
        <v>972</v>
      </c>
      <c r="B6695" s="0" t="s">
        <v>98</v>
      </c>
      <c r="C6695" s="6" t="n">
        <f aca="false">Sens!$C$6690+Sens!$C$6694</f>
        <v>2151.62147996577</v>
      </c>
    </row>
    <row r="6696" customFormat="false" ht="15" hidden="false" customHeight="false" outlineLevel="0" collapsed="false">
      <c r="A6696" s="1" t="s">
        <v>973</v>
      </c>
      <c r="B6696" s="0" t="s">
        <v>129</v>
      </c>
      <c r="C6696" s="7" t="n">
        <f aca="false">Sens!$C$6694/Sens!$C$6695</f>
        <v>0.736726470673988</v>
      </c>
    </row>
    <row r="6697" customFormat="false" ht="17.15" hidden="false" customHeight="false" outlineLevel="0" collapsed="false">
      <c r="A6697" s="1" t="s">
        <v>1052</v>
      </c>
      <c r="B6697" s="0" t="s">
        <v>98</v>
      </c>
      <c r="C6697" s="6" t="n">
        <f aca="false">Sens!$C$6695+Sens!E6677-Sens!E6666+oai_v</f>
        <v>2286.13447996577</v>
      </c>
    </row>
    <row r="6698" customFormat="false" ht="17.15" hidden="false" customHeight="false" outlineLevel="0" collapsed="false">
      <c r="A6698" s="0" t="s">
        <v>980</v>
      </c>
      <c r="B6698" s="0" t="s">
        <v>75</v>
      </c>
      <c r="C6698" s="5" t="n">
        <f aca="false">Sens!$C$6697/sh_dil26</f>
        <v>306.740169054847</v>
      </c>
    </row>
    <row r="6699" customFormat="false" ht="15" hidden="false" customHeight="false" outlineLevel="0" collapsed="false">
      <c r="A6699" s="1" t="s">
        <v>1053</v>
      </c>
      <c r="B6699" s="0" t="s">
        <v>75</v>
      </c>
      <c r="C6699" s="8" t="n">
        <f aca="false">dps_27+Sens!G6669*roll_div_q/q_per_yr</f>
        <v>4.8895</v>
      </c>
    </row>
    <row r="6700" customFormat="false" ht="17.15" hidden="false" customHeight="false" outlineLevel="0" collapsed="false">
      <c r="A6700" s="0" t="s">
        <v>1054</v>
      </c>
      <c r="B6700" s="0" t="s">
        <v>75</v>
      </c>
      <c r="C6700" s="5" t="n">
        <f aca="false">Sens!$C$6698*(1+wacc)^t_roll-Sens!$C$6699</f>
        <v>344.405772411525</v>
      </c>
    </row>
    <row r="6701" customFormat="false" ht="17.15" hidden="false" customHeight="false" outlineLevel="0" collapsed="false">
      <c r="A6701" s="1" t="s">
        <v>1055</v>
      </c>
      <c r="B6701" s="0" t="s">
        <v>129</v>
      </c>
      <c r="F6701" s="7" t="n">
        <f aca="false">Sens!F6658/(Sens!F6603-Sens!F6559)</f>
        <v>0.0690065562557969</v>
      </c>
      <c r="G6701" s="7" t="n">
        <f aca="false">Sens!G6658/(Sens!G6603-Sens!G6559)</f>
        <v>0.0663028406557732</v>
      </c>
      <c r="H6701" s="7" t="n">
        <f aca="false">Sens!H6658/(Sens!H6603-Sens!H6559)</f>
        <v>0.0648874034966895</v>
      </c>
      <c r="I6701" s="7" t="n">
        <f aca="false">Sens!I6658/(Sens!I6603-Sens!I6559)</f>
        <v>0.0646226170189239</v>
      </c>
      <c r="J6701" s="7" t="n">
        <f aca="false">Sens!J6658/(Sens!J6603-Sens!J6559)</f>
        <v>0.0652594276909859</v>
      </c>
      <c r="K6701" s="7" t="n">
        <f aca="false">Sens!K6658/(Sens!K6603-Sens!K6559)</f>
        <v>0.0665079454530917</v>
      </c>
    </row>
    <row r="6702" customFormat="false" ht="17.15" hidden="false" customHeight="false" outlineLevel="0" collapsed="false">
      <c r="A6702" s="0" t="s">
        <v>1056</v>
      </c>
      <c r="B6702" s="0" t="s">
        <v>98</v>
      </c>
      <c r="F6702" s="6" t="n">
        <f aca="false">Sens!F6588*(al_m365+Sens!F6701+sbc_r)</f>
        <v>81.6108243128356</v>
      </c>
      <c r="G6702" s="6" t="n">
        <f aca="false">Sens!G6588*(al_m365+Sens!G6701+sbc_r)</f>
        <v>92.8894096127934</v>
      </c>
      <c r="H6702" s="6" t="n">
        <f aca="false">Sens!H6588*(al_m365+Sens!H6701+sbc_r)</f>
        <v>104.327375237468</v>
      </c>
      <c r="I6702" s="6" t="n">
        <f aca="false">Sens!I6588*(al_m365+Sens!I6701+sbc_r)</f>
        <v>115.026380264019</v>
      </c>
      <c r="J6702" s="6" t="n">
        <f aca="false">Sens!J6588*(al_m365+Sens!J6701+sbc_r)</f>
        <v>124.798147166014</v>
      </c>
      <c r="K6702" s="6" t="n">
        <f aca="false">Sens!K6588*(al_m365+Sens!K6701+sbc_r)</f>
        <v>134.174199705112</v>
      </c>
      <c r="L6702" s="11" t="s">
        <v>1057</v>
      </c>
    </row>
    <row r="6703" customFormat="false" ht="17.15" hidden="false" customHeight="false" outlineLevel="0" collapsed="false">
      <c r="A6703" s="0" t="s">
        <v>1058</v>
      </c>
      <c r="B6703" s="0" t="s">
        <v>98</v>
      </c>
      <c r="F6703" s="6" t="n">
        <f aca="false">Sens!F6589*(al_lic+Sens!F6701+sbc_r)</f>
        <v>33.4609080227012</v>
      </c>
      <c r="G6703" s="6" t="n">
        <f aca="false">Sens!G6589*(al_lic+Sens!G6701+sbc_r)</f>
        <v>34.7676732768541</v>
      </c>
      <c r="H6703" s="6" t="n">
        <f aca="false">Sens!H6589*(al_lic+Sens!H6701+sbc_r)</f>
        <v>35.9859060482947</v>
      </c>
      <c r="I6703" s="6" t="n">
        <f aca="false">Sens!I6589*(al_lic+Sens!I6701+sbc_r)</f>
        <v>37.0961351284114</v>
      </c>
      <c r="J6703" s="6" t="n">
        <f aca="false">Sens!J6589*(al_lic+Sens!J6701+sbc_r)</f>
        <v>38.0737155284194</v>
      </c>
      <c r="K6703" s="6" t="n">
        <f aca="false">Sens!K6589*(al_lic+Sens!K6701+sbc_r)</f>
        <v>38.892055936978</v>
      </c>
    </row>
    <row r="6704" customFormat="false" ht="17.15" hidden="false" customHeight="false" outlineLevel="0" collapsed="false">
      <c r="A6704" s="0" t="s">
        <v>1059</v>
      </c>
      <c r="B6704" s="0" t="s">
        <v>98</v>
      </c>
      <c r="F6704" s="6" t="n">
        <f aca="false">Sens!F6591*(al_ind+Sens!F6701+sbc_r)</f>
        <v>9.08573159481232</v>
      </c>
      <c r="G6704" s="6" t="n">
        <f aca="false">Sens!G6591*(al_ind+Sens!G6701+sbc_r)</f>
        <v>9.86575390574147</v>
      </c>
      <c r="H6704" s="6" t="n">
        <f aca="false">Sens!H6591*(al_ind+Sens!H6701+sbc_r)</f>
        <v>10.6898443454872</v>
      </c>
      <c r="I6704" s="6" t="n">
        <f aca="false">Sens!I6591*(al_ind+Sens!I6701+sbc_r)</f>
        <v>11.5541187454485</v>
      </c>
      <c r="J6704" s="6" t="n">
        <f aca="false">Sens!J6591*(al_ind+Sens!J6701+sbc_r)</f>
        <v>12.449390913757</v>
      </c>
      <c r="K6704" s="6" t="n">
        <f aca="false">Sens!K6591*(al_ind+Sens!K6701+sbc_r)</f>
        <v>13.3621537428976</v>
      </c>
    </row>
    <row r="6705" customFormat="false" ht="17.15" hidden="false" customHeight="false" outlineLevel="0" collapsed="false">
      <c r="A6705" s="0" t="s">
        <v>1060</v>
      </c>
      <c r="B6705" s="0" t="s">
        <v>98</v>
      </c>
      <c r="F6705" s="6" t="n">
        <f aca="false">Sens!F6593*(al_fro+Sens!F6701+sbc_r)</f>
        <v>3.57617585391308</v>
      </c>
      <c r="G6705" s="6" t="n">
        <f aca="false">Sens!G6593*(al_fro+Sens!G6701+sbc_r)</f>
        <v>3.7878662199243</v>
      </c>
      <c r="H6705" s="6" t="n">
        <f aca="false">Sens!H6593*(al_fro+Sens!H6701+sbc_r)</f>
        <v>4.02829923660232</v>
      </c>
      <c r="I6705" s="6" t="n">
        <f aca="false">Sens!I6593*(al_fro+Sens!I6701+sbc_r)</f>
        <v>4.29997275014155</v>
      </c>
      <c r="J6705" s="6" t="n">
        <f aca="false">Sens!J6593*(al_fro+Sens!J6701+sbc_r)</f>
        <v>4.60426318911244</v>
      </c>
      <c r="K6705" s="6" t="n">
        <f aca="false">Sens!K6593*(al_fro+Sens!K6701+sbc_r)</f>
        <v>4.94183796073904</v>
      </c>
    </row>
    <row r="6706" customFormat="false" ht="17.15" hidden="false" customHeight="false" outlineLevel="0" collapsed="false">
      <c r="A6706" s="0" t="s">
        <v>1061</v>
      </c>
      <c r="B6706" s="0" t="s">
        <v>98</v>
      </c>
      <c r="F6706" s="6" t="n">
        <f aca="false">Sens!F6596*(al_srch+Sens!F6701+sbc_r)</f>
        <v>11.2210097907153</v>
      </c>
      <c r="G6706" s="6" t="n">
        <f aca="false">Sens!G6596*(al_srch+Sens!G6701+sbc_r)</f>
        <v>12.2993126801897</v>
      </c>
      <c r="H6706" s="6" t="n">
        <f aca="false">Sens!H6596*(al_srch+Sens!H6701+sbc_r)</f>
        <v>13.4214874673528</v>
      </c>
      <c r="I6706" s="6" t="n">
        <f aca="false">Sens!I6596*(al_srch+Sens!I6701+sbc_r)</f>
        <v>14.5757847190076</v>
      </c>
      <c r="J6706" s="6" t="n">
        <f aca="false">Sens!J6596*(al_srch+Sens!J6701+sbc_r)</f>
        <v>15.7428343854265</v>
      </c>
      <c r="K6706" s="6" t="n">
        <f aca="false">Sens!K6596*(al_srch+Sens!K6701+sbc_r)</f>
        <v>16.897065476078</v>
      </c>
    </row>
    <row r="6707" customFormat="false" ht="17.15" hidden="false" customHeight="false" outlineLevel="0" collapsed="false">
      <c r="A6707" s="0" t="s">
        <v>1062</v>
      </c>
      <c r="B6707" s="0" t="s">
        <v>98</v>
      </c>
      <c r="F6707" s="6" t="n">
        <f aca="false">Sens!F6565-Sens!F6566+Sens!F6646</f>
        <v>54.7807453636923</v>
      </c>
      <c r="G6707" s="6" t="n">
        <f aca="false">Sens!G6565-Sens!G6566+Sens!G6646</f>
        <v>93.78169787598</v>
      </c>
      <c r="H6707" s="6" t="n">
        <f aca="false">Sens!H6565-Sens!H6566+Sens!H6646</f>
        <v>135.481584394469</v>
      </c>
      <c r="I6707" s="6" t="n">
        <f aca="false">Sens!I6565-Sens!I6566+Sens!I6646</f>
        <v>172.954821089689</v>
      </c>
      <c r="J6707" s="6" t="n">
        <f aca="false">Sens!J6565-Sens!J6566+Sens!J6646</f>
        <v>199.347798905938</v>
      </c>
      <c r="K6707" s="6" t="n">
        <f aca="false">Sens!K6565-Sens!K6566+Sens!K6646</f>
        <v>215.814300081339</v>
      </c>
    </row>
    <row r="6708" customFormat="false" ht="17.15" hidden="false" customHeight="false" outlineLevel="0" collapsed="false">
      <c r="A6708" s="0" t="s">
        <v>1063</v>
      </c>
      <c r="B6708" s="0" t="s">
        <v>98</v>
      </c>
      <c r="F6708" s="6" t="n">
        <f aca="false">Sens!F6625+Sens!F6646+Sens!F6576+Sens!F6701*(Sens!F6595-Sens!F6559)+sbc_r*Sens!F6595</f>
        <v>243.679467737589</v>
      </c>
      <c r="G6708" s="6" t="n">
        <f aca="false">Sens!G6625+Sens!G6646+Sens!G6576+Sens!G6701*(Sens!G6595-Sens!G6559)+sbc_r*Sens!G6595</f>
        <v>308.681139772545</v>
      </c>
      <c r="H6708" s="6" t="n">
        <f aca="false">Sens!H6625+Sens!H6646+Sens!H6576+Sens!H6701*(Sens!H6595-Sens!H6559)+sbc_r*Sens!H6595</f>
        <v>376.882373005524</v>
      </c>
      <c r="I6708" s="6" t="n">
        <f aca="false">Sens!I6625+Sens!I6646+Sens!I6576+Sens!I6701*(Sens!I6595-Sens!I6559)+sbc_r*Sens!I6595</f>
        <v>439.743791546869</v>
      </c>
      <c r="J6708" s="6" t="n">
        <f aca="false">Sens!J6625+Sens!J6646+Sens!J6576+Sens!J6701*(Sens!J6595-Sens!J6559)+sbc_r*Sens!J6595</f>
        <v>489.344373947292</v>
      </c>
      <c r="K6708" s="6" t="n">
        <f aca="false">Sens!K6625+Sens!K6646+Sens!K6576+Sens!K6701*(Sens!K6595-Sens!K6559)+sbc_r*Sens!K6595</f>
        <v>526.647745793396</v>
      </c>
    </row>
    <row r="6709" customFormat="false" ht="17.15" hidden="false" customHeight="false" outlineLevel="0" collapsed="false">
      <c r="A6709" s="0" t="s">
        <v>1064</v>
      </c>
      <c r="B6709" s="0" t="s">
        <v>98</v>
      </c>
      <c r="F6709" s="6" t="n">
        <f aca="false">Sens!F6708-Sens!F6702-Sens!F6703-Sens!F6704-Sens!F6705-Sens!F6707</f>
        <v>61.1650825896344</v>
      </c>
      <c r="G6709" s="6" t="n">
        <f aca="false">Sens!G6708-Sens!G6702-Sens!G6703-Sens!G6704-Sens!G6705-Sens!G6707</f>
        <v>73.5887388812518</v>
      </c>
      <c r="H6709" s="6" t="n">
        <f aca="false">Sens!H6708-Sens!H6702-Sens!H6703-Sens!H6704-Sens!H6705-Sens!H6707</f>
        <v>86.3693637432027</v>
      </c>
      <c r="I6709" s="6" t="n">
        <f aca="false">Sens!I6708-Sens!I6702-Sens!I6703-Sens!I6704-Sens!I6705-Sens!I6707</f>
        <v>98.8123635691596</v>
      </c>
      <c r="J6709" s="6" t="n">
        <f aca="false">Sens!J6708-Sens!J6702-Sens!J6703-Sens!J6704-Sens!J6705-Sens!J6707</f>
        <v>110.071058244052</v>
      </c>
      <c r="K6709" s="6" t="n">
        <f aca="false">Sens!K6708-Sens!K6702-Sens!K6703-Sens!K6704-Sens!K6705-Sens!K6707</f>
        <v>119.463198366331</v>
      </c>
    </row>
    <row r="6710" customFormat="false" ht="17.15" hidden="false" customHeight="false" outlineLevel="0" collapsed="false">
      <c r="A6710" s="0" t="s">
        <v>1065</v>
      </c>
      <c r="B6710" s="0" t="s">
        <v>98</v>
      </c>
      <c r="F6710" s="6" t="n">
        <f aca="false">Sens!F6627+Sens!F6701*Sens!F6602+sbc_r*Sens!F6602</f>
        <v>26.2258083441479</v>
      </c>
      <c r="G6710" s="6" t="n">
        <f aca="false">Sens!G6627+Sens!G6701*Sens!G6602+sbc_r*Sens!G6602</f>
        <v>26.8429863505434</v>
      </c>
      <c r="H6710" s="6" t="n">
        <f aca="false">Sens!H6627+Sens!H6701*Sens!H6602+sbc_r*Sens!H6602</f>
        <v>27.7248209141854</v>
      </c>
      <c r="I6710" s="6" t="n">
        <f aca="false">Sens!I6627+Sens!I6701*Sens!I6602+sbc_r*Sens!I6602</f>
        <v>28.8399171097543</v>
      </c>
      <c r="J6710" s="6" t="n">
        <f aca="false">Sens!J6627+Sens!J6701*Sens!J6602+sbc_r*Sens!J6602</f>
        <v>30.1548149806724</v>
      </c>
      <c r="K6710" s="6" t="n">
        <f aca="false">Sens!K6627+Sens!K6701*Sens!K6602+sbc_r*Sens!K6602</f>
        <v>31.6363618313609</v>
      </c>
    </row>
    <row r="6711" customFormat="false" ht="17.15" hidden="false" customHeight="false" outlineLevel="0" collapsed="false">
      <c r="A6711" s="0" t="s">
        <v>1066</v>
      </c>
      <c r="B6711" s="0" t="s">
        <v>98</v>
      </c>
      <c r="F6711" s="6" t="n">
        <f aca="false">(Sens!F6710-Sens!F6706)*Sens!F6598/(Sens!F6598+Sens!F6600)</f>
        <v>8.22548442237147</v>
      </c>
      <c r="G6711" s="6" t="n">
        <f aca="false">(Sens!G6710-Sens!G6706)*Sens!G6598/(Sens!G6598+Sens!G6600)</f>
        <v>7.8305475083231</v>
      </c>
      <c r="H6711" s="6" t="n">
        <f aca="false">(Sens!H6710-Sens!H6706)*Sens!H6598/(Sens!H6598+Sens!H6600)</f>
        <v>7.59711487983248</v>
      </c>
      <c r="I6711" s="6" t="n">
        <f aca="false">(Sens!I6710-Sens!I6706)*Sens!I6598/(Sens!I6598+Sens!I6600)</f>
        <v>7.50774311463612</v>
      </c>
      <c r="J6711" s="6" t="n">
        <f aca="false">(Sens!J6710-Sens!J6706)*Sens!J6598/(Sens!J6598+Sens!J6600)</f>
        <v>7.55125949308782</v>
      </c>
      <c r="K6711" s="6" t="n">
        <f aca="false">(Sens!K6710-Sens!K6706)*Sens!K6598/(Sens!K6598+Sens!K6600)</f>
        <v>7.72275890802819</v>
      </c>
    </row>
    <row r="6712" customFormat="false" ht="17.15" hidden="false" customHeight="false" outlineLevel="0" collapsed="false">
      <c r="A6712" s="0" t="s">
        <v>1067</v>
      </c>
      <c r="B6712" s="0" t="s">
        <v>98</v>
      </c>
      <c r="F6712" s="6" t="n">
        <f aca="false">Sens!F6710-Sens!F6706-Sens!F6711</f>
        <v>6.77931413106112</v>
      </c>
      <c r="G6712" s="6" t="n">
        <f aca="false">Sens!G6710-Sens!G6706-Sens!G6711</f>
        <v>6.71312616203061</v>
      </c>
      <c r="H6712" s="6" t="n">
        <f aca="false">Sens!H6710-Sens!H6706-Sens!H6711</f>
        <v>6.70621856700012</v>
      </c>
      <c r="I6712" s="6" t="n">
        <f aca="false">Sens!I6710-Sens!I6706-Sens!I6711</f>
        <v>6.75638927611058</v>
      </c>
      <c r="J6712" s="6" t="n">
        <f aca="false">Sens!J6710-Sens!J6706-Sens!J6711</f>
        <v>6.86072110215809</v>
      </c>
      <c r="K6712" s="6" t="n">
        <f aca="false">Sens!K6710-Sens!K6706-Sens!K6711</f>
        <v>7.01653744725471</v>
      </c>
    </row>
    <row r="6713" customFormat="false" ht="17.15" hidden="false" customHeight="false" outlineLevel="0" collapsed="false">
      <c r="A6713" s="0" t="s">
        <v>1068</v>
      </c>
      <c r="B6713" s="0" t="s">
        <v>98</v>
      </c>
      <c r="F6713" s="6" t="n">
        <f aca="false">Sens!F6707-tax_f*(Sens!F6707-Sens!F6576)-Sens!F6573</f>
        <v>-118.17834938831</v>
      </c>
      <c r="G6713" s="6" t="n">
        <f aca="false">Sens!G6707-tax_f*(Sens!G6707-Sens!G6576)-Sens!G6573</f>
        <v>-96.4362755303481</v>
      </c>
      <c r="H6713" s="6" t="n">
        <f aca="false">Sens!H6707-tax_f*(Sens!H6707-Sens!H6576)-Sens!H6573</f>
        <v>-62.1353551961967</v>
      </c>
      <c r="I6713" s="6" t="n">
        <f aca="false">Sens!I6707-tax_f*(Sens!I6707-Sens!I6576)-Sens!I6573</f>
        <v>-2.93420428605006</v>
      </c>
      <c r="J6713" s="6" t="n">
        <f aca="false">Sens!J6707-tax_f*(Sens!J6707-Sens!J6576)-Sens!J6573</f>
        <v>60.8137045911928</v>
      </c>
      <c r="K6713" s="6" t="n">
        <f aca="false">Sens!K6707-tax_f*(Sens!K6707-Sens!K6576)-Sens!K6573</f>
        <v>85.6327337840295</v>
      </c>
    </row>
    <row r="6714" customFormat="false" ht="17.15" hidden="false" customHeight="false" outlineLevel="0" collapsed="false">
      <c r="A6714" s="0" t="s">
        <v>1069</v>
      </c>
      <c r="B6714" s="0" t="s">
        <v>98</v>
      </c>
      <c r="F6714" s="6" t="n">
        <f aca="false">Sens!F6713*Sens!F6687</f>
        <v>-112.528641191509</v>
      </c>
      <c r="G6714" s="6" t="n">
        <f aca="false">Sens!G6713*Sens!G6687</f>
        <v>-83.2560675073718</v>
      </c>
      <c r="H6714" s="6" t="n">
        <f aca="false">Sens!H6713*Sens!H6687</f>
        <v>-48.6367514287772</v>
      </c>
      <c r="I6714" s="6" t="n">
        <f aca="false">Sens!I6713*Sens!I6687</f>
        <v>-2.08241091344873</v>
      </c>
      <c r="J6714" s="6" t="n">
        <f aca="false">Sens!J6713*Sens!J6687</f>
        <v>39.131622374976</v>
      </c>
      <c r="K6714" s="6" t="n">
        <f aca="false">Sens!K6713*Sens!K6687</f>
        <v>49.9593192865067</v>
      </c>
    </row>
    <row r="6715" customFormat="false" ht="17.15" hidden="false" customHeight="false" outlineLevel="0" collapsed="false">
      <c r="A6715" s="0" t="s">
        <v>1070</v>
      </c>
      <c r="B6715" s="0" t="s">
        <v>98</v>
      </c>
      <c r="C6715" s="6" t="n">
        <f aca="false">(Sens!K6707-Sens!K6576)*(1-tax_f)*(1+g_tv)*(1-g_tv/(wacc+ronic_prem))/(wacc-g_tv)/(1+wacc)^(Sens!K6686+mid_yr)</f>
        <v>338.465102600233</v>
      </c>
    </row>
    <row r="6716" customFormat="false" ht="17.15" hidden="false" customHeight="false" outlineLevel="0" collapsed="false">
      <c r="A6716" s="1" t="s">
        <v>1071</v>
      </c>
      <c r="B6716" s="0" t="s">
        <v>98</v>
      </c>
      <c r="C6716" s="6" t="n">
        <f aca="false">(SUM(Sens!F6714:K6714)+Sens!$C$6715)*(1+wacc)^t_roll</f>
        <v>206.170154892506</v>
      </c>
      <c r="L6716" s="11" t="s">
        <v>1072</v>
      </c>
    </row>
    <row r="6717" customFormat="false" ht="17.15" hidden="false" customHeight="false" outlineLevel="0" collapsed="false">
      <c r="A6717" s="1" t="s">
        <v>1073</v>
      </c>
      <c r="B6717" s="0" t="s">
        <v>98</v>
      </c>
      <c r="C6717" s="6" t="n">
        <f aca="false">(w_ntm28*Sens!G6565+(1-w_ntm28)*Sens!H6565)*m_ai</f>
        <v>454.922440830797</v>
      </c>
    </row>
    <row r="6718" customFormat="false" ht="17.15" hidden="false" customHeight="false" outlineLevel="0" collapsed="false">
      <c r="A6718" s="1" t="s">
        <v>1074</v>
      </c>
      <c r="B6718" s="0" t="s">
        <v>98</v>
      </c>
      <c r="C6718" s="6" t="n">
        <f aca="false">(w_ntm28*Sens!G6709+(1-w_ntm28)*Sens!H6709)*m_cloud</f>
        <v>1074.09810229746</v>
      </c>
    </row>
    <row r="6719" customFormat="false" ht="17.15" hidden="false" customHeight="false" outlineLevel="0" collapsed="false">
      <c r="A6719" s="1" t="s">
        <v>1075</v>
      </c>
      <c r="B6719" s="0" t="s">
        <v>98</v>
      </c>
      <c r="C6719" s="6" t="n">
        <f aca="false">(w_ntm28*Sens!G6702+(1-w_ntm28)*Sens!H6702)*m_sw</f>
        <v>1043.14135913895</v>
      </c>
    </row>
    <row r="6720" customFormat="false" ht="17.15" hidden="false" customHeight="false" outlineLevel="0" collapsed="false">
      <c r="A6720" s="1" t="s">
        <v>1076</v>
      </c>
      <c r="B6720" s="0" t="s">
        <v>98</v>
      </c>
      <c r="C6720" s="6" t="n">
        <f aca="false">(w_ntm28*Sens!G6703+(1-w_ntm28)*Sens!H6703)*m_sw</f>
        <v>379.744339455569</v>
      </c>
    </row>
    <row r="6721" customFormat="false" ht="17.15" hidden="false" customHeight="false" outlineLevel="0" collapsed="false">
      <c r="A6721" s="1" t="s">
        <v>1077</v>
      </c>
      <c r="B6721" s="0" t="s">
        <v>98</v>
      </c>
      <c r="C6721" s="6" t="n">
        <f aca="false">(w_ntm28*Sens!G6704+(1-w_ntm28)*Sens!H6704)*m_sw</f>
        <v>109.427459596835</v>
      </c>
    </row>
    <row r="6722" customFormat="false" ht="17.15" hidden="false" customHeight="false" outlineLevel="0" collapsed="false">
      <c r="A6722" s="1" t="s">
        <v>1078</v>
      </c>
      <c r="B6722" s="0" t="s">
        <v>98</v>
      </c>
      <c r="C6722" s="6" t="n">
        <f aca="false">(w_ntm28*Sens!G6705+(1-w_ntm28)*Sens!H6705)*m_sw</f>
        <v>41.7484286997152</v>
      </c>
    </row>
    <row r="6723" customFormat="false" ht="17.15" hidden="false" customHeight="false" outlineLevel="0" collapsed="false">
      <c r="A6723" s="1" t="s">
        <v>1079</v>
      </c>
      <c r="B6723" s="0" t="s">
        <v>98</v>
      </c>
      <c r="C6723" s="6" t="n">
        <f aca="false">(w_ntm28*Sens!G6706+(1-w_ntm28)*Sens!H6706)*m_ads</f>
        <v>115.351712359554</v>
      </c>
    </row>
    <row r="6724" customFormat="false" ht="17.15" hidden="false" customHeight="false" outlineLevel="0" collapsed="false">
      <c r="A6724" s="1" t="s">
        <v>1080</v>
      </c>
      <c r="B6724" s="0" t="s">
        <v>98</v>
      </c>
      <c r="C6724" s="6" t="n">
        <f aca="false">(w_ntm28*Sens!G6711+(1-w_ntm28)*Sens!H6711)*m_game</f>
        <v>97.9466808286284</v>
      </c>
    </row>
    <row r="6725" customFormat="false" ht="17.15" hidden="false" customHeight="false" outlineLevel="0" collapsed="false">
      <c r="A6725" s="1" t="s">
        <v>1081</v>
      </c>
      <c r="B6725" s="0" t="s">
        <v>98</v>
      </c>
      <c r="C6725" s="6" t="n">
        <f aca="false">(w_ntm28*Sens!G6712+(1-w_ntm28)*Sens!H6712)*m_pc</f>
        <v>97.1066220242794</v>
      </c>
    </row>
    <row r="6726" customFormat="false" ht="17.15" hidden="false" customHeight="false" outlineLevel="0" collapsed="false">
      <c r="A6726" s="1" t="s">
        <v>1082</v>
      </c>
      <c r="B6726" s="0" t="s">
        <v>98</v>
      </c>
      <c r="C6726" s="6" t="n">
        <f aca="false">Sens!$C$6716+Sens!$C$6718+Sens!$C$6719+Sens!$C$6720+Sens!$C$6721+Sens!$C$6722+Sens!$C$6723+Sens!$C$6724+Sens!$C$6725</f>
        <v>3164.7348592935</v>
      </c>
    </row>
    <row r="6727" customFormat="false" ht="17.15" hidden="false" customHeight="false" outlineLevel="0" collapsed="false">
      <c r="A6727" s="1" t="s">
        <v>1000</v>
      </c>
      <c r="B6727" s="0" t="s">
        <v>98</v>
      </c>
      <c r="C6727" s="6" t="n">
        <f aca="false">Sens!F6677+oai_v-Sens!F6666</f>
        <v>109.565656694217</v>
      </c>
      <c r="L6727" s="1" t="s">
        <v>1083</v>
      </c>
    </row>
    <row r="6728" customFormat="false" ht="15" hidden="false" customHeight="false" outlineLevel="0" collapsed="false">
      <c r="A6728" s="1" t="s">
        <v>1001</v>
      </c>
      <c r="B6728" s="0" t="s">
        <v>75</v>
      </c>
      <c r="C6728" s="5" t="n">
        <f aca="false">(Sens!$C$6726+Sens!$C$6727)/Sens!F6679</f>
        <v>438.209383831333</v>
      </c>
    </row>
    <row r="6729" customFormat="false" ht="17.15" hidden="false" customHeight="false" outlineLevel="0" collapsed="false">
      <c r="A6729" s="1" t="s">
        <v>1084</v>
      </c>
      <c r="B6729" s="0" t="s">
        <v>75</v>
      </c>
      <c r="C6729" s="5" t="n">
        <f aca="false">w_dcf*Sens!$C$6700+(1-w_dcf)*Sens!$C$6728</f>
        <v>391.307578121429</v>
      </c>
    </row>
    <row r="6730" customFormat="false" ht="17.15" hidden="false" customHeight="false" outlineLevel="0" collapsed="false">
      <c r="A6730" s="3" t="s">
        <v>1409</v>
      </c>
    </row>
    <row r="6731" customFormat="false" ht="15" hidden="false" customHeight="false" outlineLevel="0" collapsed="false">
      <c r="A6731" s="4" t="s">
        <v>43</v>
      </c>
      <c r="B6731" s="4" t="s">
        <v>65</v>
      </c>
      <c r="C6731" s="20" t="s">
        <v>788</v>
      </c>
      <c r="D6731" s="20" t="s">
        <v>789</v>
      </c>
      <c r="E6731" s="20" t="s">
        <v>790</v>
      </c>
      <c r="F6731" s="20" t="s">
        <v>791</v>
      </c>
      <c r="G6731" s="20" t="s">
        <v>792</v>
      </c>
      <c r="H6731" s="20" t="s">
        <v>793</v>
      </c>
      <c r="I6731" s="20" t="s">
        <v>794</v>
      </c>
      <c r="J6731" s="20" t="s">
        <v>795</v>
      </c>
      <c r="K6731" s="20" t="s">
        <v>796</v>
      </c>
      <c r="L6731" s="4" t="s">
        <v>47</v>
      </c>
    </row>
    <row r="6732" customFormat="false" ht="17.15" hidden="false" customHeight="false" outlineLevel="0" collapsed="false">
      <c r="A6732" s="1" t="s">
        <v>797</v>
      </c>
      <c r="B6732" s="1" t="s">
        <v>235</v>
      </c>
      <c r="C6732" s="28" t="n">
        <v>2024</v>
      </c>
      <c r="D6732" s="28" t="n">
        <v>2025</v>
      </c>
      <c r="E6732" s="28" t="n">
        <v>2026</v>
      </c>
      <c r="F6732" s="28" t="n">
        <v>2027</v>
      </c>
      <c r="G6732" s="28" t="n">
        <v>2028</v>
      </c>
      <c r="H6732" s="28" t="n">
        <v>2029</v>
      </c>
      <c r="I6732" s="28" t="n">
        <v>2030</v>
      </c>
      <c r="J6732" s="28" t="n">
        <v>2031</v>
      </c>
      <c r="K6732" s="28" t="n">
        <v>2032</v>
      </c>
    </row>
    <row r="6733" customFormat="false" ht="17.15" hidden="false" customHeight="false" outlineLevel="0" collapsed="false">
      <c r="A6733" s="1" t="s">
        <v>798</v>
      </c>
      <c r="B6733" s="0" t="s">
        <v>392</v>
      </c>
      <c r="F6733" s="29" t="n">
        <f aca="false">pace</f>
        <v>2527.2</v>
      </c>
      <c r="G6733" s="29" t="n">
        <f aca="false">pace</f>
        <v>2527.2</v>
      </c>
      <c r="H6733" s="29" t="n">
        <f aca="false">pace</f>
        <v>2527.2</v>
      </c>
      <c r="I6733" s="29" t="n">
        <f aca="false">pace+(g_tv*Sens!H6734-pace)*MIN(1,(Sens!I6732-pace_y0)/(pace_y1-pace_y0))</f>
        <v>1793.116</v>
      </c>
      <c r="J6733" s="29" t="n">
        <f aca="false">pace+(g_tv*Sens!H6734-pace)*MIN(1,(Sens!J6732-pace_y0)/(pace_y1-pace_y0))</f>
        <v>1059.032</v>
      </c>
      <c r="K6733" s="29" t="n">
        <f aca="false">pace+(g_tv*Sens!H6734-pace)*MIN(1,(Sens!K6732-pace_y0)/(pace_y1-pace_y0))</f>
        <v>324.948</v>
      </c>
      <c r="L6733" s="11" t="s">
        <v>799</v>
      </c>
    </row>
    <row r="6734" customFormat="false" ht="17.15" hidden="false" customHeight="false" outlineLevel="0" collapsed="false">
      <c r="A6734" s="1" t="s">
        <v>800</v>
      </c>
      <c r="B6734" s="0" t="s">
        <v>392</v>
      </c>
      <c r="C6734" s="29" t="n">
        <f aca="false">mw_ext_24</f>
        <v>640</v>
      </c>
      <c r="D6734" s="29" t="n">
        <f aca="false">mw_ext_25</f>
        <v>1630</v>
      </c>
      <c r="E6734" s="29" t="n">
        <f aca="false">mw_ext_26</f>
        <v>3250</v>
      </c>
      <c r="F6734" s="29" t="n">
        <f aca="false">Sens!E6734+Sens!F6733</f>
        <v>5777.2</v>
      </c>
      <c r="G6734" s="29" t="n">
        <f aca="false">Sens!F6734+Sens!G6733</f>
        <v>8304.4</v>
      </c>
      <c r="H6734" s="29" t="n">
        <f aca="false">Sens!G6734+Sens!H6733</f>
        <v>10831.6</v>
      </c>
      <c r="I6734" s="29" t="n">
        <f aca="false">Sens!H6734+Sens!I6733</f>
        <v>12624.716</v>
      </c>
      <c r="J6734" s="29" t="n">
        <f aca="false">Sens!I6734+Sens!J6733</f>
        <v>13683.748</v>
      </c>
      <c r="K6734" s="29" t="n">
        <f aca="false">Sens!J6734+Sens!K6733</f>
        <v>14008.696</v>
      </c>
      <c r="L6734" s="1" t="s">
        <v>801</v>
      </c>
    </row>
    <row r="6735" customFormat="false" ht="17.15" hidden="false" customHeight="false" outlineLevel="0" collapsed="false">
      <c r="A6735" s="1" t="s">
        <v>802</v>
      </c>
      <c r="B6735" s="0" t="s">
        <v>392</v>
      </c>
      <c r="C6735" s="29" t="n">
        <f aca="false">rent_ext_24</f>
        <v>150</v>
      </c>
      <c r="D6735" s="29" t="n">
        <f aca="false">rent_ext_25</f>
        <v>400</v>
      </c>
      <c r="E6735" s="29" t="n">
        <f aca="false">rent_ext_26</f>
        <v>550</v>
      </c>
      <c r="F6735" s="29" t="n">
        <f aca="false">rent_ext_f</f>
        <v>756</v>
      </c>
      <c r="G6735" s="29" t="n">
        <f aca="false">rent_ext_f</f>
        <v>756</v>
      </c>
      <c r="H6735" s="29" t="n">
        <f aca="false">rent_ext_f</f>
        <v>756</v>
      </c>
      <c r="I6735" s="29" t="n">
        <f aca="false">rent_ext_f</f>
        <v>756</v>
      </c>
      <c r="J6735" s="29" t="n">
        <f aca="false">rent_ext_f</f>
        <v>756</v>
      </c>
      <c r="K6735" s="29" t="n">
        <f aca="false">rent_ext_f</f>
        <v>756</v>
      </c>
      <c r="L6735" s="1" t="s">
        <v>803</v>
      </c>
    </row>
    <row r="6736" customFormat="false" ht="17.15" hidden="false" customHeight="false" outlineLevel="0" collapsed="false">
      <c r="A6736" s="1" t="s">
        <v>804</v>
      </c>
      <c r="B6736" s="0" t="s">
        <v>392</v>
      </c>
      <c r="C6736" s="29" t="n">
        <f aca="false">Sens!C6734-Sens!C6735</f>
        <v>490</v>
      </c>
      <c r="D6736" s="29" t="n">
        <f aca="false">Sens!D6734-Sens!D6735</f>
        <v>1230</v>
      </c>
      <c r="E6736" s="29" t="n">
        <f aca="false">Sens!E6734-Sens!E6735</f>
        <v>2700</v>
      </c>
      <c r="F6736" s="29" t="n">
        <f aca="false">Sens!F6734-Sens!F6735</f>
        <v>5021.2</v>
      </c>
      <c r="G6736" s="29" t="n">
        <f aca="false">Sens!G6734-Sens!G6735</f>
        <v>7548.4</v>
      </c>
      <c r="H6736" s="29" t="n">
        <f aca="false">Sens!H6734-Sens!H6735</f>
        <v>10075.6</v>
      </c>
      <c r="I6736" s="29" t="n">
        <f aca="false">Sens!I6734-Sens!I6735</f>
        <v>11868.716</v>
      </c>
      <c r="J6736" s="29" t="n">
        <f aca="false">Sens!J6734-Sens!J6735</f>
        <v>12927.748</v>
      </c>
      <c r="K6736" s="29" t="n">
        <f aca="false">Sens!K6734-Sens!K6735</f>
        <v>13252.696</v>
      </c>
    </row>
    <row r="6737" customFormat="false" ht="17.15" hidden="false" customHeight="false" outlineLevel="0" collapsed="false">
      <c r="A6737" s="1" t="s">
        <v>805</v>
      </c>
      <c r="B6737" s="0" t="s">
        <v>392</v>
      </c>
      <c r="C6737" s="29" t="n">
        <f aca="false">Sens!C6736/ext_sh</f>
        <v>816.666666666667</v>
      </c>
      <c r="D6737" s="29" t="n">
        <f aca="false">Sens!D6736/ext_sh</f>
        <v>2050</v>
      </c>
      <c r="E6737" s="29" t="n">
        <f aca="false">Sens!E6736/ext_sh</f>
        <v>4500</v>
      </c>
      <c r="F6737" s="29" t="n">
        <f aca="false">Sens!F6736/ext_sh</f>
        <v>8368.66666666667</v>
      </c>
      <c r="G6737" s="29" t="n">
        <f aca="false">Sens!G6736/ext_sh</f>
        <v>12580.6666666667</v>
      </c>
      <c r="H6737" s="29" t="n">
        <f aca="false">Sens!H6736/ext_sh</f>
        <v>16792.6666666667</v>
      </c>
      <c r="I6737" s="29" t="n">
        <f aca="false">Sens!I6736/ext_sh</f>
        <v>19781.1933333333</v>
      </c>
      <c r="J6737" s="29" t="n">
        <f aca="false">Sens!J6736/ext_sh</f>
        <v>21546.2466666667</v>
      </c>
      <c r="K6737" s="29" t="n">
        <f aca="false">Sens!K6736/ext_sh</f>
        <v>22087.8266666667</v>
      </c>
      <c r="L6737" s="1" t="s">
        <v>806</v>
      </c>
    </row>
    <row r="6738" customFormat="false" ht="17.15" hidden="false" customHeight="false" outlineLevel="0" collapsed="false">
      <c r="A6738" s="1" t="s">
        <v>807</v>
      </c>
      <c r="B6738" s="0" t="s">
        <v>392</v>
      </c>
      <c r="C6738" s="29" t="n">
        <f aca="false">Sens!C6737-Sens!C6736</f>
        <v>326.666666666667</v>
      </c>
      <c r="D6738" s="29" t="n">
        <f aca="false">Sens!D6737-Sens!D6736</f>
        <v>820</v>
      </c>
      <c r="E6738" s="29" t="n">
        <f aca="false">Sens!E6737-Sens!E6736</f>
        <v>1800</v>
      </c>
      <c r="F6738" s="29" t="n">
        <f aca="false">Sens!F6737-Sens!F6736</f>
        <v>3347.46666666667</v>
      </c>
      <c r="G6738" s="29" t="n">
        <f aca="false">Sens!G6737-Sens!G6736</f>
        <v>5032.26666666667</v>
      </c>
      <c r="H6738" s="29" t="n">
        <f aca="false">Sens!H6737-Sens!H6736</f>
        <v>6717.06666666667</v>
      </c>
      <c r="I6738" s="29" t="n">
        <f aca="false">Sens!I6737-Sens!I6736</f>
        <v>7912.47733333333</v>
      </c>
      <c r="J6738" s="29" t="n">
        <f aca="false">Sens!J6737-Sens!J6736</f>
        <v>8618.49866666667</v>
      </c>
      <c r="K6738" s="29" t="n">
        <f aca="false">Sens!K6737-Sens!K6736</f>
        <v>8835.13066666667</v>
      </c>
    </row>
    <row r="6739" customFormat="false" ht="17.15" hidden="false" customHeight="false" outlineLevel="0" collapsed="false">
      <c r="A6739" s="1" t="s">
        <v>808</v>
      </c>
      <c r="B6739" s="0" t="s">
        <v>392</v>
      </c>
      <c r="C6739" s="29" t="n">
        <f aca="false">Sens!C6737</f>
        <v>816.666666666667</v>
      </c>
      <c r="D6739" s="29" t="n">
        <f aca="false">Sens!D6737-Sens!C6737</f>
        <v>1233.33333333333</v>
      </c>
      <c r="E6739" s="29" t="n">
        <f aca="false">Sens!E6737-Sens!D6737</f>
        <v>2450</v>
      </c>
      <c r="F6739" s="29" t="n">
        <f aca="false">Sens!F6737-Sens!E6737</f>
        <v>3868.66666666667</v>
      </c>
      <c r="G6739" s="29" t="n">
        <f aca="false">Sens!G6737-Sens!F6737</f>
        <v>4212</v>
      </c>
      <c r="H6739" s="29" t="n">
        <f aca="false">Sens!H6737-Sens!G6737</f>
        <v>4212</v>
      </c>
      <c r="I6739" s="29" t="n">
        <f aca="false">Sens!I6737-Sens!H6737</f>
        <v>2988.52666666667</v>
      </c>
      <c r="J6739" s="29" t="n">
        <f aca="false">Sens!J6737-Sens!I6737</f>
        <v>1765.05333333333</v>
      </c>
      <c r="K6739" s="29" t="n">
        <f aca="false">Sens!K6737-Sens!J6737</f>
        <v>541.580000000002</v>
      </c>
    </row>
    <row r="6740" customFormat="false" ht="17.15" hidden="false" customHeight="false" outlineLevel="0" collapsed="false">
      <c r="A6740" s="1" t="s">
        <v>809</v>
      </c>
      <c r="B6740" s="0" t="s">
        <v>392</v>
      </c>
      <c r="D6740" s="29" t="n">
        <f aca="false">Sens!D6734-Sens!C6734</f>
        <v>990</v>
      </c>
      <c r="E6740" s="29" t="n">
        <f aca="false">Sens!E6734-Sens!D6734</f>
        <v>1620</v>
      </c>
      <c r="F6740" s="29" t="n">
        <f aca="false">Sens!F6734-Sens!E6734</f>
        <v>2527.2</v>
      </c>
      <c r="G6740" s="29" t="n">
        <f aca="false">Sens!G6734-Sens!F6734</f>
        <v>2527.2</v>
      </c>
      <c r="H6740" s="29" t="n">
        <f aca="false">Sens!H6734-Sens!G6734</f>
        <v>2527.2</v>
      </c>
      <c r="I6740" s="29" t="n">
        <f aca="false">Sens!I6734-Sens!H6734</f>
        <v>1793.116</v>
      </c>
      <c r="J6740" s="29" t="n">
        <f aca="false">Sens!J6734-Sens!I6734</f>
        <v>1059.032</v>
      </c>
      <c r="K6740" s="29" t="n">
        <f aca="false">Sens!K6734-Sens!J6734</f>
        <v>324.948</v>
      </c>
    </row>
    <row r="6741" customFormat="false" ht="17.15" hidden="false" customHeight="false" outlineLevel="0" collapsed="false">
      <c r="A6741" s="1" t="s">
        <v>810</v>
      </c>
      <c r="B6741" s="0" t="s">
        <v>392</v>
      </c>
      <c r="F6741" s="29" t="n">
        <f aca="false">Sens!F6758*ext_sh</f>
        <v>0</v>
      </c>
      <c r="G6741" s="29" t="n">
        <f aca="false">Sens!G6758*ext_sh</f>
        <v>0</v>
      </c>
      <c r="H6741" s="29" t="n">
        <f aca="false">Sens!H6758*ext_sh</f>
        <v>0</v>
      </c>
      <c r="I6741" s="29" t="n">
        <f aca="false">Sens!I6758*ext_sh</f>
        <v>490</v>
      </c>
      <c r="J6741" s="29" t="n">
        <f aca="false">Sens!J6758*ext_sh</f>
        <v>740</v>
      </c>
      <c r="K6741" s="29" t="n">
        <f aca="false">Sens!K6758*ext_sh</f>
        <v>1470</v>
      </c>
      <c r="L6741" s="1" t="s">
        <v>811</v>
      </c>
    </row>
    <row r="6742" customFormat="false" ht="17.15" hidden="false" customHeight="false" outlineLevel="0" collapsed="false">
      <c r="A6742" s="1" t="s">
        <v>812</v>
      </c>
      <c r="B6742" s="0" t="s">
        <v>392</v>
      </c>
      <c r="C6742" s="29" t="n">
        <f aca="false">mix_h*Sens!C6734</f>
        <v>128</v>
      </c>
      <c r="D6742" s="29" t="n">
        <f aca="false">mix_h*Sens!D6734</f>
        <v>326</v>
      </c>
      <c r="E6742" s="29" t="n">
        <f aca="false">mix_h*Sens!E6734</f>
        <v>650</v>
      </c>
      <c r="F6742" s="29" t="n">
        <f aca="false">Sens!E6742-Sens!F6741*mix_h</f>
        <v>650</v>
      </c>
      <c r="G6742" s="29" t="n">
        <f aca="false">Sens!F6742-Sens!G6741*mix_h</f>
        <v>650</v>
      </c>
      <c r="H6742" s="29" t="n">
        <f aca="false">Sens!G6742-Sens!H6741*mix_h</f>
        <v>650</v>
      </c>
      <c r="I6742" s="29" t="n">
        <f aca="false">Sens!H6742-Sens!I6741*mix_h</f>
        <v>552</v>
      </c>
      <c r="J6742" s="29" t="n">
        <f aca="false">Sens!I6742-Sens!J6741*mix_h</f>
        <v>404</v>
      </c>
      <c r="K6742" s="29" t="n">
        <f aca="false">Sens!J6742-Sens!K6741*mix_h</f>
        <v>110</v>
      </c>
    </row>
    <row r="6743" customFormat="false" ht="17.15" hidden="false" customHeight="false" outlineLevel="0" collapsed="false">
      <c r="A6743" s="1" t="s">
        <v>813</v>
      </c>
      <c r="B6743" s="0" t="s">
        <v>392</v>
      </c>
      <c r="C6743" s="29" t="n">
        <f aca="false">mix_g2*Sens!C6734</f>
        <v>288</v>
      </c>
      <c r="D6743" s="29" t="n">
        <f aca="false">mix_g2*Sens!D6734</f>
        <v>733.5</v>
      </c>
      <c r="E6743" s="29" t="n">
        <f aca="false">mix_g2*Sens!E6734</f>
        <v>1462.5</v>
      </c>
      <c r="F6743" s="29" t="n">
        <f aca="false">Sens!E6743-Sens!F6741*mix_g2</f>
        <v>1462.5</v>
      </c>
      <c r="G6743" s="29" t="n">
        <f aca="false">Sens!F6743-Sens!G6741*mix_g2</f>
        <v>1462.5</v>
      </c>
      <c r="H6743" s="29" t="n">
        <f aca="false">Sens!G6743-Sens!H6741*mix_g2</f>
        <v>1462.5</v>
      </c>
      <c r="I6743" s="29" t="n">
        <f aca="false">Sens!H6743-Sens!I6741*mix_g2</f>
        <v>1242</v>
      </c>
      <c r="J6743" s="29" t="n">
        <f aca="false">Sens!I6743-Sens!J6741*mix_g2</f>
        <v>909</v>
      </c>
      <c r="K6743" s="29" t="n">
        <f aca="false">Sens!J6743-Sens!K6741*mix_g2</f>
        <v>247.5</v>
      </c>
    </row>
    <row r="6744" customFormat="false" ht="17.15" hidden="false" customHeight="false" outlineLevel="0" collapsed="false">
      <c r="A6744" s="1" t="s">
        <v>814</v>
      </c>
      <c r="B6744" s="0" t="s">
        <v>392</v>
      </c>
      <c r="C6744" s="29" t="n">
        <f aca="false">mix_g3*Sens!C6734</f>
        <v>224</v>
      </c>
      <c r="D6744" s="29" t="n">
        <f aca="false">mix_g3*Sens!D6734</f>
        <v>570.5</v>
      </c>
      <c r="E6744" s="29" t="n">
        <f aca="false">mix_g3*Sens!E6734</f>
        <v>1137.5</v>
      </c>
      <c r="F6744" s="29" t="n">
        <f aca="false">Sens!E6744+(Sens!F6740+Sens!F6741)*a_g3_27-Sens!F6741*mix_g3</f>
        <v>2906.54</v>
      </c>
      <c r="G6744" s="29" t="n">
        <f aca="false">Sens!F6744+(Sens!G6740+Sens!G6741)*a_g3_28-Sens!G6741*mix_g3</f>
        <v>3664.7</v>
      </c>
      <c r="H6744" s="29" t="n">
        <f aca="false">Sens!G6744+(Sens!H6740+Sens!H6741)*a_g3_29-Sens!H6741*mix_g3</f>
        <v>3917.42</v>
      </c>
      <c r="I6744" s="29" t="n">
        <f aca="false">Sens!H6744+(Sens!I6740+Sens!I6741)*a_g3_29-Sens!I6741*mix_g3</f>
        <v>3974.2316</v>
      </c>
      <c r="J6744" s="29" t="n">
        <f aca="false">Sens!I6744+(Sens!J6740+Sens!J6741)*a_g3_29-Sens!J6741*mix_g3</f>
        <v>3895.1348</v>
      </c>
      <c r="K6744" s="29" t="n">
        <f aca="false">Sens!J6744+(Sens!K6740+Sens!K6741)*a_g3_29-Sens!K6741*mix_g3</f>
        <v>3560.1296</v>
      </c>
    </row>
    <row r="6745" customFormat="false" ht="17.15" hidden="false" customHeight="false" outlineLevel="0" collapsed="false">
      <c r="A6745" s="1" t="s">
        <v>815</v>
      </c>
      <c r="B6745" s="0" t="s">
        <v>392</v>
      </c>
      <c r="C6745" s="29" t="n">
        <v>0</v>
      </c>
      <c r="D6745" s="29" t="n">
        <v>0</v>
      </c>
      <c r="E6745" s="29" t="n">
        <v>0</v>
      </c>
      <c r="F6745" s="29" t="n">
        <f aca="false">Sens!E6745+(Sens!F6740+Sens!F6741)*(1-a_g3_27)</f>
        <v>758.16</v>
      </c>
      <c r="G6745" s="29" t="n">
        <f aca="false">Sens!F6745+(Sens!G6740+Sens!G6741)*(1-a_g3_28)</f>
        <v>2527.2</v>
      </c>
      <c r="H6745" s="29" t="n">
        <f aca="false">Sens!G6745+(Sens!H6740+Sens!H6741)*(1-a_g3_29)</f>
        <v>4801.68</v>
      </c>
      <c r="I6745" s="29" t="n">
        <f aca="false">Sens!H6745+(Sens!I6740+Sens!I6741)*(1-a_g3_29)</f>
        <v>6856.4844</v>
      </c>
      <c r="J6745" s="29" t="n">
        <f aca="false">Sens!I6745+(Sens!J6740+Sens!J6741)*(1-a_g3_29)</f>
        <v>8475.6132</v>
      </c>
      <c r="K6745" s="29" t="n">
        <f aca="false">Sens!J6745+(Sens!K6740+Sens!K6741)*(1-a_g3_29)</f>
        <v>10091.0664</v>
      </c>
    </row>
    <row r="6746" customFormat="false" ht="17.15" hidden="false" customHeight="false" outlineLevel="0" collapsed="false">
      <c r="A6746" s="1" t="s">
        <v>816</v>
      </c>
      <c r="B6746" s="0" t="s">
        <v>339</v>
      </c>
      <c r="C6746" s="14" t="n">
        <f aca="false">(Sens!C6742*tk_hold_h100+Sens!C6743*tk_hold_gb200+Sens!C6744*tk_hold_gb300+Sens!C6745*tk_hold_vr200)/Sens!C6734</f>
        <v>9.7235358126469</v>
      </c>
      <c r="D6746" s="14" t="n">
        <f aca="false">(Sens!D6742*tk_hold_h100+Sens!D6743*tk_hold_gb200+Sens!D6744*tk_hold_gb300+Sens!D6745*tk_hold_vr200)/Sens!D6734</f>
        <v>9.7235358126469</v>
      </c>
      <c r="E6746" s="14" t="n">
        <f aca="false">(Sens!E6742*tk_hold_h100+Sens!E6743*tk_hold_gb200+Sens!E6744*tk_hold_gb300+Sens!E6745*tk_hold_vr200)/Sens!E6734</f>
        <v>9.7235358126469</v>
      </c>
      <c r="F6746" s="14" t="n">
        <f aca="false">(Sens!F6742*tk_hold_h100+Sens!F6743*tk_hold_gb200+Sens!F6744*tk_hold_gb300+Sens!F6745*tk_hold_vr200)/Sens!F6734</f>
        <v>10.4079573161931</v>
      </c>
      <c r="G6746" s="14" t="n">
        <f aca="false">(Sens!G6742*tk_hold_h100+Sens!G6743*tk_hold_gb200+Sens!G6744*tk_hold_gb300+Sens!G6745*tk_hold_vr200)/Sens!G6734</f>
        <v>10.8388131109316</v>
      </c>
      <c r="H6746" s="14" t="n">
        <f aca="false">(Sens!H6742*tk_hold_h100+Sens!H6743*tk_hold_gb200+Sens!H6744*tk_hold_gb300+Sens!H6745*tk_hold_vr200)/Sens!H6734</f>
        <v>11.1311018388216</v>
      </c>
      <c r="I6746" s="14" t="n">
        <f aca="false">(Sens!I6742*tk_hold_h100+Sens!I6743*tk_hold_gb200+Sens!I6744*tk_hold_gb300+Sens!I6745*tk_hold_vr200)/Sens!I6734</f>
        <v>11.3594282560989</v>
      </c>
      <c r="J6746" s="14" t="n">
        <f aca="false">(Sens!J6742*tk_hold_h100+Sens!J6743*tk_hold_gb200+Sens!J6744*tk_hold_gb300+Sens!J6745*tk_hold_vr200)/Sens!J6734</f>
        <v>11.5441508808221</v>
      </c>
      <c r="K6746" s="14" t="n">
        <f aca="false">(Sens!K6742*tk_hold_h100+Sens!K6743*tk_hold_gb200+Sens!K6744*tk_hold_gb300+Sens!K6745*tk_hold_vr200)/Sens!K6734</f>
        <v>11.8053375063575</v>
      </c>
    </row>
    <row r="6747" customFormat="false" ht="17.15" hidden="false" customHeight="false" outlineLevel="0" collapsed="false">
      <c r="A6747" s="0" t="s">
        <v>817</v>
      </c>
      <c r="B6747" s="0" t="s">
        <v>185</v>
      </c>
      <c r="C6747" s="14" t="n">
        <f aca="false">k_B</f>
        <v>1.17213932619116</v>
      </c>
      <c r="D6747" s="14" t="n">
        <f aca="false">k_B</f>
        <v>1.17213932619116</v>
      </c>
      <c r="E6747" s="14" t="n">
        <f aca="false">k_B</f>
        <v>1.17213932619116</v>
      </c>
      <c r="F6747" s="14" t="n">
        <f aca="false">(k_B+((ls_C*k_long+(1-ls_C)*k_spot)-k_B)*MIN(1,(Sens!F6732-base_fy)/k_ramp))</f>
        <v>1.07843258004497</v>
      </c>
      <c r="G6747" s="14" t="n">
        <f aca="false">(k_B+((ls_C*k_long+(1-ls_C)*k_spot)-k_B)*MIN(1,(Sens!G6732-base_fy)/k_ramp))</f>
        <v>0.984725833898784</v>
      </c>
      <c r="H6747" s="14" t="n">
        <f aca="false">(k_B+((ls_C*k_long+(1-ls_C)*k_spot)-k_B)*MIN(1,(Sens!H6732-base_fy)/k_ramp))</f>
        <v>0.891019087752599</v>
      </c>
      <c r="I6747" s="14" t="n">
        <f aca="false">(k_B+((ls_C*k_long+(1-ls_C)*k_spot)-k_B)*MIN(1,(Sens!I6732-base_fy)/k_ramp))</f>
        <v>0.891019087752599</v>
      </c>
      <c r="J6747" s="14" t="n">
        <f aca="false">(k_B+((ls_C*k_long+(1-ls_C)*k_spot)-k_B)*MIN(1,(Sens!J6732-base_fy)/k_ramp))</f>
        <v>0.891019087752599</v>
      </c>
      <c r="K6747" s="14" t="n">
        <f aca="false">(k_B+((ls_C*k_long+(1-ls_C)*k_spot)-k_B)*MIN(1,(Sens!K6732-base_fy)/k_ramp))</f>
        <v>0.891019087752599</v>
      </c>
      <c r="L6747" s="1" t="s">
        <v>818</v>
      </c>
    </row>
    <row r="6748" customFormat="false" ht="17.15" hidden="false" customHeight="false" outlineLevel="0" collapsed="false">
      <c r="A6748" s="1" t="s">
        <v>819</v>
      </c>
      <c r="B6748" s="0" t="s">
        <v>339</v>
      </c>
      <c r="C6748" s="14" t="n">
        <f aca="false">Sens!C6746*Sens!C6747*chip_f</f>
        <v>11.3973387156315</v>
      </c>
      <c r="D6748" s="14" t="n">
        <f aca="false">Sens!D6746*Sens!D6747*chip_f</f>
        <v>11.3973387156315</v>
      </c>
      <c r="E6748" s="14" t="n">
        <f aca="false">Sens!E6746*Sens!E6747*chip_f</f>
        <v>11.3973387156315</v>
      </c>
      <c r="F6748" s="14" t="n">
        <f aca="false">Sens!F6746*Sens!F6747*chip_f</f>
        <v>11.2242802615</v>
      </c>
      <c r="G6748" s="14" t="n">
        <f aca="false">Sens!G6746*Sens!G6747*chip_f</f>
        <v>10.6732592791352</v>
      </c>
      <c r="H6748" s="14" t="n">
        <f aca="false">Sens!H6746*Sens!H6747*chip_f</f>
        <v>9.91802420610807</v>
      </c>
      <c r="I6748" s="14" t="n">
        <f aca="false">Sens!I6746*Sens!I6747*chip_f</f>
        <v>10.1214674021403</v>
      </c>
      <c r="J6748" s="14" t="n">
        <f aca="false">Sens!J6746*Sens!J6747*chip_f</f>
        <v>10.2860587867084</v>
      </c>
      <c r="K6748" s="14" t="n">
        <f aca="false">Sens!K6746*Sens!K6747*chip_f</f>
        <v>10.5187810555262</v>
      </c>
      <c r="L6748" s="1" t="s">
        <v>820</v>
      </c>
    </row>
    <row r="6749" customFormat="false" ht="17.15" hidden="false" customHeight="false" outlineLevel="0" collapsed="false">
      <c r="A6749" s="0" t="s">
        <v>821</v>
      </c>
      <c r="B6749" s="0" t="s">
        <v>98</v>
      </c>
      <c r="D6749" s="6" t="n">
        <f aca="false">(Sens!C6734+Sens!D6734)/2*Sens!D6748/1000</f>
        <v>12.9359794422418</v>
      </c>
      <c r="E6749" s="6" t="n">
        <f aca="false">(Sens!D6734+Sens!E6734)/2*Sens!E6748/1000</f>
        <v>27.8095064661409</v>
      </c>
      <c r="F6749" s="6" t="n">
        <f aca="false">(Sens!E6734+Sens!F6734)/2*Sens!F6748/1000</f>
        <v>50.6619113883066</v>
      </c>
      <c r="G6749" s="6" t="n">
        <f aca="false">(Sens!F6734+Sens!G6734)/2*Sens!G6748/1000</f>
        <v>75.1482839325348</v>
      </c>
      <c r="H6749" s="6" t="n">
        <f aca="false">(Sens!G6734+Sens!H6734)/2*Sens!H6748/1000</f>
        <v>94.895655604042</v>
      </c>
      <c r="I6749" s="6" t="n">
        <f aca="false">(Sens!H6734+Sens!I6734)/2*Sens!I6748/1000</f>
        <v>118.706168884151</v>
      </c>
      <c r="J6749" s="6" t="n">
        <f aca="false">(Sens!I6734+Sens!J6734)/2*Sens!J6748/1000</f>
        <v>135.305203646001</v>
      </c>
      <c r="K6749" s="6" t="n">
        <f aca="false">(Sens!J6734+Sens!K6734)/2*Sens!K6748/1000</f>
        <v>145.64537766421</v>
      </c>
      <c r="L6749" s="11" t="s">
        <v>822</v>
      </c>
    </row>
    <row r="6750" customFormat="false" ht="17.15" hidden="false" customHeight="false" outlineLevel="0" collapsed="false">
      <c r="A6750" s="1" t="s">
        <v>823</v>
      </c>
      <c r="B6750" s="0" t="s">
        <v>339</v>
      </c>
      <c r="C6750" s="14" t="n">
        <f aca="false">(Sens!C6742*tk_opex_h100+Sens!C6743*tk_opex_gb200+Sens!C6744*tk_opex_gb300+Sens!C6745*tk_opex_vr200)/Sens!C6734</f>
        <v>1.88636041306092</v>
      </c>
      <c r="D6750" s="14" t="n">
        <f aca="false">(Sens!D6742*tk_opex_h100+Sens!D6743*tk_opex_gb200+Sens!D6744*tk_opex_gb300+Sens!D6745*tk_opex_vr200)/Sens!D6734</f>
        <v>1.88636041306092</v>
      </c>
      <c r="E6750" s="14" t="n">
        <f aca="false">(Sens!E6742*tk_opex_h100+Sens!E6743*tk_opex_gb200+Sens!E6744*tk_opex_gb300+Sens!E6745*tk_opex_vr200)/Sens!E6734</f>
        <v>1.88636041306092</v>
      </c>
      <c r="F6750" s="14" t="n">
        <f aca="false">(Sens!F6742*tk_opex_h100+Sens!F6743*tk_opex_gb200+Sens!F6744*tk_opex_gb300+Sens!F6745*tk_opex_vr200)/Sens!F6734</f>
        <v>1.9430236476499</v>
      </c>
      <c r="G6750" s="14" t="n">
        <f aca="false">(Sens!G6742*tk_opex_h100+Sens!G6743*tk_opex_gb200+Sens!G6744*tk_opex_gb300+Sens!G6745*tk_opex_vr200)/Sens!G6734</f>
        <v>1.9786941852423</v>
      </c>
      <c r="H6750" s="14" t="n">
        <f aca="false">(Sens!H6742*tk_opex_h100+Sens!H6743*tk_opex_gb200+Sens!H6744*tk_opex_gb300+Sens!H6745*tk_opex_vr200)/Sens!H6734</f>
        <v>2.00289275976156</v>
      </c>
      <c r="I6750" s="14" t="n">
        <f aca="false">(Sens!I6742*tk_opex_h100+Sens!I6743*tk_opex_gb200+Sens!I6744*tk_opex_gb300+Sens!I6745*tk_opex_vr200)/Sens!I6734</f>
        <v>2.02179589661219</v>
      </c>
      <c r="J6750" s="14" t="n">
        <f aca="false">(Sens!J6742*tk_opex_h100+Sens!J6743*tk_opex_gb200+Sens!J6744*tk_opex_gb300+Sens!J6745*tk_opex_vr200)/Sens!J6734</f>
        <v>2.03708907685909</v>
      </c>
      <c r="K6750" s="14" t="n">
        <f aca="false">(Sens!K6742*tk_opex_h100+Sens!K6743*tk_opex_gb200+Sens!K6744*tk_opex_gb300+Sens!K6745*tk_opex_vr200)/Sens!K6734</f>
        <v>2.05871270931005</v>
      </c>
    </row>
    <row r="6751" customFormat="false" ht="17.15" hidden="false" customHeight="false" outlineLevel="0" collapsed="false">
      <c r="A6751" s="0" t="s">
        <v>824</v>
      </c>
      <c r="B6751" s="0" t="s">
        <v>98</v>
      </c>
      <c r="D6751" s="6" t="n">
        <f aca="false">(Sens!C6737+Sens!D6737)/2*Sens!D6750/1000</f>
        <v>2.70378325872065</v>
      </c>
      <c r="E6751" s="6" t="n">
        <f aca="false">(Sens!D6737+Sens!E6737)/2*Sens!E6750/1000</f>
        <v>6.17783035277451</v>
      </c>
      <c r="F6751" s="6" t="n">
        <f aca="false">(Sens!E6737+Sens!F6737)/2*Sens!F6750/1000</f>
        <v>12.5020618235287</v>
      </c>
      <c r="G6751" s="6" t="n">
        <f aca="false">(Sens!F6737+Sens!G6737)/2*Sens!G6750/1000</f>
        <v>20.7261620256847</v>
      </c>
      <c r="H6751" s="6" t="n">
        <f aca="false">(Sens!G6737+Sens!H6737)/2*Sens!H6750/1000</f>
        <v>29.4158183316982</v>
      </c>
      <c r="I6751" s="6" t="n">
        <f aca="false">(Sens!H6737+Sens!I6737)/2*Sens!I6750/1000</f>
        <v>36.9724400356344</v>
      </c>
      <c r="J6751" s="6" t="n">
        <f aca="false">(Sens!I6737+Sens!J6737)/2*Sens!J6750/1000</f>
        <v>42.0938382992747</v>
      </c>
      <c r="K6751" s="6" t="n">
        <f aca="false">(Sens!J6737+Sens!K6737)/2*Sens!K6750/1000</f>
        <v>44.9150106651501</v>
      </c>
    </row>
    <row r="6752" customFormat="false" ht="17.15" hidden="false" customHeight="false" outlineLevel="0" collapsed="false">
      <c r="A6752" s="0" t="s">
        <v>825</v>
      </c>
      <c r="B6752" s="0" t="s">
        <v>98</v>
      </c>
      <c r="D6752" s="6" t="n">
        <f aca="false">(Sens!C6735+Sens!D6735)/2*rent_mw/1000</f>
        <v>2.44475</v>
      </c>
      <c r="E6752" s="6" t="n">
        <f aca="false">(Sens!D6735+Sens!E6735)/2*rent_mw/1000</f>
        <v>4.22275</v>
      </c>
      <c r="F6752" s="6" t="n">
        <f aca="false">(Sens!E6735+Sens!F6735)/2*rent_mw/1000</f>
        <v>5.80517</v>
      </c>
      <c r="G6752" s="6" t="n">
        <f aca="false">(Sens!F6735+Sens!G6735)/2*rent_mw/1000</f>
        <v>6.72084</v>
      </c>
      <c r="H6752" s="6" t="n">
        <f aca="false">(Sens!G6735+Sens!H6735)/2*rent_mw/1000</f>
        <v>6.72084</v>
      </c>
      <c r="I6752" s="6" t="n">
        <f aca="false">(Sens!H6735+Sens!I6735)/2*rent_mw/1000</f>
        <v>6.72084</v>
      </c>
      <c r="J6752" s="6" t="n">
        <f aca="false">(Sens!I6735+Sens!J6735)/2*rent_mw/1000</f>
        <v>6.72084</v>
      </c>
      <c r="K6752" s="6" t="n">
        <f aca="false">(Sens!J6735+Sens!K6735)/2*rent_mw/1000</f>
        <v>6.72084</v>
      </c>
    </row>
    <row r="6753" customFormat="false" ht="17.15" hidden="false" customHeight="false" outlineLevel="0" collapsed="false">
      <c r="A6753" s="0" t="s">
        <v>826</v>
      </c>
      <c r="B6753" s="0" t="s">
        <v>98</v>
      </c>
      <c r="D6753" s="6" t="n">
        <f aca="false">(Sens!C6737+Sens!D6737)/2*(1-self_build)*fac_rent/1000</f>
        <v>0.853242375631075</v>
      </c>
      <c r="E6753" s="6" t="n">
        <f aca="false">(Sens!D6737+Sens!E6737)/2*(1-self_build)*fac_rent/1000</f>
        <v>1.94955961408728</v>
      </c>
      <c r="F6753" s="6" t="n">
        <f aca="false">(Sens!E6737+Sens!F6737)/2*(1-self_build)*fac_rent/1000</f>
        <v>3.83026455274573</v>
      </c>
      <c r="G6753" s="6" t="n">
        <f aca="false">(Sens!F6737+Sens!G6737)/2*(1-self_build)*fac_rent/1000</f>
        <v>6.23541590972812</v>
      </c>
      <c r="H6753" s="6" t="n">
        <f aca="false">(Sens!G6737+Sens!H6737)/2*(1-self_build)*fac_rent/1000</f>
        <v>8.74275792332679</v>
      </c>
      <c r="I6753" s="6" t="n">
        <f aca="false">(Sens!H6737+Sens!I6737)/2*(1-self_build)*fac_rent/1000</f>
        <v>10.8859420438599</v>
      </c>
      <c r="J6753" s="6" t="n">
        <f aca="false">(Sens!I6737+Sens!J6737)/2*(1-self_build)*fac_rent/1000</f>
        <v>12.3008103782619</v>
      </c>
      <c r="K6753" s="6" t="n">
        <f aca="false">(Sens!J6737+Sens!K6737)/2*(1-self_build)*fac_rent/1000</f>
        <v>12.9873629265328</v>
      </c>
      <c r="L6753" s="11" t="s">
        <v>827</v>
      </c>
    </row>
    <row r="6754" customFormat="false" ht="17.15" hidden="false" customHeight="false" outlineLevel="0" collapsed="false">
      <c r="A6754" s="1" t="s">
        <v>828</v>
      </c>
      <c r="B6754" s="0" t="s">
        <v>129</v>
      </c>
      <c r="D6754" s="7" t="n">
        <f aca="false">(Sens!C6736+Sens!D6736)/(Sens!C6737+Sens!D6737)</f>
        <v>0.6</v>
      </c>
      <c r="E6754" s="7" t="n">
        <f aca="false">(Sens!D6736+Sens!E6736)/(Sens!D6737+Sens!E6737)</f>
        <v>0.6</v>
      </c>
      <c r="F6754" s="7" t="n">
        <f aca="false">(Sens!E6736+Sens!F6736)/(Sens!E6737+Sens!F6737)</f>
        <v>0.6</v>
      </c>
      <c r="G6754" s="7" t="n">
        <f aca="false">(Sens!F6736+Sens!G6736)/(Sens!F6737+Sens!G6737)</f>
        <v>0.6</v>
      </c>
      <c r="H6754" s="7" t="n">
        <f aca="false">(Sens!G6736+Sens!H6736)/(Sens!G6737+Sens!H6737)</f>
        <v>0.6</v>
      </c>
      <c r="I6754" s="7" t="n">
        <f aca="false">(Sens!H6736+Sens!I6736)/(Sens!H6737+Sens!I6737)</f>
        <v>0.6</v>
      </c>
      <c r="J6754" s="7" t="n">
        <f aca="false">(Sens!I6736+Sens!J6736)/(Sens!I6737+Sens!J6737)</f>
        <v>0.6</v>
      </c>
      <c r="K6754" s="7" t="n">
        <f aca="false">(Sens!J6736+Sens!K6736)/(Sens!J6737+Sens!K6737)</f>
        <v>0.6</v>
      </c>
    </row>
    <row r="6755" customFormat="false" ht="17.15" hidden="false" customHeight="false" outlineLevel="0" collapsed="false">
      <c r="A6755" s="0" t="s">
        <v>829</v>
      </c>
      <c r="B6755" s="0" t="s">
        <v>98</v>
      </c>
      <c r="D6755" s="6" t="n">
        <f aca="false">Sens!D6749-Sens!D6754*(Sens!D6751+Sens!D6753)-Sens!D6752</f>
        <v>8.35701406163072</v>
      </c>
      <c r="E6755" s="6" t="n">
        <f aca="false">Sens!E6749-Sens!E6754*(Sens!E6751+Sens!E6753)-Sens!E6752</f>
        <v>18.7103224860238</v>
      </c>
      <c r="F6755" s="6" t="n">
        <f aca="false">Sens!F6749-Sens!F6754*(Sens!F6751+Sens!F6753)-Sens!F6752</f>
        <v>35.0573455625419</v>
      </c>
      <c r="G6755" s="6" t="n">
        <f aca="false">Sens!G6749-Sens!G6754*(Sens!G6751+Sens!G6753)-Sens!G6752</f>
        <v>52.2504971712871</v>
      </c>
      <c r="H6755" s="6" t="n">
        <f aca="false">Sens!H6749-Sens!H6754*(Sens!H6751+Sens!H6753)-Sens!H6752</f>
        <v>65.2796698510271</v>
      </c>
      <c r="I6755" s="6" t="n">
        <f aca="false">Sens!I6749-Sens!I6754*(Sens!I6751+Sens!I6753)-Sens!I6752</f>
        <v>83.2702996364549</v>
      </c>
      <c r="J6755" s="6" t="n">
        <f aca="false">Sens!J6749-Sens!J6754*(Sens!J6751+Sens!J6753)-Sens!J6752</f>
        <v>95.9475744394793</v>
      </c>
      <c r="K6755" s="6" t="n">
        <f aca="false">Sens!K6749-Sens!K6754*(Sens!K6751+Sens!K6753)-Sens!K6752</f>
        <v>104.1831135092</v>
      </c>
    </row>
    <row r="6756" customFormat="false" ht="17.15" hidden="false" customHeight="false" outlineLevel="0" collapsed="false">
      <c r="A6756" s="1" t="s">
        <v>830</v>
      </c>
      <c r="B6756" s="0" t="s">
        <v>98</v>
      </c>
      <c r="D6756" s="6" t="n">
        <f aca="false">(1-Sens!D6754)*(Sens!D6751+Sens!D6753)</f>
        <v>1.42281025374069</v>
      </c>
      <c r="E6756" s="6" t="n">
        <f aca="false">(1-Sens!E6754)*(Sens!E6751+Sens!E6753)</f>
        <v>3.25095598674472</v>
      </c>
      <c r="F6756" s="6" t="n">
        <f aca="false">(1-Sens!F6754)*(Sens!F6751+Sens!F6753)</f>
        <v>6.53293055050977</v>
      </c>
      <c r="G6756" s="6" t="n">
        <f aca="false">(1-Sens!G6754)*(Sens!G6751+Sens!G6753)</f>
        <v>10.7846311741651</v>
      </c>
      <c r="H6756" s="6" t="n">
        <f aca="false">(1-Sens!H6754)*(Sens!H6751+Sens!H6753)</f>
        <v>15.26343050201</v>
      </c>
      <c r="I6756" s="6" t="n">
        <f aca="false">(1-Sens!I6754)*(Sens!I6751+Sens!I6753)</f>
        <v>19.1433528317977</v>
      </c>
      <c r="J6756" s="6" t="n">
        <f aca="false">(1-Sens!J6754)*(Sens!J6751+Sens!J6753)</f>
        <v>21.7578594710146</v>
      </c>
      <c r="K6756" s="6" t="n">
        <f aca="false">(1-Sens!K6754)*(Sens!K6751+Sens!K6753)</f>
        <v>23.1609494366731</v>
      </c>
    </row>
    <row r="6757" customFormat="false" ht="17.15" hidden="false" customHeight="false" outlineLevel="0" collapsed="false">
      <c r="A6757" s="1" t="s">
        <v>831</v>
      </c>
      <c r="B6757" s="0" t="s">
        <v>350</v>
      </c>
      <c r="C6757" s="8" t="n">
        <f aca="false">cxit_open</f>
        <v>27.5918995</v>
      </c>
      <c r="D6757" s="8" t="n">
        <f aca="false">cxit_open</f>
        <v>27.5918995</v>
      </c>
      <c r="E6757" s="8" t="n">
        <f aca="false">cxit_open</f>
        <v>27.5918995</v>
      </c>
      <c r="F6757" s="8" t="n">
        <f aca="false">(a_g3_27*tk_cxit_gb300+(1-a_g3_27)*tk_cxit_vr200)</f>
        <v>33.8419624</v>
      </c>
      <c r="G6757" s="8" t="n">
        <f aca="false">(a_g3_28*tk_cxit_gb300+(1-a_g3_28)*tk_cxit_vr200)</f>
        <v>35.9816136</v>
      </c>
      <c r="H6757" s="8" t="n">
        <f aca="false">(a_g3_29*tk_cxit_gb300+(1-a_g3_29)*tk_cxit_vr200)</f>
        <v>37.0514392</v>
      </c>
      <c r="I6757" s="8" t="n">
        <f aca="false">(a_g3_29*tk_cxit_gb300+(1-a_g3_29)*tk_cxit_vr200)</f>
        <v>37.0514392</v>
      </c>
      <c r="J6757" s="8" t="n">
        <f aca="false">(a_g3_29*tk_cxit_gb300+(1-a_g3_29)*tk_cxit_vr200)</f>
        <v>37.0514392</v>
      </c>
      <c r="K6757" s="8" t="n">
        <f aca="false">(a_g3_29*tk_cxit_gb300+(1-a_g3_29)*tk_cxit_vr200)</f>
        <v>37.0514392</v>
      </c>
      <c r="L6757" s="11" t="s">
        <v>832</v>
      </c>
    </row>
    <row r="6758" customFormat="false" ht="17.15" hidden="false" customHeight="false" outlineLevel="0" collapsed="false">
      <c r="A6758" s="0" t="s">
        <v>833</v>
      </c>
      <c r="B6758" s="0" t="s">
        <v>392</v>
      </c>
      <c r="F6758" s="29" t="n">
        <f aca="false">Sens!C6739*IF(Sens!F6732-Sens!C6732=life_it,1,0)+Sens!D6739*IF(Sens!F6732-Sens!D6732=life_it,1,0)+Sens!E6739*IF(Sens!F6732-Sens!E6732=life_it,1,0)</f>
        <v>0</v>
      </c>
      <c r="G6758" s="29" t="n">
        <f aca="false">Sens!C6739*IF(Sens!G6732-Sens!C6732=life_it,1,0)+Sens!D6739*IF(Sens!G6732-Sens!D6732=life_it,1,0)+Sens!E6739*IF(Sens!G6732-Sens!E6732=life_it,1,0)+Sens!F6739*IF(Sens!G6732-Sens!F6732=life_it,1,0)</f>
        <v>0</v>
      </c>
      <c r="H6758" s="29" t="n">
        <f aca="false">Sens!C6739*IF(Sens!H6732-Sens!C6732=life_it,1,0)+Sens!D6739*IF(Sens!H6732-Sens!D6732=life_it,1,0)+Sens!E6739*IF(Sens!H6732-Sens!E6732=life_it,1,0)+Sens!F6739*IF(Sens!H6732-Sens!F6732=life_it,1,0)+Sens!G6739*IF(Sens!H6732-Sens!G6732=life_it,1,0)</f>
        <v>0</v>
      </c>
      <c r="I6758" s="29" t="n">
        <f aca="false">Sens!C6739*IF(Sens!I6732-Sens!C6732=life_it,1,0)+Sens!D6739*IF(Sens!I6732-Sens!D6732=life_it,1,0)+Sens!E6739*IF(Sens!I6732-Sens!E6732=life_it,1,0)+Sens!F6739*IF(Sens!I6732-Sens!F6732=life_it,1,0)+Sens!G6739*IF(Sens!I6732-Sens!G6732=life_it,1,0)+Sens!H6739*IF(Sens!I6732-Sens!H6732=life_it,1,0)</f>
        <v>816.666666666667</v>
      </c>
      <c r="J6758" s="29" t="n">
        <f aca="false">Sens!C6739*IF(Sens!J6732-Sens!C6732=life_it,1,0)+Sens!D6739*IF(Sens!J6732-Sens!D6732=life_it,1,0)+Sens!E6739*IF(Sens!J6732-Sens!E6732=life_it,1,0)+Sens!F6739*IF(Sens!J6732-Sens!F6732=life_it,1,0)+Sens!G6739*IF(Sens!J6732-Sens!G6732=life_it,1,0)+Sens!H6739*IF(Sens!J6732-Sens!H6732=life_it,1,0)+Sens!I6739*IF(Sens!J6732-Sens!I6732=life_it,1,0)</f>
        <v>1233.33333333333</v>
      </c>
      <c r="K6758" s="29" t="n">
        <f aca="false">Sens!C6739*IF(Sens!K6732-Sens!C6732=life_it,1,0)+Sens!D6739*IF(Sens!K6732-Sens!D6732=life_it,1,0)+Sens!E6739*IF(Sens!K6732-Sens!E6732=life_it,1,0)+Sens!F6739*IF(Sens!K6732-Sens!F6732=life_it,1,0)+Sens!G6739*IF(Sens!K6732-Sens!G6732=life_it,1,0)+Sens!H6739*IF(Sens!K6732-Sens!H6732=life_it,1,0)+Sens!I6739*IF(Sens!K6732-Sens!I6732=life_it,1,0)+Sens!J6739*IF(Sens!K6732-Sens!J6732=life_it,1,0)</f>
        <v>2450</v>
      </c>
      <c r="L6758" s="1" t="s">
        <v>834</v>
      </c>
    </row>
    <row r="6759" customFormat="false" ht="17.15" hidden="false" customHeight="false" outlineLevel="0" collapsed="false">
      <c r="A6759" s="0" t="s">
        <v>835</v>
      </c>
      <c r="B6759" s="0" t="s">
        <v>98</v>
      </c>
      <c r="C6759" s="6" t="n">
        <f aca="false">Sens!C6739*Sens!C6757/1000</f>
        <v>22.5333845916667</v>
      </c>
      <c r="D6759" s="6" t="n">
        <f aca="false">Sens!D6739*Sens!D6757/1000</f>
        <v>34.0300093833333</v>
      </c>
      <c r="E6759" s="6" t="n">
        <f aca="false">Sens!E6739*Sens!E6757/1000</f>
        <v>67.600153775</v>
      </c>
      <c r="F6759" s="6" t="n">
        <f aca="false">(Sens!F6739+Sens!F6758)*Sens!F6757/1000</f>
        <v>130.923271871467</v>
      </c>
      <c r="G6759" s="6" t="n">
        <f aca="false">(Sens!G6739+Sens!G6758)*Sens!G6757/1000</f>
        <v>151.5545564832</v>
      </c>
      <c r="H6759" s="6" t="n">
        <f aca="false">(Sens!H6739+Sens!H6758)*Sens!H6757/1000</f>
        <v>156.0606619104</v>
      </c>
      <c r="I6759" s="6" t="n">
        <f aca="false">(Sens!I6739+Sens!I6758)*Sens!I6757/1000</f>
        <v>140.987889434245</v>
      </c>
      <c r="J6759" s="6" t="n">
        <f aca="false">(Sens!J6739+Sens!J6758)*Sens!J6757/1000</f>
        <v>111.094541278091</v>
      </c>
      <c r="K6759" s="6" t="n">
        <f aca="false">(Sens!K6739+Sens!K6758)*Sens!K6757/1000</f>
        <v>110.842344481936</v>
      </c>
    </row>
    <row r="6760" customFormat="false" ht="17.15" hidden="false" customHeight="false" outlineLevel="0" collapsed="false">
      <c r="A6760" s="0" t="s">
        <v>836</v>
      </c>
      <c r="B6760" s="0" t="s">
        <v>98</v>
      </c>
      <c r="C6760" s="6" t="n">
        <f aca="false">Sens!C6739*self_build*tk_cxfac/1000</f>
        <v>6.2083</v>
      </c>
      <c r="D6760" s="6" t="n">
        <f aca="false">Sens!D6739*self_build*tk_cxfac/1000</f>
        <v>9.3758</v>
      </c>
      <c r="E6760" s="6" t="n">
        <f aca="false">Sens!E6739*self_build*tk_cxfac/1000</f>
        <v>18.6249</v>
      </c>
      <c r="F6760" s="6" t="n">
        <f aca="false">Sens!F6739*self_build*tk_cxfac/1000</f>
        <v>29.409604</v>
      </c>
      <c r="G6760" s="6" t="n">
        <f aca="false">Sens!G6739*self_build*tk_cxfac/1000</f>
        <v>32.019624</v>
      </c>
      <c r="H6760" s="6" t="n">
        <f aca="false">Sens!H6739*self_build*tk_cxfac/1000</f>
        <v>32.019624</v>
      </c>
      <c r="I6760" s="6" t="n">
        <f aca="false">Sens!I6739*self_build*tk_cxfac/1000</f>
        <v>22.71877972</v>
      </c>
      <c r="J6760" s="6" t="n">
        <f aca="false">Sens!J6739*self_build*tk_cxfac/1000</f>
        <v>13.41793544</v>
      </c>
      <c r="K6760" s="6" t="n">
        <f aca="false">Sens!K6739*self_build*tk_cxfac/1000</f>
        <v>4.11709116000001</v>
      </c>
    </row>
    <row r="6761" customFormat="false" ht="17.15" hidden="false" customHeight="false" outlineLevel="0" collapsed="false">
      <c r="A6761" s="0" t="s">
        <v>837</v>
      </c>
      <c r="B6761" s="0" t="s">
        <v>98</v>
      </c>
      <c r="F6761" s="6" t="n">
        <f aca="false">MAX(0,capex_floor27-Sens!F6759-Sens!F6760-Sens!F6854)</f>
        <v>8.73177689897089</v>
      </c>
      <c r="L6761" s="1" t="s">
        <v>838</v>
      </c>
    </row>
    <row r="6762" customFormat="false" ht="17.15" hidden="false" customHeight="false" outlineLevel="0" collapsed="false">
      <c r="A6762" s="0" t="s">
        <v>839</v>
      </c>
      <c r="B6762" s="0" t="s">
        <v>98</v>
      </c>
      <c r="C6762" s="6" t="n">
        <f aca="false">Sens!C6759</f>
        <v>22.5333845916667</v>
      </c>
      <c r="D6762" s="6" t="n">
        <f aca="false">Sens!D6759</f>
        <v>34.0300093833333</v>
      </c>
      <c r="E6762" s="6" t="n">
        <f aca="false">Sens!E6759</f>
        <v>67.600153775</v>
      </c>
      <c r="F6762" s="6" t="n">
        <f aca="false">Sens!F6759+Sens!F6761</f>
        <v>139.655048770438</v>
      </c>
      <c r="G6762" s="6" t="n">
        <f aca="false">Sens!G6759</f>
        <v>151.5545564832</v>
      </c>
      <c r="H6762" s="6" t="n">
        <f aca="false">Sens!H6759</f>
        <v>156.0606619104</v>
      </c>
      <c r="I6762" s="6" t="n">
        <f aca="false">Sens!I6759</f>
        <v>140.987889434245</v>
      </c>
      <c r="J6762" s="6" t="n">
        <f aca="false">Sens!J6759</f>
        <v>111.094541278091</v>
      </c>
      <c r="K6762" s="6" t="n">
        <f aca="false">Sens!K6759</f>
        <v>110.842344481936</v>
      </c>
    </row>
    <row r="6763" customFormat="false" ht="17.15" hidden="false" customHeight="false" outlineLevel="0" collapsed="false">
      <c r="A6763" s="0" t="s">
        <v>840</v>
      </c>
      <c r="B6763" s="0" t="s">
        <v>98</v>
      </c>
      <c r="C6763" s="6" t="n">
        <f aca="false">Sens!C6762+Sens!C6760</f>
        <v>28.7416845916667</v>
      </c>
      <c r="D6763" s="6" t="n">
        <f aca="false">Sens!D6762+Sens!D6760</f>
        <v>43.4058093833333</v>
      </c>
      <c r="E6763" s="6" t="n">
        <f aca="false">Sens!E6762+Sens!E6760</f>
        <v>86.225053775</v>
      </c>
      <c r="F6763" s="6" t="n">
        <f aca="false">Sens!F6762+Sens!F6760</f>
        <v>169.064652770438</v>
      </c>
      <c r="G6763" s="6" t="n">
        <f aca="false">Sens!G6762+Sens!G6760</f>
        <v>183.5741804832</v>
      </c>
      <c r="H6763" s="6" t="n">
        <f aca="false">Sens!H6762+Sens!H6760</f>
        <v>188.0802859104</v>
      </c>
      <c r="I6763" s="6" t="n">
        <f aca="false">Sens!I6762+Sens!I6760</f>
        <v>163.706669154245</v>
      </c>
      <c r="J6763" s="6" t="n">
        <f aca="false">Sens!J6762+Sens!J6760</f>
        <v>124.51247671809</v>
      </c>
      <c r="K6763" s="6" t="n">
        <f aca="false">Sens!K6762+Sens!K6760</f>
        <v>114.959435641936</v>
      </c>
      <c r="L6763" s="11" t="s">
        <v>841</v>
      </c>
    </row>
    <row r="6764" customFormat="false" ht="17.15" hidden="false" customHeight="false" outlineLevel="0" collapsed="false">
      <c r="A6764" s="0" t="s">
        <v>842</v>
      </c>
      <c r="B6764" s="0" t="s">
        <v>98</v>
      </c>
      <c r="E6764" s="6" t="n">
        <f aca="false">(Sens!C6762*IF(2&lt;life_it,1,IF(2=life_it,0.5,0))+Sens!D6762*IF(1&lt;life_it,1,IF(1=life_it,0.5,0))+Sens!E6762*0.5)/life_it</f>
        <v>15.0605784770833</v>
      </c>
      <c r="F6764" s="6" t="n">
        <f aca="false">(Sens!C6762*IF(3&lt;life_it,1,IF(3=life_it,0.5,0))+Sens!D6762*IF(2&lt;life_it,1,IF(2=life_it,0.5,0))+Sens!E6762*IF(1&lt;life_it,1,IF(1=life_it,0.5,0))+Sens!F6762*0.5)/life_it</f>
        <v>32.3318453558698</v>
      </c>
      <c r="G6764" s="6" t="n">
        <f aca="false">(Sens!C6762*IF(4&lt;life_it,1,IF(4=life_it,0.5,0))+Sens!D6762*IF(3&lt;life_it,1,IF(3=life_it,0.5,0))+Sens!E6762*IF(2&lt;life_it,1,IF(2=life_it,0.5,0))+Sens!F6762*IF(1&lt;life_it,1,IF(1=life_it,0.5,0))+Sens!G6762*0.5)/life_it</f>
        <v>56.5993124603396</v>
      </c>
      <c r="H6764" s="6" t="n">
        <f aca="false">(Sens!C6762*IF(5&lt;life_it,1,IF(5=life_it,0.5,0))+Sens!D6762*IF(4&lt;life_it,1,IF(4=life_it,0.5,0))+Sens!E6762*IF(3&lt;life_it,1,IF(3=life_it,0.5,0))+Sens!F6762*IF(2&lt;life_it,1,IF(2=life_it,0.5,0))+Sens!G6762*IF(1&lt;life_it,1,IF(1=life_it,0.5,0))+Sens!H6762*0.5)/life_it</f>
        <v>82.2339139931396</v>
      </c>
      <c r="I6764" s="6" t="n">
        <f aca="false">(Sens!C6762*IF(6&lt;life_it,1,IF(6=life_it,0.5,0))+Sens!D6762*IF(5&lt;life_it,1,IF(5=life_it,0.5,0))+Sens!E6762*IF(4&lt;life_it,1,IF(4=life_it,0.5,0))+Sens!F6762*IF(3&lt;life_it,1,IF(3=life_it,0.5,0))+Sens!G6762*IF(2&lt;life_it,1,IF(2=life_it,0.5,0))+Sens!H6762*IF(1&lt;life_it,1,IF(1=life_it,0.5,0))+Sens!I6762*0.5)/life_it</f>
        <v>105.110177889221</v>
      </c>
      <c r="J6764" s="6" t="n">
        <f aca="false">(Sens!C6762*IF(7&lt;life_it,1,IF(7=life_it,0.5,0))+Sens!D6762*IF(6&lt;life_it,1,IF(6=life_it,0.5,0))+Sens!E6762*IF(5&lt;life_it,1,IF(5=life_it,0.5,0))+Sens!F6762*IF(4&lt;life_it,1,IF(4=life_it,0.5,0))+Sens!G6762*IF(3&lt;life_it,1,IF(3=life_it,0.5,0))+Sens!H6762*IF(2&lt;life_it,1,IF(2=life_it,0.5,0))+Sens!I6762*IF(1&lt;life_it,1,IF(1=life_it,0.5,0))+Sens!J6762*0.5)/life_it</f>
        <v>121.403430950666</v>
      </c>
      <c r="K6764" s="6" t="n">
        <f aca="false">(Sens!C6762*IF(8&lt;life_it,1,IF(8=life_it,0.5,0))+Sens!D6762*IF(7&lt;life_it,1,IF(7=life_it,0.5,0))+Sens!E6762*IF(6&lt;life_it,1,IF(6=life_it,0.5,0))+Sens!F6762*IF(5&lt;life_it,1,IF(5=life_it,0.5,0))+Sens!G6762*IF(4&lt;life_it,1,IF(4=life_it,0.5,0))+Sens!H6762*IF(3&lt;life_it,1,IF(3=life_it,0.5,0))+Sens!I6762*IF(2&lt;life_it,1,IF(2=life_it,0.5,0))+Sens!J6762*IF(1&lt;life_it,1,IF(1=life_it,0.5,0))+Sens!K6762*0.5)/life_it</f>
        <v>131.428991167474</v>
      </c>
    </row>
    <row r="6765" customFormat="false" ht="17.15" hidden="false" customHeight="false" outlineLevel="0" collapsed="false">
      <c r="A6765" s="0" t="s">
        <v>843</v>
      </c>
      <c r="B6765" s="0" t="s">
        <v>98</v>
      </c>
      <c r="E6765" s="6" t="n">
        <f aca="false">(Sens!C6760*IF(2&lt;life_fac,1,IF(2=life_fac,0.5,0))+Sens!D6760*IF(1&lt;life_fac,1,IF(1=life_fac,0.5,0))+Sens!E6760*0.5)/life_fac</f>
        <v>1.2448275</v>
      </c>
      <c r="F6765" s="6" t="n">
        <f aca="false">(Sens!C6760*IF(3&lt;life_fac,1,IF(3=life_fac,0.5,0))+Sens!D6760*IF(2&lt;life_fac,1,IF(2=life_fac,0.5,0))+Sens!E6760*IF(1&lt;life_fac,1,IF(1=life_fac,0.5,0))+Sens!F6760*0.5)/life_fac</f>
        <v>2.4456901</v>
      </c>
      <c r="G6765" s="6" t="n">
        <f aca="false">(Sens!C6760*IF(4&lt;life_fac,1,IF(4=life_fac,0.5,0))+Sens!D6760*IF(3&lt;life_fac,1,IF(3=life_fac,0.5,0))+Sens!E6760*IF(2&lt;life_fac,1,IF(2=life_fac,0.5,0))+Sens!F6760*IF(1&lt;life_fac,1,IF(1=life_fac,0.5,0))+Sens!G6760*0.5)/life_fac</f>
        <v>3.9814208</v>
      </c>
      <c r="H6765" s="6" t="n">
        <f aca="false">(Sens!C6760*IF(5&lt;life_fac,1,IF(5=life_fac,0.5,0))+Sens!D6760*IF(4&lt;life_fac,1,IF(4=life_fac,0.5,0))+Sens!E6760*IF(3&lt;life_fac,1,IF(3=life_fac,0.5,0))+Sens!F6760*IF(2&lt;life_fac,1,IF(2=life_fac,0.5,0))+Sens!G6760*IF(1&lt;life_fac,1,IF(1=life_fac,0.5,0))+Sens!H6760*0.5)/life_fac</f>
        <v>5.582402</v>
      </c>
      <c r="I6765" s="6" t="n">
        <f aca="false">(Sens!C6760*IF(6&lt;life_fac,1,IF(6=life_fac,0.5,0))+Sens!D6760*IF(5&lt;life_fac,1,IF(5=life_fac,0.5,0))+Sens!E6760*IF(4&lt;life_fac,1,IF(4=life_fac,0.5,0))+Sens!F6760*IF(3&lt;life_fac,1,IF(3=life_fac,0.5,0))+Sens!G6760*IF(2&lt;life_fac,1,IF(2=life_fac,0.5,0))+Sens!H6760*IF(1&lt;life_fac,1,IF(1=life_fac,0.5,0))+Sens!I6760*0.5)/life_fac</f>
        <v>6.950862093</v>
      </c>
      <c r="J6765" s="6" t="n">
        <f aca="false">(Sens!C6760*IF(7&lt;life_fac,1,IF(7=life_fac,0.5,0))+Sens!D6760*IF(6&lt;life_fac,1,IF(6=life_fac,0.5,0))+Sens!E6760*IF(5&lt;life_fac,1,IF(5=life_fac,0.5,0))+Sens!F6760*IF(4&lt;life_fac,1,IF(4=life_fac,0.5,0))+Sens!G6760*IF(3&lt;life_fac,1,IF(3=life_fac,0.5,0))+Sens!H6760*IF(2&lt;life_fac,1,IF(2=life_fac,0.5,0))+Sens!I6760*IF(1&lt;life_fac,1,IF(1=life_fac,0.5,0))+Sens!J6760*0.5)/life_fac</f>
        <v>7.854279972</v>
      </c>
      <c r="K6765" s="6" t="n">
        <f aca="false">(Sens!C6760*IF(8&lt;life_fac,1,IF(8=life_fac,0.5,0))+Sens!D6760*IF(7&lt;life_fac,1,IF(7=life_fac,0.5,0))+Sens!E6760*IF(6&lt;life_fac,1,IF(6=life_fac,0.5,0))+Sens!F6760*IF(5&lt;life_fac,1,IF(5=life_fac,0.5,0))+Sens!G6760*IF(4&lt;life_fac,1,IF(4=life_fac,0.5,0))+Sens!H6760*IF(3&lt;life_fac,1,IF(3=life_fac,0.5,0))+Sens!I6760*IF(2&lt;life_fac,1,IF(2=life_fac,0.5,0))+Sens!J6760*IF(1&lt;life_fac,1,IF(1=life_fac,0.5,0))+Sens!K6760*0.5)/life_fac</f>
        <v>8.292655637</v>
      </c>
    </row>
    <row r="6766" customFormat="false" ht="17.15" hidden="false" customHeight="false" outlineLevel="0" collapsed="false">
      <c r="A6766" s="0" t="s">
        <v>844</v>
      </c>
      <c r="B6766" s="0" t="s">
        <v>98</v>
      </c>
      <c r="E6766" s="6" t="n">
        <f aca="false">Sens!E6764+Sens!E6765</f>
        <v>16.3054059770833</v>
      </c>
      <c r="F6766" s="6" t="n">
        <f aca="false">Sens!F6764+Sens!F6765</f>
        <v>34.7775354558698</v>
      </c>
      <c r="G6766" s="6" t="n">
        <f aca="false">Sens!G6764+Sens!G6765</f>
        <v>60.5807332603396</v>
      </c>
      <c r="H6766" s="6" t="n">
        <f aca="false">Sens!H6764+Sens!H6765</f>
        <v>87.8163159931396</v>
      </c>
      <c r="I6766" s="6" t="n">
        <f aca="false">Sens!I6764+Sens!I6765</f>
        <v>112.061039982221</v>
      </c>
      <c r="J6766" s="6" t="n">
        <f aca="false">Sens!J6764+Sens!J6765</f>
        <v>129.257710922666</v>
      </c>
      <c r="K6766" s="6" t="n">
        <f aca="false">Sens!K6764+Sens!K6765</f>
        <v>139.721646804474</v>
      </c>
    </row>
    <row r="6767" customFormat="false" ht="17.15" hidden="false" customHeight="false" outlineLevel="0" collapsed="false">
      <c r="A6767" s="0" t="s">
        <v>845</v>
      </c>
      <c r="B6767" s="0" t="s">
        <v>98</v>
      </c>
      <c r="E6767" s="6" t="n">
        <f aca="false">Sens!E6755-Sens!E6754*Sens!E6766</f>
        <v>8.92707889977379</v>
      </c>
      <c r="F6767" s="6" t="n">
        <f aca="false">Sens!F6755-Sens!F6754*Sens!F6766</f>
        <v>14.1908242890201</v>
      </c>
      <c r="G6767" s="6" t="n">
        <f aca="false">Sens!G6755-Sens!G6754*Sens!G6766</f>
        <v>15.9020572150834</v>
      </c>
      <c r="H6767" s="6" t="n">
        <f aca="false">Sens!H6755-Sens!H6754*Sens!H6766</f>
        <v>12.5898802551433</v>
      </c>
      <c r="I6767" s="6" t="n">
        <f aca="false">Sens!I6755-Sens!I6754*Sens!I6766</f>
        <v>16.0336756471222</v>
      </c>
      <c r="J6767" s="6" t="n">
        <f aca="false">Sens!J6755-Sens!J6754*Sens!J6766</f>
        <v>18.3929478858798</v>
      </c>
      <c r="K6767" s="6" t="n">
        <f aca="false">Sens!K6755-Sens!K6754*Sens!K6766</f>
        <v>20.3501254265162</v>
      </c>
    </row>
    <row r="6768" customFormat="false" ht="17.15" hidden="false" customHeight="false" outlineLevel="0" collapsed="false">
      <c r="A6768" s="3" t="s">
        <v>1410</v>
      </c>
    </row>
    <row r="6769" customFormat="false" ht="15" hidden="false" customHeight="false" outlineLevel="0" collapsed="false">
      <c r="A6769" s="4" t="s">
        <v>43</v>
      </c>
      <c r="B6769" s="4" t="s">
        <v>65</v>
      </c>
      <c r="C6769" s="20" t="s">
        <v>788</v>
      </c>
      <c r="D6769" s="20" t="s">
        <v>789</v>
      </c>
      <c r="E6769" s="20" t="s">
        <v>790</v>
      </c>
      <c r="F6769" s="20" t="s">
        <v>791</v>
      </c>
      <c r="G6769" s="20" t="s">
        <v>792</v>
      </c>
      <c r="H6769" s="20" t="s">
        <v>793</v>
      </c>
      <c r="I6769" s="20" t="s">
        <v>794</v>
      </c>
      <c r="J6769" s="20" t="s">
        <v>795</v>
      </c>
      <c r="K6769" s="20" t="s">
        <v>796</v>
      </c>
      <c r="L6769" s="4" t="s">
        <v>47</v>
      </c>
    </row>
    <row r="6770" customFormat="false" ht="17.15" hidden="false" customHeight="false" outlineLevel="0" collapsed="false">
      <c r="A6770" s="0" t="s">
        <v>864</v>
      </c>
      <c r="B6770" s="0" t="s">
        <v>98</v>
      </c>
      <c r="D6770" s="6" t="n">
        <f aca="false">Sens!D6749</f>
        <v>12.9359794422418</v>
      </c>
      <c r="E6770" s="6" t="n">
        <f aca="false">Sens!E6749</f>
        <v>27.8095064661409</v>
      </c>
      <c r="F6770" s="6" t="n">
        <f aca="false">Sens!F6749</f>
        <v>50.6619113883066</v>
      </c>
      <c r="G6770" s="6" t="n">
        <f aca="false">Sens!G6749</f>
        <v>75.1482839325348</v>
      </c>
      <c r="H6770" s="6" t="n">
        <f aca="false">Sens!H6749</f>
        <v>94.895655604042</v>
      </c>
      <c r="I6770" s="6" t="n">
        <f aca="false">Sens!I6749</f>
        <v>118.706168884151</v>
      </c>
      <c r="J6770" s="6" t="n">
        <f aca="false">Sens!J6749</f>
        <v>135.305203646001</v>
      </c>
      <c r="K6770" s="6" t="n">
        <f aca="false">Sens!K6749</f>
        <v>145.64537766421</v>
      </c>
    </row>
    <row r="6771" customFormat="false" ht="17.15" hidden="false" customHeight="false" outlineLevel="0" collapsed="false">
      <c r="A6771" s="0" t="s">
        <v>865</v>
      </c>
      <c r="B6771" s="0" t="s">
        <v>98</v>
      </c>
      <c r="D6771" s="6" t="n">
        <f aca="false">Q!L6-Sens!D6770</f>
        <v>59.6740205577583</v>
      </c>
      <c r="E6771" s="6" t="n">
        <f aca="false">Q!M6-Sens!E6770</f>
        <v>74.1284935338591</v>
      </c>
      <c r="F6771" s="6" t="n">
        <f aca="false">Sens!E6771*(1+Sens!F6772)</f>
        <v>90.0799497373663</v>
      </c>
      <c r="G6771" s="6" t="n">
        <f aca="false">Sens!F6771*(1+Sens!G6772)</f>
        <v>107.02842520331</v>
      </c>
      <c r="H6771" s="6" t="n">
        <f aca="false">Sens!G6771*(1+Sens!H6772)</f>
        <v>124.271982585636</v>
      </c>
      <c r="I6771" s="6" t="n">
        <f aca="false">Sens!H6771*(1+Sens!I6772)</f>
        <v>140.933702381855</v>
      </c>
      <c r="J6771" s="6" t="n">
        <f aca="false">Sens!I6771*(1+Sens!J6772)</f>
        <v>156.018867314332</v>
      </c>
      <c r="K6771" s="6" t="n">
        <f aca="false">Sens!J6771*(1+Sens!K6772)</f>
        <v>168.500376699478</v>
      </c>
    </row>
    <row r="6772" customFormat="false" ht="15" hidden="false" customHeight="false" outlineLevel="0" collapsed="false">
      <c r="A6772" s="1" t="s">
        <v>866</v>
      </c>
      <c r="B6772" s="0" t="s">
        <v>129</v>
      </c>
      <c r="E6772" s="7" t="n">
        <f aca="false">Sens!E6771/Sens!D6771-1</f>
        <v>0.242223883039864</v>
      </c>
      <c r="F6772" s="7" t="n">
        <f aca="false">Sens!$E$6772+(glt_azo-Sens!$E$6772)*MIN(1,(Sens!F6732-base_fy)/n_conv)</f>
        <v>0.215186569199887</v>
      </c>
      <c r="G6772" s="7" t="n">
        <f aca="false">Sens!$E$6772+(glt_azo-Sens!$E$6772)*MIN(1,(Sens!G6732-base_fy)/n_conv)</f>
        <v>0.18814925535991</v>
      </c>
      <c r="H6772" s="7" t="n">
        <f aca="false">Sens!$E$6772+(glt_azo-Sens!$E$6772)*MIN(1,(Sens!H6732-base_fy)/n_conv)</f>
        <v>0.161111941519932</v>
      </c>
      <c r="I6772" s="7" t="n">
        <f aca="false">Sens!$E$6772+(glt_azo-Sens!$E$6772)*MIN(1,(Sens!I6732-base_fy)/n_conv)</f>
        <v>0.134074627679955</v>
      </c>
      <c r="J6772" s="7" t="n">
        <f aca="false">Sens!$E$6772+(glt_azo-Sens!$E$6772)*MIN(1,(Sens!J6732-base_fy)/n_conv)</f>
        <v>0.107037313839977</v>
      </c>
      <c r="K6772" s="7" t="n">
        <f aca="false">Sens!$E$6772+(glt_azo-Sens!$E$6772)*MIN(1,(Sens!K6732-base_fy)/n_conv)</f>
        <v>0.08</v>
      </c>
    </row>
    <row r="6773" customFormat="false" ht="15" hidden="false" customHeight="false" outlineLevel="0" collapsed="false">
      <c r="A6773" s="0" t="s">
        <v>867</v>
      </c>
      <c r="B6773" s="0" t="s">
        <v>98</v>
      </c>
      <c r="D6773" s="6" t="n">
        <f aca="false">Sens!D6770+Sens!D6771</f>
        <v>72.61</v>
      </c>
      <c r="E6773" s="6" t="n">
        <f aca="false">Sens!E6770+Sens!E6771</f>
        <v>101.938</v>
      </c>
      <c r="F6773" s="6" t="n">
        <f aca="false">Sens!F6770+Sens!F6771</f>
        <v>140.741861125673</v>
      </c>
      <c r="G6773" s="6" t="n">
        <f aca="false">Sens!G6770+Sens!G6771</f>
        <v>182.176709135845</v>
      </c>
      <c r="H6773" s="6" t="n">
        <f aca="false">Sens!H6770+Sens!H6771</f>
        <v>219.167638189678</v>
      </c>
      <c r="I6773" s="6" t="n">
        <f aca="false">Sens!I6770+Sens!I6771</f>
        <v>259.639871266006</v>
      </c>
      <c r="J6773" s="6" t="n">
        <f aca="false">Sens!J6770+Sens!J6771</f>
        <v>291.324070960333</v>
      </c>
      <c r="K6773" s="6" t="n">
        <f aca="false">Sens!K6770+Sens!K6771</f>
        <v>314.145754363688</v>
      </c>
    </row>
    <row r="6774" customFormat="false" ht="17.15" hidden="false" customHeight="false" outlineLevel="0" collapsed="false">
      <c r="A6774" s="0" t="s">
        <v>868</v>
      </c>
      <c r="B6774" s="1" t="s">
        <v>521</v>
      </c>
      <c r="C6774" s="29" t="n">
        <f aca="false">cop_s24</f>
        <v>1</v>
      </c>
      <c r="D6774" s="29" t="n">
        <f aca="false">cop_s25</f>
        <v>5</v>
      </c>
      <c r="E6774" s="29" t="n">
        <f aca="false">cop_s26</f>
        <v>30</v>
      </c>
      <c r="F6774" s="29" t="n">
        <f aca="false">Sens!E6774+cop_add_C</f>
        <v>40</v>
      </c>
      <c r="G6774" s="29" t="n">
        <f aca="false">Sens!F6774+cop_add_C</f>
        <v>50</v>
      </c>
      <c r="H6774" s="29" t="n">
        <f aca="false">Sens!G6774+cop_add_C</f>
        <v>60</v>
      </c>
      <c r="I6774" s="29" t="n">
        <f aca="false">Sens!H6774+cop_add_C*cop_tail</f>
        <v>65</v>
      </c>
      <c r="J6774" s="29" t="n">
        <f aca="false">Sens!I6774+cop_add_C*cop_tail</f>
        <v>70</v>
      </c>
      <c r="K6774" s="29" t="n">
        <f aca="false">Sens!J6774+cop_add_C*cop_tail</f>
        <v>75</v>
      </c>
      <c r="L6774" s="11" t="s">
        <v>869</v>
      </c>
    </row>
    <row r="6775" customFormat="false" ht="17.15" hidden="false" customHeight="false" outlineLevel="0" collapsed="false">
      <c r="A6775" s="0" t="s">
        <v>870</v>
      </c>
      <c r="B6775" s="0" t="s">
        <v>98</v>
      </c>
      <c r="D6775" s="6" t="n">
        <f aca="false">(Sens!C6774+Sens!D6774)/2*cop_px*12/1000</f>
        <v>0.9</v>
      </c>
      <c r="E6775" s="6" t="n">
        <f aca="false">(Sens!D6774+Sens!E6774)/2*cop_px*12/1000</f>
        <v>5.25</v>
      </c>
      <c r="F6775" s="6" t="n">
        <f aca="false">(Sens!E6774+Sens!F6774)/2*cop_px_lo*12/1000</f>
        <v>7.56</v>
      </c>
      <c r="G6775" s="6" t="n">
        <f aca="false">(Sens!F6774+Sens!G6774)/2*cop_px_lo*12/1000</f>
        <v>9.72</v>
      </c>
      <c r="H6775" s="6" t="n">
        <f aca="false">(Sens!G6774+Sens!H6774)/2*cop_px_lo*12/1000</f>
        <v>11.88</v>
      </c>
      <c r="I6775" s="6" t="n">
        <f aca="false">(Sens!H6774+Sens!I6774)/2*cop_px_lo*12/1000</f>
        <v>13.5</v>
      </c>
      <c r="J6775" s="6" t="n">
        <f aca="false">(Sens!I6774+Sens!J6774)/2*cop_px_lo*12/1000</f>
        <v>14.58</v>
      </c>
      <c r="K6775" s="6" t="n">
        <f aca="false">(Sens!J6774+Sens!K6774)/2*cop_px_lo*12/1000</f>
        <v>15.66</v>
      </c>
      <c r="L6775" s="1" t="s">
        <v>871</v>
      </c>
    </row>
    <row r="6776" customFormat="false" ht="17.15" hidden="false" customHeight="false" outlineLevel="0" collapsed="false">
      <c r="A6776" s="0" t="s">
        <v>872</v>
      </c>
      <c r="B6776" s="0" t="s">
        <v>98</v>
      </c>
      <c r="D6776" s="6" t="n">
        <f aca="false">Q!L7-Sens!D6775</f>
        <v>83.705</v>
      </c>
      <c r="E6776" s="6" t="n">
        <f aca="false">Q!M7-Sens!E6775</f>
        <v>95.049</v>
      </c>
      <c r="F6776" s="6" t="n">
        <f aca="false">Sens!E6776*(1+Sens!F6777)</f>
        <v>106.89238776686</v>
      </c>
      <c r="G6776" s="6" t="n">
        <f aca="false">Sens!F6776*(1+Sens!G6777)</f>
        <v>119.044168448684</v>
      </c>
      <c r="H6776" s="6" t="n">
        <f aca="false">Sens!G6776*(1+Sens!H6777)</f>
        <v>131.277359388781</v>
      </c>
      <c r="I6776" s="6" t="n">
        <f aca="false">Sens!H6776*(1+Sens!I6777)</f>
        <v>143.334028071957</v>
      </c>
      <c r="J6776" s="6" t="n">
        <f aca="false">Sens!I6776*(1+Sens!J6777)</f>
        <v>154.932702785465</v>
      </c>
      <c r="K6776" s="6" t="n">
        <f aca="false">Sens!J6776*(1+Sens!K6777)</f>
        <v>165.777991980448</v>
      </c>
    </row>
    <row r="6777" customFormat="false" ht="15" hidden="false" customHeight="false" outlineLevel="0" collapsed="false">
      <c r="A6777" s="1" t="s">
        <v>866</v>
      </c>
      <c r="B6777" s="0" t="s">
        <v>129</v>
      </c>
      <c r="E6777" s="7" t="n">
        <f aca="false">Sens!E6776/Sens!D6776-1</f>
        <v>0.135523564900544</v>
      </c>
      <c r="F6777" s="7" t="n">
        <f aca="false">Sens!$E$6777+(glt_m365b-Sens!$E$6777)*MIN(1,(Sens!F6732-base_fy)/n_conv)</f>
        <v>0.124602970750453</v>
      </c>
      <c r="G6777" s="7" t="n">
        <f aca="false">Sens!$E$6777+(glt_m365b-Sens!$E$6777)*MIN(1,(Sens!G6732-base_fy)/n_conv)</f>
        <v>0.113682376600363</v>
      </c>
      <c r="H6777" s="7" t="n">
        <f aca="false">Sens!$E$6777+(glt_m365b-Sens!$E$6777)*MIN(1,(Sens!H6732-base_fy)/n_conv)</f>
        <v>0.102761782450272</v>
      </c>
      <c r="I6777" s="7" t="n">
        <f aca="false">Sens!$E$6777+(glt_m365b-Sens!$E$6777)*MIN(1,(Sens!I6732-base_fy)/n_conv)</f>
        <v>0.0918411883001813</v>
      </c>
      <c r="J6777" s="7" t="n">
        <f aca="false">Sens!$E$6777+(glt_m365b-Sens!$E$6777)*MIN(1,(Sens!J6732-base_fy)/n_conv)</f>
        <v>0.0809205941500906</v>
      </c>
      <c r="K6777" s="7" t="n">
        <f aca="false">Sens!$E$6777+(glt_m365b-Sens!$E$6777)*MIN(1,(Sens!K6732-base_fy)/n_conv)</f>
        <v>0.07</v>
      </c>
    </row>
    <row r="6778" customFormat="false" ht="15" hidden="false" customHeight="false" outlineLevel="0" collapsed="false">
      <c r="A6778" s="0" t="s">
        <v>873</v>
      </c>
      <c r="B6778" s="0" t="s">
        <v>98</v>
      </c>
      <c r="D6778" s="6" t="n">
        <f aca="false">Sens!D6776+Sens!D6775</f>
        <v>84.605</v>
      </c>
      <c r="E6778" s="6" t="n">
        <f aca="false">Sens!E6776+Sens!E6775</f>
        <v>100.299</v>
      </c>
      <c r="F6778" s="6" t="n">
        <f aca="false">Sens!F6776+Sens!F6775</f>
        <v>114.45238776686</v>
      </c>
      <c r="G6778" s="6" t="n">
        <f aca="false">Sens!G6776+Sens!G6775</f>
        <v>128.764168448684</v>
      </c>
      <c r="H6778" s="6" t="n">
        <f aca="false">Sens!H6776+Sens!H6775</f>
        <v>143.157359388781</v>
      </c>
      <c r="I6778" s="6" t="n">
        <f aca="false">Sens!I6776+Sens!I6775</f>
        <v>156.834028071957</v>
      </c>
      <c r="J6778" s="6" t="n">
        <f aca="false">Sens!J6776+Sens!J6775</f>
        <v>169.512702785465</v>
      </c>
      <c r="K6778" s="6" t="n">
        <f aca="false">Sens!K6776+Sens!K6775</f>
        <v>181.437991980448</v>
      </c>
    </row>
    <row r="6779" customFormat="false" ht="15" hidden="false" customHeight="false" outlineLevel="0" collapsed="false">
      <c r="A6779" s="0" t="s">
        <v>874</v>
      </c>
      <c r="B6779" s="0" t="s">
        <v>98</v>
      </c>
      <c r="D6779" s="6" t="n">
        <f aca="false">Q!L8</f>
        <v>35.391</v>
      </c>
      <c r="E6779" s="6" t="n">
        <f aca="false">Q!M8</f>
        <v>37.285</v>
      </c>
      <c r="F6779" s="6" t="n">
        <f aca="false">Sens!E6779*(1+Sens!F6780)</f>
        <v>39.0720834331704</v>
      </c>
      <c r="G6779" s="6" t="n">
        <f aca="false">Sens!F6779*(1+Sens!G6780)</f>
        <v>40.726562953769</v>
      </c>
      <c r="H6779" s="6" t="n">
        <f aca="false">Sens!G6779*(1+Sens!H6780)</f>
        <v>42.2235987259198</v>
      </c>
      <c r="I6779" s="6" t="n">
        <f aca="false">Sens!H6779*(1+Sens!I6780)</f>
        <v>43.5397988077414</v>
      </c>
      <c r="J6779" s="6" t="n">
        <f aca="false">Sens!I6779*(1+Sens!J6780)</f>
        <v>44.653811225693</v>
      </c>
      <c r="K6779" s="6" t="n">
        <f aca="false">Sens!J6779*(1+Sens!K6780)</f>
        <v>45.5468874502068</v>
      </c>
    </row>
    <row r="6780" customFormat="false" ht="15" hidden="false" customHeight="false" outlineLevel="0" collapsed="false">
      <c r="A6780" s="1" t="s">
        <v>866</v>
      </c>
      <c r="B6780" s="0" t="s">
        <v>129</v>
      </c>
      <c r="E6780" s="7" t="n">
        <f aca="false">Sens!E6779/Sens!D6779-1</f>
        <v>0.0535164307309768</v>
      </c>
      <c r="F6780" s="7" t="n">
        <f aca="false">Sens!$E$6780+(glt_lic-Sens!$E$6780)*MIN(1,(Sens!F6732-base_fy)/n_conv)</f>
        <v>0.0479303589424807</v>
      </c>
      <c r="G6780" s="7" t="n">
        <f aca="false">Sens!$E$6780+(glt_lic-Sens!$E$6780)*MIN(1,(Sens!G6732-base_fy)/n_conv)</f>
        <v>0.0423442871539845</v>
      </c>
      <c r="H6780" s="7" t="n">
        <f aca="false">Sens!$E$6780+(glt_lic-Sens!$E$6780)*MIN(1,(Sens!H6732-base_fy)/n_conv)</f>
        <v>0.0367582153654884</v>
      </c>
      <c r="I6780" s="7" t="n">
        <f aca="false">Sens!$E$6780+(glt_lic-Sens!$E$6780)*MIN(1,(Sens!I6732-base_fy)/n_conv)</f>
        <v>0.0311721435769923</v>
      </c>
      <c r="J6780" s="7" t="n">
        <f aca="false">Sens!$E$6780+(glt_lic-Sens!$E$6780)*MIN(1,(Sens!J6732-base_fy)/n_conv)</f>
        <v>0.0255860717884961</v>
      </c>
      <c r="K6780" s="7" t="n">
        <f aca="false">Sens!$E$6780+(glt_lic-Sens!$E$6780)*MIN(1,(Sens!K6732-base_fy)/n_conv)</f>
        <v>0.02</v>
      </c>
    </row>
    <row r="6781" customFormat="false" ht="15" hidden="false" customHeight="false" outlineLevel="0" collapsed="false">
      <c r="A6781" s="0" t="s">
        <v>875</v>
      </c>
      <c r="B6781" s="0" t="s">
        <v>98</v>
      </c>
      <c r="D6781" s="6" t="n">
        <f aca="false">Q!L9</f>
        <v>18.417</v>
      </c>
      <c r="E6781" s="6" t="n">
        <f aca="false">Q!M9</f>
        <v>20.345</v>
      </c>
      <c r="F6781" s="6" t="n">
        <f aca="false">Sens!E6781*(1+Sens!F6782)</f>
        <v>22.3572203267814</v>
      </c>
      <c r="G6781" s="6" t="n">
        <f aca="false">Sens!F6781*(1+Sens!G6782)</f>
        <v>24.4392124437232</v>
      </c>
      <c r="H6781" s="6" t="n">
        <f aca="false">Sens!G6781*(1+Sens!H6782)</f>
        <v>26.5738052080665</v>
      </c>
      <c r="I6781" s="6" t="n">
        <f aca="false">Sens!H6781*(1+Sens!I6782)</f>
        <v>28.7412169166967</v>
      </c>
      <c r="J6781" s="6" t="n">
        <f aca="false">Sens!I6781*(1+Sens!J6782)</f>
        <v>30.9192545395413</v>
      </c>
      <c r="K6781" s="6" t="n">
        <f aca="false">Sens!J6781*(1+Sens!K6782)</f>
        <v>33.0836023573092</v>
      </c>
    </row>
    <row r="6782" customFormat="false" ht="15" hidden="false" customHeight="false" outlineLevel="0" collapsed="false">
      <c r="A6782" s="1" t="s">
        <v>866</v>
      </c>
      <c r="B6782" s="0" t="s">
        <v>129</v>
      </c>
      <c r="E6782" s="7" t="n">
        <f aca="false">Sens!E6781/Sens!D6781-1</f>
        <v>0.104685888038225</v>
      </c>
      <c r="F6782" s="7" t="n">
        <f aca="false">Sens!$E$6782+(glt_ind-Sens!$E$6782)*MIN(1,(Sens!F6732-base_fy)/n_conv)</f>
        <v>0.0989049066985211</v>
      </c>
      <c r="G6782" s="7" t="n">
        <f aca="false">Sens!$E$6782+(glt_ind-Sens!$E$6782)*MIN(1,(Sens!G6732-base_fy)/n_conv)</f>
        <v>0.0931239253588169</v>
      </c>
      <c r="H6782" s="7" t="n">
        <f aca="false">Sens!$E$6782+(glt_ind-Sens!$E$6782)*MIN(1,(Sens!H6732-base_fy)/n_conv)</f>
        <v>0.0873429440191127</v>
      </c>
      <c r="I6782" s="7" t="n">
        <f aca="false">Sens!$E$6782+(glt_ind-Sens!$E$6782)*MIN(1,(Sens!I6732-base_fy)/n_conv)</f>
        <v>0.0815619626794085</v>
      </c>
      <c r="J6782" s="7" t="n">
        <f aca="false">Sens!$E$6782+(glt_ind-Sens!$E$6782)*MIN(1,(Sens!J6732-base_fy)/n_conv)</f>
        <v>0.0757809813397042</v>
      </c>
      <c r="K6782" s="7" t="n">
        <f aca="false">Sens!$E$6782+(glt_ind-Sens!$E$6782)*MIN(1,(Sens!K6732-base_fy)/n_conv)</f>
        <v>0.07</v>
      </c>
    </row>
    <row r="6783" customFormat="false" ht="15" hidden="false" customHeight="false" outlineLevel="0" collapsed="false">
      <c r="A6783" s="0" t="s">
        <v>876</v>
      </c>
      <c r="B6783" s="0" t="s">
        <v>98</v>
      </c>
      <c r="D6783" s="6" t="n">
        <f aca="false">Q!L10</f>
        <v>7.76</v>
      </c>
      <c r="E6783" s="6" t="n">
        <f aca="false">Q!M10</f>
        <v>8.26</v>
      </c>
      <c r="F6783" s="6" t="n">
        <f aca="false">Sens!E6783*(1+Sens!F6784)</f>
        <v>8.79988041237113</v>
      </c>
      <c r="G6783" s="6" t="n">
        <f aca="false">Sens!F6783*(1+Sens!G6784)</f>
        <v>9.38321269125306</v>
      </c>
      <c r="H6783" s="6" t="n">
        <f aca="false">Sens!G6783*(1+Sens!H6784)</f>
        <v>10.0139193587476</v>
      </c>
      <c r="I6783" s="6" t="n">
        <f aca="false">Sens!H6783*(1+Sens!I6784)</f>
        <v>10.6963111830911</v>
      </c>
      <c r="J6783" s="6" t="n">
        <f aca="false">Sens!I6783*(1+Sens!J6784)</f>
        <v>11.4351285534696</v>
      </c>
      <c r="K6783" s="6" t="n">
        <f aca="false">Sens!J6783*(1+Sens!K6784)</f>
        <v>12.2355875522124</v>
      </c>
    </row>
    <row r="6784" customFormat="false" ht="15" hidden="false" customHeight="false" outlineLevel="0" collapsed="false">
      <c r="A6784" s="1" t="s">
        <v>866</v>
      </c>
      <c r="B6784" s="0" t="s">
        <v>129</v>
      </c>
      <c r="E6784" s="7" t="n">
        <f aca="false">Sens!E6783/Sens!D6783-1</f>
        <v>0.0644329896907216</v>
      </c>
      <c r="F6784" s="7" t="n">
        <f aca="false">Sens!$E$6784+(glt_fro-Sens!$E$6784)*MIN(1,(Sens!F6732-base_fy)/n_conv)</f>
        <v>0.065360824742268</v>
      </c>
      <c r="G6784" s="7" t="n">
        <f aca="false">Sens!$E$6784+(glt_fro-Sens!$E$6784)*MIN(1,(Sens!G6732-base_fy)/n_conv)</f>
        <v>0.0662886597938144</v>
      </c>
      <c r="H6784" s="7" t="n">
        <f aca="false">Sens!$E$6784+(glt_fro-Sens!$E$6784)*MIN(1,(Sens!H6732-base_fy)/n_conv)</f>
        <v>0.0672164948453608</v>
      </c>
      <c r="I6784" s="7" t="n">
        <f aca="false">Sens!$E$6784+(glt_fro-Sens!$E$6784)*MIN(1,(Sens!I6732-base_fy)/n_conv)</f>
        <v>0.0681443298969072</v>
      </c>
      <c r="J6784" s="7" t="n">
        <f aca="false">Sens!$E$6784+(glt_fro-Sens!$E$6784)*MIN(1,(Sens!J6732-base_fy)/n_conv)</f>
        <v>0.0690721649484536</v>
      </c>
      <c r="K6784" s="7" t="n">
        <f aca="false">Sens!$E$6784+(glt_fro-Sens!$E$6784)*MIN(1,(Sens!K6732-base_fy)/n_conv)</f>
        <v>0.07</v>
      </c>
    </row>
    <row r="6785" customFormat="false" ht="15" hidden="false" customHeight="false" outlineLevel="0" collapsed="false">
      <c r="A6785" s="0" t="s">
        <v>704</v>
      </c>
      <c r="B6785" s="0" t="s">
        <v>98</v>
      </c>
      <c r="D6785" s="6" t="n">
        <f aca="false">Sens!D6773+Sens!D6778+Sens!D6779+Sens!D6781+Sens!D6783</f>
        <v>218.783</v>
      </c>
      <c r="E6785" s="6" t="n">
        <f aca="false">Sens!E6773+Sens!E6778+Sens!E6779+Sens!E6781+Sens!E6783</f>
        <v>268.127</v>
      </c>
      <c r="F6785" s="6" t="n">
        <f aca="false">Sens!F6773+Sens!F6778+Sens!F6779+Sens!F6781+Sens!F6783</f>
        <v>325.423433064856</v>
      </c>
      <c r="G6785" s="6" t="n">
        <f aca="false">Sens!G6773+Sens!G6778+Sens!G6779+Sens!G6781+Sens!G6783</f>
        <v>385.489865673274</v>
      </c>
      <c r="H6785" s="6" t="n">
        <f aca="false">Sens!H6773+Sens!H6778+Sens!H6779+Sens!H6781+Sens!H6783</f>
        <v>441.136320871193</v>
      </c>
      <c r="I6785" s="6" t="n">
        <f aca="false">Sens!I6773+Sens!I6778+Sens!I6779+Sens!I6781+Sens!I6783</f>
        <v>499.451226245492</v>
      </c>
      <c r="J6785" s="6" t="n">
        <f aca="false">Sens!J6773+Sens!J6778+Sens!J6779+Sens!J6781+Sens!J6783</f>
        <v>547.844968064502</v>
      </c>
      <c r="K6785" s="6" t="n">
        <f aca="false">Sens!K6773+Sens!K6778+Sens!K6779+Sens!K6781+Sens!K6783</f>
        <v>586.449823703864</v>
      </c>
    </row>
    <row r="6786" customFormat="false" ht="15" hidden="false" customHeight="false" outlineLevel="0" collapsed="false">
      <c r="A6786" s="0" t="s">
        <v>877</v>
      </c>
      <c r="B6786" s="0" t="s">
        <v>98</v>
      </c>
      <c r="D6786" s="6" t="n">
        <f aca="false">Q!L13</f>
        <v>22.171</v>
      </c>
      <c r="E6786" s="6" t="n">
        <f aca="false">Q!M13</f>
        <v>24.835</v>
      </c>
      <c r="F6786" s="6" t="n">
        <f aca="false">Sens!E6786*(1+Sens!F6787)</f>
        <v>27.6114901218559</v>
      </c>
      <c r="G6786" s="6" t="n">
        <f aca="false">Sens!F6786*(1+Sens!G6787)</f>
        <v>30.4675667338515</v>
      </c>
      <c r="H6786" s="6" t="n">
        <f aca="false">Sens!G6786*(1+Sens!H6787)</f>
        <v>33.3643766955789</v>
      </c>
      <c r="I6786" s="6" t="n">
        <f aca="false">Sens!H6786*(1+Sens!I6787)</f>
        <v>36.2577016533691</v>
      </c>
      <c r="J6786" s="6" t="n">
        <f aca="false">Sens!I6786*(1+Sens!J6787)</f>
        <v>39.0988367952171</v>
      </c>
      <c r="K6786" s="6" t="n">
        <f aca="false">Sens!J6786*(1+Sens!K6787)</f>
        <v>41.8357553708823</v>
      </c>
    </row>
    <row r="6787" customFormat="false" ht="15" hidden="false" customHeight="false" outlineLevel="0" collapsed="false">
      <c r="A6787" s="1" t="s">
        <v>866</v>
      </c>
      <c r="B6787" s="0" t="s">
        <v>129</v>
      </c>
      <c r="E6787" s="7" t="n">
        <f aca="false">Sens!E6786/Sens!D6786-1</f>
        <v>0.120156961796942</v>
      </c>
      <c r="F6787" s="7" t="n">
        <f aca="false">Sens!$E$6787+(glt_srch-Sens!$E$6787)*MIN(1,(Sens!F6732-base_fy)/n_conv)</f>
        <v>0.111797468164118</v>
      </c>
      <c r="G6787" s="7" t="n">
        <f aca="false">Sens!$E$6787+(glt_srch-Sens!$E$6787)*MIN(1,(Sens!G6732-base_fy)/n_conv)</f>
        <v>0.103437974531295</v>
      </c>
      <c r="H6787" s="7" t="n">
        <f aca="false">Sens!$E$6787+(glt_srch-Sens!$E$6787)*MIN(1,(Sens!H6732-base_fy)/n_conv)</f>
        <v>0.095078480898471</v>
      </c>
      <c r="I6787" s="7" t="n">
        <f aca="false">Sens!$E$6787+(glt_srch-Sens!$E$6787)*MIN(1,(Sens!I6732-base_fy)/n_conv)</f>
        <v>0.0867189872656474</v>
      </c>
      <c r="J6787" s="7" t="n">
        <f aca="false">Sens!$E$6787+(glt_srch-Sens!$E$6787)*MIN(1,(Sens!J6732-base_fy)/n_conv)</f>
        <v>0.0783594936328237</v>
      </c>
      <c r="K6787" s="7" t="n">
        <f aca="false">Sens!$E$6787+(glt_srch-Sens!$E$6787)*MIN(1,(Sens!K6732-base_fy)/n_conv)</f>
        <v>0.07</v>
      </c>
    </row>
    <row r="6788" customFormat="false" ht="15" hidden="false" customHeight="false" outlineLevel="0" collapsed="false">
      <c r="A6788" s="0" t="s">
        <v>878</v>
      </c>
      <c r="B6788" s="0" t="s">
        <v>98</v>
      </c>
      <c r="D6788" s="6" t="n">
        <f aca="false">Q!L14</f>
        <v>23.455</v>
      </c>
      <c r="E6788" s="6" t="n">
        <f aca="false">Q!M14</f>
        <v>21.79</v>
      </c>
      <c r="F6788" s="6" t="n">
        <f aca="false">Sens!E6788*(1+Sens!F6789)</f>
        <v>20.5736277908051</v>
      </c>
      <c r="G6788" s="6" t="n">
        <f aca="false">Sens!F6788*(1+Sens!G6789)</f>
        <v>19.7371452817919</v>
      </c>
      <c r="H6788" s="6" t="n">
        <f aca="false">Sens!G6788*(1+Sens!H6789)</f>
        <v>19.2339764043138</v>
      </c>
      <c r="I6788" s="6" t="n">
        <f aca="false">Sens!H6788*(1+Sens!I6789)</f>
        <v>19.0353086852681</v>
      </c>
      <c r="J6788" s="6" t="n">
        <f aca="false">Sens!I6788*(1+Sens!J6789)</f>
        <v>19.1273539319129</v>
      </c>
      <c r="K6788" s="6" t="n">
        <f aca="false">Sens!J6788*(1+Sens!K6789)</f>
        <v>19.5099010105511</v>
      </c>
    </row>
    <row r="6789" customFormat="false" ht="15" hidden="false" customHeight="false" outlineLevel="0" collapsed="false">
      <c r="A6789" s="1" t="s">
        <v>866</v>
      </c>
      <c r="B6789" s="0" t="s">
        <v>129</v>
      </c>
      <c r="E6789" s="7" t="n">
        <f aca="false">Sens!E6788/Sens!D6788-1</f>
        <v>-0.0709869963760392</v>
      </c>
      <c r="F6789" s="7" t="n">
        <f aca="false">Sens!$E$6789+(glt_xbox-Sens!$E$6789)*MIN(1,(Sens!F6732-base_fy)/n_conv)</f>
        <v>-0.0558224969800327</v>
      </c>
      <c r="G6789" s="7" t="n">
        <f aca="false">Sens!$E$6789+(glt_xbox-Sens!$E$6789)*MIN(1,(Sens!G6732-base_fy)/n_conv)</f>
        <v>-0.0406579975840262</v>
      </c>
      <c r="H6789" s="7" t="n">
        <f aca="false">Sens!$E$6789+(glt_xbox-Sens!$E$6789)*MIN(1,(Sens!H6732-base_fy)/n_conv)</f>
        <v>-0.0254934981880196</v>
      </c>
      <c r="I6789" s="7" t="n">
        <f aca="false">Sens!$E$6789+(glt_xbox-Sens!$E$6789)*MIN(1,(Sens!I6732-base_fy)/n_conv)</f>
        <v>-0.0103289987920131</v>
      </c>
      <c r="J6789" s="7" t="n">
        <f aca="false">Sens!$E$6789+(glt_xbox-Sens!$E$6789)*MIN(1,(Sens!J6732-base_fy)/n_conv)</f>
        <v>0.00483550060399347</v>
      </c>
      <c r="K6789" s="7" t="n">
        <f aca="false">Sens!$E$6789+(glt_xbox-Sens!$E$6789)*MIN(1,(Sens!K6732-base_fy)/n_conv)</f>
        <v>0.02</v>
      </c>
    </row>
    <row r="6790" customFormat="false" ht="15" hidden="false" customHeight="false" outlineLevel="0" collapsed="false">
      <c r="A6790" s="0" t="s">
        <v>879</v>
      </c>
      <c r="B6790" s="0" t="s">
        <v>98</v>
      </c>
      <c r="D6790" s="6" t="n">
        <f aca="false">Q!L15</f>
        <v>17.315</v>
      </c>
      <c r="E6790" s="6" t="n">
        <f aca="false">Q!M15</f>
        <v>17.087</v>
      </c>
      <c r="F6790" s="6" t="n">
        <f aca="false">Sens!E6790*(1+Sens!F6791)</f>
        <v>16.9564585436519</v>
      </c>
      <c r="G6790" s="6" t="n">
        <f aca="false">Sens!F6790*(1+Sens!G6791)</f>
        <v>16.9206490624268</v>
      </c>
      <c r="H6790" s="6" t="n">
        <f aca="false">Sens!G6790*(1+Sens!H6791)</f>
        <v>16.9784519149849</v>
      </c>
      <c r="I6790" s="6" t="n">
        <f aca="false">Sens!H6790*(1+Sens!I6791)</f>
        <v>17.1303084701817</v>
      </c>
      <c r="J6790" s="6" t="n">
        <f aca="false">Sens!I6790*(1+Sens!J6791)</f>
        <v>17.3782189407267</v>
      </c>
      <c r="K6790" s="6" t="n">
        <f aca="false">Sens!J6790*(1+Sens!K6791)</f>
        <v>17.7257833195413</v>
      </c>
    </row>
    <row r="6791" customFormat="false" ht="15" hidden="false" customHeight="false" outlineLevel="0" collapsed="false">
      <c r="A6791" s="1" t="s">
        <v>866</v>
      </c>
      <c r="B6791" s="0" t="s">
        <v>129</v>
      </c>
      <c r="E6791" s="7" t="n">
        <f aca="false">Sens!E6790/Sens!D6790-1</f>
        <v>-0.0131677736066995</v>
      </c>
      <c r="F6791" s="7" t="n">
        <f aca="false">Sens!$E$6791+(glt_win-Sens!$E$6791)*MIN(1,(Sens!F6732-base_fy)/n_conv)</f>
        <v>-0.00763981133891627</v>
      </c>
      <c r="G6791" s="7" t="n">
        <f aca="false">Sens!$E$6791+(glt_win-Sens!$E$6791)*MIN(1,(Sens!G6732-base_fy)/n_conv)</f>
        <v>-0.00211184907113301</v>
      </c>
      <c r="H6791" s="7" t="n">
        <f aca="false">Sens!$E$6791+(glt_win-Sens!$E$6791)*MIN(1,(Sens!H6732-base_fy)/n_conv)</f>
        <v>0.00341611319665024</v>
      </c>
      <c r="I6791" s="7" t="n">
        <f aca="false">Sens!$E$6791+(glt_win-Sens!$E$6791)*MIN(1,(Sens!I6732-base_fy)/n_conv)</f>
        <v>0.00894407546443349</v>
      </c>
      <c r="J6791" s="7" t="n">
        <f aca="false">Sens!$E$6791+(glt_win-Sens!$E$6791)*MIN(1,(Sens!J6732-base_fy)/n_conv)</f>
        <v>0.0144720377322168</v>
      </c>
      <c r="K6791" s="7" t="n">
        <f aca="false">Sens!$E$6791+(glt_win-Sens!$E$6791)*MIN(1,(Sens!K6732-base_fy)/n_conv)</f>
        <v>0.02</v>
      </c>
    </row>
    <row r="6792" customFormat="false" ht="15" hidden="false" customHeight="false" outlineLevel="0" collapsed="false">
      <c r="A6792" s="0" t="s">
        <v>718</v>
      </c>
      <c r="B6792" s="0" t="s">
        <v>98</v>
      </c>
      <c r="D6792" s="6" t="n">
        <f aca="false">Sens!D6786+Sens!D6788+Sens!D6790</f>
        <v>62.941</v>
      </c>
      <c r="E6792" s="6" t="n">
        <f aca="false">Sens!E6786+Sens!E6788+Sens!E6790</f>
        <v>63.712</v>
      </c>
      <c r="F6792" s="6" t="n">
        <f aca="false">Sens!F6786+Sens!F6788+Sens!F6790</f>
        <v>65.1415764563129</v>
      </c>
      <c r="G6792" s="6" t="n">
        <f aca="false">Sens!G6786+Sens!G6788+Sens!G6790</f>
        <v>67.1253610780702</v>
      </c>
      <c r="H6792" s="6" t="n">
        <f aca="false">Sens!H6786+Sens!H6788+Sens!H6790</f>
        <v>69.5768050148776</v>
      </c>
      <c r="I6792" s="6" t="n">
        <f aca="false">Sens!I6786+Sens!I6788+Sens!I6790</f>
        <v>72.4233188088189</v>
      </c>
      <c r="J6792" s="6" t="n">
        <f aca="false">Sens!J6786+Sens!J6788+Sens!J6790</f>
        <v>75.6044096678567</v>
      </c>
      <c r="K6792" s="6" t="n">
        <f aca="false">Sens!K6786+Sens!K6788+Sens!K6790</f>
        <v>79.0714397009747</v>
      </c>
    </row>
    <row r="6793" customFormat="false" ht="15" hidden="false" customHeight="false" outlineLevel="0" collapsed="false">
      <c r="A6793" s="1" t="s">
        <v>880</v>
      </c>
      <c r="B6793" s="0" t="s">
        <v>98</v>
      </c>
      <c r="D6793" s="6" t="n">
        <f aca="false">Sens!D6785+Sens!D6792</f>
        <v>281.724</v>
      </c>
      <c r="E6793" s="6" t="n">
        <f aca="false">Sens!E6785+Sens!E6792</f>
        <v>331.839</v>
      </c>
      <c r="F6793" s="6" t="n">
        <f aca="false">Sens!F6785+Sens!F6792</f>
        <v>390.565009521169</v>
      </c>
      <c r="G6793" s="6" t="n">
        <f aca="false">Sens!G6785+Sens!G6792</f>
        <v>452.615226751344</v>
      </c>
      <c r="H6793" s="6" t="n">
        <f aca="false">Sens!H6785+Sens!H6792</f>
        <v>510.713125886071</v>
      </c>
      <c r="I6793" s="6" t="n">
        <f aca="false">Sens!I6785+Sens!I6792</f>
        <v>571.874545054311</v>
      </c>
      <c r="J6793" s="6" t="n">
        <f aca="false">Sens!J6785+Sens!J6792</f>
        <v>623.449377732358</v>
      </c>
      <c r="K6793" s="6" t="n">
        <f aca="false">Sens!K6785+Sens!K6792</f>
        <v>665.521263404839</v>
      </c>
    </row>
    <row r="6794" customFormat="false" ht="15" hidden="false" customHeight="false" outlineLevel="0" collapsed="false">
      <c r="A6794" s="23" t="s">
        <v>881</v>
      </c>
      <c r="B6794" s="30" t="s">
        <v>98</v>
      </c>
      <c r="C6794" s="30"/>
      <c r="D6794" s="24" t="n">
        <f aca="false">(Sens!D6773+Sens!D6778+Sens!D6779+Sens!D6781+Sens!D6783-Sens!D6785)+(Sens!D6786+Sens!D6788+Sens!D6790-Sens!D6792)+(Sens!D6785-Q!L5)+(Sens!D6792-Q!L12)+(Sens!D6773-Q!L6)+(Sens!D6778-Q!L7)</f>
        <v>0</v>
      </c>
      <c r="E6794" s="24" t="n">
        <f aca="false">(Sens!E6773+Sens!E6778+Sens!E6779+Sens!E6781+Sens!E6783-Sens!E6785)+(Sens!E6786+Sens!E6788+Sens!E6790-Sens!E6792)+(Sens!E6785-Q!M5)+(Sens!E6792-Q!M12)+(Sens!E6773-Q!M6)+(Sens!E6778-Q!M7)</f>
        <v>0</v>
      </c>
      <c r="F6794" s="24" t="n">
        <f aca="false">(Sens!F6773+Sens!F6778+Sens!F6779+Sens!F6781+Sens!F6783-Sens!F6785)+(Sens!F6786+Sens!F6788+Sens!F6790-Sens!F6792)</f>
        <v>0</v>
      </c>
      <c r="G6794" s="24" t="n">
        <f aca="false">(Sens!G6773+Sens!G6778+Sens!G6779+Sens!G6781+Sens!G6783-Sens!G6785)+(Sens!G6786+Sens!G6788+Sens!G6790-Sens!G6792)</f>
        <v>0</v>
      </c>
      <c r="H6794" s="24" t="n">
        <f aca="false">(Sens!H6773+Sens!H6778+Sens!H6779+Sens!H6781+Sens!H6783-Sens!H6785)+(Sens!H6786+Sens!H6788+Sens!H6790-Sens!H6792)</f>
        <v>0</v>
      </c>
      <c r="I6794" s="24" t="n">
        <f aca="false">(Sens!I6773+Sens!I6778+Sens!I6779+Sens!I6781+Sens!I6783-Sens!I6785)+(Sens!I6786+Sens!I6788+Sens!I6790-Sens!I6792)</f>
        <v>0</v>
      </c>
      <c r="J6794" s="24" t="n">
        <f aca="false">(Sens!J6773+Sens!J6778+Sens!J6779+Sens!J6781+Sens!J6783-Sens!J6785)+(Sens!J6786+Sens!J6788+Sens!J6790-Sens!J6792)</f>
        <v>0</v>
      </c>
      <c r="K6794" s="24" t="n">
        <f aca="false">(Sens!K6773+Sens!K6778+Sens!K6779+Sens!K6781+Sens!K6783-Sens!K6785)+(Sens!K6786+Sens!K6788+Sens!K6790-Sens!K6792)</f>
        <v>0</v>
      </c>
    </row>
    <row r="6795" customFormat="false" ht="17.15" hidden="false" customHeight="false" outlineLevel="0" collapsed="false">
      <c r="A6795" s="3" t="s">
        <v>1411</v>
      </c>
    </row>
    <row r="6796" customFormat="false" ht="15" hidden="false" customHeight="false" outlineLevel="0" collapsed="false">
      <c r="A6796" s="4" t="s">
        <v>43</v>
      </c>
      <c r="B6796" s="4" t="s">
        <v>65</v>
      </c>
      <c r="C6796" s="20" t="s">
        <v>788</v>
      </c>
      <c r="D6796" s="20" t="s">
        <v>789</v>
      </c>
      <c r="E6796" s="20" t="s">
        <v>790</v>
      </c>
      <c r="F6796" s="20" t="s">
        <v>791</v>
      </c>
      <c r="G6796" s="20" t="s">
        <v>792</v>
      </c>
      <c r="H6796" s="20" t="s">
        <v>793</v>
      </c>
      <c r="I6796" s="20" t="s">
        <v>794</v>
      </c>
      <c r="J6796" s="20" t="s">
        <v>795</v>
      </c>
      <c r="K6796" s="20" t="s">
        <v>796</v>
      </c>
      <c r="L6796" s="4" t="s">
        <v>47</v>
      </c>
    </row>
    <row r="6797" customFormat="false" ht="15" hidden="false" customHeight="false" outlineLevel="0" collapsed="false">
      <c r="A6797" s="0" t="s">
        <v>867</v>
      </c>
      <c r="B6797" s="0" t="s">
        <v>98</v>
      </c>
      <c r="D6797" s="6" t="n">
        <f aca="false">Sens!D6773</f>
        <v>72.61</v>
      </c>
      <c r="E6797" s="6" t="n">
        <f aca="false">Sens!E6773</f>
        <v>101.938</v>
      </c>
      <c r="F6797" s="6" t="n">
        <f aca="false">Sens!F6773</f>
        <v>140.741861125673</v>
      </c>
      <c r="G6797" s="6" t="n">
        <f aca="false">Sens!G6773</f>
        <v>182.176709135845</v>
      </c>
      <c r="H6797" s="6" t="n">
        <f aca="false">Sens!H6773</f>
        <v>219.167638189678</v>
      </c>
      <c r="I6797" s="6" t="n">
        <f aca="false">Sens!I6773</f>
        <v>259.639871266006</v>
      </c>
      <c r="J6797" s="6" t="n">
        <f aca="false">Sens!J6773</f>
        <v>291.324070960333</v>
      </c>
      <c r="K6797" s="6" t="n">
        <f aca="false">Sens!K6773</f>
        <v>314.145754363688</v>
      </c>
    </row>
    <row r="6798" customFormat="false" ht="17.15" hidden="false" customHeight="false" outlineLevel="0" collapsed="false">
      <c r="A6798" s="0" t="s">
        <v>864</v>
      </c>
      <c r="B6798" s="0" t="s">
        <v>98</v>
      </c>
      <c r="D6798" s="6" t="n">
        <f aca="false">Sens!D6770</f>
        <v>12.9359794422418</v>
      </c>
      <c r="E6798" s="6" t="n">
        <f aca="false">Sens!E6770</f>
        <v>27.8095064661409</v>
      </c>
      <c r="F6798" s="6" t="n">
        <f aca="false">Sens!F6770</f>
        <v>50.6619113883066</v>
      </c>
      <c r="G6798" s="6" t="n">
        <f aca="false">Sens!G6770</f>
        <v>75.1482839325348</v>
      </c>
      <c r="H6798" s="6" t="n">
        <f aca="false">Sens!H6770</f>
        <v>94.895655604042</v>
      </c>
      <c r="I6798" s="6" t="n">
        <f aca="false">Sens!I6770</f>
        <v>118.706168884151</v>
      </c>
      <c r="J6798" s="6" t="n">
        <f aca="false">Sens!J6770</f>
        <v>135.305203646001</v>
      </c>
      <c r="K6798" s="6" t="n">
        <f aca="false">Sens!K6770</f>
        <v>145.64537766421</v>
      </c>
    </row>
    <row r="6799" customFormat="false" ht="17.15" hidden="false" customHeight="false" outlineLevel="0" collapsed="false">
      <c r="A6799" s="0" t="s">
        <v>892</v>
      </c>
      <c r="B6799" s="0" t="s">
        <v>98</v>
      </c>
      <c r="D6799" s="6" t="n">
        <f aca="false">Sens!D6771</f>
        <v>59.6740205577583</v>
      </c>
      <c r="E6799" s="6" t="n">
        <f aca="false">Sens!E6771</f>
        <v>74.1284935338591</v>
      </c>
      <c r="F6799" s="6" t="n">
        <f aca="false">Sens!F6771</f>
        <v>90.0799497373663</v>
      </c>
      <c r="G6799" s="6" t="n">
        <f aca="false">Sens!G6771</f>
        <v>107.02842520331</v>
      </c>
      <c r="H6799" s="6" t="n">
        <f aca="false">Sens!H6771</f>
        <v>124.271982585636</v>
      </c>
      <c r="I6799" s="6" t="n">
        <f aca="false">Sens!I6771</f>
        <v>140.933702381855</v>
      </c>
      <c r="J6799" s="6" t="n">
        <f aca="false">Sens!J6771</f>
        <v>156.018867314332</v>
      </c>
      <c r="K6799" s="6" t="n">
        <f aca="false">Sens!K6771</f>
        <v>168.500376699478</v>
      </c>
    </row>
    <row r="6800" customFormat="false" ht="15" hidden="false" customHeight="false" outlineLevel="0" collapsed="false">
      <c r="A6800" s="0" t="s">
        <v>873</v>
      </c>
      <c r="B6800" s="0" t="s">
        <v>98</v>
      </c>
      <c r="D6800" s="6" t="n">
        <f aca="false">Sens!D6778</f>
        <v>84.605</v>
      </c>
      <c r="E6800" s="6" t="n">
        <f aca="false">Sens!E6778</f>
        <v>100.299</v>
      </c>
      <c r="F6800" s="6" t="n">
        <f aca="false">Sens!F6778</f>
        <v>114.45238776686</v>
      </c>
      <c r="G6800" s="6" t="n">
        <f aca="false">Sens!G6778</f>
        <v>128.764168448684</v>
      </c>
      <c r="H6800" s="6" t="n">
        <f aca="false">Sens!H6778</f>
        <v>143.157359388781</v>
      </c>
      <c r="I6800" s="6" t="n">
        <f aca="false">Sens!I6778</f>
        <v>156.834028071957</v>
      </c>
      <c r="J6800" s="6" t="n">
        <f aca="false">Sens!J6778</f>
        <v>169.512702785465</v>
      </c>
      <c r="K6800" s="6" t="n">
        <f aca="false">Sens!K6778</f>
        <v>181.437991980448</v>
      </c>
    </row>
    <row r="6801" customFormat="false" ht="17.15" hidden="false" customHeight="false" outlineLevel="0" collapsed="false">
      <c r="A6801" s="0" t="s">
        <v>893</v>
      </c>
      <c r="B6801" s="0" t="s">
        <v>98</v>
      </c>
      <c r="D6801" s="6" t="n">
        <f aca="false">Sens!D6776</f>
        <v>83.705</v>
      </c>
      <c r="E6801" s="6" t="n">
        <f aca="false">Sens!E6776</f>
        <v>95.049</v>
      </c>
      <c r="F6801" s="6" t="n">
        <f aca="false">Sens!F6776</f>
        <v>106.89238776686</v>
      </c>
      <c r="G6801" s="6" t="n">
        <f aca="false">Sens!G6776</f>
        <v>119.044168448684</v>
      </c>
      <c r="H6801" s="6" t="n">
        <f aca="false">Sens!H6776</f>
        <v>131.277359388781</v>
      </c>
      <c r="I6801" s="6" t="n">
        <f aca="false">Sens!I6776</f>
        <v>143.334028071957</v>
      </c>
      <c r="J6801" s="6" t="n">
        <f aca="false">Sens!J6776</f>
        <v>154.932702785465</v>
      </c>
      <c r="K6801" s="6" t="n">
        <f aca="false">Sens!K6776</f>
        <v>165.777991980448</v>
      </c>
    </row>
    <row r="6802" customFormat="false" ht="17.15" hidden="false" customHeight="false" outlineLevel="0" collapsed="false">
      <c r="A6802" s="0" t="s">
        <v>894</v>
      </c>
      <c r="B6802" s="0" t="s">
        <v>98</v>
      </c>
      <c r="D6802" s="6" t="n">
        <f aca="false">Sens!D6775</f>
        <v>0.9</v>
      </c>
      <c r="E6802" s="6" t="n">
        <f aca="false">Sens!E6775</f>
        <v>5.25</v>
      </c>
      <c r="F6802" s="6" t="n">
        <f aca="false">Sens!F6775</f>
        <v>7.56</v>
      </c>
      <c r="G6802" s="6" t="n">
        <f aca="false">Sens!G6775</f>
        <v>9.72</v>
      </c>
      <c r="H6802" s="6" t="n">
        <f aca="false">Sens!H6775</f>
        <v>11.88</v>
      </c>
      <c r="I6802" s="6" t="n">
        <f aca="false">Sens!I6775</f>
        <v>13.5</v>
      </c>
      <c r="J6802" s="6" t="n">
        <f aca="false">Sens!J6775</f>
        <v>14.58</v>
      </c>
      <c r="K6802" s="6" t="n">
        <f aca="false">Sens!K6775</f>
        <v>15.66</v>
      </c>
    </row>
    <row r="6803" customFormat="false" ht="15" hidden="false" customHeight="false" outlineLevel="0" collapsed="false">
      <c r="A6803" s="0" t="s">
        <v>874</v>
      </c>
      <c r="B6803" s="0" t="s">
        <v>98</v>
      </c>
      <c r="D6803" s="6" t="n">
        <f aca="false">Sens!D6779</f>
        <v>35.391</v>
      </c>
      <c r="E6803" s="6" t="n">
        <f aca="false">Sens!E6779</f>
        <v>37.285</v>
      </c>
      <c r="F6803" s="6" t="n">
        <f aca="false">Sens!F6779</f>
        <v>39.0720834331704</v>
      </c>
      <c r="G6803" s="6" t="n">
        <f aca="false">Sens!G6779</f>
        <v>40.726562953769</v>
      </c>
      <c r="H6803" s="6" t="n">
        <f aca="false">Sens!H6779</f>
        <v>42.2235987259198</v>
      </c>
      <c r="I6803" s="6" t="n">
        <f aca="false">Sens!I6779</f>
        <v>43.5397988077414</v>
      </c>
      <c r="J6803" s="6" t="n">
        <f aca="false">Sens!J6779</f>
        <v>44.653811225693</v>
      </c>
      <c r="K6803" s="6" t="n">
        <f aca="false">Sens!K6779</f>
        <v>45.5468874502068</v>
      </c>
    </row>
    <row r="6804" customFormat="false" ht="15" hidden="false" customHeight="false" outlineLevel="0" collapsed="false">
      <c r="A6804" s="0" t="s">
        <v>875</v>
      </c>
      <c r="B6804" s="0" t="s">
        <v>98</v>
      </c>
      <c r="D6804" s="6" t="n">
        <f aca="false">Sens!D6781</f>
        <v>18.417</v>
      </c>
      <c r="E6804" s="6" t="n">
        <f aca="false">Sens!E6781</f>
        <v>20.345</v>
      </c>
      <c r="F6804" s="6" t="n">
        <f aca="false">Sens!F6781</f>
        <v>22.3572203267814</v>
      </c>
      <c r="G6804" s="6" t="n">
        <f aca="false">Sens!G6781</f>
        <v>24.4392124437232</v>
      </c>
      <c r="H6804" s="6" t="n">
        <f aca="false">Sens!H6781</f>
        <v>26.5738052080665</v>
      </c>
      <c r="I6804" s="6" t="n">
        <f aca="false">Sens!I6781</f>
        <v>28.7412169166967</v>
      </c>
      <c r="J6804" s="6" t="n">
        <f aca="false">Sens!J6781</f>
        <v>30.9192545395413</v>
      </c>
      <c r="K6804" s="6" t="n">
        <f aca="false">Sens!K6781</f>
        <v>33.0836023573092</v>
      </c>
    </row>
    <row r="6805" customFormat="false" ht="15" hidden="false" customHeight="false" outlineLevel="0" collapsed="false">
      <c r="A6805" s="0" t="s">
        <v>876</v>
      </c>
      <c r="B6805" s="0" t="s">
        <v>98</v>
      </c>
      <c r="D6805" s="6" t="n">
        <f aca="false">Sens!D6783</f>
        <v>7.76</v>
      </c>
      <c r="E6805" s="6" t="n">
        <f aca="false">Sens!E6783</f>
        <v>8.26</v>
      </c>
      <c r="F6805" s="6" t="n">
        <f aca="false">Sens!F6783</f>
        <v>8.79988041237113</v>
      </c>
      <c r="G6805" s="6" t="n">
        <f aca="false">Sens!G6783</f>
        <v>9.38321269125306</v>
      </c>
      <c r="H6805" s="6" t="n">
        <f aca="false">Sens!H6783</f>
        <v>10.0139193587476</v>
      </c>
      <c r="I6805" s="6" t="n">
        <f aca="false">Sens!I6783</f>
        <v>10.6963111830911</v>
      </c>
      <c r="J6805" s="6" t="n">
        <f aca="false">Sens!J6783</f>
        <v>11.4351285534696</v>
      </c>
      <c r="K6805" s="6" t="n">
        <f aca="false">Sens!K6783</f>
        <v>12.2355875522124</v>
      </c>
    </row>
    <row r="6806" customFormat="false" ht="15" hidden="false" customHeight="false" outlineLevel="0" collapsed="false">
      <c r="A6806" s="0" t="s">
        <v>704</v>
      </c>
      <c r="B6806" s="0" t="s">
        <v>98</v>
      </c>
      <c r="D6806" s="6" t="n">
        <f aca="false">Sens!D6785</f>
        <v>218.783</v>
      </c>
      <c r="E6806" s="6" t="n">
        <f aca="false">Sens!E6785</f>
        <v>268.127</v>
      </c>
      <c r="F6806" s="6" t="n">
        <f aca="false">Sens!F6785</f>
        <v>325.423433064856</v>
      </c>
      <c r="G6806" s="6" t="n">
        <f aca="false">Sens!G6785</f>
        <v>385.489865673274</v>
      </c>
      <c r="H6806" s="6" t="n">
        <f aca="false">Sens!H6785</f>
        <v>441.136320871193</v>
      </c>
      <c r="I6806" s="6" t="n">
        <f aca="false">Sens!I6785</f>
        <v>499.451226245492</v>
      </c>
      <c r="J6806" s="6" t="n">
        <f aca="false">Sens!J6785</f>
        <v>547.844968064502</v>
      </c>
      <c r="K6806" s="6" t="n">
        <f aca="false">Sens!K6785</f>
        <v>586.449823703864</v>
      </c>
    </row>
    <row r="6807" customFormat="false" ht="15" hidden="false" customHeight="false" outlineLevel="0" collapsed="false">
      <c r="A6807" s="0" t="s">
        <v>877</v>
      </c>
      <c r="B6807" s="0" t="s">
        <v>98</v>
      </c>
      <c r="D6807" s="6" t="n">
        <f aca="false">Sens!D6786</f>
        <v>22.171</v>
      </c>
      <c r="E6807" s="6" t="n">
        <f aca="false">Sens!E6786</f>
        <v>24.835</v>
      </c>
      <c r="F6807" s="6" t="n">
        <f aca="false">Sens!F6786</f>
        <v>27.6114901218559</v>
      </c>
      <c r="G6807" s="6" t="n">
        <f aca="false">Sens!G6786</f>
        <v>30.4675667338515</v>
      </c>
      <c r="H6807" s="6" t="n">
        <f aca="false">Sens!H6786</f>
        <v>33.3643766955789</v>
      </c>
      <c r="I6807" s="6" t="n">
        <f aca="false">Sens!I6786</f>
        <v>36.2577016533691</v>
      </c>
      <c r="J6807" s="6" t="n">
        <f aca="false">Sens!J6786</f>
        <v>39.0988367952171</v>
      </c>
      <c r="K6807" s="6" t="n">
        <f aca="false">Sens!K6786</f>
        <v>41.8357553708823</v>
      </c>
    </row>
    <row r="6808" customFormat="false" ht="15" hidden="false" customHeight="false" outlineLevel="0" collapsed="false">
      <c r="A6808" s="0" t="s">
        <v>878</v>
      </c>
      <c r="B6808" s="0" t="s">
        <v>98</v>
      </c>
      <c r="D6808" s="6" t="n">
        <f aca="false">Sens!D6788</f>
        <v>23.455</v>
      </c>
      <c r="E6808" s="6" t="n">
        <f aca="false">Sens!E6788</f>
        <v>21.79</v>
      </c>
      <c r="F6808" s="6" t="n">
        <f aca="false">Sens!F6788</f>
        <v>20.5736277908051</v>
      </c>
      <c r="G6808" s="6" t="n">
        <f aca="false">Sens!G6788</f>
        <v>19.7371452817919</v>
      </c>
      <c r="H6808" s="6" t="n">
        <f aca="false">Sens!H6788</f>
        <v>19.2339764043138</v>
      </c>
      <c r="I6808" s="6" t="n">
        <f aca="false">Sens!I6788</f>
        <v>19.0353086852681</v>
      </c>
      <c r="J6808" s="6" t="n">
        <f aca="false">Sens!J6788</f>
        <v>19.1273539319129</v>
      </c>
      <c r="K6808" s="6" t="n">
        <f aca="false">Sens!K6788</f>
        <v>19.5099010105511</v>
      </c>
    </row>
    <row r="6809" customFormat="false" ht="15" hidden="false" customHeight="false" outlineLevel="0" collapsed="false">
      <c r="A6809" s="0" t="s">
        <v>879</v>
      </c>
      <c r="B6809" s="0" t="s">
        <v>98</v>
      </c>
      <c r="D6809" s="6" t="n">
        <f aca="false">Sens!D6790</f>
        <v>17.315</v>
      </c>
      <c r="E6809" s="6" t="n">
        <f aca="false">Sens!E6790</f>
        <v>17.087</v>
      </c>
      <c r="F6809" s="6" t="n">
        <f aca="false">Sens!F6790</f>
        <v>16.9564585436519</v>
      </c>
      <c r="G6809" s="6" t="n">
        <f aca="false">Sens!G6790</f>
        <v>16.9206490624268</v>
      </c>
      <c r="H6809" s="6" t="n">
        <f aca="false">Sens!H6790</f>
        <v>16.9784519149849</v>
      </c>
      <c r="I6809" s="6" t="n">
        <f aca="false">Sens!I6790</f>
        <v>17.1303084701817</v>
      </c>
      <c r="J6809" s="6" t="n">
        <f aca="false">Sens!J6790</f>
        <v>17.3782189407267</v>
      </c>
      <c r="K6809" s="6" t="n">
        <f aca="false">Sens!K6790</f>
        <v>17.7257833195413</v>
      </c>
    </row>
    <row r="6810" customFormat="false" ht="15" hidden="false" customHeight="false" outlineLevel="0" collapsed="false">
      <c r="A6810" s="0" t="s">
        <v>718</v>
      </c>
      <c r="B6810" s="0" t="s">
        <v>98</v>
      </c>
      <c r="D6810" s="6" t="n">
        <f aca="false">Sens!D6792</f>
        <v>62.941</v>
      </c>
      <c r="E6810" s="6" t="n">
        <f aca="false">Sens!E6792</f>
        <v>63.712</v>
      </c>
      <c r="F6810" s="6" t="n">
        <f aca="false">Sens!F6792</f>
        <v>65.1415764563129</v>
      </c>
      <c r="G6810" s="6" t="n">
        <f aca="false">Sens!G6792</f>
        <v>67.1253610780702</v>
      </c>
      <c r="H6810" s="6" t="n">
        <f aca="false">Sens!H6792</f>
        <v>69.5768050148776</v>
      </c>
      <c r="I6810" s="6" t="n">
        <f aca="false">Sens!I6792</f>
        <v>72.4233188088189</v>
      </c>
      <c r="J6810" s="6" t="n">
        <f aca="false">Sens!J6792</f>
        <v>75.6044096678567</v>
      </c>
      <c r="K6810" s="6" t="n">
        <f aca="false">Sens!K6792</f>
        <v>79.0714397009747</v>
      </c>
    </row>
    <row r="6811" customFormat="false" ht="15" hidden="false" customHeight="false" outlineLevel="0" collapsed="false">
      <c r="A6811" s="1" t="s">
        <v>895</v>
      </c>
      <c r="B6811" s="0" t="s">
        <v>98</v>
      </c>
      <c r="D6811" s="6" t="n">
        <f aca="false">Sens!D6793</f>
        <v>281.724</v>
      </c>
      <c r="E6811" s="6" t="n">
        <f aca="false">Sens!E6793</f>
        <v>331.839</v>
      </c>
      <c r="F6811" s="6" t="n">
        <f aca="false">Sens!F6793</f>
        <v>390.565009521169</v>
      </c>
      <c r="G6811" s="6" t="n">
        <f aca="false">Sens!G6793</f>
        <v>452.615226751344</v>
      </c>
      <c r="H6811" s="6" t="n">
        <f aca="false">Sens!H6793</f>
        <v>510.713125886071</v>
      </c>
      <c r="I6811" s="6" t="n">
        <f aca="false">Sens!I6793</f>
        <v>571.874545054311</v>
      </c>
      <c r="J6811" s="6" t="n">
        <f aca="false">Sens!J6793</f>
        <v>623.449377732358</v>
      </c>
      <c r="K6811" s="6" t="n">
        <f aca="false">Sens!K6793</f>
        <v>665.521263404839</v>
      </c>
    </row>
    <row r="6812" customFormat="false" ht="15" hidden="false" customHeight="false" outlineLevel="0" collapsed="false">
      <c r="A6812" s="1" t="s">
        <v>896</v>
      </c>
      <c r="B6812" s="0" t="s">
        <v>129</v>
      </c>
      <c r="E6812" s="7" t="n">
        <f aca="false">Sens!E6811/Sens!D6811-1</f>
        <v>0.177886867998467</v>
      </c>
      <c r="F6812" s="7" t="n">
        <f aca="false">Sens!F6811/Sens!E6811-1</f>
        <v>0.176971391310752</v>
      </c>
      <c r="G6812" s="7" t="n">
        <f aca="false">Sens!G6811/Sens!F6811-1</f>
        <v>0.158872955122756</v>
      </c>
      <c r="H6812" s="7" t="n">
        <f aca="false">Sens!H6811/Sens!G6811-1</f>
        <v>0.12836046094102</v>
      </c>
      <c r="I6812" s="7" t="n">
        <f aca="false">Sens!I6811/Sens!H6811-1</f>
        <v>0.119756896911798</v>
      </c>
      <c r="J6812" s="7" t="n">
        <f aca="false">Sens!J6811/Sens!I6811-1</f>
        <v>0.0901855715105298</v>
      </c>
      <c r="K6812" s="7" t="n">
        <f aca="false">Sens!K6811/Sens!J6811-1</f>
        <v>0.0674824407163686</v>
      </c>
    </row>
    <row r="6813" customFormat="false" ht="17.15" hidden="false" customHeight="false" outlineLevel="0" collapsed="false">
      <c r="A6813" s="23" t="s">
        <v>897</v>
      </c>
      <c r="B6813" s="30" t="s">
        <v>98</v>
      </c>
      <c r="C6813" s="30"/>
      <c r="D6813" s="24" t="n">
        <f aca="false">(Sens!D6806+Sens!D6810-Sens!D6811)+(Sens!D6798+Sens!D6799-Sens!D6797)+(Sens!D6801+Sens!D6802-Sens!D6800)+(Sens!D6811-Q!L18)</f>
        <v>0</v>
      </c>
      <c r="E6813" s="24" t="n">
        <f aca="false">(Sens!E6806+Sens!E6810-Sens!E6811)+(Sens!E6798+Sens!E6799-Sens!E6797)+(Sens!E6801+Sens!E6802-Sens!E6800)+(Sens!E6811-Q!M18)</f>
        <v>0</v>
      </c>
      <c r="F6813" s="24" t="n">
        <f aca="false">(Sens!F6806+Sens!F6810-Sens!F6811)+(Sens!F6798+Sens!F6799-Sens!F6797)+(Sens!F6801+Sens!F6802-Sens!F6800)</f>
        <v>0</v>
      </c>
      <c r="G6813" s="24" t="n">
        <f aca="false">(Sens!G6806+Sens!G6810-Sens!G6811)+(Sens!G6798+Sens!G6799-Sens!G6797)+(Sens!G6801+Sens!G6802-Sens!G6800)</f>
        <v>0</v>
      </c>
      <c r="H6813" s="24" t="n">
        <f aca="false">(Sens!H6806+Sens!H6810-Sens!H6811)+(Sens!H6798+Sens!H6799-Sens!H6797)+(Sens!H6801+Sens!H6802-Sens!H6800)</f>
        <v>0</v>
      </c>
      <c r="I6813" s="24" t="n">
        <f aca="false">(Sens!I6806+Sens!I6810-Sens!I6811)+(Sens!I6798+Sens!I6799-Sens!I6797)+(Sens!I6801+Sens!I6802-Sens!I6800)</f>
        <v>0</v>
      </c>
      <c r="J6813" s="24" t="n">
        <f aca="false">(Sens!J6806+Sens!J6810-Sens!J6811)+(Sens!J6798+Sens!J6799-Sens!J6797)+(Sens!J6801+Sens!J6802-Sens!J6800)</f>
        <v>0</v>
      </c>
      <c r="K6813" s="24" t="n">
        <f aca="false">(Sens!K6806+Sens!K6810-Sens!K6811)+(Sens!K6798+Sens!K6799-Sens!K6797)+(Sens!K6801+Sens!K6802-Sens!K6800)</f>
        <v>0</v>
      </c>
    </row>
    <row r="6814" customFormat="false" ht="17.15" hidden="false" customHeight="false" outlineLevel="0" collapsed="false">
      <c r="A6814" s="0" t="s">
        <v>898</v>
      </c>
      <c r="B6814" s="0" t="s">
        <v>129</v>
      </c>
      <c r="E6814" s="7" t="n">
        <f aca="false">(Q!M21+Sens!E6751+Sens!E6752+Sens!E6753+Sens!E6766-Sens!E6749)/(Q!M5-Sens!E6749)</f>
        <v>0.570957350878296</v>
      </c>
      <c r="F6814" s="7" t="n">
        <f aca="false">Sens!$E$6814+dm_seg</f>
        <v>0.570957350878296</v>
      </c>
      <c r="G6814" s="7" t="n">
        <f aca="false">Sens!$E$6814+dm_seg</f>
        <v>0.570957350878296</v>
      </c>
      <c r="H6814" s="7" t="n">
        <f aca="false">Sens!$E$6814+dm_seg</f>
        <v>0.570957350878296</v>
      </c>
      <c r="I6814" s="7" t="n">
        <f aca="false">Sens!$E$6814+dm_seg</f>
        <v>0.570957350878296</v>
      </c>
      <c r="J6814" s="7" t="n">
        <f aca="false">Sens!$E$6814+dm_seg</f>
        <v>0.570957350878296</v>
      </c>
      <c r="K6814" s="7" t="n">
        <f aca="false">Sens!$E$6814+dm_seg</f>
        <v>0.570957350878296</v>
      </c>
      <c r="L6814" s="11" t="s">
        <v>899</v>
      </c>
    </row>
    <row r="6815" customFormat="false" ht="17.15" hidden="false" customHeight="false" outlineLevel="0" collapsed="false">
      <c r="A6815" s="0" t="s">
        <v>732</v>
      </c>
      <c r="B6815" s="0" t="s">
        <v>98</v>
      </c>
      <c r="D6815" s="6" t="n">
        <f aca="false">Q!L21</f>
        <v>110.814</v>
      </c>
      <c r="E6815" s="6" t="n">
        <f aca="false">Q!M21</f>
        <v>136.365</v>
      </c>
      <c r="F6815" s="6" t="n">
        <f aca="false">Sens!F6814*(Sens!F6785-Sens!F6749)+Sens!F6749-(Sens!F6751+Sens!F6752+Sens!F6753)-Sens!F6766</f>
        <v>150.623990095894</v>
      </c>
      <c r="G6815" s="6" t="n">
        <f aca="false">Sens!G6814*(Sens!G6785-Sens!G6749)+Sens!G6749-(Sens!G6751+Sens!G6752+Sens!G6753)-Sens!G6766</f>
        <v>158.076940114855</v>
      </c>
      <c r="H6815" s="6" t="n">
        <f aca="false">Sens!H6814*(Sens!H6785-Sens!H6749)+Sens!H6749-(Sens!H6751+Sens!H6752+Sens!H6753)-Sens!H6766</f>
        <v>159.888576363149</v>
      </c>
      <c r="I6815" s="6" t="n">
        <f aca="false">Sens!I6814*(Sens!I6785-Sens!I6749)+Sens!I6749-(Sens!I6751+Sens!I6752+Sens!I6753)-Sens!I6766</f>
        <v>169.455096133472</v>
      </c>
      <c r="J6815" s="6" t="n">
        <f aca="false">Sens!J6814*(Sens!J6785-Sens!J6749)+Sens!J6749-(Sens!J6751+Sens!J6752+Sens!J6753)-Sens!J6766</f>
        <v>180.474615070142</v>
      </c>
      <c r="K6815" s="6" t="n">
        <f aca="false">Sens!K6814*(Sens!K6785-Sens!K6749)+Sens!K6749-(Sens!K6751+Sens!K6752+Sens!K6753)-Sens!K6766</f>
        <v>192.981056034229</v>
      </c>
      <c r="L6815" s="1" t="s">
        <v>900</v>
      </c>
    </row>
    <row r="6816" customFormat="false" ht="17.15" hidden="false" customHeight="false" outlineLevel="0" collapsed="false">
      <c r="A6816" s="0" t="s">
        <v>901</v>
      </c>
      <c r="B6816" s="0" t="s">
        <v>129</v>
      </c>
      <c r="E6816" s="7" t="n">
        <f aca="false">Q!M22/Q!M12</f>
        <v>0.296207935710698</v>
      </c>
      <c r="F6816" s="7" t="n">
        <f aca="false">Sens!$E$6816+dm_seg</f>
        <v>0.296207935710698</v>
      </c>
      <c r="G6816" s="7" t="n">
        <f aca="false">Sens!$E$6816+dm_seg</f>
        <v>0.296207935710698</v>
      </c>
      <c r="H6816" s="7" t="n">
        <f aca="false">Sens!$E$6816+dm_seg</f>
        <v>0.296207935710698</v>
      </c>
      <c r="I6816" s="7" t="n">
        <f aca="false">Sens!$E$6816+dm_seg</f>
        <v>0.296207935710698</v>
      </c>
      <c r="J6816" s="7" t="n">
        <f aca="false">Sens!$E$6816+dm_seg</f>
        <v>0.296207935710698</v>
      </c>
      <c r="K6816" s="7" t="n">
        <f aca="false">Sens!$E$6816+dm_seg</f>
        <v>0.296207935710698</v>
      </c>
      <c r="L6816" s="11" t="s">
        <v>902</v>
      </c>
    </row>
    <row r="6817" customFormat="false" ht="17.15" hidden="false" customHeight="false" outlineLevel="0" collapsed="false">
      <c r="A6817" s="0" t="s">
        <v>734</v>
      </c>
      <c r="B6817" s="0" t="s">
        <v>98</v>
      </c>
      <c r="D6817" s="6" t="n">
        <f aca="false">Q!L22</f>
        <v>17.714</v>
      </c>
      <c r="E6817" s="6" t="n">
        <f aca="false">Q!M22</f>
        <v>18.872</v>
      </c>
      <c r="F6817" s="6" t="n">
        <f aca="false">Sens!F6792*Sens!F6816</f>
        <v>19.2954518910651</v>
      </c>
      <c r="G6817" s="6" t="n">
        <f aca="false">Sens!G6792*Sens!G6816</f>
        <v>19.8830646387704</v>
      </c>
      <c r="H6817" s="6" t="n">
        <f aca="false">Sens!H6792*Sens!H6816</f>
        <v>20.6092017868026</v>
      </c>
      <c r="I6817" s="6" t="n">
        <f aca="false">Sens!I6792*Sens!I6816</f>
        <v>21.452361761678</v>
      </c>
      <c r="J6817" s="6" t="n">
        <f aca="false">Sens!J6792*Sens!J6816</f>
        <v>22.3946261183418</v>
      </c>
      <c r="K6817" s="6" t="n">
        <f aca="false">Sens!K6792*Sens!K6816</f>
        <v>23.4215879274986</v>
      </c>
    </row>
    <row r="6818" customFormat="false" ht="15" hidden="false" customHeight="false" outlineLevel="0" collapsed="false">
      <c r="A6818" s="1" t="s">
        <v>903</v>
      </c>
      <c r="B6818" s="0" t="s">
        <v>98</v>
      </c>
      <c r="D6818" s="6" t="n">
        <f aca="false">Sens!D6815+Sens!D6817</f>
        <v>128.528</v>
      </c>
      <c r="E6818" s="6" t="n">
        <f aca="false">Sens!E6815+Sens!E6817</f>
        <v>155.237</v>
      </c>
      <c r="F6818" s="6" t="n">
        <f aca="false">Sens!F6815+Sens!F6817</f>
        <v>169.919441986959</v>
      </c>
      <c r="G6818" s="6" t="n">
        <f aca="false">Sens!G6815+Sens!G6817</f>
        <v>177.960004753625</v>
      </c>
      <c r="H6818" s="6" t="n">
        <f aca="false">Sens!H6815+Sens!H6817</f>
        <v>180.497778149952</v>
      </c>
      <c r="I6818" s="6" t="n">
        <f aca="false">Sens!I6815+Sens!I6817</f>
        <v>190.90745789515</v>
      </c>
      <c r="J6818" s="6" t="n">
        <f aca="false">Sens!J6815+Sens!J6817</f>
        <v>202.869241188484</v>
      </c>
      <c r="K6818" s="6" t="n">
        <f aca="false">Sens!K6815+Sens!K6817</f>
        <v>216.402643961728</v>
      </c>
    </row>
    <row r="6819" customFormat="false" ht="15" hidden="false" customHeight="false" outlineLevel="0" collapsed="false">
      <c r="A6819" s="23" t="s">
        <v>904</v>
      </c>
      <c r="B6819" s="30" t="s">
        <v>98</v>
      </c>
      <c r="C6819" s="30"/>
      <c r="D6819" s="24" t="n">
        <f aca="false">Sens!D6818-Q!L23</f>
        <v>0</v>
      </c>
      <c r="E6819" s="24" t="n">
        <f aca="false">Sens!E6818-Q!M23</f>
        <v>0</v>
      </c>
      <c r="F6819" s="30"/>
      <c r="G6819" s="30"/>
      <c r="H6819" s="30"/>
      <c r="I6819" s="30"/>
      <c r="J6819" s="30"/>
      <c r="K6819" s="30"/>
    </row>
    <row r="6820" customFormat="false" ht="15" hidden="false" customHeight="false" outlineLevel="0" collapsed="false">
      <c r="A6820" s="1" t="s">
        <v>905</v>
      </c>
      <c r="B6820" s="0" t="s">
        <v>129</v>
      </c>
      <c r="D6820" s="7" t="n">
        <f aca="false">Sens!D6818/Sens!D6811</f>
        <v>0.456219562408598</v>
      </c>
      <c r="E6820" s="7" t="n">
        <f aca="false">Sens!E6818/Sens!E6811</f>
        <v>0.467808184089272</v>
      </c>
      <c r="F6820" s="7" t="n">
        <f aca="false">Sens!F6818/Sens!F6811</f>
        <v>0.435060586188405</v>
      </c>
      <c r="G6820" s="7" t="n">
        <f aca="false">Sens!G6818/Sens!G6811</f>
        <v>0.393181656814636</v>
      </c>
      <c r="H6820" s="7" t="n">
        <f aca="false">Sens!H6818/Sens!H6811</f>
        <v>0.353423025571927</v>
      </c>
      <c r="I6820" s="7" t="n">
        <f aca="false">Sens!I6818/Sens!I6811</f>
        <v>0.333827514349357</v>
      </c>
      <c r="J6820" s="7" t="n">
        <f aca="false">Sens!J6818/Sens!J6811</f>
        <v>0.325398097158057</v>
      </c>
      <c r="K6820" s="7" t="n">
        <f aca="false">Sens!K6818/Sens!K6811</f>
        <v>0.325162629447182</v>
      </c>
    </row>
    <row r="6821" customFormat="false" ht="17.15" hidden="false" customHeight="false" outlineLevel="0" collapsed="false">
      <c r="A6821" s="1" t="s">
        <v>906</v>
      </c>
      <c r="B6821" s="0" t="s">
        <v>98</v>
      </c>
      <c r="F6821" s="6" t="n">
        <f aca="false">Sens!F6836</f>
        <v>22.4708691039568</v>
      </c>
      <c r="G6821" s="6" t="n">
        <f aca="false">Sens!G6836</f>
        <v>39.8634763091847</v>
      </c>
      <c r="H6821" s="6" t="n">
        <f aca="false">Sens!H6836</f>
        <v>58.6085396073629</v>
      </c>
      <c r="I6821" s="6" t="n">
        <f aca="false">Sens!I6836</f>
        <v>75.3837035068641</v>
      </c>
      <c r="J6821" s="6" t="n">
        <f aca="false">Sens!J6836</f>
        <v>87.0934823998186</v>
      </c>
      <c r="K6821" s="6" t="n">
        <f aca="false">Sens!K6836</f>
        <v>94.0818003806766</v>
      </c>
      <c r="L6821" s="1" t="s">
        <v>907</v>
      </c>
    </row>
    <row r="6822" customFormat="false" ht="17.15" hidden="false" customHeight="false" outlineLevel="0" collapsed="false">
      <c r="A6822" s="1" t="s">
        <v>908</v>
      </c>
      <c r="B6822" s="0" t="s">
        <v>98</v>
      </c>
      <c r="D6822" s="6" t="n">
        <f aca="false">Sens!D6818</f>
        <v>128.528</v>
      </c>
      <c r="E6822" s="6" t="n">
        <f aca="false">Sens!E6818</f>
        <v>155.237</v>
      </c>
      <c r="F6822" s="6" t="n">
        <f aca="false">Sens!F6818+Sens!F6821</f>
        <v>192.390311090916</v>
      </c>
      <c r="G6822" s="6" t="n">
        <f aca="false">Sens!G6818+Sens!G6821</f>
        <v>217.82348106281</v>
      </c>
      <c r="H6822" s="6" t="n">
        <f aca="false">Sens!H6818+Sens!H6821</f>
        <v>239.106317757314</v>
      </c>
      <c r="I6822" s="6" t="n">
        <f aca="false">Sens!I6818+Sens!I6821</f>
        <v>266.291161402014</v>
      </c>
      <c r="J6822" s="6" t="n">
        <f aca="false">Sens!J6818+Sens!J6821</f>
        <v>289.962723588303</v>
      </c>
      <c r="K6822" s="6" t="n">
        <f aca="false">Sens!K6818+Sens!K6821</f>
        <v>310.484444342405</v>
      </c>
    </row>
    <row r="6823" customFormat="false" ht="17.15" hidden="false" customHeight="false" outlineLevel="0" collapsed="false">
      <c r="A6823" s="1" t="s">
        <v>909</v>
      </c>
      <c r="B6823" s="0" t="s">
        <v>98</v>
      </c>
      <c r="E6823" s="6" t="n">
        <f aca="false">Sens!E6766</f>
        <v>16.3054059770833</v>
      </c>
      <c r="F6823" s="6" t="n">
        <f aca="false">Sens!F6766</f>
        <v>34.7775354558698</v>
      </c>
      <c r="G6823" s="6" t="n">
        <f aca="false">Sens!G6766</f>
        <v>60.5807332603396</v>
      </c>
      <c r="H6823" s="6" t="n">
        <f aca="false">Sens!H6766</f>
        <v>87.8163159931396</v>
      </c>
      <c r="I6823" s="6" t="n">
        <f aca="false">Sens!I6766</f>
        <v>112.061039982221</v>
      </c>
      <c r="J6823" s="6" t="n">
        <f aca="false">Sens!J6766</f>
        <v>129.257710922666</v>
      </c>
      <c r="K6823" s="6" t="n">
        <f aca="false">Sens!K6766</f>
        <v>139.721646804474</v>
      </c>
    </row>
    <row r="6824" customFormat="false" ht="17.15" hidden="false" customHeight="false" outlineLevel="0" collapsed="false">
      <c r="A6824" s="1" t="s">
        <v>910</v>
      </c>
      <c r="B6824" s="0" t="s">
        <v>98</v>
      </c>
      <c r="E6824" s="6" t="n">
        <f aca="false">Sens!E6848</f>
        <v>22.2285940229167</v>
      </c>
      <c r="F6824" s="6" t="n">
        <f aca="false">Sens!F6848</f>
        <v>23.5192693435813</v>
      </c>
      <c r="G6824" s="6" t="n">
        <f aca="false">Sens!G6848</f>
        <v>25.1998317662621</v>
      </c>
      <c r="H6824" s="6" t="n">
        <f aca="false">Sens!H6848</f>
        <v>27.2397999540448</v>
      </c>
      <c r="I6824" s="6" t="n">
        <f aca="false">Sens!I6848</f>
        <v>29.5856599898047</v>
      </c>
      <c r="J6824" s="6" t="n">
        <f aca="false">Sens!J6848</f>
        <v>32.1659853158616</v>
      </c>
      <c r="K6824" s="6" t="n">
        <f aca="false">Sens!K6848</f>
        <v>34.8978570584749</v>
      </c>
    </row>
    <row r="6825" customFormat="false" ht="17.15" hidden="false" customHeight="false" outlineLevel="0" collapsed="false">
      <c r="A6825" s="1" t="s">
        <v>911</v>
      </c>
      <c r="B6825" s="0" t="s">
        <v>98</v>
      </c>
      <c r="D6825" s="6" t="n">
        <f aca="false">Q!L27</f>
        <v>-4.901</v>
      </c>
      <c r="E6825" s="6" t="n">
        <f aca="false">Q!M27</f>
        <v>10.697</v>
      </c>
      <c r="F6825" s="6" t="n">
        <f aca="false">oie_f</f>
        <v>-0.4</v>
      </c>
      <c r="G6825" s="6" t="n">
        <f aca="false">oie_f</f>
        <v>-0.4</v>
      </c>
      <c r="H6825" s="6" t="n">
        <f aca="false">oie_f</f>
        <v>-0.4</v>
      </c>
      <c r="I6825" s="6" t="n">
        <f aca="false">oie_f</f>
        <v>-0.4</v>
      </c>
      <c r="J6825" s="6" t="n">
        <f aca="false">oie_f</f>
        <v>-0.4</v>
      </c>
      <c r="K6825" s="6" t="n">
        <f aca="false">oie_f</f>
        <v>-0.4</v>
      </c>
      <c r="L6825" s="11" t="s">
        <v>912</v>
      </c>
    </row>
    <row r="6826" customFormat="false" ht="15" hidden="false" customHeight="false" outlineLevel="0" collapsed="false">
      <c r="A6826" s="1" t="s">
        <v>913</v>
      </c>
      <c r="B6826" s="0" t="s">
        <v>98</v>
      </c>
      <c r="D6826" s="6" t="n">
        <f aca="false">Sens!D6818+Sens!D6825</f>
        <v>123.627</v>
      </c>
      <c r="E6826" s="6" t="n">
        <f aca="false">Sens!E6818+Sens!E6825</f>
        <v>165.934</v>
      </c>
      <c r="F6826" s="6" t="n">
        <f aca="false">Sens!F6818+Sens!F6825</f>
        <v>169.519441986959</v>
      </c>
      <c r="G6826" s="6" t="n">
        <f aca="false">Sens!G6818+Sens!G6825</f>
        <v>177.560004753625</v>
      </c>
      <c r="H6826" s="6" t="n">
        <f aca="false">Sens!H6818+Sens!H6825</f>
        <v>180.097778149952</v>
      </c>
      <c r="I6826" s="6" t="n">
        <f aca="false">Sens!I6818+Sens!I6825</f>
        <v>190.50745789515</v>
      </c>
      <c r="J6826" s="6" t="n">
        <f aca="false">Sens!J6818+Sens!J6825</f>
        <v>202.469241188484</v>
      </c>
      <c r="K6826" s="6" t="n">
        <f aca="false">Sens!K6818+Sens!K6825</f>
        <v>216.002643961728</v>
      </c>
    </row>
    <row r="6827" customFormat="false" ht="15" hidden="false" customHeight="false" outlineLevel="0" collapsed="false">
      <c r="A6827" s="1" t="s">
        <v>914</v>
      </c>
      <c r="B6827" s="0" t="s">
        <v>98</v>
      </c>
      <c r="D6827" s="6" t="n">
        <f aca="false">Q!L29</f>
        <v>21.795</v>
      </c>
      <c r="E6827" s="6" t="n">
        <f aca="false">Q!M29</f>
        <v>32.185</v>
      </c>
      <c r="F6827" s="6" t="n">
        <f aca="false">Sens!F6826*tax_f</f>
        <v>33.9038883973919</v>
      </c>
      <c r="G6827" s="6" t="n">
        <f aca="false">Sens!G6826*tax_f</f>
        <v>35.5120009507251</v>
      </c>
      <c r="H6827" s="6" t="n">
        <f aca="false">Sens!H6826*tax_f</f>
        <v>36.0195556299903</v>
      </c>
      <c r="I6827" s="6" t="n">
        <f aca="false">Sens!I6826*tax_f</f>
        <v>38.10149157903</v>
      </c>
      <c r="J6827" s="6" t="n">
        <f aca="false">Sens!J6826*tax_f</f>
        <v>40.4938482376968</v>
      </c>
      <c r="K6827" s="6" t="n">
        <f aca="false">Sens!K6826*tax_f</f>
        <v>43.2005287923456</v>
      </c>
    </row>
    <row r="6828" customFormat="false" ht="15" hidden="false" customHeight="false" outlineLevel="0" collapsed="false">
      <c r="A6828" s="1" t="s">
        <v>915</v>
      </c>
      <c r="B6828" s="0" t="s">
        <v>98</v>
      </c>
      <c r="D6828" s="6" t="n">
        <f aca="false">Sens!D6826-Sens!D6827</f>
        <v>101.832</v>
      </c>
      <c r="E6828" s="6" t="n">
        <f aca="false">Sens!E6826-Sens!E6827</f>
        <v>133.749</v>
      </c>
      <c r="F6828" s="6" t="n">
        <f aca="false">Sens!F6826-Sens!F6827</f>
        <v>135.615553589568</v>
      </c>
      <c r="G6828" s="6" t="n">
        <f aca="false">Sens!G6826-Sens!G6827</f>
        <v>142.0480038029</v>
      </c>
      <c r="H6828" s="6" t="n">
        <f aca="false">Sens!H6826-Sens!H6827</f>
        <v>144.078222519961</v>
      </c>
      <c r="I6828" s="6" t="n">
        <f aca="false">Sens!I6826-Sens!I6827</f>
        <v>152.40596631612</v>
      </c>
      <c r="J6828" s="6" t="n">
        <f aca="false">Sens!J6826-Sens!J6827</f>
        <v>161.975392950787</v>
      </c>
      <c r="K6828" s="6" t="n">
        <f aca="false">Sens!K6826-Sens!K6827</f>
        <v>172.802115169382</v>
      </c>
    </row>
    <row r="6829" customFormat="false" ht="17.15" hidden="false" customHeight="false" outlineLevel="0" collapsed="false">
      <c r="A6829" s="1" t="s">
        <v>916</v>
      </c>
      <c r="B6829" s="1" t="s">
        <v>81</v>
      </c>
      <c r="D6829" s="14" t="n">
        <f aca="false">Q!L31</f>
        <v>7.465</v>
      </c>
      <c r="E6829" s="14" t="n">
        <f aca="false">Q!M31</f>
        <v>7.453</v>
      </c>
      <c r="F6829" s="14" t="n">
        <f aca="false">Sens!F6870</f>
        <v>7.4735</v>
      </c>
      <c r="G6829" s="14" t="n">
        <f aca="false">Sens!G6870</f>
        <v>7.5185</v>
      </c>
      <c r="H6829" s="14" t="n">
        <f aca="false">Sens!H6870</f>
        <v>7.55983626327083</v>
      </c>
      <c r="I6829" s="14" t="n">
        <f aca="false">Sens!I6870</f>
        <v>7.58520177269901</v>
      </c>
      <c r="J6829" s="14" t="n">
        <f aca="false">Sens!J6870</f>
        <v>7.5994432838169</v>
      </c>
      <c r="K6829" s="14" t="n">
        <f aca="false">Sens!K6870</f>
        <v>7.61596320151864</v>
      </c>
    </row>
    <row r="6830" customFormat="false" ht="17.15" hidden="false" customHeight="false" outlineLevel="0" collapsed="false">
      <c r="A6830" s="0" t="s">
        <v>917</v>
      </c>
      <c r="B6830" s="0" t="s">
        <v>75</v>
      </c>
      <c r="D6830" s="8" t="n">
        <f aca="false">Sens!D6828/Sens!D6829</f>
        <v>13.641259209645</v>
      </c>
      <c r="E6830" s="8" t="n">
        <f aca="false">Sens!E6828/Sens!E6829</f>
        <v>17.9456594659869</v>
      </c>
      <c r="F6830" s="8" t="n">
        <f aca="false">Sens!F6828/Sens!F6829</f>
        <v>18.1461903511832</v>
      </c>
      <c r="G6830" s="8" t="n">
        <f aca="false">Sens!G6828/Sens!G6829</f>
        <v>18.8931307844517</v>
      </c>
      <c r="H6830" s="8" t="n">
        <f aca="false">Sens!H6828/Sens!H6829</f>
        <v>19.0583787138301</v>
      </c>
      <c r="I6830" s="8" t="n">
        <f aca="false">Sens!I6828/Sens!I6829</f>
        <v>20.0925395109022</v>
      </c>
      <c r="J6830" s="8" t="n">
        <f aca="false">Sens!J6828/Sens!J6829</f>
        <v>21.3141130082141</v>
      </c>
      <c r="K6830" s="8" t="n">
        <f aca="false">Sens!K6828/Sens!K6829</f>
        <v>22.6894629867599</v>
      </c>
      <c r="L6830" s="1" t="s">
        <v>918</v>
      </c>
    </row>
    <row r="6831" customFormat="false" ht="17.15" hidden="false" customHeight="false" outlineLevel="0" collapsed="false">
      <c r="A6831" s="1" t="s">
        <v>919</v>
      </c>
      <c r="B6831" s="0" t="s">
        <v>98</v>
      </c>
      <c r="D6831" s="6" t="n">
        <f aca="false">Sens!D6828</f>
        <v>101.832</v>
      </c>
      <c r="E6831" s="6" t="n">
        <f aca="false">Sens!E6828</f>
        <v>133.749</v>
      </c>
      <c r="F6831" s="6" t="n">
        <f aca="false">Sens!F6828+Sens!F6821*(1-tax_f)</f>
        <v>153.592248872733</v>
      </c>
      <c r="G6831" s="6" t="n">
        <f aca="false">Sens!G6828+Sens!G6821*(1-tax_f)</f>
        <v>173.938784850248</v>
      </c>
      <c r="H6831" s="6" t="n">
        <f aca="false">Sens!H6828+Sens!H6821*(1-tax_f)</f>
        <v>190.965054205852</v>
      </c>
      <c r="I6831" s="6" t="n">
        <f aca="false">Sens!I6828+Sens!I6821*(1-tax_f)</f>
        <v>212.712929121611</v>
      </c>
      <c r="J6831" s="6" t="n">
        <f aca="false">Sens!J6828+Sens!J6821*(1-tax_f)</f>
        <v>231.650178870642</v>
      </c>
      <c r="K6831" s="6" t="n">
        <f aca="false">Sens!K6828+Sens!K6821*(1-tax_f)</f>
        <v>248.067555473924</v>
      </c>
    </row>
    <row r="6832" customFormat="false" ht="17.15" hidden="false" customHeight="false" outlineLevel="0" collapsed="false">
      <c r="A6832" s="0" t="s">
        <v>920</v>
      </c>
      <c r="B6832" s="0" t="s">
        <v>75</v>
      </c>
      <c r="D6832" s="8" t="n">
        <f aca="false">Sens!D6831/Sens!D6829</f>
        <v>13.641259209645</v>
      </c>
      <c r="E6832" s="8" t="n">
        <f aca="false">Sens!E6831/Sens!E6829</f>
        <v>17.9456594659869</v>
      </c>
      <c r="F6832" s="8" t="n">
        <f aca="false">Sens!F6831/Sens!F6829</f>
        <v>20.5515821064739</v>
      </c>
      <c r="G6832" s="8" t="n">
        <f aca="false">Sens!G6831/Sens!G6829</f>
        <v>23.1347722085852</v>
      </c>
      <c r="H6832" s="8" t="n">
        <f aca="false">Sens!H6831/Sens!H6829</f>
        <v>25.2604749038875</v>
      </c>
      <c r="I6832" s="8" t="n">
        <f aca="false">Sens!I6831/Sens!I6829</f>
        <v>28.0431471035111</v>
      </c>
      <c r="J6832" s="8" t="n">
        <f aca="false">Sens!J6831/Sens!J6829</f>
        <v>30.4825196029746</v>
      </c>
      <c r="K6832" s="8" t="n">
        <f aca="false">Sens!K6831/Sens!K6829</f>
        <v>32.5720527935926</v>
      </c>
      <c r="L6832" s="1" t="s">
        <v>921</v>
      </c>
    </row>
    <row r="6833" customFormat="false" ht="17.15" hidden="false" customHeight="false" outlineLevel="0" collapsed="false">
      <c r="A6833" s="0" t="s">
        <v>922</v>
      </c>
      <c r="B6833" s="0" t="s">
        <v>129</v>
      </c>
      <c r="E6833" s="7" t="n">
        <f aca="false">Sens!E6832/Sens!D6832-1</f>
        <v>0.315542736208578</v>
      </c>
      <c r="F6833" s="7" t="n">
        <f aca="false">Sens!F6832/Sens!E6832-1</f>
        <v>0.145211862814303</v>
      </c>
      <c r="G6833" s="7" t="n">
        <f aca="false">Sens!G6832/Sens!F6832-1</f>
        <v>0.125693004496115</v>
      </c>
      <c r="H6833" s="7" t="n">
        <f aca="false">Sens!H6832/Sens!G6832-1</f>
        <v>0.0918834504241823</v>
      </c>
      <c r="I6833" s="7" t="n">
        <f aca="false">Sens!I6832/Sens!H6832-1</f>
        <v>0.110159140325398</v>
      </c>
      <c r="J6833" s="7" t="n">
        <f aca="false">Sens!J6832/Sens!I6832-1</f>
        <v>0.0869864031472456</v>
      </c>
      <c r="K6833" s="7" t="n">
        <f aca="false">Sens!K6832/Sens!J6832-1</f>
        <v>0.0685485720286101</v>
      </c>
    </row>
    <row r="6834" customFormat="false" ht="17.15" hidden="false" customHeight="false" outlineLevel="0" collapsed="false">
      <c r="A6834" s="0" t="s">
        <v>846</v>
      </c>
      <c r="B6834" s="0" t="s">
        <v>98</v>
      </c>
      <c r="E6834" s="6" t="n">
        <f aca="false">Sens!E6775</f>
        <v>5.25</v>
      </c>
      <c r="F6834" s="6" t="n">
        <f aca="false">Sens!F6775</f>
        <v>7.56</v>
      </c>
      <c r="G6834" s="6" t="n">
        <f aca="false">Sens!G6775</f>
        <v>9.72</v>
      </c>
      <c r="H6834" s="6" t="n">
        <f aca="false">Sens!H6775</f>
        <v>11.88</v>
      </c>
      <c r="I6834" s="6" t="n">
        <f aca="false">Sens!I6775</f>
        <v>13.5</v>
      </c>
      <c r="J6834" s="6" t="n">
        <f aca="false">Sens!J6775</f>
        <v>14.58</v>
      </c>
      <c r="K6834" s="6" t="n">
        <f aca="false">Sens!K6775</f>
        <v>15.66</v>
      </c>
    </row>
    <row r="6835" customFormat="false" ht="17.15" hidden="false" customHeight="false" outlineLevel="0" collapsed="false">
      <c r="A6835" s="1" t="s">
        <v>847</v>
      </c>
      <c r="B6835" s="0" t="s">
        <v>98</v>
      </c>
      <c r="F6835" s="6" t="n">
        <f aca="false">MAX(0,(Sens!E6738+Sens!F6738)/2*Sens!F6746/1000-Sens!F6834*Sens!F6814)</f>
        <v>22.4708691039568</v>
      </c>
      <c r="G6835" s="6" t="n">
        <f aca="false">MAX(0,(Sens!F6738+Sens!G6738)/2*Sens!G6746/1000-Sens!G6834*Sens!G6814)</f>
        <v>39.8634763091847</v>
      </c>
      <c r="H6835" s="6" t="n">
        <f aca="false">MAX(0,(Sens!G6738+Sens!H6738)/2*Sens!H6746/1000-Sens!H6834*Sens!H6814)</f>
        <v>58.6085396073629</v>
      </c>
      <c r="I6835" s="6" t="n">
        <f aca="false">MAX(0,(Sens!H6738+Sens!I6738)/2*Sens!I6746/1000-Sens!I6834*Sens!I6814)</f>
        <v>75.3837035068641</v>
      </c>
      <c r="J6835" s="6" t="n">
        <f aca="false">MAX(0,(Sens!I6738+Sens!J6738)/2*Sens!J6746/1000-Sens!J6834*Sens!J6814)</f>
        <v>87.0934823998186</v>
      </c>
      <c r="K6835" s="6" t="n">
        <f aca="false">MAX(0,(Sens!J6738+Sens!K6738)/2*Sens!K6746/1000-Sens!K6834*Sens!K6814)</f>
        <v>94.0818003806766</v>
      </c>
      <c r="L6835" s="1" t="s">
        <v>848</v>
      </c>
    </row>
    <row r="6836" customFormat="false" ht="17.15" hidden="false" customHeight="false" outlineLevel="0" collapsed="false">
      <c r="A6836" s="1" t="s">
        <v>849</v>
      </c>
      <c r="B6836" s="0" t="s">
        <v>98</v>
      </c>
      <c r="F6836" s="6" t="n">
        <f aca="false">IF(internal_ai_reading=2,1,0)*Sens!F6835</f>
        <v>22.4708691039568</v>
      </c>
      <c r="G6836" s="6" t="n">
        <f aca="false">IF(internal_ai_reading=2,1,0)*Sens!G6835</f>
        <v>39.8634763091847</v>
      </c>
      <c r="H6836" s="6" t="n">
        <f aca="false">IF(internal_ai_reading=2,1,0)*Sens!H6835</f>
        <v>58.6085396073629</v>
      </c>
      <c r="I6836" s="6" t="n">
        <f aca="false">IF(internal_ai_reading=2,1,0)*Sens!I6835</f>
        <v>75.3837035068641</v>
      </c>
      <c r="J6836" s="6" t="n">
        <f aca="false">IF(internal_ai_reading=2,1,0)*Sens!J6835</f>
        <v>87.0934823998186</v>
      </c>
      <c r="K6836" s="6" t="n">
        <f aca="false">IF(internal_ai_reading=2,1,0)*Sens!K6835</f>
        <v>94.0818003806766</v>
      </c>
    </row>
    <row r="6837" customFormat="false" ht="17.15" hidden="false" customHeight="false" outlineLevel="0" collapsed="false">
      <c r="A6837" s="0" t="s">
        <v>850</v>
      </c>
      <c r="B6837" s="0" t="s">
        <v>98</v>
      </c>
      <c r="F6837" s="6" t="n">
        <f aca="false">Sens!F6755+Sens!F6834*Sens!F6814+Sens!F6836-Sens!F6756-Sens!F6766</f>
        <v>20.5341862327591</v>
      </c>
      <c r="G6837" s="6" t="n">
        <f aca="false">Sens!G6755+Sens!G6834*Sens!G6814+Sens!G6836-Sens!G6756-Sens!G6766</f>
        <v>26.2983144965041</v>
      </c>
      <c r="H6837" s="6" t="n">
        <f aca="false">Sens!H6755+Sens!H6834*Sens!H6814+Sens!H6836-Sens!H6756-Sens!H6766</f>
        <v>27.5914362916746</v>
      </c>
      <c r="I6837" s="6" t="n">
        <f aca="false">Sens!I6755+Sens!I6834*Sens!I6814+Sens!I6836-Sens!I6756-Sens!I6766</f>
        <v>35.1575345661571</v>
      </c>
      <c r="J6837" s="6" t="n">
        <f aca="false">Sens!J6755+Sens!J6834*Sens!J6814+Sens!J6836-Sens!J6756-Sens!J6766</f>
        <v>40.350044621423</v>
      </c>
      <c r="K6837" s="6" t="n">
        <f aca="false">Sens!K6755+Sens!K6834*Sens!K6814+Sens!K6836-Sens!K6756-Sens!K6766</f>
        <v>44.3235097634843</v>
      </c>
    </row>
    <row r="6838" customFormat="false" ht="17.15" hidden="false" customHeight="false" outlineLevel="0" collapsed="false">
      <c r="A6838" s="0" t="s">
        <v>851</v>
      </c>
      <c r="B6838" s="0" t="s">
        <v>98</v>
      </c>
      <c r="E6838" s="6" t="n">
        <f aca="false">Sens!E6737*(cxit_open+self_build*tk_cxfac)/1000*ai_net_open</f>
        <v>126.6980382</v>
      </c>
      <c r="F6838" s="6" t="n">
        <f aca="false">Sens!E6838+Sens!F6763-Sens!F6766</f>
        <v>260.985155514568</v>
      </c>
      <c r="G6838" s="6" t="n">
        <f aca="false">Sens!F6838+Sens!G6763-Sens!G6766</f>
        <v>383.978602737428</v>
      </c>
      <c r="H6838" s="6" t="n">
        <f aca="false">Sens!G6838+Sens!H6763-Sens!H6766</f>
        <v>484.242572654689</v>
      </c>
      <c r="I6838" s="6" t="n">
        <f aca="false">Sens!H6838+Sens!I6763-Sens!I6766</f>
        <v>535.888201826713</v>
      </c>
      <c r="J6838" s="6" t="n">
        <f aca="false">Sens!I6838+Sens!J6763-Sens!J6766</f>
        <v>531.142967622138</v>
      </c>
      <c r="K6838" s="6" t="n">
        <f aca="false">Sens!J6838+Sens!K6763-Sens!K6766</f>
        <v>506.3807564596</v>
      </c>
      <c r="L6838" s="1" t="s">
        <v>852</v>
      </c>
    </row>
    <row r="6839" customFormat="false" ht="17.15" hidden="false" customHeight="false" outlineLevel="0" collapsed="false">
      <c r="A6839" s="0" t="s">
        <v>853</v>
      </c>
      <c r="B6839" s="0" t="s">
        <v>129</v>
      </c>
      <c r="F6839" s="7" t="n">
        <f aca="false">Sens!F6837*(1-tax_f)/((Sens!E6838+Sens!F6838)/2)</f>
        <v>0.0847462528814283</v>
      </c>
      <c r="G6839" s="7" t="n">
        <f aca="false">Sens!G6837*(1-tax_f)/((Sens!F6838+Sens!G6838)/2)</f>
        <v>0.0652397947265224</v>
      </c>
      <c r="H6839" s="7" t="n">
        <f aca="false">Sens!H6837*(1-tax_f)/((Sens!G6838+Sens!H6838)/2)</f>
        <v>0.0508468340993198</v>
      </c>
      <c r="I6839" s="7" t="n">
        <f aca="false">Sens!I6837*(1-tax_f)/((Sens!H6838+Sens!I6838)/2)</f>
        <v>0.055142004057713</v>
      </c>
      <c r="J6839" s="7" t="n">
        <f aca="false">Sens!J6837*(1-tax_f)/((Sens!I6838+Sens!J6838)/2)</f>
        <v>0.0605043912893602</v>
      </c>
      <c r="K6839" s="7" t="n">
        <f aca="false">Sens!K6837*(1-tax_f)/((Sens!J6838+Sens!K6838)/2)</f>
        <v>0.0683527653156468</v>
      </c>
    </row>
    <row r="6840" customFormat="false" ht="17.15" hidden="false" customHeight="false" outlineLevel="0" collapsed="false">
      <c r="A6840" s="1" t="s">
        <v>854</v>
      </c>
      <c r="B6840" s="0" t="s">
        <v>129</v>
      </c>
      <c r="F6840" s="7" t="n">
        <f aca="false">(Sens!F6837-Sens!F6836)*(1-tax_f)/((Sens!E6838+Sens!F6838)/2)</f>
        <v>-0.00799284736649628</v>
      </c>
      <c r="G6840" s="7" t="n">
        <f aca="false">(Sens!G6837-Sens!G6836)*(1-tax_f)/((Sens!F6838+Sens!G6838)/2)</f>
        <v>-0.0336519046575773</v>
      </c>
      <c r="H6840" s="7" t="n">
        <f aca="false">(Sens!H6837-Sens!H6836)*(1-tax_f)/((Sens!G6838+Sens!H6838)/2)</f>
        <v>-0.0571598190779994</v>
      </c>
      <c r="I6840" s="7" t="n">
        <f aca="false">(Sens!I6837-Sens!I6836)*(1-tax_f)/((Sens!H6838+Sens!I6838)/2)</f>
        <v>-0.0630917838331566</v>
      </c>
      <c r="J6840" s="7" t="n">
        <f aca="false">(Sens!J6837-Sens!J6836)*(1-tax_f)/((Sens!I6838+Sens!J6838)/2)</f>
        <v>-0.0700912050058141</v>
      </c>
      <c r="K6840" s="7" t="n">
        <f aca="false">(Sens!K6837-Sens!K6836)*(1-tax_f)/((Sens!J6838+Sens!K6838)/2)</f>
        <v>-0.0767339224536475</v>
      </c>
    </row>
    <row r="6841" customFormat="false" ht="17.15" hidden="false" customHeight="false" outlineLevel="0" collapsed="false">
      <c r="A6841" s="1" t="s">
        <v>855</v>
      </c>
      <c r="B6841" s="0" t="s">
        <v>129</v>
      </c>
      <c r="F6841" s="7" t="n">
        <f aca="false">(Sens!F6837-Sens!F6836+Sens!F6835)*(1-tax_f)/((Sens!E6838+Sens!F6838)/2)</f>
        <v>0.0847462528814283</v>
      </c>
      <c r="G6841" s="7" t="n">
        <f aca="false">(Sens!G6837-Sens!G6836+Sens!G6835)*(1-tax_f)/((Sens!F6838+Sens!G6838)/2)</f>
        <v>0.0652397947265224</v>
      </c>
      <c r="H6841" s="7" t="n">
        <f aca="false">(Sens!H6837-Sens!H6836+Sens!H6835)*(1-tax_f)/((Sens!G6838+Sens!H6838)/2)</f>
        <v>0.0508468340993198</v>
      </c>
      <c r="I6841" s="7" t="n">
        <f aca="false">(Sens!I6837-Sens!I6836+Sens!I6835)*(1-tax_f)/((Sens!H6838+Sens!I6838)/2)</f>
        <v>0.055142004057713</v>
      </c>
      <c r="J6841" s="7" t="n">
        <f aca="false">(Sens!J6837-Sens!J6836+Sens!J6835)*(1-tax_f)/((Sens!I6838+Sens!J6838)/2)</f>
        <v>0.0605043912893602</v>
      </c>
      <c r="K6841" s="7" t="n">
        <f aca="false">(Sens!K6837-Sens!K6836+Sens!K6835)*(1-tax_f)/((Sens!J6838+Sens!K6838)/2)</f>
        <v>0.0683527653156468</v>
      </c>
    </row>
    <row r="6842" customFormat="false" ht="17.15" hidden="false" customHeight="false" outlineLevel="0" collapsed="false">
      <c r="A6842" s="1" t="s">
        <v>856</v>
      </c>
      <c r="B6842" s="0" t="s">
        <v>129</v>
      </c>
      <c r="F6842" s="7" t="n">
        <f aca="false">Sens!F6767*(1-tax_f)/(Sens!F6754*(Sens!E6838+Sens!F6838)/2)</f>
        <v>0.0976111389855987</v>
      </c>
      <c r="G6842" s="7" t="n">
        <f aca="false">Sens!G6767*(1-tax_f)/(Sens!G6754*(Sens!F6838+Sens!G6838)/2)</f>
        <v>0.0657486337245023</v>
      </c>
      <c r="H6842" s="7" t="n">
        <f aca="false">Sens!H6767*(1-tax_f)/(Sens!H6754*(Sens!G6838+Sens!H6838)/2)</f>
        <v>0.0386687343792931</v>
      </c>
      <c r="I6842" s="7" t="n">
        <f aca="false">Sens!I6767*(1-tax_f)/(Sens!I6754*(Sens!H6838+Sens!I6838)/2)</f>
        <v>0.0419127326239733</v>
      </c>
      <c r="J6842" s="7" t="n">
        <f aca="false">Sens!J6767*(1-tax_f)/(Sens!J6754*(Sens!I6838+Sens!J6838)/2)</f>
        <v>0.0459666619245503</v>
      </c>
      <c r="K6842" s="7" t="n">
        <f aca="false">Sens!K6767*(1-tax_f)/(Sens!K6754*(Sens!J6838+Sens!K6838)/2)</f>
        <v>0.0523043472431493</v>
      </c>
    </row>
    <row r="6843" customFormat="false" ht="17.15" hidden="false" customHeight="false" outlineLevel="0" collapsed="false">
      <c r="A6843" s="0" t="s">
        <v>857</v>
      </c>
      <c r="B6843" s="0" t="s">
        <v>209</v>
      </c>
      <c r="F6843" s="7" t="n">
        <f aca="false">Sens!F6839-wacc</f>
        <v>-0.0181881672114474</v>
      </c>
      <c r="G6843" s="7" t="n">
        <f aca="false">Sens!G6839-wacc</f>
        <v>-0.0376946253663533</v>
      </c>
      <c r="H6843" s="7" t="n">
        <f aca="false">Sens!H6839-wacc</f>
        <v>-0.052087585993556</v>
      </c>
      <c r="I6843" s="7" t="n">
        <f aca="false">Sens!I6839-wacc</f>
        <v>-0.0477924160351628</v>
      </c>
      <c r="J6843" s="7" t="n">
        <f aca="false">Sens!J6839-wacc</f>
        <v>-0.0424300288035156</v>
      </c>
      <c r="K6843" s="7" t="n">
        <f aca="false">Sens!K6839-wacc</f>
        <v>-0.0345816547772289</v>
      </c>
    </row>
    <row r="6844" customFormat="false" ht="17.15" hidden="false" customHeight="false" outlineLevel="0" collapsed="false">
      <c r="A6844" s="0" t="s">
        <v>858</v>
      </c>
      <c r="B6844" s="0" t="s">
        <v>98</v>
      </c>
      <c r="F6844" s="6" t="n">
        <f aca="false">Sens!F6837*(1-tax_f)-wacc*(Sens!E6838+Sens!F6838)/2</f>
        <v>-3.52562337617426</v>
      </c>
      <c r="G6844" s="6" t="n">
        <f aca="false">Sens!G6837*(1-tax_f)-wacc*(Sens!F6838+Sens!G6838)/2</f>
        <v>-12.1558336210921</v>
      </c>
      <c r="H6844" s="6" t="n">
        <f aca="false">Sens!H6837*(1-tax_f)-wacc*(Sens!G6838+Sens!H6838)/2</f>
        <v>-22.6117725673316</v>
      </c>
      <c r="I6844" s="6" t="n">
        <f aca="false">Sens!I6837*(1-tax_f)-wacc*(Sens!H6838+Sens!I6838)/2</f>
        <v>-24.377257192144</v>
      </c>
      <c r="J6844" s="6" t="n">
        <f aca="false">Sens!J6837*(1-tax_f)-wacc*(Sens!I6838+Sens!J6838)/2</f>
        <v>-22.6370816269818</v>
      </c>
      <c r="K6844" s="6" t="n">
        <f aca="false">Sens!K6837*(1-tax_f)-wacc*(Sens!J6838+Sens!K6838)/2</f>
        <v>-17.9396436246898</v>
      </c>
    </row>
    <row r="6845" customFormat="false" ht="17.15" hidden="false" customHeight="false" outlineLevel="0" collapsed="false">
      <c r="A6845" s="3" t="s">
        <v>1412</v>
      </c>
    </row>
    <row r="6846" customFormat="false" ht="15" hidden="false" customHeight="false" outlineLevel="0" collapsed="false">
      <c r="A6846" s="4" t="s">
        <v>43</v>
      </c>
      <c r="B6846" s="4" t="s">
        <v>65</v>
      </c>
      <c r="C6846" s="20" t="s">
        <v>788</v>
      </c>
      <c r="D6846" s="20" t="s">
        <v>789</v>
      </c>
      <c r="E6846" s="20" t="s">
        <v>790</v>
      </c>
      <c r="F6846" s="20" t="s">
        <v>791</v>
      </c>
      <c r="G6846" s="20" t="s">
        <v>792</v>
      </c>
      <c r="H6846" s="20" t="s">
        <v>793</v>
      </c>
      <c r="I6846" s="20" t="s">
        <v>794</v>
      </c>
      <c r="J6846" s="20" t="s">
        <v>795</v>
      </c>
      <c r="K6846" s="20" t="s">
        <v>796</v>
      </c>
      <c r="L6846" s="4" t="s">
        <v>47</v>
      </c>
    </row>
    <row r="6847" customFormat="false" ht="15" hidden="false" customHeight="false" outlineLevel="0" collapsed="false">
      <c r="A6847" s="1" t="s">
        <v>915</v>
      </c>
      <c r="B6847" s="0" t="s">
        <v>98</v>
      </c>
      <c r="F6847" s="6" t="n">
        <f aca="false">Sens!F6828</f>
        <v>135.615553589568</v>
      </c>
      <c r="G6847" s="6" t="n">
        <f aca="false">Sens!G6828</f>
        <v>142.0480038029</v>
      </c>
      <c r="H6847" s="6" t="n">
        <f aca="false">Sens!H6828</f>
        <v>144.078222519961</v>
      </c>
      <c r="I6847" s="6" t="n">
        <f aca="false">Sens!I6828</f>
        <v>152.40596631612</v>
      </c>
      <c r="J6847" s="6" t="n">
        <f aca="false">Sens!J6828</f>
        <v>161.975392950787</v>
      </c>
      <c r="K6847" s="6" t="n">
        <f aca="false">Sens!K6828</f>
        <v>172.802115169382</v>
      </c>
    </row>
    <row r="6848" customFormat="false" ht="17.15" hidden="false" customHeight="false" outlineLevel="0" collapsed="false">
      <c r="A6848" s="1" t="s">
        <v>937</v>
      </c>
      <c r="B6848" s="0" t="s">
        <v>98</v>
      </c>
      <c r="E6848" s="6" t="n">
        <f aca="false">Q!M38-Sens!E6766</f>
        <v>22.2285940229167</v>
      </c>
      <c r="F6848" s="6" t="n">
        <f aca="false">Sens!E6848*(1-1/life_nonai)+Sens!F6854/life_nonai</f>
        <v>23.5192693435813</v>
      </c>
      <c r="G6848" s="6" t="n">
        <f aca="false">Sens!F6848*(1-1/life_nonai)+Sens!G6854/life_nonai</f>
        <v>25.1998317662621</v>
      </c>
      <c r="H6848" s="6" t="n">
        <f aca="false">Sens!G6848*(1-1/life_nonai)+Sens!H6854/life_nonai</f>
        <v>27.2397999540448</v>
      </c>
      <c r="I6848" s="6" t="n">
        <f aca="false">Sens!H6848*(1-1/life_nonai)+Sens!I6854/life_nonai</f>
        <v>29.5856599898047</v>
      </c>
      <c r="J6848" s="6" t="n">
        <f aca="false">Sens!I6848*(1-1/life_nonai)+Sens!J6854/life_nonai</f>
        <v>32.1659853158616</v>
      </c>
      <c r="K6848" s="6" t="n">
        <f aca="false">Sens!J6848*(1-1/life_nonai)+Sens!K6854/life_nonai</f>
        <v>34.8978570584749</v>
      </c>
      <c r="L6848" s="11" t="s">
        <v>938</v>
      </c>
    </row>
    <row r="6849" customFormat="false" ht="17.15" hidden="false" customHeight="false" outlineLevel="0" collapsed="false">
      <c r="A6849" s="1" t="s">
        <v>939</v>
      </c>
      <c r="B6849" s="0" t="s">
        <v>98</v>
      </c>
      <c r="E6849" s="6" t="n">
        <f aca="false">Sens!E6766+Sens!E6848</f>
        <v>38.534</v>
      </c>
      <c r="F6849" s="6" t="n">
        <f aca="false">Sens!F6766+Sens!F6848</f>
        <v>58.296804799451</v>
      </c>
      <c r="G6849" s="6" t="n">
        <f aca="false">Sens!G6766+Sens!G6848</f>
        <v>85.7805650266016</v>
      </c>
      <c r="H6849" s="6" t="n">
        <f aca="false">Sens!H6766+Sens!H6848</f>
        <v>115.056115947184</v>
      </c>
      <c r="I6849" s="6" t="n">
        <f aca="false">Sens!I6766+Sens!I6848</f>
        <v>141.646699972026</v>
      </c>
      <c r="J6849" s="6" t="n">
        <f aca="false">Sens!J6766+Sens!J6848</f>
        <v>161.423696238527</v>
      </c>
      <c r="K6849" s="6" t="n">
        <f aca="false">Sens!K6766+Sens!K6848</f>
        <v>174.619503862948</v>
      </c>
    </row>
    <row r="6850" customFormat="false" ht="17.15" hidden="false" customHeight="false" outlineLevel="0" collapsed="false">
      <c r="A6850" s="1" t="s">
        <v>940</v>
      </c>
      <c r="B6850" s="0" t="s">
        <v>98</v>
      </c>
      <c r="F6850" s="6" t="n">
        <f aca="false">Sens!F6793*sbc_r</f>
        <v>14.6003301092099</v>
      </c>
      <c r="G6850" s="6" t="n">
        <f aca="false">Sens!G6793*sbc_r</f>
        <v>16.9199276994278</v>
      </c>
      <c r="H6850" s="6" t="n">
        <f aca="false">Sens!H6793*sbc_r</f>
        <v>19.0917774180151</v>
      </c>
      <c r="I6850" s="6" t="n">
        <f aca="false">Sens!I6793*sbc_r</f>
        <v>21.3781494381273</v>
      </c>
      <c r="J6850" s="6" t="n">
        <f aca="false">Sens!J6793*sbc_r</f>
        <v>23.3061500630423</v>
      </c>
      <c r="K6850" s="6" t="n">
        <f aca="false">Sens!K6793*sbc_r</f>
        <v>24.8789059529984</v>
      </c>
    </row>
    <row r="6851" customFormat="false" ht="17.15" hidden="false" customHeight="false" outlineLevel="0" collapsed="false">
      <c r="A6851" s="1" t="s">
        <v>941</v>
      </c>
      <c r="B6851" s="0" t="s">
        <v>98</v>
      </c>
      <c r="F6851" s="6" t="n">
        <f aca="false">wc27</f>
        <v>-4.895</v>
      </c>
      <c r="G6851" s="6" t="n">
        <f aca="false">wc_f</f>
        <v>0</v>
      </c>
      <c r="H6851" s="6" t="n">
        <f aca="false">wc_f</f>
        <v>0</v>
      </c>
      <c r="I6851" s="6" t="n">
        <f aca="false">wc_f</f>
        <v>0</v>
      </c>
      <c r="J6851" s="6" t="n">
        <f aca="false">wc_f</f>
        <v>0</v>
      </c>
      <c r="K6851" s="6" t="n">
        <f aca="false">wc_f</f>
        <v>0</v>
      </c>
      <c r="L6851" s="11" t="s">
        <v>942</v>
      </c>
    </row>
    <row r="6852" customFormat="false" ht="15" hidden="false" customHeight="false" outlineLevel="0" collapsed="false">
      <c r="A6852" s="1" t="s">
        <v>756</v>
      </c>
      <c r="B6852" s="0" t="s">
        <v>98</v>
      </c>
      <c r="E6852" s="6" t="n">
        <f aca="false">Q!M35</f>
        <v>182.935</v>
      </c>
      <c r="F6852" s="6" t="n">
        <f aca="false">Sens!F6847+Sens!F6849+Sens!F6850+Sens!F6851</f>
        <v>203.617688498228</v>
      </c>
      <c r="G6852" s="6" t="n">
        <f aca="false">Sens!G6847+Sens!G6849+Sens!G6850+Sens!G6851</f>
        <v>244.74849652893</v>
      </c>
      <c r="H6852" s="6" t="n">
        <f aca="false">Sens!H6847+Sens!H6849+Sens!H6850+Sens!H6851</f>
        <v>278.226115885161</v>
      </c>
      <c r="I6852" s="6" t="n">
        <f aca="false">Sens!I6847+Sens!I6849+Sens!I6850+Sens!I6851</f>
        <v>315.430815726273</v>
      </c>
      <c r="J6852" s="6" t="n">
        <f aca="false">Sens!J6847+Sens!J6849+Sens!J6850+Sens!J6851</f>
        <v>346.705239252357</v>
      </c>
      <c r="K6852" s="6" t="n">
        <f aca="false">Sens!K6847+Sens!K6849+Sens!K6850+Sens!K6851</f>
        <v>372.300524985329</v>
      </c>
    </row>
    <row r="6853" customFormat="false" ht="17.15" hidden="false" customHeight="false" outlineLevel="0" collapsed="false">
      <c r="A6853" s="0" t="s">
        <v>943</v>
      </c>
      <c r="B6853" s="0" t="s">
        <v>98</v>
      </c>
      <c r="F6853" s="6" t="n">
        <f aca="false">Sens!F6763</f>
        <v>169.064652770438</v>
      </c>
      <c r="G6853" s="6" t="n">
        <f aca="false">Sens!G6763</f>
        <v>183.5741804832</v>
      </c>
      <c r="H6853" s="6" t="n">
        <f aca="false">Sens!H6763</f>
        <v>188.0802859104</v>
      </c>
      <c r="I6853" s="6" t="n">
        <f aca="false">Sens!I6763</f>
        <v>163.706669154245</v>
      </c>
      <c r="J6853" s="6" t="n">
        <f aca="false">Sens!J6763</f>
        <v>124.51247671809</v>
      </c>
      <c r="K6853" s="6" t="n">
        <f aca="false">Sens!K6763</f>
        <v>114.959435641936</v>
      </c>
    </row>
    <row r="6854" customFormat="false" ht="17.15" hidden="false" customHeight="false" outlineLevel="0" collapsed="false">
      <c r="A6854" s="1" t="s">
        <v>944</v>
      </c>
      <c r="B6854" s="0" t="s">
        <v>98</v>
      </c>
      <c r="E6854" s="6" t="n">
        <f aca="false">Sens!E6771*cx_azo+Sens!E6778*cx_m365+Sens!E6779*cx_lic+(Sens!E6781+Sens!E6783)*cx_ind+Sens!E6786*cx_srch+(Sens!E6788+Sens!E6790)*cx_dev</f>
        <v>30.1846587067718</v>
      </c>
      <c r="F6854" s="6" t="n">
        <f aca="false">Sens!F6771*cx_azo+Sens!F6778*cx_m365+Sens!F6779*cx_lic+(Sens!F6781+Sens!F6783)*cx_ind+Sens!F6786*cx_srch+(Sens!F6788+Sens!F6790)*cx_dev</f>
        <v>35.1353472295625</v>
      </c>
      <c r="G6854" s="6" t="n">
        <f aca="false">Sens!G6771*cx_azo+Sens!G6778*cx_m365+Sens!G6779*cx_lic+(Sens!G6781+Sens!G6783)*cx_ind+Sens!G6786*cx_srch+(Sens!G6788+Sens!G6790)*cx_dev</f>
        <v>40.3248935703892</v>
      </c>
      <c r="H6854" s="6" t="n">
        <f aca="false">Sens!H6771*cx_azo+Sens!H6778*cx_m365+Sens!H6779*cx_lic+(Sens!H6781+Sens!H6783)*cx_ind+Sens!H6786*cx_srch+(Sens!H6788+Sens!H6790)*cx_dev</f>
        <v>45.5995136440897</v>
      </c>
      <c r="I6854" s="6" t="n">
        <f aca="false">Sens!I6771*cx_azo+Sens!I6778*cx_m365+Sens!I6779*cx_lic+(Sens!I6781+Sens!I6783)*cx_ind+Sens!I6786*cx_srch+(Sens!I6788+Sens!I6790)*cx_dev</f>
        <v>50.6984003116439</v>
      </c>
      <c r="J6854" s="6" t="n">
        <f aca="false">Sens!J6771*cx_azo+Sens!J6778*cx_m365+Sens!J6779*cx_lic+(Sens!J6781+Sens!J6783)*cx_ind+Sens!J6786*cx_srch+(Sens!J6788+Sens!J6790)*cx_dev</f>
        <v>55.3889132503738</v>
      </c>
      <c r="K6854" s="6" t="n">
        <f aca="false">Sens!K6771*cx_azo+Sens!K6778*cx_m365+Sens!K6779*cx_lic+(Sens!K6781+Sens!K6783)*cx_ind+Sens!K6786*cx_srch+(Sens!K6788+Sens!K6790)*cx_dev</f>
        <v>59.484702741994</v>
      </c>
    </row>
    <row r="6855" customFormat="false" ht="17.15" hidden="false" customHeight="false" outlineLevel="0" collapsed="false">
      <c r="A6855" s="1" t="s">
        <v>945</v>
      </c>
      <c r="B6855" s="0" t="s">
        <v>98</v>
      </c>
      <c r="E6855" s="6" t="n">
        <f aca="false">Q!M42</f>
        <v>145.3</v>
      </c>
      <c r="F6855" s="6" t="n">
        <f aca="false">Sens!F6853+Sens!F6854</f>
        <v>204.2</v>
      </c>
      <c r="G6855" s="6" t="n">
        <f aca="false">Sens!G6853+Sens!G6854</f>
        <v>223.899074053589</v>
      </c>
      <c r="H6855" s="6" t="n">
        <f aca="false">Sens!H6853+Sens!H6854</f>
        <v>233.67979955449</v>
      </c>
      <c r="I6855" s="6" t="n">
        <f aca="false">Sens!I6853+Sens!I6854</f>
        <v>214.405069465889</v>
      </c>
      <c r="J6855" s="6" t="n">
        <f aca="false">Sens!J6853+Sens!J6854</f>
        <v>179.901389968464</v>
      </c>
      <c r="K6855" s="6" t="n">
        <f aca="false">Sens!K6853+Sens!K6854</f>
        <v>174.44413838393</v>
      </c>
      <c r="L6855" s="1" t="s">
        <v>946</v>
      </c>
    </row>
    <row r="6856" customFormat="false" ht="15" hidden="false" customHeight="false" outlineLevel="0" collapsed="false">
      <c r="A6856" s="1" t="s">
        <v>947</v>
      </c>
      <c r="B6856" s="0" t="s">
        <v>98</v>
      </c>
      <c r="E6856" s="6" t="n">
        <f aca="false">fl_liab</f>
        <v>66.594</v>
      </c>
      <c r="F6856" s="6" t="n">
        <f aca="false">Sens!E6856-Sens!F6857</f>
        <v>62.46973</v>
      </c>
      <c r="G6856" s="6" t="n">
        <f aca="false">Sens!F6856-Sens!G6857</f>
        <v>57.98686785</v>
      </c>
      <c r="H6856" s="6" t="n">
        <f aca="false">Sens!G6856-Sens!H6857</f>
        <v>53.92827690325</v>
      </c>
      <c r="I6856" s="6" t="n">
        <f aca="false">Sens!H6856-Sens!I6857</f>
        <v>49.7850493638962</v>
      </c>
      <c r="J6856" s="6" t="n">
        <f aca="false">Sens!I6856-Sens!J6857</f>
        <v>45.4823765852716</v>
      </c>
      <c r="K6856" s="6" t="n">
        <f aca="false">Sens!J6856-Sens!K6857</f>
        <v>40.9860835316088</v>
      </c>
    </row>
    <row r="6857" customFormat="false" ht="15" hidden="false" customHeight="false" outlineLevel="0" collapsed="false">
      <c r="A6857" s="1" t="s">
        <v>948</v>
      </c>
      <c r="B6857" s="0" t="s">
        <v>98</v>
      </c>
      <c r="F6857" s="6" t="n">
        <f aca="false">fl_pay_27-Sens!E6856*fl_rate</f>
        <v>4.12427</v>
      </c>
      <c r="G6857" s="6" t="n">
        <f aca="false">fl_pay_28-Sens!F6856*fl_rate</f>
        <v>4.48286215</v>
      </c>
      <c r="H6857" s="6" t="n">
        <f aca="false">fl_pay_29-Sens!G6856*fl_rate</f>
        <v>4.05859094675</v>
      </c>
      <c r="I6857" s="6" t="n">
        <f aca="false">fl_pay_30-Sens!H6856*fl_rate</f>
        <v>4.14322753935375</v>
      </c>
      <c r="J6857" s="6" t="n">
        <f aca="false">fl_pay_31-Sens!I6856*fl_rate</f>
        <v>4.30267277862467</v>
      </c>
      <c r="K6857" s="6" t="n">
        <f aca="false">fl_pay_32-Sens!J6856*fl_rate</f>
        <v>4.49629305366278</v>
      </c>
    </row>
    <row r="6858" customFormat="false" ht="17.15" hidden="false" customHeight="false" outlineLevel="0" collapsed="false">
      <c r="A6858" s="1" t="s">
        <v>949</v>
      </c>
      <c r="B6858" s="0" t="s">
        <v>98</v>
      </c>
      <c r="E6858" s="6" t="n">
        <f aca="false">Q!M35-Q!M36-Q!M43</f>
        <v>63.886</v>
      </c>
      <c r="F6858" s="6" t="n">
        <f aca="false">Sens!F6852-Sens!F6855-Sens!F6857</f>
        <v>-4.70658150177159</v>
      </c>
      <c r="G6858" s="6" t="n">
        <f aca="false">Sens!G6852-Sens!G6855-Sens!G6857</f>
        <v>16.3665603253405</v>
      </c>
      <c r="H6858" s="6" t="n">
        <f aca="false">Sens!H6852-Sens!H6855-Sens!H6857</f>
        <v>40.4877253839211</v>
      </c>
      <c r="I6858" s="6" t="n">
        <f aca="false">Sens!I6852-Sens!I6855-Sens!I6857</f>
        <v>96.8825187210301</v>
      </c>
      <c r="J6858" s="6" t="n">
        <f aca="false">Sens!J6852-Sens!J6855-Sens!J6857</f>
        <v>162.501176505268</v>
      </c>
      <c r="K6858" s="6" t="n">
        <f aca="false">Sens!K6852-Sens!K6855-Sens!K6857</f>
        <v>193.360093547736</v>
      </c>
      <c r="L6858" s="11" t="s">
        <v>950</v>
      </c>
    </row>
    <row r="6859" customFormat="false" ht="15" hidden="false" customHeight="false" outlineLevel="0" collapsed="false">
      <c r="A6859" s="1" t="s">
        <v>951</v>
      </c>
      <c r="B6859" s="0" t="s">
        <v>75</v>
      </c>
      <c r="F6859" s="8" t="n">
        <f aca="false">dps_27</f>
        <v>3.85</v>
      </c>
      <c r="G6859" s="8" t="n">
        <f aca="false">Sens!F6859*(1+dps_g)</f>
        <v>4.158</v>
      </c>
      <c r="H6859" s="8" t="n">
        <f aca="false">Sens!G6859*(1+dps_g)</f>
        <v>4.49064</v>
      </c>
      <c r="I6859" s="8" t="n">
        <f aca="false">Sens!H6859*(1+dps_g)</f>
        <v>4.8498912</v>
      </c>
      <c r="J6859" s="8" t="n">
        <f aca="false">Sens!I6859*(1+dps_g)</f>
        <v>5.237882496</v>
      </c>
      <c r="K6859" s="8" t="n">
        <f aca="false">Sens!J6859*(1+dps_g)</f>
        <v>5.65691309568</v>
      </c>
    </row>
    <row r="6860" customFormat="false" ht="17.15" hidden="false" customHeight="false" outlineLevel="0" collapsed="false">
      <c r="A6860" s="1" t="s">
        <v>952</v>
      </c>
      <c r="B6860" s="0" t="s">
        <v>98</v>
      </c>
      <c r="E6860" s="6" t="n">
        <f aca="false">Q!M41</f>
        <v>26.445</v>
      </c>
      <c r="F6860" s="6" t="n">
        <f aca="false">Sens!F6859*Sens!E6869</f>
        <v>28.59395</v>
      </c>
      <c r="G6860" s="6" t="n">
        <f aca="false">Sens!G6859*Sens!F6869</f>
        <v>31.068576</v>
      </c>
      <c r="H6860" s="6" t="n">
        <f aca="false">Sens!H6859*Sens!G6869</f>
        <v>33.75614088</v>
      </c>
      <c r="I6860" s="6" t="n">
        <f aca="false">Sens!I6859*Sens!H6869</f>
        <v>36.6393398053561</v>
      </c>
      <c r="J6860" s="6" t="n">
        <f aca="false">Sens!J6859*Sens!I6869</f>
        <v>39.6388858381041</v>
      </c>
      <c r="K6860" s="6" t="n">
        <f aca="false">Sens!K6859*Sens!J6869</f>
        <v>42.8972519304574</v>
      </c>
      <c r="L6860" s="1" t="s">
        <v>953</v>
      </c>
    </row>
    <row r="6861" customFormat="false" ht="15" hidden="false" customHeight="false" outlineLevel="0" collapsed="false">
      <c r="A6861" s="1" t="s">
        <v>954</v>
      </c>
      <c r="B6861" s="0" t="s">
        <v>98</v>
      </c>
      <c r="E6861" s="6" t="n">
        <f aca="false">Sens!E6858-Sens!E6860</f>
        <v>37.441</v>
      </c>
      <c r="F6861" s="6" t="n">
        <f aca="false">Sens!F6858-Sens!F6860</f>
        <v>-33.3005315017716</v>
      </c>
      <c r="G6861" s="6" t="n">
        <f aca="false">Sens!G6858-Sens!G6860</f>
        <v>-14.7020156746595</v>
      </c>
      <c r="H6861" s="6" t="n">
        <f aca="false">Sens!H6858-Sens!H6860</f>
        <v>6.73158450392111</v>
      </c>
      <c r="I6861" s="6" t="n">
        <f aca="false">Sens!I6858-Sens!I6860</f>
        <v>60.243178915674</v>
      </c>
      <c r="J6861" s="6" t="n">
        <f aca="false">Sens!J6858-Sens!J6860</f>
        <v>122.862290667164</v>
      </c>
      <c r="K6861" s="6" t="n">
        <f aca="false">Sens!K6858-Sens!K6860</f>
        <v>150.462841617279</v>
      </c>
    </row>
    <row r="6862" customFormat="false" ht="15" hidden="false" customHeight="false" outlineLevel="0" collapsed="false">
      <c r="A6862" s="1" t="s">
        <v>955</v>
      </c>
      <c r="B6862" s="0" t="s">
        <v>98</v>
      </c>
      <c r="F6862" s="6" t="n">
        <f aca="false">debt_mat_27</f>
        <v>9.25</v>
      </c>
      <c r="G6862" s="6" t="n">
        <f aca="false">debt_mat_28</f>
        <v>0</v>
      </c>
      <c r="H6862" s="6" t="n">
        <f aca="false">debt_mat_29</f>
        <v>2.001</v>
      </c>
      <c r="I6862" s="6" t="n">
        <f aca="false">debt_mat_30</f>
        <v>0</v>
      </c>
      <c r="J6862" s="6" t="n">
        <f aca="false">debt_mat_31</f>
        <v>0.5</v>
      </c>
      <c r="K6862" s="6" t="n">
        <f aca="false">debt_mat_32</f>
        <v>0</v>
      </c>
    </row>
    <row r="6863" customFormat="false" ht="15" hidden="false" customHeight="false" outlineLevel="0" collapsed="false">
      <c r="A6863" s="1" t="s">
        <v>956</v>
      </c>
      <c r="B6863" s="0" t="s">
        <v>98</v>
      </c>
      <c r="E6863" s="6" t="n">
        <f aca="false">Q!M40</f>
        <v>22.271</v>
      </c>
      <c r="F6863" s="6" t="n">
        <f aca="false">MAX(0,MIN(bb_target,Sens!E6865+Sens!F6861-Sens!F6862-min_cash))</f>
        <v>0</v>
      </c>
      <c r="G6863" s="6" t="n">
        <f aca="false">MAX(0,MIN(bb_target,Sens!F6865+Sens!G6861-Sens!G6862-min_cash))</f>
        <v>0</v>
      </c>
      <c r="H6863" s="6" t="n">
        <f aca="false">MAX(0,MIN(bb_target,Sens!G6865+Sens!H6861-Sens!H6862-min_cash))</f>
        <v>4.73058450392112</v>
      </c>
      <c r="I6863" s="6" t="n">
        <f aca="false">MAX(0,MIN(bb_target,Sens!H6865+Sens!I6861-Sens!I6862-min_cash))</f>
        <v>22.271</v>
      </c>
      <c r="J6863" s="6" t="n">
        <f aca="false">MAX(0,MIN(bb_target,Sens!I6865+Sens!J6861-Sens!J6862-min_cash))</f>
        <v>22.271</v>
      </c>
      <c r="K6863" s="6" t="n">
        <f aca="false">MAX(0,MIN(bb_target,Sens!J6865+Sens!K6861-Sens!K6862-min_cash))</f>
        <v>22.271</v>
      </c>
    </row>
    <row r="6864" customFormat="false" ht="15" hidden="false" customHeight="false" outlineLevel="0" collapsed="false">
      <c r="A6864" s="1" t="s">
        <v>957</v>
      </c>
      <c r="B6864" s="0" t="s">
        <v>98</v>
      </c>
      <c r="F6864" s="6" t="n">
        <f aca="false">MAX(0,min_cash-(Sens!E6865+Sens!F6861-Sens!F6862-Sens!F6863))</f>
        <v>15.7075315017716</v>
      </c>
      <c r="G6864" s="6" t="n">
        <f aca="false">MAX(0,min_cash-(Sens!F6865+Sens!G6861-Sens!G6862-Sens!G6863))</f>
        <v>14.7020156746595</v>
      </c>
      <c r="H6864" s="6" t="n">
        <f aca="false">MAX(0,min_cash-(Sens!G6865+Sens!H6861-Sens!H6862-Sens!H6863))</f>
        <v>0</v>
      </c>
      <c r="I6864" s="6" t="n">
        <f aca="false">MAX(0,min_cash-(Sens!H6865+Sens!I6861-Sens!I6862-Sens!I6863))</f>
        <v>0</v>
      </c>
      <c r="J6864" s="6" t="n">
        <f aca="false">MAX(0,min_cash-(Sens!I6865+Sens!J6861-Sens!J6862-Sens!J6863))</f>
        <v>0</v>
      </c>
      <c r="K6864" s="6" t="n">
        <f aca="false">MAX(0,min_cash-(Sens!J6865+Sens!K6861-Sens!K6862-Sens!K6863))</f>
        <v>0</v>
      </c>
    </row>
    <row r="6865" customFormat="false" ht="15" hidden="false" customHeight="false" outlineLevel="0" collapsed="false">
      <c r="A6865" s="1" t="s">
        <v>958</v>
      </c>
      <c r="B6865" s="0" t="s">
        <v>98</v>
      </c>
      <c r="E6865" s="6" t="n">
        <f aca="false">cash_open</f>
        <v>76.843</v>
      </c>
      <c r="F6865" s="6" t="n">
        <f aca="false">Sens!E6865+Sens!F6861-Sens!F6862-Sens!F6863+Sens!F6864</f>
        <v>50</v>
      </c>
      <c r="G6865" s="6" t="n">
        <f aca="false">Sens!F6865+Sens!G6861-Sens!G6862-Sens!G6863+Sens!G6864</f>
        <v>50</v>
      </c>
      <c r="H6865" s="6" t="n">
        <f aca="false">Sens!G6865+Sens!H6861-Sens!H6862-Sens!H6863+Sens!H6864</f>
        <v>50</v>
      </c>
      <c r="I6865" s="6" t="n">
        <f aca="false">Sens!H6865+Sens!I6861-Sens!I6862-Sens!I6863+Sens!I6864</f>
        <v>87.972178915674</v>
      </c>
      <c r="J6865" s="6" t="n">
        <f aca="false">Sens!I6865+Sens!J6861-Sens!J6862-Sens!J6863+Sens!J6864</f>
        <v>188.063469582838</v>
      </c>
      <c r="K6865" s="6" t="n">
        <f aca="false">Sens!J6865+Sens!K6861-Sens!K6862-Sens!K6863+Sens!K6864</f>
        <v>316.255311200117</v>
      </c>
    </row>
    <row r="6866" customFormat="false" ht="15" hidden="false" customHeight="false" outlineLevel="0" collapsed="false">
      <c r="A6866" s="1" t="s">
        <v>959</v>
      </c>
      <c r="B6866" s="0" t="s">
        <v>98</v>
      </c>
      <c r="E6866" s="6" t="n">
        <f aca="false">debt_face</f>
        <v>46.136</v>
      </c>
      <c r="F6866" s="6" t="n">
        <f aca="false">Sens!E6866-Sens!F6862+Sens!F6864</f>
        <v>52.5935315017716</v>
      </c>
      <c r="G6866" s="6" t="n">
        <f aca="false">Sens!F6866-Sens!G6862+Sens!G6864</f>
        <v>67.2955471764311</v>
      </c>
      <c r="H6866" s="6" t="n">
        <f aca="false">Sens!G6866-Sens!H6862+Sens!H6864</f>
        <v>65.2945471764311</v>
      </c>
      <c r="I6866" s="6" t="n">
        <f aca="false">Sens!H6866-Sens!I6862+Sens!I6864</f>
        <v>65.2945471764311</v>
      </c>
      <c r="J6866" s="6" t="n">
        <f aca="false">Sens!I6866-Sens!J6862+Sens!J6864</f>
        <v>64.7945471764311</v>
      </c>
      <c r="K6866" s="6" t="n">
        <f aca="false">Sens!J6866-Sens!K6862+Sens!K6864</f>
        <v>64.7945471764311</v>
      </c>
    </row>
    <row r="6867" customFormat="false" ht="15" hidden="false" customHeight="false" outlineLevel="0" collapsed="false">
      <c r="A6867" s="1" t="s">
        <v>960</v>
      </c>
      <c r="B6867" s="0" t="s">
        <v>98</v>
      </c>
      <c r="E6867" s="6" t="n">
        <f aca="false">Sens!E6865-Sens!E6866</f>
        <v>30.707</v>
      </c>
      <c r="F6867" s="6" t="n">
        <f aca="false">Sens!F6865-Sens!F6866</f>
        <v>-2.59353150177159</v>
      </c>
      <c r="G6867" s="6" t="n">
        <f aca="false">Sens!G6865-Sens!G6866</f>
        <v>-17.2955471764311</v>
      </c>
      <c r="H6867" s="6" t="n">
        <f aca="false">Sens!H6865-Sens!H6866</f>
        <v>-15.2945471764311</v>
      </c>
      <c r="I6867" s="6" t="n">
        <f aca="false">Sens!I6865-Sens!I6866</f>
        <v>22.6776317392429</v>
      </c>
      <c r="J6867" s="6" t="n">
        <f aca="false">Sens!J6865-Sens!J6866</f>
        <v>123.268922406407</v>
      </c>
      <c r="K6867" s="6" t="n">
        <f aca="false">Sens!K6865-Sens!K6866</f>
        <v>251.460764023686</v>
      </c>
    </row>
    <row r="6868" customFormat="false" ht="15" hidden="false" customHeight="false" outlineLevel="0" collapsed="false">
      <c r="A6868" s="1" t="s">
        <v>961</v>
      </c>
      <c r="B6868" s="0" t="s">
        <v>75</v>
      </c>
      <c r="F6868" s="29" t="n">
        <f aca="false">px*(1+bb_g)^(Sens!F6732-base_fy-mid_yr)</f>
        <v>553.494156066711</v>
      </c>
      <c r="G6868" s="29" t="n">
        <f aca="false">px*(1+bb_g)^(Sens!G6732-base_fy-mid_yr)</f>
        <v>597.773688552047</v>
      </c>
      <c r="H6868" s="29" t="n">
        <f aca="false">px*(1+bb_g)^(Sens!H6732-base_fy-mid_yr)</f>
        <v>645.595583636211</v>
      </c>
      <c r="I6868" s="29" t="n">
        <f aca="false">px*(1+bb_g)^(Sens!I6732-base_fy-mid_yr)</f>
        <v>697.243230327108</v>
      </c>
      <c r="J6868" s="29" t="n">
        <f aca="false">px*(1+bb_g)^(Sens!J6732-base_fy-mid_yr)</f>
        <v>753.022688753277</v>
      </c>
      <c r="K6868" s="29" t="n">
        <f aca="false">px*(1+bb_g)^(Sens!K6732-base_fy-mid_yr)</f>
        <v>813.264503853539</v>
      </c>
    </row>
    <row r="6869" customFormat="false" ht="15" hidden="false" customHeight="false" outlineLevel="0" collapsed="false">
      <c r="A6869" s="1" t="s">
        <v>962</v>
      </c>
      <c r="B6869" s="1" t="s">
        <v>81</v>
      </c>
      <c r="E6869" s="14" t="n">
        <f aca="false">sh_out26</f>
        <v>7.427</v>
      </c>
      <c r="F6869" s="14" t="n">
        <f aca="false">Sens!E6869+sh_iss-Sens!F6863/Sens!F6868</f>
        <v>7.472</v>
      </c>
      <c r="G6869" s="14" t="n">
        <f aca="false">Sens!F6869+sh_iss-Sens!G6863/Sens!G6868</f>
        <v>7.517</v>
      </c>
      <c r="H6869" s="14" t="n">
        <f aca="false">Sens!G6869+sh_iss-Sens!H6863/Sens!H6868</f>
        <v>7.55467252654165</v>
      </c>
      <c r="I6869" s="14" t="n">
        <f aca="false">Sens!H6869+sh_iss-Sens!I6863/Sens!I6868</f>
        <v>7.56773101885638</v>
      </c>
      <c r="J6869" s="14" t="n">
        <f aca="false">Sens!I6869+sh_iss-Sens!J6863/Sens!J6868</f>
        <v>7.58315554877742</v>
      </c>
      <c r="K6869" s="14" t="n">
        <f aca="false">Sens!J6869+sh_iss-Sens!K6863/Sens!K6868</f>
        <v>7.60077085425986</v>
      </c>
    </row>
    <row r="6870" customFormat="false" ht="15" hidden="false" customHeight="false" outlineLevel="0" collapsed="false">
      <c r="A6870" s="1" t="s">
        <v>963</v>
      </c>
      <c r="B6870" s="1" t="s">
        <v>81</v>
      </c>
      <c r="E6870" s="14" t="n">
        <f aca="false">sh_dil26</f>
        <v>7.453</v>
      </c>
      <c r="F6870" s="14" t="n">
        <f aca="false">(Sens!E6869+Sens!F6869)/2+dil_gap</f>
        <v>7.4735</v>
      </c>
      <c r="G6870" s="14" t="n">
        <f aca="false">(Sens!F6869+Sens!G6869)/2+dil_gap</f>
        <v>7.5185</v>
      </c>
      <c r="H6870" s="14" t="n">
        <f aca="false">(Sens!G6869+Sens!H6869)/2+dil_gap</f>
        <v>7.55983626327083</v>
      </c>
      <c r="I6870" s="14" t="n">
        <f aca="false">(Sens!H6869+Sens!I6869)/2+dil_gap</f>
        <v>7.58520177269901</v>
      </c>
      <c r="J6870" s="14" t="n">
        <f aca="false">(Sens!I6869+Sens!J6869)/2+dil_gap</f>
        <v>7.5994432838169</v>
      </c>
      <c r="K6870" s="14" t="n">
        <f aca="false">(Sens!J6869+Sens!K6869)/2+dil_gap</f>
        <v>7.61596320151864</v>
      </c>
    </row>
    <row r="6871" customFormat="false" ht="17.15" hidden="false" customHeight="false" outlineLevel="0" collapsed="false">
      <c r="A6871" s="1" t="s">
        <v>964</v>
      </c>
      <c r="B6871" s="0" t="s">
        <v>98</v>
      </c>
      <c r="C6871" s="6" t="n">
        <f aca="false">SUM(Sens!F6861:J6861)</f>
        <v>141.834506910328</v>
      </c>
    </row>
    <row r="6872" customFormat="false" ht="15" hidden="false" customHeight="false" outlineLevel="0" collapsed="false">
      <c r="A6872" s="23" t="s">
        <v>935</v>
      </c>
      <c r="B6872" s="30" t="s">
        <v>98</v>
      </c>
      <c r="C6872" s="24" t="n">
        <f aca="false">Sens!$C$6871-(Sens!F6861+Sens!G6861+Sens!H6861+Sens!I6861+Sens!J6861)</f>
        <v>0</v>
      </c>
      <c r="D6872" s="30"/>
      <c r="E6872" s="30"/>
      <c r="F6872" s="30"/>
      <c r="G6872" s="30"/>
      <c r="H6872" s="30"/>
      <c r="I6872" s="30"/>
      <c r="J6872" s="30"/>
      <c r="K6872" s="30"/>
    </row>
    <row r="6873" customFormat="false" ht="17.15" hidden="false" customHeight="false" outlineLevel="0" collapsed="false">
      <c r="A6873" s="1" t="s">
        <v>929</v>
      </c>
      <c r="B6873" s="1" t="s">
        <v>965</v>
      </c>
      <c r="C6873" s="32" t="str">
        <f aca="false">IF(SUM(Sens!F6864:J6864)&gt;0.05,"需要舉債 "&amp;TEXT(SUM(Sens!F6864:J6864),"0.0")&amp;" 十億美元","不需舉債")&amp;"；"&amp;IF(SUM(Sens!F6863:J6863)&lt;COUNT(Sens!F6863:J6863)*bb_target-0.05,"回購較每年 "&amp;TEXT(bb_target,"0.0")&amp;" 的目標少 "&amp;TEXT(COUNT(Sens!F6863:J6863)*bb_target-SUM(Sens!F6863:J6863),"0.0")&amp;" 十億美元（"&amp;TEXT(COUNTIF(Sens!F6863:J6863,"&lt;"&amp;(bb_target-0.05)),"0")&amp;" 年減少）","回購不減")</f>
        <v>需要舉債 30.4 十億美元；回購較每年 22.3 的目標少 62.1 十億美元（3 年減少）</v>
      </c>
    </row>
    <row r="6874" customFormat="false" ht="17.15" hidden="false" customHeight="false" outlineLevel="0" collapsed="false">
      <c r="A6874" s="3" t="s">
        <v>1413</v>
      </c>
    </row>
    <row r="6875" customFormat="false" ht="15" hidden="false" customHeight="false" outlineLevel="0" collapsed="false">
      <c r="A6875" s="4" t="s">
        <v>43</v>
      </c>
      <c r="B6875" s="4" t="s">
        <v>65</v>
      </c>
      <c r="C6875" s="20" t="s">
        <v>788</v>
      </c>
      <c r="D6875" s="20" t="s">
        <v>789</v>
      </c>
      <c r="E6875" s="20" t="s">
        <v>790</v>
      </c>
      <c r="F6875" s="20" t="s">
        <v>791</v>
      </c>
      <c r="G6875" s="20" t="s">
        <v>792</v>
      </c>
      <c r="H6875" s="20" t="s">
        <v>793</v>
      </c>
      <c r="I6875" s="20" t="s">
        <v>794</v>
      </c>
      <c r="J6875" s="20" t="s">
        <v>795</v>
      </c>
      <c r="K6875" s="20" t="s">
        <v>796</v>
      </c>
      <c r="L6875" s="4" t="s">
        <v>47</v>
      </c>
    </row>
    <row r="6876" customFormat="false" ht="15" hidden="false" customHeight="false" outlineLevel="0" collapsed="false">
      <c r="A6876" s="1" t="s">
        <v>1042</v>
      </c>
      <c r="B6876" s="1" t="s">
        <v>235</v>
      </c>
      <c r="F6876" s="36" t="n">
        <f aca="false">Sens!F6732-base_fy-mid_yr</f>
        <v>0.5</v>
      </c>
      <c r="G6876" s="36" t="n">
        <f aca="false">Sens!G6732-base_fy-mid_yr</f>
        <v>1.5</v>
      </c>
      <c r="H6876" s="36" t="n">
        <f aca="false">Sens!H6732-base_fy-mid_yr</f>
        <v>2.5</v>
      </c>
      <c r="I6876" s="36" t="n">
        <f aca="false">Sens!I6732-base_fy-mid_yr</f>
        <v>3.5</v>
      </c>
      <c r="J6876" s="36" t="n">
        <f aca="false">Sens!J6732-base_fy-mid_yr</f>
        <v>4.5</v>
      </c>
      <c r="K6876" s="36" t="n">
        <f aca="false">Sens!K6732-base_fy-mid_yr</f>
        <v>5.5</v>
      </c>
    </row>
    <row r="6877" customFormat="false" ht="15" hidden="false" customHeight="false" outlineLevel="0" collapsed="false">
      <c r="A6877" s="1" t="s">
        <v>1043</v>
      </c>
      <c r="B6877" s="0" t="s">
        <v>185</v>
      </c>
      <c r="F6877" s="14" t="n">
        <f aca="false">1/(1+wacc)^Sens!F6876</f>
        <v>0.952193373608246</v>
      </c>
      <c r="G6877" s="14" t="n">
        <f aca="false">1/(1+wacc)^Sens!G6876</f>
        <v>0.863327280626589</v>
      </c>
      <c r="H6877" s="14" t="n">
        <f aca="false">1/(1+wacc)^Sens!H6876</f>
        <v>0.782754862754115</v>
      </c>
      <c r="I6877" s="14" t="n">
        <f aca="false">1/(1+wacc)^Sens!I6876</f>
        <v>0.709702089711011</v>
      </c>
      <c r="J6877" s="14" t="n">
        <f aca="false">1/(1+wacc)^Sens!J6876</f>
        <v>0.643467169744551</v>
      </c>
      <c r="K6877" s="14" t="n">
        <f aca="false">1/(1+wacc)^Sens!K6876</f>
        <v>0.583413807767797</v>
      </c>
    </row>
    <row r="6878" customFormat="false" ht="17.15" hidden="false" customHeight="false" outlineLevel="0" collapsed="false">
      <c r="A6878" s="1" t="s">
        <v>1044</v>
      </c>
      <c r="B6878" s="0" t="s">
        <v>98</v>
      </c>
      <c r="F6878" s="6" t="n">
        <f aca="false">Sens!F6852-Sens!F6850-Sens!F6855+Sens!F6836*(1-tax_f)</f>
        <v>2.79405367218399</v>
      </c>
      <c r="G6878" s="6" t="n">
        <f aca="false">Sens!G6852-Sens!G6850-Sens!G6855+Sens!G6836*(1-tax_f)</f>
        <v>35.8202758232605</v>
      </c>
      <c r="H6878" s="6" t="n">
        <f aca="false">Sens!H6852-Sens!H6850-Sens!H6855+Sens!H6836*(1-tax_f)</f>
        <v>72.3413705985464</v>
      </c>
      <c r="I6878" s="6" t="n">
        <f aca="false">Sens!I6852-Sens!I6850-Sens!I6855+Sens!I6836*(1-tax_f)</f>
        <v>139.954559627748</v>
      </c>
      <c r="J6878" s="6" t="n">
        <f aca="false">Sens!J6852-Sens!J6850-Sens!J6855+Sens!J6836*(1-tax_f)</f>
        <v>213.172485140705</v>
      </c>
      <c r="K6878" s="6" t="n">
        <f aca="false">Sens!K6852-Sens!K6850-Sens!K6855+Sens!K6836*(1-tax_f)</f>
        <v>248.242920952942</v>
      </c>
      <c r="L6878" s="1" t="s">
        <v>1045</v>
      </c>
    </row>
    <row r="6879" customFormat="false" ht="15" hidden="false" customHeight="false" outlineLevel="0" collapsed="false">
      <c r="A6879" s="1" t="s">
        <v>1046</v>
      </c>
      <c r="B6879" s="0" t="s">
        <v>98</v>
      </c>
      <c r="F6879" s="6" t="n">
        <f aca="false">Sens!F6878*Sens!F6877</f>
        <v>2.66047939215938</v>
      </c>
      <c r="G6879" s="6" t="n">
        <f aca="false">Sens!G6878*Sens!G6877</f>
        <v>30.9246213177898</v>
      </c>
      <c r="H6879" s="6" t="n">
        <f aca="false">Sens!H6878*Sens!H6877</f>
        <v>56.6255596143098</v>
      </c>
      <c r="I6879" s="6" t="n">
        <f aca="false">Sens!I6878*Sens!I6877</f>
        <v>99.3260434323969</v>
      </c>
      <c r="J6879" s="6" t="n">
        <f aca="false">Sens!J6878*Sens!J6877</f>
        <v>137.169495680902</v>
      </c>
      <c r="K6879" s="6" t="n">
        <f aca="false">Sens!K6878*Sens!K6877</f>
        <v>144.828347764556</v>
      </c>
    </row>
    <row r="6880" customFormat="false" ht="17.15" hidden="false" customHeight="false" outlineLevel="0" collapsed="false">
      <c r="A6880" s="1" t="s">
        <v>1047</v>
      </c>
      <c r="B6880" s="0" t="s">
        <v>98</v>
      </c>
      <c r="C6880" s="6" t="n">
        <f aca="false">SUM(Sens!F6879:K6879)</f>
        <v>471.534547202114</v>
      </c>
    </row>
    <row r="6881" customFormat="false" ht="17.15" hidden="false" customHeight="false" outlineLevel="0" collapsed="false">
      <c r="A6881" s="1" t="s">
        <v>1048</v>
      </c>
      <c r="B6881" s="0" t="s">
        <v>98</v>
      </c>
      <c r="C6881" s="6" t="n">
        <f aca="false">Sens!K6822*(1+g_tv)*(1-tax_f)</f>
        <v>255.839182138141</v>
      </c>
    </row>
    <row r="6882" customFormat="false" ht="17.15" hidden="false" customHeight="false" outlineLevel="0" collapsed="false">
      <c r="A6882" s="1" t="s">
        <v>1049</v>
      </c>
      <c r="B6882" s="0" t="s">
        <v>98</v>
      </c>
      <c r="C6882" s="6" t="n">
        <f aca="false">Sens!$C$6881*(1-g_tv/(wacc+ronic_prem))</f>
        <v>181.275440901546</v>
      </c>
    </row>
    <row r="6883" customFormat="false" ht="17.15" hidden="false" customHeight="false" outlineLevel="0" collapsed="false">
      <c r="A6883" s="1" t="s">
        <v>1050</v>
      </c>
      <c r="B6883" s="0" t="s">
        <v>98</v>
      </c>
      <c r="C6883" s="6" t="n">
        <f aca="false">Sens!$C$6882/(wacc-g_tv)</f>
        <v>2485.45804121986</v>
      </c>
    </row>
    <row r="6884" customFormat="false" ht="15" hidden="false" customHeight="false" outlineLevel="0" collapsed="false">
      <c r="A6884" s="1" t="s">
        <v>1051</v>
      </c>
      <c r="B6884" s="0" t="s">
        <v>98</v>
      </c>
      <c r="C6884" s="6" t="n">
        <f aca="false">Sens!$C$6883/(1+wacc)^(Sens!K6876+mid_yr)</f>
        <v>1380.7285154662</v>
      </c>
    </row>
    <row r="6885" customFormat="false" ht="17.15" hidden="false" customHeight="false" outlineLevel="0" collapsed="false">
      <c r="A6885" s="0" t="s">
        <v>972</v>
      </c>
      <c r="B6885" s="0" t="s">
        <v>98</v>
      </c>
      <c r="C6885" s="6" t="n">
        <f aca="false">Sens!$C$6880+Sens!$C$6884</f>
        <v>1852.26306266831</v>
      </c>
    </row>
    <row r="6886" customFormat="false" ht="15" hidden="false" customHeight="false" outlineLevel="0" collapsed="false">
      <c r="A6886" s="1" t="s">
        <v>973</v>
      </c>
      <c r="B6886" s="0" t="s">
        <v>129</v>
      </c>
      <c r="C6886" s="7" t="n">
        <f aca="false">Sens!$C$6884/Sens!$C$6885</f>
        <v>0.745427873229391</v>
      </c>
    </row>
    <row r="6887" customFormat="false" ht="17.15" hidden="false" customHeight="false" outlineLevel="0" collapsed="false">
      <c r="A6887" s="1" t="s">
        <v>1052</v>
      </c>
      <c r="B6887" s="0" t="s">
        <v>98</v>
      </c>
      <c r="C6887" s="6" t="n">
        <f aca="false">Sens!$C$6885+Sens!E6867-Sens!E6856+oai_v</f>
        <v>1986.77606266831</v>
      </c>
    </row>
    <row r="6888" customFormat="false" ht="17.15" hidden="false" customHeight="false" outlineLevel="0" collapsed="false">
      <c r="A6888" s="0" t="s">
        <v>980</v>
      </c>
      <c r="B6888" s="0" t="s">
        <v>75</v>
      </c>
      <c r="C6888" s="5" t="n">
        <f aca="false">Sens!$C$6887/sh_dil26</f>
        <v>266.574005456636</v>
      </c>
    </row>
    <row r="6889" customFormat="false" ht="15" hidden="false" customHeight="false" outlineLevel="0" collapsed="false">
      <c r="A6889" s="1" t="s">
        <v>1053</v>
      </c>
      <c r="B6889" s="0" t="s">
        <v>75</v>
      </c>
      <c r="C6889" s="8" t="n">
        <f aca="false">dps_27+Sens!G6859*roll_div_q/q_per_yr</f>
        <v>4.8895</v>
      </c>
    </row>
    <row r="6890" customFormat="false" ht="17.15" hidden="false" customHeight="false" outlineLevel="0" collapsed="false">
      <c r="A6890" s="0" t="s">
        <v>1054</v>
      </c>
      <c r="B6890" s="0" t="s">
        <v>75</v>
      </c>
      <c r="C6890" s="5" t="n">
        <f aca="false">Sens!$C$6888*(1+wacc)^t_roll-Sens!$C$6889</f>
        <v>298.667220793089</v>
      </c>
    </row>
    <row r="6891" customFormat="false" ht="17.15" hidden="false" customHeight="false" outlineLevel="0" collapsed="false">
      <c r="A6891" s="1" t="s">
        <v>1055</v>
      </c>
      <c r="B6891" s="0" t="s">
        <v>129</v>
      </c>
      <c r="F6891" s="7" t="n">
        <f aca="false">Sens!F6848/(Sens!F6793-Sens!F6749)</f>
        <v>0.0691940422808032</v>
      </c>
      <c r="G6891" s="7" t="n">
        <f aca="false">Sens!G6848/(Sens!G6793-Sens!G6749)</f>
        <v>0.0667603673531709</v>
      </c>
      <c r="H6891" s="7" t="n">
        <f aca="false">Sens!H6848/(Sens!H6793-Sens!H6749)</f>
        <v>0.06550903196917</v>
      </c>
      <c r="I6891" s="7" t="n">
        <f aca="false">Sens!I6848/(Sens!I6793-Sens!I6749)</f>
        <v>0.065286241374212</v>
      </c>
      <c r="J6891" s="7" t="n">
        <f aca="false">Sens!J6848/(Sens!J6793-Sens!J6749)</f>
        <v>0.0658944365690026</v>
      </c>
      <c r="K6891" s="7" t="n">
        <f aca="false">Sens!K6848/(Sens!K6793-Sens!K6749)</f>
        <v>0.0671272855996359</v>
      </c>
    </row>
    <row r="6892" customFormat="false" ht="17.15" hidden="false" customHeight="false" outlineLevel="0" collapsed="false">
      <c r="A6892" s="0" t="s">
        <v>1056</v>
      </c>
      <c r="B6892" s="0" t="s">
        <v>98</v>
      </c>
      <c r="F6892" s="6" t="n">
        <f aca="false">Sens!F6778*(al_m365+Sens!F6891+sbc_r)</f>
        <v>80.8693822622899</v>
      </c>
      <c r="G6892" s="6" t="n">
        <f aca="false">Sens!G6778*(al_m365+Sens!G6891+sbc_r)</f>
        <v>90.6683818747292</v>
      </c>
      <c r="H6892" s="6" t="n">
        <f aca="false">Sens!H6778*(al_m365+Sens!H6891+sbc_r)</f>
        <v>100.624107984105</v>
      </c>
      <c r="I6892" s="6" t="n">
        <f aca="false">Sens!I6778*(al_m365+Sens!I6891+sbc_r)</f>
        <v>110.202382618655</v>
      </c>
      <c r="J6892" s="6" t="n">
        <f aca="false">Sens!J6778*(al_m365+Sens!J6891+sbc_r)</f>
        <v>119.214388925239</v>
      </c>
      <c r="K6892" s="6" t="n">
        <f aca="false">Sens!K6778*(al_m365+Sens!K6891+sbc_r)</f>
        <v>127.824856457688</v>
      </c>
      <c r="L6892" s="11" t="s">
        <v>1057</v>
      </c>
    </row>
    <row r="6893" customFormat="false" ht="17.15" hidden="false" customHeight="false" outlineLevel="0" collapsed="false">
      <c r="A6893" s="0" t="s">
        <v>1058</v>
      </c>
      <c r="B6893" s="0" t="s">
        <v>98</v>
      </c>
      <c r="F6893" s="6" t="n">
        <f aca="false">Sens!F6779*(al_lic+Sens!F6891+sbc_r)</f>
        <v>33.4682334923128</v>
      </c>
      <c r="G6893" s="6" t="n">
        <f aca="false">Sens!G6779*(al_lic+Sens!G6891+sbc_r)</f>
        <v>34.7863067666987</v>
      </c>
      <c r="H6893" s="6" t="n">
        <f aca="false">Sens!H6779*(al_lic+Sens!H6891+sbc_r)</f>
        <v>36.0121534394733</v>
      </c>
      <c r="I6893" s="6" t="n">
        <f aca="false">Sens!I6779*(al_lic+Sens!I6891+sbc_r)</f>
        <v>37.1250291993245</v>
      </c>
      <c r="J6893" s="6" t="n">
        <f aca="false">Sens!J6779*(al_lic+Sens!J6891+sbc_r)</f>
        <v>38.102071094985</v>
      </c>
      <c r="K6893" s="6" t="n">
        <f aca="false">Sens!K6779*(al_lic+Sens!K6891+sbc_r)</f>
        <v>38.9202649529261</v>
      </c>
    </row>
    <row r="6894" customFormat="false" ht="17.15" hidden="false" customHeight="false" outlineLevel="0" collapsed="false">
      <c r="A6894" s="0" t="s">
        <v>1059</v>
      </c>
      <c r="B6894" s="0" t="s">
        <v>98</v>
      </c>
      <c r="F6894" s="6" t="n">
        <f aca="false">Sens!F6781*(al_ind+Sens!F6891+sbc_r)</f>
        <v>9.08992326118158</v>
      </c>
      <c r="G6894" s="6" t="n">
        <f aca="false">Sens!G6781*(al_ind+Sens!G6891+sbc_r)</f>
        <v>9.87693549789785</v>
      </c>
      <c r="H6894" s="6" t="n">
        <f aca="false">Sens!H6781*(al_ind+Sens!H6891+sbc_r)</f>
        <v>10.7063633794267</v>
      </c>
      <c r="I6894" s="6" t="n">
        <f aca="false">Sens!I6781*(al_ind+Sens!I6891+sbc_r)</f>
        <v>11.573192116995</v>
      </c>
      <c r="J6894" s="6" t="n">
        <f aca="false">Sens!J6781*(al_ind+Sens!J6891+sbc_r)</f>
        <v>12.4690249148913</v>
      </c>
      <c r="K6894" s="6" t="n">
        <f aca="false">Sens!K6781*(al_ind+Sens!K6891+sbc_r)</f>
        <v>13.3826437460298</v>
      </c>
    </row>
    <row r="6895" customFormat="false" ht="17.15" hidden="false" customHeight="false" outlineLevel="0" collapsed="false">
      <c r="A6895" s="0" t="s">
        <v>1060</v>
      </c>
      <c r="B6895" s="0" t="s">
        <v>98</v>
      </c>
      <c r="F6895" s="6" t="n">
        <f aca="false">Sens!F6783*(al_fro+Sens!F6891+sbc_r)</f>
        <v>3.57782570851213</v>
      </c>
      <c r="G6895" s="6" t="n">
        <f aca="false">Sens!G6783*(al_fro+Sens!G6891+sbc_r)</f>
        <v>3.79215929023791</v>
      </c>
      <c r="H6895" s="6" t="n">
        <f aca="false">Sens!H6783*(al_fro+Sens!H6891+sbc_r)</f>
        <v>4.03452417399684</v>
      </c>
      <c r="I6895" s="6" t="n">
        <f aca="false">Sens!I6783*(al_fro+Sens!I6891+sbc_r)</f>
        <v>4.30707108275439</v>
      </c>
      <c r="J6895" s="6" t="n">
        <f aca="false">Sens!J6783*(al_fro+Sens!J6891+sbc_r)</f>
        <v>4.61152459726515</v>
      </c>
      <c r="K6895" s="6" t="n">
        <f aca="false">Sens!K6783*(al_fro+Sens!K6891+sbc_r)</f>
        <v>4.94941595132669</v>
      </c>
    </row>
    <row r="6896" customFormat="false" ht="17.15" hidden="false" customHeight="false" outlineLevel="0" collapsed="false">
      <c r="A6896" s="0" t="s">
        <v>1061</v>
      </c>
      <c r="B6896" s="0" t="s">
        <v>98</v>
      </c>
      <c r="F6896" s="6" t="n">
        <f aca="false">Sens!F6786*(al_srch+Sens!F6891+sbc_r)</f>
        <v>11.2261865592428</v>
      </c>
      <c r="G6896" s="6" t="n">
        <f aca="false">Sens!G6786*(al_srch+Sens!G6891+sbc_r)</f>
        <v>12.3132524053752</v>
      </c>
      <c r="H6896" s="6" t="n">
        <f aca="false">Sens!H6786*(al_srch+Sens!H6891+sbc_r)</f>
        <v>13.4422277138734</v>
      </c>
      <c r="I6896" s="6" t="n">
        <f aca="false">Sens!I6786*(al_srch+Sens!I6891+sbc_r)</f>
        <v>14.5998462128915</v>
      </c>
      <c r="J6896" s="6" t="n">
        <f aca="false">Sens!J6786*(al_srch+Sens!J6891+sbc_r)</f>
        <v>15.7676624939116</v>
      </c>
      <c r="K6896" s="6" t="n">
        <f aca="false">Sens!K6786*(al_srch+Sens!K6891+sbc_r)</f>
        <v>16.9229760389402</v>
      </c>
    </row>
    <row r="6897" customFormat="false" ht="17.15" hidden="false" customHeight="false" outlineLevel="0" collapsed="false">
      <c r="A6897" s="0" t="s">
        <v>1062</v>
      </c>
      <c r="B6897" s="0" t="s">
        <v>98</v>
      </c>
      <c r="F6897" s="6" t="n">
        <f aca="false">Sens!F6755-Sens!F6756+Sens!F6836</f>
        <v>50.995284115989</v>
      </c>
      <c r="G6897" s="6" t="n">
        <f aca="false">Sens!G6755-Sens!G6756+Sens!G6836</f>
        <v>81.3293423063067</v>
      </c>
      <c r="H6897" s="6" t="n">
        <f aca="false">Sens!H6755-Sens!H6756+Sens!H6836</f>
        <v>108.62477895638</v>
      </c>
      <c r="I6897" s="6" t="n">
        <f aca="false">Sens!I6755-Sens!I6756+Sens!I6836</f>
        <v>139.510650311521</v>
      </c>
      <c r="J6897" s="6" t="n">
        <f aca="false">Sens!J6755-Sens!J6756+Sens!J6836</f>
        <v>161.283197368283</v>
      </c>
      <c r="K6897" s="6" t="n">
        <f aca="false">Sens!K6755-Sens!K6756+Sens!K6836</f>
        <v>175.103964453204</v>
      </c>
    </row>
    <row r="6898" customFormat="false" ht="17.15" hidden="false" customHeight="false" outlineLevel="0" collapsed="false">
      <c r="A6898" s="0" t="s">
        <v>1063</v>
      </c>
      <c r="B6898" s="0" t="s">
        <v>98</v>
      </c>
      <c r="F6898" s="6" t="n">
        <f aca="false">Sens!F6815+Sens!F6836+Sens!F6766+Sens!F6891*(Sens!F6785-Sens!F6749)+sbc_r*Sens!F6785</f>
        <v>239.049424520197</v>
      </c>
      <c r="G6898" s="6" t="n">
        <f aca="false">Sens!G6815+Sens!G6836+Sens!G6766+Sens!G6891*(Sens!G6785-Sens!G6749)+sbc_r*Sens!G6785</f>
        <v>293.65027579353</v>
      </c>
      <c r="H6898" s="6" t="n">
        <f aca="false">Sens!H6815+Sens!H6836+Sens!H6766+Sens!H6891*(Sens!H6785-Sens!H6749)+sbc_r*Sens!H6785</f>
        <v>345.486139285307</v>
      </c>
      <c r="I6898" s="6" t="n">
        <f aca="false">Sens!I6815+Sens!I6836+Sens!I6766+Sens!I6891*(Sens!I6785-Sens!I6749)+sbc_r*Sens!I6785</f>
        <v>400.428031824161</v>
      </c>
      <c r="J6898" s="6" t="n">
        <f aca="false">Sens!J6815+Sens!J6836+Sens!J6766+Sens!J6891*(Sens!J6785-Sens!J6749)+sbc_r*Sens!J6785</f>
        <v>444.489745437844</v>
      </c>
      <c r="K6898" s="6" t="n">
        <f aca="false">Sens!K6815+Sens!K6836+Sens!K6766+Sens!K6891*(Sens!K6785-Sens!K6749)+sbc_r*Sens!K6785</f>
        <v>478.297520209939</v>
      </c>
    </row>
    <row r="6899" customFormat="false" ht="17.15" hidden="false" customHeight="false" outlineLevel="0" collapsed="false">
      <c r="A6899" s="0" t="s">
        <v>1064</v>
      </c>
      <c r="B6899" s="0" t="s">
        <v>98</v>
      </c>
      <c r="F6899" s="6" t="n">
        <f aca="false">Sens!F6898-Sens!F6892-Sens!F6893-Sens!F6894-Sens!F6895-Sens!F6897</f>
        <v>61.0487756799113</v>
      </c>
      <c r="G6899" s="6" t="n">
        <f aca="false">Sens!G6898-Sens!G6892-Sens!G6893-Sens!G6894-Sens!G6895-Sens!G6897</f>
        <v>73.1971500576602</v>
      </c>
      <c r="H6899" s="6" t="n">
        <f aca="false">Sens!H6898-Sens!H6892-Sens!H6893-Sens!H6894-Sens!H6895-Sens!H6897</f>
        <v>85.4842113519247</v>
      </c>
      <c r="I6899" s="6" t="n">
        <f aca="false">Sens!I6898-Sens!I6892-Sens!I6893-Sens!I6894-Sens!I6895-Sens!I6897</f>
        <v>97.7097064949107</v>
      </c>
      <c r="J6899" s="6" t="n">
        <f aca="false">Sens!J6898-Sens!J6892-Sens!J6893-Sens!J6894-Sens!J6895-Sens!J6897</f>
        <v>108.809538537179</v>
      </c>
      <c r="K6899" s="6" t="n">
        <f aca="false">Sens!K6898-Sens!K6892-Sens!K6893-Sens!K6894-Sens!K6895-Sens!K6897</f>
        <v>118.116374648765</v>
      </c>
    </row>
    <row r="6900" customFormat="false" ht="17.15" hidden="false" customHeight="false" outlineLevel="0" collapsed="false">
      <c r="A6900" s="0" t="s">
        <v>1065</v>
      </c>
      <c r="B6900" s="0" t="s">
        <v>98</v>
      </c>
      <c r="F6900" s="6" t="n">
        <f aca="false">Sens!F6817+Sens!F6891*Sens!F6792+sbc_r*Sens!F6792</f>
        <v>26.2380214793804</v>
      </c>
      <c r="G6900" s="6" t="n">
        <f aca="false">Sens!G6817+Sens!G6891*Sens!G6792+sbc_r*Sens!G6792</f>
        <v>26.8736979953091</v>
      </c>
      <c r="H6900" s="6" t="n">
        <f aca="false">Sens!H6817+Sens!H6891*Sens!H6792+sbc_r*Sens!H6792</f>
        <v>27.7680718372069</v>
      </c>
      <c r="I6900" s="6" t="n">
        <f aca="false">Sens!I6817+Sens!I6891*Sens!I6792+sbc_r*Sens!I6792</f>
        <v>28.8879789880066</v>
      </c>
      <c r="J6900" s="6" t="n">
        <f aca="false">Sens!J6817+Sens!J6891*Sens!J6792+sbc_r*Sens!J6792</f>
        <v>30.2028244520287</v>
      </c>
      <c r="K6900" s="6" t="n">
        <f aca="false">Sens!K6817+Sens!K6891*Sens!K6792+sbc_r*Sens!K6792</f>
        <v>31.6853339484127</v>
      </c>
    </row>
    <row r="6901" customFormat="false" ht="17.15" hidden="false" customHeight="false" outlineLevel="0" collapsed="false">
      <c r="A6901" s="0" t="s">
        <v>1066</v>
      </c>
      <c r="B6901" s="0" t="s">
        <v>98</v>
      </c>
      <c r="F6901" s="6" t="n">
        <f aca="false">(Sens!F6900-Sens!F6896)*Sens!F6788/(Sens!F6788+Sens!F6790)</f>
        <v>8.22934169006593</v>
      </c>
      <c r="G6901" s="6" t="n">
        <f aca="false">(Sens!G6900-Sens!G6896)*Sens!G6788/(Sens!G6788+Sens!G6790)</f>
        <v>7.83957777921994</v>
      </c>
      <c r="H6901" s="6" t="n">
        <f aca="false">(Sens!H6900-Sens!H6896)*Sens!H6788/(Sens!H6788+Sens!H6790)</f>
        <v>7.60907126720442</v>
      </c>
      <c r="I6901" s="6" t="n">
        <f aca="false">(Sens!I6900-Sens!I6896)*Sens!I6788/(Sens!I6788+Sens!I6790)</f>
        <v>7.52037540909009</v>
      </c>
      <c r="J6901" s="6" t="n">
        <f aca="false">(Sens!J6900-Sens!J6896)*Sens!J6788/(Sens!J6788+Sens!J6790)</f>
        <v>7.56340553264756</v>
      </c>
      <c r="K6901" s="6" t="n">
        <f aca="false">(Sens!K6900-Sens!K6896)*Sens!K6788/(Sens!K6788+Sens!K6790)</f>
        <v>7.73484217297912</v>
      </c>
    </row>
    <row r="6902" customFormat="false" ht="17.15" hidden="false" customHeight="false" outlineLevel="0" collapsed="false">
      <c r="A6902" s="0" t="s">
        <v>1067</v>
      </c>
      <c r="B6902" s="0" t="s">
        <v>98</v>
      </c>
      <c r="F6902" s="6" t="n">
        <f aca="false">Sens!F6900-Sens!F6896-Sens!F6901</f>
        <v>6.78249323007165</v>
      </c>
      <c r="G6902" s="6" t="n">
        <f aca="false">Sens!G6900-Sens!G6896-Sens!G6901</f>
        <v>6.72086781071396</v>
      </c>
      <c r="H6902" s="6" t="n">
        <f aca="false">Sens!H6900-Sens!H6896-Sens!H6901</f>
        <v>6.71677285612911</v>
      </c>
      <c r="I6902" s="6" t="n">
        <f aca="false">Sens!I6900-Sens!I6896-Sens!I6901</f>
        <v>6.76775736602499</v>
      </c>
      <c r="J6902" s="6" t="n">
        <f aca="false">Sens!J6900-Sens!J6896-Sens!J6901</f>
        <v>6.87175642546957</v>
      </c>
      <c r="K6902" s="6" t="n">
        <f aca="false">Sens!K6900-Sens!K6896-Sens!K6901</f>
        <v>7.02751573649345</v>
      </c>
    </row>
    <row r="6903" customFormat="false" ht="17.15" hidden="false" customHeight="false" outlineLevel="0" collapsed="false">
      <c r="A6903" s="0" t="s">
        <v>1068</v>
      </c>
      <c r="B6903" s="0" t="s">
        <v>98</v>
      </c>
      <c r="F6903" s="6" t="n">
        <f aca="false">Sens!F6897-tax_f*(Sens!F6897-Sens!F6766)-Sens!F6763</f>
        <v>-121.312918386472</v>
      </c>
      <c r="G6903" s="6" t="n">
        <f aca="false">Sens!G6897-tax_f*(Sens!G6897-Sens!G6766)-Sens!G6763</f>
        <v>-106.394559986087</v>
      </c>
      <c r="H6903" s="6" t="n">
        <f aca="false">Sens!H6897-tax_f*(Sens!H6897-Sens!H6766)-Sens!H6763</f>
        <v>-83.617199546668</v>
      </c>
      <c r="I6903" s="6" t="n">
        <f aca="false">Sens!I6897-tax_f*(Sens!I6897-Sens!I6766)-Sens!I6763</f>
        <v>-29.6859409085842</v>
      </c>
      <c r="J6903" s="6" t="n">
        <f aca="false">Sens!J6897-tax_f*(Sens!J6897-Sens!J6766)-Sens!J6763</f>
        <v>30.3656233610693</v>
      </c>
      <c r="K6903" s="6" t="n">
        <f aca="false">Sens!K6897-tax_f*(Sens!K6897-Sens!K6766)-Sens!K6763</f>
        <v>53.0680652815217</v>
      </c>
    </row>
    <row r="6904" customFormat="false" ht="17.15" hidden="false" customHeight="false" outlineLevel="0" collapsed="false">
      <c r="A6904" s="0" t="s">
        <v>1069</v>
      </c>
      <c r="B6904" s="0" t="s">
        <v>98</v>
      </c>
      <c r="F6904" s="6" t="n">
        <f aca="false">Sens!F6903*Sens!F6877</f>
        <v>-115.513357020677</v>
      </c>
      <c r="G6904" s="6" t="n">
        <f aca="false">Sens!G6903*Sens!G6877</f>
        <v>-91.8533261462507</v>
      </c>
      <c r="H6904" s="6" t="n">
        <f aca="false">Sens!H6903*Sens!H6877</f>
        <v>-65.4517695550356</v>
      </c>
      <c r="I6904" s="6" t="n">
        <f aca="false">Sens!I6903*Sens!I6877</f>
        <v>-21.0681742978598</v>
      </c>
      <c r="J6904" s="6" t="n">
        <f aca="false">Sens!J6903*Sens!J6877</f>
        <v>19.5392817216763</v>
      </c>
      <c r="K6904" s="6" t="n">
        <f aca="false">Sens!K6903*Sens!K6877</f>
        <v>30.9606420367626</v>
      </c>
    </row>
    <row r="6905" customFormat="false" ht="17.15" hidden="false" customHeight="false" outlineLevel="0" collapsed="false">
      <c r="A6905" s="0" t="s">
        <v>1070</v>
      </c>
      <c r="B6905" s="0" t="s">
        <v>98</v>
      </c>
      <c r="C6905" s="6" t="n">
        <f aca="false">(Sens!K6897-Sens!K6766)*(1-tax_f)*(1+g_tv)*(1-g_tv/(wacc+ronic_prem))/(wacc-g_tv)/(1+wacc)^(Sens!K6876+mid_yr)</f>
        <v>157.345644237844</v>
      </c>
    </row>
    <row r="6906" customFormat="false" ht="17.15" hidden="false" customHeight="false" outlineLevel="0" collapsed="false">
      <c r="A6906" s="1" t="s">
        <v>1071</v>
      </c>
      <c r="B6906" s="0" t="s">
        <v>98</v>
      </c>
      <c r="C6906" s="6" t="n">
        <f aca="false">(SUM(Sens!F6904:K6904)+Sens!$C$6905)*(1+wacc)^t_roll</f>
        <v>-97.9778267802606</v>
      </c>
      <c r="L6906" s="11" t="s">
        <v>1072</v>
      </c>
    </row>
    <row r="6907" customFormat="false" ht="17.15" hidden="false" customHeight="false" outlineLevel="0" collapsed="false">
      <c r="A6907" s="1" t="s">
        <v>1073</v>
      </c>
      <c r="B6907" s="0" t="s">
        <v>98</v>
      </c>
      <c r="C6907" s="6" t="n">
        <f aca="false">(w_ntm28*Sens!G6755+(1-w_ntm28)*Sens!H6755)*m_ai</f>
        <v>338.776008390068</v>
      </c>
    </row>
    <row r="6908" customFormat="false" ht="17.15" hidden="false" customHeight="false" outlineLevel="0" collapsed="false">
      <c r="A6908" s="1" t="s">
        <v>1074</v>
      </c>
      <c r="B6908" s="0" t="s">
        <v>98</v>
      </c>
      <c r="C6908" s="6" t="n">
        <f aca="false">(w_ntm28*Sens!G6899+(1-w_ntm28)*Sens!H6899)*m_cloud</f>
        <v>1066.48118386874</v>
      </c>
    </row>
    <row r="6909" customFormat="false" ht="17.15" hidden="false" customHeight="false" outlineLevel="0" collapsed="false">
      <c r="A6909" s="1" t="s">
        <v>1075</v>
      </c>
      <c r="B6909" s="0" t="s">
        <v>98</v>
      </c>
      <c r="C6909" s="6" t="n">
        <f aca="false">(w_ntm28*Sens!G6892+(1-w_ntm28)*Sens!H6892)*m_sw</f>
        <v>1013.97901014787</v>
      </c>
    </row>
    <row r="6910" customFormat="false" ht="17.15" hidden="false" customHeight="false" outlineLevel="0" collapsed="false">
      <c r="A6910" s="1" t="s">
        <v>1076</v>
      </c>
      <c r="B6910" s="0" t="s">
        <v>98</v>
      </c>
      <c r="C6910" s="6" t="n">
        <f aca="false">(w_ntm28*Sens!G6893+(1-w_ntm28)*Sens!H6893)*m_sw</f>
        <v>379.972165134548</v>
      </c>
    </row>
    <row r="6911" customFormat="false" ht="17.15" hidden="false" customHeight="false" outlineLevel="0" collapsed="false">
      <c r="A6911" s="1" t="s">
        <v>1077</v>
      </c>
      <c r="B6911" s="0" t="s">
        <v>98</v>
      </c>
      <c r="C6911" s="6" t="n">
        <f aca="false">(w_ntm28*Sens!G6894+(1-w_ntm28)*Sens!H6894)*m_sw</f>
        <v>109.566856506668</v>
      </c>
    </row>
    <row r="6912" customFormat="false" ht="17.15" hidden="false" customHeight="false" outlineLevel="0" collapsed="false">
      <c r="A6912" s="1" t="s">
        <v>1078</v>
      </c>
      <c r="B6912" s="0" t="s">
        <v>98</v>
      </c>
      <c r="C6912" s="6" t="n">
        <f aca="false">(w_ntm28*Sens!G6895+(1-w_ntm28)*Sens!H6895)*m_sw</f>
        <v>41.8015389862472</v>
      </c>
    </row>
    <row r="6913" customFormat="false" ht="17.15" hidden="false" customHeight="false" outlineLevel="0" collapsed="false">
      <c r="A6913" s="1" t="s">
        <v>1079</v>
      </c>
      <c r="B6913" s="0" t="s">
        <v>98</v>
      </c>
      <c r="C6913" s="6" t="n">
        <f aca="false">(w_ntm28*Sens!G6896+(1-w_ntm28)*Sens!H6896)*m_ads</f>
        <v>115.498731816062</v>
      </c>
    </row>
    <row r="6914" customFormat="false" ht="17.15" hidden="false" customHeight="false" outlineLevel="0" collapsed="false">
      <c r="A6914" s="1" t="s">
        <v>1080</v>
      </c>
      <c r="B6914" s="0" t="s">
        <v>98</v>
      </c>
      <c r="C6914" s="6" t="n">
        <f aca="false">(w_ntm28*Sens!G6901+(1-w_ntm28)*Sens!H6901)*m_game</f>
        <v>98.0726808443774</v>
      </c>
    </row>
    <row r="6915" customFormat="false" ht="17.15" hidden="false" customHeight="false" outlineLevel="0" collapsed="false">
      <c r="A6915" s="1" t="s">
        <v>1081</v>
      </c>
      <c r="B6915" s="0" t="s">
        <v>98</v>
      </c>
      <c r="C6915" s="6" t="n">
        <f aca="false">(w_ntm28*Sens!G6902+(1-w_ntm28)*Sens!H6902)*m_pc</f>
        <v>97.2318011356737</v>
      </c>
    </row>
    <row r="6916" customFormat="false" ht="17.15" hidden="false" customHeight="false" outlineLevel="0" collapsed="false">
      <c r="A6916" s="1" t="s">
        <v>1082</v>
      </c>
      <c r="B6916" s="0" t="s">
        <v>98</v>
      </c>
      <c r="C6916" s="6" t="n">
        <f aca="false">Sens!$C$6906+Sens!$C$6908+Sens!$C$6909+Sens!$C$6910+Sens!$C$6911+Sens!$C$6912+Sens!$C$6913+Sens!$C$6914+Sens!$C$6915</f>
        <v>2824.62614165992</v>
      </c>
    </row>
    <row r="6917" customFormat="false" ht="17.15" hidden="false" customHeight="false" outlineLevel="0" collapsed="false">
      <c r="A6917" s="1" t="s">
        <v>1000</v>
      </c>
      <c r="B6917" s="0" t="s">
        <v>98</v>
      </c>
      <c r="C6917" s="6" t="n">
        <f aca="false">Sens!F6867+oai_v-Sens!F6856</f>
        <v>105.336738498228</v>
      </c>
      <c r="L6917" s="1" t="s">
        <v>1083</v>
      </c>
    </row>
    <row r="6918" customFormat="false" ht="15" hidden="false" customHeight="false" outlineLevel="0" collapsed="false">
      <c r="A6918" s="1" t="s">
        <v>1001</v>
      </c>
      <c r="B6918" s="0" t="s">
        <v>75</v>
      </c>
      <c r="C6918" s="5" t="n">
        <f aca="false">(Sens!$C$6916+Sens!$C$6917)/Sens!F6869</f>
        <v>392.125653126091</v>
      </c>
    </row>
    <row r="6919" customFormat="false" ht="17.15" hidden="false" customHeight="false" outlineLevel="0" collapsed="false">
      <c r="A6919" s="1" t="s">
        <v>1084</v>
      </c>
      <c r="B6919" s="0" t="s">
        <v>75</v>
      </c>
      <c r="C6919" s="5" t="n">
        <f aca="false">w_dcf*Sens!$C$6890+(1-w_dcf)*Sens!$C$6918</f>
        <v>345.39643695959</v>
      </c>
    </row>
    <row r="6920" customFormat="false" ht="17.15" hidden="false" customHeight="false" outlineLevel="0" collapsed="false">
      <c r="A6920" s="3" t="s">
        <v>1414</v>
      </c>
    </row>
    <row r="6921" customFormat="false" ht="15" hidden="false" customHeight="false" outlineLevel="0" collapsed="false">
      <c r="A6921" s="4" t="s">
        <v>43</v>
      </c>
      <c r="B6921" s="4" t="s">
        <v>65</v>
      </c>
      <c r="C6921" s="20" t="s">
        <v>788</v>
      </c>
      <c r="D6921" s="20" t="s">
        <v>789</v>
      </c>
      <c r="E6921" s="20" t="s">
        <v>790</v>
      </c>
      <c r="F6921" s="20" t="s">
        <v>791</v>
      </c>
      <c r="G6921" s="20" t="s">
        <v>792</v>
      </c>
      <c r="H6921" s="20" t="s">
        <v>793</v>
      </c>
      <c r="I6921" s="20" t="s">
        <v>794</v>
      </c>
      <c r="J6921" s="20" t="s">
        <v>795</v>
      </c>
      <c r="K6921" s="20" t="s">
        <v>796</v>
      </c>
      <c r="L6921" s="4" t="s">
        <v>47</v>
      </c>
    </row>
    <row r="6922" customFormat="false" ht="17.15" hidden="false" customHeight="false" outlineLevel="0" collapsed="false">
      <c r="A6922" s="1" t="s">
        <v>797</v>
      </c>
      <c r="B6922" s="1" t="s">
        <v>235</v>
      </c>
      <c r="C6922" s="28" t="n">
        <v>2024</v>
      </c>
      <c r="D6922" s="28" t="n">
        <v>2025</v>
      </c>
      <c r="E6922" s="28" t="n">
        <v>2026</v>
      </c>
      <c r="F6922" s="28" t="n">
        <v>2027</v>
      </c>
      <c r="G6922" s="28" t="n">
        <v>2028</v>
      </c>
      <c r="H6922" s="28" t="n">
        <v>2029</v>
      </c>
      <c r="I6922" s="28" t="n">
        <v>2030</v>
      </c>
      <c r="J6922" s="28" t="n">
        <v>2031</v>
      </c>
      <c r="K6922" s="28" t="n">
        <v>2032</v>
      </c>
    </row>
    <row r="6923" customFormat="false" ht="17.15" hidden="false" customHeight="false" outlineLevel="0" collapsed="false">
      <c r="A6923" s="1" t="s">
        <v>798</v>
      </c>
      <c r="B6923" s="0" t="s">
        <v>392</v>
      </c>
      <c r="F6923" s="29" t="n">
        <f aca="false">pace</f>
        <v>2527.2</v>
      </c>
      <c r="G6923" s="29" t="n">
        <f aca="false">pace</f>
        <v>2527.2</v>
      </c>
      <c r="H6923" s="29" t="n">
        <f aca="false">pace</f>
        <v>2527.2</v>
      </c>
      <c r="I6923" s="29" t="n">
        <f aca="false">pace+(g_tv*Sens!H6924-pace)*MIN(1,(Sens!I6922-pace_y0)/(pace_y1-pace_y0))</f>
        <v>1793.116</v>
      </c>
      <c r="J6923" s="29" t="n">
        <f aca="false">pace+(g_tv*Sens!H6924-pace)*MIN(1,(Sens!J6922-pace_y0)/(pace_y1-pace_y0))</f>
        <v>1059.032</v>
      </c>
      <c r="K6923" s="29" t="n">
        <f aca="false">pace+(g_tv*Sens!H6924-pace)*MIN(1,(Sens!K6922-pace_y0)/(pace_y1-pace_y0))</f>
        <v>324.948</v>
      </c>
      <c r="L6923" s="11" t="s">
        <v>799</v>
      </c>
    </row>
    <row r="6924" customFormat="false" ht="17.15" hidden="false" customHeight="false" outlineLevel="0" collapsed="false">
      <c r="A6924" s="1" t="s">
        <v>800</v>
      </c>
      <c r="B6924" s="0" t="s">
        <v>392</v>
      </c>
      <c r="C6924" s="29" t="n">
        <f aca="false">mw_ext_24</f>
        <v>640</v>
      </c>
      <c r="D6924" s="29" t="n">
        <f aca="false">mw_ext_25</f>
        <v>1630</v>
      </c>
      <c r="E6924" s="29" t="n">
        <f aca="false">mw_ext_26</f>
        <v>3250</v>
      </c>
      <c r="F6924" s="29" t="n">
        <f aca="false">Sens!E6924+Sens!F6923</f>
        <v>5777.2</v>
      </c>
      <c r="G6924" s="29" t="n">
        <f aca="false">Sens!F6924+Sens!G6923</f>
        <v>8304.4</v>
      </c>
      <c r="H6924" s="29" t="n">
        <f aca="false">Sens!G6924+Sens!H6923</f>
        <v>10831.6</v>
      </c>
      <c r="I6924" s="29" t="n">
        <f aca="false">Sens!H6924+Sens!I6923</f>
        <v>12624.716</v>
      </c>
      <c r="J6924" s="29" t="n">
        <f aca="false">Sens!I6924+Sens!J6923</f>
        <v>13683.748</v>
      </c>
      <c r="K6924" s="29" t="n">
        <f aca="false">Sens!J6924+Sens!K6923</f>
        <v>14008.696</v>
      </c>
      <c r="L6924" s="1" t="s">
        <v>801</v>
      </c>
    </row>
    <row r="6925" customFormat="false" ht="17.15" hidden="false" customHeight="false" outlineLevel="0" collapsed="false">
      <c r="A6925" s="1" t="s">
        <v>802</v>
      </c>
      <c r="B6925" s="0" t="s">
        <v>392</v>
      </c>
      <c r="C6925" s="29" t="n">
        <f aca="false">rent_ext_24</f>
        <v>150</v>
      </c>
      <c r="D6925" s="29" t="n">
        <f aca="false">rent_ext_25</f>
        <v>400</v>
      </c>
      <c r="E6925" s="29" t="n">
        <f aca="false">rent_ext_26</f>
        <v>550</v>
      </c>
      <c r="F6925" s="29" t="n">
        <f aca="false">rent_ext_f</f>
        <v>756</v>
      </c>
      <c r="G6925" s="29" t="n">
        <f aca="false">rent_ext_f</f>
        <v>756</v>
      </c>
      <c r="H6925" s="29" t="n">
        <f aca="false">rent_ext_f</f>
        <v>756</v>
      </c>
      <c r="I6925" s="29" t="n">
        <f aca="false">rent_ext_f</f>
        <v>756</v>
      </c>
      <c r="J6925" s="29" t="n">
        <f aca="false">rent_ext_f</f>
        <v>756</v>
      </c>
      <c r="K6925" s="29" t="n">
        <f aca="false">rent_ext_f</f>
        <v>756</v>
      </c>
      <c r="L6925" s="1" t="s">
        <v>803</v>
      </c>
    </row>
    <row r="6926" customFormat="false" ht="17.15" hidden="false" customHeight="false" outlineLevel="0" collapsed="false">
      <c r="A6926" s="1" t="s">
        <v>804</v>
      </c>
      <c r="B6926" s="0" t="s">
        <v>392</v>
      </c>
      <c r="C6926" s="29" t="n">
        <f aca="false">Sens!C6924-Sens!C6925</f>
        <v>490</v>
      </c>
      <c r="D6926" s="29" t="n">
        <f aca="false">Sens!D6924-Sens!D6925</f>
        <v>1230</v>
      </c>
      <c r="E6926" s="29" t="n">
        <f aca="false">Sens!E6924-Sens!E6925</f>
        <v>2700</v>
      </c>
      <c r="F6926" s="29" t="n">
        <f aca="false">Sens!F6924-Sens!F6925</f>
        <v>5021.2</v>
      </c>
      <c r="G6926" s="29" t="n">
        <f aca="false">Sens!G6924-Sens!G6925</f>
        <v>7548.4</v>
      </c>
      <c r="H6926" s="29" t="n">
        <f aca="false">Sens!H6924-Sens!H6925</f>
        <v>10075.6</v>
      </c>
      <c r="I6926" s="29" t="n">
        <f aca="false">Sens!I6924-Sens!I6925</f>
        <v>11868.716</v>
      </c>
      <c r="J6926" s="29" t="n">
        <f aca="false">Sens!J6924-Sens!J6925</f>
        <v>12927.748</v>
      </c>
      <c r="K6926" s="29" t="n">
        <f aca="false">Sens!K6924-Sens!K6925</f>
        <v>13252.696</v>
      </c>
    </row>
    <row r="6927" customFormat="false" ht="17.15" hidden="false" customHeight="false" outlineLevel="0" collapsed="false">
      <c r="A6927" s="1" t="s">
        <v>805</v>
      </c>
      <c r="B6927" s="0" t="s">
        <v>392</v>
      </c>
      <c r="C6927" s="29" t="n">
        <f aca="false">Sens!C6926/ext_sh</f>
        <v>816.666666666667</v>
      </c>
      <c r="D6927" s="29" t="n">
        <f aca="false">Sens!D6926/ext_sh</f>
        <v>2050</v>
      </c>
      <c r="E6927" s="29" t="n">
        <f aca="false">Sens!E6926/ext_sh</f>
        <v>4500</v>
      </c>
      <c r="F6927" s="29" t="n">
        <f aca="false">Sens!F6926/ext_sh</f>
        <v>8368.66666666667</v>
      </c>
      <c r="G6927" s="29" t="n">
        <f aca="false">Sens!G6926/ext_sh</f>
        <v>12580.6666666667</v>
      </c>
      <c r="H6927" s="29" t="n">
        <f aca="false">Sens!H6926/ext_sh</f>
        <v>16792.6666666667</v>
      </c>
      <c r="I6927" s="29" t="n">
        <f aca="false">Sens!I6926/ext_sh</f>
        <v>19781.1933333333</v>
      </c>
      <c r="J6927" s="29" t="n">
        <f aca="false">Sens!J6926/ext_sh</f>
        <v>21546.2466666667</v>
      </c>
      <c r="K6927" s="29" t="n">
        <f aca="false">Sens!K6926/ext_sh</f>
        <v>22087.8266666667</v>
      </c>
      <c r="L6927" s="1" t="s">
        <v>806</v>
      </c>
    </row>
    <row r="6928" customFormat="false" ht="17.15" hidden="false" customHeight="false" outlineLevel="0" collapsed="false">
      <c r="A6928" s="1" t="s">
        <v>807</v>
      </c>
      <c r="B6928" s="0" t="s">
        <v>392</v>
      </c>
      <c r="C6928" s="29" t="n">
        <f aca="false">Sens!C6927-Sens!C6926</f>
        <v>326.666666666667</v>
      </c>
      <c r="D6928" s="29" t="n">
        <f aca="false">Sens!D6927-Sens!D6926</f>
        <v>820</v>
      </c>
      <c r="E6928" s="29" t="n">
        <f aca="false">Sens!E6927-Sens!E6926</f>
        <v>1800</v>
      </c>
      <c r="F6928" s="29" t="n">
        <f aca="false">Sens!F6927-Sens!F6926</f>
        <v>3347.46666666667</v>
      </c>
      <c r="G6928" s="29" t="n">
        <f aca="false">Sens!G6927-Sens!G6926</f>
        <v>5032.26666666667</v>
      </c>
      <c r="H6928" s="29" t="n">
        <f aca="false">Sens!H6927-Sens!H6926</f>
        <v>6717.06666666667</v>
      </c>
      <c r="I6928" s="29" t="n">
        <f aca="false">Sens!I6927-Sens!I6926</f>
        <v>7912.47733333333</v>
      </c>
      <c r="J6928" s="29" t="n">
        <f aca="false">Sens!J6927-Sens!J6926</f>
        <v>8618.49866666667</v>
      </c>
      <c r="K6928" s="29" t="n">
        <f aca="false">Sens!K6927-Sens!K6926</f>
        <v>8835.13066666667</v>
      </c>
    </row>
    <row r="6929" customFormat="false" ht="17.15" hidden="false" customHeight="false" outlineLevel="0" collapsed="false">
      <c r="A6929" s="1" t="s">
        <v>808</v>
      </c>
      <c r="B6929" s="0" t="s">
        <v>392</v>
      </c>
      <c r="C6929" s="29" t="n">
        <f aca="false">Sens!C6927</f>
        <v>816.666666666667</v>
      </c>
      <c r="D6929" s="29" t="n">
        <f aca="false">Sens!D6927-Sens!C6927</f>
        <v>1233.33333333333</v>
      </c>
      <c r="E6929" s="29" t="n">
        <f aca="false">Sens!E6927-Sens!D6927</f>
        <v>2450</v>
      </c>
      <c r="F6929" s="29" t="n">
        <f aca="false">Sens!F6927-Sens!E6927</f>
        <v>3868.66666666667</v>
      </c>
      <c r="G6929" s="29" t="n">
        <f aca="false">Sens!G6927-Sens!F6927</f>
        <v>4212</v>
      </c>
      <c r="H6929" s="29" t="n">
        <f aca="false">Sens!H6927-Sens!G6927</f>
        <v>4212</v>
      </c>
      <c r="I6929" s="29" t="n">
        <f aca="false">Sens!I6927-Sens!H6927</f>
        <v>2988.52666666667</v>
      </c>
      <c r="J6929" s="29" t="n">
        <f aca="false">Sens!J6927-Sens!I6927</f>
        <v>1765.05333333333</v>
      </c>
      <c r="K6929" s="29" t="n">
        <f aca="false">Sens!K6927-Sens!J6927</f>
        <v>541.580000000002</v>
      </c>
    </row>
    <row r="6930" customFormat="false" ht="17.15" hidden="false" customHeight="false" outlineLevel="0" collapsed="false">
      <c r="A6930" s="1" t="s">
        <v>809</v>
      </c>
      <c r="B6930" s="0" t="s">
        <v>392</v>
      </c>
      <c r="D6930" s="29" t="n">
        <f aca="false">Sens!D6924-Sens!C6924</f>
        <v>990</v>
      </c>
      <c r="E6930" s="29" t="n">
        <f aca="false">Sens!E6924-Sens!D6924</f>
        <v>1620</v>
      </c>
      <c r="F6930" s="29" t="n">
        <f aca="false">Sens!F6924-Sens!E6924</f>
        <v>2527.2</v>
      </c>
      <c r="G6930" s="29" t="n">
        <f aca="false">Sens!G6924-Sens!F6924</f>
        <v>2527.2</v>
      </c>
      <c r="H6930" s="29" t="n">
        <f aca="false">Sens!H6924-Sens!G6924</f>
        <v>2527.2</v>
      </c>
      <c r="I6930" s="29" t="n">
        <f aca="false">Sens!I6924-Sens!H6924</f>
        <v>1793.116</v>
      </c>
      <c r="J6930" s="29" t="n">
        <f aca="false">Sens!J6924-Sens!I6924</f>
        <v>1059.032</v>
      </c>
      <c r="K6930" s="29" t="n">
        <f aca="false">Sens!K6924-Sens!J6924</f>
        <v>324.948</v>
      </c>
    </row>
    <row r="6931" customFormat="false" ht="17.15" hidden="false" customHeight="false" outlineLevel="0" collapsed="false">
      <c r="A6931" s="1" t="s">
        <v>810</v>
      </c>
      <c r="B6931" s="0" t="s">
        <v>392</v>
      </c>
      <c r="F6931" s="29" t="n">
        <f aca="false">Sens!F6948*ext_sh</f>
        <v>0</v>
      </c>
      <c r="G6931" s="29" t="n">
        <f aca="false">Sens!G6948*ext_sh</f>
        <v>0</v>
      </c>
      <c r="H6931" s="29" t="n">
        <f aca="false">Sens!H6948*ext_sh</f>
        <v>0</v>
      </c>
      <c r="I6931" s="29" t="n">
        <f aca="false">Sens!I6948*ext_sh</f>
        <v>490</v>
      </c>
      <c r="J6931" s="29" t="n">
        <f aca="false">Sens!J6948*ext_sh</f>
        <v>740</v>
      </c>
      <c r="K6931" s="29" t="n">
        <f aca="false">Sens!K6948*ext_sh</f>
        <v>1470</v>
      </c>
      <c r="L6931" s="1" t="s">
        <v>811</v>
      </c>
    </row>
    <row r="6932" customFormat="false" ht="17.15" hidden="false" customHeight="false" outlineLevel="0" collapsed="false">
      <c r="A6932" s="1" t="s">
        <v>812</v>
      </c>
      <c r="B6932" s="0" t="s">
        <v>392</v>
      </c>
      <c r="C6932" s="29" t="n">
        <f aca="false">mix_h*Sens!C6924</f>
        <v>128</v>
      </c>
      <c r="D6932" s="29" t="n">
        <f aca="false">mix_h*Sens!D6924</f>
        <v>326</v>
      </c>
      <c r="E6932" s="29" t="n">
        <f aca="false">mix_h*Sens!E6924</f>
        <v>650</v>
      </c>
      <c r="F6932" s="29" t="n">
        <f aca="false">Sens!E6932-Sens!F6931*mix_h</f>
        <v>650</v>
      </c>
      <c r="G6932" s="29" t="n">
        <f aca="false">Sens!F6932-Sens!G6931*mix_h</f>
        <v>650</v>
      </c>
      <c r="H6932" s="29" t="n">
        <f aca="false">Sens!G6932-Sens!H6931*mix_h</f>
        <v>650</v>
      </c>
      <c r="I6932" s="29" t="n">
        <f aca="false">Sens!H6932-Sens!I6931*mix_h</f>
        <v>552</v>
      </c>
      <c r="J6932" s="29" t="n">
        <f aca="false">Sens!I6932-Sens!J6931*mix_h</f>
        <v>404</v>
      </c>
      <c r="K6932" s="29" t="n">
        <f aca="false">Sens!J6932-Sens!K6931*mix_h</f>
        <v>110</v>
      </c>
    </row>
    <row r="6933" customFormat="false" ht="17.15" hidden="false" customHeight="false" outlineLevel="0" collapsed="false">
      <c r="A6933" s="1" t="s">
        <v>813</v>
      </c>
      <c r="B6933" s="0" t="s">
        <v>392</v>
      </c>
      <c r="C6933" s="29" t="n">
        <f aca="false">mix_g2*Sens!C6924</f>
        <v>288</v>
      </c>
      <c r="D6933" s="29" t="n">
        <f aca="false">mix_g2*Sens!D6924</f>
        <v>733.5</v>
      </c>
      <c r="E6933" s="29" t="n">
        <f aca="false">mix_g2*Sens!E6924</f>
        <v>1462.5</v>
      </c>
      <c r="F6933" s="29" t="n">
        <f aca="false">Sens!E6933-Sens!F6931*mix_g2</f>
        <v>1462.5</v>
      </c>
      <c r="G6933" s="29" t="n">
        <f aca="false">Sens!F6933-Sens!G6931*mix_g2</f>
        <v>1462.5</v>
      </c>
      <c r="H6933" s="29" t="n">
        <f aca="false">Sens!G6933-Sens!H6931*mix_g2</f>
        <v>1462.5</v>
      </c>
      <c r="I6933" s="29" t="n">
        <f aca="false">Sens!H6933-Sens!I6931*mix_g2</f>
        <v>1242</v>
      </c>
      <c r="J6933" s="29" t="n">
        <f aca="false">Sens!I6933-Sens!J6931*mix_g2</f>
        <v>909</v>
      </c>
      <c r="K6933" s="29" t="n">
        <f aca="false">Sens!J6933-Sens!K6931*mix_g2</f>
        <v>247.5</v>
      </c>
    </row>
    <row r="6934" customFormat="false" ht="17.15" hidden="false" customHeight="false" outlineLevel="0" collapsed="false">
      <c r="A6934" s="1" t="s">
        <v>814</v>
      </c>
      <c r="B6934" s="0" t="s">
        <v>392</v>
      </c>
      <c r="C6934" s="29" t="n">
        <f aca="false">mix_g3*Sens!C6924</f>
        <v>224</v>
      </c>
      <c r="D6934" s="29" t="n">
        <f aca="false">mix_g3*Sens!D6924</f>
        <v>570.5</v>
      </c>
      <c r="E6934" s="29" t="n">
        <f aca="false">mix_g3*Sens!E6924</f>
        <v>1137.5</v>
      </c>
      <c r="F6934" s="29" t="n">
        <f aca="false">Sens!E6934+(Sens!F6930+Sens!F6931)*a_g3_27-Sens!F6931*mix_g3</f>
        <v>2906.54</v>
      </c>
      <c r="G6934" s="29" t="n">
        <f aca="false">Sens!F6934+(Sens!G6930+Sens!G6931)*a_g3_28-Sens!G6931*mix_g3</f>
        <v>3664.7</v>
      </c>
      <c r="H6934" s="29" t="n">
        <f aca="false">Sens!G6934+(Sens!H6930+Sens!H6931)*a_g3_29-Sens!H6931*mix_g3</f>
        <v>3917.42</v>
      </c>
      <c r="I6934" s="29" t="n">
        <f aca="false">Sens!H6934+(Sens!I6930+Sens!I6931)*a_g3_29-Sens!I6931*mix_g3</f>
        <v>3974.2316</v>
      </c>
      <c r="J6934" s="29" t="n">
        <f aca="false">Sens!I6934+(Sens!J6930+Sens!J6931)*a_g3_29-Sens!J6931*mix_g3</f>
        <v>3895.1348</v>
      </c>
      <c r="K6934" s="29" t="n">
        <f aca="false">Sens!J6934+(Sens!K6930+Sens!K6931)*a_g3_29-Sens!K6931*mix_g3</f>
        <v>3560.1296</v>
      </c>
    </row>
    <row r="6935" customFormat="false" ht="17.15" hidden="false" customHeight="false" outlineLevel="0" collapsed="false">
      <c r="A6935" s="1" t="s">
        <v>815</v>
      </c>
      <c r="B6935" s="0" t="s">
        <v>392</v>
      </c>
      <c r="C6935" s="29" t="n">
        <v>0</v>
      </c>
      <c r="D6935" s="29" t="n">
        <v>0</v>
      </c>
      <c r="E6935" s="29" t="n">
        <v>0</v>
      </c>
      <c r="F6935" s="29" t="n">
        <f aca="false">Sens!E6935+(Sens!F6930+Sens!F6931)*(1-a_g3_27)</f>
        <v>758.16</v>
      </c>
      <c r="G6935" s="29" t="n">
        <f aca="false">Sens!F6935+(Sens!G6930+Sens!G6931)*(1-a_g3_28)</f>
        <v>2527.2</v>
      </c>
      <c r="H6935" s="29" t="n">
        <f aca="false">Sens!G6935+(Sens!H6930+Sens!H6931)*(1-a_g3_29)</f>
        <v>4801.68</v>
      </c>
      <c r="I6935" s="29" t="n">
        <f aca="false">Sens!H6935+(Sens!I6930+Sens!I6931)*(1-a_g3_29)</f>
        <v>6856.4844</v>
      </c>
      <c r="J6935" s="29" t="n">
        <f aca="false">Sens!I6935+(Sens!J6930+Sens!J6931)*(1-a_g3_29)</f>
        <v>8475.6132</v>
      </c>
      <c r="K6935" s="29" t="n">
        <f aca="false">Sens!J6935+(Sens!K6930+Sens!K6931)*(1-a_g3_29)</f>
        <v>10091.0664</v>
      </c>
    </row>
    <row r="6936" customFormat="false" ht="17.15" hidden="false" customHeight="false" outlineLevel="0" collapsed="false">
      <c r="A6936" s="1" t="s">
        <v>816</v>
      </c>
      <c r="B6936" s="0" t="s">
        <v>339</v>
      </c>
      <c r="C6936" s="14" t="n">
        <f aca="false">(Sens!C6932*tk_hold_h100+Sens!C6933*tk_hold_gb200+Sens!C6934*tk_hold_gb300+Sens!C6935*tk_hold_vr200)/Sens!C6924</f>
        <v>9.7235358126469</v>
      </c>
      <c r="D6936" s="14" t="n">
        <f aca="false">(Sens!D6932*tk_hold_h100+Sens!D6933*tk_hold_gb200+Sens!D6934*tk_hold_gb300+Sens!D6935*tk_hold_vr200)/Sens!D6924</f>
        <v>9.7235358126469</v>
      </c>
      <c r="E6936" s="14" t="n">
        <f aca="false">(Sens!E6932*tk_hold_h100+Sens!E6933*tk_hold_gb200+Sens!E6934*tk_hold_gb300+Sens!E6935*tk_hold_vr200)/Sens!E6924</f>
        <v>9.7235358126469</v>
      </c>
      <c r="F6936" s="14" t="n">
        <f aca="false">(Sens!F6932*tk_hold_h100+Sens!F6933*tk_hold_gb200+Sens!F6934*tk_hold_gb300+Sens!F6935*tk_hold_vr200)/Sens!F6924</f>
        <v>10.4079573161931</v>
      </c>
      <c r="G6936" s="14" t="n">
        <f aca="false">(Sens!G6932*tk_hold_h100+Sens!G6933*tk_hold_gb200+Sens!G6934*tk_hold_gb300+Sens!G6935*tk_hold_vr200)/Sens!G6924</f>
        <v>10.8388131109316</v>
      </c>
      <c r="H6936" s="14" t="n">
        <f aca="false">(Sens!H6932*tk_hold_h100+Sens!H6933*tk_hold_gb200+Sens!H6934*tk_hold_gb300+Sens!H6935*tk_hold_vr200)/Sens!H6924</f>
        <v>11.1311018388216</v>
      </c>
      <c r="I6936" s="14" t="n">
        <f aca="false">(Sens!I6932*tk_hold_h100+Sens!I6933*tk_hold_gb200+Sens!I6934*tk_hold_gb300+Sens!I6935*tk_hold_vr200)/Sens!I6924</f>
        <v>11.3594282560989</v>
      </c>
      <c r="J6936" s="14" t="n">
        <f aca="false">(Sens!J6932*tk_hold_h100+Sens!J6933*tk_hold_gb200+Sens!J6934*tk_hold_gb300+Sens!J6935*tk_hold_vr200)/Sens!J6924</f>
        <v>11.5441508808221</v>
      </c>
      <c r="K6936" s="14" t="n">
        <f aca="false">(Sens!K6932*tk_hold_h100+Sens!K6933*tk_hold_gb200+Sens!K6934*tk_hold_gb300+Sens!K6935*tk_hold_vr200)/Sens!K6924</f>
        <v>11.8053375063575</v>
      </c>
    </row>
    <row r="6937" customFormat="false" ht="17.15" hidden="false" customHeight="false" outlineLevel="0" collapsed="false">
      <c r="A6937" s="0" t="s">
        <v>817</v>
      </c>
      <c r="B6937" s="0" t="s">
        <v>185</v>
      </c>
      <c r="C6937" s="14" t="n">
        <f aca="false">k_B</f>
        <v>1.17213932619116</v>
      </c>
      <c r="D6937" s="14" t="n">
        <f aca="false">k_B</f>
        <v>1.17213932619116</v>
      </c>
      <c r="E6937" s="14" t="n">
        <f aca="false">k_B</f>
        <v>1.17213932619116</v>
      </c>
      <c r="F6937" s="14" t="n">
        <f aca="false">(k_B+((ls_A*k_long+(1-ls_A)*k_spot)-k_B)*MIN(1,(Sens!F6922-base_fy)/k_ramp))</f>
        <v>1.25022828131298</v>
      </c>
      <c r="G6937" s="14" t="n">
        <f aca="false">(k_B+((ls_A*k_long+(1-ls_A)*k_spot)-k_B)*MIN(1,(Sens!G6922-base_fy)/k_ramp))</f>
        <v>1.3283172364348</v>
      </c>
      <c r="H6937" s="14" t="n">
        <f aca="false">(k_B+((ls_A*k_long+(1-ls_A)*k_spot)-k_B)*MIN(1,(Sens!H6922-base_fy)/k_ramp))</f>
        <v>1.40640619155662</v>
      </c>
      <c r="I6937" s="14" t="n">
        <f aca="false">(k_B+((ls_A*k_long+(1-ls_A)*k_spot)-k_B)*MIN(1,(Sens!I6922-base_fy)/k_ramp))</f>
        <v>1.40640619155662</v>
      </c>
      <c r="J6937" s="14" t="n">
        <f aca="false">(k_B+((ls_A*k_long+(1-ls_A)*k_spot)-k_B)*MIN(1,(Sens!J6922-base_fy)/k_ramp))</f>
        <v>1.40640619155662</v>
      </c>
      <c r="K6937" s="14" t="n">
        <f aca="false">(k_B+((ls_A*k_long+(1-ls_A)*k_spot)-k_B)*MIN(1,(Sens!K6922-base_fy)/k_ramp))</f>
        <v>1.40640619155662</v>
      </c>
      <c r="L6937" s="1" t="s">
        <v>818</v>
      </c>
    </row>
    <row r="6938" customFormat="false" ht="17.15" hidden="false" customHeight="false" outlineLevel="0" collapsed="false">
      <c r="A6938" s="1" t="s">
        <v>819</v>
      </c>
      <c r="B6938" s="0" t="s">
        <v>339</v>
      </c>
      <c r="C6938" s="14" t="n">
        <f aca="false">Sens!C6936*Sens!C6937*chip_f</f>
        <v>11.3973387156315</v>
      </c>
      <c r="D6938" s="14" t="n">
        <f aca="false">Sens!D6936*Sens!D6937*chip_f</f>
        <v>11.3973387156315</v>
      </c>
      <c r="E6938" s="14" t="n">
        <f aca="false">Sens!E6936*Sens!E6937*chip_f</f>
        <v>11.3973387156315</v>
      </c>
      <c r="F6938" s="14" t="n">
        <f aca="false">Sens!F6936*Sens!F6937*chip_f</f>
        <v>13.0123225874029</v>
      </c>
      <c r="G6938" s="14" t="n">
        <f aca="false">Sens!G6936*Sens!G6937*chip_f</f>
        <v>14.3973822777458</v>
      </c>
      <c r="H6938" s="14" t="n">
        <f aca="false">Sens!H6936*Sens!H6937*chip_f</f>
        <v>15.6548505449659</v>
      </c>
      <c r="I6938" s="14" t="n">
        <f aca="false">Sens!I6936*Sens!I6937*chip_f</f>
        <v>15.9759702319207</v>
      </c>
      <c r="J6938" s="14" t="n">
        <f aca="false">Sens!J6936*Sens!J6937*chip_f</f>
        <v>16.2357652750519</v>
      </c>
      <c r="K6938" s="14" t="n">
        <f aca="false">Sens!K6936*Sens!K6937*chip_f</f>
        <v>16.6030997623568</v>
      </c>
      <c r="L6938" s="1" t="s">
        <v>820</v>
      </c>
    </row>
    <row r="6939" customFormat="false" ht="17.15" hidden="false" customHeight="false" outlineLevel="0" collapsed="false">
      <c r="A6939" s="0" t="s">
        <v>821</v>
      </c>
      <c r="B6939" s="0" t="s">
        <v>98</v>
      </c>
      <c r="D6939" s="6" t="n">
        <f aca="false">(Sens!C6924+Sens!D6924)/2*Sens!D6938/1000</f>
        <v>12.9359794422418</v>
      </c>
      <c r="E6939" s="6" t="n">
        <f aca="false">(Sens!D6924+Sens!E6924)/2*Sens!E6938/1000</f>
        <v>27.8095064661409</v>
      </c>
      <c r="F6939" s="6" t="n">
        <f aca="false">(Sens!E6924+Sens!F6924)/2*Sens!F6938/1000</f>
        <v>58.7324192305018</v>
      </c>
      <c r="G6939" s="6" t="n">
        <f aca="false">(Sens!F6924+Sens!G6924)/2*Sens!G6938/1000</f>
        <v>101.369089141153</v>
      </c>
      <c r="H6939" s="6" t="n">
        <f aca="false">(Sens!G6924+Sens!H6924)/2*Sens!H6938/1000</f>
        <v>149.785610014234</v>
      </c>
      <c r="I6939" s="6" t="n">
        <f aca="false">(Sens!H6924+Sens!I6924)/2*Sens!I6938/1000</f>
        <v>187.368703083263</v>
      </c>
      <c r="J6939" s="6" t="n">
        <f aca="false">(Sens!I6924+Sens!J6924)/2*Sens!J6938/1000</f>
        <v>213.569023125577</v>
      </c>
      <c r="K6939" s="6" t="n">
        <f aca="false">(Sens!J6924+Sens!K6924)/2*Sens!K6938/1000</f>
        <v>229.890205197739</v>
      </c>
      <c r="L6939" s="11" t="s">
        <v>822</v>
      </c>
    </row>
    <row r="6940" customFormat="false" ht="17.15" hidden="false" customHeight="false" outlineLevel="0" collapsed="false">
      <c r="A6940" s="1" t="s">
        <v>823</v>
      </c>
      <c r="B6940" s="0" t="s">
        <v>339</v>
      </c>
      <c r="C6940" s="14" t="n">
        <f aca="false">(Sens!C6932*tk_opex_h100+Sens!C6933*tk_opex_gb200+Sens!C6934*tk_opex_gb300+Sens!C6935*tk_opex_vr200)/Sens!C6924</f>
        <v>1.88636041306092</v>
      </c>
      <c r="D6940" s="14" t="n">
        <f aca="false">(Sens!D6932*tk_opex_h100+Sens!D6933*tk_opex_gb200+Sens!D6934*tk_opex_gb300+Sens!D6935*tk_opex_vr200)/Sens!D6924</f>
        <v>1.88636041306092</v>
      </c>
      <c r="E6940" s="14" t="n">
        <f aca="false">(Sens!E6932*tk_opex_h100+Sens!E6933*tk_opex_gb200+Sens!E6934*tk_opex_gb300+Sens!E6935*tk_opex_vr200)/Sens!E6924</f>
        <v>1.88636041306092</v>
      </c>
      <c r="F6940" s="14" t="n">
        <f aca="false">(Sens!F6932*tk_opex_h100+Sens!F6933*tk_opex_gb200+Sens!F6934*tk_opex_gb300+Sens!F6935*tk_opex_vr200)/Sens!F6924</f>
        <v>1.9430236476499</v>
      </c>
      <c r="G6940" s="14" t="n">
        <f aca="false">(Sens!G6932*tk_opex_h100+Sens!G6933*tk_opex_gb200+Sens!G6934*tk_opex_gb300+Sens!G6935*tk_opex_vr200)/Sens!G6924</f>
        <v>1.9786941852423</v>
      </c>
      <c r="H6940" s="14" t="n">
        <f aca="false">(Sens!H6932*tk_opex_h100+Sens!H6933*tk_opex_gb200+Sens!H6934*tk_opex_gb300+Sens!H6935*tk_opex_vr200)/Sens!H6924</f>
        <v>2.00289275976156</v>
      </c>
      <c r="I6940" s="14" t="n">
        <f aca="false">(Sens!I6932*tk_opex_h100+Sens!I6933*tk_opex_gb200+Sens!I6934*tk_opex_gb300+Sens!I6935*tk_opex_vr200)/Sens!I6924</f>
        <v>2.02179589661219</v>
      </c>
      <c r="J6940" s="14" t="n">
        <f aca="false">(Sens!J6932*tk_opex_h100+Sens!J6933*tk_opex_gb200+Sens!J6934*tk_opex_gb300+Sens!J6935*tk_opex_vr200)/Sens!J6924</f>
        <v>2.03708907685909</v>
      </c>
      <c r="K6940" s="14" t="n">
        <f aca="false">(Sens!K6932*tk_opex_h100+Sens!K6933*tk_opex_gb200+Sens!K6934*tk_opex_gb300+Sens!K6935*tk_opex_vr200)/Sens!K6924</f>
        <v>2.05871270931005</v>
      </c>
    </row>
    <row r="6941" customFormat="false" ht="17.15" hidden="false" customHeight="false" outlineLevel="0" collapsed="false">
      <c r="A6941" s="0" t="s">
        <v>824</v>
      </c>
      <c r="B6941" s="0" t="s">
        <v>98</v>
      </c>
      <c r="D6941" s="6" t="n">
        <f aca="false">(Sens!C6927+Sens!D6927)/2*Sens!D6940/1000</f>
        <v>2.70378325872065</v>
      </c>
      <c r="E6941" s="6" t="n">
        <f aca="false">(Sens!D6927+Sens!E6927)/2*Sens!E6940/1000</f>
        <v>6.17783035277451</v>
      </c>
      <c r="F6941" s="6" t="n">
        <f aca="false">(Sens!E6927+Sens!F6927)/2*Sens!F6940/1000</f>
        <v>12.5020618235287</v>
      </c>
      <c r="G6941" s="6" t="n">
        <f aca="false">(Sens!F6927+Sens!G6927)/2*Sens!G6940/1000</f>
        <v>20.7261620256847</v>
      </c>
      <c r="H6941" s="6" t="n">
        <f aca="false">(Sens!G6927+Sens!H6927)/2*Sens!H6940/1000</f>
        <v>29.4158183316982</v>
      </c>
      <c r="I6941" s="6" t="n">
        <f aca="false">(Sens!H6927+Sens!I6927)/2*Sens!I6940/1000</f>
        <v>36.9724400356344</v>
      </c>
      <c r="J6941" s="6" t="n">
        <f aca="false">(Sens!I6927+Sens!J6927)/2*Sens!J6940/1000</f>
        <v>42.0938382992747</v>
      </c>
      <c r="K6941" s="6" t="n">
        <f aca="false">(Sens!J6927+Sens!K6927)/2*Sens!K6940/1000</f>
        <v>44.9150106651501</v>
      </c>
    </row>
    <row r="6942" customFormat="false" ht="17.15" hidden="false" customHeight="false" outlineLevel="0" collapsed="false">
      <c r="A6942" s="0" t="s">
        <v>825</v>
      </c>
      <c r="B6942" s="0" t="s">
        <v>98</v>
      </c>
      <c r="D6942" s="6" t="n">
        <f aca="false">(Sens!C6925+Sens!D6925)/2*rent_mw/1000</f>
        <v>2.44475</v>
      </c>
      <c r="E6942" s="6" t="n">
        <f aca="false">(Sens!D6925+Sens!E6925)/2*rent_mw/1000</f>
        <v>4.22275</v>
      </c>
      <c r="F6942" s="6" t="n">
        <f aca="false">(Sens!E6925+Sens!F6925)/2*rent_mw/1000</f>
        <v>5.80517</v>
      </c>
      <c r="G6942" s="6" t="n">
        <f aca="false">(Sens!F6925+Sens!G6925)/2*rent_mw/1000</f>
        <v>6.72084</v>
      </c>
      <c r="H6942" s="6" t="n">
        <f aca="false">(Sens!G6925+Sens!H6925)/2*rent_mw/1000</f>
        <v>6.72084</v>
      </c>
      <c r="I6942" s="6" t="n">
        <f aca="false">(Sens!H6925+Sens!I6925)/2*rent_mw/1000</f>
        <v>6.72084</v>
      </c>
      <c r="J6942" s="6" t="n">
        <f aca="false">(Sens!I6925+Sens!J6925)/2*rent_mw/1000</f>
        <v>6.72084</v>
      </c>
      <c r="K6942" s="6" t="n">
        <f aca="false">(Sens!J6925+Sens!K6925)/2*rent_mw/1000</f>
        <v>6.72084</v>
      </c>
    </row>
    <row r="6943" customFormat="false" ht="17.15" hidden="false" customHeight="false" outlineLevel="0" collapsed="false">
      <c r="A6943" s="0" t="s">
        <v>826</v>
      </c>
      <c r="B6943" s="0" t="s">
        <v>98</v>
      </c>
      <c r="D6943" s="6" t="n">
        <f aca="false">(Sens!C6927+Sens!D6927)/2*(1-self_build)*fac_rent/1000</f>
        <v>0.853242375631075</v>
      </c>
      <c r="E6943" s="6" t="n">
        <f aca="false">(Sens!D6927+Sens!E6927)/2*(1-self_build)*fac_rent/1000</f>
        <v>1.94955961408728</v>
      </c>
      <c r="F6943" s="6" t="n">
        <f aca="false">(Sens!E6927+Sens!F6927)/2*(1-self_build)*fac_rent/1000</f>
        <v>3.83026455274573</v>
      </c>
      <c r="G6943" s="6" t="n">
        <f aca="false">(Sens!F6927+Sens!G6927)/2*(1-self_build)*fac_rent/1000</f>
        <v>6.23541590972812</v>
      </c>
      <c r="H6943" s="6" t="n">
        <f aca="false">(Sens!G6927+Sens!H6927)/2*(1-self_build)*fac_rent/1000</f>
        <v>8.74275792332679</v>
      </c>
      <c r="I6943" s="6" t="n">
        <f aca="false">(Sens!H6927+Sens!I6927)/2*(1-self_build)*fac_rent/1000</f>
        <v>10.8859420438599</v>
      </c>
      <c r="J6943" s="6" t="n">
        <f aca="false">(Sens!I6927+Sens!J6927)/2*(1-self_build)*fac_rent/1000</f>
        <v>12.3008103782619</v>
      </c>
      <c r="K6943" s="6" t="n">
        <f aca="false">(Sens!J6927+Sens!K6927)/2*(1-self_build)*fac_rent/1000</f>
        <v>12.9873629265328</v>
      </c>
      <c r="L6943" s="11" t="s">
        <v>827</v>
      </c>
    </row>
    <row r="6944" customFormat="false" ht="17.15" hidden="false" customHeight="false" outlineLevel="0" collapsed="false">
      <c r="A6944" s="1" t="s">
        <v>828</v>
      </c>
      <c r="B6944" s="0" t="s">
        <v>129</v>
      </c>
      <c r="D6944" s="7" t="n">
        <f aca="false">(Sens!C6926+Sens!D6926)/(Sens!C6927+Sens!D6927)</f>
        <v>0.6</v>
      </c>
      <c r="E6944" s="7" t="n">
        <f aca="false">(Sens!D6926+Sens!E6926)/(Sens!D6927+Sens!E6927)</f>
        <v>0.6</v>
      </c>
      <c r="F6944" s="7" t="n">
        <f aca="false">(Sens!E6926+Sens!F6926)/(Sens!E6927+Sens!F6927)</f>
        <v>0.6</v>
      </c>
      <c r="G6944" s="7" t="n">
        <f aca="false">(Sens!F6926+Sens!G6926)/(Sens!F6927+Sens!G6927)</f>
        <v>0.6</v>
      </c>
      <c r="H6944" s="7" t="n">
        <f aca="false">(Sens!G6926+Sens!H6926)/(Sens!G6927+Sens!H6927)</f>
        <v>0.6</v>
      </c>
      <c r="I6944" s="7" t="n">
        <f aca="false">(Sens!H6926+Sens!I6926)/(Sens!H6927+Sens!I6927)</f>
        <v>0.6</v>
      </c>
      <c r="J6944" s="7" t="n">
        <f aca="false">(Sens!I6926+Sens!J6926)/(Sens!I6927+Sens!J6927)</f>
        <v>0.6</v>
      </c>
      <c r="K6944" s="7" t="n">
        <f aca="false">(Sens!J6926+Sens!K6926)/(Sens!J6927+Sens!K6927)</f>
        <v>0.6</v>
      </c>
    </row>
    <row r="6945" customFormat="false" ht="17.15" hidden="false" customHeight="false" outlineLevel="0" collapsed="false">
      <c r="A6945" s="0" t="s">
        <v>829</v>
      </c>
      <c r="B6945" s="0" t="s">
        <v>98</v>
      </c>
      <c r="D6945" s="6" t="n">
        <f aca="false">Sens!D6939-Sens!D6944*(Sens!D6941+Sens!D6943)-Sens!D6942</f>
        <v>8.35701406163072</v>
      </c>
      <c r="E6945" s="6" t="n">
        <f aca="false">Sens!E6939-Sens!E6944*(Sens!E6941+Sens!E6943)-Sens!E6942</f>
        <v>18.7103224860238</v>
      </c>
      <c r="F6945" s="6" t="n">
        <f aca="false">Sens!F6939-Sens!F6944*(Sens!F6941+Sens!F6943)-Sens!F6942</f>
        <v>43.1278534047371</v>
      </c>
      <c r="G6945" s="6" t="n">
        <f aca="false">Sens!G6939-Sens!G6944*(Sens!G6941+Sens!G6943)-Sens!G6942</f>
        <v>78.4713023799053</v>
      </c>
      <c r="H6945" s="6" t="n">
        <f aca="false">Sens!H6939-Sens!H6944*(Sens!H6941+Sens!H6943)-Sens!H6942</f>
        <v>120.169624261219</v>
      </c>
      <c r="I6945" s="6" t="n">
        <f aca="false">Sens!I6939-Sens!I6944*(Sens!I6941+Sens!I6943)-Sens!I6942</f>
        <v>151.932833835566</v>
      </c>
      <c r="J6945" s="6" t="n">
        <f aca="false">Sens!J6939-Sens!J6944*(Sens!J6941+Sens!J6943)-Sens!J6942</f>
        <v>174.211393919055</v>
      </c>
      <c r="K6945" s="6" t="n">
        <f aca="false">Sens!K6939-Sens!K6944*(Sens!K6941+Sens!K6943)-Sens!K6942</f>
        <v>188.427941042729</v>
      </c>
    </row>
    <row r="6946" customFormat="false" ht="17.15" hidden="false" customHeight="false" outlineLevel="0" collapsed="false">
      <c r="A6946" s="1" t="s">
        <v>830</v>
      </c>
      <c r="B6946" s="0" t="s">
        <v>98</v>
      </c>
      <c r="D6946" s="6" t="n">
        <f aca="false">(1-Sens!D6944)*(Sens!D6941+Sens!D6943)</f>
        <v>1.42281025374069</v>
      </c>
      <c r="E6946" s="6" t="n">
        <f aca="false">(1-Sens!E6944)*(Sens!E6941+Sens!E6943)</f>
        <v>3.25095598674472</v>
      </c>
      <c r="F6946" s="6" t="n">
        <f aca="false">(1-Sens!F6944)*(Sens!F6941+Sens!F6943)</f>
        <v>6.53293055050977</v>
      </c>
      <c r="G6946" s="6" t="n">
        <f aca="false">(1-Sens!G6944)*(Sens!G6941+Sens!G6943)</f>
        <v>10.7846311741651</v>
      </c>
      <c r="H6946" s="6" t="n">
        <f aca="false">(1-Sens!H6944)*(Sens!H6941+Sens!H6943)</f>
        <v>15.26343050201</v>
      </c>
      <c r="I6946" s="6" t="n">
        <f aca="false">(1-Sens!I6944)*(Sens!I6941+Sens!I6943)</f>
        <v>19.1433528317977</v>
      </c>
      <c r="J6946" s="6" t="n">
        <f aca="false">(1-Sens!J6944)*(Sens!J6941+Sens!J6943)</f>
        <v>21.7578594710146</v>
      </c>
      <c r="K6946" s="6" t="n">
        <f aca="false">(1-Sens!K6944)*(Sens!K6941+Sens!K6943)</f>
        <v>23.1609494366731</v>
      </c>
    </row>
    <row r="6947" customFormat="false" ht="17.15" hidden="false" customHeight="false" outlineLevel="0" collapsed="false">
      <c r="A6947" s="1" t="s">
        <v>831</v>
      </c>
      <c r="B6947" s="0" t="s">
        <v>350</v>
      </c>
      <c r="C6947" s="8" t="n">
        <f aca="false">cxit_open</f>
        <v>27.5918995</v>
      </c>
      <c r="D6947" s="8" t="n">
        <f aca="false">cxit_open</f>
        <v>27.5918995</v>
      </c>
      <c r="E6947" s="8" t="n">
        <f aca="false">cxit_open</f>
        <v>27.5918995</v>
      </c>
      <c r="F6947" s="8" t="n">
        <f aca="false">(a_g3_27*tk_cxit_gb300+(1-a_g3_27)*tk_cxit_vr200)</f>
        <v>33.8419624</v>
      </c>
      <c r="G6947" s="8" t="n">
        <f aca="false">(a_g3_28*tk_cxit_gb300+(1-a_g3_28)*tk_cxit_vr200)</f>
        <v>35.9816136</v>
      </c>
      <c r="H6947" s="8" t="n">
        <f aca="false">(a_g3_29*tk_cxit_gb300+(1-a_g3_29)*tk_cxit_vr200)</f>
        <v>37.0514392</v>
      </c>
      <c r="I6947" s="8" t="n">
        <f aca="false">(a_g3_29*tk_cxit_gb300+(1-a_g3_29)*tk_cxit_vr200)</f>
        <v>37.0514392</v>
      </c>
      <c r="J6947" s="8" t="n">
        <f aca="false">(a_g3_29*tk_cxit_gb300+(1-a_g3_29)*tk_cxit_vr200)</f>
        <v>37.0514392</v>
      </c>
      <c r="K6947" s="8" t="n">
        <f aca="false">(a_g3_29*tk_cxit_gb300+(1-a_g3_29)*tk_cxit_vr200)</f>
        <v>37.0514392</v>
      </c>
      <c r="L6947" s="11" t="s">
        <v>832</v>
      </c>
    </row>
    <row r="6948" customFormat="false" ht="17.15" hidden="false" customHeight="false" outlineLevel="0" collapsed="false">
      <c r="A6948" s="0" t="s">
        <v>833</v>
      </c>
      <c r="B6948" s="0" t="s">
        <v>392</v>
      </c>
      <c r="F6948" s="29" t="n">
        <f aca="false">Sens!C6929*IF(Sens!F6922-Sens!C6922=life_it,1,0)+Sens!D6929*IF(Sens!F6922-Sens!D6922=life_it,1,0)+Sens!E6929*IF(Sens!F6922-Sens!E6922=life_it,1,0)</f>
        <v>0</v>
      </c>
      <c r="G6948" s="29" t="n">
        <f aca="false">Sens!C6929*IF(Sens!G6922-Sens!C6922=life_it,1,0)+Sens!D6929*IF(Sens!G6922-Sens!D6922=life_it,1,0)+Sens!E6929*IF(Sens!G6922-Sens!E6922=life_it,1,0)+Sens!F6929*IF(Sens!G6922-Sens!F6922=life_it,1,0)</f>
        <v>0</v>
      </c>
      <c r="H6948" s="29" t="n">
        <f aca="false">Sens!C6929*IF(Sens!H6922-Sens!C6922=life_it,1,0)+Sens!D6929*IF(Sens!H6922-Sens!D6922=life_it,1,0)+Sens!E6929*IF(Sens!H6922-Sens!E6922=life_it,1,0)+Sens!F6929*IF(Sens!H6922-Sens!F6922=life_it,1,0)+Sens!G6929*IF(Sens!H6922-Sens!G6922=life_it,1,0)</f>
        <v>0</v>
      </c>
      <c r="I6948" s="29" t="n">
        <f aca="false">Sens!C6929*IF(Sens!I6922-Sens!C6922=life_it,1,0)+Sens!D6929*IF(Sens!I6922-Sens!D6922=life_it,1,0)+Sens!E6929*IF(Sens!I6922-Sens!E6922=life_it,1,0)+Sens!F6929*IF(Sens!I6922-Sens!F6922=life_it,1,0)+Sens!G6929*IF(Sens!I6922-Sens!G6922=life_it,1,0)+Sens!H6929*IF(Sens!I6922-Sens!H6922=life_it,1,0)</f>
        <v>816.666666666667</v>
      </c>
      <c r="J6948" s="29" t="n">
        <f aca="false">Sens!C6929*IF(Sens!J6922-Sens!C6922=life_it,1,0)+Sens!D6929*IF(Sens!J6922-Sens!D6922=life_it,1,0)+Sens!E6929*IF(Sens!J6922-Sens!E6922=life_it,1,0)+Sens!F6929*IF(Sens!J6922-Sens!F6922=life_it,1,0)+Sens!G6929*IF(Sens!J6922-Sens!G6922=life_it,1,0)+Sens!H6929*IF(Sens!J6922-Sens!H6922=life_it,1,0)+Sens!I6929*IF(Sens!J6922-Sens!I6922=life_it,1,0)</f>
        <v>1233.33333333333</v>
      </c>
      <c r="K6948" s="29" t="n">
        <f aca="false">Sens!C6929*IF(Sens!K6922-Sens!C6922=life_it,1,0)+Sens!D6929*IF(Sens!K6922-Sens!D6922=life_it,1,0)+Sens!E6929*IF(Sens!K6922-Sens!E6922=life_it,1,0)+Sens!F6929*IF(Sens!K6922-Sens!F6922=life_it,1,0)+Sens!G6929*IF(Sens!K6922-Sens!G6922=life_it,1,0)+Sens!H6929*IF(Sens!K6922-Sens!H6922=life_it,1,0)+Sens!I6929*IF(Sens!K6922-Sens!I6922=life_it,1,0)+Sens!J6929*IF(Sens!K6922-Sens!J6922=life_it,1,0)</f>
        <v>2450</v>
      </c>
      <c r="L6948" s="1" t="s">
        <v>834</v>
      </c>
    </row>
    <row r="6949" customFormat="false" ht="17.15" hidden="false" customHeight="false" outlineLevel="0" collapsed="false">
      <c r="A6949" s="0" t="s">
        <v>835</v>
      </c>
      <c r="B6949" s="0" t="s">
        <v>98</v>
      </c>
      <c r="C6949" s="6" t="n">
        <f aca="false">Sens!C6929*Sens!C6947/1000</f>
        <v>22.5333845916667</v>
      </c>
      <c r="D6949" s="6" t="n">
        <f aca="false">Sens!D6929*Sens!D6947/1000</f>
        <v>34.0300093833333</v>
      </c>
      <c r="E6949" s="6" t="n">
        <f aca="false">Sens!E6929*Sens!E6947/1000</f>
        <v>67.600153775</v>
      </c>
      <c r="F6949" s="6" t="n">
        <f aca="false">(Sens!F6929+Sens!F6948)*Sens!F6947/1000</f>
        <v>130.923271871467</v>
      </c>
      <c r="G6949" s="6" t="n">
        <f aca="false">(Sens!G6929+Sens!G6948)*Sens!G6947/1000</f>
        <v>151.5545564832</v>
      </c>
      <c r="H6949" s="6" t="n">
        <f aca="false">(Sens!H6929+Sens!H6948)*Sens!H6947/1000</f>
        <v>156.0606619104</v>
      </c>
      <c r="I6949" s="6" t="n">
        <f aca="false">(Sens!I6929+Sens!I6948)*Sens!I6947/1000</f>
        <v>140.987889434245</v>
      </c>
      <c r="J6949" s="6" t="n">
        <f aca="false">(Sens!J6929+Sens!J6948)*Sens!J6947/1000</f>
        <v>111.094541278091</v>
      </c>
      <c r="K6949" s="6" t="n">
        <f aca="false">(Sens!K6929+Sens!K6948)*Sens!K6947/1000</f>
        <v>110.842344481936</v>
      </c>
    </row>
    <row r="6950" customFormat="false" ht="17.15" hidden="false" customHeight="false" outlineLevel="0" collapsed="false">
      <c r="A6950" s="0" t="s">
        <v>836</v>
      </c>
      <c r="B6950" s="0" t="s">
        <v>98</v>
      </c>
      <c r="C6950" s="6" t="n">
        <f aca="false">Sens!C6929*self_build*tk_cxfac/1000</f>
        <v>6.2083</v>
      </c>
      <c r="D6950" s="6" t="n">
        <f aca="false">Sens!D6929*self_build*tk_cxfac/1000</f>
        <v>9.3758</v>
      </c>
      <c r="E6950" s="6" t="n">
        <f aca="false">Sens!E6929*self_build*tk_cxfac/1000</f>
        <v>18.6249</v>
      </c>
      <c r="F6950" s="6" t="n">
        <f aca="false">Sens!F6929*self_build*tk_cxfac/1000</f>
        <v>29.409604</v>
      </c>
      <c r="G6950" s="6" t="n">
        <f aca="false">Sens!G6929*self_build*tk_cxfac/1000</f>
        <v>32.019624</v>
      </c>
      <c r="H6950" s="6" t="n">
        <f aca="false">Sens!H6929*self_build*tk_cxfac/1000</f>
        <v>32.019624</v>
      </c>
      <c r="I6950" s="6" t="n">
        <f aca="false">Sens!I6929*self_build*tk_cxfac/1000</f>
        <v>22.71877972</v>
      </c>
      <c r="J6950" s="6" t="n">
        <f aca="false">Sens!J6929*self_build*tk_cxfac/1000</f>
        <v>13.41793544</v>
      </c>
      <c r="K6950" s="6" t="n">
        <f aca="false">Sens!K6929*self_build*tk_cxfac/1000</f>
        <v>4.11709116000001</v>
      </c>
    </row>
    <row r="6951" customFormat="false" ht="17.15" hidden="false" customHeight="false" outlineLevel="0" collapsed="false">
      <c r="A6951" s="0" t="s">
        <v>837</v>
      </c>
      <c r="B6951" s="0" t="s">
        <v>98</v>
      </c>
      <c r="F6951" s="6" t="n">
        <f aca="false">MAX(0,capex_floor27-Sens!F6949-Sens!F6950-Sens!F7044)</f>
        <v>7.86777689897088</v>
      </c>
      <c r="L6951" s="1" t="s">
        <v>838</v>
      </c>
    </row>
    <row r="6952" customFormat="false" ht="17.15" hidden="false" customHeight="false" outlineLevel="0" collapsed="false">
      <c r="A6952" s="0" t="s">
        <v>839</v>
      </c>
      <c r="B6952" s="0" t="s">
        <v>98</v>
      </c>
      <c r="C6952" s="6" t="n">
        <f aca="false">Sens!C6949</f>
        <v>22.5333845916667</v>
      </c>
      <c r="D6952" s="6" t="n">
        <f aca="false">Sens!D6949</f>
        <v>34.0300093833333</v>
      </c>
      <c r="E6952" s="6" t="n">
        <f aca="false">Sens!E6949</f>
        <v>67.600153775</v>
      </c>
      <c r="F6952" s="6" t="n">
        <f aca="false">Sens!F6949+Sens!F6951</f>
        <v>138.791048770438</v>
      </c>
      <c r="G6952" s="6" t="n">
        <f aca="false">Sens!G6949</f>
        <v>151.5545564832</v>
      </c>
      <c r="H6952" s="6" t="n">
        <f aca="false">Sens!H6949</f>
        <v>156.0606619104</v>
      </c>
      <c r="I6952" s="6" t="n">
        <f aca="false">Sens!I6949</f>
        <v>140.987889434245</v>
      </c>
      <c r="J6952" s="6" t="n">
        <f aca="false">Sens!J6949</f>
        <v>111.094541278091</v>
      </c>
      <c r="K6952" s="6" t="n">
        <f aca="false">Sens!K6949</f>
        <v>110.842344481936</v>
      </c>
    </row>
    <row r="6953" customFormat="false" ht="17.15" hidden="false" customHeight="false" outlineLevel="0" collapsed="false">
      <c r="A6953" s="0" t="s">
        <v>840</v>
      </c>
      <c r="B6953" s="0" t="s">
        <v>98</v>
      </c>
      <c r="C6953" s="6" t="n">
        <f aca="false">Sens!C6952+Sens!C6950</f>
        <v>28.7416845916667</v>
      </c>
      <c r="D6953" s="6" t="n">
        <f aca="false">Sens!D6952+Sens!D6950</f>
        <v>43.4058093833333</v>
      </c>
      <c r="E6953" s="6" t="n">
        <f aca="false">Sens!E6952+Sens!E6950</f>
        <v>86.225053775</v>
      </c>
      <c r="F6953" s="6" t="n">
        <f aca="false">Sens!F6952+Sens!F6950</f>
        <v>168.200652770438</v>
      </c>
      <c r="G6953" s="6" t="n">
        <f aca="false">Sens!G6952+Sens!G6950</f>
        <v>183.5741804832</v>
      </c>
      <c r="H6953" s="6" t="n">
        <f aca="false">Sens!H6952+Sens!H6950</f>
        <v>188.0802859104</v>
      </c>
      <c r="I6953" s="6" t="n">
        <f aca="false">Sens!I6952+Sens!I6950</f>
        <v>163.706669154245</v>
      </c>
      <c r="J6953" s="6" t="n">
        <f aca="false">Sens!J6952+Sens!J6950</f>
        <v>124.51247671809</v>
      </c>
      <c r="K6953" s="6" t="n">
        <f aca="false">Sens!K6952+Sens!K6950</f>
        <v>114.959435641936</v>
      </c>
      <c r="L6953" s="11" t="s">
        <v>841</v>
      </c>
    </row>
    <row r="6954" customFormat="false" ht="17.15" hidden="false" customHeight="false" outlineLevel="0" collapsed="false">
      <c r="A6954" s="0" t="s">
        <v>842</v>
      </c>
      <c r="B6954" s="0" t="s">
        <v>98</v>
      </c>
      <c r="E6954" s="6" t="n">
        <f aca="false">(Sens!C6952*IF(2&lt;life_it,1,IF(2=life_it,0.5,0))+Sens!D6952*IF(1&lt;life_it,1,IF(1=life_it,0.5,0))+Sens!E6952*0.5)/life_it</f>
        <v>15.0605784770833</v>
      </c>
      <c r="F6954" s="6" t="n">
        <f aca="false">(Sens!C6952*IF(3&lt;life_it,1,IF(3=life_it,0.5,0))+Sens!D6952*IF(2&lt;life_it,1,IF(2=life_it,0.5,0))+Sens!E6952*IF(1&lt;life_it,1,IF(1=life_it,0.5,0))+Sens!F6952*0.5)/life_it</f>
        <v>32.2598453558698</v>
      </c>
      <c r="G6954" s="6" t="n">
        <f aca="false">(Sens!C6952*IF(4&lt;life_it,1,IF(4=life_it,0.5,0))+Sens!D6952*IF(3&lt;life_it,1,IF(3=life_it,0.5,0))+Sens!E6952*IF(2&lt;life_it,1,IF(2=life_it,0.5,0))+Sens!F6952*IF(1&lt;life_it,1,IF(1=life_it,0.5,0))+Sens!G6952*0.5)/life_it</f>
        <v>56.4553124603396</v>
      </c>
      <c r="H6954" s="6" t="n">
        <f aca="false">(Sens!C6952*IF(5&lt;life_it,1,IF(5=life_it,0.5,0))+Sens!D6952*IF(4&lt;life_it,1,IF(4=life_it,0.5,0))+Sens!E6952*IF(3&lt;life_it,1,IF(3=life_it,0.5,0))+Sens!F6952*IF(2&lt;life_it,1,IF(2=life_it,0.5,0))+Sens!G6952*IF(1&lt;life_it,1,IF(1=life_it,0.5,0))+Sens!H6952*0.5)/life_it</f>
        <v>82.0899139931396</v>
      </c>
      <c r="I6954" s="6" t="n">
        <f aca="false">(Sens!C6952*IF(6&lt;life_it,1,IF(6=life_it,0.5,0))+Sens!D6952*IF(5&lt;life_it,1,IF(5=life_it,0.5,0))+Sens!E6952*IF(4&lt;life_it,1,IF(4=life_it,0.5,0))+Sens!F6952*IF(3&lt;life_it,1,IF(3=life_it,0.5,0))+Sens!G6952*IF(2&lt;life_it,1,IF(2=life_it,0.5,0))+Sens!H6952*IF(1&lt;life_it,1,IF(1=life_it,0.5,0))+Sens!I6952*0.5)/life_it</f>
        <v>104.966177889221</v>
      </c>
      <c r="J6954" s="6" t="n">
        <f aca="false">(Sens!C6952*IF(7&lt;life_it,1,IF(7=life_it,0.5,0))+Sens!D6952*IF(6&lt;life_it,1,IF(6=life_it,0.5,0))+Sens!E6952*IF(5&lt;life_it,1,IF(5=life_it,0.5,0))+Sens!F6952*IF(4&lt;life_it,1,IF(4=life_it,0.5,0))+Sens!G6952*IF(3&lt;life_it,1,IF(3=life_it,0.5,0))+Sens!H6952*IF(2&lt;life_it,1,IF(2=life_it,0.5,0))+Sens!I6952*IF(1&lt;life_it,1,IF(1=life_it,0.5,0))+Sens!J6952*0.5)/life_it</f>
        <v>121.259430950666</v>
      </c>
      <c r="K6954" s="6" t="n">
        <f aca="false">(Sens!C6952*IF(8&lt;life_it,1,IF(8=life_it,0.5,0))+Sens!D6952*IF(7&lt;life_it,1,IF(7=life_it,0.5,0))+Sens!E6952*IF(6&lt;life_it,1,IF(6=life_it,0.5,0))+Sens!F6952*IF(5&lt;life_it,1,IF(5=life_it,0.5,0))+Sens!G6952*IF(4&lt;life_it,1,IF(4=life_it,0.5,0))+Sens!H6952*IF(3&lt;life_it,1,IF(3=life_it,0.5,0))+Sens!I6952*IF(2&lt;life_it,1,IF(2=life_it,0.5,0))+Sens!J6952*IF(1&lt;life_it,1,IF(1=life_it,0.5,0))+Sens!K6952*0.5)/life_it</f>
        <v>131.284991167474</v>
      </c>
    </row>
    <row r="6955" customFormat="false" ht="17.15" hidden="false" customHeight="false" outlineLevel="0" collapsed="false">
      <c r="A6955" s="0" t="s">
        <v>843</v>
      </c>
      <c r="B6955" s="0" t="s">
        <v>98</v>
      </c>
      <c r="E6955" s="6" t="n">
        <f aca="false">(Sens!C6950*IF(2&lt;life_fac,1,IF(2=life_fac,0.5,0))+Sens!D6950*IF(1&lt;life_fac,1,IF(1=life_fac,0.5,0))+Sens!E6950*0.5)/life_fac</f>
        <v>1.2448275</v>
      </c>
      <c r="F6955" s="6" t="n">
        <f aca="false">(Sens!C6950*IF(3&lt;life_fac,1,IF(3=life_fac,0.5,0))+Sens!D6950*IF(2&lt;life_fac,1,IF(2=life_fac,0.5,0))+Sens!E6950*IF(1&lt;life_fac,1,IF(1=life_fac,0.5,0))+Sens!F6950*0.5)/life_fac</f>
        <v>2.4456901</v>
      </c>
      <c r="G6955" s="6" t="n">
        <f aca="false">(Sens!C6950*IF(4&lt;life_fac,1,IF(4=life_fac,0.5,0))+Sens!D6950*IF(3&lt;life_fac,1,IF(3=life_fac,0.5,0))+Sens!E6950*IF(2&lt;life_fac,1,IF(2=life_fac,0.5,0))+Sens!F6950*IF(1&lt;life_fac,1,IF(1=life_fac,0.5,0))+Sens!G6950*0.5)/life_fac</f>
        <v>3.9814208</v>
      </c>
      <c r="H6955" s="6" t="n">
        <f aca="false">(Sens!C6950*IF(5&lt;life_fac,1,IF(5=life_fac,0.5,0))+Sens!D6950*IF(4&lt;life_fac,1,IF(4=life_fac,0.5,0))+Sens!E6950*IF(3&lt;life_fac,1,IF(3=life_fac,0.5,0))+Sens!F6950*IF(2&lt;life_fac,1,IF(2=life_fac,0.5,0))+Sens!G6950*IF(1&lt;life_fac,1,IF(1=life_fac,0.5,0))+Sens!H6950*0.5)/life_fac</f>
        <v>5.582402</v>
      </c>
      <c r="I6955" s="6" t="n">
        <f aca="false">(Sens!C6950*IF(6&lt;life_fac,1,IF(6=life_fac,0.5,0))+Sens!D6950*IF(5&lt;life_fac,1,IF(5=life_fac,0.5,0))+Sens!E6950*IF(4&lt;life_fac,1,IF(4=life_fac,0.5,0))+Sens!F6950*IF(3&lt;life_fac,1,IF(3=life_fac,0.5,0))+Sens!G6950*IF(2&lt;life_fac,1,IF(2=life_fac,0.5,0))+Sens!H6950*IF(1&lt;life_fac,1,IF(1=life_fac,0.5,0))+Sens!I6950*0.5)/life_fac</f>
        <v>6.950862093</v>
      </c>
      <c r="J6955" s="6" t="n">
        <f aca="false">(Sens!C6950*IF(7&lt;life_fac,1,IF(7=life_fac,0.5,0))+Sens!D6950*IF(6&lt;life_fac,1,IF(6=life_fac,0.5,0))+Sens!E6950*IF(5&lt;life_fac,1,IF(5=life_fac,0.5,0))+Sens!F6950*IF(4&lt;life_fac,1,IF(4=life_fac,0.5,0))+Sens!G6950*IF(3&lt;life_fac,1,IF(3=life_fac,0.5,0))+Sens!H6950*IF(2&lt;life_fac,1,IF(2=life_fac,0.5,0))+Sens!I6950*IF(1&lt;life_fac,1,IF(1=life_fac,0.5,0))+Sens!J6950*0.5)/life_fac</f>
        <v>7.854279972</v>
      </c>
      <c r="K6955" s="6" t="n">
        <f aca="false">(Sens!C6950*IF(8&lt;life_fac,1,IF(8=life_fac,0.5,0))+Sens!D6950*IF(7&lt;life_fac,1,IF(7=life_fac,0.5,0))+Sens!E6950*IF(6&lt;life_fac,1,IF(6=life_fac,0.5,0))+Sens!F6950*IF(5&lt;life_fac,1,IF(5=life_fac,0.5,0))+Sens!G6950*IF(4&lt;life_fac,1,IF(4=life_fac,0.5,0))+Sens!H6950*IF(3&lt;life_fac,1,IF(3=life_fac,0.5,0))+Sens!I6950*IF(2&lt;life_fac,1,IF(2=life_fac,0.5,0))+Sens!J6950*IF(1&lt;life_fac,1,IF(1=life_fac,0.5,0))+Sens!K6950*0.5)/life_fac</f>
        <v>8.292655637</v>
      </c>
    </row>
    <row r="6956" customFormat="false" ht="17.15" hidden="false" customHeight="false" outlineLevel="0" collapsed="false">
      <c r="A6956" s="0" t="s">
        <v>844</v>
      </c>
      <c r="B6956" s="0" t="s">
        <v>98</v>
      </c>
      <c r="E6956" s="6" t="n">
        <f aca="false">Sens!E6954+Sens!E6955</f>
        <v>16.3054059770833</v>
      </c>
      <c r="F6956" s="6" t="n">
        <f aca="false">Sens!F6954+Sens!F6955</f>
        <v>34.7055354558698</v>
      </c>
      <c r="G6956" s="6" t="n">
        <f aca="false">Sens!G6954+Sens!G6955</f>
        <v>60.4367332603396</v>
      </c>
      <c r="H6956" s="6" t="n">
        <f aca="false">Sens!H6954+Sens!H6955</f>
        <v>87.6723159931396</v>
      </c>
      <c r="I6956" s="6" t="n">
        <f aca="false">Sens!I6954+Sens!I6955</f>
        <v>111.917039982221</v>
      </c>
      <c r="J6956" s="6" t="n">
        <f aca="false">Sens!J6954+Sens!J6955</f>
        <v>129.113710922666</v>
      </c>
      <c r="K6956" s="6" t="n">
        <f aca="false">Sens!K6954+Sens!K6955</f>
        <v>139.577646804474</v>
      </c>
    </row>
    <row r="6957" customFormat="false" ht="17.15" hidden="false" customHeight="false" outlineLevel="0" collapsed="false">
      <c r="A6957" s="0" t="s">
        <v>845</v>
      </c>
      <c r="B6957" s="0" t="s">
        <v>98</v>
      </c>
      <c r="E6957" s="6" t="n">
        <f aca="false">Sens!E6945-Sens!E6944*Sens!E6956</f>
        <v>8.92707889977379</v>
      </c>
      <c r="F6957" s="6" t="n">
        <f aca="false">Sens!F6945-Sens!F6944*Sens!F6956</f>
        <v>22.3045321312152</v>
      </c>
      <c r="G6957" s="6" t="n">
        <f aca="false">Sens!G6945-Sens!G6944*Sens!G6956</f>
        <v>42.2092624237015</v>
      </c>
      <c r="H6957" s="6" t="n">
        <f aca="false">Sens!H6945-Sens!H6944*Sens!H6956</f>
        <v>67.5662346653351</v>
      </c>
      <c r="I6957" s="6" t="n">
        <f aca="false">Sens!I6945-Sens!I6944*Sens!I6956</f>
        <v>84.7826098462332</v>
      </c>
      <c r="J6957" s="6" t="n">
        <f aca="false">Sens!J6945-Sens!J6944*Sens!J6956</f>
        <v>96.7431673654554</v>
      </c>
      <c r="K6957" s="6" t="n">
        <f aca="false">Sens!K6945-Sens!K6944*Sens!K6956</f>
        <v>104.681352960045</v>
      </c>
    </row>
    <row r="6958" customFormat="false" ht="17.15" hidden="false" customHeight="false" outlineLevel="0" collapsed="false">
      <c r="A6958" s="3" t="s">
        <v>1415</v>
      </c>
    </row>
    <row r="6959" customFormat="false" ht="15" hidden="false" customHeight="false" outlineLevel="0" collapsed="false">
      <c r="A6959" s="4" t="s">
        <v>43</v>
      </c>
      <c r="B6959" s="4" t="s">
        <v>65</v>
      </c>
      <c r="C6959" s="20" t="s">
        <v>788</v>
      </c>
      <c r="D6959" s="20" t="s">
        <v>789</v>
      </c>
      <c r="E6959" s="20" t="s">
        <v>790</v>
      </c>
      <c r="F6959" s="20" t="s">
        <v>791</v>
      </c>
      <c r="G6959" s="20" t="s">
        <v>792</v>
      </c>
      <c r="H6959" s="20" t="s">
        <v>793</v>
      </c>
      <c r="I6959" s="20" t="s">
        <v>794</v>
      </c>
      <c r="J6959" s="20" t="s">
        <v>795</v>
      </c>
      <c r="K6959" s="20" t="s">
        <v>796</v>
      </c>
      <c r="L6959" s="4" t="s">
        <v>47</v>
      </c>
    </row>
    <row r="6960" customFormat="false" ht="17.15" hidden="false" customHeight="false" outlineLevel="0" collapsed="false">
      <c r="A6960" s="0" t="s">
        <v>864</v>
      </c>
      <c r="B6960" s="0" t="s">
        <v>98</v>
      </c>
      <c r="D6960" s="6" t="n">
        <f aca="false">Sens!D6939</f>
        <v>12.9359794422418</v>
      </c>
      <c r="E6960" s="6" t="n">
        <f aca="false">Sens!E6939</f>
        <v>27.8095064661409</v>
      </c>
      <c r="F6960" s="6" t="n">
        <f aca="false">Sens!F6939</f>
        <v>58.7324192305018</v>
      </c>
      <c r="G6960" s="6" t="n">
        <f aca="false">Sens!G6939</f>
        <v>101.369089141153</v>
      </c>
      <c r="H6960" s="6" t="n">
        <f aca="false">Sens!H6939</f>
        <v>149.785610014234</v>
      </c>
      <c r="I6960" s="6" t="n">
        <f aca="false">Sens!I6939</f>
        <v>187.368703083263</v>
      </c>
      <c r="J6960" s="6" t="n">
        <f aca="false">Sens!J6939</f>
        <v>213.569023125577</v>
      </c>
      <c r="K6960" s="6" t="n">
        <f aca="false">Sens!K6939</f>
        <v>229.890205197739</v>
      </c>
    </row>
    <row r="6961" customFormat="false" ht="17.15" hidden="false" customHeight="false" outlineLevel="0" collapsed="false">
      <c r="A6961" s="0" t="s">
        <v>865</v>
      </c>
      <c r="B6961" s="0" t="s">
        <v>98</v>
      </c>
      <c r="D6961" s="6" t="n">
        <f aca="false">Q!L6-Sens!D6960</f>
        <v>59.6740205577583</v>
      </c>
      <c r="E6961" s="6" t="n">
        <f aca="false">Q!M6-Sens!E6960</f>
        <v>74.1284935338591</v>
      </c>
      <c r="F6961" s="6" t="n">
        <f aca="false">Sens!E6961*(1+Sens!F6962)</f>
        <v>90.0799497373663</v>
      </c>
      <c r="G6961" s="6" t="n">
        <f aca="false">Sens!F6961*(1+Sens!G6962)</f>
        <v>107.02842520331</v>
      </c>
      <c r="H6961" s="6" t="n">
        <f aca="false">Sens!G6961*(1+Sens!H6962)</f>
        <v>124.271982585636</v>
      </c>
      <c r="I6961" s="6" t="n">
        <f aca="false">Sens!H6961*(1+Sens!I6962)</f>
        <v>140.933702381855</v>
      </c>
      <c r="J6961" s="6" t="n">
        <f aca="false">Sens!I6961*(1+Sens!J6962)</f>
        <v>156.018867314332</v>
      </c>
      <c r="K6961" s="6" t="n">
        <f aca="false">Sens!J6961*(1+Sens!K6962)</f>
        <v>168.500376699478</v>
      </c>
    </row>
    <row r="6962" customFormat="false" ht="15" hidden="false" customHeight="false" outlineLevel="0" collapsed="false">
      <c r="A6962" s="1" t="s">
        <v>866</v>
      </c>
      <c r="B6962" s="0" t="s">
        <v>129</v>
      </c>
      <c r="E6962" s="7" t="n">
        <f aca="false">Sens!E6961/Sens!D6961-1</f>
        <v>0.242223883039864</v>
      </c>
      <c r="F6962" s="7" t="n">
        <f aca="false">Sens!$E$6962+(glt_azo-Sens!$E$6962)*MIN(1,(Sens!F6922-base_fy)/n_conv)</f>
        <v>0.215186569199887</v>
      </c>
      <c r="G6962" s="7" t="n">
        <f aca="false">Sens!$E$6962+(glt_azo-Sens!$E$6962)*MIN(1,(Sens!G6922-base_fy)/n_conv)</f>
        <v>0.18814925535991</v>
      </c>
      <c r="H6962" s="7" t="n">
        <f aca="false">Sens!$E$6962+(glt_azo-Sens!$E$6962)*MIN(1,(Sens!H6922-base_fy)/n_conv)</f>
        <v>0.161111941519932</v>
      </c>
      <c r="I6962" s="7" t="n">
        <f aca="false">Sens!$E$6962+(glt_azo-Sens!$E$6962)*MIN(1,(Sens!I6922-base_fy)/n_conv)</f>
        <v>0.134074627679955</v>
      </c>
      <c r="J6962" s="7" t="n">
        <f aca="false">Sens!$E$6962+(glt_azo-Sens!$E$6962)*MIN(1,(Sens!J6922-base_fy)/n_conv)</f>
        <v>0.107037313839977</v>
      </c>
      <c r="K6962" s="7" t="n">
        <f aca="false">Sens!$E$6962+(glt_azo-Sens!$E$6962)*MIN(1,(Sens!K6922-base_fy)/n_conv)</f>
        <v>0.08</v>
      </c>
    </row>
    <row r="6963" customFormat="false" ht="15" hidden="false" customHeight="false" outlineLevel="0" collapsed="false">
      <c r="A6963" s="0" t="s">
        <v>867</v>
      </c>
      <c r="B6963" s="0" t="s">
        <v>98</v>
      </c>
      <c r="D6963" s="6" t="n">
        <f aca="false">Sens!D6960+Sens!D6961</f>
        <v>72.61</v>
      </c>
      <c r="E6963" s="6" t="n">
        <f aca="false">Sens!E6960+Sens!E6961</f>
        <v>101.938</v>
      </c>
      <c r="F6963" s="6" t="n">
        <f aca="false">Sens!F6960+Sens!F6961</f>
        <v>148.812368967868</v>
      </c>
      <c r="G6963" s="6" t="n">
        <f aca="false">Sens!G6960+Sens!G6961</f>
        <v>208.397514344463</v>
      </c>
      <c r="H6963" s="6" t="n">
        <f aca="false">Sens!H6960+Sens!H6961</f>
        <v>274.05759259987</v>
      </c>
      <c r="I6963" s="6" t="n">
        <f aca="false">Sens!I6960+Sens!I6961</f>
        <v>328.302405465117</v>
      </c>
      <c r="J6963" s="6" t="n">
        <f aca="false">Sens!J6960+Sens!J6961</f>
        <v>369.587890439908</v>
      </c>
      <c r="K6963" s="6" t="n">
        <f aca="false">Sens!K6960+Sens!K6961</f>
        <v>398.390581897217</v>
      </c>
    </row>
    <row r="6964" customFormat="false" ht="17.15" hidden="false" customHeight="false" outlineLevel="0" collapsed="false">
      <c r="A6964" s="0" t="s">
        <v>868</v>
      </c>
      <c r="B6964" s="1" t="s">
        <v>521</v>
      </c>
      <c r="C6964" s="29" t="n">
        <f aca="false">cop_s24</f>
        <v>1</v>
      </c>
      <c r="D6964" s="29" t="n">
        <f aca="false">cop_s25</f>
        <v>5</v>
      </c>
      <c r="E6964" s="29" t="n">
        <f aca="false">cop_s26</f>
        <v>30</v>
      </c>
      <c r="F6964" s="29" t="n">
        <f aca="false">Sens!E6964+cop_add_A</f>
        <v>60</v>
      </c>
      <c r="G6964" s="29" t="n">
        <f aca="false">Sens!F6964+cop_add_A</f>
        <v>90</v>
      </c>
      <c r="H6964" s="29" t="n">
        <f aca="false">Sens!G6964+cop_add_A</f>
        <v>120</v>
      </c>
      <c r="I6964" s="29" t="n">
        <f aca="false">Sens!H6964+cop_add_A*cop_tail</f>
        <v>135</v>
      </c>
      <c r="J6964" s="29" t="n">
        <f aca="false">Sens!I6964+cop_add_A*cop_tail</f>
        <v>150</v>
      </c>
      <c r="K6964" s="29" t="n">
        <f aca="false">Sens!J6964+cop_add_A*cop_tail</f>
        <v>165</v>
      </c>
      <c r="L6964" s="11" t="s">
        <v>869</v>
      </c>
    </row>
    <row r="6965" customFormat="false" ht="17.15" hidden="false" customHeight="false" outlineLevel="0" collapsed="false">
      <c r="A6965" s="0" t="s">
        <v>870</v>
      </c>
      <c r="B6965" s="0" t="s">
        <v>98</v>
      </c>
      <c r="D6965" s="6" t="n">
        <f aca="false">(Sens!C6964+Sens!D6964)/2*cop_px*12/1000</f>
        <v>0.9</v>
      </c>
      <c r="E6965" s="6" t="n">
        <f aca="false">(Sens!D6964+Sens!E6964)/2*cop_px*12/1000</f>
        <v>5.25</v>
      </c>
      <c r="F6965" s="6" t="n">
        <f aca="false">(Sens!E6964+Sens!F6964)/2*cop_px_hi*12/1000</f>
        <v>16.2</v>
      </c>
      <c r="G6965" s="6" t="n">
        <f aca="false">(Sens!F6964+Sens!G6964)/2*cop_px_hi*12/1000</f>
        <v>27</v>
      </c>
      <c r="H6965" s="6" t="n">
        <f aca="false">(Sens!G6964+Sens!H6964)/2*cop_px_hi*12/1000</f>
        <v>37.8</v>
      </c>
      <c r="I6965" s="6" t="n">
        <f aca="false">(Sens!H6964+Sens!I6964)/2*cop_px_hi*12/1000</f>
        <v>45.9</v>
      </c>
      <c r="J6965" s="6" t="n">
        <f aca="false">(Sens!I6964+Sens!J6964)/2*cop_px_hi*12/1000</f>
        <v>51.3</v>
      </c>
      <c r="K6965" s="6" t="n">
        <f aca="false">(Sens!J6964+Sens!K6964)/2*cop_px_hi*12/1000</f>
        <v>56.7</v>
      </c>
      <c r="L6965" s="1" t="s">
        <v>871</v>
      </c>
    </row>
    <row r="6966" customFormat="false" ht="17.15" hidden="false" customHeight="false" outlineLevel="0" collapsed="false">
      <c r="A6966" s="0" t="s">
        <v>872</v>
      </c>
      <c r="B6966" s="0" t="s">
        <v>98</v>
      </c>
      <c r="D6966" s="6" t="n">
        <f aca="false">Q!L7-Sens!D6965</f>
        <v>83.705</v>
      </c>
      <c r="E6966" s="6" t="n">
        <f aca="false">Q!M7-Sens!E6965</f>
        <v>95.049</v>
      </c>
      <c r="F6966" s="6" t="n">
        <f aca="false">Sens!E6966*(1+Sens!F6967)</f>
        <v>106.89238776686</v>
      </c>
      <c r="G6966" s="6" t="n">
        <f aca="false">Sens!F6966*(1+Sens!G6967)</f>
        <v>119.044168448684</v>
      </c>
      <c r="H6966" s="6" t="n">
        <f aca="false">Sens!G6966*(1+Sens!H6967)</f>
        <v>131.277359388781</v>
      </c>
      <c r="I6966" s="6" t="n">
        <f aca="false">Sens!H6966*(1+Sens!I6967)</f>
        <v>143.334028071957</v>
      </c>
      <c r="J6966" s="6" t="n">
        <f aca="false">Sens!I6966*(1+Sens!J6967)</f>
        <v>154.932702785465</v>
      </c>
      <c r="K6966" s="6" t="n">
        <f aca="false">Sens!J6966*(1+Sens!K6967)</f>
        <v>165.777991980448</v>
      </c>
    </row>
    <row r="6967" customFormat="false" ht="15" hidden="false" customHeight="false" outlineLevel="0" collapsed="false">
      <c r="A6967" s="1" t="s">
        <v>866</v>
      </c>
      <c r="B6967" s="0" t="s">
        <v>129</v>
      </c>
      <c r="E6967" s="7" t="n">
        <f aca="false">Sens!E6966/Sens!D6966-1</f>
        <v>0.135523564900544</v>
      </c>
      <c r="F6967" s="7" t="n">
        <f aca="false">Sens!$E$6967+(glt_m365b-Sens!$E$6967)*MIN(1,(Sens!F6922-base_fy)/n_conv)</f>
        <v>0.124602970750453</v>
      </c>
      <c r="G6967" s="7" t="n">
        <f aca="false">Sens!$E$6967+(glt_m365b-Sens!$E$6967)*MIN(1,(Sens!G6922-base_fy)/n_conv)</f>
        <v>0.113682376600363</v>
      </c>
      <c r="H6967" s="7" t="n">
        <f aca="false">Sens!$E$6967+(glt_m365b-Sens!$E$6967)*MIN(1,(Sens!H6922-base_fy)/n_conv)</f>
        <v>0.102761782450272</v>
      </c>
      <c r="I6967" s="7" t="n">
        <f aca="false">Sens!$E$6967+(glt_m365b-Sens!$E$6967)*MIN(1,(Sens!I6922-base_fy)/n_conv)</f>
        <v>0.0918411883001813</v>
      </c>
      <c r="J6967" s="7" t="n">
        <f aca="false">Sens!$E$6967+(glt_m365b-Sens!$E$6967)*MIN(1,(Sens!J6922-base_fy)/n_conv)</f>
        <v>0.0809205941500906</v>
      </c>
      <c r="K6967" s="7" t="n">
        <f aca="false">Sens!$E$6967+(glt_m365b-Sens!$E$6967)*MIN(1,(Sens!K6922-base_fy)/n_conv)</f>
        <v>0.07</v>
      </c>
    </row>
    <row r="6968" customFormat="false" ht="15" hidden="false" customHeight="false" outlineLevel="0" collapsed="false">
      <c r="A6968" s="0" t="s">
        <v>873</v>
      </c>
      <c r="B6968" s="0" t="s">
        <v>98</v>
      </c>
      <c r="D6968" s="6" t="n">
        <f aca="false">Sens!D6966+Sens!D6965</f>
        <v>84.605</v>
      </c>
      <c r="E6968" s="6" t="n">
        <f aca="false">Sens!E6966+Sens!E6965</f>
        <v>100.299</v>
      </c>
      <c r="F6968" s="6" t="n">
        <f aca="false">Sens!F6966+Sens!F6965</f>
        <v>123.09238776686</v>
      </c>
      <c r="G6968" s="6" t="n">
        <f aca="false">Sens!G6966+Sens!G6965</f>
        <v>146.044168448684</v>
      </c>
      <c r="H6968" s="6" t="n">
        <f aca="false">Sens!H6966+Sens!H6965</f>
        <v>169.077359388781</v>
      </c>
      <c r="I6968" s="6" t="n">
        <f aca="false">Sens!I6966+Sens!I6965</f>
        <v>189.234028071957</v>
      </c>
      <c r="J6968" s="6" t="n">
        <f aca="false">Sens!J6966+Sens!J6965</f>
        <v>206.232702785465</v>
      </c>
      <c r="K6968" s="6" t="n">
        <f aca="false">Sens!K6966+Sens!K6965</f>
        <v>222.477991980448</v>
      </c>
    </row>
    <row r="6969" customFormat="false" ht="15" hidden="false" customHeight="false" outlineLevel="0" collapsed="false">
      <c r="A6969" s="0" t="s">
        <v>874</v>
      </c>
      <c r="B6969" s="0" t="s">
        <v>98</v>
      </c>
      <c r="D6969" s="6" t="n">
        <f aca="false">Q!L8</f>
        <v>35.391</v>
      </c>
      <c r="E6969" s="6" t="n">
        <f aca="false">Q!M8</f>
        <v>37.285</v>
      </c>
      <c r="F6969" s="6" t="n">
        <f aca="false">Sens!E6969*(1+Sens!F6970)</f>
        <v>39.0720834331704</v>
      </c>
      <c r="G6969" s="6" t="n">
        <f aca="false">Sens!F6969*(1+Sens!G6970)</f>
        <v>40.726562953769</v>
      </c>
      <c r="H6969" s="6" t="n">
        <f aca="false">Sens!G6969*(1+Sens!H6970)</f>
        <v>42.2235987259198</v>
      </c>
      <c r="I6969" s="6" t="n">
        <f aca="false">Sens!H6969*(1+Sens!I6970)</f>
        <v>43.5397988077414</v>
      </c>
      <c r="J6969" s="6" t="n">
        <f aca="false">Sens!I6969*(1+Sens!J6970)</f>
        <v>44.653811225693</v>
      </c>
      <c r="K6969" s="6" t="n">
        <f aca="false">Sens!J6969*(1+Sens!K6970)</f>
        <v>45.5468874502068</v>
      </c>
    </row>
    <row r="6970" customFormat="false" ht="15" hidden="false" customHeight="false" outlineLevel="0" collapsed="false">
      <c r="A6970" s="1" t="s">
        <v>866</v>
      </c>
      <c r="B6970" s="0" t="s">
        <v>129</v>
      </c>
      <c r="E6970" s="7" t="n">
        <f aca="false">Sens!E6969/Sens!D6969-1</f>
        <v>0.0535164307309768</v>
      </c>
      <c r="F6970" s="7" t="n">
        <f aca="false">Sens!$E$6970+(glt_lic-Sens!$E$6970)*MIN(1,(Sens!F6922-base_fy)/n_conv)</f>
        <v>0.0479303589424807</v>
      </c>
      <c r="G6970" s="7" t="n">
        <f aca="false">Sens!$E$6970+(glt_lic-Sens!$E$6970)*MIN(1,(Sens!G6922-base_fy)/n_conv)</f>
        <v>0.0423442871539845</v>
      </c>
      <c r="H6970" s="7" t="n">
        <f aca="false">Sens!$E$6970+(glt_lic-Sens!$E$6970)*MIN(1,(Sens!H6922-base_fy)/n_conv)</f>
        <v>0.0367582153654884</v>
      </c>
      <c r="I6970" s="7" t="n">
        <f aca="false">Sens!$E$6970+(glt_lic-Sens!$E$6970)*MIN(1,(Sens!I6922-base_fy)/n_conv)</f>
        <v>0.0311721435769923</v>
      </c>
      <c r="J6970" s="7" t="n">
        <f aca="false">Sens!$E$6970+(glt_lic-Sens!$E$6970)*MIN(1,(Sens!J6922-base_fy)/n_conv)</f>
        <v>0.0255860717884961</v>
      </c>
      <c r="K6970" s="7" t="n">
        <f aca="false">Sens!$E$6970+(glt_lic-Sens!$E$6970)*MIN(1,(Sens!K6922-base_fy)/n_conv)</f>
        <v>0.02</v>
      </c>
    </row>
    <row r="6971" customFormat="false" ht="15" hidden="false" customHeight="false" outlineLevel="0" collapsed="false">
      <c r="A6971" s="0" t="s">
        <v>875</v>
      </c>
      <c r="B6971" s="0" t="s">
        <v>98</v>
      </c>
      <c r="D6971" s="6" t="n">
        <f aca="false">Q!L9</f>
        <v>18.417</v>
      </c>
      <c r="E6971" s="6" t="n">
        <f aca="false">Q!M9</f>
        <v>20.345</v>
      </c>
      <c r="F6971" s="6" t="n">
        <f aca="false">Sens!E6971*(1+Sens!F6972)</f>
        <v>22.3572203267814</v>
      </c>
      <c r="G6971" s="6" t="n">
        <f aca="false">Sens!F6971*(1+Sens!G6972)</f>
        <v>24.4392124437232</v>
      </c>
      <c r="H6971" s="6" t="n">
        <f aca="false">Sens!G6971*(1+Sens!H6972)</f>
        <v>26.5738052080665</v>
      </c>
      <c r="I6971" s="6" t="n">
        <f aca="false">Sens!H6971*(1+Sens!I6972)</f>
        <v>28.7412169166967</v>
      </c>
      <c r="J6971" s="6" t="n">
        <f aca="false">Sens!I6971*(1+Sens!J6972)</f>
        <v>30.9192545395413</v>
      </c>
      <c r="K6971" s="6" t="n">
        <f aca="false">Sens!J6971*(1+Sens!K6972)</f>
        <v>33.0836023573092</v>
      </c>
    </row>
    <row r="6972" customFormat="false" ht="15" hidden="false" customHeight="false" outlineLevel="0" collapsed="false">
      <c r="A6972" s="1" t="s">
        <v>866</v>
      </c>
      <c r="B6972" s="0" t="s">
        <v>129</v>
      </c>
      <c r="E6972" s="7" t="n">
        <f aca="false">Sens!E6971/Sens!D6971-1</f>
        <v>0.104685888038225</v>
      </c>
      <c r="F6972" s="7" t="n">
        <f aca="false">Sens!$E$6972+(glt_ind-Sens!$E$6972)*MIN(1,(Sens!F6922-base_fy)/n_conv)</f>
        <v>0.0989049066985211</v>
      </c>
      <c r="G6972" s="7" t="n">
        <f aca="false">Sens!$E$6972+(glt_ind-Sens!$E$6972)*MIN(1,(Sens!G6922-base_fy)/n_conv)</f>
        <v>0.0931239253588169</v>
      </c>
      <c r="H6972" s="7" t="n">
        <f aca="false">Sens!$E$6972+(glt_ind-Sens!$E$6972)*MIN(1,(Sens!H6922-base_fy)/n_conv)</f>
        <v>0.0873429440191127</v>
      </c>
      <c r="I6972" s="7" t="n">
        <f aca="false">Sens!$E$6972+(glt_ind-Sens!$E$6972)*MIN(1,(Sens!I6922-base_fy)/n_conv)</f>
        <v>0.0815619626794085</v>
      </c>
      <c r="J6972" s="7" t="n">
        <f aca="false">Sens!$E$6972+(glt_ind-Sens!$E$6972)*MIN(1,(Sens!J6922-base_fy)/n_conv)</f>
        <v>0.0757809813397042</v>
      </c>
      <c r="K6972" s="7" t="n">
        <f aca="false">Sens!$E$6972+(glt_ind-Sens!$E$6972)*MIN(1,(Sens!K6922-base_fy)/n_conv)</f>
        <v>0.07</v>
      </c>
    </row>
    <row r="6973" customFormat="false" ht="15" hidden="false" customHeight="false" outlineLevel="0" collapsed="false">
      <c r="A6973" s="0" t="s">
        <v>876</v>
      </c>
      <c r="B6973" s="0" t="s">
        <v>98</v>
      </c>
      <c r="D6973" s="6" t="n">
        <f aca="false">Q!L10</f>
        <v>7.76</v>
      </c>
      <c r="E6973" s="6" t="n">
        <f aca="false">Q!M10</f>
        <v>8.26</v>
      </c>
      <c r="F6973" s="6" t="n">
        <f aca="false">Sens!E6973*(1+Sens!F6974)</f>
        <v>8.79988041237113</v>
      </c>
      <c r="G6973" s="6" t="n">
        <f aca="false">Sens!F6973*(1+Sens!G6974)</f>
        <v>9.38321269125306</v>
      </c>
      <c r="H6973" s="6" t="n">
        <f aca="false">Sens!G6973*(1+Sens!H6974)</f>
        <v>10.0139193587476</v>
      </c>
      <c r="I6973" s="6" t="n">
        <f aca="false">Sens!H6973*(1+Sens!I6974)</f>
        <v>10.6963111830911</v>
      </c>
      <c r="J6973" s="6" t="n">
        <f aca="false">Sens!I6973*(1+Sens!J6974)</f>
        <v>11.4351285534696</v>
      </c>
      <c r="K6973" s="6" t="n">
        <f aca="false">Sens!J6973*(1+Sens!K6974)</f>
        <v>12.2355875522124</v>
      </c>
    </row>
    <row r="6974" customFormat="false" ht="15" hidden="false" customHeight="false" outlineLevel="0" collapsed="false">
      <c r="A6974" s="1" t="s">
        <v>866</v>
      </c>
      <c r="B6974" s="0" t="s">
        <v>129</v>
      </c>
      <c r="E6974" s="7" t="n">
        <f aca="false">Sens!E6973/Sens!D6973-1</f>
        <v>0.0644329896907216</v>
      </c>
      <c r="F6974" s="7" t="n">
        <f aca="false">Sens!$E$6974+(glt_fro-Sens!$E$6974)*MIN(1,(Sens!F6922-base_fy)/n_conv)</f>
        <v>0.065360824742268</v>
      </c>
      <c r="G6974" s="7" t="n">
        <f aca="false">Sens!$E$6974+(glt_fro-Sens!$E$6974)*MIN(1,(Sens!G6922-base_fy)/n_conv)</f>
        <v>0.0662886597938144</v>
      </c>
      <c r="H6974" s="7" t="n">
        <f aca="false">Sens!$E$6974+(glt_fro-Sens!$E$6974)*MIN(1,(Sens!H6922-base_fy)/n_conv)</f>
        <v>0.0672164948453608</v>
      </c>
      <c r="I6974" s="7" t="n">
        <f aca="false">Sens!$E$6974+(glt_fro-Sens!$E$6974)*MIN(1,(Sens!I6922-base_fy)/n_conv)</f>
        <v>0.0681443298969072</v>
      </c>
      <c r="J6974" s="7" t="n">
        <f aca="false">Sens!$E$6974+(glt_fro-Sens!$E$6974)*MIN(1,(Sens!J6922-base_fy)/n_conv)</f>
        <v>0.0690721649484536</v>
      </c>
      <c r="K6974" s="7" t="n">
        <f aca="false">Sens!$E$6974+(glt_fro-Sens!$E$6974)*MIN(1,(Sens!K6922-base_fy)/n_conv)</f>
        <v>0.07</v>
      </c>
    </row>
    <row r="6975" customFormat="false" ht="15" hidden="false" customHeight="false" outlineLevel="0" collapsed="false">
      <c r="A6975" s="0" t="s">
        <v>704</v>
      </c>
      <c r="B6975" s="0" t="s">
        <v>98</v>
      </c>
      <c r="D6975" s="6" t="n">
        <f aca="false">Sens!D6963+Sens!D6968+Sens!D6969+Sens!D6971+Sens!D6973</f>
        <v>218.783</v>
      </c>
      <c r="E6975" s="6" t="n">
        <f aca="false">Sens!E6963+Sens!E6968+Sens!E6969+Sens!E6971+Sens!E6973</f>
        <v>268.127</v>
      </c>
      <c r="F6975" s="6" t="n">
        <f aca="false">Sens!F6963+Sens!F6968+Sens!F6969+Sens!F6971+Sens!F6973</f>
        <v>342.133940907051</v>
      </c>
      <c r="G6975" s="6" t="n">
        <f aca="false">Sens!G6963+Sens!G6968+Sens!G6969+Sens!G6971+Sens!G6973</f>
        <v>428.990670881892</v>
      </c>
      <c r="H6975" s="6" t="n">
        <f aca="false">Sens!H6963+Sens!H6968+Sens!H6969+Sens!H6971+Sens!H6973</f>
        <v>521.946275281385</v>
      </c>
      <c r="I6975" s="6" t="n">
        <f aca="false">Sens!I6963+Sens!I6968+Sens!I6969+Sens!I6971+Sens!I6973</f>
        <v>600.513760444604</v>
      </c>
      <c r="J6975" s="6" t="n">
        <f aca="false">Sens!J6963+Sens!J6968+Sens!J6969+Sens!J6971+Sens!J6973</f>
        <v>662.828787544077</v>
      </c>
      <c r="K6975" s="6" t="n">
        <f aca="false">Sens!K6963+Sens!K6968+Sens!K6969+Sens!K6971+Sens!K6973</f>
        <v>711.734651237393</v>
      </c>
    </row>
    <row r="6976" customFormat="false" ht="15" hidden="false" customHeight="false" outlineLevel="0" collapsed="false">
      <c r="A6976" s="0" t="s">
        <v>877</v>
      </c>
      <c r="B6976" s="0" t="s">
        <v>98</v>
      </c>
      <c r="D6976" s="6" t="n">
        <f aca="false">Q!L13</f>
        <v>22.171</v>
      </c>
      <c r="E6976" s="6" t="n">
        <f aca="false">Q!M13</f>
        <v>24.835</v>
      </c>
      <c r="F6976" s="6" t="n">
        <f aca="false">Sens!E6976*(1+Sens!F6977)</f>
        <v>27.6114901218559</v>
      </c>
      <c r="G6976" s="6" t="n">
        <f aca="false">Sens!F6976*(1+Sens!G6977)</f>
        <v>30.4675667338515</v>
      </c>
      <c r="H6976" s="6" t="n">
        <f aca="false">Sens!G6976*(1+Sens!H6977)</f>
        <v>33.3643766955789</v>
      </c>
      <c r="I6976" s="6" t="n">
        <f aca="false">Sens!H6976*(1+Sens!I6977)</f>
        <v>36.2577016533691</v>
      </c>
      <c r="J6976" s="6" t="n">
        <f aca="false">Sens!I6976*(1+Sens!J6977)</f>
        <v>39.0988367952171</v>
      </c>
      <c r="K6976" s="6" t="n">
        <f aca="false">Sens!J6976*(1+Sens!K6977)</f>
        <v>41.8357553708823</v>
      </c>
    </row>
    <row r="6977" customFormat="false" ht="15" hidden="false" customHeight="false" outlineLevel="0" collapsed="false">
      <c r="A6977" s="1" t="s">
        <v>866</v>
      </c>
      <c r="B6977" s="0" t="s">
        <v>129</v>
      </c>
      <c r="E6977" s="7" t="n">
        <f aca="false">Sens!E6976/Sens!D6976-1</f>
        <v>0.120156961796942</v>
      </c>
      <c r="F6977" s="7" t="n">
        <f aca="false">Sens!$E$6977+(glt_srch-Sens!$E$6977)*MIN(1,(Sens!F6922-base_fy)/n_conv)</f>
        <v>0.111797468164118</v>
      </c>
      <c r="G6977" s="7" t="n">
        <f aca="false">Sens!$E$6977+(glt_srch-Sens!$E$6977)*MIN(1,(Sens!G6922-base_fy)/n_conv)</f>
        <v>0.103437974531295</v>
      </c>
      <c r="H6977" s="7" t="n">
        <f aca="false">Sens!$E$6977+(glt_srch-Sens!$E$6977)*MIN(1,(Sens!H6922-base_fy)/n_conv)</f>
        <v>0.095078480898471</v>
      </c>
      <c r="I6977" s="7" t="n">
        <f aca="false">Sens!$E$6977+(glt_srch-Sens!$E$6977)*MIN(1,(Sens!I6922-base_fy)/n_conv)</f>
        <v>0.0867189872656474</v>
      </c>
      <c r="J6977" s="7" t="n">
        <f aca="false">Sens!$E$6977+(glt_srch-Sens!$E$6977)*MIN(1,(Sens!J6922-base_fy)/n_conv)</f>
        <v>0.0783594936328237</v>
      </c>
      <c r="K6977" s="7" t="n">
        <f aca="false">Sens!$E$6977+(glt_srch-Sens!$E$6977)*MIN(1,(Sens!K6922-base_fy)/n_conv)</f>
        <v>0.07</v>
      </c>
    </row>
    <row r="6978" customFormat="false" ht="15" hidden="false" customHeight="false" outlineLevel="0" collapsed="false">
      <c r="A6978" s="0" t="s">
        <v>878</v>
      </c>
      <c r="B6978" s="0" t="s">
        <v>98</v>
      </c>
      <c r="D6978" s="6" t="n">
        <f aca="false">Q!L14</f>
        <v>23.455</v>
      </c>
      <c r="E6978" s="6" t="n">
        <f aca="false">Q!M14</f>
        <v>21.79</v>
      </c>
      <c r="F6978" s="6" t="n">
        <f aca="false">Sens!E6978*(1+Sens!F6979)</f>
        <v>20.5736277908051</v>
      </c>
      <c r="G6978" s="6" t="n">
        <f aca="false">Sens!F6978*(1+Sens!G6979)</f>
        <v>19.7371452817919</v>
      </c>
      <c r="H6978" s="6" t="n">
        <f aca="false">Sens!G6978*(1+Sens!H6979)</f>
        <v>19.2339764043138</v>
      </c>
      <c r="I6978" s="6" t="n">
        <f aca="false">Sens!H6978*(1+Sens!I6979)</f>
        <v>19.0353086852681</v>
      </c>
      <c r="J6978" s="6" t="n">
        <f aca="false">Sens!I6978*(1+Sens!J6979)</f>
        <v>19.1273539319129</v>
      </c>
      <c r="K6978" s="6" t="n">
        <f aca="false">Sens!J6978*(1+Sens!K6979)</f>
        <v>19.5099010105511</v>
      </c>
    </row>
    <row r="6979" customFormat="false" ht="15" hidden="false" customHeight="false" outlineLevel="0" collapsed="false">
      <c r="A6979" s="1" t="s">
        <v>866</v>
      </c>
      <c r="B6979" s="0" t="s">
        <v>129</v>
      </c>
      <c r="E6979" s="7" t="n">
        <f aca="false">Sens!E6978/Sens!D6978-1</f>
        <v>-0.0709869963760392</v>
      </c>
      <c r="F6979" s="7" t="n">
        <f aca="false">Sens!$E$6979+(glt_xbox-Sens!$E$6979)*MIN(1,(Sens!F6922-base_fy)/n_conv)</f>
        <v>-0.0558224969800327</v>
      </c>
      <c r="G6979" s="7" t="n">
        <f aca="false">Sens!$E$6979+(glt_xbox-Sens!$E$6979)*MIN(1,(Sens!G6922-base_fy)/n_conv)</f>
        <v>-0.0406579975840262</v>
      </c>
      <c r="H6979" s="7" t="n">
        <f aca="false">Sens!$E$6979+(glt_xbox-Sens!$E$6979)*MIN(1,(Sens!H6922-base_fy)/n_conv)</f>
        <v>-0.0254934981880196</v>
      </c>
      <c r="I6979" s="7" t="n">
        <f aca="false">Sens!$E$6979+(glt_xbox-Sens!$E$6979)*MIN(1,(Sens!I6922-base_fy)/n_conv)</f>
        <v>-0.0103289987920131</v>
      </c>
      <c r="J6979" s="7" t="n">
        <f aca="false">Sens!$E$6979+(glt_xbox-Sens!$E$6979)*MIN(1,(Sens!J6922-base_fy)/n_conv)</f>
        <v>0.00483550060399347</v>
      </c>
      <c r="K6979" s="7" t="n">
        <f aca="false">Sens!$E$6979+(glt_xbox-Sens!$E$6979)*MIN(1,(Sens!K6922-base_fy)/n_conv)</f>
        <v>0.02</v>
      </c>
    </row>
    <row r="6980" customFormat="false" ht="15" hidden="false" customHeight="false" outlineLevel="0" collapsed="false">
      <c r="A6980" s="0" t="s">
        <v>879</v>
      </c>
      <c r="B6980" s="0" t="s">
        <v>98</v>
      </c>
      <c r="D6980" s="6" t="n">
        <f aca="false">Q!L15</f>
        <v>17.315</v>
      </c>
      <c r="E6980" s="6" t="n">
        <f aca="false">Q!M15</f>
        <v>17.087</v>
      </c>
      <c r="F6980" s="6" t="n">
        <f aca="false">Sens!E6980*(1+Sens!F6981)</f>
        <v>16.9564585436519</v>
      </c>
      <c r="G6980" s="6" t="n">
        <f aca="false">Sens!F6980*(1+Sens!G6981)</f>
        <v>16.9206490624268</v>
      </c>
      <c r="H6980" s="6" t="n">
        <f aca="false">Sens!G6980*(1+Sens!H6981)</f>
        <v>16.9784519149849</v>
      </c>
      <c r="I6980" s="6" t="n">
        <f aca="false">Sens!H6980*(1+Sens!I6981)</f>
        <v>17.1303084701817</v>
      </c>
      <c r="J6980" s="6" t="n">
        <f aca="false">Sens!I6980*(1+Sens!J6981)</f>
        <v>17.3782189407267</v>
      </c>
      <c r="K6980" s="6" t="n">
        <f aca="false">Sens!J6980*(1+Sens!K6981)</f>
        <v>17.7257833195413</v>
      </c>
    </row>
    <row r="6981" customFormat="false" ht="15" hidden="false" customHeight="false" outlineLevel="0" collapsed="false">
      <c r="A6981" s="1" t="s">
        <v>866</v>
      </c>
      <c r="B6981" s="0" t="s">
        <v>129</v>
      </c>
      <c r="E6981" s="7" t="n">
        <f aca="false">Sens!E6980/Sens!D6980-1</f>
        <v>-0.0131677736066995</v>
      </c>
      <c r="F6981" s="7" t="n">
        <f aca="false">Sens!$E$6981+(glt_win-Sens!$E$6981)*MIN(1,(Sens!F6922-base_fy)/n_conv)</f>
        <v>-0.00763981133891627</v>
      </c>
      <c r="G6981" s="7" t="n">
        <f aca="false">Sens!$E$6981+(glt_win-Sens!$E$6981)*MIN(1,(Sens!G6922-base_fy)/n_conv)</f>
        <v>-0.00211184907113301</v>
      </c>
      <c r="H6981" s="7" t="n">
        <f aca="false">Sens!$E$6981+(glt_win-Sens!$E$6981)*MIN(1,(Sens!H6922-base_fy)/n_conv)</f>
        <v>0.00341611319665024</v>
      </c>
      <c r="I6981" s="7" t="n">
        <f aca="false">Sens!$E$6981+(glt_win-Sens!$E$6981)*MIN(1,(Sens!I6922-base_fy)/n_conv)</f>
        <v>0.00894407546443349</v>
      </c>
      <c r="J6981" s="7" t="n">
        <f aca="false">Sens!$E$6981+(glt_win-Sens!$E$6981)*MIN(1,(Sens!J6922-base_fy)/n_conv)</f>
        <v>0.0144720377322168</v>
      </c>
      <c r="K6981" s="7" t="n">
        <f aca="false">Sens!$E$6981+(glt_win-Sens!$E$6981)*MIN(1,(Sens!K6922-base_fy)/n_conv)</f>
        <v>0.02</v>
      </c>
    </row>
    <row r="6982" customFormat="false" ht="15" hidden="false" customHeight="false" outlineLevel="0" collapsed="false">
      <c r="A6982" s="0" t="s">
        <v>718</v>
      </c>
      <c r="B6982" s="0" t="s">
        <v>98</v>
      </c>
      <c r="D6982" s="6" t="n">
        <f aca="false">Sens!D6976+Sens!D6978+Sens!D6980</f>
        <v>62.941</v>
      </c>
      <c r="E6982" s="6" t="n">
        <f aca="false">Sens!E6976+Sens!E6978+Sens!E6980</f>
        <v>63.712</v>
      </c>
      <c r="F6982" s="6" t="n">
        <f aca="false">Sens!F6976+Sens!F6978+Sens!F6980</f>
        <v>65.1415764563129</v>
      </c>
      <c r="G6982" s="6" t="n">
        <f aca="false">Sens!G6976+Sens!G6978+Sens!G6980</f>
        <v>67.1253610780702</v>
      </c>
      <c r="H6982" s="6" t="n">
        <f aca="false">Sens!H6976+Sens!H6978+Sens!H6980</f>
        <v>69.5768050148776</v>
      </c>
      <c r="I6982" s="6" t="n">
        <f aca="false">Sens!I6976+Sens!I6978+Sens!I6980</f>
        <v>72.4233188088189</v>
      </c>
      <c r="J6982" s="6" t="n">
        <f aca="false">Sens!J6976+Sens!J6978+Sens!J6980</f>
        <v>75.6044096678567</v>
      </c>
      <c r="K6982" s="6" t="n">
        <f aca="false">Sens!K6976+Sens!K6978+Sens!K6980</f>
        <v>79.0714397009747</v>
      </c>
    </row>
    <row r="6983" customFormat="false" ht="15" hidden="false" customHeight="false" outlineLevel="0" collapsed="false">
      <c r="A6983" s="1" t="s">
        <v>880</v>
      </c>
      <c r="B6983" s="0" t="s">
        <v>98</v>
      </c>
      <c r="D6983" s="6" t="n">
        <f aca="false">Sens!D6975+Sens!D6982</f>
        <v>281.724</v>
      </c>
      <c r="E6983" s="6" t="n">
        <f aca="false">Sens!E6975+Sens!E6982</f>
        <v>331.839</v>
      </c>
      <c r="F6983" s="6" t="n">
        <f aca="false">Sens!F6975+Sens!F6982</f>
        <v>407.275517363364</v>
      </c>
      <c r="G6983" s="6" t="n">
        <f aca="false">Sens!G6975+Sens!G6982</f>
        <v>496.116031959962</v>
      </c>
      <c r="H6983" s="6" t="n">
        <f aca="false">Sens!H6975+Sens!H6982</f>
        <v>591.523080296262</v>
      </c>
      <c r="I6983" s="6" t="n">
        <f aca="false">Sens!I6975+Sens!I6982</f>
        <v>672.937079253422</v>
      </c>
      <c r="J6983" s="6" t="n">
        <f aca="false">Sens!J6975+Sens!J6982</f>
        <v>738.433197211934</v>
      </c>
      <c r="K6983" s="6" t="n">
        <f aca="false">Sens!K6975+Sens!K6982</f>
        <v>790.806090938368</v>
      </c>
    </row>
    <row r="6984" customFormat="false" ht="15" hidden="false" customHeight="false" outlineLevel="0" collapsed="false">
      <c r="A6984" s="23" t="s">
        <v>881</v>
      </c>
      <c r="B6984" s="30" t="s">
        <v>98</v>
      </c>
      <c r="C6984" s="30"/>
      <c r="D6984" s="24" t="n">
        <f aca="false">(Sens!D6963+Sens!D6968+Sens!D6969+Sens!D6971+Sens!D6973-Sens!D6975)+(Sens!D6976+Sens!D6978+Sens!D6980-Sens!D6982)+(Sens!D6975-Q!L5)+(Sens!D6982-Q!L12)+(Sens!D6963-Q!L6)+(Sens!D6968-Q!L7)</f>
        <v>0</v>
      </c>
      <c r="E6984" s="24" t="n">
        <f aca="false">(Sens!E6963+Sens!E6968+Sens!E6969+Sens!E6971+Sens!E6973-Sens!E6975)+(Sens!E6976+Sens!E6978+Sens!E6980-Sens!E6982)+(Sens!E6975-Q!M5)+(Sens!E6982-Q!M12)+(Sens!E6963-Q!M6)+(Sens!E6968-Q!M7)</f>
        <v>0</v>
      </c>
      <c r="F6984" s="24" t="n">
        <f aca="false">(Sens!F6963+Sens!F6968+Sens!F6969+Sens!F6971+Sens!F6973-Sens!F6975)+(Sens!F6976+Sens!F6978+Sens!F6980-Sens!F6982)</f>
        <v>0</v>
      </c>
      <c r="G6984" s="24" t="n">
        <f aca="false">(Sens!G6963+Sens!G6968+Sens!G6969+Sens!G6971+Sens!G6973-Sens!G6975)+(Sens!G6976+Sens!G6978+Sens!G6980-Sens!G6982)</f>
        <v>0</v>
      </c>
      <c r="H6984" s="24" t="n">
        <f aca="false">(Sens!H6963+Sens!H6968+Sens!H6969+Sens!H6971+Sens!H6973-Sens!H6975)+(Sens!H6976+Sens!H6978+Sens!H6980-Sens!H6982)</f>
        <v>0</v>
      </c>
      <c r="I6984" s="24" t="n">
        <f aca="false">(Sens!I6963+Sens!I6968+Sens!I6969+Sens!I6971+Sens!I6973-Sens!I6975)+(Sens!I6976+Sens!I6978+Sens!I6980-Sens!I6982)</f>
        <v>0</v>
      </c>
      <c r="J6984" s="24" t="n">
        <f aca="false">(Sens!J6963+Sens!J6968+Sens!J6969+Sens!J6971+Sens!J6973-Sens!J6975)+(Sens!J6976+Sens!J6978+Sens!J6980-Sens!J6982)</f>
        <v>0</v>
      </c>
      <c r="K6984" s="24" t="n">
        <f aca="false">(Sens!K6963+Sens!K6968+Sens!K6969+Sens!K6971+Sens!K6973-Sens!K6975)+(Sens!K6976+Sens!K6978+Sens!K6980-Sens!K6982)</f>
        <v>0</v>
      </c>
    </row>
    <row r="6985" customFormat="false" ht="17.15" hidden="false" customHeight="false" outlineLevel="0" collapsed="false">
      <c r="A6985" s="3" t="s">
        <v>1416</v>
      </c>
    </row>
    <row r="6986" customFormat="false" ht="15" hidden="false" customHeight="false" outlineLevel="0" collapsed="false">
      <c r="A6986" s="4" t="s">
        <v>43</v>
      </c>
      <c r="B6986" s="4" t="s">
        <v>65</v>
      </c>
      <c r="C6986" s="20" t="s">
        <v>788</v>
      </c>
      <c r="D6986" s="20" t="s">
        <v>789</v>
      </c>
      <c r="E6986" s="20" t="s">
        <v>790</v>
      </c>
      <c r="F6986" s="20" t="s">
        <v>791</v>
      </c>
      <c r="G6986" s="20" t="s">
        <v>792</v>
      </c>
      <c r="H6986" s="20" t="s">
        <v>793</v>
      </c>
      <c r="I6986" s="20" t="s">
        <v>794</v>
      </c>
      <c r="J6986" s="20" t="s">
        <v>795</v>
      </c>
      <c r="K6986" s="20" t="s">
        <v>796</v>
      </c>
      <c r="L6986" s="4" t="s">
        <v>47</v>
      </c>
    </row>
    <row r="6987" customFormat="false" ht="15" hidden="false" customHeight="false" outlineLevel="0" collapsed="false">
      <c r="A6987" s="0" t="s">
        <v>867</v>
      </c>
      <c r="B6987" s="0" t="s">
        <v>98</v>
      </c>
      <c r="D6987" s="6" t="n">
        <f aca="false">Sens!D6963</f>
        <v>72.61</v>
      </c>
      <c r="E6987" s="6" t="n">
        <f aca="false">Sens!E6963</f>
        <v>101.938</v>
      </c>
      <c r="F6987" s="6" t="n">
        <f aca="false">Sens!F6963</f>
        <v>148.812368967868</v>
      </c>
      <c r="G6987" s="6" t="n">
        <f aca="false">Sens!G6963</f>
        <v>208.397514344463</v>
      </c>
      <c r="H6987" s="6" t="n">
        <f aca="false">Sens!H6963</f>
        <v>274.05759259987</v>
      </c>
      <c r="I6987" s="6" t="n">
        <f aca="false">Sens!I6963</f>
        <v>328.302405465117</v>
      </c>
      <c r="J6987" s="6" t="n">
        <f aca="false">Sens!J6963</f>
        <v>369.587890439908</v>
      </c>
      <c r="K6987" s="6" t="n">
        <f aca="false">Sens!K6963</f>
        <v>398.390581897217</v>
      </c>
    </row>
    <row r="6988" customFormat="false" ht="17.15" hidden="false" customHeight="false" outlineLevel="0" collapsed="false">
      <c r="A6988" s="0" t="s">
        <v>864</v>
      </c>
      <c r="B6988" s="0" t="s">
        <v>98</v>
      </c>
      <c r="D6988" s="6" t="n">
        <f aca="false">Sens!D6960</f>
        <v>12.9359794422418</v>
      </c>
      <c r="E6988" s="6" t="n">
        <f aca="false">Sens!E6960</f>
        <v>27.8095064661409</v>
      </c>
      <c r="F6988" s="6" t="n">
        <f aca="false">Sens!F6960</f>
        <v>58.7324192305018</v>
      </c>
      <c r="G6988" s="6" t="n">
        <f aca="false">Sens!G6960</f>
        <v>101.369089141153</v>
      </c>
      <c r="H6988" s="6" t="n">
        <f aca="false">Sens!H6960</f>
        <v>149.785610014234</v>
      </c>
      <c r="I6988" s="6" t="n">
        <f aca="false">Sens!I6960</f>
        <v>187.368703083263</v>
      </c>
      <c r="J6988" s="6" t="n">
        <f aca="false">Sens!J6960</f>
        <v>213.569023125577</v>
      </c>
      <c r="K6988" s="6" t="n">
        <f aca="false">Sens!K6960</f>
        <v>229.890205197739</v>
      </c>
    </row>
    <row r="6989" customFormat="false" ht="17.15" hidden="false" customHeight="false" outlineLevel="0" collapsed="false">
      <c r="A6989" s="0" t="s">
        <v>892</v>
      </c>
      <c r="B6989" s="0" t="s">
        <v>98</v>
      </c>
      <c r="D6989" s="6" t="n">
        <f aca="false">Sens!D6961</f>
        <v>59.6740205577583</v>
      </c>
      <c r="E6989" s="6" t="n">
        <f aca="false">Sens!E6961</f>
        <v>74.1284935338591</v>
      </c>
      <c r="F6989" s="6" t="n">
        <f aca="false">Sens!F6961</f>
        <v>90.0799497373663</v>
      </c>
      <c r="G6989" s="6" t="n">
        <f aca="false">Sens!G6961</f>
        <v>107.02842520331</v>
      </c>
      <c r="H6989" s="6" t="n">
        <f aca="false">Sens!H6961</f>
        <v>124.271982585636</v>
      </c>
      <c r="I6989" s="6" t="n">
        <f aca="false">Sens!I6961</f>
        <v>140.933702381855</v>
      </c>
      <c r="J6989" s="6" t="n">
        <f aca="false">Sens!J6961</f>
        <v>156.018867314332</v>
      </c>
      <c r="K6989" s="6" t="n">
        <f aca="false">Sens!K6961</f>
        <v>168.500376699478</v>
      </c>
    </row>
    <row r="6990" customFormat="false" ht="15" hidden="false" customHeight="false" outlineLevel="0" collapsed="false">
      <c r="A6990" s="0" t="s">
        <v>873</v>
      </c>
      <c r="B6990" s="0" t="s">
        <v>98</v>
      </c>
      <c r="D6990" s="6" t="n">
        <f aca="false">Sens!D6968</f>
        <v>84.605</v>
      </c>
      <c r="E6990" s="6" t="n">
        <f aca="false">Sens!E6968</f>
        <v>100.299</v>
      </c>
      <c r="F6990" s="6" t="n">
        <f aca="false">Sens!F6968</f>
        <v>123.09238776686</v>
      </c>
      <c r="G6990" s="6" t="n">
        <f aca="false">Sens!G6968</f>
        <v>146.044168448684</v>
      </c>
      <c r="H6990" s="6" t="n">
        <f aca="false">Sens!H6968</f>
        <v>169.077359388781</v>
      </c>
      <c r="I6990" s="6" t="n">
        <f aca="false">Sens!I6968</f>
        <v>189.234028071957</v>
      </c>
      <c r="J6990" s="6" t="n">
        <f aca="false">Sens!J6968</f>
        <v>206.232702785465</v>
      </c>
      <c r="K6990" s="6" t="n">
        <f aca="false">Sens!K6968</f>
        <v>222.477991980448</v>
      </c>
    </row>
    <row r="6991" customFormat="false" ht="17.15" hidden="false" customHeight="false" outlineLevel="0" collapsed="false">
      <c r="A6991" s="0" t="s">
        <v>893</v>
      </c>
      <c r="B6991" s="0" t="s">
        <v>98</v>
      </c>
      <c r="D6991" s="6" t="n">
        <f aca="false">Sens!D6966</f>
        <v>83.705</v>
      </c>
      <c r="E6991" s="6" t="n">
        <f aca="false">Sens!E6966</f>
        <v>95.049</v>
      </c>
      <c r="F6991" s="6" t="n">
        <f aca="false">Sens!F6966</f>
        <v>106.89238776686</v>
      </c>
      <c r="G6991" s="6" t="n">
        <f aca="false">Sens!G6966</f>
        <v>119.044168448684</v>
      </c>
      <c r="H6991" s="6" t="n">
        <f aca="false">Sens!H6966</f>
        <v>131.277359388781</v>
      </c>
      <c r="I6991" s="6" t="n">
        <f aca="false">Sens!I6966</f>
        <v>143.334028071957</v>
      </c>
      <c r="J6991" s="6" t="n">
        <f aca="false">Sens!J6966</f>
        <v>154.932702785465</v>
      </c>
      <c r="K6991" s="6" t="n">
        <f aca="false">Sens!K6966</f>
        <v>165.777991980448</v>
      </c>
    </row>
    <row r="6992" customFormat="false" ht="17.15" hidden="false" customHeight="false" outlineLevel="0" collapsed="false">
      <c r="A6992" s="0" t="s">
        <v>894</v>
      </c>
      <c r="B6992" s="0" t="s">
        <v>98</v>
      </c>
      <c r="D6992" s="6" t="n">
        <f aca="false">Sens!D6965</f>
        <v>0.9</v>
      </c>
      <c r="E6992" s="6" t="n">
        <f aca="false">Sens!E6965</f>
        <v>5.25</v>
      </c>
      <c r="F6992" s="6" t="n">
        <f aca="false">Sens!F6965</f>
        <v>16.2</v>
      </c>
      <c r="G6992" s="6" t="n">
        <f aca="false">Sens!G6965</f>
        <v>27</v>
      </c>
      <c r="H6992" s="6" t="n">
        <f aca="false">Sens!H6965</f>
        <v>37.8</v>
      </c>
      <c r="I6992" s="6" t="n">
        <f aca="false">Sens!I6965</f>
        <v>45.9</v>
      </c>
      <c r="J6992" s="6" t="n">
        <f aca="false">Sens!J6965</f>
        <v>51.3</v>
      </c>
      <c r="K6992" s="6" t="n">
        <f aca="false">Sens!K6965</f>
        <v>56.7</v>
      </c>
    </row>
    <row r="6993" customFormat="false" ht="15" hidden="false" customHeight="false" outlineLevel="0" collapsed="false">
      <c r="A6993" s="0" t="s">
        <v>874</v>
      </c>
      <c r="B6993" s="0" t="s">
        <v>98</v>
      </c>
      <c r="D6993" s="6" t="n">
        <f aca="false">Sens!D6969</f>
        <v>35.391</v>
      </c>
      <c r="E6993" s="6" t="n">
        <f aca="false">Sens!E6969</f>
        <v>37.285</v>
      </c>
      <c r="F6993" s="6" t="n">
        <f aca="false">Sens!F6969</f>
        <v>39.0720834331704</v>
      </c>
      <c r="G6993" s="6" t="n">
        <f aca="false">Sens!G6969</f>
        <v>40.726562953769</v>
      </c>
      <c r="H6993" s="6" t="n">
        <f aca="false">Sens!H6969</f>
        <v>42.2235987259198</v>
      </c>
      <c r="I6993" s="6" t="n">
        <f aca="false">Sens!I6969</f>
        <v>43.5397988077414</v>
      </c>
      <c r="J6993" s="6" t="n">
        <f aca="false">Sens!J6969</f>
        <v>44.653811225693</v>
      </c>
      <c r="K6993" s="6" t="n">
        <f aca="false">Sens!K6969</f>
        <v>45.5468874502068</v>
      </c>
    </row>
    <row r="6994" customFormat="false" ht="15" hidden="false" customHeight="false" outlineLevel="0" collapsed="false">
      <c r="A6994" s="0" t="s">
        <v>875</v>
      </c>
      <c r="B6994" s="0" t="s">
        <v>98</v>
      </c>
      <c r="D6994" s="6" t="n">
        <f aca="false">Sens!D6971</f>
        <v>18.417</v>
      </c>
      <c r="E6994" s="6" t="n">
        <f aca="false">Sens!E6971</f>
        <v>20.345</v>
      </c>
      <c r="F6994" s="6" t="n">
        <f aca="false">Sens!F6971</f>
        <v>22.3572203267814</v>
      </c>
      <c r="G6994" s="6" t="n">
        <f aca="false">Sens!G6971</f>
        <v>24.4392124437232</v>
      </c>
      <c r="H6994" s="6" t="n">
        <f aca="false">Sens!H6971</f>
        <v>26.5738052080665</v>
      </c>
      <c r="I6994" s="6" t="n">
        <f aca="false">Sens!I6971</f>
        <v>28.7412169166967</v>
      </c>
      <c r="J6994" s="6" t="n">
        <f aca="false">Sens!J6971</f>
        <v>30.9192545395413</v>
      </c>
      <c r="K6994" s="6" t="n">
        <f aca="false">Sens!K6971</f>
        <v>33.0836023573092</v>
      </c>
    </row>
    <row r="6995" customFormat="false" ht="15" hidden="false" customHeight="false" outlineLevel="0" collapsed="false">
      <c r="A6995" s="0" t="s">
        <v>876</v>
      </c>
      <c r="B6995" s="0" t="s">
        <v>98</v>
      </c>
      <c r="D6995" s="6" t="n">
        <f aca="false">Sens!D6973</f>
        <v>7.76</v>
      </c>
      <c r="E6995" s="6" t="n">
        <f aca="false">Sens!E6973</f>
        <v>8.26</v>
      </c>
      <c r="F6995" s="6" t="n">
        <f aca="false">Sens!F6973</f>
        <v>8.79988041237113</v>
      </c>
      <c r="G6995" s="6" t="n">
        <f aca="false">Sens!G6973</f>
        <v>9.38321269125306</v>
      </c>
      <c r="H6995" s="6" t="n">
        <f aca="false">Sens!H6973</f>
        <v>10.0139193587476</v>
      </c>
      <c r="I6995" s="6" t="n">
        <f aca="false">Sens!I6973</f>
        <v>10.6963111830911</v>
      </c>
      <c r="J6995" s="6" t="n">
        <f aca="false">Sens!J6973</f>
        <v>11.4351285534696</v>
      </c>
      <c r="K6995" s="6" t="n">
        <f aca="false">Sens!K6973</f>
        <v>12.2355875522124</v>
      </c>
    </row>
    <row r="6996" customFormat="false" ht="15" hidden="false" customHeight="false" outlineLevel="0" collapsed="false">
      <c r="A6996" s="0" t="s">
        <v>704</v>
      </c>
      <c r="B6996" s="0" t="s">
        <v>98</v>
      </c>
      <c r="D6996" s="6" t="n">
        <f aca="false">Sens!D6975</f>
        <v>218.783</v>
      </c>
      <c r="E6996" s="6" t="n">
        <f aca="false">Sens!E6975</f>
        <v>268.127</v>
      </c>
      <c r="F6996" s="6" t="n">
        <f aca="false">Sens!F6975</f>
        <v>342.133940907051</v>
      </c>
      <c r="G6996" s="6" t="n">
        <f aca="false">Sens!G6975</f>
        <v>428.990670881892</v>
      </c>
      <c r="H6996" s="6" t="n">
        <f aca="false">Sens!H6975</f>
        <v>521.946275281385</v>
      </c>
      <c r="I6996" s="6" t="n">
        <f aca="false">Sens!I6975</f>
        <v>600.513760444604</v>
      </c>
      <c r="J6996" s="6" t="n">
        <f aca="false">Sens!J6975</f>
        <v>662.828787544077</v>
      </c>
      <c r="K6996" s="6" t="n">
        <f aca="false">Sens!K6975</f>
        <v>711.734651237393</v>
      </c>
    </row>
    <row r="6997" customFormat="false" ht="15" hidden="false" customHeight="false" outlineLevel="0" collapsed="false">
      <c r="A6997" s="0" t="s">
        <v>877</v>
      </c>
      <c r="B6997" s="0" t="s">
        <v>98</v>
      </c>
      <c r="D6997" s="6" t="n">
        <f aca="false">Sens!D6976</f>
        <v>22.171</v>
      </c>
      <c r="E6997" s="6" t="n">
        <f aca="false">Sens!E6976</f>
        <v>24.835</v>
      </c>
      <c r="F6997" s="6" t="n">
        <f aca="false">Sens!F6976</f>
        <v>27.6114901218559</v>
      </c>
      <c r="G6997" s="6" t="n">
        <f aca="false">Sens!G6976</f>
        <v>30.4675667338515</v>
      </c>
      <c r="H6997" s="6" t="n">
        <f aca="false">Sens!H6976</f>
        <v>33.3643766955789</v>
      </c>
      <c r="I6997" s="6" t="n">
        <f aca="false">Sens!I6976</f>
        <v>36.2577016533691</v>
      </c>
      <c r="J6997" s="6" t="n">
        <f aca="false">Sens!J6976</f>
        <v>39.0988367952171</v>
      </c>
      <c r="K6997" s="6" t="n">
        <f aca="false">Sens!K6976</f>
        <v>41.8357553708823</v>
      </c>
    </row>
    <row r="6998" customFormat="false" ht="15" hidden="false" customHeight="false" outlineLevel="0" collapsed="false">
      <c r="A6998" s="0" t="s">
        <v>878</v>
      </c>
      <c r="B6998" s="0" t="s">
        <v>98</v>
      </c>
      <c r="D6998" s="6" t="n">
        <f aca="false">Sens!D6978</f>
        <v>23.455</v>
      </c>
      <c r="E6998" s="6" t="n">
        <f aca="false">Sens!E6978</f>
        <v>21.79</v>
      </c>
      <c r="F6998" s="6" t="n">
        <f aca="false">Sens!F6978</f>
        <v>20.5736277908051</v>
      </c>
      <c r="G6998" s="6" t="n">
        <f aca="false">Sens!G6978</f>
        <v>19.7371452817919</v>
      </c>
      <c r="H6998" s="6" t="n">
        <f aca="false">Sens!H6978</f>
        <v>19.2339764043138</v>
      </c>
      <c r="I6998" s="6" t="n">
        <f aca="false">Sens!I6978</f>
        <v>19.0353086852681</v>
      </c>
      <c r="J6998" s="6" t="n">
        <f aca="false">Sens!J6978</f>
        <v>19.1273539319129</v>
      </c>
      <c r="K6998" s="6" t="n">
        <f aca="false">Sens!K6978</f>
        <v>19.5099010105511</v>
      </c>
    </row>
    <row r="6999" customFormat="false" ht="15" hidden="false" customHeight="false" outlineLevel="0" collapsed="false">
      <c r="A6999" s="0" t="s">
        <v>879</v>
      </c>
      <c r="B6999" s="0" t="s">
        <v>98</v>
      </c>
      <c r="D6999" s="6" t="n">
        <f aca="false">Sens!D6980</f>
        <v>17.315</v>
      </c>
      <c r="E6999" s="6" t="n">
        <f aca="false">Sens!E6980</f>
        <v>17.087</v>
      </c>
      <c r="F6999" s="6" t="n">
        <f aca="false">Sens!F6980</f>
        <v>16.9564585436519</v>
      </c>
      <c r="G6999" s="6" t="n">
        <f aca="false">Sens!G6980</f>
        <v>16.9206490624268</v>
      </c>
      <c r="H6999" s="6" t="n">
        <f aca="false">Sens!H6980</f>
        <v>16.9784519149849</v>
      </c>
      <c r="I6999" s="6" t="n">
        <f aca="false">Sens!I6980</f>
        <v>17.1303084701817</v>
      </c>
      <c r="J6999" s="6" t="n">
        <f aca="false">Sens!J6980</f>
        <v>17.3782189407267</v>
      </c>
      <c r="K6999" s="6" t="n">
        <f aca="false">Sens!K6980</f>
        <v>17.7257833195413</v>
      </c>
    </row>
    <row r="7000" customFormat="false" ht="15" hidden="false" customHeight="false" outlineLevel="0" collapsed="false">
      <c r="A7000" s="0" t="s">
        <v>718</v>
      </c>
      <c r="B7000" s="0" t="s">
        <v>98</v>
      </c>
      <c r="D7000" s="6" t="n">
        <f aca="false">Sens!D6982</f>
        <v>62.941</v>
      </c>
      <c r="E7000" s="6" t="n">
        <f aca="false">Sens!E6982</f>
        <v>63.712</v>
      </c>
      <c r="F7000" s="6" t="n">
        <f aca="false">Sens!F6982</f>
        <v>65.1415764563129</v>
      </c>
      <c r="G7000" s="6" t="n">
        <f aca="false">Sens!G6982</f>
        <v>67.1253610780702</v>
      </c>
      <c r="H7000" s="6" t="n">
        <f aca="false">Sens!H6982</f>
        <v>69.5768050148776</v>
      </c>
      <c r="I7000" s="6" t="n">
        <f aca="false">Sens!I6982</f>
        <v>72.4233188088189</v>
      </c>
      <c r="J7000" s="6" t="n">
        <f aca="false">Sens!J6982</f>
        <v>75.6044096678567</v>
      </c>
      <c r="K7000" s="6" t="n">
        <f aca="false">Sens!K6982</f>
        <v>79.0714397009747</v>
      </c>
    </row>
    <row r="7001" customFormat="false" ht="15" hidden="false" customHeight="false" outlineLevel="0" collapsed="false">
      <c r="A7001" s="1" t="s">
        <v>895</v>
      </c>
      <c r="B7001" s="0" t="s">
        <v>98</v>
      </c>
      <c r="D7001" s="6" t="n">
        <f aca="false">Sens!D6983</f>
        <v>281.724</v>
      </c>
      <c r="E7001" s="6" t="n">
        <f aca="false">Sens!E6983</f>
        <v>331.839</v>
      </c>
      <c r="F7001" s="6" t="n">
        <f aca="false">Sens!F6983</f>
        <v>407.275517363364</v>
      </c>
      <c r="G7001" s="6" t="n">
        <f aca="false">Sens!G6983</f>
        <v>496.116031959962</v>
      </c>
      <c r="H7001" s="6" t="n">
        <f aca="false">Sens!H6983</f>
        <v>591.523080296262</v>
      </c>
      <c r="I7001" s="6" t="n">
        <f aca="false">Sens!I6983</f>
        <v>672.937079253422</v>
      </c>
      <c r="J7001" s="6" t="n">
        <f aca="false">Sens!J6983</f>
        <v>738.433197211934</v>
      </c>
      <c r="K7001" s="6" t="n">
        <f aca="false">Sens!K6983</f>
        <v>790.806090938368</v>
      </c>
    </row>
    <row r="7002" customFormat="false" ht="15" hidden="false" customHeight="false" outlineLevel="0" collapsed="false">
      <c r="A7002" s="1" t="s">
        <v>896</v>
      </c>
      <c r="B7002" s="0" t="s">
        <v>129</v>
      </c>
      <c r="E7002" s="7" t="n">
        <f aca="false">Sens!E7001/Sens!D7001-1</f>
        <v>0.177886867998467</v>
      </c>
      <c r="F7002" s="7" t="n">
        <f aca="false">Sens!F7001/Sens!E7001-1</f>
        <v>0.22732866650202</v>
      </c>
      <c r="G7002" s="7" t="n">
        <f aca="false">Sens!G7001/Sens!F7001-1</f>
        <v>0.218133697728107</v>
      </c>
      <c r="H7002" s="7" t="n">
        <f aca="false">Sens!H7001/Sens!G7001-1</f>
        <v>0.192307932399169</v>
      </c>
      <c r="I7002" s="7" t="n">
        <f aca="false">Sens!I7001/Sens!H7001-1</f>
        <v>0.137634526308566</v>
      </c>
      <c r="J7002" s="7" t="n">
        <f aca="false">Sens!J7001/Sens!I7001-1</f>
        <v>0.0973287399041454</v>
      </c>
      <c r="K7002" s="7" t="n">
        <f aca="false">Sens!K7001/Sens!J7001-1</f>
        <v>0.0709243489108775</v>
      </c>
    </row>
    <row r="7003" customFormat="false" ht="17.15" hidden="false" customHeight="false" outlineLevel="0" collapsed="false">
      <c r="A7003" s="23" t="s">
        <v>897</v>
      </c>
      <c r="B7003" s="30" t="s">
        <v>98</v>
      </c>
      <c r="C7003" s="30"/>
      <c r="D7003" s="24" t="n">
        <f aca="false">(Sens!D6996+Sens!D7000-Sens!D7001)+(Sens!D6988+Sens!D6989-Sens!D6987)+(Sens!D6991+Sens!D6992-Sens!D6990)+(Sens!D7001-Q!L18)</f>
        <v>0</v>
      </c>
      <c r="E7003" s="24" t="n">
        <f aca="false">(Sens!E6996+Sens!E7000-Sens!E7001)+(Sens!E6988+Sens!E6989-Sens!E6987)+(Sens!E6991+Sens!E6992-Sens!E6990)+(Sens!E7001-Q!M18)</f>
        <v>0</v>
      </c>
      <c r="F7003" s="24" t="n">
        <f aca="false">(Sens!F6996+Sens!F7000-Sens!F7001)+(Sens!F6988+Sens!F6989-Sens!F6987)+(Sens!F6991+Sens!F6992-Sens!F6990)</f>
        <v>0</v>
      </c>
      <c r="G7003" s="24" t="n">
        <f aca="false">(Sens!G6996+Sens!G7000-Sens!G7001)+(Sens!G6988+Sens!G6989-Sens!G6987)+(Sens!G6991+Sens!G6992-Sens!G6990)</f>
        <v>0</v>
      </c>
      <c r="H7003" s="24" t="n">
        <f aca="false">(Sens!H6996+Sens!H7000-Sens!H7001)+(Sens!H6988+Sens!H6989-Sens!H6987)+(Sens!H6991+Sens!H6992-Sens!H6990)</f>
        <v>0</v>
      </c>
      <c r="I7003" s="24" t="n">
        <f aca="false">(Sens!I6996+Sens!I7000-Sens!I7001)+(Sens!I6988+Sens!I6989-Sens!I6987)+(Sens!I6991+Sens!I6992-Sens!I6990)</f>
        <v>0</v>
      </c>
      <c r="J7003" s="24" t="n">
        <f aca="false">(Sens!J6996+Sens!J7000-Sens!J7001)+(Sens!J6988+Sens!J6989-Sens!J6987)+(Sens!J6991+Sens!J6992-Sens!J6990)</f>
        <v>0</v>
      </c>
      <c r="K7003" s="24" t="n">
        <f aca="false">(Sens!K6996+Sens!K7000-Sens!K7001)+(Sens!K6988+Sens!K6989-Sens!K6987)+(Sens!K6991+Sens!K6992-Sens!K6990)</f>
        <v>0</v>
      </c>
    </row>
    <row r="7004" customFormat="false" ht="17.15" hidden="false" customHeight="false" outlineLevel="0" collapsed="false">
      <c r="A7004" s="0" t="s">
        <v>898</v>
      </c>
      <c r="B7004" s="0" t="s">
        <v>129</v>
      </c>
      <c r="E7004" s="7" t="n">
        <f aca="false">(Q!M21+Sens!E6941+Sens!E6942+Sens!E6943+Sens!E6956-Sens!E6939)/(Q!M5-Sens!E6939)</f>
        <v>0.570957350878296</v>
      </c>
      <c r="F7004" s="7" t="n">
        <f aca="false">Sens!$E$7004+dm_seg</f>
        <v>0.570957350878296</v>
      </c>
      <c r="G7004" s="7" t="n">
        <f aca="false">Sens!$E$7004+dm_seg</f>
        <v>0.570957350878296</v>
      </c>
      <c r="H7004" s="7" t="n">
        <f aca="false">Sens!$E$7004+dm_seg</f>
        <v>0.570957350878296</v>
      </c>
      <c r="I7004" s="7" t="n">
        <f aca="false">Sens!$E$7004+dm_seg</f>
        <v>0.570957350878296</v>
      </c>
      <c r="J7004" s="7" t="n">
        <f aca="false">Sens!$E$7004+dm_seg</f>
        <v>0.570957350878296</v>
      </c>
      <c r="K7004" s="7" t="n">
        <f aca="false">Sens!$E$7004+dm_seg</f>
        <v>0.570957350878296</v>
      </c>
      <c r="L7004" s="11" t="s">
        <v>899</v>
      </c>
    </row>
    <row r="7005" customFormat="false" ht="17.15" hidden="false" customHeight="false" outlineLevel="0" collapsed="false">
      <c r="A7005" s="0" t="s">
        <v>732</v>
      </c>
      <c r="B7005" s="0" t="s">
        <v>98</v>
      </c>
      <c r="D7005" s="6" t="n">
        <f aca="false">Q!L21</f>
        <v>110.814</v>
      </c>
      <c r="E7005" s="6" t="n">
        <f aca="false">Q!M21</f>
        <v>136.365</v>
      </c>
      <c r="F7005" s="6" t="n">
        <f aca="false">Sens!F7004*(Sens!F6975-Sens!F6939)+Sens!F6939-(Sens!F6941+Sens!F6942+Sens!F6943)-Sens!F6956</f>
        <v>163.699569449678</v>
      </c>
      <c r="G7005" s="6" t="n">
        <f aca="false">Sens!G7004*(Sens!G6975-Sens!G6939)+Sens!G6939-(Sens!G6941+Sens!G6942+Sens!G6943)-Sens!G6956</f>
        <v>194.30788834665</v>
      </c>
      <c r="H7005" s="6" t="n">
        <f aca="false">Sens!H7004*(Sens!H6975-Sens!H6939)+Sens!H6939-(Sens!H6941+Sens!H6942+Sens!H6943)-Sens!H6956</f>
        <v>229.721745308106</v>
      </c>
      <c r="I7005" s="6" t="n">
        <f aca="false">Sens!I7004*(Sens!I6975-Sens!I6939)+Sens!I6939-(Sens!I6941+Sens!I6942+Sens!I6943)-Sens!I6956</f>
        <v>256.76064850104</v>
      </c>
      <c r="J7005" s="6" t="n">
        <f aca="false">Sens!J7004*(Sens!J6975-Sens!J6939)+Sens!J6939-(Sens!J6941+Sens!J6942+Sens!J6943)-Sens!J6956</f>
        <v>279.847988473969</v>
      </c>
      <c r="K7005" s="6" t="n">
        <f aca="false">Sens!K7004*(Sens!K6975-Sens!K6939)+Sens!K6939-(Sens!K6941+Sens!K6942+Sens!K6943)-Sens!K6956</f>
        <v>300.801973247804</v>
      </c>
      <c r="L7005" s="1" t="s">
        <v>900</v>
      </c>
    </row>
    <row r="7006" customFormat="false" ht="17.15" hidden="false" customHeight="false" outlineLevel="0" collapsed="false">
      <c r="A7006" s="0" t="s">
        <v>901</v>
      </c>
      <c r="B7006" s="0" t="s">
        <v>129</v>
      </c>
      <c r="E7006" s="7" t="n">
        <f aca="false">Q!M22/Q!M12</f>
        <v>0.296207935710698</v>
      </c>
      <c r="F7006" s="7" t="n">
        <f aca="false">Sens!$E$7006+dm_seg</f>
        <v>0.296207935710698</v>
      </c>
      <c r="G7006" s="7" t="n">
        <f aca="false">Sens!$E$7006+dm_seg</f>
        <v>0.296207935710698</v>
      </c>
      <c r="H7006" s="7" t="n">
        <f aca="false">Sens!$E$7006+dm_seg</f>
        <v>0.296207935710698</v>
      </c>
      <c r="I7006" s="7" t="n">
        <f aca="false">Sens!$E$7006+dm_seg</f>
        <v>0.296207935710698</v>
      </c>
      <c r="J7006" s="7" t="n">
        <f aca="false">Sens!$E$7006+dm_seg</f>
        <v>0.296207935710698</v>
      </c>
      <c r="K7006" s="7" t="n">
        <f aca="false">Sens!$E$7006+dm_seg</f>
        <v>0.296207935710698</v>
      </c>
      <c r="L7006" s="11" t="s">
        <v>902</v>
      </c>
    </row>
    <row r="7007" customFormat="false" ht="17.15" hidden="false" customHeight="false" outlineLevel="0" collapsed="false">
      <c r="A7007" s="0" t="s">
        <v>734</v>
      </c>
      <c r="B7007" s="0" t="s">
        <v>98</v>
      </c>
      <c r="D7007" s="6" t="n">
        <f aca="false">Q!L22</f>
        <v>17.714</v>
      </c>
      <c r="E7007" s="6" t="n">
        <f aca="false">Q!M22</f>
        <v>18.872</v>
      </c>
      <c r="F7007" s="6" t="n">
        <f aca="false">Sens!F6982*Sens!F7006</f>
        <v>19.2954518910651</v>
      </c>
      <c r="G7007" s="6" t="n">
        <f aca="false">Sens!G6982*Sens!G7006</f>
        <v>19.8830646387704</v>
      </c>
      <c r="H7007" s="6" t="n">
        <f aca="false">Sens!H6982*Sens!H7006</f>
        <v>20.6092017868026</v>
      </c>
      <c r="I7007" s="6" t="n">
        <f aca="false">Sens!I6982*Sens!I7006</f>
        <v>21.452361761678</v>
      </c>
      <c r="J7007" s="6" t="n">
        <f aca="false">Sens!J6982*Sens!J7006</f>
        <v>22.3946261183418</v>
      </c>
      <c r="K7007" s="6" t="n">
        <f aca="false">Sens!K6982*Sens!K7006</f>
        <v>23.4215879274986</v>
      </c>
    </row>
    <row r="7008" customFormat="false" ht="15" hidden="false" customHeight="false" outlineLevel="0" collapsed="false">
      <c r="A7008" s="1" t="s">
        <v>903</v>
      </c>
      <c r="B7008" s="0" t="s">
        <v>98</v>
      </c>
      <c r="D7008" s="6" t="n">
        <f aca="false">Sens!D7005+Sens!D7007</f>
        <v>128.528</v>
      </c>
      <c r="E7008" s="6" t="n">
        <f aca="false">Sens!E7005+Sens!E7007</f>
        <v>155.237</v>
      </c>
      <c r="F7008" s="6" t="n">
        <f aca="false">Sens!F7005+Sens!F7007</f>
        <v>182.995021340743</v>
      </c>
      <c r="G7008" s="6" t="n">
        <f aca="false">Sens!G7005+Sens!G7007</f>
        <v>214.19095298542</v>
      </c>
      <c r="H7008" s="6" t="n">
        <f aca="false">Sens!H7005+Sens!H7007</f>
        <v>250.330947094909</v>
      </c>
      <c r="I7008" s="6" t="n">
        <f aca="false">Sens!I7005+Sens!I7007</f>
        <v>278.213010262718</v>
      </c>
      <c r="J7008" s="6" t="n">
        <f aca="false">Sens!J7005+Sens!J7007</f>
        <v>302.242614592311</v>
      </c>
      <c r="K7008" s="6" t="n">
        <f aca="false">Sens!K7005+Sens!K7007</f>
        <v>324.223561175302</v>
      </c>
    </row>
    <row r="7009" customFormat="false" ht="15" hidden="false" customHeight="false" outlineLevel="0" collapsed="false">
      <c r="A7009" s="23" t="s">
        <v>904</v>
      </c>
      <c r="B7009" s="30" t="s">
        <v>98</v>
      </c>
      <c r="C7009" s="30"/>
      <c r="D7009" s="24" t="n">
        <f aca="false">Sens!D7008-Q!L23</f>
        <v>0</v>
      </c>
      <c r="E7009" s="24" t="n">
        <f aca="false">Sens!E7008-Q!M23</f>
        <v>0</v>
      </c>
      <c r="F7009" s="30"/>
      <c r="G7009" s="30"/>
      <c r="H7009" s="30"/>
      <c r="I7009" s="30"/>
      <c r="J7009" s="30"/>
      <c r="K7009" s="30"/>
    </row>
    <row r="7010" customFormat="false" ht="15" hidden="false" customHeight="false" outlineLevel="0" collapsed="false">
      <c r="A7010" s="1" t="s">
        <v>905</v>
      </c>
      <c r="B7010" s="0" t="s">
        <v>129</v>
      </c>
      <c r="D7010" s="7" t="n">
        <f aca="false">Sens!D7008/Sens!D7001</f>
        <v>0.456219562408598</v>
      </c>
      <c r="E7010" s="7" t="n">
        <f aca="false">Sens!E7008/Sens!E7001</f>
        <v>0.467808184089272</v>
      </c>
      <c r="F7010" s="7" t="n">
        <f aca="false">Sens!F7008/Sens!F7001</f>
        <v>0.449315054647585</v>
      </c>
      <c r="G7010" s="7" t="n">
        <f aca="false">Sens!G7008/Sens!G7001</f>
        <v>0.431735600519167</v>
      </c>
      <c r="H7010" s="7" t="n">
        <f aca="false">Sens!H7008/Sens!H7001</f>
        <v>0.4231972604848</v>
      </c>
      <c r="I7010" s="7" t="n">
        <f aca="false">Sens!I7008/Sens!I7001</f>
        <v>0.413430941524839</v>
      </c>
      <c r="J7010" s="7" t="n">
        <f aca="false">Sens!J7008/Sens!J7001</f>
        <v>0.409302582459014</v>
      </c>
      <c r="K7010" s="7" t="n">
        <f aca="false">Sens!K7008/Sens!K7001</f>
        <v>0.409991229064232</v>
      </c>
    </row>
    <row r="7011" customFormat="false" ht="17.15" hidden="false" customHeight="false" outlineLevel="0" collapsed="false">
      <c r="A7011" s="1" t="s">
        <v>906</v>
      </c>
      <c r="B7011" s="0" t="s">
        <v>98</v>
      </c>
      <c r="F7011" s="6" t="n">
        <f aca="false">Sens!F7026</f>
        <v>17.5377975923683</v>
      </c>
      <c r="G7011" s="6" t="n">
        <f aca="false">Sens!G7026</f>
        <v>29.9973332860078</v>
      </c>
      <c r="H7011" s="6" t="n">
        <f aca="false">Sens!H7026</f>
        <v>43.8093250725975</v>
      </c>
      <c r="I7011" s="6" t="n">
        <f aca="false">Sens!I7026</f>
        <v>56.8846853384073</v>
      </c>
      <c r="J7011" s="6" t="n">
        <f aca="false">Sens!J7026</f>
        <v>66.1279284755675</v>
      </c>
      <c r="K7011" s="6" t="n">
        <f aca="false">Sens!K7026</f>
        <v>70.6497107006313</v>
      </c>
      <c r="L7011" s="1" t="s">
        <v>907</v>
      </c>
    </row>
    <row r="7012" customFormat="false" ht="17.15" hidden="false" customHeight="false" outlineLevel="0" collapsed="false">
      <c r="A7012" s="1" t="s">
        <v>908</v>
      </c>
      <c r="B7012" s="0" t="s">
        <v>98</v>
      </c>
      <c r="D7012" s="6" t="n">
        <f aca="false">Sens!D7008</f>
        <v>128.528</v>
      </c>
      <c r="E7012" s="6" t="n">
        <f aca="false">Sens!E7008</f>
        <v>155.237</v>
      </c>
      <c r="F7012" s="6" t="n">
        <f aca="false">Sens!F7008+Sens!F7011</f>
        <v>200.532818933111</v>
      </c>
      <c r="G7012" s="6" t="n">
        <f aca="false">Sens!G7008+Sens!G7011</f>
        <v>244.188286271428</v>
      </c>
      <c r="H7012" s="6" t="n">
        <f aca="false">Sens!H7008+Sens!H7011</f>
        <v>294.140272167506</v>
      </c>
      <c r="I7012" s="6" t="n">
        <f aca="false">Sens!I7008+Sens!I7011</f>
        <v>335.097695601125</v>
      </c>
      <c r="J7012" s="6" t="n">
        <f aca="false">Sens!J7008+Sens!J7011</f>
        <v>368.370543067878</v>
      </c>
      <c r="K7012" s="6" t="n">
        <f aca="false">Sens!K7008+Sens!K7011</f>
        <v>394.873271875934</v>
      </c>
    </row>
    <row r="7013" customFormat="false" ht="17.15" hidden="false" customHeight="false" outlineLevel="0" collapsed="false">
      <c r="A7013" s="1" t="s">
        <v>909</v>
      </c>
      <c r="B7013" s="0" t="s">
        <v>98</v>
      </c>
      <c r="E7013" s="6" t="n">
        <f aca="false">Sens!E6956</f>
        <v>16.3054059770833</v>
      </c>
      <c r="F7013" s="6" t="n">
        <f aca="false">Sens!F6956</f>
        <v>34.7055354558698</v>
      </c>
      <c r="G7013" s="6" t="n">
        <f aca="false">Sens!G6956</f>
        <v>60.4367332603396</v>
      </c>
      <c r="H7013" s="6" t="n">
        <f aca="false">Sens!H6956</f>
        <v>87.6723159931396</v>
      </c>
      <c r="I7013" s="6" t="n">
        <f aca="false">Sens!I6956</f>
        <v>111.917039982221</v>
      </c>
      <c r="J7013" s="6" t="n">
        <f aca="false">Sens!J6956</f>
        <v>129.113710922666</v>
      </c>
      <c r="K7013" s="6" t="n">
        <f aca="false">Sens!K6956</f>
        <v>139.577646804474</v>
      </c>
    </row>
    <row r="7014" customFormat="false" ht="17.15" hidden="false" customHeight="false" outlineLevel="0" collapsed="false">
      <c r="A7014" s="1" t="s">
        <v>910</v>
      </c>
      <c r="B7014" s="0" t="s">
        <v>98</v>
      </c>
      <c r="E7014" s="6" t="n">
        <f aca="false">Sens!E7038</f>
        <v>22.2285940229167</v>
      </c>
      <c r="F7014" s="6" t="n">
        <f aca="false">Sens!F7038</f>
        <v>23.6056693435812</v>
      </c>
      <c r="G7014" s="6" t="n">
        <f aca="false">Sens!G7038</f>
        <v>25.450391766262</v>
      </c>
      <c r="H7014" s="6" t="n">
        <f aca="false">Sens!H7038</f>
        <v>27.7245039540448</v>
      </c>
      <c r="I7014" s="6" t="n">
        <f aca="false">Sens!I7038</f>
        <v>30.3458935898047</v>
      </c>
      <c r="J7014" s="6" t="n">
        <f aca="false">Sens!J7038</f>
        <v>33.2173955558616</v>
      </c>
      <c r="K7014" s="6" t="n">
        <f aca="false">Sens!K7038</f>
        <v>36.2545262744749</v>
      </c>
    </row>
    <row r="7015" customFormat="false" ht="17.15" hidden="false" customHeight="false" outlineLevel="0" collapsed="false">
      <c r="A7015" s="1" t="s">
        <v>911</v>
      </c>
      <c r="B7015" s="0" t="s">
        <v>98</v>
      </c>
      <c r="D7015" s="6" t="n">
        <f aca="false">Q!L27</f>
        <v>-4.901</v>
      </c>
      <c r="E7015" s="6" t="n">
        <f aca="false">Q!M27</f>
        <v>10.697</v>
      </c>
      <c r="F7015" s="6" t="n">
        <f aca="false">oie_f</f>
        <v>-0.4</v>
      </c>
      <c r="G7015" s="6" t="n">
        <f aca="false">oie_f</f>
        <v>-0.4</v>
      </c>
      <c r="H7015" s="6" t="n">
        <f aca="false">oie_f</f>
        <v>-0.4</v>
      </c>
      <c r="I7015" s="6" t="n">
        <f aca="false">oie_f</f>
        <v>-0.4</v>
      </c>
      <c r="J7015" s="6" t="n">
        <f aca="false">oie_f</f>
        <v>-0.4</v>
      </c>
      <c r="K7015" s="6" t="n">
        <f aca="false">oie_f</f>
        <v>-0.4</v>
      </c>
      <c r="L7015" s="11" t="s">
        <v>912</v>
      </c>
    </row>
    <row r="7016" customFormat="false" ht="15" hidden="false" customHeight="false" outlineLevel="0" collapsed="false">
      <c r="A7016" s="1" t="s">
        <v>913</v>
      </c>
      <c r="B7016" s="0" t="s">
        <v>98</v>
      </c>
      <c r="D7016" s="6" t="n">
        <f aca="false">Sens!D7008+Sens!D7015</f>
        <v>123.627</v>
      </c>
      <c r="E7016" s="6" t="n">
        <f aca="false">Sens!E7008+Sens!E7015</f>
        <v>165.934</v>
      </c>
      <c r="F7016" s="6" t="n">
        <f aca="false">Sens!F7008+Sens!F7015</f>
        <v>182.595021340743</v>
      </c>
      <c r="G7016" s="6" t="n">
        <f aca="false">Sens!G7008+Sens!G7015</f>
        <v>213.79095298542</v>
      </c>
      <c r="H7016" s="6" t="n">
        <f aca="false">Sens!H7008+Sens!H7015</f>
        <v>249.930947094909</v>
      </c>
      <c r="I7016" s="6" t="n">
        <f aca="false">Sens!I7008+Sens!I7015</f>
        <v>277.813010262718</v>
      </c>
      <c r="J7016" s="6" t="n">
        <f aca="false">Sens!J7008+Sens!J7015</f>
        <v>301.842614592311</v>
      </c>
      <c r="K7016" s="6" t="n">
        <f aca="false">Sens!K7008+Sens!K7015</f>
        <v>323.823561175302</v>
      </c>
    </row>
    <row r="7017" customFormat="false" ht="15" hidden="false" customHeight="false" outlineLevel="0" collapsed="false">
      <c r="A7017" s="1" t="s">
        <v>914</v>
      </c>
      <c r="B7017" s="0" t="s">
        <v>98</v>
      </c>
      <c r="D7017" s="6" t="n">
        <f aca="false">Q!L29</f>
        <v>21.795</v>
      </c>
      <c r="E7017" s="6" t="n">
        <f aca="false">Q!M29</f>
        <v>32.185</v>
      </c>
      <c r="F7017" s="6" t="n">
        <f aca="false">Sens!F7016*tax_f</f>
        <v>36.5190042681486</v>
      </c>
      <c r="G7017" s="6" t="n">
        <f aca="false">Sens!G7016*tax_f</f>
        <v>42.7581905970841</v>
      </c>
      <c r="H7017" s="6" t="n">
        <f aca="false">Sens!H7016*tax_f</f>
        <v>49.9861894189818</v>
      </c>
      <c r="I7017" s="6" t="n">
        <f aca="false">Sens!I7016*tax_f</f>
        <v>55.5626020525436</v>
      </c>
      <c r="J7017" s="6" t="n">
        <f aca="false">Sens!J7016*tax_f</f>
        <v>60.3685229184622</v>
      </c>
      <c r="K7017" s="6" t="n">
        <f aca="false">Sens!K7016*tax_f</f>
        <v>64.7647122350604</v>
      </c>
    </row>
    <row r="7018" customFormat="false" ht="15" hidden="false" customHeight="false" outlineLevel="0" collapsed="false">
      <c r="A7018" s="1" t="s">
        <v>915</v>
      </c>
      <c r="B7018" s="0" t="s">
        <v>98</v>
      </c>
      <c r="D7018" s="6" t="n">
        <f aca="false">Sens!D7016-Sens!D7017</f>
        <v>101.832</v>
      </c>
      <c r="E7018" s="6" t="n">
        <f aca="false">Sens!E7016-Sens!E7017</f>
        <v>133.749</v>
      </c>
      <c r="F7018" s="6" t="n">
        <f aca="false">Sens!F7016-Sens!F7017</f>
        <v>146.076017072594</v>
      </c>
      <c r="G7018" s="6" t="n">
        <f aca="false">Sens!G7016-Sens!G7017</f>
        <v>171.032762388336</v>
      </c>
      <c r="H7018" s="6" t="n">
        <f aca="false">Sens!H7016-Sens!H7017</f>
        <v>199.944757675927</v>
      </c>
      <c r="I7018" s="6" t="n">
        <f aca="false">Sens!I7016-Sens!I7017</f>
        <v>222.250408210174</v>
      </c>
      <c r="J7018" s="6" t="n">
        <f aca="false">Sens!J7016-Sens!J7017</f>
        <v>241.474091673849</v>
      </c>
      <c r="K7018" s="6" t="n">
        <f aca="false">Sens!K7016-Sens!K7017</f>
        <v>259.058848940242</v>
      </c>
    </row>
    <row r="7019" customFormat="false" ht="17.15" hidden="false" customHeight="false" outlineLevel="0" collapsed="false">
      <c r="A7019" s="1" t="s">
        <v>916</v>
      </c>
      <c r="B7019" s="1" t="s">
        <v>81</v>
      </c>
      <c r="D7019" s="14" t="n">
        <f aca="false">Q!L31</f>
        <v>7.465</v>
      </c>
      <c r="E7019" s="14" t="n">
        <f aca="false">Q!M31</f>
        <v>7.453</v>
      </c>
      <c r="F7019" s="14" t="n">
        <f aca="false">Sens!F7060</f>
        <v>7.4735</v>
      </c>
      <c r="G7019" s="14" t="n">
        <f aca="false">Sens!G7060</f>
        <v>7.50654942758272</v>
      </c>
      <c r="H7019" s="14" t="n">
        <f aca="false">Sens!H7060</f>
        <v>7.52235044101539</v>
      </c>
      <c r="I7019" s="14" t="n">
        <f aca="false">Sens!I7060</f>
        <v>7.53413127302271</v>
      </c>
      <c r="J7019" s="14" t="n">
        <f aca="false">Sens!J7060</f>
        <v>7.54837278414059</v>
      </c>
      <c r="K7019" s="14" t="n">
        <f aca="false">Sens!K7060</f>
        <v>7.56489270184233</v>
      </c>
    </row>
    <row r="7020" customFormat="false" ht="17.15" hidden="false" customHeight="false" outlineLevel="0" collapsed="false">
      <c r="A7020" s="0" t="s">
        <v>917</v>
      </c>
      <c r="B7020" s="0" t="s">
        <v>75</v>
      </c>
      <c r="D7020" s="8" t="n">
        <f aca="false">Sens!D7018/Sens!D7019</f>
        <v>13.641259209645</v>
      </c>
      <c r="E7020" s="8" t="n">
        <f aca="false">Sens!E7018/Sens!E7019</f>
        <v>17.9456594659869</v>
      </c>
      <c r="F7020" s="8" t="n">
        <f aca="false">Sens!F7018/Sens!F7019</f>
        <v>19.545864330313</v>
      </c>
      <c r="G7020" s="8" t="n">
        <f aca="false">Sens!G7018/Sens!G7019</f>
        <v>22.7844716188611</v>
      </c>
      <c r="H7020" s="8" t="n">
        <f aca="false">Sens!H7018/Sens!H7019</f>
        <v>26.580090789939</v>
      </c>
      <c r="I7020" s="8" t="n">
        <f aca="false">Sens!I7018/Sens!I7019</f>
        <v>29.4991419921208</v>
      </c>
      <c r="J7020" s="8" t="n">
        <f aca="false">Sens!J7018/Sens!J7019</f>
        <v>31.9902181012038</v>
      </c>
      <c r="K7020" s="8" t="n">
        <f aca="false">Sens!K7018/Sens!K7019</f>
        <v>34.2448808133328</v>
      </c>
      <c r="L7020" s="1" t="s">
        <v>918</v>
      </c>
    </row>
    <row r="7021" customFormat="false" ht="17.15" hidden="false" customHeight="false" outlineLevel="0" collapsed="false">
      <c r="A7021" s="1" t="s">
        <v>919</v>
      </c>
      <c r="B7021" s="0" t="s">
        <v>98</v>
      </c>
      <c r="D7021" s="6" t="n">
        <f aca="false">Sens!D7018</f>
        <v>101.832</v>
      </c>
      <c r="E7021" s="6" t="n">
        <f aca="false">Sens!E7018</f>
        <v>133.749</v>
      </c>
      <c r="F7021" s="6" t="n">
        <f aca="false">Sens!F7018+Sens!F7011*(1-tax_f)</f>
        <v>160.106255146489</v>
      </c>
      <c r="G7021" s="6" t="n">
        <f aca="false">Sens!G7018+Sens!G7011*(1-tax_f)</f>
        <v>195.030629017143</v>
      </c>
      <c r="H7021" s="6" t="n">
        <f aca="false">Sens!H7018+Sens!H7011*(1-tax_f)</f>
        <v>234.992217734005</v>
      </c>
      <c r="I7021" s="6" t="n">
        <f aca="false">Sens!I7018+Sens!I7011*(1-tax_f)</f>
        <v>267.7581564809</v>
      </c>
      <c r="J7021" s="6" t="n">
        <f aca="false">Sens!J7018+Sens!J7011*(1-tax_f)</f>
        <v>294.376434454303</v>
      </c>
      <c r="K7021" s="6" t="n">
        <f aca="false">Sens!K7018+Sens!K7011*(1-tax_f)</f>
        <v>315.578617500747</v>
      </c>
    </row>
    <row r="7022" customFormat="false" ht="17.15" hidden="false" customHeight="false" outlineLevel="0" collapsed="false">
      <c r="A7022" s="0" t="s">
        <v>920</v>
      </c>
      <c r="B7022" s="0" t="s">
        <v>75</v>
      </c>
      <c r="D7022" s="8" t="n">
        <f aca="false">Sens!D7021/Sens!D7019</f>
        <v>13.641259209645</v>
      </c>
      <c r="E7022" s="8" t="n">
        <f aca="false">Sens!E7021/Sens!E7019</f>
        <v>17.9456594659869</v>
      </c>
      <c r="F7022" s="8" t="n">
        <f aca="false">Sens!F7021/Sens!F7019</f>
        <v>21.4231959786565</v>
      </c>
      <c r="G7022" s="8" t="n">
        <f aca="false">Sens!G7021/Sens!G7019</f>
        <v>25.981395433234</v>
      </c>
      <c r="H7022" s="8" t="n">
        <f aca="false">Sens!H7021/Sens!H7019</f>
        <v>31.2392010418335</v>
      </c>
      <c r="I7022" s="8" t="n">
        <f aca="false">Sens!I7021/Sens!I7019</f>
        <v>35.5393537460192</v>
      </c>
      <c r="J7022" s="8" t="n">
        <f aca="false">Sens!J7021/Sens!J7019</f>
        <v>38.9986614165107</v>
      </c>
      <c r="K7022" s="8" t="n">
        <f aca="false">Sens!K7021/Sens!K7019</f>
        <v>41.7162053632158</v>
      </c>
      <c r="L7022" s="1" t="s">
        <v>921</v>
      </c>
    </row>
    <row r="7023" customFormat="false" ht="17.15" hidden="false" customHeight="false" outlineLevel="0" collapsed="false">
      <c r="A7023" s="0" t="s">
        <v>922</v>
      </c>
      <c r="B7023" s="0" t="s">
        <v>129</v>
      </c>
      <c r="E7023" s="7" t="n">
        <f aca="false">Sens!E7022/Sens!D7022-1</f>
        <v>0.315542736208578</v>
      </c>
      <c r="F7023" s="7" t="n">
        <f aca="false">Sens!F7022/Sens!E7022-1</f>
        <v>0.193781483442319</v>
      </c>
      <c r="G7023" s="7" t="n">
        <f aca="false">Sens!G7022/Sens!F7022-1</f>
        <v>0.212769348659216</v>
      </c>
      <c r="H7023" s="7" t="n">
        <f aca="false">Sens!H7022/Sens!G7022-1</f>
        <v>0.202368099208178</v>
      </c>
      <c r="I7023" s="7" t="n">
        <f aca="false">Sens!I7022/Sens!H7022-1</f>
        <v>0.137652454633113</v>
      </c>
      <c r="J7023" s="7" t="n">
        <f aca="false">Sens!J7022/Sens!I7022-1</f>
        <v>0.0973373825312986</v>
      </c>
      <c r="K7023" s="7" t="n">
        <f aca="false">Sens!K7022/Sens!J7022-1</f>
        <v>0.069683005723745</v>
      </c>
    </row>
    <row r="7024" customFormat="false" ht="17.15" hidden="false" customHeight="false" outlineLevel="0" collapsed="false">
      <c r="A7024" s="0" t="s">
        <v>846</v>
      </c>
      <c r="B7024" s="0" t="s">
        <v>98</v>
      </c>
      <c r="E7024" s="6" t="n">
        <f aca="false">Sens!E6965</f>
        <v>5.25</v>
      </c>
      <c r="F7024" s="6" t="n">
        <f aca="false">Sens!F6965</f>
        <v>16.2</v>
      </c>
      <c r="G7024" s="6" t="n">
        <f aca="false">Sens!G6965</f>
        <v>27</v>
      </c>
      <c r="H7024" s="6" t="n">
        <f aca="false">Sens!H6965</f>
        <v>37.8</v>
      </c>
      <c r="I7024" s="6" t="n">
        <f aca="false">Sens!I6965</f>
        <v>45.9</v>
      </c>
      <c r="J7024" s="6" t="n">
        <f aca="false">Sens!J6965</f>
        <v>51.3</v>
      </c>
      <c r="K7024" s="6" t="n">
        <f aca="false">Sens!K6965</f>
        <v>56.7</v>
      </c>
    </row>
    <row r="7025" customFormat="false" ht="17.15" hidden="false" customHeight="false" outlineLevel="0" collapsed="false">
      <c r="A7025" s="1" t="s">
        <v>847</v>
      </c>
      <c r="B7025" s="0" t="s">
        <v>98</v>
      </c>
      <c r="F7025" s="6" t="n">
        <f aca="false">MAX(0,(Sens!E6928+Sens!F6928)/2*Sens!F6936/1000-Sens!F7024*Sens!F7004)</f>
        <v>17.5377975923683</v>
      </c>
      <c r="G7025" s="6" t="n">
        <f aca="false">MAX(0,(Sens!F6928+Sens!G6928)/2*Sens!G6936/1000-Sens!G7024*Sens!G7004)</f>
        <v>29.9973332860078</v>
      </c>
      <c r="H7025" s="6" t="n">
        <f aca="false">MAX(0,(Sens!G6928+Sens!H6928)/2*Sens!H6936/1000-Sens!H7024*Sens!H7004)</f>
        <v>43.8093250725975</v>
      </c>
      <c r="I7025" s="6" t="n">
        <f aca="false">MAX(0,(Sens!H6928+Sens!I6928)/2*Sens!I6936/1000-Sens!I7024*Sens!I7004)</f>
        <v>56.8846853384073</v>
      </c>
      <c r="J7025" s="6" t="n">
        <f aca="false">MAX(0,(Sens!I6928+Sens!J6928)/2*Sens!J6936/1000-Sens!J7024*Sens!J7004)</f>
        <v>66.1279284755675</v>
      </c>
      <c r="K7025" s="6" t="n">
        <f aca="false">MAX(0,(Sens!J6928+Sens!K6928)/2*Sens!K6936/1000-Sens!K7024*Sens!K7004)</f>
        <v>70.6497107006313</v>
      </c>
      <c r="L7025" s="1" t="s">
        <v>848</v>
      </c>
    </row>
    <row r="7026" customFormat="false" ht="17.15" hidden="false" customHeight="false" outlineLevel="0" collapsed="false">
      <c r="A7026" s="1" t="s">
        <v>849</v>
      </c>
      <c r="B7026" s="0" t="s">
        <v>98</v>
      </c>
      <c r="F7026" s="6" t="n">
        <f aca="false">IF(internal_ai_reading=2,1,0)*Sens!F7025</f>
        <v>17.5377975923683</v>
      </c>
      <c r="G7026" s="6" t="n">
        <f aca="false">IF(internal_ai_reading=2,1,0)*Sens!G7025</f>
        <v>29.9973332860078</v>
      </c>
      <c r="H7026" s="6" t="n">
        <f aca="false">IF(internal_ai_reading=2,1,0)*Sens!H7025</f>
        <v>43.8093250725975</v>
      </c>
      <c r="I7026" s="6" t="n">
        <f aca="false">IF(internal_ai_reading=2,1,0)*Sens!I7025</f>
        <v>56.8846853384073</v>
      </c>
      <c r="J7026" s="6" t="n">
        <f aca="false">IF(internal_ai_reading=2,1,0)*Sens!J7025</f>
        <v>66.1279284755675</v>
      </c>
      <c r="K7026" s="6" t="n">
        <f aca="false">IF(internal_ai_reading=2,1,0)*Sens!K7025</f>
        <v>70.6497107006313</v>
      </c>
    </row>
    <row r="7027" customFormat="false" ht="17.15" hidden="false" customHeight="false" outlineLevel="0" collapsed="false">
      <c r="A7027" s="0" t="s">
        <v>850</v>
      </c>
      <c r="B7027" s="0" t="s">
        <v>98</v>
      </c>
      <c r="F7027" s="6" t="n">
        <f aca="false">Sens!F6945+Sens!F7024*Sens!F7004+Sens!F7026-Sens!F6946-Sens!F6956</f>
        <v>28.6766940749543</v>
      </c>
      <c r="G7027" s="6" t="n">
        <f aca="false">Sens!G6945+Sens!G7024*Sens!G7004+Sens!G7026-Sens!G6946-Sens!G6956</f>
        <v>52.6631197051223</v>
      </c>
      <c r="H7027" s="6" t="n">
        <f aca="false">Sens!H6945+Sens!H7024*Sens!H7004+Sens!H7026-Sens!H6946-Sens!H6956</f>
        <v>82.6253907018664</v>
      </c>
      <c r="I7027" s="6" t="n">
        <f aca="false">Sens!I6945+Sens!I7024*Sens!I7004+Sens!I7026-Sens!I6946-Sens!I6956</f>
        <v>103.964068765268</v>
      </c>
      <c r="J7027" s="6" t="n">
        <f aca="false">Sens!J6945+Sens!J7024*Sens!J7004+Sens!J7026-Sens!J6946-Sens!J6956</f>
        <v>118.757864100999</v>
      </c>
      <c r="K7027" s="6" t="n">
        <f aca="false">Sens!K6945+Sens!K7024*Sens!K7004+Sens!K7026-Sens!K6946-Sens!K6956</f>
        <v>128.712337297013</v>
      </c>
    </row>
    <row r="7028" customFormat="false" ht="17.15" hidden="false" customHeight="false" outlineLevel="0" collapsed="false">
      <c r="A7028" s="0" t="s">
        <v>851</v>
      </c>
      <c r="B7028" s="0" t="s">
        <v>98</v>
      </c>
      <c r="E7028" s="6" t="n">
        <f aca="false">Sens!E6927*(cxit_open+self_build*tk_cxfac)/1000*ai_net_open</f>
        <v>126.6980382</v>
      </c>
      <c r="F7028" s="6" t="n">
        <f aca="false">Sens!E7028+Sens!F6953-Sens!F6956</f>
        <v>260.193155514568</v>
      </c>
      <c r="G7028" s="6" t="n">
        <f aca="false">Sens!F7028+Sens!G6953-Sens!G6956</f>
        <v>383.330602737428</v>
      </c>
      <c r="H7028" s="6" t="n">
        <f aca="false">Sens!G7028+Sens!H6953-Sens!H6956</f>
        <v>483.738572654689</v>
      </c>
      <c r="I7028" s="6" t="n">
        <f aca="false">Sens!H7028+Sens!I6953-Sens!I6956</f>
        <v>535.528201826713</v>
      </c>
      <c r="J7028" s="6" t="n">
        <f aca="false">Sens!I7028+Sens!J6953-Sens!J6956</f>
        <v>530.926967622138</v>
      </c>
      <c r="K7028" s="6" t="n">
        <f aca="false">Sens!J7028+Sens!K6953-Sens!K6956</f>
        <v>506.3087564596</v>
      </c>
      <c r="L7028" s="1" t="s">
        <v>852</v>
      </c>
    </row>
    <row r="7029" customFormat="false" ht="17.15" hidden="false" customHeight="false" outlineLevel="0" collapsed="false">
      <c r="A7029" s="0" t="s">
        <v>853</v>
      </c>
      <c r="B7029" s="0" t="s">
        <v>129</v>
      </c>
      <c r="F7029" s="7" t="n">
        <f aca="false">Sens!F7027*(1-tax_f)/((Sens!E7028+Sens!F7028)/2)</f>
        <v>0.118593318393742</v>
      </c>
      <c r="G7029" s="7" t="n">
        <f aca="false">Sens!G7027*(1-tax_f)/((Sens!F7028+Sens!G7028)/2)</f>
        <v>0.130936877539804</v>
      </c>
      <c r="H7029" s="7" t="n">
        <f aca="false">Sens!H7027*(1-tax_f)/((Sens!G7028+Sens!H7028)/2)</f>
        <v>0.152468371468979</v>
      </c>
      <c r="I7029" s="7" t="n">
        <f aca="false">Sens!I7027*(1-tax_f)/((Sens!H7028+Sens!I7028)/2)</f>
        <v>0.163198206974875</v>
      </c>
      <c r="J7029" s="7" t="n">
        <f aca="false">Sens!J7027*(1-tax_f)/((Sens!I7028+Sens!J7028)/2)</f>
        <v>0.17817212387821</v>
      </c>
      <c r="K7029" s="7" t="n">
        <f aca="false">Sens!K7027*(1-tax_f)/((Sens!J7028+Sens!K7028)/2)</f>
        <v>0.198546709194324</v>
      </c>
    </row>
    <row r="7030" customFormat="false" ht="17.15" hidden="false" customHeight="false" outlineLevel="0" collapsed="false">
      <c r="A7030" s="1" t="s">
        <v>854</v>
      </c>
      <c r="B7030" s="0" t="s">
        <v>129</v>
      </c>
      <c r="F7030" s="7" t="n">
        <f aca="false">(Sens!F7027-Sens!F7026)*(1-tax_f)/((Sens!E7028+Sens!F7028)/2)</f>
        <v>0.0460652365876439</v>
      </c>
      <c r="G7030" s="7" t="n">
        <f aca="false">(Sens!G7027-Sens!G7026)*(1-tax_f)/((Sens!F7028+Sens!G7028)/2)</f>
        <v>0.0563541870918498</v>
      </c>
      <c r="H7030" s="7" t="n">
        <f aca="false">(Sens!H7027-Sens!H7026)*(1-tax_f)/((Sens!G7028+Sens!H7028)/2)</f>
        <v>0.0716271628255543</v>
      </c>
      <c r="I7030" s="7" t="n">
        <f aca="false">(Sens!I7027-Sens!I7026)*(1-tax_f)/((Sens!H7028+Sens!I7028)/2)</f>
        <v>0.0739031383822978</v>
      </c>
      <c r="J7030" s="7" t="n">
        <f aca="false">(Sens!J7027-Sens!J7026)*(1-tax_f)/((Sens!I7028+Sens!J7028)/2)</f>
        <v>0.0789605596306583</v>
      </c>
      <c r="K7030" s="7" t="n">
        <f aca="false">(Sens!K7027-Sens!K7026)*(1-tax_f)/((Sens!J7028+Sens!K7028)/2)</f>
        <v>0.0895651782881419</v>
      </c>
    </row>
    <row r="7031" customFormat="false" ht="17.15" hidden="false" customHeight="false" outlineLevel="0" collapsed="false">
      <c r="A7031" s="1" t="s">
        <v>855</v>
      </c>
      <c r="B7031" s="0" t="s">
        <v>129</v>
      </c>
      <c r="F7031" s="7" t="n">
        <f aca="false">(Sens!F7027-Sens!F7026+Sens!F7025)*(1-tax_f)/((Sens!E7028+Sens!F7028)/2)</f>
        <v>0.118593318393742</v>
      </c>
      <c r="G7031" s="7" t="n">
        <f aca="false">(Sens!G7027-Sens!G7026+Sens!G7025)*(1-tax_f)/((Sens!F7028+Sens!G7028)/2)</f>
        <v>0.130936877539804</v>
      </c>
      <c r="H7031" s="7" t="n">
        <f aca="false">(Sens!H7027-Sens!H7026+Sens!H7025)*(1-tax_f)/((Sens!G7028+Sens!H7028)/2)</f>
        <v>0.152468371468979</v>
      </c>
      <c r="I7031" s="7" t="n">
        <f aca="false">(Sens!I7027-Sens!I7026+Sens!I7025)*(1-tax_f)/((Sens!H7028+Sens!I7028)/2)</f>
        <v>0.163198206974875</v>
      </c>
      <c r="J7031" s="7" t="n">
        <f aca="false">(Sens!J7027-Sens!J7026+Sens!J7025)*(1-tax_f)/((Sens!I7028+Sens!J7028)/2)</f>
        <v>0.17817212387821</v>
      </c>
      <c r="K7031" s="7" t="n">
        <f aca="false">(Sens!K7027-Sens!K7026+Sens!K7025)*(1-tax_f)/((Sens!J7028+Sens!K7028)/2)</f>
        <v>0.198546709194324</v>
      </c>
    </row>
    <row r="7032" customFormat="false" ht="17.15" hidden="false" customHeight="false" outlineLevel="0" collapsed="false">
      <c r="A7032" s="1" t="s">
        <v>856</v>
      </c>
      <c r="B7032" s="0" t="s">
        <v>129</v>
      </c>
      <c r="F7032" s="7" t="n">
        <f aca="false">Sens!F6957*(1-tax_f)/(Sens!F6944*(Sens!E7028+Sens!F7028)/2)</f>
        <v>0.153735089648456</v>
      </c>
      <c r="G7032" s="7" t="n">
        <f aca="false">Sens!G6957*(1-tax_f)/(Sens!G6944*(Sens!F7028+Sens!G7028)/2)</f>
        <v>0.174908900699505</v>
      </c>
      <c r="H7032" s="7" t="n">
        <f aca="false">Sens!H6957*(1-tax_f)/(Sens!H6944*(Sens!G7028+Sens!H7028)/2)</f>
        <v>0.207799597641959</v>
      </c>
      <c r="I7032" s="7" t="n">
        <f aca="false">Sens!I6957*(1-tax_f)/(Sens!I6944*(Sens!H7028+Sens!I7028)/2)</f>
        <v>0.221813332142596</v>
      </c>
      <c r="J7032" s="7" t="n">
        <f aca="false">Sens!J6957*(1-tax_f)/(Sens!J6944*(Sens!I7028+Sens!J7028)/2)</f>
        <v>0.241905883183576</v>
      </c>
      <c r="K7032" s="7" t="n">
        <f aca="false">Sens!K6957*(1-tax_f)/(Sens!K6944*(Sens!J7028+Sens!K7028)/2)</f>
        <v>0.269129059170471</v>
      </c>
    </row>
    <row r="7033" customFormat="false" ht="17.15" hidden="false" customHeight="false" outlineLevel="0" collapsed="false">
      <c r="A7033" s="0" t="s">
        <v>857</v>
      </c>
      <c r="B7033" s="0" t="s">
        <v>209</v>
      </c>
      <c r="F7033" s="7" t="n">
        <f aca="false">Sens!F7029-wacc</f>
        <v>0.0156588983008667</v>
      </c>
      <c r="G7033" s="7" t="n">
        <f aca="false">Sens!G7029-wacc</f>
        <v>0.0280024574469278</v>
      </c>
      <c r="H7033" s="7" t="n">
        <f aca="false">Sens!H7029-wacc</f>
        <v>0.0495339513761029</v>
      </c>
      <c r="I7033" s="7" t="n">
        <f aca="false">Sens!I7029-wacc</f>
        <v>0.0602637868819993</v>
      </c>
      <c r="J7033" s="7" t="n">
        <f aca="false">Sens!J7029-wacc</f>
        <v>0.075237703785334</v>
      </c>
      <c r="K7033" s="7" t="n">
        <f aca="false">Sens!K7029-wacc</f>
        <v>0.0956122891014484</v>
      </c>
    </row>
    <row r="7034" customFormat="false" ht="17.15" hidden="false" customHeight="false" outlineLevel="0" collapsed="false">
      <c r="A7034" s="0" t="s">
        <v>858</v>
      </c>
      <c r="B7034" s="0" t="s">
        <v>98</v>
      </c>
      <c r="F7034" s="6" t="n">
        <f aca="false">Sens!F7027*(1-tax_f)-wacc*(Sens!E7028+Sens!F7028)/2</f>
        <v>3.02914492793867</v>
      </c>
      <c r="G7034" s="6" t="n">
        <f aca="false">Sens!G7027*(1-tax_f)-wacc*(Sens!F7028+Sens!G7028)/2</f>
        <v>9.01012332826927</v>
      </c>
      <c r="H7034" s="6" t="n">
        <f aca="false">Sens!H7027*(1-tax_f)-wacc*(Sens!G7028+Sens!H7028)/2</f>
        <v>21.4746811867954</v>
      </c>
      <c r="I7034" s="6" t="n">
        <f aca="false">Sens!I7027*(1-tax_f)-wacc*(Sens!H7028+Sens!I7028)/2</f>
        <v>30.712437836625</v>
      </c>
      <c r="J7034" s="6" t="n">
        <f aca="false">Sens!J7027*(1-tax_f)-wacc*(Sens!I7028+Sens!J7028)/2</f>
        <v>40.1188190696654</v>
      </c>
      <c r="K7034" s="6" t="n">
        <f aca="false">Sens!K7027*(1-tax_f)-wacc*(Sens!J7028+Sens!K7028)/2</f>
        <v>49.5862409586266</v>
      </c>
    </row>
    <row r="7035" customFormat="false" ht="17.15" hidden="false" customHeight="false" outlineLevel="0" collapsed="false">
      <c r="A7035" s="3" t="s">
        <v>1417</v>
      </c>
    </row>
    <row r="7036" customFormat="false" ht="15" hidden="false" customHeight="false" outlineLevel="0" collapsed="false">
      <c r="A7036" s="4" t="s">
        <v>43</v>
      </c>
      <c r="B7036" s="4" t="s">
        <v>65</v>
      </c>
      <c r="C7036" s="20" t="s">
        <v>788</v>
      </c>
      <c r="D7036" s="20" t="s">
        <v>789</v>
      </c>
      <c r="E7036" s="20" t="s">
        <v>790</v>
      </c>
      <c r="F7036" s="20" t="s">
        <v>791</v>
      </c>
      <c r="G7036" s="20" t="s">
        <v>792</v>
      </c>
      <c r="H7036" s="20" t="s">
        <v>793</v>
      </c>
      <c r="I7036" s="20" t="s">
        <v>794</v>
      </c>
      <c r="J7036" s="20" t="s">
        <v>795</v>
      </c>
      <c r="K7036" s="20" t="s">
        <v>796</v>
      </c>
      <c r="L7036" s="4" t="s">
        <v>47</v>
      </c>
    </row>
    <row r="7037" customFormat="false" ht="15" hidden="false" customHeight="false" outlineLevel="0" collapsed="false">
      <c r="A7037" s="1" t="s">
        <v>915</v>
      </c>
      <c r="B7037" s="0" t="s">
        <v>98</v>
      </c>
      <c r="F7037" s="6" t="n">
        <f aca="false">Sens!F7018</f>
        <v>146.076017072594</v>
      </c>
      <c r="G7037" s="6" t="n">
        <f aca="false">Sens!G7018</f>
        <v>171.032762388336</v>
      </c>
      <c r="H7037" s="6" t="n">
        <f aca="false">Sens!H7018</f>
        <v>199.944757675927</v>
      </c>
      <c r="I7037" s="6" t="n">
        <f aca="false">Sens!I7018</f>
        <v>222.250408210174</v>
      </c>
      <c r="J7037" s="6" t="n">
        <f aca="false">Sens!J7018</f>
        <v>241.474091673849</v>
      </c>
      <c r="K7037" s="6" t="n">
        <f aca="false">Sens!K7018</f>
        <v>259.058848940242</v>
      </c>
    </row>
    <row r="7038" customFormat="false" ht="17.15" hidden="false" customHeight="false" outlineLevel="0" collapsed="false">
      <c r="A7038" s="1" t="s">
        <v>937</v>
      </c>
      <c r="B7038" s="0" t="s">
        <v>98</v>
      </c>
      <c r="E7038" s="6" t="n">
        <f aca="false">Q!M38-Sens!E6956</f>
        <v>22.2285940229167</v>
      </c>
      <c r="F7038" s="6" t="n">
        <f aca="false">Sens!E7038*(1-1/life_nonai)+Sens!F7044/life_nonai</f>
        <v>23.6056693435812</v>
      </c>
      <c r="G7038" s="6" t="n">
        <f aca="false">Sens!F7038*(1-1/life_nonai)+Sens!G7044/life_nonai</f>
        <v>25.450391766262</v>
      </c>
      <c r="H7038" s="6" t="n">
        <f aca="false">Sens!G7038*(1-1/life_nonai)+Sens!H7044/life_nonai</f>
        <v>27.7245039540448</v>
      </c>
      <c r="I7038" s="6" t="n">
        <f aca="false">Sens!H7038*(1-1/life_nonai)+Sens!I7044/life_nonai</f>
        <v>30.3458935898047</v>
      </c>
      <c r="J7038" s="6" t="n">
        <f aca="false">Sens!I7038*(1-1/life_nonai)+Sens!J7044/life_nonai</f>
        <v>33.2173955558616</v>
      </c>
      <c r="K7038" s="6" t="n">
        <f aca="false">Sens!J7038*(1-1/life_nonai)+Sens!K7044/life_nonai</f>
        <v>36.2545262744749</v>
      </c>
      <c r="L7038" s="11" t="s">
        <v>938</v>
      </c>
    </row>
    <row r="7039" customFormat="false" ht="17.15" hidden="false" customHeight="false" outlineLevel="0" collapsed="false">
      <c r="A7039" s="1" t="s">
        <v>939</v>
      </c>
      <c r="B7039" s="0" t="s">
        <v>98</v>
      </c>
      <c r="E7039" s="6" t="n">
        <f aca="false">Sens!E6956+Sens!E7038</f>
        <v>38.534</v>
      </c>
      <c r="F7039" s="6" t="n">
        <f aca="false">Sens!F6956+Sens!F7038</f>
        <v>58.311204799451</v>
      </c>
      <c r="G7039" s="6" t="n">
        <f aca="false">Sens!G6956+Sens!G7038</f>
        <v>85.8871250266016</v>
      </c>
      <c r="H7039" s="6" t="n">
        <f aca="false">Sens!H6956+Sens!H7038</f>
        <v>115.396819947184</v>
      </c>
      <c r="I7039" s="6" t="n">
        <f aca="false">Sens!I6956+Sens!I7038</f>
        <v>142.262933572026</v>
      </c>
      <c r="J7039" s="6" t="n">
        <f aca="false">Sens!J6956+Sens!J7038</f>
        <v>162.331106478527</v>
      </c>
      <c r="K7039" s="6" t="n">
        <f aca="false">Sens!K6956+Sens!K7038</f>
        <v>175.832173078948</v>
      </c>
    </row>
    <row r="7040" customFormat="false" ht="17.15" hidden="false" customHeight="false" outlineLevel="0" collapsed="false">
      <c r="A7040" s="1" t="s">
        <v>940</v>
      </c>
      <c r="B7040" s="0" t="s">
        <v>98</v>
      </c>
      <c r="F7040" s="6" t="n">
        <f aca="false">Sens!F6983*sbc_r</f>
        <v>15.2250121079576</v>
      </c>
      <c r="G7040" s="6" t="n">
        <f aca="false">Sens!G6983*sbc_r</f>
        <v>18.5461002970215</v>
      </c>
      <c r="H7040" s="6" t="n">
        <f aca="false">Sens!H6983*sbc_r</f>
        <v>22.1126624992094</v>
      </c>
      <c r="I7040" s="6" t="n">
        <f aca="false">Sens!I6983*sbc_r</f>
        <v>25.1561283277092</v>
      </c>
      <c r="J7040" s="6" t="n">
        <f aca="false">Sens!J6983*sbc_r</f>
        <v>27.6045425987121</v>
      </c>
      <c r="K7040" s="6" t="n">
        <f aca="false">Sens!K6983*sbc_r</f>
        <v>29.5623768095084</v>
      </c>
    </row>
    <row r="7041" customFormat="false" ht="17.15" hidden="false" customHeight="false" outlineLevel="0" collapsed="false">
      <c r="A7041" s="1" t="s">
        <v>941</v>
      </c>
      <c r="B7041" s="0" t="s">
        <v>98</v>
      </c>
      <c r="F7041" s="6" t="n">
        <f aca="false">wc27</f>
        <v>-4.895</v>
      </c>
      <c r="G7041" s="6" t="n">
        <f aca="false">wc_f</f>
        <v>0</v>
      </c>
      <c r="H7041" s="6" t="n">
        <f aca="false">wc_f</f>
        <v>0</v>
      </c>
      <c r="I7041" s="6" t="n">
        <f aca="false">wc_f</f>
        <v>0</v>
      </c>
      <c r="J7041" s="6" t="n">
        <f aca="false">wc_f</f>
        <v>0</v>
      </c>
      <c r="K7041" s="6" t="n">
        <f aca="false">wc_f</f>
        <v>0</v>
      </c>
      <c r="L7041" s="11" t="s">
        <v>942</v>
      </c>
    </row>
    <row r="7042" customFormat="false" ht="15" hidden="false" customHeight="false" outlineLevel="0" collapsed="false">
      <c r="A7042" s="1" t="s">
        <v>756</v>
      </c>
      <c r="B7042" s="0" t="s">
        <v>98</v>
      </c>
      <c r="E7042" s="6" t="n">
        <f aca="false">Q!M35</f>
        <v>182.935</v>
      </c>
      <c r="F7042" s="6" t="n">
        <f aca="false">Sens!F7037+Sens!F7039+Sens!F7040+Sens!F7041</f>
        <v>214.717233980003</v>
      </c>
      <c r="G7042" s="6" t="n">
        <f aca="false">Sens!G7037+Sens!G7039+Sens!G7040+Sens!G7041</f>
        <v>275.46598771196</v>
      </c>
      <c r="H7042" s="6" t="n">
        <f aca="false">Sens!H7037+Sens!H7039+Sens!H7040+Sens!H7041</f>
        <v>337.454240122321</v>
      </c>
      <c r="I7042" s="6" t="n">
        <f aca="false">Sens!I7037+Sens!I7039+Sens!I7040+Sens!I7041</f>
        <v>389.669470109909</v>
      </c>
      <c r="J7042" s="6" t="n">
        <f aca="false">Sens!J7037+Sens!J7039+Sens!J7040+Sens!J7041</f>
        <v>431.409740751088</v>
      </c>
      <c r="K7042" s="6" t="n">
        <f aca="false">Sens!K7037+Sens!K7039+Sens!K7040+Sens!K7041</f>
        <v>464.453398828699</v>
      </c>
    </row>
    <row r="7043" customFormat="false" ht="17.15" hidden="false" customHeight="false" outlineLevel="0" collapsed="false">
      <c r="A7043" s="0" t="s">
        <v>943</v>
      </c>
      <c r="B7043" s="0" t="s">
        <v>98</v>
      </c>
      <c r="F7043" s="6" t="n">
        <f aca="false">Sens!F6953</f>
        <v>168.200652770438</v>
      </c>
      <c r="G7043" s="6" t="n">
        <f aca="false">Sens!G6953</f>
        <v>183.5741804832</v>
      </c>
      <c r="H7043" s="6" t="n">
        <f aca="false">Sens!H6953</f>
        <v>188.0802859104</v>
      </c>
      <c r="I7043" s="6" t="n">
        <f aca="false">Sens!I6953</f>
        <v>163.706669154245</v>
      </c>
      <c r="J7043" s="6" t="n">
        <f aca="false">Sens!J6953</f>
        <v>124.51247671809</v>
      </c>
      <c r="K7043" s="6" t="n">
        <f aca="false">Sens!K6953</f>
        <v>114.959435641936</v>
      </c>
    </row>
    <row r="7044" customFormat="false" ht="17.15" hidden="false" customHeight="false" outlineLevel="0" collapsed="false">
      <c r="A7044" s="1" t="s">
        <v>944</v>
      </c>
      <c r="B7044" s="0" t="s">
        <v>98</v>
      </c>
      <c r="E7044" s="6" t="n">
        <f aca="false">Sens!E6961*cx_azo+Sens!E6968*cx_m365+Sens!E6969*cx_lic+(Sens!E6971+Sens!E6973)*cx_ind+Sens!E6976*cx_srch+(Sens!E6978+Sens!E6980)*cx_dev</f>
        <v>30.1846587067718</v>
      </c>
      <c r="F7044" s="6" t="n">
        <f aca="false">Sens!F6961*cx_azo+Sens!F6968*cx_m365+Sens!F6969*cx_lic+(Sens!F6971+Sens!F6973)*cx_ind+Sens!F6976*cx_srch+(Sens!F6978+Sens!F6980)*cx_dev</f>
        <v>35.9993472295625</v>
      </c>
      <c r="G7044" s="6" t="n">
        <f aca="false">Sens!G6961*cx_azo+Sens!G6968*cx_m365+Sens!G6969*cx_lic+(Sens!G6971+Sens!G6973)*cx_ind+Sens!G6976*cx_srch+(Sens!G6978+Sens!G6980)*cx_dev</f>
        <v>42.0528935703892</v>
      </c>
      <c r="H7044" s="6" t="n">
        <f aca="false">Sens!H6961*cx_azo+Sens!H6968*cx_m365+Sens!H6969*cx_lic+(Sens!H6971+Sens!H6973)*cx_ind+Sens!H6976*cx_srch+(Sens!H6978+Sens!H6980)*cx_dev</f>
        <v>48.1915136440897</v>
      </c>
      <c r="I7044" s="6" t="n">
        <f aca="false">Sens!I6961*cx_azo+Sens!I6968*cx_m365+Sens!I6969*cx_lic+(Sens!I6971+Sens!I6973)*cx_ind+Sens!I6976*cx_srch+(Sens!I6978+Sens!I6980)*cx_dev</f>
        <v>53.9384003116439</v>
      </c>
      <c r="J7044" s="6" t="n">
        <f aca="false">Sens!J6961*cx_azo+Sens!J6968*cx_m365+Sens!J6969*cx_lic+(Sens!J6971+Sens!J6973)*cx_ind+Sens!J6976*cx_srch+(Sens!J6978+Sens!J6980)*cx_dev</f>
        <v>59.0609132503738</v>
      </c>
      <c r="K7044" s="6" t="n">
        <f aca="false">Sens!K6961*cx_azo+Sens!K6968*cx_m365+Sens!K6969*cx_lic+(Sens!K6971+Sens!K6973)*cx_ind+Sens!K6976*cx_srch+(Sens!K6978+Sens!K6980)*cx_dev</f>
        <v>63.588702741994</v>
      </c>
    </row>
    <row r="7045" customFormat="false" ht="17.15" hidden="false" customHeight="false" outlineLevel="0" collapsed="false">
      <c r="A7045" s="1" t="s">
        <v>945</v>
      </c>
      <c r="B7045" s="0" t="s">
        <v>98</v>
      </c>
      <c r="E7045" s="6" t="n">
        <f aca="false">Q!M42</f>
        <v>145.3</v>
      </c>
      <c r="F7045" s="6" t="n">
        <f aca="false">Sens!F7043+Sens!F7044</f>
        <v>204.2</v>
      </c>
      <c r="G7045" s="6" t="n">
        <f aca="false">Sens!G7043+Sens!G7044</f>
        <v>225.627074053589</v>
      </c>
      <c r="H7045" s="6" t="n">
        <f aca="false">Sens!H7043+Sens!H7044</f>
        <v>236.27179955449</v>
      </c>
      <c r="I7045" s="6" t="n">
        <f aca="false">Sens!I7043+Sens!I7044</f>
        <v>217.645069465889</v>
      </c>
      <c r="J7045" s="6" t="n">
        <f aca="false">Sens!J7043+Sens!J7044</f>
        <v>183.573389968464</v>
      </c>
      <c r="K7045" s="6" t="n">
        <f aca="false">Sens!K7043+Sens!K7044</f>
        <v>178.54813838393</v>
      </c>
      <c r="L7045" s="1" t="s">
        <v>946</v>
      </c>
    </row>
    <row r="7046" customFormat="false" ht="15" hidden="false" customHeight="false" outlineLevel="0" collapsed="false">
      <c r="A7046" s="1" t="s">
        <v>947</v>
      </c>
      <c r="B7046" s="0" t="s">
        <v>98</v>
      </c>
      <c r="E7046" s="6" t="n">
        <f aca="false">fl_liab</f>
        <v>66.594</v>
      </c>
      <c r="F7046" s="6" t="n">
        <f aca="false">Sens!E7046-Sens!F7047</f>
        <v>62.46973</v>
      </c>
      <c r="G7046" s="6" t="n">
        <f aca="false">Sens!F7046-Sens!G7047</f>
        <v>57.98686785</v>
      </c>
      <c r="H7046" s="6" t="n">
        <f aca="false">Sens!G7046-Sens!H7047</f>
        <v>53.92827690325</v>
      </c>
      <c r="I7046" s="6" t="n">
        <f aca="false">Sens!H7046-Sens!I7047</f>
        <v>49.7850493638962</v>
      </c>
      <c r="J7046" s="6" t="n">
        <f aca="false">Sens!I7046-Sens!J7047</f>
        <v>45.4823765852716</v>
      </c>
      <c r="K7046" s="6" t="n">
        <f aca="false">Sens!J7046-Sens!K7047</f>
        <v>40.9860835316088</v>
      </c>
    </row>
    <row r="7047" customFormat="false" ht="15" hidden="false" customHeight="false" outlineLevel="0" collapsed="false">
      <c r="A7047" s="1" t="s">
        <v>948</v>
      </c>
      <c r="B7047" s="0" t="s">
        <v>98</v>
      </c>
      <c r="F7047" s="6" t="n">
        <f aca="false">fl_pay_27-Sens!E7046*fl_rate</f>
        <v>4.12427</v>
      </c>
      <c r="G7047" s="6" t="n">
        <f aca="false">fl_pay_28-Sens!F7046*fl_rate</f>
        <v>4.48286215</v>
      </c>
      <c r="H7047" s="6" t="n">
        <f aca="false">fl_pay_29-Sens!G7046*fl_rate</f>
        <v>4.05859094675</v>
      </c>
      <c r="I7047" s="6" t="n">
        <f aca="false">fl_pay_30-Sens!H7046*fl_rate</f>
        <v>4.14322753935375</v>
      </c>
      <c r="J7047" s="6" t="n">
        <f aca="false">fl_pay_31-Sens!I7046*fl_rate</f>
        <v>4.30267277862467</v>
      </c>
      <c r="K7047" s="6" t="n">
        <f aca="false">fl_pay_32-Sens!J7046*fl_rate</f>
        <v>4.49629305366278</v>
      </c>
    </row>
    <row r="7048" customFormat="false" ht="17.15" hidden="false" customHeight="false" outlineLevel="0" collapsed="false">
      <c r="A7048" s="1" t="s">
        <v>949</v>
      </c>
      <c r="B7048" s="0" t="s">
        <v>98</v>
      </c>
      <c r="E7048" s="6" t="n">
        <f aca="false">Q!M35-Q!M36-Q!M43</f>
        <v>63.886</v>
      </c>
      <c r="F7048" s="6" t="n">
        <f aca="false">Sens!F7042-Sens!F7045-Sens!F7047</f>
        <v>6.39296398000308</v>
      </c>
      <c r="G7048" s="6" t="n">
        <f aca="false">Sens!G7042-Sens!G7045-Sens!G7047</f>
        <v>45.3560515083703</v>
      </c>
      <c r="H7048" s="6" t="n">
        <f aca="false">Sens!H7042-Sens!H7045-Sens!H7047</f>
        <v>97.1238496210812</v>
      </c>
      <c r="I7048" s="6" t="n">
        <f aca="false">Sens!I7042-Sens!I7045-Sens!I7047</f>
        <v>167.881173104666</v>
      </c>
      <c r="J7048" s="6" t="n">
        <f aca="false">Sens!J7042-Sens!J7045-Sens!J7047</f>
        <v>243.533678003999</v>
      </c>
      <c r="K7048" s="6" t="n">
        <f aca="false">Sens!K7042-Sens!K7045-Sens!K7047</f>
        <v>281.408967391106</v>
      </c>
      <c r="L7048" s="11" t="s">
        <v>950</v>
      </c>
    </row>
    <row r="7049" customFormat="false" ht="15" hidden="false" customHeight="false" outlineLevel="0" collapsed="false">
      <c r="A7049" s="1" t="s">
        <v>951</v>
      </c>
      <c r="B7049" s="0" t="s">
        <v>75</v>
      </c>
      <c r="F7049" s="8" t="n">
        <f aca="false">dps_27</f>
        <v>3.85</v>
      </c>
      <c r="G7049" s="8" t="n">
        <f aca="false">Sens!F7049*(1+dps_g)</f>
        <v>4.158</v>
      </c>
      <c r="H7049" s="8" t="n">
        <f aca="false">Sens!G7049*(1+dps_g)</f>
        <v>4.49064</v>
      </c>
      <c r="I7049" s="8" t="n">
        <f aca="false">Sens!H7049*(1+dps_g)</f>
        <v>4.8498912</v>
      </c>
      <c r="J7049" s="8" t="n">
        <f aca="false">Sens!I7049*(1+dps_g)</f>
        <v>5.237882496</v>
      </c>
      <c r="K7049" s="8" t="n">
        <f aca="false">Sens!J7049*(1+dps_g)</f>
        <v>5.65691309568</v>
      </c>
    </row>
    <row r="7050" customFormat="false" ht="17.15" hidden="false" customHeight="false" outlineLevel="0" collapsed="false">
      <c r="A7050" s="1" t="s">
        <v>952</v>
      </c>
      <c r="B7050" s="0" t="s">
        <v>98</v>
      </c>
      <c r="E7050" s="6" t="n">
        <f aca="false">Q!M41</f>
        <v>26.445</v>
      </c>
      <c r="F7050" s="6" t="n">
        <f aca="false">Sens!F7049*Sens!E7059</f>
        <v>28.59395</v>
      </c>
      <c r="G7050" s="6" t="n">
        <f aca="false">Sens!G7049*Sens!F7059</f>
        <v>31.068576</v>
      </c>
      <c r="H7050" s="6" t="n">
        <f aca="false">Sens!H7049*Sens!G7059</f>
        <v>33.6488094429601</v>
      </c>
      <c r="I7050" s="6" t="n">
        <f aca="false">Sens!I7049*Sens!H7059</f>
        <v>36.3916534383964</v>
      </c>
      <c r="J7050" s="6" t="n">
        <f aca="false">Sens!J7049*Sens!I7059</f>
        <v>39.3713845617876</v>
      </c>
      <c r="K7050" s="6" t="n">
        <f aca="false">Sens!K7049*Sens!J7059</f>
        <v>42.6083505520356</v>
      </c>
      <c r="L7050" s="1" t="s">
        <v>953</v>
      </c>
    </row>
    <row r="7051" customFormat="false" ht="15" hidden="false" customHeight="false" outlineLevel="0" collapsed="false">
      <c r="A7051" s="1" t="s">
        <v>954</v>
      </c>
      <c r="B7051" s="0" t="s">
        <v>98</v>
      </c>
      <c r="E7051" s="6" t="n">
        <f aca="false">Sens!E7048-Sens!E7050</f>
        <v>37.441</v>
      </c>
      <c r="F7051" s="6" t="n">
        <f aca="false">Sens!F7048-Sens!F7050</f>
        <v>-22.2009860199969</v>
      </c>
      <c r="G7051" s="6" t="n">
        <f aca="false">Sens!G7048-Sens!G7050</f>
        <v>14.2874755083703</v>
      </c>
      <c r="H7051" s="6" t="n">
        <f aca="false">Sens!H7048-Sens!H7050</f>
        <v>63.4750401781211</v>
      </c>
      <c r="I7051" s="6" t="n">
        <f aca="false">Sens!I7048-Sens!I7050</f>
        <v>131.48951966627</v>
      </c>
      <c r="J7051" s="6" t="n">
        <f aca="false">Sens!J7048-Sens!J7050</f>
        <v>204.162293442212</v>
      </c>
      <c r="K7051" s="6" t="n">
        <f aca="false">Sens!K7048-Sens!K7050</f>
        <v>238.80061683907</v>
      </c>
    </row>
    <row r="7052" customFormat="false" ht="15" hidden="false" customHeight="false" outlineLevel="0" collapsed="false">
      <c r="A7052" s="1" t="s">
        <v>955</v>
      </c>
      <c r="B7052" s="0" t="s">
        <v>98</v>
      </c>
      <c r="F7052" s="6" t="n">
        <f aca="false">debt_mat_27</f>
        <v>9.25</v>
      </c>
      <c r="G7052" s="6" t="n">
        <f aca="false">debt_mat_28</f>
        <v>0</v>
      </c>
      <c r="H7052" s="6" t="n">
        <f aca="false">debt_mat_29</f>
        <v>2.001</v>
      </c>
      <c r="I7052" s="6" t="n">
        <f aca="false">debt_mat_30</f>
        <v>0</v>
      </c>
      <c r="J7052" s="6" t="n">
        <f aca="false">debt_mat_31</f>
        <v>0.5</v>
      </c>
      <c r="K7052" s="6" t="n">
        <f aca="false">debt_mat_32</f>
        <v>0</v>
      </c>
    </row>
    <row r="7053" customFormat="false" ht="15" hidden="false" customHeight="false" outlineLevel="0" collapsed="false">
      <c r="A7053" s="1" t="s">
        <v>956</v>
      </c>
      <c r="B7053" s="0" t="s">
        <v>98</v>
      </c>
      <c r="E7053" s="6" t="n">
        <f aca="false">Q!M40</f>
        <v>22.271</v>
      </c>
      <c r="F7053" s="6" t="n">
        <f aca="false">MAX(0,MIN(bb_target,Sens!E7055+Sens!F7051-Sens!F7052-min_cash))</f>
        <v>0</v>
      </c>
      <c r="G7053" s="6" t="n">
        <f aca="false">MAX(0,MIN(bb_target,Sens!F7055+Sens!G7051-Sens!G7052-min_cash))</f>
        <v>14.2874755083703</v>
      </c>
      <c r="H7053" s="6" t="n">
        <f aca="false">MAX(0,MIN(bb_target,Sens!G7055+Sens!H7051-Sens!H7052-min_cash))</f>
        <v>22.271</v>
      </c>
      <c r="I7053" s="6" t="n">
        <f aca="false">MAX(0,MIN(bb_target,Sens!H7055+Sens!I7051-Sens!I7052-min_cash))</f>
        <v>22.271</v>
      </c>
      <c r="J7053" s="6" t="n">
        <f aca="false">MAX(0,MIN(bb_target,Sens!I7055+Sens!J7051-Sens!J7052-min_cash))</f>
        <v>22.271</v>
      </c>
      <c r="K7053" s="6" t="n">
        <f aca="false">MAX(0,MIN(bb_target,Sens!J7055+Sens!K7051-Sens!K7052-min_cash))</f>
        <v>22.271</v>
      </c>
    </row>
    <row r="7054" customFormat="false" ht="15" hidden="false" customHeight="false" outlineLevel="0" collapsed="false">
      <c r="A7054" s="1" t="s">
        <v>957</v>
      </c>
      <c r="B7054" s="0" t="s">
        <v>98</v>
      </c>
      <c r="F7054" s="6" t="n">
        <f aca="false">MAX(0,min_cash-(Sens!E7055+Sens!F7051-Sens!F7052-Sens!F7053))</f>
        <v>4.60798601999692</v>
      </c>
      <c r="G7054" s="6" t="n">
        <f aca="false">MAX(0,min_cash-(Sens!F7055+Sens!G7051-Sens!G7052-Sens!G7053))</f>
        <v>0</v>
      </c>
      <c r="H7054" s="6" t="n">
        <f aca="false">MAX(0,min_cash-(Sens!G7055+Sens!H7051-Sens!H7052-Sens!H7053))</f>
        <v>0</v>
      </c>
      <c r="I7054" s="6" t="n">
        <f aca="false">MAX(0,min_cash-(Sens!H7055+Sens!I7051-Sens!I7052-Sens!I7053))</f>
        <v>0</v>
      </c>
      <c r="J7054" s="6" t="n">
        <f aca="false">MAX(0,min_cash-(Sens!I7055+Sens!J7051-Sens!J7052-Sens!J7053))</f>
        <v>0</v>
      </c>
      <c r="K7054" s="6" t="n">
        <f aca="false">MAX(0,min_cash-(Sens!J7055+Sens!K7051-Sens!K7052-Sens!K7053))</f>
        <v>0</v>
      </c>
    </row>
    <row r="7055" customFormat="false" ht="15" hidden="false" customHeight="false" outlineLevel="0" collapsed="false">
      <c r="A7055" s="1" t="s">
        <v>958</v>
      </c>
      <c r="B7055" s="0" t="s">
        <v>98</v>
      </c>
      <c r="E7055" s="6" t="n">
        <f aca="false">cash_open</f>
        <v>76.843</v>
      </c>
      <c r="F7055" s="6" t="n">
        <f aca="false">Sens!E7055+Sens!F7051-Sens!F7052-Sens!F7053+Sens!F7054</f>
        <v>50</v>
      </c>
      <c r="G7055" s="6" t="n">
        <f aca="false">Sens!F7055+Sens!G7051-Sens!G7052-Sens!G7053+Sens!G7054</f>
        <v>50</v>
      </c>
      <c r="H7055" s="6" t="n">
        <f aca="false">Sens!G7055+Sens!H7051-Sens!H7052-Sens!H7053+Sens!H7054</f>
        <v>89.2030401781211</v>
      </c>
      <c r="I7055" s="6" t="n">
        <f aca="false">Sens!H7055+Sens!I7051-Sens!I7052-Sens!I7053+Sens!I7054</f>
        <v>198.421559844391</v>
      </c>
      <c r="J7055" s="6" t="n">
        <f aca="false">Sens!I7055+Sens!J7051-Sens!J7052-Sens!J7053+Sens!J7054</f>
        <v>379.812853286603</v>
      </c>
      <c r="K7055" s="6" t="n">
        <f aca="false">Sens!J7055+Sens!K7051-Sens!K7052-Sens!K7053+Sens!K7054</f>
        <v>596.342470125673</v>
      </c>
    </row>
    <row r="7056" customFormat="false" ht="15" hidden="false" customHeight="false" outlineLevel="0" collapsed="false">
      <c r="A7056" s="1" t="s">
        <v>959</v>
      </c>
      <c r="B7056" s="0" t="s">
        <v>98</v>
      </c>
      <c r="E7056" s="6" t="n">
        <f aca="false">debt_face</f>
        <v>46.136</v>
      </c>
      <c r="F7056" s="6" t="n">
        <f aca="false">Sens!E7056-Sens!F7052+Sens!F7054</f>
        <v>41.4939860199969</v>
      </c>
      <c r="G7056" s="6" t="n">
        <f aca="false">Sens!F7056-Sens!G7052+Sens!G7054</f>
        <v>41.4939860199969</v>
      </c>
      <c r="H7056" s="6" t="n">
        <f aca="false">Sens!G7056-Sens!H7052+Sens!H7054</f>
        <v>39.4929860199969</v>
      </c>
      <c r="I7056" s="6" t="n">
        <f aca="false">Sens!H7056-Sens!I7052+Sens!I7054</f>
        <v>39.4929860199969</v>
      </c>
      <c r="J7056" s="6" t="n">
        <f aca="false">Sens!I7056-Sens!J7052+Sens!J7054</f>
        <v>38.9929860199969</v>
      </c>
      <c r="K7056" s="6" t="n">
        <f aca="false">Sens!J7056-Sens!K7052+Sens!K7054</f>
        <v>38.9929860199969</v>
      </c>
    </row>
    <row r="7057" customFormat="false" ht="15" hidden="false" customHeight="false" outlineLevel="0" collapsed="false">
      <c r="A7057" s="1" t="s">
        <v>960</v>
      </c>
      <c r="B7057" s="0" t="s">
        <v>98</v>
      </c>
      <c r="E7057" s="6" t="n">
        <f aca="false">Sens!E7055-Sens!E7056</f>
        <v>30.707</v>
      </c>
      <c r="F7057" s="6" t="n">
        <f aca="false">Sens!F7055-Sens!F7056</f>
        <v>8.50601398000308</v>
      </c>
      <c r="G7057" s="6" t="n">
        <f aca="false">Sens!G7055-Sens!G7056</f>
        <v>8.50601398000308</v>
      </c>
      <c r="H7057" s="6" t="n">
        <f aca="false">Sens!H7055-Sens!H7056</f>
        <v>49.7100541581242</v>
      </c>
      <c r="I7057" s="6" t="n">
        <f aca="false">Sens!I7055-Sens!I7056</f>
        <v>158.928573824394</v>
      </c>
      <c r="J7057" s="6" t="n">
        <f aca="false">Sens!J7055-Sens!J7056</f>
        <v>340.819867266606</v>
      </c>
      <c r="K7057" s="6" t="n">
        <f aca="false">Sens!K7055-Sens!K7056</f>
        <v>557.349484105676</v>
      </c>
    </row>
    <row r="7058" customFormat="false" ht="15" hidden="false" customHeight="false" outlineLevel="0" collapsed="false">
      <c r="A7058" s="1" t="s">
        <v>961</v>
      </c>
      <c r="B7058" s="0" t="s">
        <v>75</v>
      </c>
      <c r="F7058" s="29" t="n">
        <f aca="false">px*(1+bb_g)^(Sens!F6922-base_fy-mid_yr)</f>
        <v>553.494156066711</v>
      </c>
      <c r="G7058" s="29" t="n">
        <f aca="false">px*(1+bb_g)^(Sens!G6922-base_fy-mid_yr)</f>
        <v>597.773688552047</v>
      </c>
      <c r="H7058" s="29" t="n">
        <f aca="false">px*(1+bb_g)^(Sens!H6922-base_fy-mid_yr)</f>
        <v>645.595583636211</v>
      </c>
      <c r="I7058" s="29" t="n">
        <f aca="false">px*(1+bb_g)^(Sens!I6922-base_fy-mid_yr)</f>
        <v>697.243230327108</v>
      </c>
      <c r="J7058" s="29" t="n">
        <f aca="false">px*(1+bb_g)^(Sens!J6922-base_fy-mid_yr)</f>
        <v>753.022688753277</v>
      </c>
      <c r="K7058" s="29" t="n">
        <f aca="false">px*(1+bb_g)^(Sens!K6922-base_fy-mid_yr)</f>
        <v>813.264503853539</v>
      </c>
    </row>
    <row r="7059" customFormat="false" ht="15" hidden="false" customHeight="false" outlineLevel="0" collapsed="false">
      <c r="A7059" s="1" t="s">
        <v>962</v>
      </c>
      <c r="B7059" s="1" t="s">
        <v>81</v>
      </c>
      <c r="E7059" s="14" t="n">
        <f aca="false">sh_out26</f>
        <v>7.427</v>
      </c>
      <c r="F7059" s="14" t="n">
        <f aca="false">Sens!E7059+sh_iss-Sens!F7053/Sens!F7058</f>
        <v>7.472</v>
      </c>
      <c r="G7059" s="14" t="n">
        <f aca="false">Sens!F7059+sh_iss-Sens!G7053/Sens!G7058</f>
        <v>7.49309885516544</v>
      </c>
      <c r="H7059" s="14" t="n">
        <f aca="false">Sens!G7059+sh_iss-Sens!H7053/Sens!H7058</f>
        <v>7.50360202686534</v>
      </c>
      <c r="I7059" s="14" t="n">
        <f aca="false">Sens!H7059+sh_iss-Sens!I7053/Sens!I7058</f>
        <v>7.51666051918007</v>
      </c>
      <c r="J7059" s="14" t="n">
        <f aca="false">Sens!I7059+sh_iss-Sens!J7053/Sens!J7058</f>
        <v>7.53208504910111</v>
      </c>
      <c r="K7059" s="14" t="n">
        <f aca="false">Sens!J7059+sh_iss-Sens!K7053/Sens!K7058</f>
        <v>7.54970035458355</v>
      </c>
    </row>
    <row r="7060" customFormat="false" ht="15" hidden="false" customHeight="false" outlineLevel="0" collapsed="false">
      <c r="A7060" s="1" t="s">
        <v>963</v>
      </c>
      <c r="B7060" s="1" t="s">
        <v>81</v>
      </c>
      <c r="E7060" s="14" t="n">
        <f aca="false">sh_dil26</f>
        <v>7.453</v>
      </c>
      <c r="F7060" s="14" t="n">
        <f aca="false">(Sens!E7059+Sens!F7059)/2+dil_gap</f>
        <v>7.4735</v>
      </c>
      <c r="G7060" s="14" t="n">
        <f aca="false">(Sens!F7059+Sens!G7059)/2+dil_gap</f>
        <v>7.50654942758272</v>
      </c>
      <c r="H7060" s="14" t="n">
        <f aca="false">(Sens!G7059+Sens!H7059)/2+dil_gap</f>
        <v>7.52235044101539</v>
      </c>
      <c r="I7060" s="14" t="n">
        <f aca="false">(Sens!H7059+Sens!I7059)/2+dil_gap</f>
        <v>7.53413127302271</v>
      </c>
      <c r="J7060" s="14" t="n">
        <f aca="false">(Sens!I7059+Sens!J7059)/2+dil_gap</f>
        <v>7.54837278414059</v>
      </c>
      <c r="K7060" s="14" t="n">
        <f aca="false">(Sens!J7059+Sens!K7059)/2+dil_gap</f>
        <v>7.56489270184233</v>
      </c>
    </row>
    <row r="7061" customFormat="false" ht="17.15" hidden="false" customHeight="false" outlineLevel="0" collapsed="false">
      <c r="A7061" s="1" t="s">
        <v>964</v>
      </c>
      <c r="B7061" s="0" t="s">
        <v>98</v>
      </c>
      <c r="C7061" s="6" t="n">
        <f aca="false">SUM(Sens!F7051:J7051)</f>
        <v>391.213342774976</v>
      </c>
    </row>
    <row r="7062" customFormat="false" ht="15" hidden="false" customHeight="false" outlineLevel="0" collapsed="false">
      <c r="A7062" s="23" t="s">
        <v>935</v>
      </c>
      <c r="B7062" s="30" t="s">
        <v>98</v>
      </c>
      <c r="C7062" s="24" t="n">
        <f aca="false">Sens!$C$7061-(Sens!F7051+Sens!G7051+Sens!H7051+Sens!I7051+Sens!J7051)</f>
        <v>0</v>
      </c>
      <c r="D7062" s="30"/>
      <c r="E7062" s="30"/>
      <c r="F7062" s="30"/>
      <c r="G7062" s="30"/>
      <c r="H7062" s="30"/>
      <c r="I7062" s="30"/>
      <c r="J7062" s="30"/>
      <c r="K7062" s="30"/>
    </row>
    <row r="7063" customFormat="false" ht="17.15" hidden="false" customHeight="false" outlineLevel="0" collapsed="false">
      <c r="A7063" s="1" t="s">
        <v>929</v>
      </c>
      <c r="B7063" s="1" t="s">
        <v>965</v>
      </c>
      <c r="C7063" s="32" t="str">
        <f aca="false">IF(SUM(Sens!F7054:J7054)&gt;0.05,"需要舉債 "&amp;TEXT(SUM(Sens!F7054:J7054),"0.0")&amp;" 十億美元","不需舉債")&amp;"；"&amp;IF(SUM(Sens!F7053:J7053)&lt;COUNT(Sens!F7053:J7053)*bb_target-0.05,"回購較每年 "&amp;TEXT(bb_target,"0.0")&amp;" 的目標少 "&amp;TEXT(COUNT(Sens!F7053:J7053)*bb_target-SUM(Sens!F7053:J7053),"0.0")&amp;" 十億美元（"&amp;TEXT(COUNTIF(Sens!F7053:J7053,"&lt;"&amp;(bb_target-0.05)),"0")&amp;" 年減少）","回購不減")</f>
        <v>需要舉債 4.6 十億美元；回購較每年 22.3 的目標少 30.3 十億美元（2 年減少）</v>
      </c>
    </row>
    <row r="7064" customFormat="false" ht="17.15" hidden="false" customHeight="false" outlineLevel="0" collapsed="false">
      <c r="A7064" s="3" t="s">
        <v>1418</v>
      </c>
    </row>
    <row r="7065" customFormat="false" ht="15" hidden="false" customHeight="false" outlineLevel="0" collapsed="false">
      <c r="A7065" s="4" t="s">
        <v>43</v>
      </c>
      <c r="B7065" s="4" t="s">
        <v>65</v>
      </c>
      <c r="C7065" s="20" t="s">
        <v>788</v>
      </c>
      <c r="D7065" s="20" t="s">
        <v>789</v>
      </c>
      <c r="E7065" s="20" t="s">
        <v>790</v>
      </c>
      <c r="F7065" s="20" t="s">
        <v>791</v>
      </c>
      <c r="G7065" s="20" t="s">
        <v>792</v>
      </c>
      <c r="H7065" s="20" t="s">
        <v>793</v>
      </c>
      <c r="I7065" s="20" t="s">
        <v>794</v>
      </c>
      <c r="J7065" s="20" t="s">
        <v>795</v>
      </c>
      <c r="K7065" s="20" t="s">
        <v>796</v>
      </c>
      <c r="L7065" s="4" t="s">
        <v>47</v>
      </c>
    </row>
    <row r="7066" customFormat="false" ht="15" hidden="false" customHeight="false" outlineLevel="0" collapsed="false">
      <c r="A7066" s="1" t="s">
        <v>1042</v>
      </c>
      <c r="B7066" s="1" t="s">
        <v>235</v>
      </c>
      <c r="F7066" s="36" t="n">
        <f aca="false">Sens!F6922-base_fy-mid_yr</f>
        <v>0.5</v>
      </c>
      <c r="G7066" s="36" t="n">
        <f aca="false">Sens!G6922-base_fy-mid_yr</f>
        <v>1.5</v>
      </c>
      <c r="H7066" s="36" t="n">
        <f aca="false">Sens!H6922-base_fy-mid_yr</f>
        <v>2.5</v>
      </c>
      <c r="I7066" s="36" t="n">
        <f aca="false">Sens!I6922-base_fy-mid_yr</f>
        <v>3.5</v>
      </c>
      <c r="J7066" s="36" t="n">
        <f aca="false">Sens!J6922-base_fy-mid_yr</f>
        <v>4.5</v>
      </c>
      <c r="K7066" s="36" t="n">
        <f aca="false">Sens!K6922-base_fy-mid_yr</f>
        <v>5.5</v>
      </c>
    </row>
    <row r="7067" customFormat="false" ht="15" hidden="false" customHeight="false" outlineLevel="0" collapsed="false">
      <c r="A7067" s="1" t="s">
        <v>1043</v>
      </c>
      <c r="B7067" s="0" t="s">
        <v>185</v>
      </c>
      <c r="F7067" s="14" t="n">
        <f aca="false">1/(1+wacc)^Sens!F7066</f>
        <v>0.952193373608246</v>
      </c>
      <c r="G7067" s="14" t="n">
        <f aca="false">1/(1+wacc)^Sens!G7066</f>
        <v>0.863327280626589</v>
      </c>
      <c r="H7067" s="14" t="n">
        <f aca="false">1/(1+wacc)^Sens!H7066</f>
        <v>0.782754862754115</v>
      </c>
      <c r="I7067" s="14" t="n">
        <f aca="false">1/(1+wacc)^Sens!I7066</f>
        <v>0.709702089711011</v>
      </c>
      <c r="J7067" s="14" t="n">
        <f aca="false">1/(1+wacc)^Sens!J7066</f>
        <v>0.643467169744551</v>
      </c>
      <c r="K7067" s="14" t="n">
        <f aca="false">1/(1+wacc)^Sens!K7066</f>
        <v>0.583413807767797</v>
      </c>
    </row>
    <row r="7068" customFormat="false" ht="17.15" hidden="false" customHeight="false" outlineLevel="0" collapsed="false">
      <c r="A7068" s="1" t="s">
        <v>1044</v>
      </c>
      <c r="B7068" s="0" t="s">
        <v>98</v>
      </c>
      <c r="F7068" s="6" t="n">
        <f aca="false">Sens!F7042-Sens!F7040-Sens!F7045+Sens!F7026*(1-tax_f)</f>
        <v>9.32245994594018</v>
      </c>
      <c r="G7068" s="6" t="n">
        <f aca="false">Sens!G7042-Sens!G7040-Sens!G7045+Sens!G7026*(1-tax_f)</f>
        <v>55.290679990155</v>
      </c>
      <c r="H7068" s="6" t="n">
        <f aca="false">Sens!H7042-Sens!H7040-Sens!H7045+Sens!H7026*(1-tax_f)</f>
        <v>114.1172381267</v>
      </c>
      <c r="I7068" s="6" t="n">
        <f aca="false">Sens!I7042-Sens!I7040-Sens!I7045+Sens!I7026*(1-tax_f)</f>
        <v>192.376020587037</v>
      </c>
      <c r="J7068" s="6" t="n">
        <f aca="false">Sens!J7042-Sens!J7040-Sens!J7045+Sens!J7026*(1-tax_f)</f>
        <v>273.134150964366</v>
      </c>
      <c r="K7068" s="6" t="n">
        <f aca="false">Sens!K7042-Sens!K7040-Sens!K7045+Sens!K7026*(1-tax_f)</f>
        <v>312.862652195765</v>
      </c>
      <c r="L7068" s="1" t="s">
        <v>1045</v>
      </c>
    </row>
    <row r="7069" customFormat="false" ht="15" hidden="false" customHeight="false" outlineLevel="0" collapsed="false">
      <c r="A7069" s="1" t="s">
        <v>1046</v>
      </c>
      <c r="B7069" s="0" t="s">
        <v>98</v>
      </c>
      <c r="F7069" s="6" t="n">
        <f aca="false">Sens!F7068*Sens!F7067</f>
        <v>8.87678458625253</v>
      </c>
      <c r="G7069" s="6" t="n">
        <f aca="false">Sens!G7068*Sens!G7067</f>
        <v>47.7339523998954</v>
      </c>
      <c r="H7069" s="6" t="n">
        <f aca="false">Sens!H7068*Sens!H7067</f>
        <v>89.3258230677437</v>
      </c>
      <c r="I7069" s="6" t="n">
        <f aca="false">Sens!I7068*Sens!I7067</f>
        <v>136.529663820908</v>
      </c>
      <c r="J7069" s="6" t="n">
        <f aca="false">Sens!J7068*Sens!J7067</f>
        <v>175.752859081621</v>
      </c>
      <c r="K7069" s="6" t="n">
        <f aca="false">Sens!K7068*Sens!K7067</f>
        <v>182.528391225863</v>
      </c>
    </row>
    <row r="7070" customFormat="false" ht="17.15" hidden="false" customHeight="false" outlineLevel="0" collapsed="false">
      <c r="A7070" s="1" t="s">
        <v>1047</v>
      </c>
      <c r="B7070" s="0" t="s">
        <v>98</v>
      </c>
      <c r="C7070" s="6" t="n">
        <f aca="false">SUM(Sens!F7069:K7069)</f>
        <v>640.747474182285</v>
      </c>
    </row>
    <row r="7071" customFormat="false" ht="17.15" hidden="false" customHeight="false" outlineLevel="0" collapsed="false">
      <c r="A7071" s="1" t="s">
        <v>1048</v>
      </c>
      <c r="B7071" s="0" t="s">
        <v>98</v>
      </c>
      <c r="C7071" s="6" t="n">
        <f aca="false">Sens!K7012*(1+g_tv)*(1-tax_f)</f>
        <v>325.375576025769</v>
      </c>
    </row>
    <row r="7072" customFormat="false" ht="17.15" hidden="false" customHeight="false" outlineLevel="0" collapsed="false">
      <c r="A7072" s="1" t="s">
        <v>1049</v>
      </c>
      <c r="B7072" s="0" t="s">
        <v>98</v>
      </c>
      <c r="C7072" s="6" t="n">
        <f aca="false">Sens!$C$7071*(1-g_tv/(wacc+ronic_prem))</f>
        <v>230.545612715482</v>
      </c>
    </row>
    <row r="7073" customFormat="false" ht="17.15" hidden="false" customHeight="false" outlineLevel="0" collapsed="false">
      <c r="A7073" s="1" t="s">
        <v>1050</v>
      </c>
      <c r="B7073" s="0" t="s">
        <v>98</v>
      </c>
      <c r="C7073" s="6" t="n">
        <f aca="false">Sens!$C$7072/(wacc-g_tv)</f>
        <v>3160.99877700957</v>
      </c>
    </row>
    <row r="7074" customFormat="false" ht="15" hidden="false" customHeight="false" outlineLevel="0" collapsed="false">
      <c r="A7074" s="1" t="s">
        <v>1051</v>
      </c>
      <c r="B7074" s="0" t="s">
        <v>98</v>
      </c>
      <c r="C7074" s="6" t="n">
        <f aca="false">Sens!$C$7073/(1+wacc)^(Sens!K7066+mid_yr)</f>
        <v>1756.00677073945</v>
      </c>
    </row>
    <row r="7075" customFormat="false" ht="17.15" hidden="false" customHeight="false" outlineLevel="0" collapsed="false">
      <c r="A7075" s="0" t="s">
        <v>972</v>
      </c>
      <c r="B7075" s="0" t="s">
        <v>98</v>
      </c>
      <c r="C7075" s="6" t="n">
        <f aca="false">Sens!$C$7070+Sens!$C$7074</f>
        <v>2396.75424492173</v>
      </c>
    </row>
    <row r="7076" customFormat="false" ht="15" hidden="false" customHeight="false" outlineLevel="0" collapsed="false">
      <c r="A7076" s="1" t="s">
        <v>973</v>
      </c>
      <c r="B7076" s="0" t="s">
        <v>129</v>
      </c>
      <c r="C7076" s="7" t="n">
        <f aca="false">Sens!$C$7074/Sens!$C$7075</f>
        <v>0.732660336144222</v>
      </c>
    </row>
    <row r="7077" customFormat="false" ht="17.15" hidden="false" customHeight="false" outlineLevel="0" collapsed="false">
      <c r="A7077" s="1" t="s">
        <v>1052</v>
      </c>
      <c r="B7077" s="0" t="s">
        <v>98</v>
      </c>
      <c r="C7077" s="6" t="n">
        <f aca="false">Sens!$C$7075+Sens!E7057-Sens!E7046+oai_v</f>
        <v>2531.26724492173</v>
      </c>
    </row>
    <row r="7078" customFormat="false" ht="17.15" hidden="false" customHeight="false" outlineLevel="0" collapsed="false">
      <c r="A7078" s="0" t="s">
        <v>980</v>
      </c>
      <c r="B7078" s="0" t="s">
        <v>75</v>
      </c>
      <c r="C7078" s="5" t="n">
        <f aca="false">Sens!$C$7077/sh_dil26</f>
        <v>339.630651405036</v>
      </c>
    </row>
    <row r="7079" customFormat="false" ht="15" hidden="false" customHeight="false" outlineLevel="0" collapsed="false">
      <c r="A7079" s="1" t="s">
        <v>1053</v>
      </c>
      <c r="B7079" s="0" t="s">
        <v>75</v>
      </c>
      <c r="C7079" s="8" t="n">
        <f aca="false">dps_27+Sens!G7049*roll_div_q/q_per_yr</f>
        <v>4.8895</v>
      </c>
    </row>
    <row r="7080" customFormat="false" ht="17.15" hidden="false" customHeight="false" outlineLevel="0" collapsed="false">
      <c r="A7080" s="0" t="s">
        <v>1054</v>
      </c>
      <c r="B7080" s="0" t="s">
        <v>75</v>
      </c>
      <c r="C7080" s="5" t="n">
        <f aca="false">Sens!$C$7078*(1+wacc)^t_roll-Sens!$C$7079</f>
        <v>381.859262861292</v>
      </c>
    </row>
    <row r="7081" customFormat="false" ht="17.15" hidden="false" customHeight="false" outlineLevel="0" collapsed="false">
      <c r="A7081" s="1" t="s">
        <v>1055</v>
      </c>
      <c r="B7081" s="0" t="s">
        <v>129</v>
      </c>
      <c r="F7081" s="7" t="n">
        <f aca="false">Sens!F7038/(Sens!F6983-Sens!F6939)</f>
        <v>0.0677266870870097</v>
      </c>
      <c r="G7081" s="7" t="n">
        <f aca="false">Sens!G7038/(Sens!G6983-Sens!G6939)</f>
        <v>0.0644726760504486</v>
      </c>
      <c r="H7081" s="7" t="n">
        <f aca="false">Sens!H7038/(Sens!H6983-Sens!H6939)</f>
        <v>0.0627624003377935</v>
      </c>
      <c r="I7081" s="7" t="n">
        <f aca="false">Sens!I7038/(Sens!I6983-Sens!I6939)</f>
        <v>0.0624956135511809</v>
      </c>
      <c r="J7081" s="7" t="n">
        <f aca="false">Sens!J7038/(Sens!J6983-Sens!J6939)</f>
        <v>0.0632876031473931</v>
      </c>
      <c r="K7081" s="7" t="n">
        <f aca="false">Sens!K7038/(Sens!K6983-Sens!K6939)</f>
        <v>0.064634515078147</v>
      </c>
    </row>
    <row r="7082" customFormat="false" ht="17.15" hidden="false" customHeight="false" outlineLevel="0" collapsed="false">
      <c r="A7082" s="0" t="s">
        <v>1056</v>
      </c>
      <c r="B7082" s="0" t="s">
        <v>98</v>
      </c>
      <c r="F7082" s="6" t="n">
        <f aca="false">Sens!F6968*(al_m365+Sens!F7081+sbc_r)</f>
        <v>86.7935840772846</v>
      </c>
      <c r="G7082" s="6" t="n">
        <f aca="false">Sens!G6968*(al_m365+Sens!G7081+sbc_r)</f>
        <v>102.501868137008</v>
      </c>
      <c r="H7082" s="6" t="n">
        <f aca="false">Sens!H6968*(al_m365+Sens!H7081+sbc_r)</f>
        <v>118.378665501883</v>
      </c>
      <c r="I7082" s="6" t="n">
        <f aca="false">Sens!I6968*(al_m365+Sens!I7081+sbc_r)</f>
        <v>132.440770886107</v>
      </c>
      <c r="J7082" s="6" t="n">
        <f aca="false">Sens!J6968*(al_m365+Sens!J7081+sbc_r)</f>
        <v>144.50110689663</v>
      </c>
      <c r="K7082" s="6" t="n">
        <f aca="false">Sens!K6968*(al_m365+Sens!K7081+sbc_r)</f>
        <v>156.183355013533</v>
      </c>
      <c r="L7082" s="11" t="s">
        <v>1057</v>
      </c>
    </row>
    <row r="7083" customFormat="false" ht="17.15" hidden="false" customHeight="false" outlineLevel="0" collapsed="false">
      <c r="A7083" s="0" t="s">
        <v>1058</v>
      </c>
      <c r="B7083" s="0" t="s">
        <v>98</v>
      </c>
      <c r="F7083" s="6" t="n">
        <f aca="false">Sens!F6969*(al_lic+Sens!F7081+sbc_r)</f>
        <v>33.4109008677548</v>
      </c>
      <c r="G7083" s="6" t="n">
        <f aca="false">Sens!G6969*(al_lic+Sens!G7081+sbc_r)</f>
        <v>34.6931369628396</v>
      </c>
      <c r="H7083" s="6" t="n">
        <f aca="false">Sens!H6969*(al_lic+Sens!H7081+sbc_r)</f>
        <v>35.8961807676222</v>
      </c>
      <c r="I7083" s="6" t="n">
        <f aca="false">Sens!I6969*(al_lic+Sens!I7081+sbc_r)</f>
        <v>37.0035258253625</v>
      </c>
      <c r="J7083" s="6" t="n">
        <f aca="false">Sens!J6969*(al_lic+Sens!J7081+sbc_r)</f>
        <v>37.9856660474796</v>
      </c>
      <c r="K7083" s="6" t="n">
        <f aca="false">Sens!K6969*(al_lic+Sens!K7081+sbc_r)</f>
        <v>38.8067270145446</v>
      </c>
    </row>
    <row r="7084" customFormat="false" ht="17.15" hidden="false" customHeight="false" outlineLevel="0" collapsed="false">
      <c r="A7084" s="0" t="s">
        <v>1059</v>
      </c>
      <c r="B7084" s="0" t="s">
        <v>98</v>
      </c>
      <c r="F7084" s="6" t="n">
        <f aca="false">Sens!F6971*(al_ind+Sens!F7081+sbc_r)</f>
        <v>9.05711727781629</v>
      </c>
      <c r="G7084" s="6" t="n">
        <f aca="false">Sens!G6971*(al_ind+Sens!G7081+sbc_r)</f>
        <v>9.82102612414497</v>
      </c>
      <c r="H7084" s="6" t="n">
        <f aca="false">Sens!H6971*(al_ind+Sens!H7081+sbc_r)</f>
        <v>10.6333749254762</v>
      </c>
      <c r="I7084" s="6" t="n">
        <f aca="false">Sens!I6971*(al_ind+Sens!I7081+sbc_r)</f>
        <v>11.4929860773995</v>
      </c>
      <c r="J7084" s="6" t="n">
        <f aca="false">Sens!J6971*(al_ind+Sens!J7081+sbc_r)</f>
        <v>12.3884235687864</v>
      </c>
      <c r="K7084" s="6" t="n">
        <f aca="false">Sens!K6971*(al_ind+Sens!K7081+sbc_r)</f>
        <v>13.3001739173288</v>
      </c>
    </row>
    <row r="7085" customFormat="false" ht="17.15" hidden="false" customHeight="false" outlineLevel="0" collapsed="false">
      <c r="A7085" s="0" t="s">
        <v>1060</v>
      </c>
      <c r="B7085" s="0" t="s">
        <v>98</v>
      </c>
      <c r="F7085" s="6" t="n">
        <f aca="false">Sens!F6973*(al_fro+Sens!F7081+sbc_r)</f>
        <v>3.56491315828428</v>
      </c>
      <c r="G7085" s="6" t="n">
        <f aca="false">Sens!G6973*(al_fro+Sens!G7081+sbc_r)</f>
        <v>3.77069339617254</v>
      </c>
      <c r="H7085" s="6" t="n">
        <f aca="false">Sens!H6973*(al_fro+Sens!H7081+sbc_r)</f>
        <v>4.00701962633205</v>
      </c>
      <c r="I7085" s="6" t="n">
        <f aca="false">Sens!I6973*(al_fro+Sens!I7081+sbc_r)</f>
        <v>4.27722165916306</v>
      </c>
      <c r="J7085" s="6" t="n">
        <f aca="false">Sens!J6973*(al_fro+Sens!J7081+sbc_r)</f>
        <v>4.58171512197157</v>
      </c>
      <c r="K7085" s="6" t="n">
        <f aca="false">Sens!K6973*(al_fro+Sens!K7081+sbc_r)</f>
        <v>4.91891543936344</v>
      </c>
    </row>
    <row r="7086" customFormat="false" ht="17.15" hidden="false" customHeight="false" outlineLevel="0" collapsed="false">
      <c r="A7086" s="0" t="s">
        <v>1061</v>
      </c>
      <c r="B7086" s="0" t="s">
        <v>98</v>
      </c>
      <c r="F7086" s="6" t="n">
        <f aca="false">Sens!F6976*(al_srch+Sens!F7081+sbc_r)</f>
        <v>11.1856706958041</v>
      </c>
      <c r="G7086" s="6" t="n">
        <f aca="false">Sens!G6976*(al_srch+Sens!G7081+sbc_r)</f>
        <v>12.243552017943</v>
      </c>
      <c r="H7086" s="6" t="n">
        <f aca="false">Sens!H6976*(al_srch+Sens!H7081+sbc_r)</f>
        <v>13.3505880614801</v>
      </c>
      <c r="I7086" s="6" t="n">
        <f aca="false">Sens!I6976*(al_srch+Sens!I7081+sbc_r)</f>
        <v>14.4986644618585</v>
      </c>
      <c r="J7086" s="6" t="n">
        <f aca="false">Sens!J6976*(al_srch+Sens!J7081+sbc_r)</f>
        <v>15.6657383394077</v>
      </c>
      <c r="K7086" s="6" t="n">
        <f aca="false">Sens!K6976*(al_srch+Sens!K7081+sbc_r)</f>
        <v>16.8186891012074</v>
      </c>
    </row>
    <row r="7087" customFormat="false" ht="17.15" hidden="false" customHeight="false" outlineLevel="0" collapsed="false">
      <c r="A7087" s="0" t="s">
        <v>1062</v>
      </c>
      <c r="B7087" s="0" t="s">
        <v>98</v>
      </c>
      <c r="F7087" s="6" t="n">
        <f aca="false">Sens!F6945-Sens!F6946+Sens!F7026</f>
        <v>54.1327204465957</v>
      </c>
      <c r="G7087" s="6" t="n">
        <f aca="false">Sens!G6945-Sens!G6946+Sens!G7026</f>
        <v>97.6840044917479</v>
      </c>
      <c r="H7087" s="6" t="n">
        <f aca="false">Sens!H6945-Sens!H6946+Sens!H7026</f>
        <v>148.715518831806</v>
      </c>
      <c r="I7087" s="6" t="n">
        <f aca="false">Sens!I6945-Sens!I6946+Sens!I7026</f>
        <v>189.674166342175</v>
      </c>
      <c r="J7087" s="6" t="n">
        <f aca="false">Sens!J6945-Sens!J6946+Sens!J7026</f>
        <v>218.581462923608</v>
      </c>
      <c r="K7087" s="6" t="n">
        <f aca="false">Sens!K6945-Sens!K6946+Sens!K7026</f>
        <v>235.916702306687</v>
      </c>
    </row>
    <row r="7088" customFormat="false" ht="17.15" hidden="false" customHeight="false" outlineLevel="0" collapsed="false">
      <c r="A7088" s="0" t="s">
        <v>1063</v>
      </c>
      <c r="B7088" s="0" t="s">
        <v>98</v>
      </c>
      <c r="F7088" s="6" t="n">
        <f aca="false">Sens!F7005+Sens!F7026+Sens!F6956+Sens!F7081*(Sens!F6975-Sens!F6939)+sbc_r*Sens!F6975</f>
        <v>247.926600191685</v>
      </c>
      <c r="G7088" s="6" t="n">
        <f aca="false">Sens!G7005+Sens!G7026+Sens!G6956+Sens!G7081*(Sens!G6975-Sens!G6939)+sbc_r*Sens!G6975</f>
        <v>321.901375704473</v>
      </c>
      <c r="H7088" s="6" t="n">
        <f aca="false">Sens!H7005+Sens!H7026+Sens!H6956+Sens!H7081*(Sens!H6975-Sens!H6939)+sbc_r*Sens!H6975</f>
        <v>404.072784630157</v>
      </c>
      <c r="I7088" s="6" t="n">
        <f aca="false">Sens!I7005+Sens!I7026+Sens!I6956+Sens!I7081*(Sens!I6975-Sens!I6939)+sbc_r*Sens!I6975</f>
        <v>473.830885041358</v>
      </c>
      <c r="J7088" s="6" t="n">
        <f aca="false">Sens!J7005+Sens!J7026+Sens!J6956+Sens!J7081*(Sens!J6975-Sens!J6939)+sbc_r*Sens!J6975</f>
        <v>528.300455795032</v>
      </c>
      <c r="K7088" s="6" t="n">
        <f aca="false">Sens!K7005+Sens!K7026+Sens!K6956+Sens!K7081*(Sens!K6975-Sens!K6939)+sbc_r*Sens!K6975</f>
        <v>568.779594769956</v>
      </c>
    </row>
    <row r="7089" customFormat="false" ht="17.15" hidden="false" customHeight="false" outlineLevel="0" collapsed="false">
      <c r="A7089" s="0" t="s">
        <v>1064</v>
      </c>
      <c r="B7089" s="0" t="s">
        <v>98</v>
      </c>
      <c r="F7089" s="6" t="n">
        <f aca="false">Sens!F7088-Sens!F7082-Sens!F7083-Sens!F7084-Sens!F7085-Sens!F7087</f>
        <v>60.9673643639492</v>
      </c>
      <c r="G7089" s="6" t="n">
        <f aca="false">Sens!G7088-Sens!G7082-Sens!G7083-Sens!G7084-Sens!G7085-Sens!G7087</f>
        <v>73.43064659256</v>
      </c>
      <c r="H7089" s="6" t="n">
        <f aca="false">Sens!H7088-Sens!H7082-Sens!H7083-Sens!H7084-Sens!H7085-Sens!H7087</f>
        <v>86.442024977037</v>
      </c>
      <c r="I7089" s="6" t="n">
        <f aca="false">Sens!I7088-Sens!I7082-Sens!I7083-Sens!I7084-Sens!I7085-Sens!I7087</f>
        <v>98.94221425115</v>
      </c>
      <c r="J7089" s="6" t="n">
        <f aca="false">Sens!J7088-Sens!J7082-Sens!J7083-Sens!J7084-Sens!J7085-Sens!J7087</f>
        <v>110.262081236557</v>
      </c>
      <c r="K7089" s="6" t="n">
        <f aca="false">Sens!K7088-Sens!K7082-Sens!K7083-Sens!K7084-Sens!K7085-Sens!K7087</f>
        <v>119.653721078499</v>
      </c>
    </row>
    <row r="7090" customFormat="false" ht="17.15" hidden="false" customHeight="false" outlineLevel="0" collapsed="false">
      <c r="A7090" s="0" t="s">
        <v>1065</v>
      </c>
      <c r="B7090" s="0" t="s">
        <v>98</v>
      </c>
      <c r="F7090" s="6" t="n">
        <f aca="false">Sens!F7007+Sens!F7081*Sens!F6982+sbc_r*Sens!F6982</f>
        <v>26.1424356488353</v>
      </c>
      <c r="G7090" s="6" t="n">
        <f aca="false">Sens!G7007+Sens!G7081*Sens!G6982+sbc_r*Sens!G6982</f>
        <v>26.7201358905787</v>
      </c>
      <c r="H7090" s="6" t="n">
        <f aca="false">Sens!H7007+Sens!H7081*Sens!H6982+sbc_r*Sens!H6982</f>
        <v>27.5769699837429</v>
      </c>
      <c r="I7090" s="6" t="n">
        <f aca="false">Sens!I7007+Sens!I7081*Sens!I6982+sbc_r*Sens!I6982</f>
        <v>28.6858724595025</v>
      </c>
      <c r="J7090" s="6" t="n">
        <f aca="false">Sens!J7007+Sens!J7081*Sens!J6982+sbc_r*Sens!J6982</f>
        <v>30.0057363500855</v>
      </c>
      <c r="K7090" s="6" t="n">
        <f aca="false">Sens!K7007+Sens!K7081*Sens!K6982+sbc_r*Sens!K6982</f>
        <v>31.4882269944345</v>
      </c>
    </row>
    <row r="7091" customFormat="false" ht="17.15" hidden="false" customHeight="false" outlineLevel="0" collapsed="false">
      <c r="A7091" s="0" t="s">
        <v>1066</v>
      </c>
      <c r="B7091" s="0" t="s">
        <v>98</v>
      </c>
      <c r="F7091" s="6" t="n">
        <f aca="false">(Sens!F7090-Sens!F7086)*Sens!F6978/(Sens!F6978+Sens!F6980)</f>
        <v>8.19915287047192</v>
      </c>
      <c r="G7091" s="6" t="n">
        <f aca="false">(Sens!G7090-Sens!G7086)*Sens!G6978/(Sens!G6978+Sens!G6980)</f>
        <v>7.79442528361822</v>
      </c>
      <c r="H7091" s="6" t="n">
        <f aca="false">(Sens!H7090-Sens!H7086)*Sens!H6978/(Sens!H6978+Sens!H6980)</f>
        <v>7.55624261921518</v>
      </c>
      <c r="I7091" s="6" t="n">
        <f aca="false">(Sens!I7090-Sens!I7086)*Sens!I6978/(Sens!I6978+Sens!I6980)</f>
        <v>7.467254947053</v>
      </c>
      <c r="J7091" s="6" t="n">
        <f aca="false">(Sens!J7090-Sens!J7086)*Sens!J6978/(Sens!J6978+Sens!J6980)</f>
        <v>7.51354370715089</v>
      </c>
      <c r="K7091" s="6" t="n">
        <f aca="false">(Sens!K7090-Sens!K7086)*Sens!K6978/(Sens!K6978+Sens!K6980)</f>
        <v>7.68620846686285</v>
      </c>
    </row>
    <row r="7092" customFormat="false" ht="17.15" hidden="false" customHeight="false" outlineLevel="0" collapsed="false">
      <c r="A7092" s="0" t="s">
        <v>1067</v>
      </c>
      <c r="B7092" s="0" t="s">
        <v>98</v>
      </c>
      <c r="F7092" s="6" t="n">
        <f aca="false">Sens!F7090-Sens!F7086-Sens!F7091</f>
        <v>6.75761208255928</v>
      </c>
      <c r="G7092" s="6" t="n">
        <f aca="false">Sens!G7090-Sens!G7086-Sens!G7091</f>
        <v>6.68215858901743</v>
      </c>
      <c r="H7092" s="6" t="n">
        <f aca="false">Sens!H7090-Sens!H7086-Sens!H7091</f>
        <v>6.67013930304761</v>
      </c>
      <c r="I7092" s="6" t="n">
        <f aca="false">Sens!I7090-Sens!I7086-Sens!I7091</f>
        <v>6.71995305059099</v>
      </c>
      <c r="J7092" s="6" t="n">
        <f aca="false">Sens!J7090-Sens!J7086-Sens!J7091</f>
        <v>6.82645430352684</v>
      </c>
      <c r="K7092" s="6" t="n">
        <f aca="false">Sens!K7090-Sens!K7086-Sens!K7091</f>
        <v>6.9833294263642</v>
      </c>
    </row>
    <row r="7093" customFormat="false" ht="17.15" hidden="false" customHeight="false" outlineLevel="0" collapsed="false">
      <c r="A7093" s="0" t="s">
        <v>1068</v>
      </c>
      <c r="B7093" s="0" t="s">
        <v>98</v>
      </c>
      <c r="F7093" s="6" t="n">
        <f aca="false">Sens!F7087-tax_f*(Sens!F7087-Sens!F6956)-Sens!F6953</f>
        <v>-117.953369321987</v>
      </c>
      <c r="G7093" s="6" t="n">
        <f aca="false">Sens!G7087-tax_f*(Sens!G7087-Sens!G6956)-Sens!G6953</f>
        <v>-93.3396302377338</v>
      </c>
      <c r="H7093" s="6" t="n">
        <f aca="false">Sens!H7087-tax_f*(Sens!H7087-Sens!H6956)-Sens!H6953</f>
        <v>-51.5734076463269</v>
      </c>
      <c r="I7093" s="6" t="n">
        <f aca="false">Sens!I7087-tax_f*(Sens!I7087-Sens!I6956)-Sens!I6953</f>
        <v>10.4160719159392</v>
      </c>
      <c r="J7093" s="6" t="n">
        <f aca="false">Sens!J7087-tax_f*(Sens!J7087-Sens!J6956)-Sens!J6953</f>
        <v>76.1754358053289</v>
      </c>
      <c r="K7093" s="6" t="n">
        <f aca="false">Sens!K7087-tax_f*(Sens!K7087-Sens!K6956)-Sens!K6953</f>
        <v>101.689455564308</v>
      </c>
    </row>
    <row r="7094" customFormat="false" ht="17.15" hidden="false" customHeight="false" outlineLevel="0" collapsed="false">
      <c r="A7094" s="0" t="s">
        <v>1069</v>
      </c>
      <c r="B7094" s="0" t="s">
        <v>98</v>
      </c>
      <c r="F7094" s="6" t="n">
        <f aca="false">Sens!F7093*Sens!F7067</f>
        <v>-112.314416663162</v>
      </c>
      <c r="G7094" s="6" t="n">
        <f aca="false">Sens!G7093*Sens!G7067</f>
        <v>-80.582649147834</v>
      </c>
      <c r="H7094" s="6" t="n">
        <f aca="false">Sens!H7093*Sens!H7067</f>
        <v>-40.3693356239626</v>
      </c>
      <c r="I7094" s="6" t="n">
        <f aca="false">Sens!I7093*Sens!I7067</f>
        <v>7.3923080053222</v>
      </c>
      <c r="J7094" s="6" t="n">
        <f aca="false">Sens!J7093*Sens!J7067</f>
        <v>49.0163920817128</v>
      </c>
      <c r="K7094" s="6" t="n">
        <f aca="false">Sens!K7093*Sens!K7067</f>
        <v>59.3270324806073</v>
      </c>
    </row>
    <row r="7095" customFormat="false" ht="17.15" hidden="false" customHeight="false" outlineLevel="0" collapsed="false">
      <c r="A7095" s="0" t="s">
        <v>1070</v>
      </c>
      <c r="B7095" s="0" t="s">
        <v>98</v>
      </c>
      <c r="C7095" s="6" t="n">
        <f aca="false">(Sens!K7087-Sens!K6956)*(1-tax_f)*(1+g_tv)*(1-g_tv/(wacc+ronic_prem))/(wacc-g_tv)/(1+wacc)^(Sens!K7066+mid_yr)</f>
        <v>428.421080375587</v>
      </c>
    </row>
    <row r="7096" customFormat="false" ht="17.15" hidden="false" customHeight="false" outlineLevel="0" collapsed="false">
      <c r="A7096" s="1" t="s">
        <v>1071</v>
      </c>
      <c r="B7096" s="0" t="s">
        <v>98</v>
      </c>
      <c r="C7096" s="6" t="n">
        <f aca="false">(SUM(Sens!F7094:K7094)+Sens!$C$7095)*(1+wacc)^t_roll</f>
        <v>354.021292067866</v>
      </c>
      <c r="L7096" s="11" t="s">
        <v>1072</v>
      </c>
    </row>
    <row r="7097" customFormat="false" ht="17.15" hidden="false" customHeight="false" outlineLevel="0" collapsed="false">
      <c r="A7097" s="1" t="s">
        <v>1073</v>
      </c>
      <c r="B7097" s="0" t="s">
        <v>98</v>
      </c>
      <c r="C7097" s="6" t="n">
        <f aca="false">(w_ntm28*Sens!G6945+(1-w_ntm28)*Sens!H6945)*m_ai</f>
        <v>551.711134531404</v>
      </c>
    </row>
    <row r="7098" customFormat="false" ht="17.15" hidden="false" customHeight="false" outlineLevel="0" collapsed="false">
      <c r="A7098" s="1" t="s">
        <v>1074</v>
      </c>
      <c r="B7098" s="0" t="s">
        <v>98</v>
      </c>
      <c r="C7098" s="6" t="n">
        <f aca="false">(w_ntm28*Sens!G7089+(1-w_ntm28)*Sens!H7089)*m_cloud</f>
        <v>1072.9442356743</v>
      </c>
    </row>
    <row r="7099" customFormat="false" ht="17.15" hidden="false" customHeight="false" outlineLevel="0" collapsed="false">
      <c r="A7099" s="1" t="s">
        <v>1075</v>
      </c>
      <c r="B7099" s="0" t="s">
        <v>98</v>
      </c>
      <c r="C7099" s="6" t="n">
        <f aca="false">(w_ntm28*Sens!G7082+(1-w_ntm28)*Sens!H7082)*m_sw</f>
        <v>1162.45412262434</v>
      </c>
    </row>
    <row r="7100" customFormat="false" ht="17.15" hidden="false" customHeight="false" outlineLevel="0" collapsed="false">
      <c r="A7100" s="1" t="s">
        <v>1076</v>
      </c>
      <c r="B7100" s="0" t="s">
        <v>98</v>
      </c>
      <c r="C7100" s="6" t="n">
        <f aca="false">(w_ntm28*Sens!G7083+(1-w_ntm28)*Sens!H7083)*m_sw</f>
        <v>378.886314883092</v>
      </c>
    </row>
    <row r="7101" customFormat="false" ht="17.15" hidden="false" customHeight="false" outlineLevel="0" collapsed="false">
      <c r="A7101" s="1" t="s">
        <v>1077</v>
      </c>
      <c r="B7101" s="0" t="s">
        <v>98</v>
      </c>
      <c r="C7101" s="6" t="n">
        <f aca="false">(w_ntm28*Sens!G7084+(1-w_ntm28)*Sens!H7084)*m_sw</f>
        <v>108.903403544647</v>
      </c>
    </row>
    <row r="7102" customFormat="false" ht="17.15" hidden="false" customHeight="false" outlineLevel="0" collapsed="false">
      <c r="A7102" s="1" t="s">
        <v>1078</v>
      </c>
      <c r="B7102" s="0" t="s">
        <v>98</v>
      </c>
      <c r="C7102" s="6" t="n">
        <f aca="false">(w_ntm28*Sens!G7085+(1-w_ntm28)*Sens!H7085)*m_sw</f>
        <v>41.5486233299382</v>
      </c>
    </row>
    <row r="7103" customFormat="false" ht="17.15" hidden="false" customHeight="false" outlineLevel="0" collapsed="false">
      <c r="A7103" s="1" t="s">
        <v>1079</v>
      </c>
      <c r="B7103" s="0" t="s">
        <v>98</v>
      </c>
      <c r="C7103" s="6" t="n">
        <f aca="false">(w_ntm28*Sens!G7086+(1-w_ntm28)*Sens!H7086)*m_ads</f>
        <v>114.799146845328</v>
      </c>
    </row>
    <row r="7104" customFormat="false" ht="17.15" hidden="false" customHeight="false" outlineLevel="0" collapsed="false">
      <c r="A7104" s="1" t="s">
        <v>1080</v>
      </c>
      <c r="B7104" s="0" t="s">
        <v>98</v>
      </c>
      <c r="C7104" s="6" t="n">
        <f aca="false">(w_ntm28*Sens!G7091+(1-w_ntm28)*Sens!H7091)*m_game</f>
        <v>97.4710621483545</v>
      </c>
    </row>
    <row r="7105" customFormat="false" ht="17.15" hidden="false" customHeight="false" outlineLevel="0" collapsed="false">
      <c r="A7105" s="1" t="s">
        <v>1081</v>
      </c>
      <c r="B7105" s="0" t="s">
        <v>98</v>
      </c>
      <c r="C7105" s="6" t="n">
        <f aca="false">(w_ntm28*Sens!G7092+(1-w_ntm28)*Sens!H7092)*m_pc</f>
        <v>96.6346088926109</v>
      </c>
    </row>
    <row r="7106" customFormat="false" ht="17.15" hidden="false" customHeight="false" outlineLevel="0" collapsed="false">
      <c r="A7106" s="1" t="s">
        <v>1082</v>
      </c>
      <c r="B7106" s="0" t="s">
        <v>98</v>
      </c>
      <c r="C7106" s="6" t="n">
        <f aca="false">Sens!$C$7096+Sens!$C$7098+Sens!$C$7099+Sens!$C$7100+Sens!$C$7101+Sens!$C$7102+Sens!$C$7103+Sens!$C$7104+Sens!$C$7105</f>
        <v>3427.66281001047</v>
      </c>
    </row>
    <row r="7107" customFormat="false" ht="17.15" hidden="false" customHeight="false" outlineLevel="0" collapsed="false">
      <c r="A7107" s="1" t="s">
        <v>1000</v>
      </c>
      <c r="B7107" s="0" t="s">
        <v>98</v>
      </c>
      <c r="C7107" s="6" t="n">
        <f aca="false">Sens!F7057+oai_v-Sens!F7046</f>
        <v>116.436283980003</v>
      </c>
      <c r="L7107" s="1" t="s">
        <v>1083</v>
      </c>
    </row>
    <row r="7108" customFormat="false" ht="15" hidden="false" customHeight="false" outlineLevel="0" collapsed="false">
      <c r="A7108" s="1" t="s">
        <v>1001</v>
      </c>
      <c r="B7108" s="0" t="s">
        <v>75</v>
      </c>
      <c r="C7108" s="5" t="n">
        <f aca="false">(Sens!$C$7106+Sens!$C$7107)/Sens!F7059</f>
        <v>474.317330566177</v>
      </c>
    </row>
    <row r="7109" customFormat="false" ht="17.15" hidden="false" customHeight="false" outlineLevel="0" collapsed="false">
      <c r="A7109" s="1" t="s">
        <v>1084</v>
      </c>
      <c r="B7109" s="0" t="s">
        <v>75</v>
      </c>
      <c r="C7109" s="5" t="n">
        <f aca="false">w_dcf*Sens!$C$7080+(1-w_dcf)*Sens!$C$7108</f>
        <v>428.088296713735</v>
      </c>
    </row>
    <row r="7110" customFormat="false" ht="17.15" hidden="false" customHeight="false" outlineLevel="0" collapsed="false">
      <c r="A7110" s="3" t="s">
        <v>1419</v>
      </c>
    </row>
    <row r="7111" customFormat="false" ht="15" hidden="false" customHeight="false" outlineLevel="0" collapsed="false">
      <c r="A7111" s="4" t="s">
        <v>43</v>
      </c>
      <c r="B7111" s="4" t="s">
        <v>65</v>
      </c>
      <c r="C7111" s="20" t="s">
        <v>788</v>
      </c>
      <c r="D7111" s="20" t="s">
        <v>789</v>
      </c>
      <c r="E7111" s="20" t="s">
        <v>790</v>
      </c>
      <c r="F7111" s="20" t="s">
        <v>791</v>
      </c>
      <c r="G7111" s="20" t="s">
        <v>792</v>
      </c>
      <c r="H7111" s="20" t="s">
        <v>793</v>
      </c>
      <c r="I7111" s="20" t="s">
        <v>794</v>
      </c>
      <c r="J7111" s="20" t="s">
        <v>795</v>
      </c>
      <c r="K7111" s="20" t="s">
        <v>796</v>
      </c>
      <c r="L7111" s="4" t="s">
        <v>47</v>
      </c>
    </row>
    <row r="7112" customFormat="false" ht="17.15" hidden="false" customHeight="false" outlineLevel="0" collapsed="false">
      <c r="A7112" s="1" t="s">
        <v>797</v>
      </c>
      <c r="B7112" s="1" t="s">
        <v>235</v>
      </c>
      <c r="C7112" s="28" t="n">
        <v>2024</v>
      </c>
      <c r="D7112" s="28" t="n">
        <v>2025</v>
      </c>
      <c r="E7112" s="28" t="n">
        <v>2026</v>
      </c>
      <c r="F7112" s="28" t="n">
        <v>2027</v>
      </c>
      <c r="G7112" s="28" t="n">
        <v>2028</v>
      </c>
      <c r="H7112" s="28" t="n">
        <v>2029</v>
      </c>
      <c r="I7112" s="28" t="n">
        <v>2030</v>
      </c>
      <c r="J7112" s="28" t="n">
        <v>2031</v>
      </c>
      <c r="K7112" s="28" t="n">
        <v>2032</v>
      </c>
    </row>
    <row r="7113" customFormat="false" ht="17.15" hidden="false" customHeight="false" outlineLevel="0" collapsed="false">
      <c r="A7113" s="1" t="s">
        <v>798</v>
      </c>
      <c r="B7113" s="0" t="s">
        <v>392</v>
      </c>
      <c r="F7113" s="29" t="n">
        <f aca="false">pace</f>
        <v>2527.2</v>
      </c>
      <c r="G7113" s="29" t="n">
        <f aca="false">pace</f>
        <v>2527.2</v>
      </c>
      <c r="H7113" s="29" t="n">
        <f aca="false">pace</f>
        <v>2527.2</v>
      </c>
      <c r="I7113" s="29" t="n">
        <f aca="false">pace+(g_tv*Sens!H7114-pace)*MIN(1,(Sens!I7112-pace_y0)/(pace_y1-pace_y0))</f>
        <v>1793.116</v>
      </c>
      <c r="J7113" s="29" t="n">
        <f aca="false">pace+(g_tv*Sens!H7114-pace)*MIN(1,(Sens!J7112-pace_y0)/(pace_y1-pace_y0))</f>
        <v>1059.032</v>
      </c>
      <c r="K7113" s="29" t="n">
        <f aca="false">pace+(g_tv*Sens!H7114-pace)*MIN(1,(Sens!K7112-pace_y0)/(pace_y1-pace_y0))</f>
        <v>324.948</v>
      </c>
      <c r="L7113" s="11" t="s">
        <v>799</v>
      </c>
    </row>
    <row r="7114" customFormat="false" ht="17.15" hidden="false" customHeight="false" outlineLevel="0" collapsed="false">
      <c r="A7114" s="1" t="s">
        <v>800</v>
      </c>
      <c r="B7114" s="0" t="s">
        <v>392</v>
      </c>
      <c r="C7114" s="29" t="n">
        <f aca="false">mw_ext_24</f>
        <v>640</v>
      </c>
      <c r="D7114" s="29" t="n">
        <f aca="false">mw_ext_25</f>
        <v>1630</v>
      </c>
      <c r="E7114" s="29" t="n">
        <f aca="false">mw_ext_26</f>
        <v>3250</v>
      </c>
      <c r="F7114" s="29" t="n">
        <f aca="false">Sens!E7114+Sens!F7113</f>
        <v>5777.2</v>
      </c>
      <c r="G7114" s="29" t="n">
        <f aca="false">Sens!F7114+Sens!G7113</f>
        <v>8304.4</v>
      </c>
      <c r="H7114" s="29" t="n">
        <f aca="false">Sens!G7114+Sens!H7113</f>
        <v>10831.6</v>
      </c>
      <c r="I7114" s="29" t="n">
        <f aca="false">Sens!H7114+Sens!I7113</f>
        <v>12624.716</v>
      </c>
      <c r="J7114" s="29" t="n">
        <f aca="false">Sens!I7114+Sens!J7113</f>
        <v>13683.748</v>
      </c>
      <c r="K7114" s="29" t="n">
        <f aca="false">Sens!J7114+Sens!K7113</f>
        <v>14008.696</v>
      </c>
      <c r="L7114" s="1" t="s">
        <v>801</v>
      </c>
    </row>
    <row r="7115" customFormat="false" ht="17.15" hidden="false" customHeight="false" outlineLevel="0" collapsed="false">
      <c r="A7115" s="1" t="s">
        <v>802</v>
      </c>
      <c r="B7115" s="0" t="s">
        <v>392</v>
      </c>
      <c r="C7115" s="29" t="n">
        <f aca="false">rent_ext_24</f>
        <v>150</v>
      </c>
      <c r="D7115" s="29" t="n">
        <f aca="false">rent_ext_25</f>
        <v>400</v>
      </c>
      <c r="E7115" s="29" t="n">
        <f aca="false">rent_ext_26</f>
        <v>550</v>
      </c>
      <c r="F7115" s="29" t="n">
        <f aca="false">rent_ext_f</f>
        <v>756</v>
      </c>
      <c r="G7115" s="29" t="n">
        <f aca="false">rent_ext_f</f>
        <v>756</v>
      </c>
      <c r="H7115" s="29" t="n">
        <f aca="false">rent_ext_f</f>
        <v>756</v>
      </c>
      <c r="I7115" s="29" t="n">
        <f aca="false">rent_ext_f</f>
        <v>756</v>
      </c>
      <c r="J7115" s="29" t="n">
        <f aca="false">rent_ext_f</f>
        <v>756</v>
      </c>
      <c r="K7115" s="29" t="n">
        <f aca="false">rent_ext_f</f>
        <v>756</v>
      </c>
      <c r="L7115" s="1" t="s">
        <v>803</v>
      </c>
    </row>
    <row r="7116" customFormat="false" ht="17.15" hidden="false" customHeight="false" outlineLevel="0" collapsed="false">
      <c r="A7116" s="1" t="s">
        <v>804</v>
      </c>
      <c r="B7116" s="0" t="s">
        <v>392</v>
      </c>
      <c r="C7116" s="29" t="n">
        <f aca="false">Sens!C7114-Sens!C7115</f>
        <v>490</v>
      </c>
      <c r="D7116" s="29" t="n">
        <f aca="false">Sens!D7114-Sens!D7115</f>
        <v>1230</v>
      </c>
      <c r="E7116" s="29" t="n">
        <f aca="false">Sens!E7114-Sens!E7115</f>
        <v>2700</v>
      </c>
      <c r="F7116" s="29" t="n">
        <f aca="false">Sens!F7114-Sens!F7115</f>
        <v>5021.2</v>
      </c>
      <c r="G7116" s="29" t="n">
        <f aca="false">Sens!G7114-Sens!G7115</f>
        <v>7548.4</v>
      </c>
      <c r="H7116" s="29" t="n">
        <f aca="false">Sens!H7114-Sens!H7115</f>
        <v>10075.6</v>
      </c>
      <c r="I7116" s="29" t="n">
        <f aca="false">Sens!I7114-Sens!I7115</f>
        <v>11868.716</v>
      </c>
      <c r="J7116" s="29" t="n">
        <f aca="false">Sens!J7114-Sens!J7115</f>
        <v>12927.748</v>
      </c>
      <c r="K7116" s="29" t="n">
        <f aca="false">Sens!K7114-Sens!K7115</f>
        <v>13252.696</v>
      </c>
    </row>
    <row r="7117" customFormat="false" ht="17.15" hidden="false" customHeight="false" outlineLevel="0" collapsed="false">
      <c r="A7117" s="1" t="s">
        <v>805</v>
      </c>
      <c r="B7117" s="0" t="s">
        <v>392</v>
      </c>
      <c r="C7117" s="29" t="n">
        <f aca="false">Sens!C7116/ext_sh</f>
        <v>816.666666666667</v>
      </c>
      <c r="D7117" s="29" t="n">
        <f aca="false">Sens!D7116/ext_sh</f>
        <v>2050</v>
      </c>
      <c r="E7117" s="29" t="n">
        <f aca="false">Sens!E7116/ext_sh</f>
        <v>4500</v>
      </c>
      <c r="F7117" s="29" t="n">
        <f aca="false">Sens!F7116/ext_sh</f>
        <v>8368.66666666667</v>
      </c>
      <c r="G7117" s="29" t="n">
        <f aca="false">Sens!G7116/ext_sh</f>
        <v>12580.6666666667</v>
      </c>
      <c r="H7117" s="29" t="n">
        <f aca="false">Sens!H7116/ext_sh</f>
        <v>16792.6666666667</v>
      </c>
      <c r="I7117" s="29" t="n">
        <f aca="false">Sens!I7116/ext_sh</f>
        <v>19781.1933333333</v>
      </c>
      <c r="J7117" s="29" t="n">
        <f aca="false">Sens!J7116/ext_sh</f>
        <v>21546.2466666667</v>
      </c>
      <c r="K7117" s="29" t="n">
        <f aca="false">Sens!K7116/ext_sh</f>
        <v>22087.8266666667</v>
      </c>
      <c r="L7117" s="1" t="s">
        <v>806</v>
      </c>
    </row>
    <row r="7118" customFormat="false" ht="17.15" hidden="false" customHeight="false" outlineLevel="0" collapsed="false">
      <c r="A7118" s="1" t="s">
        <v>807</v>
      </c>
      <c r="B7118" s="0" t="s">
        <v>392</v>
      </c>
      <c r="C7118" s="29" t="n">
        <f aca="false">Sens!C7117-Sens!C7116</f>
        <v>326.666666666667</v>
      </c>
      <c r="D7118" s="29" t="n">
        <f aca="false">Sens!D7117-Sens!D7116</f>
        <v>820</v>
      </c>
      <c r="E7118" s="29" t="n">
        <f aca="false">Sens!E7117-Sens!E7116</f>
        <v>1800</v>
      </c>
      <c r="F7118" s="29" t="n">
        <f aca="false">Sens!F7117-Sens!F7116</f>
        <v>3347.46666666667</v>
      </c>
      <c r="G7118" s="29" t="n">
        <f aca="false">Sens!G7117-Sens!G7116</f>
        <v>5032.26666666667</v>
      </c>
      <c r="H7118" s="29" t="n">
        <f aca="false">Sens!H7117-Sens!H7116</f>
        <v>6717.06666666667</v>
      </c>
      <c r="I7118" s="29" t="n">
        <f aca="false">Sens!I7117-Sens!I7116</f>
        <v>7912.47733333333</v>
      </c>
      <c r="J7118" s="29" t="n">
        <f aca="false">Sens!J7117-Sens!J7116</f>
        <v>8618.49866666667</v>
      </c>
      <c r="K7118" s="29" t="n">
        <f aca="false">Sens!K7117-Sens!K7116</f>
        <v>8835.13066666667</v>
      </c>
    </row>
    <row r="7119" customFormat="false" ht="17.15" hidden="false" customHeight="false" outlineLevel="0" collapsed="false">
      <c r="A7119" s="1" t="s">
        <v>808</v>
      </c>
      <c r="B7119" s="0" t="s">
        <v>392</v>
      </c>
      <c r="C7119" s="29" t="n">
        <f aca="false">Sens!C7117</f>
        <v>816.666666666667</v>
      </c>
      <c r="D7119" s="29" t="n">
        <f aca="false">Sens!D7117-Sens!C7117</f>
        <v>1233.33333333333</v>
      </c>
      <c r="E7119" s="29" t="n">
        <f aca="false">Sens!E7117-Sens!D7117</f>
        <v>2450</v>
      </c>
      <c r="F7119" s="29" t="n">
        <f aca="false">Sens!F7117-Sens!E7117</f>
        <v>3868.66666666667</v>
      </c>
      <c r="G7119" s="29" t="n">
        <f aca="false">Sens!G7117-Sens!F7117</f>
        <v>4212</v>
      </c>
      <c r="H7119" s="29" t="n">
        <f aca="false">Sens!H7117-Sens!G7117</f>
        <v>4212</v>
      </c>
      <c r="I7119" s="29" t="n">
        <f aca="false">Sens!I7117-Sens!H7117</f>
        <v>2988.52666666667</v>
      </c>
      <c r="J7119" s="29" t="n">
        <f aca="false">Sens!J7117-Sens!I7117</f>
        <v>1765.05333333333</v>
      </c>
      <c r="K7119" s="29" t="n">
        <f aca="false">Sens!K7117-Sens!J7117</f>
        <v>541.580000000002</v>
      </c>
    </row>
    <row r="7120" customFormat="false" ht="17.15" hidden="false" customHeight="false" outlineLevel="0" collapsed="false">
      <c r="A7120" s="1" t="s">
        <v>809</v>
      </c>
      <c r="B7120" s="0" t="s">
        <v>392</v>
      </c>
      <c r="D7120" s="29" t="n">
        <f aca="false">Sens!D7114-Sens!C7114</f>
        <v>990</v>
      </c>
      <c r="E7120" s="29" t="n">
        <f aca="false">Sens!E7114-Sens!D7114</f>
        <v>1620</v>
      </c>
      <c r="F7120" s="29" t="n">
        <f aca="false">Sens!F7114-Sens!E7114</f>
        <v>2527.2</v>
      </c>
      <c r="G7120" s="29" t="n">
        <f aca="false">Sens!G7114-Sens!F7114</f>
        <v>2527.2</v>
      </c>
      <c r="H7120" s="29" t="n">
        <f aca="false">Sens!H7114-Sens!G7114</f>
        <v>2527.2</v>
      </c>
      <c r="I7120" s="29" t="n">
        <f aca="false">Sens!I7114-Sens!H7114</f>
        <v>1793.116</v>
      </c>
      <c r="J7120" s="29" t="n">
        <f aca="false">Sens!J7114-Sens!I7114</f>
        <v>1059.032</v>
      </c>
      <c r="K7120" s="29" t="n">
        <f aca="false">Sens!K7114-Sens!J7114</f>
        <v>324.948</v>
      </c>
    </row>
    <row r="7121" customFormat="false" ht="17.15" hidden="false" customHeight="false" outlineLevel="0" collapsed="false">
      <c r="A7121" s="1" t="s">
        <v>810</v>
      </c>
      <c r="B7121" s="0" t="s">
        <v>392</v>
      </c>
      <c r="F7121" s="29" t="n">
        <f aca="false">Sens!F7138*ext_sh</f>
        <v>0</v>
      </c>
      <c r="G7121" s="29" t="n">
        <f aca="false">Sens!G7138*ext_sh</f>
        <v>0</v>
      </c>
      <c r="H7121" s="29" t="n">
        <f aca="false">Sens!H7138*ext_sh</f>
        <v>0</v>
      </c>
      <c r="I7121" s="29" t="n">
        <f aca="false">Sens!I7138*ext_sh</f>
        <v>490</v>
      </c>
      <c r="J7121" s="29" t="n">
        <f aca="false">Sens!J7138*ext_sh</f>
        <v>740</v>
      </c>
      <c r="K7121" s="29" t="n">
        <f aca="false">Sens!K7138*ext_sh</f>
        <v>1470</v>
      </c>
      <c r="L7121" s="1" t="s">
        <v>811</v>
      </c>
    </row>
    <row r="7122" customFormat="false" ht="17.15" hidden="false" customHeight="false" outlineLevel="0" collapsed="false">
      <c r="A7122" s="1" t="s">
        <v>812</v>
      </c>
      <c r="B7122" s="0" t="s">
        <v>392</v>
      </c>
      <c r="C7122" s="29" t="n">
        <f aca="false">mix_h*Sens!C7114</f>
        <v>128</v>
      </c>
      <c r="D7122" s="29" t="n">
        <f aca="false">mix_h*Sens!D7114</f>
        <v>326</v>
      </c>
      <c r="E7122" s="29" t="n">
        <f aca="false">mix_h*Sens!E7114</f>
        <v>650</v>
      </c>
      <c r="F7122" s="29" t="n">
        <f aca="false">Sens!E7122-Sens!F7121*mix_h</f>
        <v>650</v>
      </c>
      <c r="G7122" s="29" t="n">
        <f aca="false">Sens!F7122-Sens!G7121*mix_h</f>
        <v>650</v>
      </c>
      <c r="H7122" s="29" t="n">
        <f aca="false">Sens!G7122-Sens!H7121*mix_h</f>
        <v>650</v>
      </c>
      <c r="I7122" s="29" t="n">
        <f aca="false">Sens!H7122-Sens!I7121*mix_h</f>
        <v>552</v>
      </c>
      <c r="J7122" s="29" t="n">
        <f aca="false">Sens!I7122-Sens!J7121*mix_h</f>
        <v>404</v>
      </c>
      <c r="K7122" s="29" t="n">
        <f aca="false">Sens!J7122-Sens!K7121*mix_h</f>
        <v>110</v>
      </c>
    </row>
    <row r="7123" customFormat="false" ht="17.15" hidden="false" customHeight="false" outlineLevel="0" collapsed="false">
      <c r="A7123" s="1" t="s">
        <v>813</v>
      </c>
      <c r="B7123" s="0" t="s">
        <v>392</v>
      </c>
      <c r="C7123" s="29" t="n">
        <f aca="false">mix_g2*Sens!C7114</f>
        <v>288</v>
      </c>
      <c r="D7123" s="29" t="n">
        <f aca="false">mix_g2*Sens!D7114</f>
        <v>733.5</v>
      </c>
      <c r="E7123" s="29" t="n">
        <f aca="false">mix_g2*Sens!E7114</f>
        <v>1462.5</v>
      </c>
      <c r="F7123" s="29" t="n">
        <f aca="false">Sens!E7123-Sens!F7121*mix_g2</f>
        <v>1462.5</v>
      </c>
      <c r="G7123" s="29" t="n">
        <f aca="false">Sens!F7123-Sens!G7121*mix_g2</f>
        <v>1462.5</v>
      </c>
      <c r="H7123" s="29" t="n">
        <f aca="false">Sens!G7123-Sens!H7121*mix_g2</f>
        <v>1462.5</v>
      </c>
      <c r="I7123" s="29" t="n">
        <f aca="false">Sens!H7123-Sens!I7121*mix_g2</f>
        <v>1242</v>
      </c>
      <c r="J7123" s="29" t="n">
        <f aca="false">Sens!I7123-Sens!J7121*mix_g2</f>
        <v>909</v>
      </c>
      <c r="K7123" s="29" t="n">
        <f aca="false">Sens!J7123-Sens!K7121*mix_g2</f>
        <v>247.5</v>
      </c>
    </row>
    <row r="7124" customFormat="false" ht="17.15" hidden="false" customHeight="false" outlineLevel="0" collapsed="false">
      <c r="A7124" s="1" t="s">
        <v>814</v>
      </c>
      <c r="B7124" s="0" t="s">
        <v>392</v>
      </c>
      <c r="C7124" s="29" t="n">
        <f aca="false">mix_g3*Sens!C7114</f>
        <v>224</v>
      </c>
      <c r="D7124" s="29" t="n">
        <f aca="false">mix_g3*Sens!D7114</f>
        <v>570.5</v>
      </c>
      <c r="E7124" s="29" t="n">
        <f aca="false">mix_g3*Sens!E7114</f>
        <v>1137.5</v>
      </c>
      <c r="F7124" s="29" t="n">
        <f aca="false">Sens!E7124+(Sens!F7120+Sens!F7121)*a_g3_27-Sens!F7121*mix_g3</f>
        <v>2906.54</v>
      </c>
      <c r="G7124" s="29" t="n">
        <f aca="false">Sens!F7124+(Sens!G7120+Sens!G7121)*a_g3_28-Sens!G7121*mix_g3</f>
        <v>3664.7</v>
      </c>
      <c r="H7124" s="29" t="n">
        <f aca="false">Sens!G7124+(Sens!H7120+Sens!H7121)*a_g3_29-Sens!H7121*mix_g3</f>
        <v>3917.42</v>
      </c>
      <c r="I7124" s="29" t="n">
        <f aca="false">Sens!H7124+(Sens!I7120+Sens!I7121)*a_g3_29-Sens!I7121*mix_g3</f>
        <v>3974.2316</v>
      </c>
      <c r="J7124" s="29" t="n">
        <f aca="false">Sens!I7124+(Sens!J7120+Sens!J7121)*a_g3_29-Sens!J7121*mix_g3</f>
        <v>3895.1348</v>
      </c>
      <c r="K7124" s="29" t="n">
        <f aca="false">Sens!J7124+(Sens!K7120+Sens!K7121)*a_g3_29-Sens!K7121*mix_g3</f>
        <v>3560.1296</v>
      </c>
    </row>
    <row r="7125" customFormat="false" ht="17.15" hidden="false" customHeight="false" outlineLevel="0" collapsed="false">
      <c r="A7125" s="1" t="s">
        <v>815</v>
      </c>
      <c r="B7125" s="0" t="s">
        <v>392</v>
      </c>
      <c r="C7125" s="29" t="n">
        <v>0</v>
      </c>
      <c r="D7125" s="29" t="n">
        <v>0</v>
      </c>
      <c r="E7125" s="29" t="n">
        <v>0</v>
      </c>
      <c r="F7125" s="29" t="n">
        <f aca="false">Sens!E7125+(Sens!F7120+Sens!F7121)*(1-a_g3_27)</f>
        <v>758.16</v>
      </c>
      <c r="G7125" s="29" t="n">
        <f aca="false">Sens!F7125+(Sens!G7120+Sens!G7121)*(1-a_g3_28)</f>
        <v>2527.2</v>
      </c>
      <c r="H7125" s="29" t="n">
        <f aca="false">Sens!G7125+(Sens!H7120+Sens!H7121)*(1-a_g3_29)</f>
        <v>4801.68</v>
      </c>
      <c r="I7125" s="29" t="n">
        <f aca="false">Sens!H7125+(Sens!I7120+Sens!I7121)*(1-a_g3_29)</f>
        <v>6856.4844</v>
      </c>
      <c r="J7125" s="29" t="n">
        <f aca="false">Sens!I7125+(Sens!J7120+Sens!J7121)*(1-a_g3_29)</f>
        <v>8475.6132</v>
      </c>
      <c r="K7125" s="29" t="n">
        <f aca="false">Sens!J7125+(Sens!K7120+Sens!K7121)*(1-a_g3_29)</f>
        <v>10091.0664</v>
      </c>
    </row>
    <row r="7126" customFormat="false" ht="17.15" hidden="false" customHeight="false" outlineLevel="0" collapsed="false">
      <c r="A7126" s="1" t="s">
        <v>816</v>
      </c>
      <c r="B7126" s="0" t="s">
        <v>339</v>
      </c>
      <c r="C7126" s="14" t="n">
        <f aca="false">(Sens!C7122*tk_hold_h100+Sens!C7123*tk_hold_gb200+Sens!C7124*tk_hold_gb300+Sens!C7125*tk_hold_vr200)/Sens!C7114</f>
        <v>9.7235358126469</v>
      </c>
      <c r="D7126" s="14" t="n">
        <f aca="false">(Sens!D7122*tk_hold_h100+Sens!D7123*tk_hold_gb200+Sens!D7124*tk_hold_gb300+Sens!D7125*tk_hold_vr200)/Sens!D7114</f>
        <v>9.7235358126469</v>
      </c>
      <c r="E7126" s="14" t="n">
        <f aca="false">(Sens!E7122*tk_hold_h100+Sens!E7123*tk_hold_gb200+Sens!E7124*tk_hold_gb300+Sens!E7125*tk_hold_vr200)/Sens!E7114</f>
        <v>9.7235358126469</v>
      </c>
      <c r="F7126" s="14" t="n">
        <f aca="false">(Sens!F7122*tk_hold_h100+Sens!F7123*tk_hold_gb200+Sens!F7124*tk_hold_gb300+Sens!F7125*tk_hold_vr200)/Sens!F7114</f>
        <v>10.4079573161931</v>
      </c>
      <c r="G7126" s="14" t="n">
        <f aca="false">(Sens!G7122*tk_hold_h100+Sens!G7123*tk_hold_gb200+Sens!G7124*tk_hold_gb300+Sens!G7125*tk_hold_vr200)/Sens!G7114</f>
        <v>10.8388131109316</v>
      </c>
      <c r="H7126" s="14" t="n">
        <f aca="false">(Sens!H7122*tk_hold_h100+Sens!H7123*tk_hold_gb200+Sens!H7124*tk_hold_gb300+Sens!H7125*tk_hold_vr200)/Sens!H7114</f>
        <v>11.1311018388216</v>
      </c>
      <c r="I7126" s="14" t="n">
        <f aca="false">(Sens!I7122*tk_hold_h100+Sens!I7123*tk_hold_gb200+Sens!I7124*tk_hold_gb300+Sens!I7125*tk_hold_vr200)/Sens!I7114</f>
        <v>11.3594282560989</v>
      </c>
      <c r="J7126" s="14" t="n">
        <f aca="false">(Sens!J7122*tk_hold_h100+Sens!J7123*tk_hold_gb200+Sens!J7124*tk_hold_gb300+Sens!J7125*tk_hold_vr200)/Sens!J7114</f>
        <v>11.5441508808221</v>
      </c>
      <c r="K7126" s="14" t="n">
        <f aca="false">(Sens!K7122*tk_hold_h100+Sens!K7123*tk_hold_gb200+Sens!K7124*tk_hold_gb300+Sens!K7125*tk_hold_vr200)/Sens!K7114</f>
        <v>11.8053375063575</v>
      </c>
    </row>
    <row r="7127" customFormat="false" ht="17.15" hidden="false" customHeight="false" outlineLevel="0" collapsed="false">
      <c r="A7127" s="0" t="s">
        <v>817</v>
      </c>
      <c r="B7127" s="0" t="s">
        <v>185</v>
      </c>
      <c r="C7127" s="14" t="n">
        <f aca="false">k_B</f>
        <v>1.17213932619116</v>
      </c>
      <c r="D7127" s="14" t="n">
        <f aca="false">k_B</f>
        <v>1.17213932619116</v>
      </c>
      <c r="E7127" s="14" t="n">
        <f aca="false">k_B</f>
        <v>1.17213932619116</v>
      </c>
      <c r="F7127" s="14" t="n">
        <f aca="false">(k_B+((ls_B*k_long+(1-ls_B)*k_spot)-k_B)*MIN(1,(Sens!F7112-base_fy)/k_ramp))</f>
        <v>1.17213932619116</v>
      </c>
      <c r="G7127" s="14" t="n">
        <f aca="false">(k_B+((ls_B*k_long+(1-ls_B)*k_spot)-k_B)*MIN(1,(Sens!G7112-base_fy)/k_ramp))</f>
        <v>1.17213932619116</v>
      </c>
      <c r="H7127" s="14" t="n">
        <f aca="false">(k_B+((ls_B*k_long+(1-ls_B)*k_spot)-k_B)*MIN(1,(Sens!H7112-base_fy)/k_ramp))</f>
        <v>1.17213932619116</v>
      </c>
      <c r="I7127" s="14" t="n">
        <f aca="false">(k_B+((ls_B*k_long+(1-ls_B)*k_spot)-k_B)*MIN(1,(Sens!I7112-base_fy)/k_ramp))</f>
        <v>1.17213932619116</v>
      </c>
      <c r="J7127" s="14" t="n">
        <f aca="false">(k_B+((ls_B*k_long+(1-ls_B)*k_spot)-k_B)*MIN(1,(Sens!J7112-base_fy)/k_ramp))</f>
        <v>1.17213932619116</v>
      </c>
      <c r="K7127" s="14" t="n">
        <f aca="false">(k_B+((ls_B*k_long+(1-ls_B)*k_spot)-k_B)*MIN(1,(Sens!K7112-base_fy)/k_ramp))</f>
        <v>1.17213932619116</v>
      </c>
      <c r="L7127" s="1" t="s">
        <v>818</v>
      </c>
    </row>
    <row r="7128" customFormat="false" ht="17.15" hidden="false" customHeight="false" outlineLevel="0" collapsed="false">
      <c r="A7128" s="1" t="s">
        <v>819</v>
      </c>
      <c r="B7128" s="0" t="s">
        <v>339</v>
      </c>
      <c r="C7128" s="14" t="n">
        <f aca="false">Sens!C7126*Sens!C7127*chip_f</f>
        <v>11.3973387156315</v>
      </c>
      <c r="D7128" s="14" t="n">
        <f aca="false">Sens!D7126*Sens!D7127*chip_f</f>
        <v>11.3973387156315</v>
      </c>
      <c r="E7128" s="14" t="n">
        <f aca="false">Sens!E7126*Sens!E7127*chip_f</f>
        <v>11.3973387156315</v>
      </c>
      <c r="F7128" s="14" t="n">
        <f aca="false">Sens!F7126*Sens!F7127*chip_f</f>
        <v>12.1995760756289</v>
      </c>
      <c r="G7128" s="14" t="n">
        <f aca="false">Sens!G7126*Sens!G7127*chip_f</f>
        <v>12.7045990965592</v>
      </c>
      <c r="H7128" s="14" t="n">
        <f aca="false">Sens!H7126*Sens!H7127*chip_f</f>
        <v>13.0472022091214</v>
      </c>
      <c r="I7128" s="14" t="n">
        <f aca="false">Sens!I7126*Sens!I7127*chip_f</f>
        <v>13.3148325820205</v>
      </c>
      <c r="J7128" s="14" t="n">
        <f aca="false">Sens!J7126*Sens!J7127*chip_f</f>
        <v>13.5313532348958</v>
      </c>
      <c r="K7128" s="14" t="n">
        <f aca="false">Sens!K7126*Sens!K7127*chip_f</f>
        <v>13.8375003501611</v>
      </c>
      <c r="L7128" s="1" t="s">
        <v>820</v>
      </c>
    </row>
    <row r="7129" customFormat="false" ht="17.15" hidden="false" customHeight="false" outlineLevel="0" collapsed="false">
      <c r="A7129" s="0" t="s">
        <v>821</v>
      </c>
      <c r="B7129" s="0" t="s">
        <v>98</v>
      </c>
      <c r="D7129" s="6" t="n">
        <f aca="false">(Sens!C7114+Sens!D7114)/2*Sens!D7128/1000</f>
        <v>12.9359794422418</v>
      </c>
      <c r="E7129" s="6" t="n">
        <f aca="false">(Sens!D7114+Sens!E7114)/2*Sens!E7128/1000</f>
        <v>27.8095064661409</v>
      </c>
      <c r="F7129" s="6" t="n">
        <f aca="false">(Sens!E7114+Sens!F7114)/2*Sens!F7128/1000</f>
        <v>55.0640065749585</v>
      </c>
      <c r="G7129" s="6" t="n">
        <f aca="false">(Sens!F7114+Sens!G7114)/2*Sens!G7128/1000</f>
        <v>89.4505413190538</v>
      </c>
      <c r="H7129" s="6" t="n">
        <f aca="false">(Sens!G7114+Sens!H7114)/2*Sens!H7128/1000</f>
        <v>124.835630736874</v>
      </c>
      <c r="I7129" s="6" t="n">
        <f aca="false">(Sens!H7114+Sens!I7114)/2*Sens!I7128/1000</f>
        <v>156.158460265485</v>
      </c>
      <c r="J7129" s="6" t="n">
        <f aca="false">(Sens!I7114+Sens!J7114)/2*Sens!J7128/1000</f>
        <v>177.99455972577</v>
      </c>
      <c r="K7129" s="6" t="n">
        <f aca="false">(Sens!J7114+Sens!K7114)/2*Sens!K7128/1000</f>
        <v>191.597101773408</v>
      </c>
      <c r="L7129" s="11" t="s">
        <v>822</v>
      </c>
    </row>
    <row r="7130" customFormat="false" ht="17.15" hidden="false" customHeight="false" outlineLevel="0" collapsed="false">
      <c r="A7130" s="1" t="s">
        <v>823</v>
      </c>
      <c r="B7130" s="0" t="s">
        <v>339</v>
      </c>
      <c r="C7130" s="14" t="n">
        <f aca="false">(Sens!C7122*tk_opex_h100+Sens!C7123*tk_opex_gb200+Sens!C7124*tk_opex_gb300+Sens!C7125*tk_opex_vr200)/Sens!C7114</f>
        <v>1.88636041306092</v>
      </c>
      <c r="D7130" s="14" t="n">
        <f aca="false">(Sens!D7122*tk_opex_h100+Sens!D7123*tk_opex_gb200+Sens!D7124*tk_opex_gb300+Sens!D7125*tk_opex_vr200)/Sens!D7114</f>
        <v>1.88636041306092</v>
      </c>
      <c r="E7130" s="14" t="n">
        <f aca="false">(Sens!E7122*tk_opex_h100+Sens!E7123*tk_opex_gb200+Sens!E7124*tk_opex_gb300+Sens!E7125*tk_opex_vr200)/Sens!E7114</f>
        <v>1.88636041306092</v>
      </c>
      <c r="F7130" s="14" t="n">
        <f aca="false">(Sens!F7122*tk_opex_h100+Sens!F7123*tk_opex_gb200+Sens!F7124*tk_opex_gb300+Sens!F7125*tk_opex_vr200)/Sens!F7114</f>
        <v>1.9430236476499</v>
      </c>
      <c r="G7130" s="14" t="n">
        <f aca="false">(Sens!G7122*tk_opex_h100+Sens!G7123*tk_opex_gb200+Sens!G7124*tk_opex_gb300+Sens!G7125*tk_opex_vr200)/Sens!G7114</f>
        <v>1.9786941852423</v>
      </c>
      <c r="H7130" s="14" t="n">
        <f aca="false">(Sens!H7122*tk_opex_h100+Sens!H7123*tk_opex_gb200+Sens!H7124*tk_opex_gb300+Sens!H7125*tk_opex_vr200)/Sens!H7114</f>
        <v>2.00289275976156</v>
      </c>
      <c r="I7130" s="14" t="n">
        <f aca="false">(Sens!I7122*tk_opex_h100+Sens!I7123*tk_opex_gb200+Sens!I7124*tk_opex_gb300+Sens!I7125*tk_opex_vr200)/Sens!I7114</f>
        <v>2.02179589661219</v>
      </c>
      <c r="J7130" s="14" t="n">
        <f aca="false">(Sens!J7122*tk_opex_h100+Sens!J7123*tk_opex_gb200+Sens!J7124*tk_opex_gb300+Sens!J7125*tk_opex_vr200)/Sens!J7114</f>
        <v>2.03708907685909</v>
      </c>
      <c r="K7130" s="14" t="n">
        <f aca="false">(Sens!K7122*tk_opex_h100+Sens!K7123*tk_opex_gb200+Sens!K7124*tk_opex_gb300+Sens!K7125*tk_opex_vr200)/Sens!K7114</f>
        <v>2.05871270931005</v>
      </c>
    </row>
    <row r="7131" customFormat="false" ht="17.15" hidden="false" customHeight="false" outlineLevel="0" collapsed="false">
      <c r="A7131" s="0" t="s">
        <v>824</v>
      </c>
      <c r="B7131" s="0" t="s">
        <v>98</v>
      </c>
      <c r="D7131" s="6" t="n">
        <f aca="false">(Sens!C7117+Sens!D7117)/2*Sens!D7130/1000</f>
        <v>2.70378325872065</v>
      </c>
      <c r="E7131" s="6" t="n">
        <f aca="false">(Sens!D7117+Sens!E7117)/2*Sens!E7130/1000</f>
        <v>6.17783035277451</v>
      </c>
      <c r="F7131" s="6" t="n">
        <f aca="false">(Sens!E7117+Sens!F7117)/2*Sens!F7130/1000</f>
        <v>12.5020618235287</v>
      </c>
      <c r="G7131" s="6" t="n">
        <f aca="false">(Sens!F7117+Sens!G7117)/2*Sens!G7130/1000</f>
        <v>20.7261620256847</v>
      </c>
      <c r="H7131" s="6" t="n">
        <f aca="false">(Sens!G7117+Sens!H7117)/2*Sens!H7130/1000</f>
        <v>29.4158183316982</v>
      </c>
      <c r="I7131" s="6" t="n">
        <f aca="false">(Sens!H7117+Sens!I7117)/2*Sens!I7130/1000</f>
        <v>36.9724400356344</v>
      </c>
      <c r="J7131" s="6" t="n">
        <f aca="false">(Sens!I7117+Sens!J7117)/2*Sens!J7130/1000</f>
        <v>42.0938382992747</v>
      </c>
      <c r="K7131" s="6" t="n">
        <f aca="false">(Sens!J7117+Sens!K7117)/2*Sens!K7130/1000</f>
        <v>44.9150106651501</v>
      </c>
    </row>
    <row r="7132" customFormat="false" ht="17.15" hidden="false" customHeight="false" outlineLevel="0" collapsed="false">
      <c r="A7132" s="0" t="s">
        <v>825</v>
      </c>
      <c r="B7132" s="0" t="s">
        <v>98</v>
      </c>
      <c r="D7132" s="6" t="n">
        <f aca="false">(Sens!C7115+Sens!D7115)/2*rent_mw/1000</f>
        <v>2.44475</v>
      </c>
      <c r="E7132" s="6" t="n">
        <f aca="false">(Sens!D7115+Sens!E7115)/2*rent_mw/1000</f>
        <v>4.22275</v>
      </c>
      <c r="F7132" s="6" t="n">
        <f aca="false">(Sens!E7115+Sens!F7115)/2*rent_mw/1000</f>
        <v>5.80517</v>
      </c>
      <c r="G7132" s="6" t="n">
        <f aca="false">(Sens!F7115+Sens!G7115)/2*rent_mw/1000</f>
        <v>6.72084</v>
      </c>
      <c r="H7132" s="6" t="n">
        <f aca="false">(Sens!G7115+Sens!H7115)/2*rent_mw/1000</f>
        <v>6.72084</v>
      </c>
      <c r="I7132" s="6" t="n">
        <f aca="false">(Sens!H7115+Sens!I7115)/2*rent_mw/1000</f>
        <v>6.72084</v>
      </c>
      <c r="J7132" s="6" t="n">
        <f aca="false">(Sens!I7115+Sens!J7115)/2*rent_mw/1000</f>
        <v>6.72084</v>
      </c>
      <c r="K7132" s="6" t="n">
        <f aca="false">(Sens!J7115+Sens!K7115)/2*rent_mw/1000</f>
        <v>6.72084</v>
      </c>
    </row>
    <row r="7133" customFormat="false" ht="17.15" hidden="false" customHeight="false" outlineLevel="0" collapsed="false">
      <c r="A7133" s="0" t="s">
        <v>826</v>
      </c>
      <c r="B7133" s="0" t="s">
        <v>98</v>
      </c>
      <c r="D7133" s="6" t="n">
        <f aca="false">(Sens!C7117+Sens!D7117)/2*(1-self_build)*fac_rent/1000</f>
        <v>0.853242375631075</v>
      </c>
      <c r="E7133" s="6" t="n">
        <f aca="false">(Sens!D7117+Sens!E7117)/2*(1-self_build)*fac_rent/1000</f>
        <v>1.94955961408728</v>
      </c>
      <c r="F7133" s="6" t="n">
        <f aca="false">(Sens!E7117+Sens!F7117)/2*(1-self_build)*fac_rent/1000</f>
        <v>3.83026455274573</v>
      </c>
      <c r="G7133" s="6" t="n">
        <f aca="false">(Sens!F7117+Sens!G7117)/2*(1-self_build)*fac_rent/1000</f>
        <v>6.23541590972812</v>
      </c>
      <c r="H7133" s="6" t="n">
        <f aca="false">(Sens!G7117+Sens!H7117)/2*(1-self_build)*fac_rent/1000</f>
        <v>8.74275792332679</v>
      </c>
      <c r="I7133" s="6" t="n">
        <f aca="false">(Sens!H7117+Sens!I7117)/2*(1-self_build)*fac_rent/1000</f>
        <v>10.8859420438599</v>
      </c>
      <c r="J7133" s="6" t="n">
        <f aca="false">(Sens!I7117+Sens!J7117)/2*(1-self_build)*fac_rent/1000</f>
        <v>12.3008103782619</v>
      </c>
      <c r="K7133" s="6" t="n">
        <f aca="false">(Sens!J7117+Sens!K7117)/2*(1-self_build)*fac_rent/1000</f>
        <v>12.9873629265328</v>
      </c>
      <c r="L7133" s="11" t="s">
        <v>827</v>
      </c>
    </row>
    <row r="7134" customFormat="false" ht="17.15" hidden="false" customHeight="false" outlineLevel="0" collapsed="false">
      <c r="A7134" s="1" t="s">
        <v>828</v>
      </c>
      <c r="B7134" s="0" t="s">
        <v>129</v>
      </c>
      <c r="D7134" s="7" t="n">
        <f aca="false">(Sens!C7116+Sens!D7116)/(Sens!C7117+Sens!D7117)</f>
        <v>0.6</v>
      </c>
      <c r="E7134" s="7" t="n">
        <f aca="false">(Sens!D7116+Sens!E7116)/(Sens!D7117+Sens!E7117)</f>
        <v>0.6</v>
      </c>
      <c r="F7134" s="7" t="n">
        <f aca="false">(Sens!E7116+Sens!F7116)/(Sens!E7117+Sens!F7117)</f>
        <v>0.6</v>
      </c>
      <c r="G7134" s="7" t="n">
        <f aca="false">(Sens!F7116+Sens!G7116)/(Sens!F7117+Sens!G7117)</f>
        <v>0.6</v>
      </c>
      <c r="H7134" s="7" t="n">
        <f aca="false">(Sens!G7116+Sens!H7116)/(Sens!G7117+Sens!H7117)</f>
        <v>0.6</v>
      </c>
      <c r="I7134" s="7" t="n">
        <f aca="false">(Sens!H7116+Sens!I7116)/(Sens!H7117+Sens!I7117)</f>
        <v>0.6</v>
      </c>
      <c r="J7134" s="7" t="n">
        <f aca="false">(Sens!I7116+Sens!J7116)/(Sens!I7117+Sens!J7117)</f>
        <v>0.6</v>
      </c>
      <c r="K7134" s="7" t="n">
        <f aca="false">(Sens!J7116+Sens!K7116)/(Sens!J7117+Sens!K7117)</f>
        <v>0.6</v>
      </c>
    </row>
    <row r="7135" customFormat="false" ht="17.15" hidden="false" customHeight="false" outlineLevel="0" collapsed="false">
      <c r="A7135" s="0" t="s">
        <v>829</v>
      </c>
      <c r="B7135" s="0" t="s">
        <v>98</v>
      </c>
      <c r="D7135" s="6" t="n">
        <f aca="false">Sens!D7129-Sens!D7134*(Sens!D7131+Sens!D7133)-Sens!D7132</f>
        <v>8.35701406163072</v>
      </c>
      <c r="E7135" s="6" t="n">
        <f aca="false">Sens!E7129-Sens!E7134*(Sens!E7131+Sens!E7133)-Sens!E7132</f>
        <v>18.7103224860238</v>
      </c>
      <c r="F7135" s="6" t="n">
        <f aca="false">Sens!F7129-Sens!F7134*(Sens!F7131+Sens!F7133)-Sens!F7132</f>
        <v>39.4594407491938</v>
      </c>
      <c r="G7135" s="6" t="n">
        <f aca="false">Sens!G7129-Sens!G7134*(Sens!G7131+Sens!G7133)-Sens!G7132</f>
        <v>66.5527545578061</v>
      </c>
      <c r="H7135" s="6" t="n">
        <f aca="false">Sens!H7129-Sens!H7134*(Sens!H7131+Sens!H7133)-Sens!H7132</f>
        <v>95.219644983859</v>
      </c>
      <c r="I7135" s="6" t="n">
        <f aca="false">Sens!I7129-Sens!I7134*(Sens!I7131+Sens!I7133)-Sens!I7132</f>
        <v>120.722591017788</v>
      </c>
      <c r="J7135" s="6" t="n">
        <f aca="false">Sens!J7129-Sens!J7134*(Sens!J7131+Sens!J7133)-Sens!J7132</f>
        <v>138.636930519248</v>
      </c>
      <c r="K7135" s="6" t="n">
        <f aca="false">Sens!K7129-Sens!K7134*(Sens!K7131+Sens!K7133)-Sens!K7132</f>
        <v>150.134837618398</v>
      </c>
    </row>
    <row r="7136" customFormat="false" ht="17.15" hidden="false" customHeight="false" outlineLevel="0" collapsed="false">
      <c r="A7136" s="1" t="s">
        <v>830</v>
      </c>
      <c r="B7136" s="0" t="s">
        <v>98</v>
      </c>
      <c r="D7136" s="6" t="n">
        <f aca="false">(1-Sens!D7134)*(Sens!D7131+Sens!D7133)</f>
        <v>1.42281025374069</v>
      </c>
      <c r="E7136" s="6" t="n">
        <f aca="false">(1-Sens!E7134)*(Sens!E7131+Sens!E7133)</f>
        <v>3.25095598674472</v>
      </c>
      <c r="F7136" s="6" t="n">
        <f aca="false">(1-Sens!F7134)*(Sens!F7131+Sens!F7133)</f>
        <v>6.53293055050977</v>
      </c>
      <c r="G7136" s="6" t="n">
        <f aca="false">(1-Sens!G7134)*(Sens!G7131+Sens!G7133)</f>
        <v>10.7846311741651</v>
      </c>
      <c r="H7136" s="6" t="n">
        <f aca="false">(1-Sens!H7134)*(Sens!H7131+Sens!H7133)</f>
        <v>15.26343050201</v>
      </c>
      <c r="I7136" s="6" t="n">
        <f aca="false">(1-Sens!I7134)*(Sens!I7131+Sens!I7133)</f>
        <v>19.1433528317977</v>
      </c>
      <c r="J7136" s="6" t="n">
        <f aca="false">(1-Sens!J7134)*(Sens!J7131+Sens!J7133)</f>
        <v>21.7578594710146</v>
      </c>
      <c r="K7136" s="6" t="n">
        <f aca="false">(1-Sens!K7134)*(Sens!K7131+Sens!K7133)</f>
        <v>23.1609494366731</v>
      </c>
    </row>
    <row r="7137" customFormat="false" ht="17.15" hidden="false" customHeight="false" outlineLevel="0" collapsed="false">
      <c r="A7137" s="1" t="s">
        <v>831</v>
      </c>
      <c r="B7137" s="0" t="s">
        <v>350</v>
      </c>
      <c r="C7137" s="8" t="n">
        <f aca="false">cxit_open</f>
        <v>27.5918995</v>
      </c>
      <c r="D7137" s="8" t="n">
        <f aca="false">cxit_open</f>
        <v>27.5918995</v>
      </c>
      <c r="E7137" s="8" t="n">
        <f aca="false">cxit_open</f>
        <v>27.5918995</v>
      </c>
      <c r="F7137" s="8" t="n">
        <f aca="false">(a_g3_27*tk_cxit_gb300+(1-a_g3_27)*tk_cxit_vr200)</f>
        <v>33.8419624</v>
      </c>
      <c r="G7137" s="8" t="n">
        <f aca="false">(a_g3_28*tk_cxit_gb300+(1-a_g3_28)*tk_cxit_vr200)</f>
        <v>35.9816136</v>
      </c>
      <c r="H7137" s="8" t="n">
        <f aca="false">(a_g3_29*tk_cxit_gb300+(1-a_g3_29)*tk_cxit_vr200)</f>
        <v>37.0514392</v>
      </c>
      <c r="I7137" s="8" t="n">
        <f aca="false">(a_g3_29*tk_cxit_gb300+(1-a_g3_29)*tk_cxit_vr200)</f>
        <v>37.0514392</v>
      </c>
      <c r="J7137" s="8" t="n">
        <f aca="false">(a_g3_29*tk_cxit_gb300+(1-a_g3_29)*tk_cxit_vr200)</f>
        <v>37.0514392</v>
      </c>
      <c r="K7137" s="8" t="n">
        <f aca="false">(a_g3_29*tk_cxit_gb300+(1-a_g3_29)*tk_cxit_vr200)</f>
        <v>37.0514392</v>
      </c>
      <c r="L7137" s="11" t="s">
        <v>832</v>
      </c>
    </row>
    <row r="7138" customFormat="false" ht="17.15" hidden="false" customHeight="false" outlineLevel="0" collapsed="false">
      <c r="A7138" s="0" t="s">
        <v>833</v>
      </c>
      <c r="B7138" s="0" t="s">
        <v>392</v>
      </c>
      <c r="F7138" s="29" t="n">
        <f aca="false">Sens!C7119*IF(Sens!F7112-Sens!C7112=life_it,1,0)+Sens!D7119*IF(Sens!F7112-Sens!D7112=life_it,1,0)+Sens!E7119*IF(Sens!F7112-Sens!E7112=life_it,1,0)</f>
        <v>0</v>
      </c>
      <c r="G7138" s="29" t="n">
        <f aca="false">Sens!C7119*IF(Sens!G7112-Sens!C7112=life_it,1,0)+Sens!D7119*IF(Sens!G7112-Sens!D7112=life_it,1,0)+Sens!E7119*IF(Sens!G7112-Sens!E7112=life_it,1,0)+Sens!F7119*IF(Sens!G7112-Sens!F7112=life_it,1,0)</f>
        <v>0</v>
      </c>
      <c r="H7138" s="29" t="n">
        <f aca="false">Sens!C7119*IF(Sens!H7112-Sens!C7112=life_it,1,0)+Sens!D7119*IF(Sens!H7112-Sens!D7112=life_it,1,0)+Sens!E7119*IF(Sens!H7112-Sens!E7112=life_it,1,0)+Sens!F7119*IF(Sens!H7112-Sens!F7112=life_it,1,0)+Sens!G7119*IF(Sens!H7112-Sens!G7112=life_it,1,0)</f>
        <v>0</v>
      </c>
      <c r="I7138" s="29" t="n">
        <f aca="false">Sens!C7119*IF(Sens!I7112-Sens!C7112=life_it,1,0)+Sens!D7119*IF(Sens!I7112-Sens!D7112=life_it,1,0)+Sens!E7119*IF(Sens!I7112-Sens!E7112=life_it,1,0)+Sens!F7119*IF(Sens!I7112-Sens!F7112=life_it,1,0)+Sens!G7119*IF(Sens!I7112-Sens!G7112=life_it,1,0)+Sens!H7119*IF(Sens!I7112-Sens!H7112=life_it,1,0)</f>
        <v>816.666666666667</v>
      </c>
      <c r="J7138" s="29" t="n">
        <f aca="false">Sens!C7119*IF(Sens!J7112-Sens!C7112=life_it,1,0)+Sens!D7119*IF(Sens!J7112-Sens!D7112=life_it,1,0)+Sens!E7119*IF(Sens!J7112-Sens!E7112=life_it,1,0)+Sens!F7119*IF(Sens!J7112-Sens!F7112=life_it,1,0)+Sens!G7119*IF(Sens!J7112-Sens!G7112=life_it,1,0)+Sens!H7119*IF(Sens!J7112-Sens!H7112=life_it,1,0)+Sens!I7119*IF(Sens!J7112-Sens!I7112=life_it,1,0)</f>
        <v>1233.33333333333</v>
      </c>
      <c r="K7138" s="29" t="n">
        <f aca="false">Sens!C7119*IF(Sens!K7112-Sens!C7112=life_it,1,0)+Sens!D7119*IF(Sens!K7112-Sens!D7112=life_it,1,0)+Sens!E7119*IF(Sens!K7112-Sens!E7112=life_it,1,0)+Sens!F7119*IF(Sens!K7112-Sens!F7112=life_it,1,0)+Sens!G7119*IF(Sens!K7112-Sens!G7112=life_it,1,0)+Sens!H7119*IF(Sens!K7112-Sens!H7112=life_it,1,0)+Sens!I7119*IF(Sens!K7112-Sens!I7112=life_it,1,0)+Sens!J7119*IF(Sens!K7112-Sens!J7112=life_it,1,0)</f>
        <v>2450</v>
      </c>
      <c r="L7138" s="1" t="s">
        <v>834</v>
      </c>
    </row>
    <row r="7139" customFormat="false" ht="17.15" hidden="false" customHeight="false" outlineLevel="0" collapsed="false">
      <c r="A7139" s="0" t="s">
        <v>835</v>
      </c>
      <c r="B7139" s="0" t="s">
        <v>98</v>
      </c>
      <c r="C7139" s="6" t="n">
        <f aca="false">Sens!C7119*Sens!C7137/1000</f>
        <v>22.5333845916667</v>
      </c>
      <c r="D7139" s="6" t="n">
        <f aca="false">Sens!D7119*Sens!D7137/1000</f>
        <v>34.0300093833333</v>
      </c>
      <c r="E7139" s="6" t="n">
        <f aca="false">Sens!E7119*Sens!E7137/1000</f>
        <v>67.600153775</v>
      </c>
      <c r="F7139" s="6" t="n">
        <f aca="false">(Sens!F7119+Sens!F7138)*Sens!F7137/1000</f>
        <v>130.923271871467</v>
      </c>
      <c r="G7139" s="6" t="n">
        <f aca="false">(Sens!G7119+Sens!G7138)*Sens!G7137/1000</f>
        <v>151.5545564832</v>
      </c>
      <c r="H7139" s="6" t="n">
        <f aca="false">(Sens!H7119+Sens!H7138)*Sens!H7137/1000</f>
        <v>156.0606619104</v>
      </c>
      <c r="I7139" s="6" t="n">
        <f aca="false">(Sens!I7119+Sens!I7138)*Sens!I7137/1000</f>
        <v>140.987889434245</v>
      </c>
      <c r="J7139" s="6" t="n">
        <f aca="false">(Sens!J7119+Sens!J7138)*Sens!J7137/1000</f>
        <v>111.094541278091</v>
      </c>
      <c r="K7139" s="6" t="n">
        <f aca="false">(Sens!K7119+Sens!K7138)*Sens!K7137/1000</f>
        <v>110.842344481936</v>
      </c>
    </row>
    <row r="7140" customFormat="false" ht="17.15" hidden="false" customHeight="false" outlineLevel="0" collapsed="false">
      <c r="A7140" s="0" t="s">
        <v>836</v>
      </c>
      <c r="B7140" s="0" t="s">
        <v>98</v>
      </c>
      <c r="C7140" s="6" t="n">
        <f aca="false">Sens!C7119*self_build*tk_cxfac/1000</f>
        <v>6.2083</v>
      </c>
      <c r="D7140" s="6" t="n">
        <f aca="false">Sens!D7119*self_build*tk_cxfac/1000</f>
        <v>9.3758</v>
      </c>
      <c r="E7140" s="6" t="n">
        <f aca="false">Sens!E7119*self_build*tk_cxfac/1000</f>
        <v>18.6249</v>
      </c>
      <c r="F7140" s="6" t="n">
        <f aca="false">Sens!F7119*self_build*tk_cxfac/1000</f>
        <v>29.409604</v>
      </c>
      <c r="G7140" s="6" t="n">
        <f aca="false">Sens!G7119*self_build*tk_cxfac/1000</f>
        <v>32.019624</v>
      </c>
      <c r="H7140" s="6" t="n">
        <f aca="false">Sens!H7119*self_build*tk_cxfac/1000</f>
        <v>32.019624</v>
      </c>
      <c r="I7140" s="6" t="n">
        <f aca="false">Sens!I7119*self_build*tk_cxfac/1000</f>
        <v>22.71877972</v>
      </c>
      <c r="J7140" s="6" t="n">
        <f aca="false">Sens!J7119*self_build*tk_cxfac/1000</f>
        <v>13.41793544</v>
      </c>
      <c r="K7140" s="6" t="n">
        <f aca="false">Sens!K7119*self_build*tk_cxfac/1000</f>
        <v>4.11709116000001</v>
      </c>
    </row>
    <row r="7141" customFormat="false" ht="17.15" hidden="false" customHeight="false" outlineLevel="0" collapsed="false">
      <c r="A7141" s="0" t="s">
        <v>837</v>
      </c>
      <c r="B7141" s="0" t="s">
        <v>98</v>
      </c>
      <c r="F7141" s="6" t="n">
        <f aca="false">MAX(0,capex_floor27-Sens!F7139-Sens!F7140-Sens!F7234)</f>
        <v>8.04777689897088</v>
      </c>
      <c r="L7141" s="1" t="s">
        <v>838</v>
      </c>
    </row>
    <row r="7142" customFormat="false" ht="17.15" hidden="false" customHeight="false" outlineLevel="0" collapsed="false">
      <c r="A7142" s="0" t="s">
        <v>839</v>
      </c>
      <c r="B7142" s="0" t="s">
        <v>98</v>
      </c>
      <c r="C7142" s="6" t="n">
        <f aca="false">Sens!C7139</f>
        <v>22.5333845916667</v>
      </c>
      <c r="D7142" s="6" t="n">
        <f aca="false">Sens!D7139</f>
        <v>34.0300093833333</v>
      </c>
      <c r="E7142" s="6" t="n">
        <f aca="false">Sens!E7139</f>
        <v>67.600153775</v>
      </c>
      <c r="F7142" s="6" t="n">
        <f aca="false">Sens!F7139+Sens!F7141</f>
        <v>138.971048770438</v>
      </c>
      <c r="G7142" s="6" t="n">
        <f aca="false">Sens!G7139</f>
        <v>151.5545564832</v>
      </c>
      <c r="H7142" s="6" t="n">
        <f aca="false">Sens!H7139</f>
        <v>156.0606619104</v>
      </c>
      <c r="I7142" s="6" t="n">
        <f aca="false">Sens!I7139</f>
        <v>140.987889434245</v>
      </c>
      <c r="J7142" s="6" t="n">
        <f aca="false">Sens!J7139</f>
        <v>111.094541278091</v>
      </c>
      <c r="K7142" s="6" t="n">
        <f aca="false">Sens!K7139</f>
        <v>110.842344481936</v>
      </c>
    </row>
    <row r="7143" customFormat="false" ht="17.15" hidden="false" customHeight="false" outlineLevel="0" collapsed="false">
      <c r="A7143" s="0" t="s">
        <v>840</v>
      </c>
      <c r="B7143" s="0" t="s">
        <v>98</v>
      </c>
      <c r="C7143" s="6" t="n">
        <f aca="false">Sens!C7142+Sens!C7140</f>
        <v>28.7416845916667</v>
      </c>
      <c r="D7143" s="6" t="n">
        <f aca="false">Sens!D7142+Sens!D7140</f>
        <v>43.4058093833333</v>
      </c>
      <c r="E7143" s="6" t="n">
        <f aca="false">Sens!E7142+Sens!E7140</f>
        <v>86.225053775</v>
      </c>
      <c r="F7143" s="6" t="n">
        <f aca="false">Sens!F7142+Sens!F7140</f>
        <v>168.380652770438</v>
      </c>
      <c r="G7143" s="6" t="n">
        <f aca="false">Sens!G7142+Sens!G7140</f>
        <v>183.5741804832</v>
      </c>
      <c r="H7143" s="6" t="n">
        <f aca="false">Sens!H7142+Sens!H7140</f>
        <v>188.0802859104</v>
      </c>
      <c r="I7143" s="6" t="n">
        <f aca="false">Sens!I7142+Sens!I7140</f>
        <v>163.706669154245</v>
      </c>
      <c r="J7143" s="6" t="n">
        <f aca="false">Sens!J7142+Sens!J7140</f>
        <v>124.51247671809</v>
      </c>
      <c r="K7143" s="6" t="n">
        <f aca="false">Sens!K7142+Sens!K7140</f>
        <v>114.959435641936</v>
      </c>
      <c r="L7143" s="11" t="s">
        <v>841</v>
      </c>
    </row>
    <row r="7144" customFormat="false" ht="17.15" hidden="false" customHeight="false" outlineLevel="0" collapsed="false">
      <c r="A7144" s="0" t="s">
        <v>842</v>
      </c>
      <c r="B7144" s="0" t="s">
        <v>98</v>
      </c>
      <c r="E7144" s="6" t="n">
        <f aca="false">(Sens!C7142*IF(2&lt;life_it,1,IF(2=life_it,0.5,0))+Sens!D7142*IF(1&lt;life_it,1,IF(1=life_it,0.5,0))+Sens!E7142*0.5)/life_it</f>
        <v>15.0605784770833</v>
      </c>
      <c r="F7144" s="6" t="n">
        <f aca="false">(Sens!C7142*IF(3&lt;life_it,1,IF(3=life_it,0.5,0))+Sens!D7142*IF(2&lt;life_it,1,IF(2=life_it,0.5,0))+Sens!E7142*IF(1&lt;life_it,1,IF(1=life_it,0.5,0))+Sens!F7142*0.5)/life_it</f>
        <v>32.2748453558698</v>
      </c>
      <c r="G7144" s="6" t="n">
        <f aca="false">(Sens!C7142*IF(4&lt;life_it,1,IF(4=life_it,0.5,0))+Sens!D7142*IF(3&lt;life_it,1,IF(3=life_it,0.5,0))+Sens!E7142*IF(2&lt;life_it,1,IF(2=life_it,0.5,0))+Sens!F7142*IF(1&lt;life_it,1,IF(1=life_it,0.5,0))+Sens!G7142*0.5)/life_it</f>
        <v>56.4853124603396</v>
      </c>
      <c r="H7144" s="6" t="n">
        <f aca="false">(Sens!C7142*IF(5&lt;life_it,1,IF(5=life_it,0.5,0))+Sens!D7142*IF(4&lt;life_it,1,IF(4=life_it,0.5,0))+Sens!E7142*IF(3&lt;life_it,1,IF(3=life_it,0.5,0))+Sens!F7142*IF(2&lt;life_it,1,IF(2=life_it,0.5,0))+Sens!G7142*IF(1&lt;life_it,1,IF(1=life_it,0.5,0))+Sens!H7142*0.5)/life_it</f>
        <v>82.1199139931396</v>
      </c>
      <c r="I7144" s="6" t="n">
        <f aca="false">(Sens!C7142*IF(6&lt;life_it,1,IF(6=life_it,0.5,0))+Sens!D7142*IF(5&lt;life_it,1,IF(5=life_it,0.5,0))+Sens!E7142*IF(4&lt;life_it,1,IF(4=life_it,0.5,0))+Sens!F7142*IF(3&lt;life_it,1,IF(3=life_it,0.5,0))+Sens!G7142*IF(2&lt;life_it,1,IF(2=life_it,0.5,0))+Sens!H7142*IF(1&lt;life_it,1,IF(1=life_it,0.5,0))+Sens!I7142*0.5)/life_it</f>
        <v>104.996177889221</v>
      </c>
      <c r="J7144" s="6" t="n">
        <f aca="false">(Sens!C7142*IF(7&lt;life_it,1,IF(7=life_it,0.5,0))+Sens!D7142*IF(6&lt;life_it,1,IF(6=life_it,0.5,0))+Sens!E7142*IF(5&lt;life_it,1,IF(5=life_it,0.5,0))+Sens!F7142*IF(4&lt;life_it,1,IF(4=life_it,0.5,0))+Sens!G7142*IF(3&lt;life_it,1,IF(3=life_it,0.5,0))+Sens!H7142*IF(2&lt;life_it,1,IF(2=life_it,0.5,0))+Sens!I7142*IF(1&lt;life_it,1,IF(1=life_it,0.5,0))+Sens!J7142*0.5)/life_it</f>
        <v>121.289430950666</v>
      </c>
      <c r="K7144" s="6" t="n">
        <f aca="false">(Sens!C7142*IF(8&lt;life_it,1,IF(8=life_it,0.5,0))+Sens!D7142*IF(7&lt;life_it,1,IF(7=life_it,0.5,0))+Sens!E7142*IF(6&lt;life_it,1,IF(6=life_it,0.5,0))+Sens!F7142*IF(5&lt;life_it,1,IF(5=life_it,0.5,0))+Sens!G7142*IF(4&lt;life_it,1,IF(4=life_it,0.5,0))+Sens!H7142*IF(3&lt;life_it,1,IF(3=life_it,0.5,0))+Sens!I7142*IF(2&lt;life_it,1,IF(2=life_it,0.5,0))+Sens!J7142*IF(1&lt;life_it,1,IF(1=life_it,0.5,0))+Sens!K7142*0.5)/life_it</f>
        <v>131.314991167474</v>
      </c>
    </row>
    <row r="7145" customFormat="false" ht="17.15" hidden="false" customHeight="false" outlineLevel="0" collapsed="false">
      <c r="A7145" s="0" t="s">
        <v>843</v>
      </c>
      <c r="B7145" s="0" t="s">
        <v>98</v>
      </c>
      <c r="E7145" s="6" t="n">
        <f aca="false">(Sens!C7140*IF(2&lt;life_fac,1,IF(2=life_fac,0.5,0))+Sens!D7140*IF(1&lt;life_fac,1,IF(1=life_fac,0.5,0))+Sens!E7140*0.5)/life_fac</f>
        <v>1.2448275</v>
      </c>
      <c r="F7145" s="6" t="n">
        <f aca="false">(Sens!C7140*IF(3&lt;life_fac,1,IF(3=life_fac,0.5,0))+Sens!D7140*IF(2&lt;life_fac,1,IF(2=life_fac,0.5,0))+Sens!E7140*IF(1&lt;life_fac,1,IF(1=life_fac,0.5,0))+Sens!F7140*0.5)/life_fac</f>
        <v>2.4456901</v>
      </c>
      <c r="G7145" s="6" t="n">
        <f aca="false">(Sens!C7140*IF(4&lt;life_fac,1,IF(4=life_fac,0.5,0))+Sens!D7140*IF(3&lt;life_fac,1,IF(3=life_fac,0.5,0))+Sens!E7140*IF(2&lt;life_fac,1,IF(2=life_fac,0.5,0))+Sens!F7140*IF(1&lt;life_fac,1,IF(1=life_fac,0.5,0))+Sens!G7140*0.5)/life_fac</f>
        <v>3.9814208</v>
      </c>
      <c r="H7145" s="6" t="n">
        <f aca="false">(Sens!C7140*IF(5&lt;life_fac,1,IF(5=life_fac,0.5,0))+Sens!D7140*IF(4&lt;life_fac,1,IF(4=life_fac,0.5,0))+Sens!E7140*IF(3&lt;life_fac,1,IF(3=life_fac,0.5,0))+Sens!F7140*IF(2&lt;life_fac,1,IF(2=life_fac,0.5,0))+Sens!G7140*IF(1&lt;life_fac,1,IF(1=life_fac,0.5,0))+Sens!H7140*0.5)/life_fac</f>
        <v>5.582402</v>
      </c>
      <c r="I7145" s="6" t="n">
        <f aca="false">(Sens!C7140*IF(6&lt;life_fac,1,IF(6=life_fac,0.5,0))+Sens!D7140*IF(5&lt;life_fac,1,IF(5=life_fac,0.5,0))+Sens!E7140*IF(4&lt;life_fac,1,IF(4=life_fac,0.5,0))+Sens!F7140*IF(3&lt;life_fac,1,IF(3=life_fac,0.5,0))+Sens!G7140*IF(2&lt;life_fac,1,IF(2=life_fac,0.5,0))+Sens!H7140*IF(1&lt;life_fac,1,IF(1=life_fac,0.5,0))+Sens!I7140*0.5)/life_fac</f>
        <v>6.950862093</v>
      </c>
      <c r="J7145" s="6" t="n">
        <f aca="false">(Sens!C7140*IF(7&lt;life_fac,1,IF(7=life_fac,0.5,0))+Sens!D7140*IF(6&lt;life_fac,1,IF(6=life_fac,0.5,0))+Sens!E7140*IF(5&lt;life_fac,1,IF(5=life_fac,0.5,0))+Sens!F7140*IF(4&lt;life_fac,1,IF(4=life_fac,0.5,0))+Sens!G7140*IF(3&lt;life_fac,1,IF(3=life_fac,0.5,0))+Sens!H7140*IF(2&lt;life_fac,1,IF(2=life_fac,0.5,0))+Sens!I7140*IF(1&lt;life_fac,1,IF(1=life_fac,0.5,0))+Sens!J7140*0.5)/life_fac</f>
        <v>7.854279972</v>
      </c>
      <c r="K7145" s="6" t="n">
        <f aca="false">(Sens!C7140*IF(8&lt;life_fac,1,IF(8=life_fac,0.5,0))+Sens!D7140*IF(7&lt;life_fac,1,IF(7=life_fac,0.5,0))+Sens!E7140*IF(6&lt;life_fac,1,IF(6=life_fac,0.5,0))+Sens!F7140*IF(5&lt;life_fac,1,IF(5=life_fac,0.5,0))+Sens!G7140*IF(4&lt;life_fac,1,IF(4=life_fac,0.5,0))+Sens!H7140*IF(3&lt;life_fac,1,IF(3=life_fac,0.5,0))+Sens!I7140*IF(2&lt;life_fac,1,IF(2=life_fac,0.5,0))+Sens!J7140*IF(1&lt;life_fac,1,IF(1=life_fac,0.5,0))+Sens!K7140*0.5)/life_fac</f>
        <v>8.292655637</v>
      </c>
    </row>
    <row r="7146" customFormat="false" ht="17.15" hidden="false" customHeight="false" outlineLevel="0" collapsed="false">
      <c r="A7146" s="0" t="s">
        <v>844</v>
      </c>
      <c r="B7146" s="0" t="s">
        <v>98</v>
      </c>
      <c r="E7146" s="6" t="n">
        <f aca="false">Sens!E7144+Sens!E7145</f>
        <v>16.3054059770833</v>
      </c>
      <c r="F7146" s="6" t="n">
        <f aca="false">Sens!F7144+Sens!F7145</f>
        <v>34.7205354558698</v>
      </c>
      <c r="G7146" s="6" t="n">
        <f aca="false">Sens!G7144+Sens!G7145</f>
        <v>60.4667332603396</v>
      </c>
      <c r="H7146" s="6" t="n">
        <f aca="false">Sens!H7144+Sens!H7145</f>
        <v>87.7023159931396</v>
      </c>
      <c r="I7146" s="6" t="n">
        <f aca="false">Sens!I7144+Sens!I7145</f>
        <v>111.947039982221</v>
      </c>
      <c r="J7146" s="6" t="n">
        <f aca="false">Sens!J7144+Sens!J7145</f>
        <v>129.143710922666</v>
      </c>
      <c r="K7146" s="6" t="n">
        <f aca="false">Sens!K7144+Sens!K7145</f>
        <v>139.607646804474</v>
      </c>
    </row>
    <row r="7147" customFormat="false" ht="17.15" hidden="false" customHeight="false" outlineLevel="0" collapsed="false">
      <c r="A7147" s="0" t="s">
        <v>845</v>
      </c>
      <c r="B7147" s="0" t="s">
        <v>98</v>
      </c>
      <c r="E7147" s="6" t="n">
        <f aca="false">Sens!E7135-Sens!E7134*Sens!E7146</f>
        <v>8.92707889977379</v>
      </c>
      <c r="F7147" s="6" t="n">
        <f aca="false">Sens!F7135-Sens!F7134*Sens!F7146</f>
        <v>18.627119475672</v>
      </c>
      <c r="G7147" s="6" t="n">
        <f aca="false">Sens!G7135-Sens!G7134*Sens!G7146</f>
        <v>30.2727146016024</v>
      </c>
      <c r="H7147" s="6" t="n">
        <f aca="false">Sens!H7135-Sens!H7134*Sens!H7146</f>
        <v>42.5982553879752</v>
      </c>
      <c r="I7147" s="6" t="n">
        <f aca="false">Sens!I7135-Sens!I7134*Sens!I7146</f>
        <v>53.5543670284555</v>
      </c>
      <c r="J7147" s="6" t="n">
        <f aca="false">Sens!J7135-Sens!J7134*Sens!J7146</f>
        <v>61.1507039656484</v>
      </c>
      <c r="K7147" s="6" t="n">
        <f aca="false">Sens!K7135-Sens!K7134*Sens!K7146</f>
        <v>66.3702495357137</v>
      </c>
    </row>
    <row r="7148" customFormat="false" ht="17.15" hidden="false" customHeight="false" outlineLevel="0" collapsed="false">
      <c r="A7148" s="3" t="s">
        <v>1420</v>
      </c>
    </row>
    <row r="7149" customFormat="false" ht="15" hidden="false" customHeight="false" outlineLevel="0" collapsed="false">
      <c r="A7149" s="4" t="s">
        <v>43</v>
      </c>
      <c r="B7149" s="4" t="s">
        <v>65</v>
      </c>
      <c r="C7149" s="20" t="s">
        <v>788</v>
      </c>
      <c r="D7149" s="20" t="s">
        <v>789</v>
      </c>
      <c r="E7149" s="20" t="s">
        <v>790</v>
      </c>
      <c r="F7149" s="20" t="s">
        <v>791</v>
      </c>
      <c r="G7149" s="20" t="s">
        <v>792</v>
      </c>
      <c r="H7149" s="20" t="s">
        <v>793</v>
      </c>
      <c r="I7149" s="20" t="s">
        <v>794</v>
      </c>
      <c r="J7149" s="20" t="s">
        <v>795</v>
      </c>
      <c r="K7149" s="20" t="s">
        <v>796</v>
      </c>
      <c r="L7149" s="4" t="s">
        <v>47</v>
      </c>
    </row>
    <row r="7150" customFormat="false" ht="17.15" hidden="false" customHeight="false" outlineLevel="0" collapsed="false">
      <c r="A7150" s="0" t="s">
        <v>864</v>
      </c>
      <c r="B7150" s="0" t="s">
        <v>98</v>
      </c>
      <c r="D7150" s="6" t="n">
        <f aca="false">Sens!D7129</f>
        <v>12.9359794422418</v>
      </c>
      <c r="E7150" s="6" t="n">
        <f aca="false">Sens!E7129</f>
        <v>27.8095064661409</v>
      </c>
      <c r="F7150" s="6" t="n">
        <f aca="false">Sens!F7129</f>
        <v>55.0640065749585</v>
      </c>
      <c r="G7150" s="6" t="n">
        <f aca="false">Sens!G7129</f>
        <v>89.4505413190538</v>
      </c>
      <c r="H7150" s="6" t="n">
        <f aca="false">Sens!H7129</f>
        <v>124.835630736874</v>
      </c>
      <c r="I7150" s="6" t="n">
        <f aca="false">Sens!I7129</f>
        <v>156.158460265485</v>
      </c>
      <c r="J7150" s="6" t="n">
        <f aca="false">Sens!J7129</f>
        <v>177.99455972577</v>
      </c>
      <c r="K7150" s="6" t="n">
        <f aca="false">Sens!K7129</f>
        <v>191.597101773408</v>
      </c>
    </row>
    <row r="7151" customFormat="false" ht="17.15" hidden="false" customHeight="false" outlineLevel="0" collapsed="false">
      <c r="A7151" s="0" t="s">
        <v>865</v>
      </c>
      <c r="B7151" s="0" t="s">
        <v>98</v>
      </c>
      <c r="D7151" s="6" t="n">
        <f aca="false">Q!L6-Sens!D7150</f>
        <v>59.6740205577583</v>
      </c>
      <c r="E7151" s="6" t="n">
        <f aca="false">Q!M6-Sens!E7150</f>
        <v>74.1284935338591</v>
      </c>
      <c r="F7151" s="6" t="n">
        <f aca="false">Sens!E7151*(1+Sens!F7152)</f>
        <v>90.0799497373663</v>
      </c>
      <c r="G7151" s="6" t="n">
        <f aca="false">Sens!F7151*(1+Sens!G7152)</f>
        <v>107.02842520331</v>
      </c>
      <c r="H7151" s="6" t="n">
        <f aca="false">Sens!G7151*(1+Sens!H7152)</f>
        <v>124.271982585636</v>
      </c>
      <c r="I7151" s="6" t="n">
        <f aca="false">Sens!H7151*(1+Sens!I7152)</f>
        <v>140.933702381855</v>
      </c>
      <c r="J7151" s="6" t="n">
        <f aca="false">Sens!I7151*(1+Sens!J7152)</f>
        <v>156.018867314332</v>
      </c>
      <c r="K7151" s="6" t="n">
        <f aca="false">Sens!J7151*(1+Sens!K7152)</f>
        <v>168.500376699478</v>
      </c>
    </row>
    <row r="7152" customFormat="false" ht="15" hidden="false" customHeight="false" outlineLevel="0" collapsed="false">
      <c r="A7152" s="1" t="s">
        <v>866</v>
      </c>
      <c r="B7152" s="0" t="s">
        <v>129</v>
      </c>
      <c r="E7152" s="7" t="n">
        <f aca="false">Sens!E7151/Sens!D7151-1</f>
        <v>0.242223883039864</v>
      </c>
      <c r="F7152" s="7" t="n">
        <f aca="false">Sens!$E$7152+(glt_azo-Sens!$E$7152)*MIN(1,(Sens!F7112-base_fy)/n_conv)</f>
        <v>0.215186569199887</v>
      </c>
      <c r="G7152" s="7" t="n">
        <f aca="false">Sens!$E$7152+(glt_azo-Sens!$E$7152)*MIN(1,(Sens!G7112-base_fy)/n_conv)</f>
        <v>0.18814925535991</v>
      </c>
      <c r="H7152" s="7" t="n">
        <f aca="false">Sens!$E$7152+(glt_azo-Sens!$E$7152)*MIN(1,(Sens!H7112-base_fy)/n_conv)</f>
        <v>0.161111941519932</v>
      </c>
      <c r="I7152" s="7" t="n">
        <f aca="false">Sens!$E$7152+(glt_azo-Sens!$E$7152)*MIN(1,(Sens!I7112-base_fy)/n_conv)</f>
        <v>0.134074627679955</v>
      </c>
      <c r="J7152" s="7" t="n">
        <f aca="false">Sens!$E$7152+(glt_azo-Sens!$E$7152)*MIN(1,(Sens!J7112-base_fy)/n_conv)</f>
        <v>0.107037313839977</v>
      </c>
      <c r="K7152" s="7" t="n">
        <f aca="false">Sens!$E$7152+(glt_azo-Sens!$E$7152)*MIN(1,(Sens!K7112-base_fy)/n_conv)</f>
        <v>0.08</v>
      </c>
    </row>
    <row r="7153" customFormat="false" ht="15" hidden="false" customHeight="false" outlineLevel="0" collapsed="false">
      <c r="A7153" s="0" t="s">
        <v>867</v>
      </c>
      <c r="B7153" s="0" t="s">
        <v>98</v>
      </c>
      <c r="D7153" s="6" t="n">
        <f aca="false">Sens!D7150+Sens!D7151</f>
        <v>72.61</v>
      </c>
      <c r="E7153" s="6" t="n">
        <f aca="false">Sens!E7150+Sens!E7151</f>
        <v>101.938</v>
      </c>
      <c r="F7153" s="6" t="n">
        <f aca="false">Sens!F7150+Sens!F7151</f>
        <v>145.143956312325</v>
      </c>
      <c r="G7153" s="6" t="n">
        <f aca="false">Sens!G7150+Sens!G7151</f>
        <v>196.478966522364</v>
      </c>
      <c r="H7153" s="6" t="n">
        <f aca="false">Sens!H7150+Sens!H7151</f>
        <v>249.10761332251</v>
      </c>
      <c r="I7153" s="6" t="n">
        <f aca="false">Sens!I7150+Sens!I7151</f>
        <v>297.09216264734</v>
      </c>
      <c r="J7153" s="6" t="n">
        <f aca="false">Sens!J7150+Sens!J7151</f>
        <v>334.013427040101</v>
      </c>
      <c r="K7153" s="6" t="n">
        <f aca="false">Sens!K7150+Sens!K7151</f>
        <v>360.097478472886</v>
      </c>
    </row>
    <row r="7154" customFormat="false" ht="17.15" hidden="false" customHeight="false" outlineLevel="0" collapsed="false">
      <c r="A7154" s="0" t="s">
        <v>868</v>
      </c>
      <c r="B7154" s="1" t="s">
        <v>521</v>
      </c>
      <c r="C7154" s="29" t="n">
        <f aca="false">cop_s24</f>
        <v>1</v>
      </c>
      <c r="D7154" s="29" t="n">
        <f aca="false">cop_s25</f>
        <v>5</v>
      </c>
      <c r="E7154" s="29" t="n">
        <f aca="false">cop_s26</f>
        <v>30</v>
      </c>
      <c r="F7154" s="29" t="n">
        <f aca="false">Sens!E7154+cop_add_B</f>
        <v>50</v>
      </c>
      <c r="G7154" s="29" t="n">
        <f aca="false">Sens!F7154+cop_add_B</f>
        <v>70</v>
      </c>
      <c r="H7154" s="29" t="n">
        <f aca="false">Sens!G7154+cop_add_B</f>
        <v>90</v>
      </c>
      <c r="I7154" s="29" t="n">
        <f aca="false">Sens!H7154+cop_add_B*cop_tail</f>
        <v>100</v>
      </c>
      <c r="J7154" s="29" t="n">
        <f aca="false">Sens!I7154+cop_add_B*cop_tail</f>
        <v>110</v>
      </c>
      <c r="K7154" s="29" t="n">
        <f aca="false">Sens!J7154+cop_add_B*cop_tail</f>
        <v>120</v>
      </c>
      <c r="L7154" s="11" t="s">
        <v>869</v>
      </c>
    </row>
    <row r="7155" customFormat="false" ht="17.15" hidden="false" customHeight="false" outlineLevel="0" collapsed="false">
      <c r="A7155" s="0" t="s">
        <v>870</v>
      </c>
      <c r="B7155" s="0" t="s">
        <v>98</v>
      </c>
      <c r="D7155" s="6" t="n">
        <f aca="false">(Sens!C7154+Sens!D7154)/2*cop_px*12/1000</f>
        <v>0.9</v>
      </c>
      <c r="E7155" s="6" t="n">
        <f aca="false">(Sens!D7154+Sens!E7154)/2*cop_px*12/1000</f>
        <v>5.25</v>
      </c>
      <c r="F7155" s="6" t="n">
        <f aca="false">(Sens!E7154+Sens!F7154)/2*cop_px_hi*12/1000</f>
        <v>14.4</v>
      </c>
      <c r="G7155" s="6" t="n">
        <f aca="false">(Sens!F7154+Sens!G7154)/2*cop_px_hi*12/1000</f>
        <v>21.6</v>
      </c>
      <c r="H7155" s="6" t="n">
        <f aca="false">(Sens!G7154+Sens!H7154)/2*cop_px_hi*12/1000</f>
        <v>28.8</v>
      </c>
      <c r="I7155" s="6" t="n">
        <f aca="false">(Sens!H7154+Sens!I7154)/2*cop_px_hi*12/1000</f>
        <v>34.2</v>
      </c>
      <c r="J7155" s="6" t="n">
        <f aca="false">(Sens!I7154+Sens!J7154)/2*cop_px_hi*12/1000</f>
        <v>37.8</v>
      </c>
      <c r="K7155" s="6" t="n">
        <f aca="false">(Sens!J7154+Sens!K7154)/2*cop_px_hi*12/1000</f>
        <v>41.4</v>
      </c>
      <c r="L7155" s="1" t="s">
        <v>871</v>
      </c>
    </row>
    <row r="7156" customFormat="false" ht="17.15" hidden="false" customHeight="false" outlineLevel="0" collapsed="false">
      <c r="A7156" s="0" t="s">
        <v>872</v>
      </c>
      <c r="B7156" s="0" t="s">
        <v>98</v>
      </c>
      <c r="D7156" s="6" t="n">
        <f aca="false">Q!L7-Sens!D7155</f>
        <v>83.705</v>
      </c>
      <c r="E7156" s="6" t="n">
        <f aca="false">Q!M7-Sens!E7155</f>
        <v>95.049</v>
      </c>
      <c r="F7156" s="6" t="n">
        <f aca="false">Sens!E7156*(1+Sens!F7157)</f>
        <v>106.89238776686</v>
      </c>
      <c r="G7156" s="6" t="n">
        <f aca="false">Sens!F7156*(1+Sens!G7157)</f>
        <v>119.044168448684</v>
      </c>
      <c r="H7156" s="6" t="n">
        <f aca="false">Sens!G7156*(1+Sens!H7157)</f>
        <v>131.277359388781</v>
      </c>
      <c r="I7156" s="6" t="n">
        <f aca="false">Sens!H7156*(1+Sens!I7157)</f>
        <v>143.334028071957</v>
      </c>
      <c r="J7156" s="6" t="n">
        <f aca="false">Sens!I7156*(1+Sens!J7157)</f>
        <v>154.932702785465</v>
      </c>
      <c r="K7156" s="6" t="n">
        <f aca="false">Sens!J7156*(1+Sens!K7157)</f>
        <v>165.777991980448</v>
      </c>
    </row>
    <row r="7157" customFormat="false" ht="15" hidden="false" customHeight="false" outlineLevel="0" collapsed="false">
      <c r="A7157" s="1" t="s">
        <v>866</v>
      </c>
      <c r="B7157" s="0" t="s">
        <v>129</v>
      </c>
      <c r="E7157" s="7" t="n">
        <f aca="false">Sens!E7156/Sens!D7156-1</f>
        <v>0.135523564900544</v>
      </c>
      <c r="F7157" s="7" t="n">
        <f aca="false">Sens!$E$7157+(glt_m365b-Sens!$E$7157)*MIN(1,(Sens!F7112-base_fy)/n_conv)</f>
        <v>0.124602970750453</v>
      </c>
      <c r="G7157" s="7" t="n">
        <f aca="false">Sens!$E$7157+(glt_m365b-Sens!$E$7157)*MIN(1,(Sens!G7112-base_fy)/n_conv)</f>
        <v>0.113682376600363</v>
      </c>
      <c r="H7157" s="7" t="n">
        <f aca="false">Sens!$E$7157+(glt_m365b-Sens!$E$7157)*MIN(1,(Sens!H7112-base_fy)/n_conv)</f>
        <v>0.102761782450272</v>
      </c>
      <c r="I7157" s="7" t="n">
        <f aca="false">Sens!$E$7157+(glt_m365b-Sens!$E$7157)*MIN(1,(Sens!I7112-base_fy)/n_conv)</f>
        <v>0.0918411883001813</v>
      </c>
      <c r="J7157" s="7" t="n">
        <f aca="false">Sens!$E$7157+(glt_m365b-Sens!$E$7157)*MIN(1,(Sens!J7112-base_fy)/n_conv)</f>
        <v>0.0809205941500906</v>
      </c>
      <c r="K7157" s="7" t="n">
        <f aca="false">Sens!$E$7157+(glt_m365b-Sens!$E$7157)*MIN(1,(Sens!K7112-base_fy)/n_conv)</f>
        <v>0.07</v>
      </c>
    </row>
    <row r="7158" customFormat="false" ht="15" hidden="false" customHeight="false" outlineLevel="0" collapsed="false">
      <c r="A7158" s="0" t="s">
        <v>873</v>
      </c>
      <c r="B7158" s="0" t="s">
        <v>98</v>
      </c>
      <c r="D7158" s="6" t="n">
        <f aca="false">Sens!D7156+Sens!D7155</f>
        <v>84.605</v>
      </c>
      <c r="E7158" s="6" t="n">
        <f aca="false">Sens!E7156+Sens!E7155</f>
        <v>100.299</v>
      </c>
      <c r="F7158" s="6" t="n">
        <f aca="false">Sens!F7156+Sens!F7155</f>
        <v>121.29238776686</v>
      </c>
      <c r="G7158" s="6" t="n">
        <f aca="false">Sens!G7156+Sens!G7155</f>
        <v>140.644168448684</v>
      </c>
      <c r="H7158" s="6" t="n">
        <f aca="false">Sens!H7156+Sens!H7155</f>
        <v>160.077359388781</v>
      </c>
      <c r="I7158" s="6" t="n">
        <f aca="false">Sens!I7156+Sens!I7155</f>
        <v>177.534028071957</v>
      </c>
      <c r="J7158" s="6" t="n">
        <f aca="false">Sens!J7156+Sens!J7155</f>
        <v>192.732702785465</v>
      </c>
      <c r="K7158" s="6" t="n">
        <f aca="false">Sens!K7156+Sens!K7155</f>
        <v>207.177991980448</v>
      </c>
    </row>
    <row r="7159" customFormat="false" ht="15" hidden="false" customHeight="false" outlineLevel="0" collapsed="false">
      <c r="A7159" s="0" t="s">
        <v>874</v>
      </c>
      <c r="B7159" s="0" t="s">
        <v>98</v>
      </c>
      <c r="D7159" s="6" t="n">
        <f aca="false">Q!L8</f>
        <v>35.391</v>
      </c>
      <c r="E7159" s="6" t="n">
        <f aca="false">Q!M8</f>
        <v>37.285</v>
      </c>
      <c r="F7159" s="6" t="n">
        <f aca="false">Sens!E7159*(1+Sens!F7160)</f>
        <v>39.0720834331704</v>
      </c>
      <c r="G7159" s="6" t="n">
        <f aca="false">Sens!F7159*(1+Sens!G7160)</f>
        <v>40.726562953769</v>
      </c>
      <c r="H7159" s="6" t="n">
        <f aca="false">Sens!G7159*(1+Sens!H7160)</f>
        <v>42.2235987259198</v>
      </c>
      <c r="I7159" s="6" t="n">
        <f aca="false">Sens!H7159*(1+Sens!I7160)</f>
        <v>43.5397988077414</v>
      </c>
      <c r="J7159" s="6" t="n">
        <f aca="false">Sens!I7159*(1+Sens!J7160)</f>
        <v>44.653811225693</v>
      </c>
      <c r="K7159" s="6" t="n">
        <f aca="false">Sens!J7159*(1+Sens!K7160)</f>
        <v>45.5468874502068</v>
      </c>
    </row>
    <row r="7160" customFormat="false" ht="15" hidden="false" customHeight="false" outlineLevel="0" collapsed="false">
      <c r="A7160" s="1" t="s">
        <v>866</v>
      </c>
      <c r="B7160" s="0" t="s">
        <v>129</v>
      </c>
      <c r="E7160" s="7" t="n">
        <f aca="false">Sens!E7159/Sens!D7159-1</f>
        <v>0.0535164307309768</v>
      </c>
      <c r="F7160" s="7" t="n">
        <f aca="false">Sens!$E$7160+(glt_lic-Sens!$E$7160)*MIN(1,(Sens!F7112-base_fy)/n_conv)</f>
        <v>0.0479303589424807</v>
      </c>
      <c r="G7160" s="7" t="n">
        <f aca="false">Sens!$E$7160+(glt_lic-Sens!$E$7160)*MIN(1,(Sens!G7112-base_fy)/n_conv)</f>
        <v>0.0423442871539845</v>
      </c>
      <c r="H7160" s="7" t="n">
        <f aca="false">Sens!$E$7160+(glt_lic-Sens!$E$7160)*MIN(1,(Sens!H7112-base_fy)/n_conv)</f>
        <v>0.0367582153654884</v>
      </c>
      <c r="I7160" s="7" t="n">
        <f aca="false">Sens!$E$7160+(glt_lic-Sens!$E$7160)*MIN(1,(Sens!I7112-base_fy)/n_conv)</f>
        <v>0.0311721435769923</v>
      </c>
      <c r="J7160" s="7" t="n">
        <f aca="false">Sens!$E$7160+(glt_lic-Sens!$E$7160)*MIN(1,(Sens!J7112-base_fy)/n_conv)</f>
        <v>0.0255860717884961</v>
      </c>
      <c r="K7160" s="7" t="n">
        <f aca="false">Sens!$E$7160+(glt_lic-Sens!$E$7160)*MIN(1,(Sens!K7112-base_fy)/n_conv)</f>
        <v>0.02</v>
      </c>
    </row>
    <row r="7161" customFormat="false" ht="15" hidden="false" customHeight="false" outlineLevel="0" collapsed="false">
      <c r="A7161" s="0" t="s">
        <v>875</v>
      </c>
      <c r="B7161" s="0" t="s">
        <v>98</v>
      </c>
      <c r="D7161" s="6" t="n">
        <f aca="false">Q!L9</f>
        <v>18.417</v>
      </c>
      <c r="E7161" s="6" t="n">
        <f aca="false">Q!M9</f>
        <v>20.345</v>
      </c>
      <c r="F7161" s="6" t="n">
        <f aca="false">Sens!E7161*(1+Sens!F7162)</f>
        <v>22.3572203267814</v>
      </c>
      <c r="G7161" s="6" t="n">
        <f aca="false">Sens!F7161*(1+Sens!G7162)</f>
        <v>24.4392124437232</v>
      </c>
      <c r="H7161" s="6" t="n">
        <f aca="false">Sens!G7161*(1+Sens!H7162)</f>
        <v>26.5738052080665</v>
      </c>
      <c r="I7161" s="6" t="n">
        <f aca="false">Sens!H7161*(1+Sens!I7162)</f>
        <v>28.7412169166967</v>
      </c>
      <c r="J7161" s="6" t="n">
        <f aca="false">Sens!I7161*(1+Sens!J7162)</f>
        <v>30.9192545395413</v>
      </c>
      <c r="K7161" s="6" t="n">
        <f aca="false">Sens!J7161*(1+Sens!K7162)</f>
        <v>33.0836023573092</v>
      </c>
    </row>
    <row r="7162" customFormat="false" ht="15" hidden="false" customHeight="false" outlineLevel="0" collapsed="false">
      <c r="A7162" s="1" t="s">
        <v>866</v>
      </c>
      <c r="B7162" s="0" t="s">
        <v>129</v>
      </c>
      <c r="E7162" s="7" t="n">
        <f aca="false">Sens!E7161/Sens!D7161-1</f>
        <v>0.104685888038225</v>
      </c>
      <c r="F7162" s="7" t="n">
        <f aca="false">Sens!$E$7162+(glt_ind-Sens!$E$7162)*MIN(1,(Sens!F7112-base_fy)/n_conv)</f>
        <v>0.0989049066985211</v>
      </c>
      <c r="G7162" s="7" t="n">
        <f aca="false">Sens!$E$7162+(glt_ind-Sens!$E$7162)*MIN(1,(Sens!G7112-base_fy)/n_conv)</f>
        <v>0.0931239253588169</v>
      </c>
      <c r="H7162" s="7" t="n">
        <f aca="false">Sens!$E$7162+(glt_ind-Sens!$E$7162)*MIN(1,(Sens!H7112-base_fy)/n_conv)</f>
        <v>0.0873429440191127</v>
      </c>
      <c r="I7162" s="7" t="n">
        <f aca="false">Sens!$E$7162+(glt_ind-Sens!$E$7162)*MIN(1,(Sens!I7112-base_fy)/n_conv)</f>
        <v>0.0815619626794085</v>
      </c>
      <c r="J7162" s="7" t="n">
        <f aca="false">Sens!$E$7162+(glt_ind-Sens!$E$7162)*MIN(1,(Sens!J7112-base_fy)/n_conv)</f>
        <v>0.0757809813397042</v>
      </c>
      <c r="K7162" s="7" t="n">
        <f aca="false">Sens!$E$7162+(glt_ind-Sens!$E$7162)*MIN(1,(Sens!K7112-base_fy)/n_conv)</f>
        <v>0.07</v>
      </c>
    </row>
    <row r="7163" customFormat="false" ht="15" hidden="false" customHeight="false" outlineLevel="0" collapsed="false">
      <c r="A7163" s="0" t="s">
        <v>876</v>
      </c>
      <c r="B7163" s="0" t="s">
        <v>98</v>
      </c>
      <c r="D7163" s="6" t="n">
        <f aca="false">Q!L10</f>
        <v>7.76</v>
      </c>
      <c r="E7163" s="6" t="n">
        <f aca="false">Q!M10</f>
        <v>8.26</v>
      </c>
      <c r="F7163" s="6" t="n">
        <f aca="false">Sens!E7163*(1+Sens!F7164)</f>
        <v>8.79988041237113</v>
      </c>
      <c r="G7163" s="6" t="n">
        <f aca="false">Sens!F7163*(1+Sens!G7164)</f>
        <v>9.38321269125306</v>
      </c>
      <c r="H7163" s="6" t="n">
        <f aca="false">Sens!G7163*(1+Sens!H7164)</f>
        <v>10.0139193587476</v>
      </c>
      <c r="I7163" s="6" t="n">
        <f aca="false">Sens!H7163*(1+Sens!I7164)</f>
        <v>10.6963111830911</v>
      </c>
      <c r="J7163" s="6" t="n">
        <f aca="false">Sens!I7163*(1+Sens!J7164)</f>
        <v>11.4351285534696</v>
      </c>
      <c r="K7163" s="6" t="n">
        <f aca="false">Sens!J7163*(1+Sens!K7164)</f>
        <v>12.2355875522124</v>
      </c>
    </row>
    <row r="7164" customFormat="false" ht="15" hidden="false" customHeight="false" outlineLevel="0" collapsed="false">
      <c r="A7164" s="1" t="s">
        <v>866</v>
      </c>
      <c r="B7164" s="0" t="s">
        <v>129</v>
      </c>
      <c r="E7164" s="7" t="n">
        <f aca="false">Sens!E7163/Sens!D7163-1</f>
        <v>0.0644329896907216</v>
      </c>
      <c r="F7164" s="7" t="n">
        <f aca="false">Sens!$E$7164+(glt_fro-Sens!$E$7164)*MIN(1,(Sens!F7112-base_fy)/n_conv)</f>
        <v>0.065360824742268</v>
      </c>
      <c r="G7164" s="7" t="n">
        <f aca="false">Sens!$E$7164+(glt_fro-Sens!$E$7164)*MIN(1,(Sens!G7112-base_fy)/n_conv)</f>
        <v>0.0662886597938144</v>
      </c>
      <c r="H7164" s="7" t="n">
        <f aca="false">Sens!$E$7164+(glt_fro-Sens!$E$7164)*MIN(1,(Sens!H7112-base_fy)/n_conv)</f>
        <v>0.0672164948453608</v>
      </c>
      <c r="I7164" s="7" t="n">
        <f aca="false">Sens!$E$7164+(glt_fro-Sens!$E$7164)*MIN(1,(Sens!I7112-base_fy)/n_conv)</f>
        <v>0.0681443298969072</v>
      </c>
      <c r="J7164" s="7" t="n">
        <f aca="false">Sens!$E$7164+(glt_fro-Sens!$E$7164)*MIN(1,(Sens!J7112-base_fy)/n_conv)</f>
        <v>0.0690721649484536</v>
      </c>
      <c r="K7164" s="7" t="n">
        <f aca="false">Sens!$E$7164+(glt_fro-Sens!$E$7164)*MIN(1,(Sens!K7112-base_fy)/n_conv)</f>
        <v>0.07</v>
      </c>
    </row>
    <row r="7165" customFormat="false" ht="15" hidden="false" customHeight="false" outlineLevel="0" collapsed="false">
      <c r="A7165" s="0" t="s">
        <v>704</v>
      </c>
      <c r="B7165" s="0" t="s">
        <v>98</v>
      </c>
      <c r="D7165" s="6" t="n">
        <f aca="false">Sens!D7153+Sens!D7158+Sens!D7159+Sens!D7161+Sens!D7163</f>
        <v>218.783</v>
      </c>
      <c r="E7165" s="6" t="n">
        <f aca="false">Sens!E7153+Sens!E7158+Sens!E7159+Sens!E7161+Sens!E7163</f>
        <v>268.127</v>
      </c>
      <c r="F7165" s="6" t="n">
        <f aca="false">Sens!F7153+Sens!F7158+Sens!F7159+Sens!F7161+Sens!F7163</f>
        <v>336.665528251508</v>
      </c>
      <c r="G7165" s="6" t="n">
        <f aca="false">Sens!G7153+Sens!G7158+Sens!G7159+Sens!G7161+Sens!G7163</f>
        <v>411.672123059793</v>
      </c>
      <c r="H7165" s="6" t="n">
        <f aca="false">Sens!H7153+Sens!H7158+Sens!H7159+Sens!H7161+Sens!H7163</f>
        <v>487.996296004025</v>
      </c>
      <c r="I7165" s="6" t="n">
        <f aca="false">Sens!I7153+Sens!I7158+Sens!I7159+Sens!I7161+Sens!I7163</f>
        <v>557.603517626826</v>
      </c>
      <c r="J7165" s="6" t="n">
        <f aca="false">Sens!J7153+Sens!J7158+Sens!J7159+Sens!J7161+Sens!J7163</f>
        <v>613.75432414427</v>
      </c>
      <c r="K7165" s="6" t="n">
        <f aca="false">Sens!K7153+Sens!K7158+Sens!K7159+Sens!K7161+Sens!K7163</f>
        <v>658.141547813062</v>
      </c>
    </row>
    <row r="7166" customFormat="false" ht="15" hidden="false" customHeight="false" outlineLevel="0" collapsed="false">
      <c r="A7166" s="0" t="s">
        <v>877</v>
      </c>
      <c r="B7166" s="0" t="s">
        <v>98</v>
      </c>
      <c r="D7166" s="6" t="n">
        <f aca="false">Q!L13</f>
        <v>22.171</v>
      </c>
      <c r="E7166" s="6" t="n">
        <f aca="false">Q!M13</f>
        <v>24.835</v>
      </c>
      <c r="F7166" s="6" t="n">
        <f aca="false">Sens!E7166*(1+Sens!F7167)</f>
        <v>27.6114901218559</v>
      </c>
      <c r="G7166" s="6" t="n">
        <f aca="false">Sens!F7166*(1+Sens!G7167)</f>
        <v>30.4675667338515</v>
      </c>
      <c r="H7166" s="6" t="n">
        <f aca="false">Sens!G7166*(1+Sens!H7167)</f>
        <v>33.3643766955789</v>
      </c>
      <c r="I7166" s="6" t="n">
        <f aca="false">Sens!H7166*(1+Sens!I7167)</f>
        <v>36.2577016533691</v>
      </c>
      <c r="J7166" s="6" t="n">
        <f aca="false">Sens!I7166*(1+Sens!J7167)</f>
        <v>39.0988367952171</v>
      </c>
      <c r="K7166" s="6" t="n">
        <f aca="false">Sens!J7166*(1+Sens!K7167)</f>
        <v>41.8357553708823</v>
      </c>
    </row>
    <row r="7167" customFormat="false" ht="15" hidden="false" customHeight="false" outlineLevel="0" collapsed="false">
      <c r="A7167" s="1" t="s">
        <v>866</v>
      </c>
      <c r="B7167" s="0" t="s">
        <v>129</v>
      </c>
      <c r="E7167" s="7" t="n">
        <f aca="false">Sens!E7166/Sens!D7166-1</f>
        <v>0.120156961796942</v>
      </c>
      <c r="F7167" s="7" t="n">
        <f aca="false">Sens!$E$7167+(glt_srch-Sens!$E$7167)*MIN(1,(Sens!F7112-base_fy)/n_conv)</f>
        <v>0.111797468164118</v>
      </c>
      <c r="G7167" s="7" t="n">
        <f aca="false">Sens!$E$7167+(glt_srch-Sens!$E$7167)*MIN(1,(Sens!G7112-base_fy)/n_conv)</f>
        <v>0.103437974531295</v>
      </c>
      <c r="H7167" s="7" t="n">
        <f aca="false">Sens!$E$7167+(glt_srch-Sens!$E$7167)*MIN(1,(Sens!H7112-base_fy)/n_conv)</f>
        <v>0.095078480898471</v>
      </c>
      <c r="I7167" s="7" t="n">
        <f aca="false">Sens!$E$7167+(glt_srch-Sens!$E$7167)*MIN(1,(Sens!I7112-base_fy)/n_conv)</f>
        <v>0.0867189872656474</v>
      </c>
      <c r="J7167" s="7" t="n">
        <f aca="false">Sens!$E$7167+(glt_srch-Sens!$E$7167)*MIN(1,(Sens!J7112-base_fy)/n_conv)</f>
        <v>0.0783594936328237</v>
      </c>
      <c r="K7167" s="7" t="n">
        <f aca="false">Sens!$E$7167+(glt_srch-Sens!$E$7167)*MIN(1,(Sens!K7112-base_fy)/n_conv)</f>
        <v>0.07</v>
      </c>
    </row>
    <row r="7168" customFormat="false" ht="15" hidden="false" customHeight="false" outlineLevel="0" collapsed="false">
      <c r="A7168" s="0" t="s">
        <v>878</v>
      </c>
      <c r="B7168" s="0" t="s">
        <v>98</v>
      </c>
      <c r="D7168" s="6" t="n">
        <f aca="false">Q!L14</f>
        <v>23.455</v>
      </c>
      <c r="E7168" s="6" t="n">
        <f aca="false">Q!M14</f>
        <v>21.79</v>
      </c>
      <c r="F7168" s="6" t="n">
        <f aca="false">Sens!E7168*(1+Sens!F7169)</f>
        <v>20.5736277908051</v>
      </c>
      <c r="G7168" s="6" t="n">
        <f aca="false">Sens!F7168*(1+Sens!G7169)</f>
        <v>19.7371452817919</v>
      </c>
      <c r="H7168" s="6" t="n">
        <f aca="false">Sens!G7168*(1+Sens!H7169)</f>
        <v>19.2339764043138</v>
      </c>
      <c r="I7168" s="6" t="n">
        <f aca="false">Sens!H7168*(1+Sens!I7169)</f>
        <v>19.0353086852681</v>
      </c>
      <c r="J7168" s="6" t="n">
        <f aca="false">Sens!I7168*(1+Sens!J7169)</f>
        <v>19.1273539319129</v>
      </c>
      <c r="K7168" s="6" t="n">
        <f aca="false">Sens!J7168*(1+Sens!K7169)</f>
        <v>19.5099010105511</v>
      </c>
    </row>
    <row r="7169" customFormat="false" ht="15" hidden="false" customHeight="false" outlineLevel="0" collapsed="false">
      <c r="A7169" s="1" t="s">
        <v>866</v>
      </c>
      <c r="B7169" s="0" t="s">
        <v>129</v>
      </c>
      <c r="E7169" s="7" t="n">
        <f aca="false">Sens!E7168/Sens!D7168-1</f>
        <v>-0.0709869963760392</v>
      </c>
      <c r="F7169" s="7" t="n">
        <f aca="false">Sens!$E$7169+(glt_xbox-Sens!$E$7169)*MIN(1,(Sens!F7112-base_fy)/n_conv)</f>
        <v>-0.0558224969800327</v>
      </c>
      <c r="G7169" s="7" t="n">
        <f aca="false">Sens!$E$7169+(glt_xbox-Sens!$E$7169)*MIN(1,(Sens!G7112-base_fy)/n_conv)</f>
        <v>-0.0406579975840262</v>
      </c>
      <c r="H7169" s="7" t="n">
        <f aca="false">Sens!$E$7169+(glt_xbox-Sens!$E$7169)*MIN(1,(Sens!H7112-base_fy)/n_conv)</f>
        <v>-0.0254934981880196</v>
      </c>
      <c r="I7169" s="7" t="n">
        <f aca="false">Sens!$E$7169+(glt_xbox-Sens!$E$7169)*MIN(1,(Sens!I7112-base_fy)/n_conv)</f>
        <v>-0.0103289987920131</v>
      </c>
      <c r="J7169" s="7" t="n">
        <f aca="false">Sens!$E$7169+(glt_xbox-Sens!$E$7169)*MIN(1,(Sens!J7112-base_fy)/n_conv)</f>
        <v>0.00483550060399347</v>
      </c>
      <c r="K7169" s="7" t="n">
        <f aca="false">Sens!$E$7169+(glt_xbox-Sens!$E$7169)*MIN(1,(Sens!K7112-base_fy)/n_conv)</f>
        <v>0.02</v>
      </c>
    </row>
    <row r="7170" customFormat="false" ht="15" hidden="false" customHeight="false" outlineLevel="0" collapsed="false">
      <c r="A7170" s="0" t="s">
        <v>879</v>
      </c>
      <c r="B7170" s="0" t="s">
        <v>98</v>
      </c>
      <c r="D7170" s="6" t="n">
        <f aca="false">Q!L15</f>
        <v>17.315</v>
      </c>
      <c r="E7170" s="6" t="n">
        <f aca="false">Q!M15</f>
        <v>17.087</v>
      </c>
      <c r="F7170" s="6" t="n">
        <f aca="false">Sens!E7170*(1+Sens!F7171)</f>
        <v>16.9564585436519</v>
      </c>
      <c r="G7170" s="6" t="n">
        <f aca="false">Sens!F7170*(1+Sens!G7171)</f>
        <v>16.9206490624268</v>
      </c>
      <c r="H7170" s="6" t="n">
        <f aca="false">Sens!G7170*(1+Sens!H7171)</f>
        <v>16.9784519149849</v>
      </c>
      <c r="I7170" s="6" t="n">
        <f aca="false">Sens!H7170*(1+Sens!I7171)</f>
        <v>17.1303084701817</v>
      </c>
      <c r="J7170" s="6" t="n">
        <f aca="false">Sens!I7170*(1+Sens!J7171)</f>
        <v>17.3782189407267</v>
      </c>
      <c r="K7170" s="6" t="n">
        <f aca="false">Sens!J7170*(1+Sens!K7171)</f>
        <v>17.7257833195413</v>
      </c>
    </row>
    <row r="7171" customFormat="false" ht="15" hidden="false" customHeight="false" outlineLevel="0" collapsed="false">
      <c r="A7171" s="1" t="s">
        <v>866</v>
      </c>
      <c r="B7171" s="0" t="s">
        <v>129</v>
      </c>
      <c r="E7171" s="7" t="n">
        <f aca="false">Sens!E7170/Sens!D7170-1</f>
        <v>-0.0131677736066995</v>
      </c>
      <c r="F7171" s="7" t="n">
        <f aca="false">Sens!$E$7171+(glt_win-Sens!$E$7171)*MIN(1,(Sens!F7112-base_fy)/n_conv)</f>
        <v>-0.00763981133891627</v>
      </c>
      <c r="G7171" s="7" t="n">
        <f aca="false">Sens!$E$7171+(glt_win-Sens!$E$7171)*MIN(1,(Sens!G7112-base_fy)/n_conv)</f>
        <v>-0.00211184907113301</v>
      </c>
      <c r="H7171" s="7" t="n">
        <f aca="false">Sens!$E$7171+(glt_win-Sens!$E$7171)*MIN(1,(Sens!H7112-base_fy)/n_conv)</f>
        <v>0.00341611319665024</v>
      </c>
      <c r="I7171" s="7" t="n">
        <f aca="false">Sens!$E$7171+(glt_win-Sens!$E$7171)*MIN(1,(Sens!I7112-base_fy)/n_conv)</f>
        <v>0.00894407546443349</v>
      </c>
      <c r="J7171" s="7" t="n">
        <f aca="false">Sens!$E$7171+(glt_win-Sens!$E$7171)*MIN(1,(Sens!J7112-base_fy)/n_conv)</f>
        <v>0.0144720377322168</v>
      </c>
      <c r="K7171" s="7" t="n">
        <f aca="false">Sens!$E$7171+(glt_win-Sens!$E$7171)*MIN(1,(Sens!K7112-base_fy)/n_conv)</f>
        <v>0.02</v>
      </c>
    </row>
    <row r="7172" customFormat="false" ht="15" hidden="false" customHeight="false" outlineLevel="0" collapsed="false">
      <c r="A7172" s="0" t="s">
        <v>718</v>
      </c>
      <c r="B7172" s="0" t="s">
        <v>98</v>
      </c>
      <c r="D7172" s="6" t="n">
        <f aca="false">Sens!D7166+Sens!D7168+Sens!D7170</f>
        <v>62.941</v>
      </c>
      <c r="E7172" s="6" t="n">
        <f aca="false">Sens!E7166+Sens!E7168+Sens!E7170</f>
        <v>63.712</v>
      </c>
      <c r="F7172" s="6" t="n">
        <f aca="false">Sens!F7166+Sens!F7168+Sens!F7170</f>
        <v>65.1415764563129</v>
      </c>
      <c r="G7172" s="6" t="n">
        <f aca="false">Sens!G7166+Sens!G7168+Sens!G7170</f>
        <v>67.1253610780702</v>
      </c>
      <c r="H7172" s="6" t="n">
        <f aca="false">Sens!H7166+Sens!H7168+Sens!H7170</f>
        <v>69.5768050148776</v>
      </c>
      <c r="I7172" s="6" t="n">
        <f aca="false">Sens!I7166+Sens!I7168+Sens!I7170</f>
        <v>72.4233188088189</v>
      </c>
      <c r="J7172" s="6" t="n">
        <f aca="false">Sens!J7166+Sens!J7168+Sens!J7170</f>
        <v>75.6044096678567</v>
      </c>
      <c r="K7172" s="6" t="n">
        <f aca="false">Sens!K7166+Sens!K7168+Sens!K7170</f>
        <v>79.0714397009747</v>
      </c>
    </row>
    <row r="7173" customFormat="false" ht="15" hidden="false" customHeight="false" outlineLevel="0" collapsed="false">
      <c r="A7173" s="1" t="s">
        <v>880</v>
      </c>
      <c r="B7173" s="0" t="s">
        <v>98</v>
      </c>
      <c r="D7173" s="6" t="n">
        <f aca="false">Sens!D7165+Sens!D7172</f>
        <v>281.724</v>
      </c>
      <c r="E7173" s="6" t="n">
        <f aca="false">Sens!E7165+Sens!E7172</f>
        <v>331.839</v>
      </c>
      <c r="F7173" s="6" t="n">
        <f aca="false">Sens!F7165+Sens!F7172</f>
        <v>401.807104707821</v>
      </c>
      <c r="G7173" s="6" t="n">
        <f aca="false">Sens!G7165+Sens!G7172</f>
        <v>478.797484137863</v>
      </c>
      <c r="H7173" s="6" t="n">
        <f aca="false">Sens!H7165+Sens!H7172</f>
        <v>557.573101018903</v>
      </c>
      <c r="I7173" s="6" t="n">
        <f aca="false">Sens!I7165+Sens!I7172</f>
        <v>630.026836435645</v>
      </c>
      <c r="J7173" s="6" t="n">
        <f aca="false">Sens!J7165+Sens!J7172</f>
        <v>689.358733812127</v>
      </c>
      <c r="K7173" s="6" t="n">
        <f aca="false">Sens!K7165+Sens!K7172</f>
        <v>737.212987514037</v>
      </c>
    </row>
    <row r="7174" customFormat="false" ht="15" hidden="false" customHeight="false" outlineLevel="0" collapsed="false">
      <c r="A7174" s="23" t="s">
        <v>881</v>
      </c>
      <c r="B7174" s="30" t="s">
        <v>98</v>
      </c>
      <c r="C7174" s="30"/>
      <c r="D7174" s="24" t="n">
        <f aca="false">(Sens!D7153+Sens!D7158+Sens!D7159+Sens!D7161+Sens!D7163-Sens!D7165)+(Sens!D7166+Sens!D7168+Sens!D7170-Sens!D7172)+(Sens!D7165-Q!L5)+(Sens!D7172-Q!L12)+(Sens!D7153-Q!L6)+(Sens!D7158-Q!L7)</f>
        <v>0</v>
      </c>
      <c r="E7174" s="24" t="n">
        <f aca="false">(Sens!E7153+Sens!E7158+Sens!E7159+Sens!E7161+Sens!E7163-Sens!E7165)+(Sens!E7166+Sens!E7168+Sens!E7170-Sens!E7172)+(Sens!E7165-Q!M5)+(Sens!E7172-Q!M12)+(Sens!E7153-Q!M6)+(Sens!E7158-Q!M7)</f>
        <v>0</v>
      </c>
      <c r="F7174" s="24" t="n">
        <f aca="false">(Sens!F7153+Sens!F7158+Sens!F7159+Sens!F7161+Sens!F7163-Sens!F7165)+(Sens!F7166+Sens!F7168+Sens!F7170-Sens!F7172)</f>
        <v>0</v>
      </c>
      <c r="G7174" s="24" t="n">
        <f aca="false">(Sens!G7153+Sens!G7158+Sens!G7159+Sens!G7161+Sens!G7163-Sens!G7165)+(Sens!G7166+Sens!G7168+Sens!G7170-Sens!G7172)</f>
        <v>0</v>
      </c>
      <c r="H7174" s="24" t="n">
        <f aca="false">(Sens!H7153+Sens!H7158+Sens!H7159+Sens!H7161+Sens!H7163-Sens!H7165)+(Sens!H7166+Sens!H7168+Sens!H7170-Sens!H7172)</f>
        <v>0</v>
      </c>
      <c r="I7174" s="24" t="n">
        <f aca="false">(Sens!I7153+Sens!I7158+Sens!I7159+Sens!I7161+Sens!I7163-Sens!I7165)+(Sens!I7166+Sens!I7168+Sens!I7170-Sens!I7172)</f>
        <v>0</v>
      </c>
      <c r="J7174" s="24" t="n">
        <f aca="false">(Sens!J7153+Sens!J7158+Sens!J7159+Sens!J7161+Sens!J7163-Sens!J7165)+(Sens!J7166+Sens!J7168+Sens!J7170-Sens!J7172)</f>
        <v>0</v>
      </c>
      <c r="K7174" s="24" t="n">
        <f aca="false">(Sens!K7153+Sens!K7158+Sens!K7159+Sens!K7161+Sens!K7163-Sens!K7165)+(Sens!K7166+Sens!K7168+Sens!K7170-Sens!K7172)</f>
        <v>0</v>
      </c>
    </row>
    <row r="7175" customFormat="false" ht="17.15" hidden="false" customHeight="false" outlineLevel="0" collapsed="false">
      <c r="A7175" s="3" t="s">
        <v>1421</v>
      </c>
    </row>
    <row r="7176" customFormat="false" ht="15" hidden="false" customHeight="false" outlineLevel="0" collapsed="false">
      <c r="A7176" s="4" t="s">
        <v>43</v>
      </c>
      <c r="B7176" s="4" t="s">
        <v>65</v>
      </c>
      <c r="C7176" s="20" t="s">
        <v>788</v>
      </c>
      <c r="D7176" s="20" t="s">
        <v>789</v>
      </c>
      <c r="E7176" s="20" t="s">
        <v>790</v>
      </c>
      <c r="F7176" s="20" t="s">
        <v>791</v>
      </c>
      <c r="G7176" s="20" t="s">
        <v>792</v>
      </c>
      <c r="H7176" s="20" t="s">
        <v>793</v>
      </c>
      <c r="I7176" s="20" t="s">
        <v>794</v>
      </c>
      <c r="J7176" s="20" t="s">
        <v>795</v>
      </c>
      <c r="K7176" s="20" t="s">
        <v>796</v>
      </c>
      <c r="L7176" s="4" t="s">
        <v>47</v>
      </c>
    </row>
    <row r="7177" customFormat="false" ht="15" hidden="false" customHeight="false" outlineLevel="0" collapsed="false">
      <c r="A7177" s="0" t="s">
        <v>867</v>
      </c>
      <c r="B7177" s="0" t="s">
        <v>98</v>
      </c>
      <c r="D7177" s="6" t="n">
        <f aca="false">Sens!D7153</f>
        <v>72.61</v>
      </c>
      <c r="E7177" s="6" t="n">
        <f aca="false">Sens!E7153</f>
        <v>101.938</v>
      </c>
      <c r="F7177" s="6" t="n">
        <f aca="false">Sens!F7153</f>
        <v>145.143956312325</v>
      </c>
      <c r="G7177" s="6" t="n">
        <f aca="false">Sens!G7153</f>
        <v>196.478966522364</v>
      </c>
      <c r="H7177" s="6" t="n">
        <f aca="false">Sens!H7153</f>
        <v>249.10761332251</v>
      </c>
      <c r="I7177" s="6" t="n">
        <f aca="false">Sens!I7153</f>
        <v>297.09216264734</v>
      </c>
      <c r="J7177" s="6" t="n">
        <f aca="false">Sens!J7153</f>
        <v>334.013427040101</v>
      </c>
      <c r="K7177" s="6" t="n">
        <f aca="false">Sens!K7153</f>
        <v>360.097478472886</v>
      </c>
    </row>
    <row r="7178" customFormat="false" ht="17.15" hidden="false" customHeight="false" outlineLevel="0" collapsed="false">
      <c r="A7178" s="0" t="s">
        <v>864</v>
      </c>
      <c r="B7178" s="0" t="s">
        <v>98</v>
      </c>
      <c r="D7178" s="6" t="n">
        <f aca="false">Sens!D7150</f>
        <v>12.9359794422418</v>
      </c>
      <c r="E7178" s="6" t="n">
        <f aca="false">Sens!E7150</f>
        <v>27.8095064661409</v>
      </c>
      <c r="F7178" s="6" t="n">
        <f aca="false">Sens!F7150</f>
        <v>55.0640065749585</v>
      </c>
      <c r="G7178" s="6" t="n">
        <f aca="false">Sens!G7150</f>
        <v>89.4505413190538</v>
      </c>
      <c r="H7178" s="6" t="n">
        <f aca="false">Sens!H7150</f>
        <v>124.835630736874</v>
      </c>
      <c r="I7178" s="6" t="n">
        <f aca="false">Sens!I7150</f>
        <v>156.158460265485</v>
      </c>
      <c r="J7178" s="6" t="n">
        <f aca="false">Sens!J7150</f>
        <v>177.99455972577</v>
      </c>
      <c r="K7178" s="6" t="n">
        <f aca="false">Sens!K7150</f>
        <v>191.597101773408</v>
      </c>
    </row>
    <row r="7179" customFormat="false" ht="17.15" hidden="false" customHeight="false" outlineLevel="0" collapsed="false">
      <c r="A7179" s="0" t="s">
        <v>892</v>
      </c>
      <c r="B7179" s="0" t="s">
        <v>98</v>
      </c>
      <c r="D7179" s="6" t="n">
        <f aca="false">Sens!D7151</f>
        <v>59.6740205577583</v>
      </c>
      <c r="E7179" s="6" t="n">
        <f aca="false">Sens!E7151</f>
        <v>74.1284935338591</v>
      </c>
      <c r="F7179" s="6" t="n">
        <f aca="false">Sens!F7151</f>
        <v>90.0799497373663</v>
      </c>
      <c r="G7179" s="6" t="n">
        <f aca="false">Sens!G7151</f>
        <v>107.02842520331</v>
      </c>
      <c r="H7179" s="6" t="n">
        <f aca="false">Sens!H7151</f>
        <v>124.271982585636</v>
      </c>
      <c r="I7179" s="6" t="n">
        <f aca="false">Sens!I7151</f>
        <v>140.933702381855</v>
      </c>
      <c r="J7179" s="6" t="n">
        <f aca="false">Sens!J7151</f>
        <v>156.018867314332</v>
      </c>
      <c r="K7179" s="6" t="n">
        <f aca="false">Sens!K7151</f>
        <v>168.500376699478</v>
      </c>
    </row>
    <row r="7180" customFormat="false" ht="15" hidden="false" customHeight="false" outlineLevel="0" collapsed="false">
      <c r="A7180" s="0" t="s">
        <v>873</v>
      </c>
      <c r="B7180" s="0" t="s">
        <v>98</v>
      </c>
      <c r="D7180" s="6" t="n">
        <f aca="false">Sens!D7158</f>
        <v>84.605</v>
      </c>
      <c r="E7180" s="6" t="n">
        <f aca="false">Sens!E7158</f>
        <v>100.299</v>
      </c>
      <c r="F7180" s="6" t="n">
        <f aca="false">Sens!F7158</f>
        <v>121.29238776686</v>
      </c>
      <c r="G7180" s="6" t="n">
        <f aca="false">Sens!G7158</f>
        <v>140.644168448684</v>
      </c>
      <c r="H7180" s="6" t="n">
        <f aca="false">Sens!H7158</f>
        <v>160.077359388781</v>
      </c>
      <c r="I7180" s="6" t="n">
        <f aca="false">Sens!I7158</f>
        <v>177.534028071957</v>
      </c>
      <c r="J7180" s="6" t="n">
        <f aca="false">Sens!J7158</f>
        <v>192.732702785465</v>
      </c>
      <c r="K7180" s="6" t="n">
        <f aca="false">Sens!K7158</f>
        <v>207.177991980448</v>
      </c>
    </row>
    <row r="7181" customFormat="false" ht="17.15" hidden="false" customHeight="false" outlineLevel="0" collapsed="false">
      <c r="A7181" s="0" t="s">
        <v>893</v>
      </c>
      <c r="B7181" s="0" t="s">
        <v>98</v>
      </c>
      <c r="D7181" s="6" t="n">
        <f aca="false">Sens!D7156</f>
        <v>83.705</v>
      </c>
      <c r="E7181" s="6" t="n">
        <f aca="false">Sens!E7156</f>
        <v>95.049</v>
      </c>
      <c r="F7181" s="6" t="n">
        <f aca="false">Sens!F7156</f>
        <v>106.89238776686</v>
      </c>
      <c r="G7181" s="6" t="n">
        <f aca="false">Sens!G7156</f>
        <v>119.044168448684</v>
      </c>
      <c r="H7181" s="6" t="n">
        <f aca="false">Sens!H7156</f>
        <v>131.277359388781</v>
      </c>
      <c r="I7181" s="6" t="n">
        <f aca="false">Sens!I7156</f>
        <v>143.334028071957</v>
      </c>
      <c r="J7181" s="6" t="n">
        <f aca="false">Sens!J7156</f>
        <v>154.932702785465</v>
      </c>
      <c r="K7181" s="6" t="n">
        <f aca="false">Sens!K7156</f>
        <v>165.777991980448</v>
      </c>
    </row>
    <row r="7182" customFormat="false" ht="17.15" hidden="false" customHeight="false" outlineLevel="0" collapsed="false">
      <c r="A7182" s="0" t="s">
        <v>894</v>
      </c>
      <c r="B7182" s="0" t="s">
        <v>98</v>
      </c>
      <c r="D7182" s="6" t="n">
        <f aca="false">Sens!D7155</f>
        <v>0.9</v>
      </c>
      <c r="E7182" s="6" t="n">
        <f aca="false">Sens!E7155</f>
        <v>5.25</v>
      </c>
      <c r="F7182" s="6" t="n">
        <f aca="false">Sens!F7155</f>
        <v>14.4</v>
      </c>
      <c r="G7182" s="6" t="n">
        <f aca="false">Sens!G7155</f>
        <v>21.6</v>
      </c>
      <c r="H7182" s="6" t="n">
        <f aca="false">Sens!H7155</f>
        <v>28.8</v>
      </c>
      <c r="I7182" s="6" t="n">
        <f aca="false">Sens!I7155</f>
        <v>34.2</v>
      </c>
      <c r="J7182" s="6" t="n">
        <f aca="false">Sens!J7155</f>
        <v>37.8</v>
      </c>
      <c r="K7182" s="6" t="n">
        <f aca="false">Sens!K7155</f>
        <v>41.4</v>
      </c>
    </row>
    <row r="7183" customFormat="false" ht="15" hidden="false" customHeight="false" outlineLevel="0" collapsed="false">
      <c r="A7183" s="0" t="s">
        <v>874</v>
      </c>
      <c r="B7183" s="0" t="s">
        <v>98</v>
      </c>
      <c r="D7183" s="6" t="n">
        <f aca="false">Sens!D7159</f>
        <v>35.391</v>
      </c>
      <c r="E7183" s="6" t="n">
        <f aca="false">Sens!E7159</f>
        <v>37.285</v>
      </c>
      <c r="F7183" s="6" t="n">
        <f aca="false">Sens!F7159</f>
        <v>39.0720834331704</v>
      </c>
      <c r="G7183" s="6" t="n">
        <f aca="false">Sens!G7159</f>
        <v>40.726562953769</v>
      </c>
      <c r="H7183" s="6" t="n">
        <f aca="false">Sens!H7159</f>
        <v>42.2235987259198</v>
      </c>
      <c r="I7183" s="6" t="n">
        <f aca="false">Sens!I7159</f>
        <v>43.5397988077414</v>
      </c>
      <c r="J7183" s="6" t="n">
        <f aca="false">Sens!J7159</f>
        <v>44.653811225693</v>
      </c>
      <c r="K7183" s="6" t="n">
        <f aca="false">Sens!K7159</f>
        <v>45.5468874502068</v>
      </c>
    </row>
    <row r="7184" customFormat="false" ht="15" hidden="false" customHeight="false" outlineLevel="0" collapsed="false">
      <c r="A7184" s="0" t="s">
        <v>875</v>
      </c>
      <c r="B7184" s="0" t="s">
        <v>98</v>
      </c>
      <c r="D7184" s="6" t="n">
        <f aca="false">Sens!D7161</f>
        <v>18.417</v>
      </c>
      <c r="E7184" s="6" t="n">
        <f aca="false">Sens!E7161</f>
        <v>20.345</v>
      </c>
      <c r="F7184" s="6" t="n">
        <f aca="false">Sens!F7161</f>
        <v>22.3572203267814</v>
      </c>
      <c r="G7184" s="6" t="n">
        <f aca="false">Sens!G7161</f>
        <v>24.4392124437232</v>
      </c>
      <c r="H7184" s="6" t="n">
        <f aca="false">Sens!H7161</f>
        <v>26.5738052080665</v>
      </c>
      <c r="I7184" s="6" t="n">
        <f aca="false">Sens!I7161</f>
        <v>28.7412169166967</v>
      </c>
      <c r="J7184" s="6" t="n">
        <f aca="false">Sens!J7161</f>
        <v>30.9192545395413</v>
      </c>
      <c r="K7184" s="6" t="n">
        <f aca="false">Sens!K7161</f>
        <v>33.0836023573092</v>
      </c>
    </row>
    <row r="7185" customFormat="false" ht="15" hidden="false" customHeight="false" outlineLevel="0" collapsed="false">
      <c r="A7185" s="0" t="s">
        <v>876</v>
      </c>
      <c r="B7185" s="0" t="s">
        <v>98</v>
      </c>
      <c r="D7185" s="6" t="n">
        <f aca="false">Sens!D7163</f>
        <v>7.76</v>
      </c>
      <c r="E7185" s="6" t="n">
        <f aca="false">Sens!E7163</f>
        <v>8.26</v>
      </c>
      <c r="F7185" s="6" t="n">
        <f aca="false">Sens!F7163</f>
        <v>8.79988041237113</v>
      </c>
      <c r="G7185" s="6" t="n">
        <f aca="false">Sens!G7163</f>
        <v>9.38321269125306</v>
      </c>
      <c r="H7185" s="6" t="n">
        <f aca="false">Sens!H7163</f>
        <v>10.0139193587476</v>
      </c>
      <c r="I7185" s="6" t="n">
        <f aca="false">Sens!I7163</f>
        <v>10.6963111830911</v>
      </c>
      <c r="J7185" s="6" t="n">
        <f aca="false">Sens!J7163</f>
        <v>11.4351285534696</v>
      </c>
      <c r="K7185" s="6" t="n">
        <f aca="false">Sens!K7163</f>
        <v>12.2355875522124</v>
      </c>
    </row>
    <row r="7186" customFormat="false" ht="15" hidden="false" customHeight="false" outlineLevel="0" collapsed="false">
      <c r="A7186" s="0" t="s">
        <v>704</v>
      </c>
      <c r="B7186" s="0" t="s">
        <v>98</v>
      </c>
      <c r="D7186" s="6" t="n">
        <f aca="false">Sens!D7165</f>
        <v>218.783</v>
      </c>
      <c r="E7186" s="6" t="n">
        <f aca="false">Sens!E7165</f>
        <v>268.127</v>
      </c>
      <c r="F7186" s="6" t="n">
        <f aca="false">Sens!F7165</f>
        <v>336.665528251508</v>
      </c>
      <c r="G7186" s="6" t="n">
        <f aca="false">Sens!G7165</f>
        <v>411.672123059793</v>
      </c>
      <c r="H7186" s="6" t="n">
        <f aca="false">Sens!H7165</f>
        <v>487.996296004025</v>
      </c>
      <c r="I7186" s="6" t="n">
        <f aca="false">Sens!I7165</f>
        <v>557.603517626826</v>
      </c>
      <c r="J7186" s="6" t="n">
        <f aca="false">Sens!J7165</f>
        <v>613.75432414427</v>
      </c>
      <c r="K7186" s="6" t="n">
        <f aca="false">Sens!K7165</f>
        <v>658.141547813062</v>
      </c>
    </row>
    <row r="7187" customFormat="false" ht="15" hidden="false" customHeight="false" outlineLevel="0" collapsed="false">
      <c r="A7187" s="0" t="s">
        <v>877</v>
      </c>
      <c r="B7187" s="0" t="s">
        <v>98</v>
      </c>
      <c r="D7187" s="6" t="n">
        <f aca="false">Sens!D7166</f>
        <v>22.171</v>
      </c>
      <c r="E7187" s="6" t="n">
        <f aca="false">Sens!E7166</f>
        <v>24.835</v>
      </c>
      <c r="F7187" s="6" t="n">
        <f aca="false">Sens!F7166</f>
        <v>27.6114901218559</v>
      </c>
      <c r="G7187" s="6" t="n">
        <f aca="false">Sens!G7166</f>
        <v>30.4675667338515</v>
      </c>
      <c r="H7187" s="6" t="n">
        <f aca="false">Sens!H7166</f>
        <v>33.3643766955789</v>
      </c>
      <c r="I7187" s="6" t="n">
        <f aca="false">Sens!I7166</f>
        <v>36.2577016533691</v>
      </c>
      <c r="J7187" s="6" t="n">
        <f aca="false">Sens!J7166</f>
        <v>39.0988367952171</v>
      </c>
      <c r="K7187" s="6" t="n">
        <f aca="false">Sens!K7166</f>
        <v>41.8357553708823</v>
      </c>
    </row>
    <row r="7188" customFormat="false" ht="15" hidden="false" customHeight="false" outlineLevel="0" collapsed="false">
      <c r="A7188" s="0" t="s">
        <v>878</v>
      </c>
      <c r="B7188" s="0" t="s">
        <v>98</v>
      </c>
      <c r="D7188" s="6" t="n">
        <f aca="false">Sens!D7168</f>
        <v>23.455</v>
      </c>
      <c r="E7188" s="6" t="n">
        <f aca="false">Sens!E7168</f>
        <v>21.79</v>
      </c>
      <c r="F7188" s="6" t="n">
        <f aca="false">Sens!F7168</f>
        <v>20.5736277908051</v>
      </c>
      <c r="G7188" s="6" t="n">
        <f aca="false">Sens!G7168</f>
        <v>19.7371452817919</v>
      </c>
      <c r="H7188" s="6" t="n">
        <f aca="false">Sens!H7168</f>
        <v>19.2339764043138</v>
      </c>
      <c r="I7188" s="6" t="n">
        <f aca="false">Sens!I7168</f>
        <v>19.0353086852681</v>
      </c>
      <c r="J7188" s="6" t="n">
        <f aca="false">Sens!J7168</f>
        <v>19.1273539319129</v>
      </c>
      <c r="K7188" s="6" t="n">
        <f aca="false">Sens!K7168</f>
        <v>19.5099010105511</v>
      </c>
    </row>
    <row r="7189" customFormat="false" ht="15" hidden="false" customHeight="false" outlineLevel="0" collapsed="false">
      <c r="A7189" s="0" t="s">
        <v>879</v>
      </c>
      <c r="B7189" s="0" t="s">
        <v>98</v>
      </c>
      <c r="D7189" s="6" t="n">
        <f aca="false">Sens!D7170</f>
        <v>17.315</v>
      </c>
      <c r="E7189" s="6" t="n">
        <f aca="false">Sens!E7170</f>
        <v>17.087</v>
      </c>
      <c r="F7189" s="6" t="n">
        <f aca="false">Sens!F7170</f>
        <v>16.9564585436519</v>
      </c>
      <c r="G7189" s="6" t="n">
        <f aca="false">Sens!G7170</f>
        <v>16.9206490624268</v>
      </c>
      <c r="H7189" s="6" t="n">
        <f aca="false">Sens!H7170</f>
        <v>16.9784519149849</v>
      </c>
      <c r="I7189" s="6" t="n">
        <f aca="false">Sens!I7170</f>
        <v>17.1303084701817</v>
      </c>
      <c r="J7189" s="6" t="n">
        <f aca="false">Sens!J7170</f>
        <v>17.3782189407267</v>
      </c>
      <c r="K7189" s="6" t="n">
        <f aca="false">Sens!K7170</f>
        <v>17.7257833195413</v>
      </c>
    </row>
    <row r="7190" customFormat="false" ht="15" hidden="false" customHeight="false" outlineLevel="0" collapsed="false">
      <c r="A7190" s="0" t="s">
        <v>718</v>
      </c>
      <c r="B7190" s="0" t="s">
        <v>98</v>
      </c>
      <c r="D7190" s="6" t="n">
        <f aca="false">Sens!D7172</f>
        <v>62.941</v>
      </c>
      <c r="E7190" s="6" t="n">
        <f aca="false">Sens!E7172</f>
        <v>63.712</v>
      </c>
      <c r="F7190" s="6" t="n">
        <f aca="false">Sens!F7172</f>
        <v>65.1415764563129</v>
      </c>
      <c r="G7190" s="6" t="n">
        <f aca="false">Sens!G7172</f>
        <v>67.1253610780702</v>
      </c>
      <c r="H7190" s="6" t="n">
        <f aca="false">Sens!H7172</f>
        <v>69.5768050148776</v>
      </c>
      <c r="I7190" s="6" t="n">
        <f aca="false">Sens!I7172</f>
        <v>72.4233188088189</v>
      </c>
      <c r="J7190" s="6" t="n">
        <f aca="false">Sens!J7172</f>
        <v>75.6044096678567</v>
      </c>
      <c r="K7190" s="6" t="n">
        <f aca="false">Sens!K7172</f>
        <v>79.0714397009747</v>
      </c>
    </row>
    <row r="7191" customFormat="false" ht="15" hidden="false" customHeight="false" outlineLevel="0" collapsed="false">
      <c r="A7191" s="1" t="s">
        <v>895</v>
      </c>
      <c r="B7191" s="0" t="s">
        <v>98</v>
      </c>
      <c r="D7191" s="6" t="n">
        <f aca="false">Sens!D7173</f>
        <v>281.724</v>
      </c>
      <c r="E7191" s="6" t="n">
        <f aca="false">Sens!E7173</f>
        <v>331.839</v>
      </c>
      <c r="F7191" s="6" t="n">
        <f aca="false">Sens!F7173</f>
        <v>401.807104707821</v>
      </c>
      <c r="G7191" s="6" t="n">
        <f aca="false">Sens!G7173</f>
        <v>478.797484137863</v>
      </c>
      <c r="H7191" s="6" t="n">
        <f aca="false">Sens!H7173</f>
        <v>557.573101018903</v>
      </c>
      <c r="I7191" s="6" t="n">
        <f aca="false">Sens!I7173</f>
        <v>630.026836435645</v>
      </c>
      <c r="J7191" s="6" t="n">
        <f aca="false">Sens!J7173</f>
        <v>689.358733812127</v>
      </c>
      <c r="K7191" s="6" t="n">
        <f aca="false">Sens!K7173</f>
        <v>737.212987514037</v>
      </c>
    </row>
    <row r="7192" customFormat="false" ht="15" hidden="false" customHeight="false" outlineLevel="0" collapsed="false">
      <c r="A7192" s="1" t="s">
        <v>896</v>
      </c>
      <c r="B7192" s="0" t="s">
        <v>129</v>
      </c>
      <c r="E7192" s="7" t="n">
        <f aca="false">Sens!E7191/Sens!D7191-1</f>
        <v>0.177886867998467</v>
      </c>
      <c r="F7192" s="7" t="n">
        <f aca="false">Sens!F7191/Sens!E7191-1</f>
        <v>0.210849552668072</v>
      </c>
      <c r="G7192" s="7" t="n">
        <f aca="false">Sens!G7191/Sens!F7191-1</f>
        <v>0.191610298892119</v>
      </c>
      <c r="H7192" s="7" t="n">
        <f aca="false">Sens!H7191/Sens!G7191-1</f>
        <v>0.16452805098357</v>
      </c>
      <c r="I7192" s="7" t="n">
        <f aca="false">Sens!I7191/Sens!H7191-1</f>
        <v>0.129944818507817</v>
      </c>
      <c r="J7192" s="7" t="n">
        <f aca="false">Sens!J7191/Sens!I7191-1</f>
        <v>0.0941736033216463</v>
      </c>
      <c r="K7192" s="7" t="n">
        <f aca="false">Sens!K7191/Sens!J7191-1</f>
        <v>0.0694185064389881</v>
      </c>
    </row>
    <row r="7193" customFormat="false" ht="17.15" hidden="false" customHeight="false" outlineLevel="0" collapsed="false">
      <c r="A7193" s="23" t="s">
        <v>897</v>
      </c>
      <c r="B7193" s="30" t="s">
        <v>98</v>
      </c>
      <c r="C7193" s="30"/>
      <c r="D7193" s="24" t="n">
        <f aca="false">(Sens!D7186+Sens!D7190-Sens!D7191)+(Sens!D7178+Sens!D7179-Sens!D7177)+(Sens!D7181+Sens!D7182-Sens!D7180)+(Sens!D7191-Q!L18)</f>
        <v>0</v>
      </c>
      <c r="E7193" s="24" t="n">
        <f aca="false">(Sens!E7186+Sens!E7190-Sens!E7191)+(Sens!E7178+Sens!E7179-Sens!E7177)+(Sens!E7181+Sens!E7182-Sens!E7180)+(Sens!E7191-Q!M18)</f>
        <v>0</v>
      </c>
      <c r="F7193" s="24" t="n">
        <f aca="false">(Sens!F7186+Sens!F7190-Sens!F7191)+(Sens!F7178+Sens!F7179-Sens!F7177)+(Sens!F7181+Sens!F7182-Sens!F7180)</f>
        <v>0</v>
      </c>
      <c r="G7193" s="24" t="n">
        <f aca="false">(Sens!G7186+Sens!G7190-Sens!G7191)+(Sens!G7178+Sens!G7179-Sens!G7177)+(Sens!G7181+Sens!G7182-Sens!G7180)</f>
        <v>0</v>
      </c>
      <c r="H7193" s="24" t="n">
        <f aca="false">(Sens!H7186+Sens!H7190-Sens!H7191)+(Sens!H7178+Sens!H7179-Sens!H7177)+(Sens!H7181+Sens!H7182-Sens!H7180)</f>
        <v>0</v>
      </c>
      <c r="I7193" s="24" t="n">
        <f aca="false">(Sens!I7186+Sens!I7190-Sens!I7191)+(Sens!I7178+Sens!I7179-Sens!I7177)+(Sens!I7181+Sens!I7182-Sens!I7180)</f>
        <v>0</v>
      </c>
      <c r="J7193" s="24" t="n">
        <f aca="false">(Sens!J7186+Sens!J7190-Sens!J7191)+(Sens!J7178+Sens!J7179-Sens!J7177)+(Sens!J7181+Sens!J7182-Sens!J7180)</f>
        <v>0</v>
      </c>
      <c r="K7193" s="24" t="n">
        <f aca="false">(Sens!K7186+Sens!K7190-Sens!K7191)+(Sens!K7178+Sens!K7179-Sens!K7177)+(Sens!K7181+Sens!K7182-Sens!K7180)</f>
        <v>0</v>
      </c>
    </row>
    <row r="7194" customFormat="false" ht="17.15" hidden="false" customHeight="false" outlineLevel="0" collapsed="false">
      <c r="A7194" s="0" t="s">
        <v>898</v>
      </c>
      <c r="B7194" s="0" t="s">
        <v>129</v>
      </c>
      <c r="E7194" s="7" t="n">
        <f aca="false">(Q!M21+Sens!E7131+Sens!E7132+Sens!E7133+Sens!E7146-Sens!E7129)/(Q!M5-Sens!E7129)</f>
        <v>0.570957350878296</v>
      </c>
      <c r="F7194" s="7" t="n">
        <f aca="false">Sens!$E$7194+dm_seg</f>
        <v>0.570957350878296</v>
      </c>
      <c r="G7194" s="7" t="n">
        <f aca="false">Sens!$E$7194+dm_seg</f>
        <v>0.570957350878296</v>
      </c>
      <c r="H7194" s="7" t="n">
        <f aca="false">Sens!$E$7194+dm_seg</f>
        <v>0.570957350878296</v>
      </c>
      <c r="I7194" s="7" t="n">
        <f aca="false">Sens!$E$7194+dm_seg</f>
        <v>0.570957350878296</v>
      </c>
      <c r="J7194" s="7" t="n">
        <f aca="false">Sens!$E$7194+dm_seg</f>
        <v>0.570957350878296</v>
      </c>
      <c r="K7194" s="7" t="n">
        <f aca="false">Sens!$E$7194+dm_seg</f>
        <v>0.570957350878296</v>
      </c>
      <c r="L7194" s="11" t="s">
        <v>899</v>
      </c>
    </row>
    <row r="7195" customFormat="false" ht="17.15" hidden="false" customHeight="false" outlineLevel="0" collapsed="false">
      <c r="A7195" s="0" t="s">
        <v>732</v>
      </c>
      <c r="B7195" s="0" t="s">
        <v>98</v>
      </c>
      <c r="D7195" s="6" t="n">
        <f aca="false">Q!L21</f>
        <v>110.814</v>
      </c>
      <c r="E7195" s="6" t="n">
        <f aca="false">Q!M21</f>
        <v>136.365</v>
      </c>
      <c r="F7195" s="6" t="n">
        <f aca="false">Sens!F7194*(Sens!F7165-Sens!F7129)+Sens!F7129-(Sens!F7131+Sens!F7132+Sens!F7133)-Sens!F7146</f>
        <v>158.988433562554</v>
      </c>
      <c r="G7195" s="6" t="n">
        <f aca="false">Sens!G7194*(Sens!G7165-Sens!G7129)+Sens!G7129-(Sens!G7131+Sens!G7132+Sens!G7133)-Sens!G7146</f>
        <v>179.276170829808</v>
      </c>
      <c r="H7195" s="6" t="n">
        <f aca="false">Sens!H7194*(Sens!H7165-Sens!H7129)+Sens!H7129-(Sens!H7131+Sens!H7132+Sens!H7133)-Sens!H7146</f>
        <v>199.603149872842</v>
      </c>
      <c r="I7195" s="6" t="n">
        <f aca="false">Sens!I7194*(Sens!I7165-Sens!I7129)+Sens!I7129-(Sens!I7131+Sens!I7132+Sens!I7133)-Sens!I7146</f>
        <v>218.840204677986</v>
      </c>
      <c r="J7195" s="6" t="n">
        <f aca="false">Sens!J7194*(Sens!J7165-Sens!J7129)+Sens!J7129-(Sens!J7131+Sens!J7132+Sens!J7133)-Sens!J7146</f>
        <v>236.535600837305</v>
      </c>
      <c r="K7195" s="6" t="n">
        <f aca="false">Sens!K7194*(Sens!K7165-Sens!K7129)+Sens!K7129-(Sens!K7131+Sens!K7132+Sens!K7133)-Sens!K7146</f>
        <v>253.743222355034</v>
      </c>
      <c r="L7195" s="1" t="s">
        <v>900</v>
      </c>
    </row>
    <row r="7196" customFormat="false" ht="17.15" hidden="false" customHeight="false" outlineLevel="0" collapsed="false">
      <c r="A7196" s="0" t="s">
        <v>901</v>
      </c>
      <c r="B7196" s="0" t="s">
        <v>129</v>
      </c>
      <c r="E7196" s="7" t="n">
        <f aca="false">Q!M22/Q!M12</f>
        <v>0.296207935710698</v>
      </c>
      <c r="F7196" s="7" t="n">
        <f aca="false">Sens!$E$7196+dm_seg</f>
        <v>0.296207935710698</v>
      </c>
      <c r="G7196" s="7" t="n">
        <f aca="false">Sens!$E$7196+dm_seg</f>
        <v>0.296207935710698</v>
      </c>
      <c r="H7196" s="7" t="n">
        <f aca="false">Sens!$E$7196+dm_seg</f>
        <v>0.296207935710698</v>
      </c>
      <c r="I7196" s="7" t="n">
        <f aca="false">Sens!$E$7196+dm_seg</f>
        <v>0.296207935710698</v>
      </c>
      <c r="J7196" s="7" t="n">
        <f aca="false">Sens!$E$7196+dm_seg</f>
        <v>0.296207935710698</v>
      </c>
      <c r="K7196" s="7" t="n">
        <f aca="false">Sens!$E$7196+dm_seg</f>
        <v>0.296207935710698</v>
      </c>
      <c r="L7196" s="11" t="s">
        <v>902</v>
      </c>
    </row>
    <row r="7197" customFormat="false" ht="17.15" hidden="false" customHeight="false" outlineLevel="0" collapsed="false">
      <c r="A7197" s="0" t="s">
        <v>734</v>
      </c>
      <c r="B7197" s="0" t="s">
        <v>98</v>
      </c>
      <c r="D7197" s="6" t="n">
        <f aca="false">Q!L22</f>
        <v>17.714</v>
      </c>
      <c r="E7197" s="6" t="n">
        <f aca="false">Q!M22</f>
        <v>18.872</v>
      </c>
      <c r="F7197" s="6" t="n">
        <f aca="false">Sens!F7172*Sens!F7196</f>
        <v>19.2954518910651</v>
      </c>
      <c r="G7197" s="6" t="n">
        <f aca="false">Sens!G7172*Sens!G7196</f>
        <v>19.8830646387704</v>
      </c>
      <c r="H7197" s="6" t="n">
        <f aca="false">Sens!H7172*Sens!H7196</f>
        <v>20.6092017868026</v>
      </c>
      <c r="I7197" s="6" t="n">
        <f aca="false">Sens!I7172*Sens!I7196</f>
        <v>21.452361761678</v>
      </c>
      <c r="J7197" s="6" t="n">
        <f aca="false">Sens!J7172*Sens!J7196</f>
        <v>22.3946261183418</v>
      </c>
      <c r="K7197" s="6" t="n">
        <f aca="false">Sens!K7172*Sens!K7196</f>
        <v>23.4215879274986</v>
      </c>
    </row>
    <row r="7198" customFormat="false" ht="15" hidden="false" customHeight="false" outlineLevel="0" collapsed="false">
      <c r="A7198" s="1" t="s">
        <v>903</v>
      </c>
      <c r="B7198" s="0" t="s">
        <v>98</v>
      </c>
      <c r="D7198" s="6" t="n">
        <f aca="false">Sens!D7195+Sens!D7197</f>
        <v>128.528</v>
      </c>
      <c r="E7198" s="6" t="n">
        <f aca="false">Sens!E7195+Sens!E7197</f>
        <v>155.237</v>
      </c>
      <c r="F7198" s="6" t="n">
        <f aca="false">Sens!F7195+Sens!F7197</f>
        <v>178.283885453619</v>
      </c>
      <c r="G7198" s="6" t="n">
        <f aca="false">Sens!G7195+Sens!G7197</f>
        <v>199.159235468579</v>
      </c>
      <c r="H7198" s="6" t="n">
        <f aca="false">Sens!H7195+Sens!H7197</f>
        <v>220.212351659644</v>
      </c>
      <c r="I7198" s="6" t="n">
        <f aca="false">Sens!I7195+Sens!I7197</f>
        <v>240.292566439664</v>
      </c>
      <c r="J7198" s="6" t="n">
        <f aca="false">Sens!J7195+Sens!J7197</f>
        <v>258.930226955647</v>
      </c>
      <c r="K7198" s="6" t="n">
        <f aca="false">Sens!K7195+Sens!K7197</f>
        <v>277.164810282533</v>
      </c>
    </row>
    <row r="7199" customFormat="false" ht="15" hidden="false" customHeight="false" outlineLevel="0" collapsed="false">
      <c r="A7199" s="23" t="s">
        <v>904</v>
      </c>
      <c r="B7199" s="30" t="s">
        <v>98</v>
      </c>
      <c r="C7199" s="30"/>
      <c r="D7199" s="24" t="n">
        <f aca="false">Sens!D7198-Q!L23</f>
        <v>0</v>
      </c>
      <c r="E7199" s="24" t="n">
        <f aca="false">Sens!E7198-Q!M23</f>
        <v>0</v>
      </c>
      <c r="F7199" s="30"/>
      <c r="G7199" s="30"/>
      <c r="H7199" s="30"/>
      <c r="I7199" s="30"/>
      <c r="J7199" s="30"/>
      <c r="K7199" s="30"/>
    </row>
    <row r="7200" customFormat="false" ht="15" hidden="false" customHeight="false" outlineLevel="0" collapsed="false">
      <c r="A7200" s="1" t="s">
        <v>905</v>
      </c>
      <c r="B7200" s="0" t="s">
        <v>129</v>
      </c>
      <c r="D7200" s="7" t="n">
        <f aca="false">Sens!D7198/Sens!D7191</f>
        <v>0.456219562408598</v>
      </c>
      <c r="E7200" s="7" t="n">
        <f aca="false">Sens!E7198/Sens!E7191</f>
        <v>0.467808184089272</v>
      </c>
      <c r="F7200" s="7" t="n">
        <f aca="false">Sens!F7198/Sens!F7191</f>
        <v>0.443705159427831</v>
      </c>
      <c r="G7200" s="7" t="n">
        <f aca="false">Sens!G7198/Sens!G7191</f>
        <v>0.415957146949489</v>
      </c>
      <c r="H7200" s="7" t="n">
        <f aca="false">Sens!H7198/Sens!H7191</f>
        <v>0.394947947196934</v>
      </c>
      <c r="I7200" s="7" t="n">
        <f aca="false">Sens!I7198/Sens!I7191</f>
        <v>0.381400525411126</v>
      </c>
      <c r="J7200" s="7" t="n">
        <f aca="false">Sens!J7198/Sens!J7191</f>
        <v>0.375610279895596</v>
      </c>
      <c r="K7200" s="7" t="n">
        <f aca="false">Sens!K7198/Sens!K7191</f>
        <v>0.375963005232943</v>
      </c>
    </row>
    <row r="7201" customFormat="false" ht="17.15" hidden="false" customHeight="false" outlineLevel="0" collapsed="false">
      <c r="A7201" s="1" t="s">
        <v>906</v>
      </c>
      <c r="B7201" s="0" t="s">
        <v>98</v>
      </c>
      <c r="F7201" s="6" t="n">
        <f aca="false">Sens!F7216</f>
        <v>18.5655208239493</v>
      </c>
      <c r="G7201" s="6" t="n">
        <f aca="false">Sens!G7216</f>
        <v>33.0805029807506</v>
      </c>
      <c r="H7201" s="6" t="n">
        <f aca="false">Sens!H7216</f>
        <v>48.9479412305022</v>
      </c>
      <c r="I7201" s="6" t="n">
        <f aca="false">Sens!I7216</f>
        <v>63.5648863436834</v>
      </c>
      <c r="J7201" s="6" t="n">
        <f aca="false">Sens!J7216</f>
        <v>73.8358527124245</v>
      </c>
      <c r="K7201" s="6" t="n">
        <f aca="false">Sens!K7216</f>
        <v>79.3853581690693</v>
      </c>
      <c r="L7201" s="1" t="s">
        <v>907</v>
      </c>
    </row>
    <row r="7202" customFormat="false" ht="17.15" hidden="false" customHeight="false" outlineLevel="0" collapsed="false">
      <c r="A7202" s="1" t="s">
        <v>908</v>
      </c>
      <c r="B7202" s="0" t="s">
        <v>98</v>
      </c>
      <c r="D7202" s="6" t="n">
        <f aca="false">Sens!D7198</f>
        <v>128.528</v>
      </c>
      <c r="E7202" s="6" t="n">
        <f aca="false">Sens!E7198</f>
        <v>155.237</v>
      </c>
      <c r="F7202" s="6" t="n">
        <f aca="false">Sens!F7198+Sens!F7201</f>
        <v>196.849406277568</v>
      </c>
      <c r="G7202" s="6" t="n">
        <f aca="false">Sens!G7198+Sens!G7201</f>
        <v>232.239738449329</v>
      </c>
      <c r="H7202" s="6" t="n">
        <f aca="false">Sens!H7198+Sens!H7201</f>
        <v>269.160292890146</v>
      </c>
      <c r="I7202" s="6" t="n">
        <f aca="false">Sens!I7198+Sens!I7201</f>
        <v>303.857452783348</v>
      </c>
      <c r="J7202" s="6" t="n">
        <f aca="false">Sens!J7198+Sens!J7201</f>
        <v>332.766079668071</v>
      </c>
      <c r="K7202" s="6" t="n">
        <f aca="false">Sens!K7198+Sens!K7201</f>
        <v>356.550168451602</v>
      </c>
    </row>
    <row r="7203" customFormat="false" ht="17.15" hidden="false" customHeight="false" outlineLevel="0" collapsed="false">
      <c r="A7203" s="1" t="s">
        <v>909</v>
      </c>
      <c r="B7203" s="0" t="s">
        <v>98</v>
      </c>
      <c r="E7203" s="6" t="n">
        <f aca="false">Sens!E7146</f>
        <v>16.3054059770833</v>
      </c>
      <c r="F7203" s="6" t="n">
        <f aca="false">Sens!F7146</f>
        <v>34.7205354558698</v>
      </c>
      <c r="G7203" s="6" t="n">
        <f aca="false">Sens!G7146</f>
        <v>60.4667332603396</v>
      </c>
      <c r="H7203" s="6" t="n">
        <f aca="false">Sens!H7146</f>
        <v>87.7023159931396</v>
      </c>
      <c r="I7203" s="6" t="n">
        <f aca="false">Sens!I7146</f>
        <v>111.947039982221</v>
      </c>
      <c r="J7203" s="6" t="n">
        <f aca="false">Sens!J7146</f>
        <v>129.143710922666</v>
      </c>
      <c r="K7203" s="6" t="n">
        <f aca="false">Sens!K7146</f>
        <v>139.607646804474</v>
      </c>
    </row>
    <row r="7204" customFormat="false" ht="17.15" hidden="false" customHeight="false" outlineLevel="0" collapsed="false">
      <c r="A7204" s="1" t="s">
        <v>910</v>
      </c>
      <c r="B7204" s="0" t="s">
        <v>98</v>
      </c>
      <c r="E7204" s="6" t="n">
        <f aca="false">Sens!E7228</f>
        <v>22.2285940229167</v>
      </c>
      <c r="F7204" s="6" t="n">
        <f aca="false">Sens!F7228</f>
        <v>23.5876693435813</v>
      </c>
      <c r="G7204" s="6" t="n">
        <f aca="false">Sens!G7228</f>
        <v>25.3801917662621</v>
      </c>
      <c r="H7204" s="6" t="n">
        <f aca="false">Sens!H7228</f>
        <v>27.5713239540448</v>
      </c>
      <c r="I7204" s="6" t="n">
        <f aca="false">Sens!I7228</f>
        <v>30.0910315898047</v>
      </c>
      <c r="J7204" s="6" t="n">
        <f aca="false">Sens!J7228</f>
        <v>32.8530197558616</v>
      </c>
      <c r="K7204" s="6" t="n">
        <f aca="false">Sens!K7228</f>
        <v>35.7735880544749</v>
      </c>
    </row>
    <row r="7205" customFormat="false" ht="17.15" hidden="false" customHeight="false" outlineLevel="0" collapsed="false">
      <c r="A7205" s="1" t="s">
        <v>911</v>
      </c>
      <c r="B7205" s="0" t="s">
        <v>98</v>
      </c>
      <c r="D7205" s="6" t="n">
        <f aca="false">Q!L27</f>
        <v>-4.901</v>
      </c>
      <c r="E7205" s="6" t="n">
        <f aca="false">Q!M27</f>
        <v>10.697</v>
      </c>
      <c r="F7205" s="6" t="n">
        <f aca="false">oie_f</f>
        <v>-0.4</v>
      </c>
      <c r="G7205" s="6" t="n">
        <f aca="false">oie_f</f>
        <v>-0.4</v>
      </c>
      <c r="H7205" s="6" t="n">
        <f aca="false">oie_f</f>
        <v>-0.4</v>
      </c>
      <c r="I7205" s="6" t="n">
        <f aca="false">oie_f</f>
        <v>-0.4</v>
      </c>
      <c r="J7205" s="6" t="n">
        <f aca="false">oie_f</f>
        <v>-0.4</v>
      </c>
      <c r="K7205" s="6" t="n">
        <f aca="false">oie_f</f>
        <v>-0.4</v>
      </c>
      <c r="L7205" s="11" t="s">
        <v>912</v>
      </c>
    </row>
    <row r="7206" customFormat="false" ht="15" hidden="false" customHeight="false" outlineLevel="0" collapsed="false">
      <c r="A7206" s="1" t="s">
        <v>913</v>
      </c>
      <c r="B7206" s="0" t="s">
        <v>98</v>
      </c>
      <c r="D7206" s="6" t="n">
        <f aca="false">Sens!D7198+Sens!D7205</f>
        <v>123.627</v>
      </c>
      <c r="E7206" s="6" t="n">
        <f aca="false">Sens!E7198+Sens!E7205</f>
        <v>165.934</v>
      </c>
      <c r="F7206" s="6" t="n">
        <f aca="false">Sens!F7198+Sens!F7205</f>
        <v>177.883885453619</v>
      </c>
      <c r="G7206" s="6" t="n">
        <f aca="false">Sens!G7198+Sens!G7205</f>
        <v>198.759235468579</v>
      </c>
      <c r="H7206" s="6" t="n">
        <f aca="false">Sens!H7198+Sens!H7205</f>
        <v>219.812351659644</v>
      </c>
      <c r="I7206" s="6" t="n">
        <f aca="false">Sens!I7198+Sens!I7205</f>
        <v>239.892566439664</v>
      </c>
      <c r="J7206" s="6" t="n">
        <f aca="false">Sens!J7198+Sens!J7205</f>
        <v>258.530226955647</v>
      </c>
      <c r="K7206" s="6" t="n">
        <f aca="false">Sens!K7198+Sens!K7205</f>
        <v>276.764810282533</v>
      </c>
    </row>
    <row r="7207" customFormat="false" ht="15" hidden="false" customHeight="false" outlineLevel="0" collapsed="false">
      <c r="A7207" s="1" t="s">
        <v>914</v>
      </c>
      <c r="B7207" s="0" t="s">
        <v>98</v>
      </c>
      <c r="D7207" s="6" t="n">
        <f aca="false">Q!L29</f>
        <v>21.795</v>
      </c>
      <c r="E7207" s="6" t="n">
        <f aca="false">Q!M29</f>
        <v>32.185</v>
      </c>
      <c r="F7207" s="6" t="n">
        <f aca="false">Sens!F7206*tax_f</f>
        <v>35.5767770907238</v>
      </c>
      <c r="G7207" s="6" t="n">
        <f aca="false">Sens!G7206*tax_f</f>
        <v>39.7518470937157</v>
      </c>
      <c r="H7207" s="6" t="n">
        <f aca="false">Sens!H7206*tax_f</f>
        <v>43.9624703319289</v>
      </c>
      <c r="I7207" s="6" t="n">
        <f aca="false">Sens!I7206*tax_f</f>
        <v>47.9785132879328</v>
      </c>
      <c r="J7207" s="6" t="n">
        <f aca="false">Sens!J7206*tax_f</f>
        <v>51.7060453911293</v>
      </c>
      <c r="K7207" s="6" t="n">
        <f aca="false">Sens!K7206*tax_f</f>
        <v>55.3529620565066</v>
      </c>
    </row>
    <row r="7208" customFormat="false" ht="15" hidden="false" customHeight="false" outlineLevel="0" collapsed="false">
      <c r="A7208" s="1" t="s">
        <v>915</v>
      </c>
      <c r="B7208" s="0" t="s">
        <v>98</v>
      </c>
      <c r="D7208" s="6" t="n">
        <f aca="false">Sens!D7206-Sens!D7207</f>
        <v>101.832</v>
      </c>
      <c r="E7208" s="6" t="n">
        <f aca="false">Sens!E7206-Sens!E7207</f>
        <v>133.749</v>
      </c>
      <c r="F7208" s="6" t="n">
        <f aca="false">Sens!F7206-Sens!F7207</f>
        <v>142.307108362895</v>
      </c>
      <c r="G7208" s="6" t="n">
        <f aca="false">Sens!G7206-Sens!G7207</f>
        <v>159.007388374863</v>
      </c>
      <c r="H7208" s="6" t="n">
        <f aca="false">Sens!H7206-Sens!H7207</f>
        <v>175.849881327715</v>
      </c>
      <c r="I7208" s="6" t="n">
        <f aca="false">Sens!I7206-Sens!I7207</f>
        <v>191.914053151731</v>
      </c>
      <c r="J7208" s="6" t="n">
        <f aca="false">Sens!J7206-Sens!J7207</f>
        <v>206.824181564517</v>
      </c>
      <c r="K7208" s="6" t="n">
        <f aca="false">Sens!K7206-Sens!K7207</f>
        <v>221.411848226026</v>
      </c>
    </row>
    <row r="7209" customFormat="false" ht="17.15" hidden="false" customHeight="false" outlineLevel="0" collapsed="false">
      <c r="A7209" s="1" t="s">
        <v>916</v>
      </c>
      <c r="B7209" s="1" t="s">
        <v>81</v>
      </c>
      <c r="D7209" s="14" t="n">
        <f aca="false">Q!L31</f>
        <v>7.465</v>
      </c>
      <c r="E7209" s="14" t="n">
        <f aca="false">Q!M31</f>
        <v>7.453</v>
      </c>
      <c r="F7209" s="14" t="n">
        <f aca="false">Sens!F7250</f>
        <v>7.4735</v>
      </c>
      <c r="G7209" s="14" t="n">
        <f aca="false">Sens!G7250</f>
        <v>7.51673136294745</v>
      </c>
      <c r="H7209" s="14" t="n">
        <f aca="false">Sens!H7250</f>
        <v>7.54271431174485</v>
      </c>
      <c r="I7209" s="14" t="n">
        <f aca="false">Sens!I7250</f>
        <v>7.55449514375216</v>
      </c>
      <c r="J7209" s="14" t="n">
        <f aca="false">Sens!J7250</f>
        <v>7.56873665487004</v>
      </c>
      <c r="K7209" s="14" t="n">
        <f aca="false">Sens!K7250</f>
        <v>7.58525657257179</v>
      </c>
    </row>
    <row r="7210" customFormat="false" ht="17.15" hidden="false" customHeight="false" outlineLevel="0" collapsed="false">
      <c r="A7210" s="0" t="s">
        <v>917</v>
      </c>
      <c r="B7210" s="0" t="s">
        <v>75</v>
      </c>
      <c r="D7210" s="8" t="n">
        <f aca="false">Sens!D7208/Sens!D7209</f>
        <v>13.641259209645</v>
      </c>
      <c r="E7210" s="8" t="n">
        <f aca="false">Sens!E7208/Sens!E7209</f>
        <v>17.9456594659869</v>
      </c>
      <c r="F7210" s="8" t="n">
        <f aca="false">Sens!F7208/Sens!F7209</f>
        <v>19.0415612983067</v>
      </c>
      <c r="G7210" s="8" t="n">
        <f aca="false">Sens!G7208/Sens!G7209</f>
        <v>21.1537942088319</v>
      </c>
      <c r="H7210" s="8" t="n">
        <f aca="false">Sens!H7208/Sens!H7209</f>
        <v>23.3138727067917</v>
      </c>
      <c r="I7210" s="8" t="n">
        <f aca="false">Sens!I7208/Sens!I7209</f>
        <v>25.4039547977539</v>
      </c>
      <c r="J7210" s="8" t="n">
        <f aca="false">Sens!J7208/Sens!J7209</f>
        <v>27.3261167610367</v>
      </c>
      <c r="K7210" s="8" t="n">
        <f aca="false">Sens!K7208/Sens!K7209</f>
        <v>29.1897638672698</v>
      </c>
      <c r="L7210" s="1" t="s">
        <v>918</v>
      </c>
    </row>
    <row r="7211" customFormat="false" ht="17.15" hidden="false" customHeight="false" outlineLevel="0" collapsed="false">
      <c r="A7211" s="1" t="s">
        <v>919</v>
      </c>
      <c r="B7211" s="0" t="s">
        <v>98</v>
      </c>
      <c r="D7211" s="6" t="n">
        <f aca="false">Sens!D7208</f>
        <v>101.832</v>
      </c>
      <c r="E7211" s="6" t="n">
        <f aca="false">Sens!E7208</f>
        <v>133.749</v>
      </c>
      <c r="F7211" s="6" t="n">
        <f aca="false">Sens!F7208+Sens!F7201*(1-tax_f)</f>
        <v>157.159525022054</v>
      </c>
      <c r="G7211" s="6" t="n">
        <f aca="false">Sens!G7208+Sens!G7201*(1-tax_f)</f>
        <v>185.471790759463</v>
      </c>
      <c r="H7211" s="6" t="n">
        <f aca="false">Sens!H7208+Sens!H7201*(1-tax_f)</f>
        <v>215.008234312117</v>
      </c>
      <c r="I7211" s="6" t="n">
        <f aca="false">Sens!I7208+Sens!I7201*(1-tax_f)</f>
        <v>242.765962226678</v>
      </c>
      <c r="J7211" s="6" t="n">
        <f aca="false">Sens!J7208+Sens!J7201*(1-tax_f)</f>
        <v>265.892863734457</v>
      </c>
      <c r="K7211" s="6" t="n">
        <f aca="false">Sens!K7208+Sens!K7201*(1-tax_f)</f>
        <v>284.920134761282</v>
      </c>
    </row>
    <row r="7212" customFormat="false" ht="17.15" hidden="false" customHeight="false" outlineLevel="0" collapsed="false">
      <c r="A7212" s="0" t="s">
        <v>920</v>
      </c>
      <c r="B7212" s="0" t="s">
        <v>75</v>
      </c>
      <c r="D7212" s="8" t="n">
        <f aca="false">Sens!D7211/Sens!D7209</f>
        <v>13.641259209645</v>
      </c>
      <c r="E7212" s="8" t="n">
        <f aca="false">Sens!E7211/Sens!E7209</f>
        <v>17.9456594659869</v>
      </c>
      <c r="F7212" s="8" t="n">
        <f aca="false">Sens!F7211/Sens!F7209</f>
        <v>21.0289054689308</v>
      </c>
      <c r="G7212" s="8" t="n">
        <f aca="false">Sens!G7211/Sens!G7209</f>
        <v>24.6745269724175</v>
      </c>
      <c r="H7212" s="8" t="n">
        <f aca="false">Sens!H7211/Sens!H7209</f>
        <v>28.5054193259481</v>
      </c>
      <c r="I7212" s="8" t="n">
        <f aca="false">Sens!I7211/Sens!I7209</f>
        <v>32.135299263175</v>
      </c>
      <c r="J7212" s="8" t="n">
        <f aca="false">Sens!J7211/Sens!J7209</f>
        <v>35.1304155315498</v>
      </c>
      <c r="K7212" s="8" t="n">
        <f aca="false">Sens!K7211/Sens!K7209</f>
        <v>37.5623595636238</v>
      </c>
      <c r="L7212" s="1" t="s">
        <v>921</v>
      </c>
    </row>
    <row r="7213" customFormat="false" ht="17.15" hidden="false" customHeight="false" outlineLevel="0" collapsed="false">
      <c r="A7213" s="0" t="s">
        <v>922</v>
      </c>
      <c r="B7213" s="0" t="s">
        <v>129</v>
      </c>
      <c r="E7213" s="7" t="n">
        <f aca="false">Sens!E7212/Sens!D7212-1</f>
        <v>0.315542736208578</v>
      </c>
      <c r="F7213" s="7" t="n">
        <f aca="false">Sens!F7212/Sens!E7212-1</f>
        <v>0.171810125383677</v>
      </c>
      <c r="G7213" s="7" t="n">
        <f aca="false">Sens!G7212/Sens!F7212-1</f>
        <v>0.173362399144972</v>
      </c>
      <c r="H7213" s="7" t="n">
        <f aca="false">Sens!H7212/Sens!G7212-1</f>
        <v>0.155256972415845</v>
      </c>
      <c r="I7213" s="7" t="n">
        <f aca="false">Sens!I7212/Sens!H7212-1</f>
        <v>0.127339994396176</v>
      </c>
      <c r="J7213" s="7" t="n">
        <f aca="false">Sens!J7212/Sens!I7212-1</f>
        <v>0.0932033102864862</v>
      </c>
      <c r="K7213" s="7" t="n">
        <f aca="false">Sens!K7212/Sens!J7212-1</f>
        <v>0.0692261675609807</v>
      </c>
    </row>
    <row r="7214" customFormat="false" ht="17.15" hidden="false" customHeight="false" outlineLevel="0" collapsed="false">
      <c r="A7214" s="0" t="s">
        <v>846</v>
      </c>
      <c r="B7214" s="0" t="s">
        <v>98</v>
      </c>
      <c r="E7214" s="6" t="n">
        <f aca="false">Sens!E7155</f>
        <v>5.25</v>
      </c>
      <c r="F7214" s="6" t="n">
        <f aca="false">Sens!F7155</f>
        <v>14.4</v>
      </c>
      <c r="G7214" s="6" t="n">
        <f aca="false">Sens!G7155</f>
        <v>21.6</v>
      </c>
      <c r="H7214" s="6" t="n">
        <f aca="false">Sens!H7155</f>
        <v>28.8</v>
      </c>
      <c r="I7214" s="6" t="n">
        <f aca="false">Sens!I7155</f>
        <v>34.2</v>
      </c>
      <c r="J7214" s="6" t="n">
        <f aca="false">Sens!J7155</f>
        <v>37.8</v>
      </c>
      <c r="K7214" s="6" t="n">
        <f aca="false">Sens!K7155</f>
        <v>41.4</v>
      </c>
    </row>
    <row r="7215" customFormat="false" ht="17.15" hidden="false" customHeight="false" outlineLevel="0" collapsed="false">
      <c r="A7215" s="1" t="s">
        <v>847</v>
      </c>
      <c r="B7215" s="0" t="s">
        <v>98</v>
      </c>
      <c r="F7215" s="6" t="n">
        <f aca="false">MAX(0,(Sens!E7118+Sens!F7118)/2*Sens!F7126/1000-Sens!F7214*Sens!F7194)</f>
        <v>18.5655208239493</v>
      </c>
      <c r="G7215" s="6" t="n">
        <f aca="false">MAX(0,(Sens!F7118+Sens!G7118)/2*Sens!G7126/1000-Sens!G7214*Sens!G7194)</f>
        <v>33.0805029807506</v>
      </c>
      <c r="H7215" s="6" t="n">
        <f aca="false">MAX(0,(Sens!G7118+Sens!H7118)/2*Sens!H7126/1000-Sens!H7214*Sens!H7194)</f>
        <v>48.9479412305022</v>
      </c>
      <c r="I7215" s="6" t="n">
        <f aca="false">MAX(0,(Sens!H7118+Sens!I7118)/2*Sens!I7126/1000-Sens!I7214*Sens!I7194)</f>
        <v>63.5648863436834</v>
      </c>
      <c r="J7215" s="6" t="n">
        <f aca="false">MAX(0,(Sens!I7118+Sens!J7118)/2*Sens!J7126/1000-Sens!J7214*Sens!J7194)</f>
        <v>73.8358527124245</v>
      </c>
      <c r="K7215" s="6" t="n">
        <f aca="false">MAX(0,(Sens!J7118+Sens!K7118)/2*Sens!K7126/1000-Sens!K7214*Sens!K7194)</f>
        <v>79.3853581690693</v>
      </c>
      <c r="L7215" s="1" t="s">
        <v>848</v>
      </c>
    </row>
    <row r="7216" customFormat="false" ht="17.15" hidden="false" customHeight="false" outlineLevel="0" collapsed="false">
      <c r="A7216" s="1" t="s">
        <v>849</v>
      </c>
      <c r="B7216" s="0" t="s">
        <v>98</v>
      </c>
      <c r="F7216" s="6" t="n">
        <f aca="false">IF(internal_ai_reading=2,1,0)*Sens!F7215</f>
        <v>18.5655208239493</v>
      </c>
      <c r="G7216" s="6" t="n">
        <f aca="false">IF(internal_ai_reading=2,1,0)*Sens!G7215</f>
        <v>33.0805029807506</v>
      </c>
      <c r="H7216" s="6" t="n">
        <f aca="false">IF(internal_ai_reading=2,1,0)*Sens!H7215</f>
        <v>48.9479412305022</v>
      </c>
      <c r="I7216" s="6" t="n">
        <f aca="false">IF(internal_ai_reading=2,1,0)*Sens!I7215</f>
        <v>63.5648863436834</v>
      </c>
      <c r="J7216" s="6" t="n">
        <f aca="false">IF(internal_ai_reading=2,1,0)*Sens!J7215</f>
        <v>73.8358527124245</v>
      </c>
      <c r="K7216" s="6" t="n">
        <f aca="false">IF(internal_ai_reading=2,1,0)*Sens!K7215</f>
        <v>79.3853581690693</v>
      </c>
    </row>
    <row r="7217" customFormat="false" ht="17.15" hidden="false" customHeight="false" outlineLevel="0" collapsed="false">
      <c r="A7217" s="0" t="s">
        <v>850</v>
      </c>
      <c r="B7217" s="0" t="s">
        <v>98</v>
      </c>
      <c r="F7217" s="6" t="n">
        <f aca="false">Sens!F7135+Sens!F7214*Sens!F7194+Sens!F7216-Sens!F7136-Sens!F7146</f>
        <v>24.993281419411</v>
      </c>
      <c r="G7217" s="6" t="n">
        <f aca="false">Sens!G7135+Sens!G7214*Sens!G7194+Sens!G7216-Sens!G7136-Sens!G7146</f>
        <v>40.7145718830232</v>
      </c>
      <c r="H7217" s="6" t="n">
        <f aca="false">Sens!H7135+Sens!H7214*Sens!H7194+Sens!H7216-Sens!H7136-Sens!H7146</f>
        <v>57.6454114245065</v>
      </c>
      <c r="I7217" s="6" t="n">
        <f aca="false">Sens!I7135+Sens!I7214*Sens!I7194+Sens!I7216-Sens!I7136-Sens!I7146</f>
        <v>72.7238259474904</v>
      </c>
      <c r="J7217" s="6" t="n">
        <f aca="false">Sens!J7135+Sens!J7214*Sens!J7194+Sens!J7216-Sens!J7136-Sens!J7146</f>
        <v>83.1534007011916</v>
      </c>
      <c r="K7217" s="6" t="n">
        <f aca="false">Sens!K7135+Sens!K7214*Sens!K7194+Sens!K7216-Sens!K7136-Sens!K7146</f>
        <v>90.3892338726818</v>
      </c>
    </row>
    <row r="7218" customFormat="false" ht="17.15" hidden="false" customHeight="false" outlineLevel="0" collapsed="false">
      <c r="A7218" s="0" t="s">
        <v>851</v>
      </c>
      <c r="B7218" s="0" t="s">
        <v>98</v>
      </c>
      <c r="E7218" s="6" t="n">
        <f aca="false">Sens!E7117*(cxit_open+self_build*tk_cxfac)/1000*ai_net_open</f>
        <v>126.6980382</v>
      </c>
      <c r="F7218" s="6" t="n">
        <f aca="false">Sens!E7218+Sens!F7143-Sens!F7146</f>
        <v>260.358155514568</v>
      </c>
      <c r="G7218" s="6" t="n">
        <f aca="false">Sens!F7218+Sens!G7143-Sens!G7146</f>
        <v>383.465602737428</v>
      </c>
      <c r="H7218" s="6" t="n">
        <f aca="false">Sens!G7218+Sens!H7143-Sens!H7146</f>
        <v>483.843572654689</v>
      </c>
      <c r="I7218" s="6" t="n">
        <f aca="false">Sens!H7218+Sens!I7143-Sens!I7146</f>
        <v>535.603201826713</v>
      </c>
      <c r="J7218" s="6" t="n">
        <f aca="false">Sens!I7218+Sens!J7143-Sens!J7146</f>
        <v>530.971967622138</v>
      </c>
      <c r="K7218" s="6" t="n">
        <f aca="false">Sens!J7218+Sens!K7143-Sens!K7146</f>
        <v>506.3237564596</v>
      </c>
      <c r="L7218" s="1" t="s">
        <v>852</v>
      </c>
    </row>
    <row r="7219" customFormat="false" ht="17.15" hidden="false" customHeight="false" outlineLevel="0" collapsed="false">
      <c r="A7219" s="0" t="s">
        <v>853</v>
      </c>
      <c r="B7219" s="0" t="s">
        <v>129</v>
      </c>
      <c r="F7219" s="7" t="n">
        <f aca="false">Sens!F7217*(1-tax_f)/((Sens!E7218+Sens!F7218)/2)</f>
        <v>0.103316394157866</v>
      </c>
      <c r="G7219" s="7" t="n">
        <f aca="false">Sens!G7217*(1-tax_f)/((Sens!F7218+Sens!G7218)/2)</f>
        <v>0.101181906038546</v>
      </c>
      <c r="H7219" s="7" t="n">
        <f aca="false">Sens!H7217*(1-tax_f)/((Sens!G7218+Sens!H7218)/2)</f>
        <v>0.106343459629043</v>
      </c>
      <c r="I7219" s="7" t="n">
        <f aca="false">Sens!I7217*(1-tax_f)/((Sens!H7218+Sens!I7218)/2)</f>
        <v>0.114138495926064</v>
      </c>
      <c r="J7219" s="7" t="n">
        <f aca="false">Sens!J7217*(1-tax_f)/((Sens!I7218+Sens!J7218)/2)</f>
        <v>0.124740801148275</v>
      </c>
      <c r="K7219" s="7" t="n">
        <f aca="false">Sens!K7217*(1-tax_f)/((Sens!J7218+Sens!K7218)/2)</f>
        <v>0.139422896324303</v>
      </c>
    </row>
    <row r="7220" customFormat="false" ht="17.15" hidden="false" customHeight="false" outlineLevel="0" collapsed="false">
      <c r="A7220" s="1" t="s">
        <v>854</v>
      </c>
      <c r="B7220" s="0" t="s">
        <v>129</v>
      </c>
      <c r="F7220" s="7" t="n">
        <f aca="false">(Sens!F7217-Sens!F7216)*(1-tax_f)/((Sens!E7218+Sens!F7218)/2)</f>
        <v>0.0265708626286006</v>
      </c>
      <c r="G7220" s="7" t="n">
        <f aca="false">(Sens!G7217-Sens!G7216)*(1-tax_f)/((Sens!F7218+Sens!G7218)/2)</f>
        <v>0.0189718227808166</v>
      </c>
      <c r="H7220" s="7" t="n">
        <f aca="false">(Sens!H7217-Sens!H7216)*(1-tax_f)/((Sens!G7218+Sens!H7218)/2)</f>
        <v>0.0160449730099021</v>
      </c>
      <c r="I7220" s="7" t="n">
        <f aca="false">(Sens!I7217-Sens!I7216)*(1-tax_f)/((Sens!H7218+Sens!I7218)/2)</f>
        <v>0.0143747606377449</v>
      </c>
      <c r="J7220" s="7" t="n">
        <f aca="false">(Sens!J7217-Sens!J7216)*(1-tax_f)/((Sens!I7218+Sens!J7218)/2)</f>
        <v>0.0139775209559125</v>
      </c>
      <c r="K7220" s="7" t="n">
        <f aca="false">(Sens!K7217-Sens!K7216)*(1-tax_f)/((Sens!J7218+Sens!K7218)/2)</f>
        <v>0.0169731743002854</v>
      </c>
    </row>
    <row r="7221" customFormat="false" ht="17.15" hidden="false" customHeight="false" outlineLevel="0" collapsed="false">
      <c r="A7221" s="1" t="s">
        <v>855</v>
      </c>
      <c r="B7221" s="0" t="s">
        <v>129</v>
      </c>
      <c r="F7221" s="7" t="n">
        <f aca="false">(Sens!F7217-Sens!F7216+Sens!F7215)*(1-tax_f)/((Sens!E7218+Sens!F7218)/2)</f>
        <v>0.103316394157866</v>
      </c>
      <c r="G7221" s="7" t="n">
        <f aca="false">(Sens!G7217-Sens!G7216+Sens!G7215)*(1-tax_f)/((Sens!F7218+Sens!G7218)/2)</f>
        <v>0.101181906038546</v>
      </c>
      <c r="H7221" s="7" t="n">
        <f aca="false">(Sens!H7217-Sens!H7216+Sens!H7215)*(1-tax_f)/((Sens!G7218+Sens!H7218)/2)</f>
        <v>0.106343459629043</v>
      </c>
      <c r="I7221" s="7" t="n">
        <f aca="false">(Sens!I7217-Sens!I7216+Sens!I7215)*(1-tax_f)/((Sens!H7218+Sens!I7218)/2)</f>
        <v>0.114138495926064</v>
      </c>
      <c r="J7221" s="7" t="n">
        <f aca="false">(Sens!J7217-Sens!J7216+Sens!J7215)*(1-tax_f)/((Sens!I7218+Sens!J7218)/2)</f>
        <v>0.124740801148275</v>
      </c>
      <c r="K7221" s="7" t="n">
        <f aca="false">(Sens!K7217-Sens!K7216+Sens!K7215)*(1-tax_f)/((Sens!J7218+Sens!K7218)/2)</f>
        <v>0.139422896324303</v>
      </c>
    </row>
    <row r="7222" customFormat="false" ht="17.15" hidden="false" customHeight="false" outlineLevel="0" collapsed="false">
      <c r="A7222" s="1" t="s">
        <v>856</v>
      </c>
      <c r="B7222" s="0" t="s">
        <v>129</v>
      </c>
      <c r="F7222" s="7" t="n">
        <f aca="false">Sens!F7147*(1-tax_f)/(Sens!F7134*(Sens!E7218+Sens!F7218)/2)</f>
        <v>0.128333609972981</v>
      </c>
      <c r="G7222" s="7" t="n">
        <f aca="false">Sens!G7147*(1-tax_f)/(Sens!G7134*(Sens!F7218+Sens!G7218)/2)</f>
        <v>0.125387169862733</v>
      </c>
      <c r="H7222" s="7" t="n">
        <f aca="false">Sens!H7147*(1-tax_f)/(Sens!H7134*(Sens!G7218+Sens!H7218)/2)</f>
        <v>0.130974456311857</v>
      </c>
      <c r="I7222" s="7" t="n">
        <f aca="false">Sens!I7147*(1-tax_f)/(Sens!I7134*(Sens!H7218+Sens!I7218)/2)</f>
        <v>0.14008739738459</v>
      </c>
      <c r="J7222" s="7" t="n">
        <f aca="false">Sens!J7147*(1-tax_f)/(Sens!J7134*(Sens!I7218+Sens!J7218)/2)</f>
        <v>0.152889874599894</v>
      </c>
      <c r="K7222" s="7" t="n">
        <f aca="false">Sens!K7147*(1-tax_f)/(Sens!K7134*(Sens!J7218+Sens!K7218)/2)</f>
        <v>0.170623794146953</v>
      </c>
    </row>
    <row r="7223" customFormat="false" ht="17.15" hidden="false" customHeight="false" outlineLevel="0" collapsed="false">
      <c r="A7223" s="0" t="s">
        <v>857</v>
      </c>
      <c r="B7223" s="0" t="s">
        <v>209</v>
      </c>
      <c r="F7223" s="7" t="n">
        <f aca="false">Sens!F7219-wacc</f>
        <v>0.000381974064990215</v>
      </c>
      <c r="G7223" s="7" t="n">
        <f aca="false">Sens!G7219-wacc</f>
        <v>-0.00175251405432968</v>
      </c>
      <c r="H7223" s="7" t="n">
        <f aca="false">Sens!H7219-wacc</f>
        <v>0.00340903953616757</v>
      </c>
      <c r="I7223" s="7" t="n">
        <f aca="false">Sens!I7219-wacc</f>
        <v>0.0112040758331884</v>
      </c>
      <c r="J7223" s="7" t="n">
        <f aca="false">Sens!J7219-wacc</f>
        <v>0.021806381055399</v>
      </c>
      <c r="K7223" s="7" t="n">
        <f aca="false">Sens!K7219-wacc</f>
        <v>0.0364884762314272</v>
      </c>
    </row>
    <row r="7224" customFormat="false" ht="17.15" hidden="false" customHeight="false" outlineLevel="0" collapsed="false">
      <c r="A7224" s="0" t="s">
        <v>858</v>
      </c>
      <c r="B7224" s="0" t="s">
        <v>98</v>
      </c>
      <c r="F7224" s="6" t="n">
        <f aca="false">Sens!F7217*(1-tax_f)-wacc*(Sens!E7218+Sens!F7218)/2</f>
        <v>0.0739227138463967</v>
      </c>
      <c r="G7224" s="6" t="n">
        <f aca="false">Sens!G7217*(1-tax_f)-wacc*(Sens!F7218+Sens!G7218)/2</f>
        <v>-0.564155092423988</v>
      </c>
      <c r="H7224" s="6" t="n">
        <f aca="false">Sens!H7217*(1-tax_f)-wacc*(Sens!G7218+Sens!H7218)/2</f>
        <v>1.47834563449631</v>
      </c>
      <c r="I7224" s="6" t="n">
        <f aca="false">Sens!I7217*(1-tax_f)-wacc*(Sens!H7218+Sens!I7218)/2</f>
        <v>5.71097948459446</v>
      </c>
      <c r="J7224" s="6" t="n">
        <f aca="false">Sens!J7217*(1-tax_f)-wacc*(Sens!I7218+Sens!J7218)/2</f>
        <v>11.6290722846142</v>
      </c>
      <c r="K7224" s="6" t="n">
        <f aca="false">Sens!K7217*(1-tax_f)-wacc*(Sens!J7218+Sens!K7218)/2</f>
        <v>18.9246701865588</v>
      </c>
    </row>
    <row r="7225" customFormat="false" ht="17.15" hidden="false" customHeight="false" outlineLevel="0" collapsed="false">
      <c r="A7225" s="3" t="s">
        <v>1422</v>
      </c>
    </row>
    <row r="7226" customFormat="false" ht="15" hidden="false" customHeight="false" outlineLevel="0" collapsed="false">
      <c r="A7226" s="4" t="s">
        <v>43</v>
      </c>
      <c r="B7226" s="4" t="s">
        <v>65</v>
      </c>
      <c r="C7226" s="20" t="s">
        <v>788</v>
      </c>
      <c r="D7226" s="20" t="s">
        <v>789</v>
      </c>
      <c r="E7226" s="20" t="s">
        <v>790</v>
      </c>
      <c r="F7226" s="20" t="s">
        <v>791</v>
      </c>
      <c r="G7226" s="20" t="s">
        <v>792</v>
      </c>
      <c r="H7226" s="20" t="s">
        <v>793</v>
      </c>
      <c r="I7226" s="20" t="s">
        <v>794</v>
      </c>
      <c r="J7226" s="20" t="s">
        <v>795</v>
      </c>
      <c r="K7226" s="20" t="s">
        <v>796</v>
      </c>
      <c r="L7226" s="4" t="s">
        <v>47</v>
      </c>
    </row>
    <row r="7227" customFormat="false" ht="15" hidden="false" customHeight="false" outlineLevel="0" collapsed="false">
      <c r="A7227" s="1" t="s">
        <v>915</v>
      </c>
      <c r="B7227" s="0" t="s">
        <v>98</v>
      </c>
      <c r="F7227" s="6" t="n">
        <f aca="false">Sens!F7208</f>
        <v>142.307108362895</v>
      </c>
      <c r="G7227" s="6" t="n">
        <f aca="false">Sens!G7208</f>
        <v>159.007388374863</v>
      </c>
      <c r="H7227" s="6" t="n">
        <f aca="false">Sens!H7208</f>
        <v>175.849881327715</v>
      </c>
      <c r="I7227" s="6" t="n">
        <f aca="false">Sens!I7208</f>
        <v>191.914053151731</v>
      </c>
      <c r="J7227" s="6" t="n">
        <f aca="false">Sens!J7208</f>
        <v>206.824181564517</v>
      </c>
      <c r="K7227" s="6" t="n">
        <f aca="false">Sens!K7208</f>
        <v>221.411848226026</v>
      </c>
    </row>
    <row r="7228" customFormat="false" ht="17.15" hidden="false" customHeight="false" outlineLevel="0" collapsed="false">
      <c r="A7228" s="1" t="s">
        <v>937</v>
      </c>
      <c r="B7228" s="0" t="s">
        <v>98</v>
      </c>
      <c r="E7228" s="6" t="n">
        <f aca="false">Q!M38-Sens!E7146</f>
        <v>22.2285940229167</v>
      </c>
      <c r="F7228" s="6" t="n">
        <f aca="false">Sens!E7228*(1-1/life_nonai)+Sens!F7234/life_nonai</f>
        <v>23.5876693435813</v>
      </c>
      <c r="G7228" s="6" t="n">
        <f aca="false">Sens!F7228*(1-1/life_nonai)+Sens!G7234/life_nonai</f>
        <v>25.3801917662621</v>
      </c>
      <c r="H7228" s="6" t="n">
        <f aca="false">Sens!G7228*(1-1/life_nonai)+Sens!H7234/life_nonai</f>
        <v>27.5713239540448</v>
      </c>
      <c r="I7228" s="6" t="n">
        <f aca="false">Sens!H7228*(1-1/life_nonai)+Sens!I7234/life_nonai</f>
        <v>30.0910315898047</v>
      </c>
      <c r="J7228" s="6" t="n">
        <f aca="false">Sens!I7228*(1-1/life_nonai)+Sens!J7234/life_nonai</f>
        <v>32.8530197558616</v>
      </c>
      <c r="K7228" s="6" t="n">
        <f aca="false">Sens!J7228*(1-1/life_nonai)+Sens!K7234/life_nonai</f>
        <v>35.7735880544749</v>
      </c>
      <c r="L7228" s="11" t="s">
        <v>938</v>
      </c>
    </row>
    <row r="7229" customFormat="false" ht="17.15" hidden="false" customHeight="false" outlineLevel="0" collapsed="false">
      <c r="A7229" s="1" t="s">
        <v>939</v>
      </c>
      <c r="B7229" s="0" t="s">
        <v>98</v>
      </c>
      <c r="E7229" s="6" t="n">
        <f aca="false">Sens!E7146+Sens!E7228</f>
        <v>38.534</v>
      </c>
      <c r="F7229" s="6" t="n">
        <f aca="false">Sens!F7146+Sens!F7228</f>
        <v>58.3082047994511</v>
      </c>
      <c r="G7229" s="6" t="n">
        <f aca="false">Sens!G7146+Sens!G7228</f>
        <v>85.8469250266016</v>
      </c>
      <c r="H7229" s="6" t="n">
        <f aca="false">Sens!H7146+Sens!H7228</f>
        <v>115.273639947184</v>
      </c>
      <c r="I7229" s="6" t="n">
        <f aca="false">Sens!I7146+Sens!I7228</f>
        <v>142.038071572026</v>
      </c>
      <c r="J7229" s="6" t="n">
        <f aca="false">Sens!J7146+Sens!J7228</f>
        <v>161.996730678527</v>
      </c>
      <c r="K7229" s="6" t="n">
        <f aca="false">Sens!K7146+Sens!K7228</f>
        <v>175.381234858948</v>
      </c>
    </row>
    <row r="7230" customFormat="false" ht="17.15" hidden="false" customHeight="false" outlineLevel="0" collapsed="false">
      <c r="A7230" s="1" t="s">
        <v>940</v>
      </c>
      <c r="B7230" s="0" t="s">
        <v>98</v>
      </c>
      <c r="F7230" s="6" t="n">
        <f aca="false">Sens!F7173*sbc_r</f>
        <v>15.0205887008474</v>
      </c>
      <c r="G7230" s="6" t="n">
        <f aca="false">Sens!G7173*sbc_r</f>
        <v>17.8986881913524</v>
      </c>
      <c r="H7230" s="6" t="n">
        <f aca="false">Sens!H7173*sbc_r</f>
        <v>20.8435244746383</v>
      </c>
      <c r="I7230" s="6" t="n">
        <f aca="false">Sens!I7173*sbc_r</f>
        <v>23.5520324795584</v>
      </c>
      <c r="J7230" s="6" t="n">
        <f aca="false">Sens!J7173*sbc_r</f>
        <v>25.7700122437068</v>
      </c>
      <c r="K7230" s="6" t="n">
        <f aca="false">Sens!K7173*sbc_r</f>
        <v>27.5589280045794</v>
      </c>
    </row>
    <row r="7231" customFormat="false" ht="17.15" hidden="false" customHeight="false" outlineLevel="0" collapsed="false">
      <c r="A7231" s="1" t="s">
        <v>941</v>
      </c>
      <c r="B7231" s="0" t="s">
        <v>98</v>
      </c>
      <c r="F7231" s="6" t="n">
        <f aca="false">wc27</f>
        <v>-4.895</v>
      </c>
      <c r="G7231" s="6" t="n">
        <f aca="false">wc_f</f>
        <v>0</v>
      </c>
      <c r="H7231" s="6" t="n">
        <f aca="false">wc_f</f>
        <v>0</v>
      </c>
      <c r="I7231" s="6" t="n">
        <f aca="false">wc_f</f>
        <v>0</v>
      </c>
      <c r="J7231" s="6" t="n">
        <f aca="false">wc_f</f>
        <v>0</v>
      </c>
      <c r="K7231" s="6" t="n">
        <f aca="false">wc_f</f>
        <v>0</v>
      </c>
      <c r="L7231" s="11" t="s">
        <v>942</v>
      </c>
    </row>
    <row r="7232" customFormat="false" ht="15" hidden="false" customHeight="false" outlineLevel="0" collapsed="false">
      <c r="A7232" s="1" t="s">
        <v>756</v>
      </c>
      <c r="B7232" s="0" t="s">
        <v>98</v>
      </c>
      <c r="E7232" s="6" t="n">
        <f aca="false">Q!M35</f>
        <v>182.935</v>
      </c>
      <c r="F7232" s="6" t="n">
        <f aca="false">Sens!F7227+Sens!F7229+Sens!F7230+Sens!F7231</f>
        <v>210.740901863194</v>
      </c>
      <c r="G7232" s="6" t="n">
        <f aca="false">Sens!G7227+Sens!G7229+Sens!G7230+Sens!G7231</f>
        <v>262.753001592817</v>
      </c>
      <c r="H7232" s="6" t="n">
        <f aca="false">Sens!H7227+Sens!H7229+Sens!H7230+Sens!H7231</f>
        <v>311.967045749538</v>
      </c>
      <c r="I7232" s="6" t="n">
        <f aca="false">Sens!I7227+Sens!I7229+Sens!I7230+Sens!I7231</f>
        <v>357.504157203316</v>
      </c>
      <c r="J7232" s="6" t="n">
        <f aca="false">Sens!J7227+Sens!J7229+Sens!J7230+Sens!J7231</f>
        <v>394.590924486752</v>
      </c>
      <c r="K7232" s="6" t="n">
        <f aca="false">Sens!K7227+Sens!K7229+Sens!K7230+Sens!K7231</f>
        <v>424.352011089554</v>
      </c>
    </row>
    <row r="7233" customFormat="false" ht="17.15" hidden="false" customHeight="false" outlineLevel="0" collapsed="false">
      <c r="A7233" s="0" t="s">
        <v>943</v>
      </c>
      <c r="B7233" s="0" t="s">
        <v>98</v>
      </c>
      <c r="F7233" s="6" t="n">
        <f aca="false">Sens!F7143</f>
        <v>168.380652770438</v>
      </c>
      <c r="G7233" s="6" t="n">
        <f aca="false">Sens!G7143</f>
        <v>183.5741804832</v>
      </c>
      <c r="H7233" s="6" t="n">
        <f aca="false">Sens!H7143</f>
        <v>188.0802859104</v>
      </c>
      <c r="I7233" s="6" t="n">
        <f aca="false">Sens!I7143</f>
        <v>163.706669154245</v>
      </c>
      <c r="J7233" s="6" t="n">
        <f aca="false">Sens!J7143</f>
        <v>124.51247671809</v>
      </c>
      <c r="K7233" s="6" t="n">
        <f aca="false">Sens!K7143</f>
        <v>114.959435641936</v>
      </c>
    </row>
    <row r="7234" customFormat="false" ht="17.15" hidden="false" customHeight="false" outlineLevel="0" collapsed="false">
      <c r="A7234" s="1" t="s">
        <v>944</v>
      </c>
      <c r="B7234" s="0" t="s">
        <v>98</v>
      </c>
      <c r="E7234" s="6" t="n">
        <f aca="false">Sens!E7151*cx_azo+Sens!E7158*cx_m365+Sens!E7159*cx_lic+(Sens!E7161+Sens!E7163)*cx_ind+Sens!E7166*cx_srch+(Sens!E7168+Sens!E7170)*cx_dev</f>
        <v>30.1846587067718</v>
      </c>
      <c r="F7234" s="6" t="n">
        <f aca="false">Sens!F7151*cx_azo+Sens!F7158*cx_m365+Sens!F7159*cx_lic+(Sens!F7161+Sens!F7163)*cx_ind+Sens!F7166*cx_srch+(Sens!F7168+Sens!F7170)*cx_dev</f>
        <v>35.8193472295625</v>
      </c>
      <c r="G7234" s="6" t="n">
        <f aca="false">Sens!G7151*cx_azo+Sens!G7158*cx_m365+Sens!G7159*cx_lic+(Sens!G7161+Sens!G7163)*cx_ind+Sens!G7166*cx_srch+(Sens!G7168+Sens!G7170)*cx_dev</f>
        <v>41.5128935703892</v>
      </c>
      <c r="H7234" s="6" t="n">
        <f aca="false">Sens!H7151*cx_azo+Sens!H7158*cx_m365+Sens!H7159*cx_lic+(Sens!H7161+Sens!H7163)*cx_ind+Sens!H7166*cx_srch+(Sens!H7168+Sens!H7170)*cx_dev</f>
        <v>47.2915136440897</v>
      </c>
      <c r="I7234" s="6" t="n">
        <f aca="false">Sens!I7151*cx_azo+Sens!I7158*cx_m365+Sens!I7159*cx_lic+(Sens!I7161+Sens!I7163)*cx_ind+Sens!I7166*cx_srch+(Sens!I7168+Sens!I7170)*cx_dev</f>
        <v>52.7684003116439</v>
      </c>
      <c r="J7234" s="6" t="n">
        <f aca="false">Sens!J7151*cx_azo+Sens!J7158*cx_m365+Sens!J7159*cx_lic+(Sens!J7161+Sens!J7163)*cx_ind+Sens!J7166*cx_srch+(Sens!J7168+Sens!J7170)*cx_dev</f>
        <v>57.7109132503738</v>
      </c>
      <c r="K7234" s="6" t="n">
        <f aca="false">Sens!K7151*cx_azo+Sens!K7158*cx_m365+Sens!K7159*cx_lic+(Sens!K7161+Sens!K7163)*cx_ind+Sens!K7166*cx_srch+(Sens!K7168+Sens!K7170)*cx_dev</f>
        <v>62.058702741994</v>
      </c>
    </row>
    <row r="7235" customFormat="false" ht="17.15" hidden="false" customHeight="false" outlineLevel="0" collapsed="false">
      <c r="A7235" s="1" t="s">
        <v>945</v>
      </c>
      <c r="B7235" s="0" t="s">
        <v>98</v>
      </c>
      <c r="E7235" s="6" t="n">
        <f aca="false">Q!M42</f>
        <v>145.3</v>
      </c>
      <c r="F7235" s="6" t="n">
        <f aca="false">Sens!F7233+Sens!F7234</f>
        <v>204.2</v>
      </c>
      <c r="G7235" s="6" t="n">
        <f aca="false">Sens!G7233+Sens!G7234</f>
        <v>225.087074053589</v>
      </c>
      <c r="H7235" s="6" t="n">
        <f aca="false">Sens!H7233+Sens!H7234</f>
        <v>235.37179955449</v>
      </c>
      <c r="I7235" s="6" t="n">
        <f aca="false">Sens!I7233+Sens!I7234</f>
        <v>216.475069465889</v>
      </c>
      <c r="J7235" s="6" t="n">
        <f aca="false">Sens!J7233+Sens!J7234</f>
        <v>182.223389968464</v>
      </c>
      <c r="K7235" s="6" t="n">
        <f aca="false">Sens!K7233+Sens!K7234</f>
        <v>177.01813838393</v>
      </c>
      <c r="L7235" s="1" t="s">
        <v>946</v>
      </c>
    </row>
    <row r="7236" customFormat="false" ht="15" hidden="false" customHeight="false" outlineLevel="0" collapsed="false">
      <c r="A7236" s="1" t="s">
        <v>947</v>
      </c>
      <c r="B7236" s="0" t="s">
        <v>98</v>
      </c>
      <c r="E7236" s="6" t="n">
        <f aca="false">fl_liab</f>
        <v>66.594</v>
      </c>
      <c r="F7236" s="6" t="n">
        <f aca="false">Sens!E7236-Sens!F7237</f>
        <v>62.46973</v>
      </c>
      <c r="G7236" s="6" t="n">
        <f aca="false">Sens!F7236-Sens!G7237</f>
        <v>57.98686785</v>
      </c>
      <c r="H7236" s="6" t="n">
        <f aca="false">Sens!G7236-Sens!H7237</f>
        <v>53.92827690325</v>
      </c>
      <c r="I7236" s="6" t="n">
        <f aca="false">Sens!H7236-Sens!I7237</f>
        <v>49.7850493638962</v>
      </c>
      <c r="J7236" s="6" t="n">
        <f aca="false">Sens!I7236-Sens!J7237</f>
        <v>45.4823765852716</v>
      </c>
      <c r="K7236" s="6" t="n">
        <f aca="false">Sens!J7236-Sens!K7237</f>
        <v>40.9860835316088</v>
      </c>
    </row>
    <row r="7237" customFormat="false" ht="15" hidden="false" customHeight="false" outlineLevel="0" collapsed="false">
      <c r="A7237" s="1" t="s">
        <v>948</v>
      </c>
      <c r="B7237" s="0" t="s">
        <v>98</v>
      </c>
      <c r="F7237" s="6" t="n">
        <f aca="false">fl_pay_27-Sens!E7236*fl_rate</f>
        <v>4.12427</v>
      </c>
      <c r="G7237" s="6" t="n">
        <f aca="false">fl_pay_28-Sens!F7236*fl_rate</f>
        <v>4.48286215</v>
      </c>
      <c r="H7237" s="6" t="n">
        <f aca="false">fl_pay_29-Sens!G7236*fl_rate</f>
        <v>4.05859094675</v>
      </c>
      <c r="I7237" s="6" t="n">
        <f aca="false">fl_pay_30-Sens!H7236*fl_rate</f>
        <v>4.14322753935375</v>
      </c>
      <c r="J7237" s="6" t="n">
        <f aca="false">fl_pay_31-Sens!I7236*fl_rate</f>
        <v>4.30267277862467</v>
      </c>
      <c r="K7237" s="6" t="n">
        <f aca="false">fl_pay_32-Sens!J7236*fl_rate</f>
        <v>4.49629305366278</v>
      </c>
    </row>
    <row r="7238" customFormat="false" ht="17.15" hidden="false" customHeight="false" outlineLevel="0" collapsed="false">
      <c r="A7238" s="1" t="s">
        <v>949</v>
      </c>
      <c r="B7238" s="0" t="s">
        <v>98</v>
      </c>
      <c r="E7238" s="6" t="n">
        <f aca="false">Q!M35-Q!M36-Q!M43</f>
        <v>63.886</v>
      </c>
      <c r="F7238" s="6" t="n">
        <f aca="false">Sens!F7232-Sens!F7235-Sens!F7237</f>
        <v>2.41663186319357</v>
      </c>
      <c r="G7238" s="6" t="n">
        <f aca="false">Sens!G7232-Sens!G7235-Sens!G7237</f>
        <v>33.1830653892276</v>
      </c>
      <c r="H7238" s="6" t="n">
        <f aca="false">Sens!H7232-Sens!H7235-Sens!H7237</f>
        <v>72.5366552482984</v>
      </c>
      <c r="I7238" s="6" t="n">
        <f aca="false">Sens!I7232-Sens!I7235-Sens!I7237</f>
        <v>136.885860198073</v>
      </c>
      <c r="J7238" s="6" t="n">
        <f aca="false">Sens!J7232-Sens!J7235-Sens!J7237</f>
        <v>208.064861739663</v>
      </c>
      <c r="K7238" s="6" t="n">
        <f aca="false">Sens!K7232-Sens!K7235-Sens!K7237</f>
        <v>242.837579651961</v>
      </c>
      <c r="L7238" s="11" t="s">
        <v>950</v>
      </c>
    </row>
    <row r="7239" customFormat="false" ht="15" hidden="false" customHeight="false" outlineLevel="0" collapsed="false">
      <c r="A7239" s="1" t="s">
        <v>951</v>
      </c>
      <c r="B7239" s="0" t="s">
        <v>75</v>
      </c>
      <c r="F7239" s="8" t="n">
        <f aca="false">dps_27</f>
        <v>3.85</v>
      </c>
      <c r="G7239" s="8" t="n">
        <f aca="false">Sens!F7239*(1+dps_g)</f>
        <v>4.158</v>
      </c>
      <c r="H7239" s="8" t="n">
        <f aca="false">Sens!G7239*(1+dps_g)</f>
        <v>4.49064</v>
      </c>
      <c r="I7239" s="8" t="n">
        <f aca="false">Sens!H7239*(1+dps_g)</f>
        <v>4.8498912</v>
      </c>
      <c r="J7239" s="8" t="n">
        <f aca="false">Sens!I7239*(1+dps_g)</f>
        <v>5.237882496</v>
      </c>
      <c r="K7239" s="8" t="n">
        <f aca="false">Sens!J7239*(1+dps_g)</f>
        <v>5.65691309568</v>
      </c>
    </row>
    <row r="7240" customFormat="false" ht="17.15" hidden="false" customHeight="false" outlineLevel="0" collapsed="false">
      <c r="A7240" s="1" t="s">
        <v>952</v>
      </c>
      <c r="B7240" s="0" t="s">
        <v>98</v>
      </c>
      <c r="E7240" s="6" t="n">
        <f aca="false">Q!M41</f>
        <v>26.445</v>
      </c>
      <c r="F7240" s="6" t="n">
        <f aca="false">Sens!F7239*Sens!E7249</f>
        <v>28.59395</v>
      </c>
      <c r="G7240" s="6" t="n">
        <f aca="false">Sens!G7239*Sens!F7249</f>
        <v>31.068576</v>
      </c>
      <c r="H7240" s="6" t="n">
        <f aca="false">Sens!H7239*Sens!G7249</f>
        <v>33.7402562554127</v>
      </c>
      <c r="I7240" s="6" t="n">
        <f aca="false">Sens!I7239*Sens!H7249</f>
        <v>36.4904159958451</v>
      </c>
      <c r="J7240" s="6" t="n">
        <f aca="false">Sens!J7239*Sens!I7249</f>
        <v>39.4780481238322</v>
      </c>
      <c r="K7240" s="6" t="n">
        <f aca="false">Sens!K7239*Sens!J7249</f>
        <v>42.7235471990438</v>
      </c>
      <c r="L7240" s="1" t="s">
        <v>953</v>
      </c>
    </row>
    <row r="7241" customFormat="false" ht="15" hidden="false" customHeight="false" outlineLevel="0" collapsed="false">
      <c r="A7241" s="1" t="s">
        <v>954</v>
      </c>
      <c r="B7241" s="0" t="s">
        <v>98</v>
      </c>
      <c r="E7241" s="6" t="n">
        <f aca="false">Sens!E7238-Sens!E7240</f>
        <v>37.441</v>
      </c>
      <c r="F7241" s="6" t="n">
        <f aca="false">Sens!F7238-Sens!F7240</f>
        <v>-26.1773181368064</v>
      </c>
      <c r="G7241" s="6" t="n">
        <f aca="false">Sens!G7238-Sens!G7240</f>
        <v>2.11448938922762</v>
      </c>
      <c r="H7241" s="6" t="n">
        <f aca="false">Sens!H7238-Sens!H7240</f>
        <v>38.7963989928857</v>
      </c>
      <c r="I7241" s="6" t="n">
        <f aca="false">Sens!I7238-Sens!I7240</f>
        <v>100.395444202227</v>
      </c>
      <c r="J7241" s="6" t="n">
        <f aca="false">Sens!J7238-Sens!J7240</f>
        <v>168.58681361583</v>
      </c>
      <c r="K7241" s="6" t="n">
        <f aca="false">Sens!K7238-Sens!K7240</f>
        <v>200.114032452918</v>
      </c>
    </row>
    <row r="7242" customFormat="false" ht="15" hidden="false" customHeight="false" outlineLevel="0" collapsed="false">
      <c r="A7242" s="1" t="s">
        <v>955</v>
      </c>
      <c r="B7242" s="0" t="s">
        <v>98</v>
      </c>
      <c r="F7242" s="6" t="n">
        <f aca="false">debt_mat_27</f>
        <v>9.25</v>
      </c>
      <c r="G7242" s="6" t="n">
        <f aca="false">debt_mat_28</f>
        <v>0</v>
      </c>
      <c r="H7242" s="6" t="n">
        <f aca="false">debt_mat_29</f>
        <v>2.001</v>
      </c>
      <c r="I7242" s="6" t="n">
        <f aca="false">debt_mat_30</f>
        <v>0</v>
      </c>
      <c r="J7242" s="6" t="n">
        <f aca="false">debt_mat_31</f>
        <v>0.5</v>
      </c>
      <c r="K7242" s="6" t="n">
        <f aca="false">debt_mat_32</f>
        <v>0</v>
      </c>
    </row>
    <row r="7243" customFormat="false" ht="15" hidden="false" customHeight="false" outlineLevel="0" collapsed="false">
      <c r="A7243" s="1" t="s">
        <v>956</v>
      </c>
      <c r="B7243" s="0" t="s">
        <v>98</v>
      </c>
      <c r="E7243" s="6" t="n">
        <f aca="false">Q!M40</f>
        <v>22.271</v>
      </c>
      <c r="F7243" s="6" t="n">
        <f aca="false">MAX(0,MIN(bb_target,Sens!E7245+Sens!F7241-Sens!F7242-min_cash))</f>
        <v>0</v>
      </c>
      <c r="G7243" s="6" t="n">
        <f aca="false">MAX(0,MIN(bb_target,Sens!F7245+Sens!G7241-Sens!G7242-min_cash))</f>
        <v>2.11448938922762</v>
      </c>
      <c r="H7243" s="6" t="n">
        <f aca="false">MAX(0,MIN(bb_target,Sens!G7245+Sens!H7241-Sens!H7242-min_cash))</f>
        <v>22.271</v>
      </c>
      <c r="I7243" s="6" t="n">
        <f aca="false">MAX(0,MIN(bb_target,Sens!H7245+Sens!I7241-Sens!I7242-min_cash))</f>
        <v>22.271</v>
      </c>
      <c r="J7243" s="6" t="n">
        <f aca="false">MAX(0,MIN(bb_target,Sens!I7245+Sens!J7241-Sens!J7242-min_cash))</f>
        <v>22.271</v>
      </c>
      <c r="K7243" s="6" t="n">
        <f aca="false">MAX(0,MIN(bb_target,Sens!J7245+Sens!K7241-Sens!K7242-min_cash))</f>
        <v>22.271</v>
      </c>
    </row>
    <row r="7244" customFormat="false" ht="15" hidden="false" customHeight="false" outlineLevel="0" collapsed="false">
      <c r="A7244" s="1" t="s">
        <v>957</v>
      </c>
      <c r="B7244" s="0" t="s">
        <v>98</v>
      </c>
      <c r="F7244" s="6" t="n">
        <f aca="false">MAX(0,min_cash-(Sens!E7245+Sens!F7241-Sens!F7242-Sens!F7243))</f>
        <v>8.58431813680643</v>
      </c>
      <c r="G7244" s="6" t="n">
        <f aca="false">MAX(0,min_cash-(Sens!F7245+Sens!G7241-Sens!G7242-Sens!G7243))</f>
        <v>0</v>
      </c>
      <c r="H7244" s="6" t="n">
        <f aca="false">MAX(0,min_cash-(Sens!G7245+Sens!H7241-Sens!H7242-Sens!H7243))</f>
        <v>0</v>
      </c>
      <c r="I7244" s="6" t="n">
        <f aca="false">MAX(0,min_cash-(Sens!H7245+Sens!I7241-Sens!I7242-Sens!I7243))</f>
        <v>0</v>
      </c>
      <c r="J7244" s="6" t="n">
        <f aca="false">MAX(0,min_cash-(Sens!I7245+Sens!J7241-Sens!J7242-Sens!J7243))</f>
        <v>0</v>
      </c>
      <c r="K7244" s="6" t="n">
        <f aca="false">MAX(0,min_cash-(Sens!J7245+Sens!K7241-Sens!K7242-Sens!K7243))</f>
        <v>0</v>
      </c>
    </row>
    <row r="7245" customFormat="false" ht="15" hidden="false" customHeight="false" outlineLevel="0" collapsed="false">
      <c r="A7245" s="1" t="s">
        <v>958</v>
      </c>
      <c r="B7245" s="0" t="s">
        <v>98</v>
      </c>
      <c r="E7245" s="6" t="n">
        <f aca="false">cash_open</f>
        <v>76.843</v>
      </c>
      <c r="F7245" s="6" t="n">
        <f aca="false">Sens!E7245+Sens!F7241-Sens!F7242-Sens!F7243+Sens!F7244</f>
        <v>50</v>
      </c>
      <c r="G7245" s="6" t="n">
        <f aca="false">Sens!F7245+Sens!G7241-Sens!G7242-Sens!G7243+Sens!G7244</f>
        <v>50</v>
      </c>
      <c r="H7245" s="6" t="n">
        <f aca="false">Sens!G7245+Sens!H7241-Sens!H7242-Sens!H7243+Sens!H7244</f>
        <v>64.5243989928857</v>
      </c>
      <c r="I7245" s="6" t="n">
        <f aca="false">Sens!H7245+Sens!I7241-Sens!I7242-Sens!I7243+Sens!I7244</f>
        <v>142.648843195113</v>
      </c>
      <c r="J7245" s="6" t="n">
        <f aca="false">Sens!I7245+Sens!J7241-Sens!J7242-Sens!J7243+Sens!J7244</f>
        <v>288.464656810944</v>
      </c>
      <c r="K7245" s="6" t="n">
        <f aca="false">Sens!J7245+Sens!K7241-Sens!K7242-Sens!K7243+Sens!K7244</f>
        <v>466.307689263861</v>
      </c>
    </row>
    <row r="7246" customFormat="false" ht="15" hidden="false" customHeight="false" outlineLevel="0" collapsed="false">
      <c r="A7246" s="1" t="s">
        <v>959</v>
      </c>
      <c r="B7246" s="0" t="s">
        <v>98</v>
      </c>
      <c r="E7246" s="6" t="n">
        <f aca="false">debt_face</f>
        <v>46.136</v>
      </c>
      <c r="F7246" s="6" t="n">
        <f aca="false">Sens!E7246-Sens!F7242+Sens!F7244</f>
        <v>45.4703181368064</v>
      </c>
      <c r="G7246" s="6" t="n">
        <f aca="false">Sens!F7246-Sens!G7242+Sens!G7244</f>
        <v>45.4703181368064</v>
      </c>
      <c r="H7246" s="6" t="n">
        <f aca="false">Sens!G7246-Sens!H7242+Sens!H7244</f>
        <v>43.4693181368064</v>
      </c>
      <c r="I7246" s="6" t="n">
        <f aca="false">Sens!H7246-Sens!I7242+Sens!I7244</f>
        <v>43.4693181368064</v>
      </c>
      <c r="J7246" s="6" t="n">
        <f aca="false">Sens!I7246-Sens!J7242+Sens!J7244</f>
        <v>42.9693181368064</v>
      </c>
      <c r="K7246" s="6" t="n">
        <f aca="false">Sens!J7246-Sens!K7242+Sens!K7244</f>
        <v>42.9693181368064</v>
      </c>
    </row>
    <row r="7247" customFormat="false" ht="15" hidden="false" customHeight="false" outlineLevel="0" collapsed="false">
      <c r="A7247" s="1" t="s">
        <v>960</v>
      </c>
      <c r="B7247" s="0" t="s">
        <v>98</v>
      </c>
      <c r="E7247" s="6" t="n">
        <f aca="false">Sens!E7245-Sens!E7246</f>
        <v>30.707</v>
      </c>
      <c r="F7247" s="6" t="n">
        <f aca="false">Sens!F7245-Sens!F7246</f>
        <v>4.52968186319357</v>
      </c>
      <c r="G7247" s="6" t="n">
        <f aca="false">Sens!G7245-Sens!G7246</f>
        <v>4.52968186319357</v>
      </c>
      <c r="H7247" s="6" t="n">
        <f aca="false">Sens!H7245-Sens!H7246</f>
        <v>21.0550808560793</v>
      </c>
      <c r="I7247" s="6" t="n">
        <f aca="false">Sens!I7245-Sens!I7246</f>
        <v>99.1795250583067</v>
      </c>
      <c r="J7247" s="6" t="n">
        <f aca="false">Sens!J7245-Sens!J7246</f>
        <v>245.495338674137</v>
      </c>
      <c r="K7247" s="6" t="n">
        <f aca="false">Sens!K7245-Sens!K7246</f>
        <v>423.338371127055</v>
      </c>
    </row>
    <row r="7248" customFormat="false" ht="15" hidden="false" customHeight="false" outlineLevel="0" collapsed="false">
      <c r="A7248" s="1" t="s">
        <v>961</v>
      </c>
      <c r="B7248" s="0" t="s">
        <v>75</v>
      </c>
      <c r="F7248" s="29" t="n">
        <f aca="false">px*(1+bb_g)^(Sens!F7112-base_fy-mid_yr)</f>
        <v>553.494156066711</v>
      </c>
      <c r="G7248" s="29" t="n">
        <f aca="false">px*(1+bb_g)^(Sens!G7112-base_fy-mid_yr)</f>
        <v>597.773688552047</v>
      </c>
      <c r="H7248" s="29" t="n">
        <f aca="false">px*(1+bb_g)^(Sens!H7112-base_fy-mid_yr)</f>
        <v>645.595583636211</v>
      </c>
      <c r="I7248" s="29" t="n">
        <f aca="false">px*(1+bb_g)^(Sens!I7112-base_fy-mid_yr)</f>
        <v>697.243230327108</v>
      </c>
      <c r="J7248" s="29" t="n">
        <f aca="false">px*(1+bb_g)^(Sens!J7112-base_fy-mid_yr)</f>
        <v>753.022688753277</v>
      </c>
      <c r="K7248" s="29" t="n">
        <f aca="false">px*(1+bb_g)^(Sens!K7112-base_fy-mid_yr)</f>
        <v>813.264503853539</v>
      </c>
    </row>
    <row r="7249" customFormat="false" ht="15" hidden="false" customHeight="false" outlineLevel="0" collapsed="false">
      <c r="A7249" s="1" t="s">
        <v>962</v>
      </c>
      <c r="B7249" s="1" t="s">
        <v>81</v>
      </c>
      <c r="E7249" s="14" t="n">
        <f aca="false">sh_out26</f>
        <v>7.427</v>
      </c>
      <c r="F7249" s="14" t="n">
        <f aca="false">Sens!E7249+sh_iss-Sens!F7243/Sens!F7248</f>
        <v>7.472</v>
      </c>
      <c r="G7249" s="14" t="n">
        <f aca="false">Sens!F7249+sh_iss-Sens!G7243/Sens!G7248</f>
        <v>7.5134627258949</v>
      </c>
      <c r="H7249" s="14" t="n">
        <f aca="false">Sens!G7249+sh_iss-Sens!H7243/Sens!H7248</f>
        <v>7.5239658975948</v>
      </c>
      <c r="I7249" s="14" t="n">
        <f aca="false">Sens!H7249+sh_iss-Sens!I7243/Sens!I7248</f>
        <v>7.53702438990952</v>
      </c>
      <c r="J7249" s="14" t="n">
        <f aca="false">Sens!I7249+sh_iss-Sens!J7243/Sens!J7248</f>
        <v>7.55244891983056</v>
      </c>
      <c r="K7249" s="14" t="n">
        <f aca="false">Sens!J7249+sh_iss-Sens!K7243/Sens!K7248</f>
        <v>7.57006422531301</v>
      </c>
    </row>
    <row r="7250" customFormat="false" ht="15" hidden="false" customHeight="false" outlineLevel="0" collapsed="false">
      <c r="A7250" s="1" t="s">
        <v>963</v>
      </c>
      <c r="B7250" s="1" t="s">
        <v>81</v>
      </c>
      <c r="E7250" s="14" t="n">
        <f aca="false">sh_dil26</f>
        <v>7.453</v>
      </c>
      <c r="F7250" s="14" t="n">
        <f aca="false">(Sens!E7249+Sens!F7249)/2+dil_gap</f>
        <v>7.4735</v>
      </c>
      <c r="G7250" s="14" t="n">
        <f aca="false">(Sens!F7249+Sens!G7249)/2+dil_gap</f>
        <v>7.51673136294745</v>
      </c>
      <c r="H7250" s="14" t="n">
        <f aca="false">(Sens!G7249+Sens!H7249)/2+dil_gap</f>
        <v>7.54271431174485</v>
      </c>
      <c r="I7250" s="14" t="n">
        <f aca="false">(Sens!H7249+Sens!I7249)/2+dil_gap</f>
        <v>7.55449514375216</v>
      </c>
      <c r="J7250" s="14" t="n">
        <f aca="false">(Sens!I7249+Sens!J7249)/2+dil_gap</f>
        <v>7.56873665487004</v>
      </c>
      <c r="K7250" s="14" t="n">
        <f aca="false">(Sens!J7249+Sens!K7249)/2+dil_gap</f>
        <v>7.58525657257179</v>
      </c>
    </row>
    <row r="7251" customFormat="false" ht="17.15" hidden="false" customHeight="false" outlineLevel="0" collapsed="false">
      <c r="A7251" s="1" t="s">
        <v>964</v>
      </c>
      <c r="B7251" s="0" t="s">
        <v>98</v>
      </c>
      <c r="C7251" s="6" t="n">
        <f aca="false">SUM(Sens!F7241:J7241)</f>
        <v>283.715828063365</v>
      </c>
    </row>
    <row r="7252" customFormat="false" ht="15" hidden="false" customHeight="false" outlineLevel="0" collapsed="false">
      <c r="A7252" s="23" t="s">
        <v>935</v>
      </c>
      <c r="B7252" s="30" t="s">
        <v>98</v>
      </c>
      <c r="C7252" s="24" t="n">
        <f aca="false">Sens!$C$7251-(Sens!F7241+Sens!G7241+Sens!H7241+Sens!I7241+Sens!J7241)</f>
        <v>0</v>
      </c>
      <c r="D7252" s="30"/>
      <c r="E7252" s="30"/>
      <c r="F7252" s="30"/>
      <c r="G7252" s="30"/>
      <c r="H7252" s="30"/>
      <c r="I7252" s="30"/>
      <c r="J7252" s="30"/>
      <c r="K7252" s="30"/>
    </row>
    <row r="7253" customFormat="false" ht="17.15" hidden="false" customHeight="false" outlineLevel="0" collapsed="false">
      <c r="A7253" s="1" t="s">
        <v>929</v>
      </c>
      <c r="B7253" s="1" t="s">
        <v>965</v>
      </c>
      <c r="C7253" s="32" t="str">
        <f aca="false">IF(SUM(Sens!F7244:J7244)&gt;0.05,"需要舉債 "&amp;TEXT(SUM(Sens!F7244:J7244),"0.0")&amp;" 十億美元","不需舉債")&amp;"；"&amp;IF(SUM(Sens!F7243:J7243)&lt;COUNT(Sens!F7243:J7243)*bb_target-0.05,"回購較每年 "&amp;TEXT(bb_target,"0.0")&amp;" 的目標少 "&amp;TEXT(COUNT(Sens!F7243:J7243)*bb_target-SUM(Sens!F7243:J7243),"0.0")&amp;" 十億美元（"&amp;TEXT(COUNTIF(Sens!F7243:J7243,"&lt;"&amp;(bb_target-0.05)),"0")&amp;" 年減少）","回購不減")</f>
        <v>需要舉債 8.6 十億美元；回購較每年 22.3 的目標少 42.4 十億美元（2 年減少）</v>
      </c>
    </row>
    <row r="7254" customFormat="false" ht="17.15" hidden="false" customHeight="false" outlineLevel="0" collapsed="false">
      <c r="A7254" s="3" t="s">
        <v>1423</v>
      </c>
    </row>
    <row r="7255" customFormat="false" ht="15" hidden="false" customHeight="false" outlineLevel="0" collapsed="false">
      <c r="A7255" s="4" t="s">
        <v>43</v>
      </c>
      <c r="B7255" s="4" t="s">
        <v>65</v>
      </c>
      <c r="C7255" s="20" t="s">
        <v>788</v>
      </c>
      <c r="D7255" s="20" t="s">
        <v>789</v>
      </c>
      <c r="E7255" s="20" t="s">
        <v>790</v>
      </c>
      <c r="F7255" s="20" t="s">
        <v>791</v>
      </c>
      <c r="G7255" s="20" t="s">
        <v>792</v>
      </c>
      <c r="H7255" s="20" t="s">
        <v>793</v>
      </c>
      <c r="I7255" s="20" t="s">
        <v>794</v>
      </c>
      <c r="J7255" s="20" t="s">
        <v>795</v>
      </c>
      <c r="K7255" s="20" t="s">
        <v>796</v>
      </c>
      <c r="L7255" s="4" t="s">
        <v>47</v>
      </c>
    </row>
    <row r="7256" customFormat="false" ht="15" hidden="false" customHeight="false" outlineLevel="0" collapsed="false">
      <c r="A7256" s="1" t="s">
        <v>1042</v>
      </c>
      <c r="B7256" s="1" t="s">
        <v>235</v>
      </c>
      <c r="F7256" s="36" t="n">
        <f aca="false">Sens!F7112-base_fy-mid_yr</f>
        <v>0.5</v>
      </c>
      <c r="G7256" s="36" t="n">
        <f aca="false">Sens!G7112-base_fy-mid_yr</f>
        <v>1.5</v>
      </c>
      <c r="H7256" s="36" t="n">
        <f aca="false">Sens!H7112-base_fy-mid_yr</f>
        <v>2.5</v>
      </c>
      <c r="I7256" s="36" t="n">
        <f aca="false">Sens!I7112-base_fy-mid_yr</f>
        <v>3.5</v>
      </c>
      <c r="J7256" s="36" t="n">
        <f aca="false">Sens!J7112-base_fy-mid_yr</f>
        <v>4.5</v>
      </c>
      <c r="K7256" s="36" t="n">
        <f aca="false">Sens!K7112-base_fy-mid_yr</f>
        <v>5.5</v>
      </c>
    </row>
    <row r="7257" customFormat="false" ht="15" hidden="false" customHeight="false" outlineLevel="0" collapsed="false">
      <c r="A7257" s="1" t="s">
        <v>1043</v>
      </c>
      <c r="B7257" s="0" t="s">
        <v>185</v>
      </c>
      <c r="F7257" s="14" t="n">
        <f aca="false">1/(1+wacc)^Sens!F7256</f>
        <v>0.952193373608246</v>
      </c>
      <c r="G7257" s="14" t="n">
        <f aca="false">1/(1+wacc)^Sens!G7256</f>
        <v>0.863327280626589</v>
      </c>
      <c r="H7257" s="14" t="n">
        <f aca="false">1/(1+wacc)^Sens!H7256</f>
        <v>0.782754862754115</v>
      </c>
      <c r="I7257" s="14" t="n">
        <f aca="false">1/(1+wacc)^Sens!I7256</f>
        <v>0.709702089711011</v>
      </c>
      <c r="J7257" s="14" t="n">
        <f aca="false">1/(1+wacc)^Sens!J7256</f>
        <v>0.643467169744551</v>
      </c>
      <c r="K7257" s="14" t="n">
        <f aca="false">1/(1+wacc)^Sens!K7256</f>
        <v>0.583413807767797</v>
      </c>
    </row>
    <row r="7258" customFormat="false" ht="17.15" hidden="false" customHeight="false" outlineLevel="0" collapsed="false">
      <c r="A7258" s="1" t="s">
        <v>1044</v>
      </c>
      <c r="B7258" s="0" t="s">
        <v>98</v>
      </c>
      <c r="F7258" s="6" t="n">
        <f aca="false">Sens!F7232-Sens!F7230-Sens!F7235+Sens!F7216*(1-tax_f)</f>
        <v>6.37272982150553</v>
      </c>
      <c r="G7258" s="6" t="n">
        <f aca="false">Sens!G7232-Sens!G7230-Sens!G7235+Sens!G7216*(1-tax_f)</f>
        <v>46.2316417324757</v>
      </c>
      <c r="H7258" s="6" t="n">
        <f aca="false">Sens!H7232-Sens!H7230-Sens!H7235+Sens!H7216*(1-tax_f)</f>
        <v>94.9100747048119</v>
      </c>
      <c r="I7258" s="6" t="n">
        <f aca="false">Sens!I7232-Sens!I7230-Sens!I7235+Sens!I7216*(1-tax_f)</f>
        <v>168.328964332815</v>
      </c>
      <c r="J7258" s="6" t="n">
        <f aca="false">Sens!J7232-Sens!J7230-Sens!J7235+Sens!J7216*(1-tax_f)</f>
        <v>245.66620444452</v>
      </c>
      <c r="K7258" s="6" t="n">
        <f aca="false">Sens!K7232-Sens!K7230-Sens!K7235+Sens!K7216*(1-tax_f)</f>
        <v>283.2832312363</v>
      </c>
      <c r="L7258" s="1" t="s">
        <v>1045</v>
      </c>
    </row>
    <row r="7259" customFormat="false" ht="15" hidden="false" customHeight="false" outlineLevel="0" collapsed="false">
      <c r="A7259" s="1" t="s">
        <v>1046</v>
      </c>
      <c r="B7259" s="0" t="s">
        <v>98</v>
      </c>
      <c r="F7259" s="6" t="n">
        <f aca="false">Sens!F7258*Sens!F7257</f>
        <v>6.06807110783323</v>
      </c>
      <c r="G7259" s="6" t="n">
        <f aca="false">Sens!G7258*Sens!G7257</f>
        <v>39.9130375358009</v>
      </c>
      <c r="H7259" s="6" t="n">
        <f aca="false">Sens!H7258*Sens!H7257</f>
        <v>74.2913224995479</v>
      </c>
      <c r="I7259" s="6" t="n">
        <f aca="false">Sens!I7258*Sens!I7257</f>
        <v>119.463417745889</v>
      </c>
      <c r="J7259" s="6" t="n">
        <f aca="false">Sens!J7258*Sens!J7257</f>
        <v>158.078137275802</v>
      </c>
      <c r="K7259" s="6" t="n">
        <f aca="false">Sens!K7258*Sens!K7257</f>
        <v>165.271348612335</v>
      </c>
    </row>
    <row r="7260" customFormat="false" ht="17.15" hidden="false" customHeight="false" outlineLevel="0" collapsed="false">
      <c r="A7260" s="1" t="s">
        <v>1047</v>
      </c>
      <c r="B7260" s="0" t="s">
        <v>98</v>
      </c>
      <c r="C7260" s="6" t="n">
        <f aca="false">SUM(Sens!F7259:K7259)</f>
        <v>563.085334777207</v>
      </c>
    </row>
    <row r="7261" customFormat="false" ht="17.15" hidden="false" customHeight="false" outlineLevel="0" collapsed="false">
      <c r="A7261" s="1" t="s">
        <v>1048</v>
      </c>
      <c r="B7261" s="0" t="s">
        <v>98</v>
      </c>
      <c r="C7261" s="6" t="n">
        <f aca="false">Sens!K7202*(1+g_tv)*(1-tax_f)</f>
        <v>293.79733880412</v>
      </c>
    </row>
    <row r="7262" customFormat="false" ht="17.15" hidden="false" customHeight="false" outlineLevel="0" collapsed="false">
      <c r="A7262" s="1" t="s">
        <v>1049</v>
      </c>
      <c r="B7262" s="0" t="s">
        <v>98</v>
      </c>
      <c r="C7262" s="6" t="n">
        <f aca="false">Sens!$C$7261*(1-g_tv/(wacc+ronic_prem))</f>
        <v>208.170780106155</v>
      </c>
    </row>
    <row r="7263" customFormat="false" ht="17.15" hidden="false" customHeight="false" outlineLevel="0" collapsed="false">
      <c r="A7263" s="1" t="s">
        <v>1050</v>
      </c>
      <c r="B7263" s="0" t="s">
        <v>98</v>
      </c>
      <c r="C7263" s="6" t="n">
        <f aca="false">Sens!$C$7262/(wacc-g_tv)</f>
        <v>2854.2186232655</v>
      </c>
    </row>
    <row r="7264" customFormat="false" ht="15" hidden="false" customHeight="false" outlineLevel="0" collapsed="false">
      <c r="A7264" s="1" t="s">
        <v>1051</v>
      </c>
      <c r="B7264" s="0" t="s">
        <v>98</v>
      </c>
      <c r="C7264" s="6" t="n">
        <f aca="false">Sens!$C$7263/(1+wacc)^(Sens!K7256+mid_yr)</f>
        <v>1585.58341245751</v>
      </c>
    </row>
    <row r="7265" customFormat="false" ht="17.15" hidden="false" customHeight="false" outlineLevel="0" collapsed="false">
      <c r="A7265" s="0" t="s">
        <v>972</v>
      </c>
      <c r="B7265" s="0" t="s">
        <v>98</v>
      </c>
      <c r="C7265" s="6" t="n">
        <f aca="false">Sens!$C$7260+Sens!$C$7264</f>
        <v>2148.66874723471</v>
      </c>
    </row>
    <row r="7266" customFormat="false" ht="15" hidden="false" customHeight="false" outlineLevel="0" collapsed="false">
      <c r="A7266" s="1" t="s">
        <v>973</v>
      </c>
      <c r="B7266" s="0" t="s">
        <v>129</v>
      </c>
      <c r="C7266" s="7" t="n">
        <f aca="false">Sens!$C$7264/Sens!$C$7265</f>
        <v>0.73793757855794</v>
      </c>
    </row>
    <row r="7267" customFormat="false" ht="17.15" hidden="false" customHeight="false" outlineLevel="0" collapsed="false">
      <c r="A7267" s="1" t="s">
        <v>1052</v>
      </c>
      <c r="B7267" s="0" t="s">
        <v>98</v>
      </c>
      <c r="C7267" s="6" t="n">
        <f aca="false">Sens!$C$7265+Sens!E7247-Sens!E7236+oai_v</f>
        <v>2283.18174723471</v>
      </c>
    </row>
    <row r="7268" customFormat="false" ht="17.15" hidden="false" customHeight="false" outlineLevel="0" collapsed="false">
      <c r="A7268" s="0" t="s">
        <v>980</v>
      </c>
      <c r="B7268" s="0" t="s">
        <v>75</v>
      </c>
      <c r="C7268" s="5" t="n">
        <f aca="false">Sens!$C$7267/sh_dil26</f>
        <v>306.343988626689</v>
      </c>
    </row>
    <row r="7269" customFormat="false" ht="15" hidden="false" customHeight="false" outlineLevel="0" collapsed="false">
      <c r="A7269" s="1" t="s">
        <v>1053</v>
      </c>
      <c r="B7269" s="0" t="s">
        <v>75</v>
      </c>
      <c r="C7269" s="8" t="n">
        <f aca="false">dps_27+Sens!G7239*roll_div_q/q_per_yr</f>
        <v>4.8895</v>
      </c>
    </row>
    <row r="7270" customFormat="false" ht="17.15" hidden="false" customHeight="false" outlineLevel="0" collapsed="false">
      <c r="A7270" s="0" t="s">
        <v>1054</v>
      </c>
      <c r="B7270" s="0" t="s">
        <v>75</v>
      </c>
      <c r="C7270" s="5" t="n">
        <f aca="false">Sens!$C$7268*(1+wacc)^t_roll-Sens!$C$7269</f>
        <v>343.954628529705</v>
      </c>
    </row>
    <row r="7271" customFormat="false" ht="17.15" hidden="false" customHeight="false" outlineLevel="0" collapsed="false">
      <c r="A7271" s="1" t="s">
        <v>1055</v>
      </c>
      <c r="B7271" s="0" t="s">
        <v>129</v>
      </c>
      <c r="F7271" s="7" t="n">
        <f aca="false">Sens!F7228/(Sens!F7173-Sens!F7129)</f>
        <v>0.0680263557388621</v>
      </c>
      <c r="G7271" s="7" t="n">
        <f aca="false">Sens!G7228/(Sens!G7173-Sens!G7129)</f>
        <v>0.0651865700614304</v>
      </c>
      <c r="H7271" s="7" t="n">
        <f aca="false">Sens!H7228/(Sens!H7173-Sens!H7129)</f>
        <v>0.0637137429677068</v>
      </c>
      <c r="I7271" s="7" t="n">
        <f aca="false">Sens!I7228/(Sens!I7173-Sens!I7129)</f>
        <v>0.0635008223865933</v>
      </c>
      <c r="J7271" s="7" t="n">
        <f aca="false">Sens!J7228/(Sens!J7173-Sens!J7129)</f>
        <v>0.0642458377428559</v>
      </c>
      <c r="K7271" s="7" t="n">
        <f aca="false">Sens!K7228/(Sens!K7173-Sens!K7129)</f>
        <v>0.0655655177743132</v>
      </c>
    </row>
    <row r="7272" customFormat="false" ht="17.15" hidden="false" customHeight="false" outlineLevel="0" collapsed="false">
      <c r="A7272" s="0" t="s">
        <v>1056</v>
      </c>
      <c r="B7272" s="0" t="s">
        <v>98</v>
      </c>
      <c r="F7272" s="6" t="n">
        <f aca="false">Sens!F7158*(al_m365+Sens!F7271+sbc_r)</f>
        <v>85.5607349118095</v>
      </c>
      <c r="G7272" s="6" t="n">
        <f aca="false">Sens!G7158*(al_m365+Sens!G7271+sbc_r)</f>
        <v>98.8122547507488</v>
      </c>
      <c r="H7272" s="6" t="n">
        <f aca="false">Sens!H7158*(al_m365+Sens!H7271+sbc_r)</f>
        <v>112.229649039711</v>
      </c>
      <c r="I7272" s="6" t="n">
        <f aca="false">Sens!I7158*(al_m365+Sens!I7271+sbc_r)</f>
        <v>124.430654723399</v>
      </c>
      <c r="J7272" s="6" t="n">
        <f aca="false">Sens!J7158*(al_m365+Sens!J7271+sbc_r)</f>
        <v>135.226742484823</v>
      </c>
      <c r="K7272" s="6" t="n">
        <f aca="false">Sens!K7158*(al_m365+Sens!K7271+sbc_r)</f>
        <v>145.635376634112</v>
      </c>
      <c r="L7272" s="11" t="s">
        <v>1057</v>
      </c>
    </row>
    <row r="7273" customFormat="false" ht="17.15" hidden="false" customHeight="false" outlineLevel="0" collapsed="false">
      <c r="A7273" s="0" t="s">
        <v>1058</v>
      </c>
      <c r="B7273" s="0" t="s">
        <v>98</v>
      </c>
      <c r="F7273" s="6" t="n">
        <f aca="false">Sens!F7159*(al_lic+Sens!F7271+sbc_r)</f>
        <v>33.4226095463223</v>
      </c>
      <c r="G7273" s="6" t="n">
        <f aca="false">Sens!G7159*(al_lic+Sens!G7271+sbc_r)</f>
        <v>34.7222114122201</v>
      </c>
      <c r="H7273" s="6" t="n">
        <f aca="false">Sens!H7159*(al_lic+Sens!H7271+sbc_r)</f>
        <v>35.9363498770785</v>
      </c>
      <c r="I7273" s="6" t="n">
        <f aca="false">Sens!I7159*(al_lic+Sens!I7271+sbc_r)</f>
        <v>37.0472924158161</v>
      </c>
      <c r="J7273" s="6" t="n">
        <f aca="false">Sens!J7159*(al_lic+Sens!J7271+sbc_r)</f>
        <v>38.0284548742154</v>
      </c>
      <c r="K7273" s="6" t="n">
        <f aca="false">Sens!K7159*(al_lic+Sens!K7271+sbc_r)</f>
        <v>38.8491312895627</v>
      </c>
    </row>
    <row r="7274" customFormat="false" ht="17.15" hidden="false" customHeight="false" outlineLevel="0" collapsed="false">
      <c r="A7274" s="0" t="s">
        <v>1059</v>
      </c>
      <c r="B7274" s="0" t="s">
        <v>98</v>
      </c>
      <c r="F7274" s="6" t="n">
        <f aca="false">Sens!F7161*(al_ind+Sens!F7271+sbc_r)</f>
        <v>9.06381703589078</v>
      </c>
      <c r="G7274" s="6" t="n">
        <f aca="false">Sens!G7161*(al_ind+Sens!G7271+sbc_r)</f>
        <v>9.83847313154165</v>
      </c>
      <c r="H7274" s="6" t="n">
        <f aca="false">Sens!H7161*(al_ind+Sens!H7271+sbc_r)</f>
        <v>10.6586557192097</v>
      </c>
      <c r="I7274" s="6" t="n">
        <f aca="false">Sens!I7161*(al_ind+Sens!I7271+sbc_r)</f>
        <v>11.5218770025847</v>
      </c>
      <c r="J7274" s="6" t="n">
        <f aca="false">Sens!J7161*(al_ind+Sens!J7271+sbc_r)</f>
        <v>12.4180514681521</v>
      </c>
      <c r="K7274" s="6" t="n">
        <f aca="false">Sens!K7161*(al_ind+Sens!K7271+sbc_r)</f>
        <v>13.3309748403223</v>
      </c>
    </row>
    <row r="7275" customFormat="false" ht="17.15" hidden="false" customHeight="false" outlineLevel="0" collapsed="false">
      <c r="A7275" s="0" t="s">
        <v>1060</v>
      </c>
      <c r="B7275" s="0" t="s">
        <v>98</v>
      </c>
      <c r="F7275" s="6" t="n">
        <f aca="false">Sens!F7163*(al_fro+Sens!F7271+sbc_r)</f>
        <v>3.56755020658391</v>
      </c>
      <c r="G7275" s="6" t="n">
        <f aca="false">Sens!G7163*(al_fro+Sens!G7271+sbc_r)</f>
        <v>3.77739201551659</v>
      </c>
      <c r="H7275" s="6" t="n">
        <f aca="false">Sens!H7163*(al_fro+Sens!H7271+sbc_r)</f>
        <v>4.01654629471054</v>
      </c>
      <c r="I7275" s="6" t="n">
        <f aca="false">Sens!I7163*(al_fro+Sens!I7271+sbc_r)</f>
        <v>4.28797368567062</v>
      </c>
      <c r="J7275" s="6" t="n">
        <f aca="false">Sens!J7163*(al_fro+Sens!J7271+sbc_r)</f>
        <v>4.59267265775507</v>
      </c>
      <c r="K7275" s="6" t="n">
        <f aca="false">Sens!K7163*(al_fro+Sens!K7271+sbc_r)</f>
        <v>4.93030680436372</v>
      </c>
    </row>
    <row r="7276" customFormat="false" ht="17.15" hidden="false" customHeight="false" outlineLevel="0" collapsed="false">
      <c r="A7276" s="0" t="s">
        <v>1061</v>
      </c>
      <c r="B7276" s="0" t="s">
        <v>98</v>
      </c>
      <c r="F7276" s="6" t="n">
        <f aca="false">Sens!F7166*(al_srch+Sens!F7271+sbc_r)</f>
        <v>11.1939449938246</v>
      </c>
      <c r="G7276" s="6" t="n">
        <f aca="false">Sens!G7166*(al_srch+Sens!G7271+sbc_r)</f>
        <v>12.2653026313635</v>
      </c>
      <c r="H7276" s="6" t="n">
        <f aca="false">Sens!H7166*(al_srch+Sens!H7271+sbc_r)</f>
        <v>13.3823290153511</v>
      </c>
      <c r="I7276" s="6" t="n">
        <f aca="false">Sens!I7166*(al_srch+Sens!I7271+sbc_r)</f>
        <v>14.5351110239122</v>
      </c>
      <c r="J7276" s="6" t="n">
        <f aca="false">Sens!J7166*(al_srch+Sens!J7271+sbc_r)</f>
        <v>15.7032041974673</v>
      </c>
      <c r="K7276" s="6" t="n">
        <f aca="false">Sens!K7166*(al_srch+Sens!K7271+sbc_r)</f>
        <v>16.8576383022539</v>
      </c>
    </row>
    <row r="7277" customFormat="false" ht="17.15" hidden="false" customHeight="false" outlineLevel="0" collapsed="false">
      <c r="A7277" s="0" t="s">
        <v>1062</v>
      </c>
      <c r="B7277" s="0" t="s">
        <v>98</v>
      </c>
      <c r="F7277" s="6" t="n">
        <f aca="false">Sens!F7135-Sens!F7136+Sens!F7216</f>
        <v>51.4920310226333</v>
      </c>
      <c r="G7277" s="6" t="n">
        <f aca="false">Sens!G7135-Sens!G7136+Sens!G7216</f>
        <v>88.8486263643916</v>
      </c>
      <c r="H7277" s="6" t="n">
        <f aca="false">Sens!H7135-Sens!H7136+Sens!H7216</f>
        <v>128.904155712351</v>
      </c>
      <c r="I7277" s="6" t="n">
        <f aca="false">Sens!I7135-Sens!I7136+Sens!I7216</f>
        <v>165.144124529674</v>
      </c>
      <c r="J7277" s="6" t="n">
        <f aca="false">Sens!J7135-Sens!J7136+Sens!J7216</f>
        <v>190.714923760658</v>
      </c>
      <c r="K7277" s="6" t="n">
        <f aca="false">Sens!K7135-Sens!K7136+Sens!K7216</f>
        <v>206.359246350794</v>
      </c>
    </row>
    <row r="7278" customFormat="false" ht="17.15" hidden="false" customHeight="false" outlineLevel="0" collapsed="false">
      <c r="A7278" s="0" t="s">
        <v>1063</v>
      </c>
      <c r="B7278" s="0" t="s">
        <v>98</v>
      </c>
      <c r="F7278" s="6" t="n">
        <f aca="false">Sens!F7195+Sens!F7216+Sens!F7146+Sens!F7271*(Sens!F7165-Sens!F7129)+sbc_r*Sens!F7165</f>
        <v>244.016243240635</v>
      </c>
      <c r="G7278" s="6" t="n">
        <f aca="false">Sens!G7195+Sens!G7216+Sens!G7146+Sens!G7271*(Sens!G7165-Sens!G7129)+sbc_r*Sens!G7165</f>
        <v>309.217295383446</v>
      </c>
      <c r="H7278" s="6" t="n">
        <f aca="false">Sens!H7195+Sens!H7216+Sens!H7146+Sens!H7271*(Sens!H7165-Sens!H7129)+sbc_r*Sens!H7165</f>
        <v>377.634295947562</v>
      </c>
      <c r="I7278" s="6" t="n">
        <f aca="false">Sens!I7195+Sens!I7216+Sens!I7146+Sens!I7271*(Sens!I7165-Sens!I7129)+sbc_r*Sens!I7165</f>
        <v>440.688883815473</v>
      </c>
      <c r="J7278" s="6" t="n">
        <f aca="false">Sens!J7195+Sens!J7216+Sens!J7146+Sens!J7271*(Sens!J7165-Sens!J7129)+sbc_r*Sens!J7165</f>
        <v>490.454639479307</v>
      </c>
      <c r="K7278" s="6" t="n">
        <f aca="false">Sens!K7195+Sens!K7216+Sens!K7146+Sens!K7271*(Sens!K7165-Sens!K7129)+sbc_r*Sens!K7165</f>
        <v>527.928488597144</v>
      </c>
    </row>
    <row r="7279" customFormat="false" ht="17.15" hidden="false" customHeight="false" outlineLevel="0" collapsed="false">
      <c r="A7279" s="0" t="s">
        <v>1064</v>
      </c>
      <c r="B7279" s="0" t="s">
        <v>98</v>
      </c>
      <c r="F7279" s="6" t="n">
        <f aca="false">Sens!F7278-Sens!F7272-Sens!F7273-Sens!F7274-Sens!F7275-Sens!F7277</f>
        <v>60.9095005173953</v>
      </c>
      <c r="G7279" s="6" t="n">
        <f aca="false">Sens!G7278-Sens!G7272-Sens!G7273-Sens!G7274-Sens!G7275-Sens!G7277</f>
        <v>73.2183377090271</v>
      </c>
      <c r="H7279" s="6" t="n">
        <f aca="false">Sens!H7278-Sens!H7272-Sens!H7273-Sens!H7274-Sens!H7275-Sens!H7277</f>
        <v>85.8889393045016</v>
      </c>
      <c r="I7279" s="6" t="n">
        <f aca="false">Sens!I7278-Sens!I7272-Sens!I7273-Sens!I7274-Sens!I7275-Sens!I7277</f>
        <v>98.2569614583282</v>
      </c>
      <c r="J7279" s="6" t="n">
        <f aca="false">Sens!J7278-Sens!J7272-Sens!J7273-Sens!J7274-Sens!J7275-Sens!J7277</f>
        <v>109.473794233704</v>
      </c>
      <c r="K7279" s="6" t="n">
        <f aca="false">Sens!K7278-Sens!K7272-Sens!K7273-Sens!K7274-Sens!K7275-Sens!K7277</f>
        <v>118.823452677989</v>
      </c>
    </row>
    <row r="7280" customFormat="false" ht="17.15" hidden="false" customHeight="false" outlineLevel="0" collapsed="false">
      <c r="A7280" s="0" t="s">
        <v>1065</v>
      </c>
      <c r="B7280" s="0" t="s">
        <v>98</v>
      </c>
      <c r="F7280" s="6" t="n">
        <f aca="false">Sens!F7197+Sens!F7271*Sens!F7172+sbc_r*Sens!F7172</f>
        <v>26.1619565372315</v>
      </c>
      <c r="G7280" s="6" t="n">
        <f aca="false">Sens!G7197+Sens!G7271*Sens!G7172+sbc_r*Sens!G7172</f>
        <v>26.7680562838373</v>
      </c>
      <c r="H7280" s="6" t="n">
        <f aca="false">Sens!H7197+Sens!H7271*Sens!H7172+sbc_r*Sens!H7172</f>
        <v>27.6431613644067</v>
      </c>
      <c r="I7280" s="6" t="n">
        <f aca="false">Sens!I7197+Sens!I7271*Sens!I7172+sbc_r*Sens!I7172</f>
        <v>28.758673019459</v>
      </c>
      <c r="J7280" s="6" t="n">
        <f aca="false">Sens!J7197+Sens!J7271*Sens!J7172+sbc_r*Sens!J7172</f>
        <v>30.0781831109987</v>
      </c>
      <c r="K7280" s="6" t="n">
        <f aca="false">Sens!K7197+Sens!K7271*Sens!K7172+sbc_r*Sens!K7172</f>
        <v>31.5618427179858</v>
      </c>
    </row>
    <row r="7281" customFormat="false" ht="17.15" hidden="false" customHeight="false" outlineLevel="0" collapsed="false">
      <c r="A7281" s="0" t="s">
        <v>1066</v>
      </c>
      <c r="B7281" s="0" t="s">
        <v>98</v>
      </c>
      <c r="F7281" s="6" t="n">
        <f aca="false">(Sens!F7280-Sens!F7276)*Sens!F7168/(Sens!F7168+Sens!F7170)</f>
        <v>8.2053181417757</v>
      </c>
      <c r="G7281" s="6" t="n">
        <f aca="false">(Sens!G7280-Sens!G7276)*Sens!G7168/(Sens!G7168+Sens!G7170)</f>
        <v>7.80851551342877</v>
      </c>
      <c r="H7281" s="6" t="n">
        <f aca="false">(Sens!H7280-Sens!H7276)*Sens!H7168/(Sens!H7168+Sens!H7170)</f>
        <v>7.57454072091135</v>
      </c>
      <c r="I7281" s="6" t="n">
        <f aca="false">(Sens!I7280-Sens!I7276)*Sens!I7168/(Sens!I7168+Sens!I7170)</f>
        <v>7.48638940752823</v>
      </c>
      <c r="J7281" s="6" t="n">
        <f aca="false">(Sens!J7280-Sens!J7276)*Sens!J7168/(Sens!J7168+Sens!J7170)</f>
        <v>7.53187219940811</v>
      </c>
      <c r="K7281" s="6" t="n">
        <f aca="false">(Sens!K7280-Sens!K7276)*Sens!K7168/(Sens!K7168+Sens!K7170)</f>
        <v>7.70437223730562</v>
      </c>
    </row>
    <row r="7282" customFormat="false" ht="17.15" hidden="false" customHeight="false" outlineLevel="0" collapsed="false">
      <c r="A7282" s="0" t="s">
        <v>1067</v>
      </c>
      <c r="B7282" s="0" t="s">
        <v>98</v>
      </c>
      <c r="F7282" s="6" t="n">
        <f aca="false">Sens!F7280-Sens!F7276-Sens!F7281</f>
        <v>6.76269340163125</v>
      </c>
      <c r="G7282" s="6" t="n">
        <f aca="false">Sens!G7280-Sens!G7276-Sens!G7281</f>
        <v>6.69423813904503</v>
      </c>
      <c r="H7282" s="6" t="n">
        <f aca="false">Sens!H7280-Sens!H7276-Sens!H7281</f>
        <v>6.68629162814427</v>
      </c>
      <c r="I7282" s="6" t="n">
        <f aca="false">Sens!I7280-Sens!I7276-Sens!I7281</f>
        <v>6.73717258801856</v>
      </c>
      <c r="J7282" s="6" t="n">
        <f aca="false">Sens!J7280-Sens!J7276-Sens!J7281</f>
        <v>6.84310671412337</v>
      </c>
      <c r="K7282" s="6" t="n">
        <f aca="false">Sens!K7280-Sens!K7276-Sens!K7281</f>
        <v>6.99983217842635</v>
      </c>
    </row>
    <row r="7283" customFormat="false" ht="17.15" hidden="false" customHeight="false" outlineLevel="0" collapsed="false">
      <c r="A7283" s="0" t="s">
        <v>1068</v>
      </c>
      <c r="B7283" s="0" t="s">
        <v>98</v>
      </c>
      <c r="F7283" s="6" t="n">
        <f aca="false">Sens!F7277-tax_f*(Sens!F7277-Sens!F7146)-Sens!F7143</f>
        <v>-120.242920861157</v>
      </c>
      <c r="G7283" s="6" t="n">
        <f aca="false">Sens!G7277-tax_f*(Sens!G7277-Sens!G7146)-Sens!G7143</f>
        <v>-100.401932739619</v>
      </c>
      <c r="H7283" s="6" t="n">
        <f aca="false">Sens!H7277-tax_f*(Sens!H7277-Sens!H7146)-Sens!H7143</f>
        <v>-67.4164981418911</v>
      </c>
      <c r="I7283" s="6" t="n">
        <f aca="false">Sens!I7277-tax_f*(Sens!I7277-Sens!I7146)-Sens!I7143</f>
        <v>-9.20196153406215</v>
      </c>
      <c r="J7283" s="6" t="n">
        <f aca="false">Sens!J7277-tax_f*(Sens!J7277-Sens!J7146)-Sens!J7143</f>
        <v>53.8882044749689</v>
      </c>
      <c r="K7283" s="6" t="n">
        <f aca="false">Sens!K7277-tax_f*(Sens!K7277-Sens!K7146)-Sens!K7143</f>
        <v>78.0494907995938</v>
      </c>
    </row>
    <row r="7284" customFormat="false" ht="17.15" hidden="false" customHeight="false" outlineLevel="0" collapsed="false">
      <c r="A7284" s="0" t="s">
        <v>1069</v>
      </c>
      <c r="B7284" s="0" t="s">
        <v>98</v>
      </c>
      <c r="F7284" s="6" t="n">
        <f aca="false">Sens!F7283*Sens!F7257</f>
        <v>-114.494512467294</v>
      </c>
      <c r="G7284" s="6" t="n">
        <f aca="false">Sens!G7283*Sens!G7257</f>
        <v>-86.6797275617488</v>
      </c>
      <c r="H7284" s="6" t="n">
        <f aca="false">Sens!H7283*Sens!H7257</f>
        <v>-52.770591750419</v>
      </c>
      <c r="I7284" s="6" t="n">
        <f aca="false">Sens!I7283*Sens!I7257</f>
        <v>-6.53065133016424</v>
      </c>
      <c r="J7284" s="6" t="n">
        <f aca="false">Sens!J7283*Sens!J7257</f>
        <v>34.6752904161239</v>
      </c>
      <c r="K7284" s="6" t="n">
        <f aca="false">Sens!K7283*Sens!K7257</f>
        <v>45.5351506217286</v>
      </c>
    </row>
    <row r="7285" customFormat="false" ht="17.15" hidden="false" customHeight="false" outlineLevel="0" collapsed="false">
      <c r="A7285" s="0" t="s">
        <v>1070</v>
      </c>
      <c r="B7285" s="0" t="s">
        <v>98</v>
      </c>
      <c r="C7285" s="6" t="n">
        <f aca="false">(Sens!K7277-Sens!K7146)*(1-tax_f)*(1+g_tv)*(1-g_tv/(wacc+ronic_prem))/(wacc-g_tv)/(1+wacc)^(Sens!K7256+mid_yr)</f>
        <v>296.845264315219</v>
      </c>
    </row>
    <row r="7286" customFormat="false" ht="17.15" hidden="false" customHeight="false" outlineLevel="0" collapsed="false">
      <c r="A7286" s="1" t="s">
        <v>1071</v>
      </c>
      <c r="B7286" s="0" t="s">
        <v>98</v>
      </c>
      <c r="C7286" s="6" t="n">
        <f aca="false">(SUM(Sens!F7284:K7284)+Sens!$C$7285)*(1+wacc)^t_roll</f>
        <v>132.753791626942</v>
      </c>
      <c r="L7286" s="11" t="s">
        <v>1072</v>
      </c>
    </row>
    <row r="7287" customFormat="false" ht="17.15" hidden="false" customHeight="false" outlineLevel="0" collapsed="false">
      <c r="A7287" s="1" t="s">
        <v>1073</v>
      </c>
      <c r="B7287" s="0" t="s">
        <v>98</v>
      </c>
      <c r="C7287" s="6" t="n">
        <f aca="false">(w_ntm28*Sens!G7135+(1-w_ntm28)*Sens!H7135)*m_ai</f>
        <v>454.922440830797</v>
      </c>
    </row>
    <row r="7288" customFormat="false" ht="17.15" hidden="false" customHeight="false" outlineLevel="0" collapsed="false">
      <c r="A7288" s="1" t="s">
        <v>1074</v>
      </c>
      <c r="B7288" s="0" t="s">
        <v>98</v>
      </c>
      <c r="C7288" s="6" t="n">
        <f aca="false">(w_ntm28*Sens!G7279+(1-w_ntm28)*Sens!H7279)*m_cloud</f>
        <v>1068.48759222872</v>
      </c>
    </row>
    <row r="7289" customFormat="false" ht="17.15" hidden="false" customHeight="false" outlineLevel="0" collapsed="false">
      <c r="A7289" s="1" t="s">
        <v>1075</v>
      </c>
      <c r="B7289" s="0" t="s">
        <v>98</v>
      </c>
      <c r="C7289" s="6" t="n">
        <f aca="false">(w_ntm28*Sens!G7272+(1-w_ntm28)*Sens!H7272)*m_sw</f>
        <v>1114.01927536796</v>
      </c>
    </row>
    <row r="7290" customFormat="false" ht="17.15" hidden="false" customHeight="false" outlineLevel="0" collapsed="false">
      <c r="A7290" s="1" t="s">
        <v>1076</v>
      </c>
      <c r="B7290" s="0" t="s">
        <v>98</v>
      </c>
      <c r="C7290" s="6" t="n">
        <f aca="false">(w_ntm28*Sens!G7273+(1-w_ntm28)*Sens!H7273)*m_sw</f>
        <v>379.239056018047</v>
      </c>
    </row>
    <row r="7291" customFormat="false" ht="17.15" hidden="false" customHeight="false" outlineLevel="0" collapsed="false">
      <c r="A7291" s="1" t="s">
        <v>1077</v>
      </c>
      <c r="B7291" s="0" t="s">
        <v>98</v>
      </c>
      <c r="C7291" s="6" t="n">
        <f aca="false">(w_ntm28*Sens!G7274+(1-w_ntm28)*Sens!H7274)*m_sw</f>
        <v>109.119182943182</v>
      </c>
    </row>
    <row r="7292" customFormat="false" ht="17.15" hidden="false" customHeight="false" outlineLevel="0" collapsed="false">
      <c r="A7292" s="1" t="s">
        <v>1078</v>
      </c>
      <c r="B7292" s="0" t="s">
        <v>98</v>
      </c>
      <c r="C7292" s="6" t="n">
        <f aca="false">(w_ntm28*Sens!G7275+(1-w_ntm28)*Sens!H7275)*m_sw</f>
        <v>41.6308425714279</v>
      </c>
    </row>
    <row r="7293" customFormat="false" ht="17.15" hidden="false" customHeight="false" outlineLevel="0" collapsed="false">
      <c r="A7293" s="1" t="s">
        <v>1079</v>
      </c>
      <c r="B7293" s="0" t="s">
        <v>98</v>
      </c>
      <c r="C7293" s="6" t="n">
        <f aca="false">(w_ntm28*Sens!G7276+(1-w_ntm28)*Sens!H7276)*m_ads</f>
        <v>115.026717991609</v>
      </c>
    </row>
    <row r="7294" customFormat="false" ht="17.15" hidden="false" customHeight="false" outlineLevel="0" collapsed="false">
      <c r="A7294" s="1" t="s">
        <v>1080</v>
      </c>
      <c r="B7294" s="0" t="s">
        <v>98</v>
      </c>
      <c r="C7294" s="6" t="n">
        <f aca="false">(w_ntm28*Sens!G7281+(1-w_ntm28)*Sens!H7281)*m_game</f>
        <v>97.6662030105494</v>
      </c>
    </row>
    <row r="7295" customFormat="false" ht="17.15" hidden="false" customHeight="false" outlineLevel="0" collapsed="false">
      <c r="A7295" s="1" t="s">
        <v>1081</v>
      </c>
      <c r="B7295" s="0" t="s">
        <v>98</v>
      </c>
      <c r="C7295" s="6" t="n">
        <f aca="false">(w_ntm28*Sens!G7282+(1-w_ntm28)*Sens!H7282)*m_pc</f>
        <v>96.8284523117004</v>
      </c>
    </row>
    <row r="7296" customFormat="false" ht="17.15" hidden="false" customHeight="false" outlineLevel="0" collapsed="false">
      <c r="A7296" s="1" t="s">
        <v>1082</v>
      </c>
      <c r="B7296" s="0" t="s">
        <v>98</v>
      </c>
      <c r="C7296" s="6" t="n">
        <f aca="false">Sens!$C$7286+Sens!$C$7288+Sens!$C$7289+Sens!$C$7290+Sens!$C$7291+Sens!$C$7292+Sens!$C$7293+Sens!$C$7294+Sens!$C$7295</f>
        <v>3154.77111407013</v>
      </c>
    </row>
    <row r="7297" customFormat="false" ht="17.15" hidden="false" customHeight="false" outlineLevel="0" collapsed="false">
      <c r="A7297" s="1" t="s">
        <v>1000</v>
      </c>
      <c r="B7297" s="0" t="s">
        <v>98</v>
      </c>
      <c r="C7297" s="6" t="n">
        <f aca="false">Sens!F7247+oai_v-Sens!F7236</f>
        <v>112.459951863194</v>
      </c>
      <c r="L7297" s="1" t="s">
        <v>1083</v>
      </c>
    </row>
    <row r="7298" customFormat="false" ht="15" hidden="false" customHeight="false" outlineLevel="0" collapsed="false">
      <c r="A7298" s="1" t="s">
        <v>1001</v>
      </c>
      <c r="B7298" s="0" t="s">
        <v>75</v>
      </c>
      <c r="C7298" s="5" t="n">
        <f aca="false">(Sens!$C$7296+Sens!$C$7297)/Sens!F7249</f>
        <v>437.263258288722</v>
      </c>
    </row>
    <row r="7299" customFormat="false" ht="17.15" hidden="false" customHeight="false" outlineLevel="0" collapsed="false">
      <c r="A7299" s="1" t="s">
        <v>1084</v>
      </c>
      <c r="B7299" s="0" t="s">
        <v>75</v>
      </c>
      <c r="C7299" s="5" t="n">
        <f aca="false">w_dcf*Sens!$C$7270+(1-w_dcf)*Sens!$C$7298</f>
        <v>390.608943409213</v>
      </c>
    </row>
    <row r="7300" customFormat="false" ht="17.15" hidden="false" customHeight="false" outlineLevel="0" collapsed="false">
      <c r="A7300" s="3" t="s">
        <v>1424</v>
      </c>
    </row>
    <row r="7301" customFormat="false" ht="15" hidden="false" customHeight="false" outlineLevel="0" collapsed="false">
      <c r="A7301" s="4" t="s">
        <v>43</v>
      </c>
      <c r="B7301" s="4" t="s">
        <v>65</v>
      </c>
      <c r="C7301" s="20" t="s">
        <v>788</v>
      </c>
      <c r="D7301" s="20" t="s">
        <v>789</v>
      </c>
      <c r="E7301" s="20" t="s">
        <v>790</v>
      </c>
      <c r="F7301" s="20" t="s">
        <v>791</v>
      </c>
      <c r="G7301" s="20" t="s">
        <v>792</v>
      </c>
      <c r="H7301" s="20" t="s">
        <v>793</v>
      </c>
      <c r="I7301" s="20" t="s">
        <v>794</v>
      </c>
      <c r="J7301" s="20" t="s">
        <v>795</v>
      </c>
      <c r="K7301" s="20" t="s">
        <v>796</v>
      </c>
      <c r="L7301" s="4" t="s">
        <v>47</v>
      </c>
    </row>
    <row r="7302" customFormat="false" ht="17.15" hidden="false" customHeight="false" outlineLevel="0" collapsed="false">
      <c r="A7302" s="1" t="s">
        <v>797</v>
      </c>
      <c r="B7302" s="1" t="s">
        <v>235</v>
      </c>
      <c r="C7302" s="28" t="n">
        <v>2024</v>
      </c>
      <c r="D7302" s="28" t="n">
        <v>2025</v>
      </c>
      <c r="E7302" s="28" t="n">
        <v>2026</v>
      </c>
      <c r="F7302" s="28" t="n">
        <v>2027</v>
      </c>
      <c r="G7302" s="28" t="n">
        <v>2028</v>
      </c>
      <c r="H7302" s="28" t="n">
        <v>2029</v>
      </c>
      <c r="I7302" s="28" t="n">
        <v>2030</v>
      </c>
      <c r="J7302" s="28" t="n">
        <v>2031</v>
      </c>
      <c r="K7302" s="28" t="n">
        <v>2032</v>
      </c>
    </row>
    <row r="7303" customFormat="false" ht="17.15" hidden="false" customHeight="false" outlineLevel="0" collapsed="false">
      <c r="A7303" s="1" t="s">
        <v>798</v>
      </c>
      <c r="B7303" s="0" t="s">
        <v>392</v>
      </c>
      <c r="F7303" s="29" t="n">
        <f aca="false">pace</f>
        <v>2527.2</v>
      </c>
      <c r="G7303" s="29" t="n">
        <f aca="false">pace</f>
        <v>2527.2</v>
      </c>
      <c r="H7303" s="29" t="n">
        <f aca="false">pace</f>
        <v>2527.2</v>
      </c>
      <c r="I7303" s="29" t="n">
        <f aca="false">pace+(g_tv*Sens!H7304-pace)*MIN(1,(Sens!I7302-pace_y0)/(pace_y1-pace_y0))</f>
        <v>1793.116</v>
      </c>
      <c r="J7303" s="29" t="n">
        <f aca="false">pace+(g_tv*Sens!H7304-pace)*MIN(1,(Sens!J7302-pace_y0)/(pace_y1-pace_y0))</f>
        <v>1059.032</v>
      </c>
      <c r="K7303" s="29" t="n">
        <f aca="false">pace+(g_tv*Sens!H7304-pace)*MIN(1,(Sens!K7302-pace_y0)/(pace_y1-pace_y0))</f>
        <v>324.948</v>
      </c>
      <c r="L7303" s="11" t="s">
        <v>799</v>
      </c>
    </row>
    <row r="7304" customFormat="false" ht="17.15" hidden="false" customHeight="false" outlineLevel="0" collapsed="false">
      <c r="A7304" s="1" t="s">
        <v>800</v>
      </c>
      <c r="B7304" s="0" t="s">
        <v>392</v>
      </c>
      <c r="C7304" s="29" t="n">
        <f aca="false">mw_ext_24</f>
        <v>640</v>
      </c>
      <c r="D7304" s="29" t="n">
        <f aca="false">mw_ext_25</f>
        <v>1630</v>
      </c>
      <c r="E7304" s="29" t="n">
        <f aca="false">mw_ext_26</f>
        <v>3250</v>
      </c>
      <c r="F7304" s="29" t="n">
        <f aca="false">Sens!E7304+Sens!F7303</f>
        <v>5777.2</v>
      </c>
      <c r="G7304" s="29" t="n">
        <f aca="false">Sens!F7304+Sens!G7303</f>
        <v>8304.4</v>
      </c>
      <c r="H7304" s="29" t="n">
        <f aca="false">Sens!G7304+Sens!H7303</f>
        <v>10831.6</v>
      </c>
      <c r="I7304" s="29" t="n">
        <f aca="false">Sens!H7304+Sens!I7303</f>
        <v>12624.716</v>
      </c>
      <c r="J7304" s="29" t="n">
        <f aca="false">Sens!I7304+Sens!J7303</f>
        <v>13683.748</v>
      </c>
      <c r="K7304" s="29" t="n">
        <f aca="false">Sens!J7304+Sens!K7303</f>
        <v>14008.696</v>
      </c>
      <c r="L7304" s="1" t="s">
        <v>801</v>
      </c>
    </row>
    <row r="7305" customFormat="false" ht="17.15" hidden="false" customHeight="false" outlineLevel="0" collapsed="false">
      <c r="A7305" s="1" t="s">
        <v>802</v>
      </c>
      <c r="B7305" s="0" t="s">
        <v>392</v>
      </c>
      <c r="C7305" s="29" t="n">
        <f aca="false">rent_ext_24</f>
        <v>150</v>
      </c>
      <c r="D7305" s="29" t="n">
        <f aca="false">rent_ext_25</f>
        <v>400</v>
      </c>
      <c r="E7305" s="29" t="n">
        <f aca="false">rent_ext_26</f>
        <v>550</v>
      </c>
      <c r="F7305" s="29" t="n">
        <f aca="false">rent_ext_f</f>
        <v>756</v>
      </c>
      <c r="G7305" s="29" t="n">
        <f aca="false">rent_ext_f</f>
        <v>756</v>
      </c>
      <c r="H7305" s="29" t="n">
        <f aca="false">rent_ext_f</f>
        <v>756</v>
      </c>
      <c r="I7305" s="29" t="n">
        <f aca="false">rent_ext_f</f>
        <v>756</v>
      </c>
      <c r="J7305" s="29" t="n">
        <f aca="false">rent_ext_f</f>
        <v>756</v>
      </c>
      <c r="K7305" s="29" t="n">
        <f aca="false">rent_ext_f</f>
        <v>756</v>
      </c>
      <c r="L7305" s="1" t="s">
        <v>803</v>
      </c>
    </row>
    <row r="7306" customFormat="false" ht="17.15" hidden="false" customHeight="false" outlineLevel="0" collapsed="false">
      <c r="A7306" s="1" t="s">
        <v>804</v>
      </c>
      <c r="B7306" s="0" t="s">
        <v>392</v>
      </c>
      <c r="C7306" s="29" t="n">
        <f aca="false">Sens!C7304-Sens!C7305</f>
        <v>490</v>
      </c>
      <c r="D7306" s="29" t="n">
        <f aca="false">Sens!D7304-Sens!D7305</f>
        <v>1230</v>
      </c>
      <c r="E7306" s="29" t="n">
        <f aca="false">Sens!E7304-Sens!E7305</f>
        <v>2700</v>
      </c>
      <c r="F7306" s="29" t="n">
        <f aca="false">Sens!F7304-Sens!F7305</f>
        <v>5021.2</v>
      </c>
      <c r="G7306" s="29" t="n">
        <f aca="false">Sens!G7304-Sens!G7305</f>
        <v>7548.4</v>
      </c>
      <c r="H7306" s="29" t="n">
        <f aca="false">Sens!H7304-Sens!H7305</f>
        <v>10075.6</v>
      </c>
      <c r="I7306" s="29" t="n">
        <f aca="false">Sens!I7304-Sens!I7305</f>
        <v>11868.716</v>
      </c>
      <c r="J7306" s="29" t="n">
        <f aca="false">Sens!J7304-Sens!J7305</f>
        <v>12927.748</v>
      </c>
      <c r="K7306" s="29" t="n">
        <f aca="false">Sens!K7304-Sens!K7305</f>
        <v>13252.696</v>
      </c>
    </row>
    <row r="7307" customFormat="false" ht="17.15" hidden="false" customHeight="false" outlineLevel="0" collapsed="false">
      <c r="A7307" s="1" t="s">
        <v>805</v>
      </c>
      <c r="B7307" s="0" t="s">
        <v>392</v>
      </c>
      <c r="C7307" s="29" t="n">
        <f aca="false">Sens!C7306/ext_sh</f>
        <v>816.666666666667</v>
      </c>
      <c r="D7307" s="29" t="n">
        <f aca="false">Sens!D7306/ext_sh</f>
        <v>2050</v>
      </c>
      <c r="E7307" s="29" t="n">
        <f aca="false">Sens!E7306/ext_sh</f>
        <v>4500</v>
      </c>
      <c r="F7307" s="29" t="n">
        <f aca="false">Sens!F7306/ext_sh</f>
        <v>8368.66666666667</v>
      </c>
      <c r="G7307" s="29" t="n">
        <f aca="false">Sens!G7306/ext_sh</f>
        <v>12580.6666666667</v>
      </c>
      <c r="H7307" s="29" t="n">
        <f aca="false">Sens!H7306/ext_sh</f>
        <v>16792.6666666667</v>
      </c>
      <c r="I7307" s="29" t="n">
        <f aca="false">Sens!I7306/ext_sh</f>
        <v>19781.1933333333</v>
      </c>
      <c r="J7307" s="29" t="n">
        <f aca="false">Sens!J7306/ext_sh</f>
        <v>21546.2466666667</v>
      </c>
      <c r="K7307" s="29" t="n">
        <f aca="false">Sens!K7306/ext_sh</f>
        <v>22087.8266666667</v>
      </c>
      <c r="L7307" s="1" t="s">
        <v>806</v>
      </c>
    </row>
    <row r="7308" customFormat="false" ht="17.15" hidden="false" customHeight="false" outlineLevel="0" collapsed="false">
      <c r="A7308" s="1" t="s">
        <v>807</v>
      </c>
      <c r="B7308" s="0" t="s">
        <v>392</v>
      </c>
      <c r="C7308" s="29" t="n">
        <f aca="false">Sens!C7307-Sens!C7306</f>
        <v>326.666666666667</v>
      </c>
      <c r="D7308" s="29" t="n">
        <f aca="false">Sens!D7307-Sens!D7306</f>
        <v>820</v>
      </c>
      <c r="E7308" s="29" t="n">
        <f aca="false">Sens!E7307-Sens!E7306</f>
        <v>1800</v>
      </c>
      <c r="F7308" s="29" t="n">
        <f aca="false">Sens!F7307-Sens!F7306</f>
        <v>3347.46666666667</v>
      </c>
      <c r="G7308" s="29" t="n">
        <f aca="false">Sens!G7307-Sens!G7306</f>
        <v>5032.26666666667</v>
      </c>
      <c r="H7308" s="29" t="n">
        <f aca="false">Sens!H7307-Sens!H7306</f>
        <v>6717.06666666667</v>
      </c>
      <c r="I7308" s="29" t="n">
        <f aca="false">Sens!I7307-Sens!I7306</f>
        <v>7912.47733333333</v>
      </c>
      <c r="J7308" s="29" t="n">
        <f aca="false">Sens!J7307-Sens!J7306</f>
        <v>8618.49866666667</v>
      </c>
      <c r="K7308" s="29" t="n">
        <f aca="false">Sens!K7307-Sens!K7306</f>
        <v>8835.13066666667</v>
      </c>
    </row>
    <row r="7309" customFormat="false" ht="17.15" hidden="false" customHeight="false" outlineLevel="0" collapsed="false">
      <c r="A7309" s="1" t="s">
        <v>808</v>
      </c>
      <c r="B7309" s="0" t="s">
        <v>392</v>
      </c>
      <c r="C7309" s="29" t="n">
        <f aca="false">Sens!C7307</f>
        <v>816.666666666667</v>
      </c>
      <c r="D7309" s="29" t="n">
        <f aca="false">Sens!D7307-Sens!C7307</f>
        <v>1233.33333333333</v>
      </c>
      <c r="E7309" s="29" t="n">
        <f aca="false">Sens!E7307-Sens!D7307</f>
        <v>2450</v>
      </c>
      <c r="F7309" s="29" t="n">
        <f aca="false">Sens!F7307-Sens!E7307</f>
        <v>3868.66666666667</v>
      </c>
      <c r="G7309" s="29" t="n">
        <f aca="false">Sens!G7307-Sens!F7307</f>
        <v>4212</v>
      </c>
      <c r="H7309" s="29" t="n">
        <f aca="false">Sens!H7307-Sens!G7307</f>
        <v>4212</v>
      </c>
      <c r="I7309" s="29" t="n">
        <f aca="false">Sens!I7307-Sens!H7307</f>
        <v>2988.52666666667</v>
      </c>
      <c r="J7309" s="29" t="n">
        <f aca="false">Sens!J7307-Sens!I7307</f>
        <v>1765.05333333333</v>
      </c>
      <c r="K7309" s="29" t="n">
        <f aca="false">Sens!K7307-Sens!J7307</f>
        <v>541.580000000002</v>
      </c>
    </row>
    <row r="7310" customFormat="false" ht="17.15" hidden="false" customHeight="false" outlineLevel="0" collapsed="false">
      <c r="A7310" s="1" t="s">
        <v>809</v>
      </c>
      <c r="B7310" s="0" t="s">
        <v>392</v>
      </c>
      <c r="D7310" s="29" t="n">
        <f aca="false">Sens!D7304-Sens!C7304</f>
        <v>990</v>
      </c>
      <c r="E7310" s="29" t="n">
        <f aca="false">Sens!E7304-Sens!D7304</f>
        <v>1620</v>
      </c>
      <c r="F7310" s="29" t="n">
        <f aca="false">Sens!F7304-Sens!E7304</f>
        <v>2527.2</v>
      </c>
      <c r="G7310" s="29" t="n">
        <f aca="false">Sens!G7304-Sens!F7304</f>
        <v>2527.2</v>
      </c>
      <c r="H7310" s="29" t="n">
        <f aca="false">Sens!H7304-Sens!G7304</f>
        <v>2527.2</v>
      </c>
      <c r="I7310" s="29" t="n">
        <f aca="false">Sens!I7304-Sens!H7304</f>
        <v>1793.116</v>
      </c>
      <c r="J7310" s="29" t="n">
        <f aca="false">Sens!J7304-Sens!I7304</f>
        <v>1059.032</v>
      </c>
      <c r="K7310" s="29" t="n">
        <f aca="false">Sens!K7304-Sens!J7304</f>
        <v>324.948</v>
      </c>
    </row>
    <row r="7311" customFormat="false" ht="17.15" hidden="false" customHeight="false" outlineLevel="0" collapsed="false">
      <c r="A7311" s="1" t="s">
        <v>810</v>
      </c>
      <c r="B7311" s="0" t="s">
        <v>392</v>
      </c>
      <c r="F7311" s="29" t="n">
        <f aca="false">Sens!F7328*ext_sh</f>
        <v>0</v>
      </c>
      <c r="G7311" s="29" t="n">
        <f aca="false">Sens!G7328*ext_sh</f>
        <v>0</v>
      </c>
      <c r="H7311" s="29" t="n">
        <f aca="false">Sens!H7328*ext_sh</f>
        <v>0</v>
      </c>
      <c r="I7311" s="29" t="n">
        <f aca="false">Sens!I7328*ext_sh</f>
        <v>490</v>
      </c>
      <c r="J7311" s="29" t="n">
        <f aca="false">Sens!J7328*ext_sh</f>
        <v>740</v>
      </c>
      <c r="K7311" s="29" t="n">
        <f aca="false">Sens!K7328*ext_sh</f>
        <v>1470</v>
      </c>
      <c r="L7311" s="1" t="s">
        <v>811</v>
      </c>
    </row>
    <row r="7312" customFormat="false" ht="17.15" hidden="false" customHeight="false" outlineLevel="0" collapsed="false">
      <c r="A7312" s="1" t="s">
        <v>812</v>
      </c>
      <c r="B7312" s="0" t="s">
        <v>392</v>
      </c>
      <c r="C7312" s="29" t="n">
        <f aca="false">mix_h*Sens!C7304</f>
        <v>128</v>
      </c>
      <c r="D7312" s="29" t="n">
        <f aca="false">mix_h*Sens!D7304</f>
        <v>326</v>
      </c>
      <c r="E7312" s="29" t="n">
        <f aca="false">mix_h*Sens!E7304</f>
        <v>650</v>
      </c>
      <c r="F7312" s="29" t="n">
        <f aca="false">Sens!E7312-Sens!F7311*mix_h</f>
        <v>650</v>
      </c>
      <c r="G7312" s="29" t="n">
        <f aca="false">Sens!F7312-Sens!G7311*mix_h</f>
        <v>650</v>
      </c>
      <c r="H7312" s="29" t="n">
        <f aca="false">Sens!G7312-Sens!H7311*mix_h</f>
        <v>650</v>
      </c>
      <c r="I7312" s="29" t="n">
        <f aca="false">Sens!H7312-Sens!I7311*mix_h</f>
        <v>552</v>
      </c>
      <c r="J7312" s="29" t="n">
        <f aca="false">Sens!I7312-Sens!J7311*mix_h</f>
        <v>404</v>
      </c>
      <c r="K7312" s="29" t="n">
        <f aca="false">Sens!J7312-Sens!K7311*mix_h</f>
        <v>110</v>
      </c>
    </row>
    <row r="7313" customFormat="false" ht="17.15" hidden="false" customHeight="false" outlineLevel="0" collapsed="false">
      <c r="A7313" s="1" t="s">
        <v>813</v>
      </c>
      <c r="B7313" s="0" t="s">
        <v>392</v>
      </c>
      <c r="C7313" s="29" t="n">
        <f aca="false">mix_g2*Sens!C7304</f>
        <v>288</v>
      </c>
      <c r="D7313" s="29" t="n">
        <f aca="false">mix_g2*Sens!D7304</f>
        <v>733.5</v>
      </c>
      <c r="E7313" s="29" t="n">
        <f aca="false">mix_g2*Sens!E7304</f>
        <v>1462.5</v>
      </c>
      <c r="F7313" s="29" t="n">
        <f aca="false">Sens!E7313-Sens!F7311*mix_g2</f>
        <v>1462.5</v>
      </c>
      <c r="G7313" s="29" t="n">
        <f aca="false">Sens!F7313-Sens!G7311*mix_g2</f>
        <v>1462.5</v>
      </c>
      <c r="H7313" s="29" t="n">
        <f aca="false">Sens!G7313-Sens!H7311*mix_g2</f>
        <v>1462.5</v>
      </c>
      <c r="I7313" s="29" t="n">
        <f aca="false">Sens!H7313-Sens!I7311*mix_g2</f>
        <v>1242</v>
      </c>
      <c r="J7313" s="29" t="n">
        <f aca="false">Sens!I7313-Sens!J7311*mix_g2</f>
        <v>909</v>
      </c>
      <c r="K7313" s="29" t="n">
        <f aca="false">Sens!J7313-Sens!K7311*mix_g2</f>
        <v>247.5</v>
      </c>
    </row>
    <row r="7314" customFormat="false" ht="17.15" hidden="false" customHeight="false" outlineLevel="0" collapsed="false">
      <c r="A7314" s="1" t="s">
        <v>814</v>
      </c>
      <c r="B7314" s="0" t="s">
        <v>392</v>
      </c>
      <c r="C7314" s="29" t="n">
        <f aca="false">mix_g3*Sens!C7304</f>
        <v>224</v>
      </c>
      <c r="D7314" s="29" t="n">
        <f aca="false">mix_g3*Sens!D7304</f>
        <v>570.5</v>
      </c>
      <c r="E7314" s="29" t="n">
        <f aca="false">mix_g3*Sens!E7304</f>
        <v>1137.5</v>
      </c>
      <c r="F7314" s="29" t="n">
        <f aca="false">Sens!E7314+(Sens!F7310+Sens!F7311)*a_g3_27-Sens!F7311*mix_g3</f>
        <v>2906.54</v>
      </c>
      <c r="G7314" s="29" t="n">
        <f aca="false">Sens!F7314+(Sens!G7310+Sens!G7311)*a_g3_28-Sens!G7311*mix_g3</f>
        <v>3664.7</v>
      </c>
      <c r="H7314" s="29" t="n">
        <f aca="false">Sens!G7314+(Sens!H7310+Sens!H7311)*a_g3_29-Sens!H7311*mix_g3</f>
        <v>3917.42</v>
      </c>
      <c r="I7314" s="29" t="n">
        <f aca="false">Sens!H7314+(Sens!I7310+Sens!I7311)*a_g3_29-Sens!I7311*mix_g3</f>
        <v>3974.2316</v>
      </c>
      <c r="J7314" s="29" t="n">
        <f aca="false">Sens!I7314+(Sens!J7310+Sens!J7311)*a_g3_29-Sens!J7311*mix_g3</f>
        <v>3895.1348</v>
      </c>
      <c r="K7314" s="29" t="n">
        <f aca="false">Sens!J7314+(Sens!K7310+Sens!K7311)*a_g3_29-Sens!K7311*mix_g3</f>
        <v>3560.1296</v>
      </c>
    </row>
    <row r="7315" customFormat="false" ht="17.15" hidden="false" customHeight="false" outlineLevel="0" collapsed="false">
      <c r="A7315" s="1" t="s">
        <v>815</v>
      </c>
      <c r="B7315" s="0" t="s">
        <v>392</v>
      </c>
      <c r="C7315" s="29" t="n">
        <v>0</v>
      </c>
      <c r="D7315" s="29" t="n">
        <v>0</v>
      </c>
      <c r="E7315" s="29" t="n">
        <v>0</v>
      </c>
      <c r="F7315" s="29" t="n">
        <f aca="false">Sens!E7315+(Sens!F7310+Sens!F7311)*(1-a_g3_27)</f>
        <v>758.16</v>
      </c>
      <c r="G7315" s="29" t="n">
        <f aca="false">Sens!F7315+(Sens!G7310+Sens!G7311)*(1-a_g3_28)</f>
        <v>2527.2</v>
      </c>
      <c r="H7315" s="29" t="n">
        <f aca="false">Sens!G7315+(Sens!H7310+Sens!H7311)*(1-a_g3_29)</f>
        <v>4801.68</v>
      </c>
      <c r="I7315" s="29" t="n">
        <f aca="false">Sens!H7315+(Sens!I7310+Sens!I7311)*(1-a_g3_29)</f>
        <v>6856.4844</v>
      </c>
      <c r="J7315" s="29" t="n">
        <f aca="false">Sens!I7315+(Sens!J7310+Sens!J7311)*(1-a_g3_29)</f>
        <v>8475.6132</v>
      </c>
      <c r="K7315" s="29" t="n">
        <f aca="false">Sens!J7315+(Sens!K7310+Sens!K7311)*(1-a_g3_29)</f>
        <v>10091.0664</v>
      </c>
    </row>
    <row r="7316" customFormat="false" ht="17.15" hidden="false" customHeight="false" outlineLevel="0" collapsed="false">
      <c r="A7316" s="1" t="s">
        <v>816</v>
      </c>
      <c r="B7316" s="0" t="s">
        <v>339</v>
      </c>
      <c r="C7316" s="14" t="n">
        <f aca="false">(Sens!C7312*tk_hold_h100+Sens!C7313*tk_hold_gb200+Sens!C7314*tk_hold_gb300+Sens!C7315*tk_hold_vr200)/Sens!C7304</f>
        <v>9.7235358126469</v>
      </c>
      <c r="D7316" s="14" t="n">
        <f aca="false">(Sens!D7312*tk_hold_h100+Sens!D7313*tk_hold_gb200+Sens!D7314*tk_hold_gb300+Sens!D7315*tk_hold_vr200)/Sens!D7304</f>
        <v>9.7235358126469</v>
      </c>
      <c r="E7316" s="14" t="n">
        <f aca="false">(Sens!E7312*tk_hold_h100+Sens!E7313*tk_hold_gb200+Sens!E7314*tk_hold_gb300+Sens!E7315*tk_hold_vr200)/Sens!E7304</f>
        <v>9.7235358126469</v>
      </c>
      <c r="F7316" s="14" t="n">
        <f aca="false">(Sens!F7312*tk_hold_h100+Sens!F7313*tk_hold_gb200+Sens!F7314*tk_hold_gb300+Sens!F7315*tk_hold_vr200)/Sens!F7304</f>
        <v>10.4079573161931</v>
      </c>
      <c r="G7316" s="14" t="n">
        <f aca="false">(Sens!G7312*tk_hold_h100+Sens!G7313*tk_hold_gb200+Sens!G7314*tk_hold_gb300+Sens!G7315*tk_hold_vr200)/Sens!G7304</f>
        <v>10.8388131109316</v>
      </c>
      <c r="H7316" s="14" t="n">
        <f aca="false">(Sens!H7312*tk_hold_h100+Sens!H7313*tk_hold_gb200+Sens!H7314*tk_hold_gb300+Sens!H7315*tk_hold_vr200)/Sens!H7304</f>
        <v>11.1311018388216</v>
      </c>
      <c r="I7316" s="14" t="n">
        <f aca="false">(Sens!I7312*tk_hold_h100+Sens!I7313*tk_hold_gb200+Sens!I7314*tk_hold_gb300+Sens!I7315*tk_hold_vr200)/Sens!I7304</f>
        <v>11.3594282560989</v>
      </c>
      <c r="J7316" s="14" t="n">
        <f aca="false">(Sens!J7312*tk_hold_h100+Sens!J7313*tk_hold_gb200+Sens!J7314*tk_hold_gb300+Sens!J7315*tk_hold_vr200)/Sens!J7304</f>
        <v>11.5441508808221</v>
      </c>
      <c r="K7316" s="14" t="n">
        <f aca="false">(Sens!K7312*tk_hold_h100+Sens!K7313*tk_hold_gb200+Sens!K7314*tk_hold_gb300+Sens!K7315*tk_hold_vr200)/Sens!K7304</f>
        <v>11.8053375063575</v>
      </c>
    </row>
    <row r="7317" customFormat="false" ht="17.15" hidden="false" customHeight="false" outlineLevel="0" collapsed="false">
      <c r="A7317" s="0" t="s">
        <v>817</v>
      </c>
      <c r="B7317" s="0" t="s">
        <v>185</v>
      </c>
      <c r="C7317" s="14" t="n">
        <f aca="false">k_B</f>
        <v>1.17213932619116</v>
      </c>
      <c r="D7317" s="14" t="n">
        <f aca="false">k_B</f>
        <v>1.17213932619116</v>
      </c>
      <c r="E7317" s="14" t="n">
        <f aca="false">k_B</f>
        <v>1.17213932619116</v>
      </c>
      <c r="F7317" s="14" t="n">
        <f aca="false">(k_B+((ls_C*k_long+(1-ls_C)*k_spot)-k_B)*MIN(1,(Sens!F7302-base_fy)/k_ramp))</f>
        <v>1.07843258004497</v>
      </c>
      <c r="G7317" s="14" t="n">
        <f aca="false">(k_B+((ls_C*k_long+(1-ls_C)*k_spot)-k_B)*MIN(1,(Sens!G7302-base_fy)/k_ramp))</f>
        <v>0.984725833898784</v>
      </c>
      <c r="H7317" s="14" t="n">
        <f aca="false">(k_B+((ls_C*k_long+(1-ls_C)*k_spot)-k_B)*MIN(1,(Sens!H7302-base_fy)/k_ramp))</f>
        <v>0.891019087752599</v>
      </c>
      <c r="I7317" s="14" t="n">
        <f aca="false">(k_B+((ls_C*k_long+(1-ls_C)*k_spot)-k_B)*MIN(1,(Sens!I7302-base_fy)/k_ramp))</f>
        <v>0.891019087752599</v>
      </c>
      <c r="J7317" s="14" t="n">
        <f aca="false">(k_B+((ls_C*k_long+(1-ls_C)*k_spot)-k_B)*MIN(1,(Sens!J7302-base_fy)/k_ramp))</f>
        <v>0.891019087752599</v>
      </c>
      <c r="K7317" s="14" t="n">
        <f aca="false">(k_B+((ls_C*k_long+(1-ls_C)*k_spot)-k_B)*MIN(1,(Sens!K7302-base_fy)/k_ramp))</f>
        <v>0.891019087752599</v>
      </c>
      <c r="L7317" s="1" t="s">
        <v>818</v>
      </c>
    </row>
    <row r="7318" customFormat="false" ht="17.15" hidden="false" customHeight="false" outlineLevel="0" collapsed="false">
      <c r="A7318" s="1" t="s">
        <v>819</v>
      </c>
      <c r="B7318" s="0" t="s">
        <v>339</v>
      </c>
      <c r="C7318" s="14" t="n">
        <f aca="false">Sens!C7316*Sens!C7317*chip_f</f>
        <v>11.3973387156315</v>
      </c>
      <c r="D7318" s="14" t="n">
        <f aca="false">Sens!D7316*Sens!D7317*chip_f</f>
        <v>11.3973387156315</v>
      </c>
      <c r="E7318" s="14" t="n">
        <f aca="false">Sens!E7316*Sens!E7317*chip_f</f>
        <v>11.3973387156315</v>
      </c>
      <c r="F7318" s="14" t="n">
        <f aca="false">Sens!F7316*Sens!F7317*chip_f</f>
        <v>11.2242802615</v>
      </c>
      <c r="G7318" s="14" t="n">
        <f aca="false">Sens!G7316*Sens!G7317*chip_f</f>
        <v>10.6732592791352</v>
      </c>
      <c r="H7318" s="14" t="n">
        <f aca="false">Sens!H7316*Sens!H7317*chip_f</f>
        <v>9.91802420610807</v>
      </c>
      <c r="I7318" s="14" t="n">
        <f aca="false">Sens!I7316*Sens!I7317*chip_f</f>
        <v>10.1214674021403</v>
      </c>
      <c r="J7318" s="14" t="n">
        <f aca="false">Sens!J7316*Sens!J7317*chip_f</f>
        <v>10.2860587867084</v>
      </c>
      <c r="K7318" s="14" t="n">
        <f aca="false">Sens!K7316*Sens!K7317*chip_f</f>
        <v>10.5187810555262</v>
      </c>
      <c r="L7318" s="1" t="s">
        <v>820</v>
      </c>
    </row>
    <row r="7319" customFormat="false" ht="17.15" hidden="false" customHeight="false" outlineLevel="0" collapsed="false">
      <c r="A7319" s="0" t="s">
        <v>821</v>
      </c>
      <c r="B7319" s="0" t="s">
        <v>98</v>
      </c>
      <c r="D7319" s="6" t="n">
        <f aca="false">(Sens!C7304+Sens!D7304)/2*Sens!D7318/1000</f>
        <v>12.9359794422418</v>
      </c>
      <c r="E7319" s="6" t="n">
        <f aca="false">(Sens!D7304+Sens!E7304)/2*Sens!E7318/1000</f>
        <v>27.8095064661409</v>
      </c>
      <c r="F7319" s="6" t="n">
        <f aca="false">(Sens!E7304+Sens!F7304)/2*Sens!F7318/1000</f>
        <v>50.6619113883066</v>
      </c>
      <c r="G7319" s="6" t="n">
        <f aca="false">(Sens!F7304+Sens!G7304)/2*Sens!G7318/1000</f>
        <v>75.1482839325348</v>
      </c>
      <c r="H7319" s="6" t="n">
        <f aca="false">(Sens!G7304+Sens!H7304)/2*Sens!H7318/1000</f>
        <v>94.895655604042</v>
      </c>
      <c r="I7319" s="6" t="n">
        <f aca="false">(Sens!H7304+Sens!I7304)/2*Sens!I7318/1000</f>
        <v>118.706168884151</v>
      </c>
      <c r="J7319" s="6" t="n">
        <f aca="false">(Sens!I7304+Sens!J7304)/2*Sens!J7318/1000</f>
        <v>135.305203646001</v>
      </c>
      <c r="K7319" s="6" t="n">
        <f aca="false">(Sens!J7304+Sens!K7304)/2*Sens!K7318/1000</f>
        <v>145.64537766421</v>
      </c>
      <c r="L7319" s="11" t="s">
        <v>822</v>
      </c>
    </row>
    <row r="7320" customFormat="false" ht="17.15" hidden="false" customHeight="false" outlineLevel="0" collapsed="false">
      <c r="A7320" s="1" t="s">
        <v>823</v>
      </c>
      <c r="B7320" s="0" t="s">
        <v>339</v>
      </c>
      <c r="C7320" s="14" t="n">
        <f aca="false">(Sens!C7312*tk_opex_h100+Sens!C7313*tk_opex_gb200+Sens!C7314*tk_opex_gb300+Sens!C7315*tk_opex_vr200)/Sens!C7304</f>
        <v>1.88636041306092</v>
      </c>
      <c r="D7320" s="14" t="n">
        <f aca="false">(Sens!D7312*tk_opex_h100+Sens!D7313*tk_opex_gb200+Sens!D7314*tk_opex_gb300+Sens!D7315*tk_opex_vr200)/Sens!D7304</f>
        <v>1.88636041306092</v>
      </c>
      <c r="E7320" s="14" t="n">
        <f aca="false">(Sens!E7312*tk_opex_h100+Sens!E7313*tk_opex_gb200+Sens!E7314*tk_opex_gb300+Sens!E7315*tk_opex_vr200)/Sens!E7304</f>
        <v>1.88636041306092</v>
      </c>
      <c r="F7320" s="14" t="n">
        <f aca="false">(Sens!F7312*tk_opex_h100+Sens!F7313*tk_opex_gb200+Sens!F7314*tk_opex_gb300+Sens!F7315*tk_opex_vr200)/Sens!F7304</f>
        <v>1.9430236476499</v>
      </c>
      <c r="G7320" s="14" t="n">
        <f aca="false">(Sens!G7312*tk_opex_h100+Sens!G7313*tk_opex_gb200+Sens!G7314*tk_opex_gb300+Sens!G7315*tk_opex_vr200)/Sens!G7304</f>
        <v>1.9786941852423</v>
      </c>
      <c r="H7320" s="14" t="n">
        <f aca="false">(Sens!H7312*tk_opex_h100+Sens!H7313*tk_opex_gb200+Sens!H7314*tk_opex_gb300+Sens!H7315*tk_opex_vr200)/Sens!H7304</f>
        <v>2.00289275976156</v>
      </c>
      <c r="I7320" s="14" t="n">
        <f aca="false">(Sens!I7312*tk_opex_h100+Sens!I7313*tk_opex_gb200+Sens!I7314*tk_opex_gb300+Sens!I7315*tk_opex_vr200)/Sens!I7304</f>
        <v>2.02179589661219</v>
      </c>
      <c r="J7320" s="14" t="n">
        <f aca="false">(Sens!J7312*tk_opex_h100+Sens!J7313*tk_opex_gb200+Sens!J7314*tk_opex_gb300+Sens!J7315*tk_opex_vr200)/Sens!J7304</f>
        <v>2.03708907685909</v>
      </c>
      <c r="K7320" s="14" t="n">
        <f aca="false">(Sens!K7312*tk_opex_h100+Sens!K7313*tk_opex_gb200+Sens!K7314*tk_opex_gb300+Sens!K7315*tk_opex_vr200)/Sens!K7304</f>
        <v>2.05871270931005</v>
      </c>
    </row>
    <row r="7321" customFormat="false" ht="17.15" hidden="false" customHeight="false" outlineLevel="0" collapsed="false">
      <c r="A7321" s="0" t="s">
        <v>824</v>
      </c>
      <c r="B7321" s="0" t="s">
        <v>98</v>
      </c>
      <c r="D7321" s="6" t="n">
        <f aca="false">(Sens!C7307+Sens!D7307)/2*Sens!D7320/1000</f>
        <v>2.70378325872065</v>
      </c>
      <c r="E7321" s="6" t="n">
        <f aca="false">(Sens!D7307+Sens!E7307)/2*Sens!E7320/1000</f>
        <v>6.17783035277451</v>
      </c>
      <c r="F7321" s="6" t="n">
        <f aca="false">(Sens!E7307+Sens!F7307)/2*Sens!F7320/1000</f>
        <v>12.5020618235287</v>
      </c>
      <c r="G7321" s="6" t="n">
        <f aca="false">(Sens!F7307+Sens!G7307)/2*Sens!G7320/1000</f>
        <v>20.7261620256847</v>
      </c>
      <c r="H7321" s="6" t="n">
        <f aca="false">(Sens!G7307+Sens!H7307)/2*Sens!H7320/1000</f>
        <v>29.4158183316982</v>
      </c>
      <c r="I7321" s="6" t="n">
        <f aca="false">(Sens!H7307+Sens!I7307)/2*Sens!I7320/1000</f>
        <v>36.9724400356344</v>
      </c>
      <c r="J7321" s="6" t="n">
        <f aca="false">(Sens!I7307+Sens!J7307)/2*Sens!J7320/1000</f>
        <v>42.0938382992747</v>
      </c>
      <c r="K7321" s="6" t="n">
        <f aca="false">(Sens!J7307+Sens!K7307)/2*Sens!K7320/1000</f>
        <v>44.9150106651501</v>
      </c>
    </row>
    <row r="7322" customFormat="false" ht="17.15" hidden="false" customHeight="false" outlineLevel="0" collapsed="false">
      <c r="A7322" s="0" t="s">
        <v>825</v>
      </c>
      <c r="B7322" s="0" t="s">
        <v>98</v>
      </c>
      <c r="D7322" s="6" t="n">
        <f aca="false">(Sens!C7305+Sens!D7305)/2*rent_mw/1000</f>
        <v>2.44475</v>
      </c>
      <c r="E7322" s="6" t="n">
        <f aca="false">(Sens!D7305+Sens!E7305)/2*rent_mw/1000</f>
        <v>4.22275</v>
      </c>
      <c r="F7322" s="6" t="n">
        <f aca="false">(Sens!E7305+Sens!F7305)/2*rent_mw/1000</f>
        <v>5.80517</v>
      </c>
      <c r="G7322" s="6" t="n">
        <f aca="false">(Sens!F7305+Sens!G7305)/2*rent_mw/1000</f>
        <v>6.72084</v>
      </c>
      <c r="H7322" s="6" t="n">
        <f aca="false">(Sens!G7305+Sens!H7305)/2*rent_mw/1000</f>
        <v>6.72084</v>
      </c>
      <c r="I7322" s="6" t="n">
        <f aca="false">(Sens!H7305+Sens!I7305)/2*rent_mw/1000</f>
        <v>6.72084</v>
      </c>
      <c r="J7322" s="6" t="n">
        <f aca="false">(Sens!I7305+Sens!J7305)/2*rent_mw/1000</f>
        <v>6.72084</v>
      </c>
      <c r="K7322" s="6" t="n">
        <f aca="false">(Sens!J7305+Sens!K7305)/2*rent_mw/1000</f>
        <v>6.72084</v>
      </c>
    </row>
    <row r="7323" customFormat="false" ht="17.15" hidden="false" customHeight="false" outlineLevel="0" collapsed="false">
      <c r="A7323" s="0" t="s">
        <v>826</v>
      </c>
      <c r="B7323" s="0" t="s">
        <v>98</v>
      </c>
      <c r="D7323" s="6" t="n">
        <f aca="false">(Sens!C7307+Sens!D7307)/2*(1-self_build)*fac_rent/1000</f>
        <v>0.853242375631075</v>
      </c>
      <c r="E7323" s="6" t="n">
        <f aca="false">(Sens!D7307+Sens!E7307)/2*(1-self_build)*fac_rent/1000</f>
        <v>1.94955961408728</v>
      </c>
      <c r="F7323" s="6" t="n">
        <f aca="false">(Sens!E7307+Sens!F7307)/2*(1-self_build)*fac_rent/1000</f>
        <v>3.83026455274573</v>
      </c>
      <c r="G7323" s="6" t="n">
        <f aca="false">(Sens!F7307+Sens!G7307)/2*(1-self_build)*fac_rent/1000</f>
        <v>6.23541590972812</v>
      </c>
      <c r="H7323" s="6" t="n">
        <f aca="false">(Sens!G7307+Sens!H7307)/2*(1-self_build)*fac_rent/1000</f>
        <v>8.74275792332679</v>
      </c>
      <c r="I7323" s="6" t="n">
        <f aca="false">(Sens!H7307+Sens!I7307)/2*(1-self_build)*fac_rent/1000</f>
        <v>10.8859420438599</v>
      </c>
      <c r="J7323" s="6" t="n">
        <f aca="false">(Sens!I7307+Sens!J7307)/2*(1-self_build)*fac_rent/1000</f>
        <v>12.3008103782619</v>
      </c>
      <c r="K7323" s="6" t="n">
        <f aca="false">(Sens!J7307+Sens!K7307)/2*(1-self_build)*fac_rent/1000</f>
        <v>12.9873629265328</v>
      </c>
      <c r="L7323" s="11" t="s">
        <v>827</v>
      </c>
    </row>
    <row r="7324" customFormat="false" ht="17.15" hidden="false" customHeight="false" outlineLevel="0" collapsed="false">
      <c r="A7324" s="1" t="s">
        <v>828</v>
      </c>
      <c r="B7324" s="0" t="s">
        <v>129</v>
      </c>
      <c r="D7324" s="7" t="n">
        <f aca="false">(Sens!C7306+Sens!D7306)/(Sens!C7307+Sens!D7307)</f>
        <v>0.6</v>
      </c>
      <c r="E7324" s="7" t="n">
        <f aca="false">(Sens!D7306+Sens!E7306)/(Sens!D7307+Sens!E7307)</f>
        <v>0.6</v>
      </c>
      <c r="F7324" s="7" t="n">
        <f aca="false">(Sens!E7306+Sens!F7306)/(Sens!E7307+Sens!F7307)</f>
        <v>0.6</v>
      </c>
      <c r="G7324" s="7" t="n">
        <f aca="false">(Sens!F7306+Sens!G7306)/(Sens!F7307+Sens!G7307)</f>
        <v>0.6</v>
      </c>
      <c r="H7324" s="7" t="n">
        <f aca="false">(Sens!G7306+Sens!H7306)/(Sens!G7307+Sens!H7307)</f>
        <v>0.6</v>
      </c>
      <c r="I7324" s="7" t="n">
        <f aca="false">(Sens!H7306+Sens!I7306)/(Sens!H7307+Sens!I7307)</f>
        <v>0.6</v>
      </c>
      <c r="J7324" s="7" t="n">
        <f aca="false">(Sens!I7306+Sens!J7306)/(Sens!I7307+Sens!J7307)</f>
        <v>0.6</v>
      </c>
      <c r="K7324" s="7" t="n">
        <f aca="false">(Sens!J7306+Sens!K7306)/(Sens!J7307+Sens!K7307)</f>
        <v>0.6</v>
      </c>
    </row>
    <row r="7325" customFormat="false" ht="17.15" hidden="false" customHeight="false" outlineLevel="0" collapsed="false">
      <c r="A7325" s="0" t="s">
        <v>829</v>
      </c>
      <c r="B7325" s="0" t="s">
        <v>98</v>
      </c>
      <c r="D7325" s="6" t="n">
        <f aca="false">Sens!D7319-Sens!D7324*(Sens!D7321+Sens!D7323)-Sens!D7322</f>
        <v>8.35701406163072</v>
      </c>
      <c r="E7325" s="6" t="n">
        <f aca="false">Sens!E7319-Sens!E7324*(Sens!E7321+Sens!E7323)-Sens!E7322</f>
        <v>18.7103224860238</v>
      </c>
      <c r="F7325" s="6" t="n">
        <f aca="false">Sens!F7319-Sens!F7324*(Sens!F7321+Sens!F7323)-Sens!F7322</f>
        <v>35.0573455625419</v>
      </c>
      <c r="G7325" s="6" t="n">
        <f aca="false">Sens!G7319-Sens!G7324*(Sens!G7321+Sens!G7323)-Sens!G7322</f>
        <v>52.2504971712871</v>
      </c>
      <c r="H7325" s="6" t="n">
        <f aca="false">Sens!H7319-Sens!H7324*(Sens!H7321+Sens!H7323)-Sens!H7322</f>
        <v>65.2796698510271</v>
      </c>
      <c r="I7325" s="6" t="n">
        <f aca="false">Sens!I7319-Sens!I7324*(Sens!I7321+Sens!I7323)-Sens!I7322</f>
        <v>83.2702996364549</v>
      </c>
      <c r="J7325" s="6" t="n">
        <f aca="false">Sens!J7319-Sens!J7324*(Sens!J7321+Sens!J7323)-Sens!J7322</f>
        <v>95.9475744394793</v>
      </c>
      <c r="K7325" s="6" t="n">
        <f aca="false">Sens!K7319-Sens!K7324*(Sens!K7321+Sens!K7323)-Sens!K7322</f>
        <v>104.1831135092</v>
      </c>
    </row>
    <row r="7326" customFormat="false" ht="17.15" hidden="false" customHeight="false" outlineLevel="0" collapsed="false">
      <c r="A7326" s="1" t="s">
        <v>830</v>
      </c>
      <c r="B7326" s="0" t="s">
        <v>98</v>
      </c>
      <c r="D7326" s="6" t="n">
        <f aca="false">(1-Sens!D7324)*(Sens!D7321+Sens!D7323)</f>
        <v>1.42281025374069</v>
      </c>
      <c r="E7326" s="6" t="n">
        <f aca="false">(1-Sens!E7324)*(Sens!E7321+Sens!E7323)</f>
        <v>3.25095598674472</v>
      </c>
      <c r="F7326" s="6" t="n">
        <f aca="false">(1-Sens!F7324)*(Sens!F7321+Sens!F7323)</f>
        <v>6.53293055050977</v>
      </c>
      <c r="G7326" s="6" t="n">
        <f aca="false">(1-Sens!G7324)*(Sens!G7321+Sens!G7323)</f>
        <v>10.7846311741651</v>
      </c>
      <c r="H7326" s="6" t="n">
        <f aca="false">(1-Sens!H7324)*(Sens!H7321+Sens!H7323)</f>
        <v>15.26343050201</v>
      </c>
      <c r="I7326" s="6" t="n">
        <f aca="false">(1-Sens!I7324)*(Sens!I7321+Sens!I7323)</f>
        <v>19.1433528317977</v>
      </c>
      <c r="J7326" s="6" t="n">
        <f aca="false">(1-Sens!J7324)*(Sens!J7321+Sens!J7323)</f>
        <v>21.7578594710146</v>
      </c>
      <c r="K7326" s="6" t="n">
        <f aca="false">(1-Sens!K7324)*(Sens!K7321+Sens!K7323)</f>
        <v>23.1609494366731</v>
      </c>
    </row>
    <row r="7327" customFormat="false" ht="17.15" hidden="false" customHeight="false" outlineLevel="0" collapsed="false">
      <c r="A7327" s="1" t="s">
        <v>831</v>
      </c>
      <c r="B7327" s="0" t="s">
        <v>350</v>
      </c>
      <c r="C7327" s="8" t="n">
        <f aca="false">cxit_open</f>
        <v>27.5918995</v>
      </c>
      <c r="D7327" s="8" t="n">
        <f aca="false">cxit_open</f>
        <v>27.5918995</v>
      </c>
      <c r="E7327" s="8" t="n">
        <f aca="false">cxit_open</f>
        <v>27.5918995</v>
      </c>
      <c r="F7327" s="8" t="n">
        <f aca="false">(a_g3_27*tk_cxit_gb300+(1-a_g3_27)*tk_cxit_vr200)</f>
        <v>33.8419624</v>
      </c>
      <c r="G7327" s="8" t="n">
        <f aca="false">(a_g3_28*tk_cxit_gb300+(1-a_g3_28)*tk_cxit_vr200)</f>
        <v>35.9816136</v>
      </c>
      <c r="H7327" s="8" t="n">
        <f aca="false">(a_g3_29*tk_cxit_gb300+(1-a_g3_29)*tk_cxit_vr200)</f>
        <v>37.0514392</v>
      </c>
      <c r="I7327" s="8" t="n">
        <f aca="false">(a_g3_29*tk_cxit_gb300+(1-a_g3_29)*tk_cxit_vr200)</f>
        <v>37.0514392</v>
      </c>
      <c r="J7327" s="8" t="n">
        <f aca="false">(a_g3_29*tk_cxit_gb300+(1-a_g3_29)*tk_cxit_vr200)</f>
        <v>37.0514392</v>
      </c>
      <c r="K7327" s="8" t="n">
        <f aca="false">(a_g3_29*tk_cxit_gb300+(1-a_g3_29)*tk_cxit_vr200)</f>
        <v>37.0514392</v>
      </c>
      <c r="L7327" s="11" t="s">
        <v>832</v>
      </c>
    </row>
    <row r="7328" customFormat="false" ht="17.15" hidden="false" customHeight="false" outlineLevel="0" collapsed="false">
      <c r="A7328" s="0" t="s">
        <v>833</v>
      </c>
      <c r="B7328" s="0" t="s">
        <v>392</v>
      </c>
      <c r="F7328" s="29" t="n">
        <f aca="false">Sens!C7309*IF(Sens!F7302-Sens!C7302=life_it,1,0)+Sens!D7309*IF(Sens!F7302-Sens!D7302=life_it,1,0)+Sens!E7309*IF(Sens!F7302-Sens!E7302=life_it,1,0)</f>
        <v>0</v>
      </c>
      <c r="G7328" s="29" t="n">
        <f aca="false">Sens!C7309*IF(Sens!G7302-Sens!C7302=life_it,1,0)+Sens!D7309*IF(Sens!G7302-Sens!D7302=life_it,1,0)+Sens!E7309*IF(Sens!G7302-Sens!E7302=life_it,1,0)+Sens!F7309*IF(Sens!G7302-Sens!F7302=life_it,1,0)</f>
        <v>0</v>
      </c>
      <c r="H7328" s="29" t="n">
        <f aca="false">Sens!C7309*IF(Sens!H7302-Sens!C7302=life_it,1,0)+Sens!D7309*IF(Sens!H7302-Sens!D7302=life_it,1,0)+Sens!E7309*IF(Sens!H7302-Sens!E7302=life_it,1,0)+Sens!F7309*IF(Sens!H7302-Sens!F7302=life_it,1,0)+Sens!G7309*IF(Sens!H7302-Sens!G7302=life_it,1,0)</f>
        <v>0</v>
      </c>
      <c r="I7328" s="29" t="n">
        <f aca="false">Sens!C7309*IF(Sens!I7302-Sens!C7302=life_it,1,0)+Sens!D7309*IF(Sens!I7302-Sens!D7302=life_it,1,0)+Sens!E7309*IF(Sens!I7302-Sens!E7302=life_it,1,0)+Sens!F7309*IF(Sens!I7302-Sens!F7302=life_it,1,0)+Sens!G7309*IF(Sens!I7302-Sens!G7302=life_it,1,0)+Sens!H7309*IF(Sens!I7302-Sens!H7302=life_it,1,0)</f>
        <v>816.666666666667</v>
      </c>
      <c r="J7328" s="29" t="n">
        <f aca="false">Sens!C7309*IF(Sens!J7302-Sens!C7302=life_it,1,0)+Sens!D7309*IF(Sens!J7302-Sens!D7302=life_it,1,0)+Sens!E7309*IF(Sens!J7302-Sens!E7302=life_it,1,0)+Sens!F7309*IF(Sens!J7302-Sens!F7302=life_it,1,0)+Sens!G7309*IF(Sens!J7302-Sens!G7302=life_it,1,0)+Sens!H7309*IF(Sens!J7302-Sens!H7302=life_it,1,0)+Sens!I7309*IF(Sens!J7302-Sens!I7302=life_it,1,0)</f>
        <v>1233.33333333333</v>
      </c>
      <c r="K7328" s="29" t="n">
        <f aca="false">Sens!C7309*IF(Sens!K7302-Sens!C7302=life_it,1,0)+Sens!D7309*IF(Sens!K7302-Sens!D7302=life_it,1,0)+Sens!E7309*IF(Sens!K7302-Sens!E7302=life_it,1,0)+Sens!F7309*IF(Sens!K7302-Sens!F7302=life_it,1,0)+Sens!G7309*IF(Sens!K7302-Sens!G7302=life_it,1,0)+Sens!H7309*IF(Sens!K7302-Sens!H7302=life_it,1,0)+Sens!I7309*IF(Sens!K7302-Sens!I7302=life_it,1,0)+Sens!J7309*IF(Sens!K7302-Sens!J7302=life_it,1,0)</f>
        <v>2450</v>
      </c>
      <c r="L7328" s="1" t="s">
        <v>834</v>
      </c>
    </row>
    <row r="7329" customFormat="false" ht="17.15" hidden="false" customHeight="false" outlineLevel="0" collapsed="false">
      <c r="A7329" s="0" t="s">
        <v>835</v>
      </c>
      <c r="B7329" s="0" t="s">
        <v>98</v>
      </c>
      <c r="C7329" s="6" t="n">
        <f aca="false">Sens!C7309*Sens!C7327/1000</f>
        <v>22.5333845916667</v>
      </c>
      <c r="D7329" s="6" t="n">
        <f aca="false">Sens!D7309*Sens!D7327/1000</f>
        <v>34.0300093833333</v>
      </c>
      <c r="E7329" s="6" t="n">
        <f aca="false">Sens!E7309*Sens!E7327/1000</f>
        <v>67.600153775</v>
      </c>
      <c r="F7329" s="6" t="n">
        <f aca="false">(Sens!F7309+Sens!F7328)*Sens!F7327/1000</f>
        <v>130.923271871467</v>
      </c>
      <c r="G7329" s="6" t="n">
        <f aca="false">(Sens!G7309+Sens!G7328)*Sens!G7327/1000</f>
        <v>151.5545564832</v>
      </c>
      <c r="H7329" s="6" t="n">
        <f aca="false">(Sens!H7309+Sens!H7328)*Sens!H7327/1000</f>
        <v>156.0606619104</v>
      </c>
      <c r="I7329" s="6" t="n">
        <f aca="false">(Sens!I7309+Sens!I7328)*Sens!I7327/1000</f>
        <v>140.987889434245</v>
      </c>
      <c r="J7329" s="6" t="n">
        <f aca="false">(Sens!J7309+Sens!J7328)*Sens!J7327/1000</f>
        <v>111.094541278091</v>
      </c>
      <c r="K7329" s="6" t="n">
        <f aca="false">(Sens!K7309+Sens!K7328)*Sens!K7327/1000</f>
        <v>110.842344481936</v>
      </c>
    </row>
    <row r="7330" customFormat="false" ht="17.15" hidden="false" customHeight="false" outlineLevel="0" collapsed="false">
      <c r="A7330" s="0" t="s">
        <v>836</v>
      </c>
      <c r="B7330" s="0" t="s">
        <v>98</v>
      </c>
      <c r="C7330" s="6" t="n">
        <f aca="false">Sens!C7309*self_build*tk_cxfac/1000</f>
        <v>6.2083</v>
      </c>
      <c r="D7330" s="6" t="n">
        <f aca="false">Sens!D7309*self_build*tk_cxfac/1000</f>
        <v>9.3758</v>
      </c>
      <c r="E7330" s="6" t="n">
        <f aca="false">Sens!E7309*self_build*tk_cxfac/1000</f>
        <v>18.6249</v>
      </c>
      <c r="F7330" s="6" t="n">
        <f aca="false">Sens!F7309*self_build*tk_cxfac/1000</f>
        <v>29.409604</v>
      </c>
      <c r="G7330" s="6" t="n">
        <f aca="false">Sens!G7309*self_build*tk_cxfac/1000</f>
        <v>32.019624</v>
      </c>
      <c r="H7330" s="6" t="n">
        <f aca="false">Sens!H7309*self_build*tk_cxfac/1000</f>
        <v>32.019624</v>
      </c>
      <c r="I7330" s="6" t="n">
        <f aca="false">Sens!I7309*self_build*tk_cxfac/1000</f>
        <v>22.71877972</v>
      </c>
      <c r="J7330" s="6" t="n">
        <f aca="false">Sens!J7309*self_build*tk_cxfac/1000</f>
        <v>13.41793544</v>
      </c>
      <c r="K7330" s="6" t="n">
        <f aca="false">Sens!K7309*self_build*tk_cxfac/1000</f>
        <v>4.11709116000001</v>
      </c>
    </row>
    <row r="7331" customFormat="false" ht="17.15" hidden="false" customHeight="false" outlineLevel="0" collapsed="false">
      <c r="A7331" s="0" t="s">
        <v>837</v>
      </c>
      <c r="B7331" s="0" t="s">
        <v>98</v>
      </c>
      <c r="F7331" s="6" t="n">
        <f aca="false">MAX(0,capex_floor27-Sens!F7329-Sens!F7330-Sens!F7424)</f>
        <v>8.22777689897089</v>
      </c>
      <c r="L7331" s="1" t="s">
        <v>838</v>
      </c>
    </row>
    <row r="7332" customFormat="false" ht="17.15" hidden="false" customHeight="false" outlineLevel="0" collapsed="false">
      <c r="A7332" s="0" t="s">
        <v>839</v>
      </c>
      <c r="B7332" s="0" t="s">
        <v>98</v>
      </c>
      <c r="C7332" s="6" t="n">
        <f aca="false">Sens!C7329</f>
        <v>22.5333845916667</v>
      </c>
      <c r="D7332" s="6" t="n">
        <f aca="false">Sens!D7329</f>
        <v>34.0300093833333</v>
      </c>
      <c r="E7332" s="6" t="n">
        <f aca="false">Sens!E7329</f>
        <v>67.600153775</v>
      </c>
      <c r="F7332" s="6" t="n">
        <f aca="false">Sens!F7329+Sens!F7331</f>
        <v>139.151048770438</v>
      </c>
      <c r="G7332" s="6" t="n">
        <f aca="false">Sens!G7329</f>
        <v>151.5545564832</v>
      </c>
      <c r="H7332" s="6" t="n">
        <f aca="false">Sens!H7329</f>
        <v>156.0606619104</v>
      </c>
      <c r="I7332" s="6" t="n">
        <f aca="false">Sens!I7329</f>
        <v>140.987889434245</v>
      </c>
      <c r="J7332" s="6" t="n">
        <f aca="false">Sens!J7329</f>
        <v>111.094541278091</v>
      </c>
      <c r="K7332" s="6" t="n">
        <f aca="false">Sens!K7329</f>
        <v>110.842344481936</v>
      </c>
    </row>
    <row r="7333" customFormat="false" ht="17.15" hidden="false" customHeight="false" outlineLevel="0" collapsed="false">
      <c r="A7333" s="0" t="s">
        <v>840</v>
      </c>
      <c r="B7333" s="0" t="s">
        <v>98</v>
      </c>
      <c r="C7333" s="6" t="n">
        <f aca="false">Sens!C7332+Sens!C7330</f>
        <v>28.7416845916667</v>
      </c>
      <c r="D7333" s="6" t="n">
        <f aca="false">Sens!D7332+Sens!D7330</f>
        <v>43.4058093833333</v>
      </c>
      <c r="E7333" s="6" t="n">
        <f aca="false">Sens!E7332+Sens!E7330</f>
        <v>86.225053775</v>
      </c>
      <c r="F7333" s="6" t="n">
        <f aca="false">Sens!F7332+Sens!F7330</f>
        <v>168.560652770438</v>
      </c>
      <c r="G7333" s="6" t="n">
        <f aca="false">Sens!G7332+Sens!G7330</f>
        <v>183.5741804832</v>
      </c>
      <c r="H7333" s="6" t="n">
        <f aca="false">Sens!H7332+Sens!H7330</f>
        <v>188.0802859104</v>
      </c>
      <c r="I7333" s="6" t="n">
        <f aca="false">Sens!I7332+Sens!I7330</f>
        <v>163.706669154245</v>
      </c>
      <c r="J7333" s="6" t="n">
        <f aca="false">Sens!J7332+Sens!J7330</f>
        <v>124.51247671809</v>
      </c>
      <c r="K7333" s="6" t="n">
        <f aca="false">Sens!K7332+Sens!K7330</f>
        <v>114.959435641936</v>
      </c>
      <c r="L7333" s="11" t="s">
        <v>841</v>
      </c>
    </row>
    <row r="7334" customFormat="false" ht="17.15" hidden="false" customHeight="false" outlineLevel="0" collapsed="false">
      <c r="A7334" s="0" t="s">
        <v>842</v>
      </c>
      <c r="B7334" s="0" t="s">
        <v>98</v>
      </c>
      <c r="E7334" s="6" t="n">
        <f aca="false">(Sens!C7332*IF(2&lt;life_it,1,IF(2=life_it,0.5,0))+Sens!D7332*IF(1&lt;life_it,1,IF(1=life_it,0.5,0))+Sens!E7332*0.5)/life_it</f>
        <v>15.0605784770833</v>
      </c>
      <c r="F7334" s="6" t="n">
        <f aca="false">(Sens!C7332*IF(3&lt;life_it,1,IF(3=life_it,0.5,0))+Sens!D7332*IF(2&lt;life_it,1,IF(2=life_it,0.5,0))+Sens!E7332*IF(1&lt;life_it,1,IF(1=life_it,0.5,0))+Sens!F7332*0.5)/life_it</f>
        <v>32.2898453558698</v>
      </c>
      <c r="G7334" s="6" t="n">
        <f aca="false">(Sens!C7332*IF(4&lt;life_it,1,IF(4=life_it,0.5,0))+Sens!D7332*IF(3&lt;life_it,1,IF(3=life_it,0.5,0))+Sens!E7332*IF(2&lt;life_it,1,IF(2=life_it,0.5,0))+Sens!F7332*IF(1&lt;life_it,1,IF(1=life_it,0.5,0))+Sens!G7332*0.5)/life_it</f>
        <v>56.5153124603396</v>
      </c>
      <c r="H7334" s="6" t="n">
        <f aca="false">(Sens!C7332*IF(5&lt;life_it,1,IF(5=life_it,0.5,0))+Sens!D7332*IF(4&lt;life_it,1,IF(4=life_it,0.5,0))+Sens!E7332*IF(3&lt;life_it,1,IF(3=life_it,0.5,0))+Sens!F7332*IF(2&lt;life_it,1,IF(2=life_it,0.5,0))+Sens!G7332*IF(1&lt;life_it,1,IF(1=life_it,0.5,0))+Sens!H7332*0.5)/life_it</f>
        <v>82.1499139931396</v>
      </c>
      <c r="I7334" s="6" t="n">
        <f aca="false">(Sens!C7332*IF(6&lt;life_it,1,IF(6=life_it,0.5,0))+Sens!D7332*IF(5&lt;life_it,1,IF(5=life_it,0.5,0))+Sens!E7332*IF(4&lt;life_it,1,IF(4=life_it,0.5,0))+Sens!F7332*IF(3&lt;life_it,1,IF(3=life_it,0.5,0))+Sens!G7332*IF(2&lt;life_it,1,IF(2=life_it,0.5,0))+Sens!H7332*IF(1&lt;life_it,1,IF(1=life_it,0.5,0))+Sens!I7332*0.5)/life_it</f>
        <v>105.026177889221</v>
      </c>
      <c r="J7334" s="6" t="n">
        <f aca="false">(Sens!C7332*IF(7&lt;life_it,1,IF(7=life_it,0.5,0))+Sens!D7332*IF(6&lt;life_it,1,IF(6=life_it,0.5,0))+Sens!E7332*IF(5&lt;life_it,1,IF(5=life_it,0.5,0))+Sens!F7332*IF(4&lt;life_it,1,IF(4=life_it,0.5,0))+Sens!G7332*IF(3&lt;life_it,1,IF(3=life_it,0.5,0))+Sens!H7332*IF(2&lt;life_it,1,IF(2=life_it,0.5,0))+Sens!I7332*IF(1&lt;life_it,1,IF(1=life_it,0.5,0))+Sens!J7332*0.5)/life_it</f>
        <v>121.319430950666</v>
      </c>
      <c r="K7334" s="6" t="n">
        <f aca="false">(Sens!C7332*IF(8&lt;life_it,1,IF(8=life_it,0.5,0))+Sens!D7332*IF(7&lt;life_it,1,IF(7=life_it,0.5,0))+Sens!E7332*IF(6&lt;life_it,1,IF(6=life_it,0.5,0))+Sens!F7332*IF(5&lt;life_it,1,IF(5=life_it,0.5,0))+Sens!G7332*IF(4&lt;life_it,1,IF(4=life_it,0.5,0))+Sens!H7332*IF(3&lt;life_it,1,IF(3=life_it,0.5,0))+Sens!I7332*IF(2&lt;life_it,1,IF(2=life_it,0.5,0))+Sens!J7332*IF(1&lt;life_it,1,IF(1=life_it,0.5,0))+Sens!K7332*0.5)/life_it</f>
        <v>131.344991167474</v>
      </c>
    </row>
    <row r="7335" customFormat="false" ht="17.15" hidden="false" customHeight="false" outlineLevel="0" collapsed="false">
      <c r="A7335" s="0" t="s">
        <v>843</v>
      </c>
      <c r="B7335" s="0" t="s">
        <v>98</v>
      </c>
      <c r="E7335" s="6" t="n">
        <f aca="false">(Sens!C7330*IF(2&lt;life_fac,1,IF(2=life_fac,0.5,0))+Sens!D7330*IF(1&lt;life_fac,1,IF(1=life_fac,0.5,0))+Sens!E7330*0.5)/life_fac</f>
        <v>1.2448275</v>
      </c>
      <c r="F7335" s="6" t="n">
        <f aca="false">(Sens!C7330*IF(3&lt;life_fac,1,IF(3=life_fac,0.5,0))+Sens!D7330*IF(2&lt;life_fac,1,IF(2=life_fac,0.5,0))+Sens!E7330*IF(1&lt;life_fac,1,IF(1=life_fac,0.5,0))+Sens!F7330*0.5)/life_fac</f>
        <v>2.4456901</v>
      </c>
      <c r="G7335" s="6" t="n">
        <f aca="false">(Sens!C7330*IF(4&lt;life_fac,1,IF(4=life_fac,0.5,0))+Sens!D7330*IF(3&lt;life_fac,1,IF(3=life_fac,0.5,0))+Sens!E7330*IF(2&lt;life_fac,1,IF(2=life_fac,0.5,0))+Sens!F7330*IF(1&lt;life_fac,1,IF(1=life_fac,0.5,0))+Sens!G7330*0.5)/life_fac</f>
        <v>3.9814208</v>
      </c>
      <c r="H7335" s="6" t="n">
        <f aca="false">(Sens!C7330*IF(5&lt;life_fac,1,IF(5=life_fac,0.5,0))+Sens!D7330*IF(4&lt;life_fac,1,IF(4=life_fac,0.5,0))+Sens!E7330*IF(3&lt;life_fac,1,IF(3=life_fac,0.5,0))+Sens!F7330*IF(2&lt;life_fac,1,IF(2=life_fac,0.5,0))+Sens!G7330*IF(1&lt;life_fac,1,IF(1=life_fac,0.5,0))+Sens!H7330*0.5)/life_fac</f>
        <v>5.582402</v>
      </c>
      <c r="I7335" s="6" t="n">
        <f aca="false">(Sens!C7330*IF(6&lt;life_fac,1,IF(6=life_fac,0.5,0))+Sens!D7330*IF(5&lt;life_fac,1,IF(5=life_fac,0.5,0))+Sens!E7330*IF(4&lt;life_fac,1,IF(4=life_fac,0.5,0))+Sens!F7330*IF(3&lt;life_fac,1,IF(3=life_fac,0.5,0))+Sens!G7330*IF(2&lt;life_fac,1,IF(2=life_fac,0.5,0))+Sens!H7330*IF(1&lt;life_fac,1,IF(1=life_fac,0.5,0))+Sens!I7330*0.5)/life_fac</f>
        <v>6.950862093</v>
      </c>
      <c r="J7335" s="6" t="n">
        <f aca="false">(Sens!C7330*IF(7&lt;life_fac,1,IF(7=life_fac,0.5,0))+Sens!D7330*IF(6&lt;life_fac,1,IF(6=life_fac,0.5,0))+Sens!E7330*IF(5&lt;life_fac,1,IF(5=life_fac,0.5,0))+Sens!F7330*IF(4&lt;life_fac,1,IF(4=life_fac,0.5,0))+Sens!G7330*IF(3&lt;life_fac,1,IF(3=life_fac,0.5,0))+Sens!H7330*IF(2&lt;life_fac,1,IF(2=life_fac,0.5,0))+Sens!I7330*IF(1&lt;life_fac,1,IF(1=life_fac,0.5,0))+Sens!J7330*0.5)/life_fac</f>
        <v>7.854279972</v>
      </c>
      <c r="K7335" s="6" t="n">
        <f aca="false">(Sens!C7330*IF(8&lt;life_fac,1,IF(8=life_fac,0.5,0))+Sens!D7330*IF(7&lt;life_fac,1,IF(7=life_fac,0.5,0))+Sens!E7330*IF(6&lt;life_fac,1,IF(6=life_fac,0.5,0))+Sens!F7330*IF(5&lt;life_fac,1,IF(5=life_fac,0.5,0))+Sens!G7330*IF(4&lt;life_fac,1,IF(4=life_fac,0.5,0))+Sens!H7330*IF(3&lt;life_fac,1,IF(3=life_fac,0.5,0))+Sens!I7330*IF(2&lt;life_fac,1,IF(2=life_fac,0.5,0))+Sens!J7330*IF(1&lt;life_fac,1,IF(1=life_fac,0.5,0))+Sens!K7330*0.5)/life_fac</f>
        <v>8.292655637</v>
      </c>
    </row>
    <row r="7336" customFormat="false" ht="17.15" hidden="false" customHeight="false" outlineLevel="0" collapsed="false">
      <c r="A7336" s="0" t="s">
        <v>844</v>
      </c>
      <c r="B7336" s="0" t="s">
        <v>98</v>
      </c>
      <c r="E7336" s="6" t="n">
        <f aca="false">Sens!E7334+Sens!E7335</f>
        <v>16.3054059770833</v>
      </c>
      <c r="F7336" s="6" t="n">
        <f aca="false">Sens!F7334+Sens!F7335</f>
        <v>34.7355354558698</v>
      </c>
      <c r="G7336" s="6" t="n">
        <f aca="false">Sens!G7334+Sens!G7335</f>
        <v>60.4967332603396</v>
      </c>
      <c r="H7336" s="6" t="n">
        <f aca="false">Sens!H7334+Sens!H7335</f>
        <v>87.7323159931396</v>
      </c>
      <c r="I7336" s="6" t="n">
        <f aca="false">Sens!I7334+Sens!I7335</f>
        <v>111.977039982221</v>
      </c>
      <c r="J7336" s="6" t="n">
        <f aca="false">Sens!J7334+Sens!J7335</f>
        <v>129.173710922666</v>
      </c>
      <c r="K7336" s="6" t="n">
        <f aca="false">Sens!K7334+Sens!K7335</f>
        <v>139.637646804474</v>
      </c>
    </row>
    <row r="7337" customFormat="false" ht="17.15" hidden="false" customHeight="false" outlineLevel="0" collapsed="false">
      <c r="A7337" s="0" t="s">
        <v>845</v>
      </c>
      <c r="B7337" s="0" t="s">
        <v>98</v>
      </c>
      <c r="E7337" s="6" t="n">
        <f aca="false">Sens!E7325-Sens!E7324*Sens!E7336</f>
        <v>8.92707889977379</v>
      </c>
      <c r="F7337" s="6" t="n">
        <f aca="false">Sens!F7325-Sens!F7324*Sens!F7336</f>
        <v>14.2160242890201</v>
      </c>
      <c r="G7337" s="6" t="n">
        <f aca="false">Sens!G7325-Sens!G7324*Sens!G7336</f>
        <v>15.9524572150833</v>
      </c>
      <c r="H7337" s="6" t="n">
        <f aca="false">Sens!H7325-Sens!H7324*Sens!H7336</f>
        <v>12.6402802551433</v>
      </c>
      <c r="I7337" s="6" t="n">
        <f aca="false">Sens!I7325-Sens!I7324*Sens!I7336</f>
        <v>16.0840756471222</v>
      </c>
      <c r="J7337" s="6" t="n">
        <f aca="false">Sens!J7325-Sens!J7324*Sens!J7336</f>
        <v>18.4433478858798</v>
      </c>
      <c r="K7337" s="6" t="n">
        <f aca="false">Sens!K7325-Sens!K7324*Sens!K7336</f>
        <v>20.4005254265162</v>
      </c>
    </row>
    <row r="7338" customFormat="false" ht="17.15" hidden="false" customHeight="false" outlineLevel="0" collapsed="false">
      <c r="A7338" s="3" t="s">
        <v>1425</v>
      </c>
    </row>
    <row r="7339" customFormat="false" ht="15" hidden="false" customHeight="false" outlineLevel="0" collapsed="false">
      <c r="A7339" s="4" t="s">
        <v>43</v>
      </c>
      <c r="B7339" s="4" t="s">
        <v>65</v>
      </c>
      <c r="C7339" s="20" t="s">
        <v>788</v>
      </c>
      <c r="D7339" s="20" t="s">
        <v>789</v>
      </c>
      <c r="E7339" s="20" t="s">
        <v>790</v>
      </c>
      <c r="F7339" s="20" t="s">
        <v>791</v>
      </c>
      <c r="G7339" s="20" t="s">
        <v>792</v>
      </c>
      <c r="H7339" s="20" t="s">
        <v>793</v>
      </c>
      <c r="I7339" s="20" t="s">
        <v>794</v>
      </c>
      <c r="J7339" s="20" t="s">
        <v>795</v>
      </c>
      <c r="K7339" s="20" t="s">
        <v>796</v>
      </c>
      <c r="L7339" s="4" t="s">
        <v>47</v>
      </c>
    </row>
    <row r="7340" customFormat="false" ht="17.15" hidden="false" customHeight="false" outlineLevel="0" collapsed="false">
      <c r="A7340" s="0" t="s">
        <v>864</v>
      </c>
      <c r="B7340" s="0" t="s">
        <v>98</v>
      </c>
      <c r="D7340" s="6" t="n">
        <f aca="false">Sens!D7319</f>
        <v>12.9359794422418</v>
      </c>
      <c r="E7340" s="6" t="n">
        <f aca="false">Sens!E7319</f>
        <v>27.8095064661409</v>
      </c>
      <c r="F7340" s="6" t="n">
        <f aca="false">Sens!F7319</f>
        <v>50.6619113883066</v>
      </c>
      <c r="G7340" s="6" t="n">
        <f aca="false">Sens!G7319</f>
        <v>75.1482839325348</v>
      </c>
      <c r="H7340" s="6" t="n">
        <f aca="false">Sens!H7319</f>
        <v>94.895655604042</v>
      </c>
      <c r="I7340" s="6" t="n">
        <f aca="false">Sens!I7319</f>
        <v>118.706168884151</v>
      </c>
      <c r="J7340" s="6" t="n">
        <f aca="false">Sens!J7319</f>
        <v>135.305203646001</v>
      </c>
      <c r="K7340" s="6" t="n">
        <f aca="false">Sens!K7319</f>
        <v>145.64537766421</v>
      </c>
    </row>
    <row r="7341" customFormat="false" ht="17.15" hidden="false" customHeight="false" outlineLevel="0" collapsed="false">
      <c r="A7341" s="0" t="s">
        <v>865</v>
      </c>
      <c r="B7341" s="0" t="s">
        <v>98</v>
      </c>
      <c r="D7341" s="6" t="n">
        <f aca="false">Q!L6-Sens!D7340</f>
        <v>59.6740205577583</v>
      </c>
      <c r="E7341" s="6" t="n">
        <f aca="false">Q!M6-Sens!E7340</f>
        <v>74.1284935338591</v>
      </c>
      <c r="F7341" s="6" t="n">
        <f aca="false">Sens!E7341*(1+Sens!F7342)</f>
        <v>90.0799497373663</v>
      </c>
      <c r="G7341" s="6" t="n">
        <f aca="false">Sens!F7341*(1+Sens!G7342)</f>
        <v>107.02842520331</v>
      </c>
      <c r="H7341" s="6" t="n">
        <f aca="false">Sens!G7341*(1+Sens!H7342)</f>
        <v>124.271982585636</v>
      </c>
      <c r="I7341" s="6" t="n">
        <f aca="false">Sens!H7341*(1+Sens!I7342)</f>
        <v>140.933702381855</v>
      </c>
      <c r="J7341" s="6" t="n">
        <f aca="false">Sens!I7341*(1+Sens!J7342)</f>
        <v>156.018867314332</v>
      </c>
      <c r="K7341" s="6" t="n">
        <f aca="false">Sens!J7341*(1+Sens!K7342)</f>
        <v>168.500376699478</v>
      </c>
    </row>
    <row r="7342" customFormat="false" ht="15" hidden="false" customHeight="false" outlineLevel="0" collapsed="false">
      <c r="A7342" s="1" t="s">
        <v>866</v>
      </c>
      <c r="B7342" s="0" t="s">
        <v>129</v>
      </c>
      <c r="E7342" s="7" t="n">
        <f aca="false">Sens!E7341/Sens!D7341-1</f>
        <v>0.242223883039864</v>
      </c>
      <c r="F7342" s="7" t="n">
        <f aca="false">Sens!$E$7342+(glt_azo-Sens!$E$7342)*MIN(1,(Sens!F7302-base_fy)/n_conv)</f>
        <v>0.215186569199887</v>
      </c>
      <c r="G7342" s="7" t="n">
        <f aca="false">Sens!$E$7342+(glt_azo-Sens!$E$7342)*MIN(1,(Sens!G7302-base_fy)/n_conv)</f>
        <v>0.18814925535991</v>
      </c>
      <c r="H7342" s="7" t="n">
        <f aca="false">Sens!$E$7342+(glt_azo-Sens!$E$7342)*MIN(1,(Sens!H7302-base_fy)/n_conv)</f>
        <v>0.161111941519932</v>
      </c>
      <c r="I7342" s="7" t="n">
        <f aca="false">Sens!$E$7342+(glt_azo-Sens!$E$7342)*MIN(1,(Sens!I7302-base_fy)/n_conv)</f>
        <v>0.134074627679955</v>
      </c>
      <c r="J7342" s="7" t="n">
        <f aca="false">Sens!$E$7342+(glt_azo-Sens!$E$7342)*MIN(1,(Sens!J7302-base_fy)/n_conv)</f>
        <v>0.107037313839977</v>
      </c>
      <c r="K7342" s="7" t="n">
        <f aca="false">Sens!$E$7342+(glt_azo-Sens!$E$7342)*MIN(1,(Sens!K7302-base_fy)/n_conv)</f>
        <v>0.08</v>
      </c>
    </row>
    <row r="7343" customFormat="false" ht="15" hidden="false" customHeight="false" outlineLevel="0" collapsed="false">
      <c r="A7343" s="0" t="s">
        <v>867</v>
      </c>
      <c r="B7343" s="0" t="s">
        <v>98</v>
      </c>
      <c r="D7343" s="6" t="n">
        <f aca="false">Sens!D7340+Sens!D7341</f>
        <v>72.61</v>
      </c>
      <c r="E7343" s="6" t="n">
        <f aca="false">Sens!E7340+Sens!E7341</f>
        <v>101.938</v>
      </c>
      <c r="F7343" s="6" t="n">
        <f aca="false">Sens!F7340+Sens!F7341</f>
        <v>140.741861125673</v>
      </c>
      <c r="G7343" s="6" t="n">
        <f aca="false">Sens!G7340+Sens!G7341</f>
        <v>182.176709135845</v>
      </c>
      <c r="H7343" s="6" t="n">
        <f aca="false">Sens!H7340+Sens!H7341</f>
        <v>219.167638189678</v>
      </c>
      <c r="I7343" s="6" t="n">
        <f aca="false">Sens!I7340+Sens!I7341</f>
        <v>259.639871266006</v>
      </c>
      <c r="J7343" s="6" t="n">
        <f aca="false">Sens!J7340+Sens!J7341</f>
        <v>291.324070960333</v>
      </c>
      <c r="K7343" s="6" t="n">
        <f aca="false">Sens!K7340+Sens!K7341</f>
        <v>314.145754363688</v>
      </c>
    </row>
    <row r="7344" customFormat="false" ht="17.15" hidden="false" customHeight="false" outlineLevel="0" collapsed="false">
      <c r="A7344" s="0" t="s">
        <v>868</v>
      </c>
      <c r="B7344" s="1" t="s">
        <v>521</v>
      </c>
      <c r="C7344" s="29" t="n">
        <f aca="false">cop_s24</f>
        <v>1</v>
      </c>
      <c r="D7344" s="29" t="n">
        <f aca="false">cop_s25</f>
        <v>5</v>
      </c>
      <c r="E7344" s="29" t="n">
        <f aca="false">cop_s26</f>
        <v>30</v>
      </c>
      <c r="F7344" s="29" t="n">
        <f aca="false">Sens!E7344+cop_add_C</f>
        <v>40</v>
      </c>
      <c r="G7344" s="29" t="n">
        <f aca="false">Sens!F7344+cop_add_C</f>
        <v>50</v>
      </c>
      <c r="H7344" s="29" t="n">
        <f aca="false">Sens!G7344+cop_add_C</f>
        <v>60</v>
      </c>
      <c r="I7344" s="29" t="n">
        <f aca="false">Sens!H7344+cop_add_C*cop_tail</f>
        <v>65</v>
      </c>
      <c r="J7344" s="29" t="n">
        <f aca="false">Sens!I7344+cop_add_C*cop_tail</f>
        <v>70</v>
      </c>
      <c r="K7344" s="29" t="n">
        <f aca="false">Sens!J7344+cop_add_C*cop_tail</f>
        <v>75</v>
      </c>
      <c r="L7344" s="11" t="s">
        <v>869</v>
      </c>
    </row>
    <row r="7345" customFormat="false" ht="17.15" hidden="false" customHeight="false" outlineLevel="0" collapsed="false">
      <c r="A7345" s="0" t="s">
        <v>870</v>
      </c>
      <c r="B7345" s="0" t="s">
        <v>98</v>
      </c>
      <c r="D7345" s="6" t="n">
        <f aca="false">(Sens!C7344+Sens!D7344)/2*cop_px*12/1000</f>
        <v>0.9</v>
      </c>
      <c r="E7345" s="6" t="n">
        <f aca="false">(Sens!D7344+Sens!E7344)/2*cop_px*12/1000</f>
        <v>5.25</v>
      </c>
      <c r="F7345" s="6" t="n">
        <f aca="false">(Sens!E7344+Sens!F7344)/2*cop_px_hi*12/1000</f>
        <v>12.6</v>
      </c>
      <c r="G7345" s="6" t="n">
        <f aca="false">(Sens!F7344+Sens!G7344)/2*cop_px_hi*12/1000</f>
        <v>16.2</v>
      </c>
      <c r="H7345" s="6" t="n">
        <f aca="false">(Sens!G7344+Sens!H7344)/2*cop_px_hi*12/1000</f>
        <v>19.8</v>
      </c>
      <c r="I7345" s="6" t="n">
        <f aca="false">(Sens!H7344+Sens!I7344)/2*cop_px_hi*12/1000</f>
        <v>22.5</v>
      </c>
      <c r="J7345" s="6" t="n">
        <f aca="false">(Sens!I7344+Sens!J7344)/2*cop_px_hi*12/1000</f>
        <v>24.3</v>
      </c>
      <c r="K7345" s="6" t="n">
        <f aca="false">(Sens!J7344+Sens!K7344)/2*cop_px_hi*12/1000</f>
        <v>26.1</v>
      </c>
      <c r="L7345" s="1" t="s">
        <v>871</v>
      </c>
    </row>
    <row r="7346" customFormat="false" ht="17.15" hidden="false" customHeight="false" outlineLevel="0" collapsed="false">
      <c r="A7346" s="0" t="s">
        <v>872</v>
      </c>
      <c r="B7346" s="0" t="s">
        <v>98</v>
      </c>
      <c r="D7346" s="6" t="n">
        <f aca="false">Q!L7-Sens!D7345</f>
        <v>83.705</v>
      </c>
      <c r="E7346" s="6" t="n">
        <f aca="false">Q!M7-Sens!E7345</f>
        <v>95.049</v>
      </c>
      <c r="F7346" s="6" t="n">
        <f aca="false">Sens!E7346*(1+Sens!F7347)</f>
        <v>106.89238776686</v>
      </c>
      <c r="G7346" s="6" t="n">
        <f aca="false">Sens!F7346*(1+Sens!G7347)</f>
        <v>119.044168448684</v>
      </c>
      <c r="H7346" s="6" t="n">
        <f aca="false">Sens!G7346*(1+Sens!H7347)</f>
        <v>131.277359388781</v>
      </c>
      <c r="I7346" s="6" t="n">
        <f aca="false">Sens!H7346*(1+Sens!I7347)</f>
        <v>143.334028071957</v>
      </c>
      <c r="J7346" s="6" t="n">
        <f aca="false">Sens!I7346*(1+Sens!J7347)</f>
        <v>154.932702785465</v>
      </c>
      <c r="K7346" s="6" t="n">
        <f aca="false">Sens!J7346*(1+Sens!K7347)</f>
        <v>165.777991980448</v>
      </c>
    </row>
    <row r="7347" customFormat="false" ht="15" hidden="false" customHeight="false" outlineLevel="0" collapsed="false">
      <c r="A7347" s="1" t="s">
        <v>866</v>
      </c>
      <c r="B7347" s="0" t="s">
        <v>129</v>
      </c>
      <c r="E7347" s="7" t="n">
        <f aca="false">Sens!E7346/Sens!D7346-1</f>
        <v>0.135523564900544</v>
      </c>
      <c r="F7347" s="7" t="n">
        <f aca="false">Sens!$E$7347+(glt_m365b-Sens!$E$7347)*MIN(1,(Sens!F7302-base_fy)/n_conv)</f>
        <v>0.124602970750453</v>
      </c>
      <c r="G7347" s="7" t="n">
        <f aca="false">Sens!$E$7347+(glt_m365b-Sens!$E$7347)*MIN(1,(Sens!G7302-base_fy)/n_conv)</f>
        <v>0.113682376600363</v>
      </c>
      <c r="H7347" s="7" t="n">
        <f aca="false">Sens!$E$7347+(glt_m365b-Sens!$E$7347)*MIN(1,(Sens!H7302-base_fy)/n_conv)</f>
        <v>0.102761782450272</v>
      </c>
      <c r="I7347" s="7" t="n">
        <f aca="false">Sens!$E$7347+(glt_m365b-Sens!$E$7347)*MIN(1,(Sens!I7302-base_fy)/n_conv)</f>
        <v>0.0918411883001813</v>
      </c>
      <c r="J7347" s="7" t="n">
        <f aca="false">Sens!$E$7347+(glt_m365b-Sens!$E$7347)*MIN(1,(Sens!J7302-base_fy)/n_conv)</f>
        <v>0.0809205941500906</v>
      </c>
      <c r="K7347" s="7" t="n">
        <f aca="false">Sens!$E$7347+(glt_m365b-Sens!$E$7347)*MIN(1,(Sens!K7302-base_fy)/n_conv)</f>
        <v>0.07</v>
      </c>
    </row>
    <row r="7348" customFormat="false" ht="15" hidden="false" customHeight="false" outlineLevel="0" collapsed="false">
      <c r="A7348" s="0" t="s">
        <v>873</v>
      </c>
      <c r="B7348" s="0" t="s">
        <v>98</v>
      </c>
      <c r="D7348" s="6" t="n">
        <f aca="false">Sens!D7346+Sens!D7345</f>
        <v>84.605</v>
      </c>
      <c r="E7348" s="6" t="n">
        <f aca="false">Sens!E7346+Sens!E7345</f>
        <v>100.299</v>
      </c>
      <c r="F7348" s="6" t="n">
        <f aca="false">Sens!F7346+Sens!F7345</f>
        <v>119.49238776686</v>
      </c>
      <c r="G7348" s="6" t="n">
        <f aca="false">Sens!G7346+Sens!G7345</f>
        <v>135.244168448684</v>
      </c>
      <c r="H7348" s="6" t="n">
        <f aca="false">Sens!H7346+Sens!H7345</f>
        <v>151.077359388781</v>
      </c>
      <c r="I7348" s="6" t="n">
        <f aca="false">Sens!I7346+Sens!I7345</f>
        <v>165.834028071957</v>
      </c>
      <c r="J7348" s="6" t="n">
        <f aca="false">Sens!J7346+Sens!J7345</f>
        <v>179.232702785465</v>
      </c>
      <c r="K7348" s="6" t="n">
        <f aca="false">Sens!K7346+Sens!K7345</f>
        <v>191.877991980448</v>
      </c>
    </row>
    <row r="7349" customFormat="false" ht="15" hidden="false" customHeight="false" outlineLevel="0" collapsed="false">
      <c r="A7349" s="0" t="s">
        <v>874</v>
      </c>
      <c r="B7349" s="0" t="s">
        <v>98</v>
      </c>
      <c r="D7349" s="6" t="n">
        <f aca="false">Q!L8</f>
        <v>35.391</v>
      </c>
      <c r="E7349" s="6" t="n">
        <f aca="false">Q!M8</f>
        <v>37.285</v>
      </c>
      <c r="F7349" s="6" t="n">
        <f aca="false">Sens!E7349*(1+Sens!F7350)</f>
        <v>39.0720834331704</v>
      </c>
      <c r="G7349" s="6" t="n">
        <f aca="false">Sens!F7349*(1+Sens!G7350)</f>
        <v>40.726562953769</v>
      </c>
      <c r="H7349" s="6" t="n">
        <f aca="false">Sens!G7349*(1+Sens!H7350)</f>
        <v>42.2235987259198</v>
      </c>
      <c r="I7349" s="6" t="n">
        <f aca="false">Sens!H7349*(1+Sens!I7350)</f>
        <v>43.5397988077414</v>
      </c>
      <c r="J7349" s="6" t="n">
        <f aca="false">Sens!I7349*(1+Sens!J7350)</f>
        <v>44.653811225693</v>
      </c>
      <c r="K7349" s="6" t="n">
        <f aca="false">Sens!J7349*(1+Sens!K7350)</f>
        <v>45.5468874502068</v>
      </c>
    </row>
    <row r="7350" customFormat="false" ht="15" hidden="false" customHeight="false" outlineLevel="0" collapsed="false">
      <c r="A7350" s="1" t="s">
        <v>866</v>
      </c>
      <c r="B7350" s="0" t="s">
        <v>129</v>
      </c>
      <c r="E7350" s="7" t="n">
        <f aca="false">Sens!E7349/Sens!D7349-1</f>
        <v>0.0535164307309768</v>
      </c>
      <c r="F7350" s="7" t="n">
        <f aca="false">Sens!$E$7350+(glt_lic-Sens!$E$7350)*MIN(1,(Sens!F7302-base_fy)/n_conv)</f>
        <v>0.0479303589424807</v>
      </c>
      <c r="G7350" s="7" t="n">
        <f aca="false">Sens!$E$7350+(glt_lic-Sens!$E$7350)*MIN(1,(Sens!G7302-base_fy)/n_conv)</f>
        <v>0.0423442871539845</v>
      </c>
      <c r="H7350" s="7" t="n">
        <f aca="false">Sens!$E$7350+(glt_lic-Sens!$E$7350)*MIN(1,(Sens!H7302-base_fy)/n_conv)</f>
        <v>0.0367582153654884</v>
      </c>
      <c r="I7350" s="7" t="n">
        <f aca="false">Sens!$E$7350+(glt_lic-Sens!$E$7350)*MIN(1,(Sens!I7302-base_fy)/n_conv)</f>
        <v>0.0311721435769923</v>
      </c>
      <c r="J7350" s="7" t="n">
        <f aca="false">Sens!$E$7350+(glt_lic-Sens!$E$7350)*MIN(1,(Sens!J7302-base_fy)/n_conv)</f>
        <v>0.0255860717884961</v>
      </c>
      <c r="K7350" s="7" t="n">
        <f aca="false">Sens!$E$7350+(glt_lic-Sens!$E$7350)*MIN(1,(Sens!K7302-base_fy)/n_conv)</f>
        <v>0.02</v>
      </c>
    </row>
    <row r="7351" customFormat="false" ht="15" hidden="false" customHeight="false" outlineLevel="0" collapsed="false">
      <c r="A7351" s="0" t="s">
        <v>875</v>
      </c>
      <c r="B7351" s="0" t="s">
        <v>98</v>
      </c>
      <c r="D7351" s="6" t="n">
        <f aca="false">Q!L9</f>
        <v>18.417</v>
      </c>
      <c r="E7351" s="6" t="n">
        <f aca="false">Q!M9</f>
        <v>20.345</v>
      </c>
      <c r="F7351" s="6" t="n">
        <f aca="false">Sens!E7351*(1+Sens!F7352)</f>
        <v>22.3572203267814</v>
      </c>
      <c r="G7351" s="6" t="n">
        <f aca="false">Sens!F7351*(1+Sens!G7352)</f>
        <v>24.4392124437232</v>
      </c>
      <c r="H7351" s="6" t="n">
        <f aca="false">Sens!G7351*(1+Sens!H7352)</f>
        <v>26.5738052080665</v>
      </c>
      <c r="I7351" s="6" t="n">
        <f aca="false">Sens!H7351*(1+Sens!I7352)</f>
        <v>28.7412169166967</v>
      </c>
      <c r="J7351" s="6" t="n">
        <f aca="false">Sens!I7351*(1+Sens!J7352)</f>
        <v>30.9192545395413</v>
      </c>
      <c r="K7351" s="6" t="n">
        <f aca="false">Sens!J7351*(1+Sens!K7352)</f>
        <v>33.0836023573092</v>
      </c>
    </row>
    <row r="7352" customFormat="false" ht="15" hidden="false" customHeight="false" outlineLevel="0" collapsed="false">
      <c r="A7352" s="1" t="s">
        <v>866</v>
      </c>
      <c r="B7352" s="0" t="s">
        <v>129</v>
      </c>
      <c r="E7352" s="7" t="n">
        <f aca="false">Sens!E7351/Sens!D7351-1</f>
        <v>0.104685888038225</v>
      </c>
      <c r="F7352" s="7" t="n">
        <f aca="false">Sens!$E$7352+(glt_ind-Sens!$E$7352)*MIN(1,(Sens!F7302-base_fy)/n_conv)</f>
        <v>0.0989049066985211</v>
      </c>
      <c r="G7352" s="7" t="n">
        <f aca="false">Sens!$E$7352+(glt_ind-Sens!$E$7352)*MIN(1,(Sens!G7302-base_fy)/n_conv)</f>
        <v>0.0931239253588169</v>
      </c>
      <c r="H7352" s="7" t="n">
        <f aca="false">Sens!$E$7352+(glt_ind-Sens!$E$7352)*MIN(1,(Sens!H7302-base_fy)/n_conv)</f>
        <v>0.0873429440191127</v>
      </c>
      <c r="I7352" s="7" t="n">
        <f aca="false">Sens!$E$7352+(glt_ind-Sens!$E$7352)*MIN(1,(Sens!I7302-base_fy)/n_conv)</f>
        <v>0.0815619626794085</v>
      </c>
      <c r="J7352" s="7" t="n">
        <f aca="false">Sens!$E$7352+(glt_ind-Sens!$E$7352)*MIN(1,(Sens!J7302-base_fy)/n_conv)</f>
        <v>0.0757809813397042</v>
      </c>
      <c r="K7352" s="7" t="n">
        <f aca="false">Sens!$E$7352+(glt_ind-Sens!$E$7352)*MIN(1,(Sens!K7302-base_fy)/n_conv)</f>
        <v>0.07</v>
      </c>
    </row>
    <row r="7353" customFormat="false" ht="15" hidden="false" customHeight="false" outlineLevel="0" collapsed="false">
      <c r="A7353" s="0" t="s">
        <v>876</v>
      </c>
      <c r="B7353" s="0" t="s">
        <v>98</v>
      </c>
      <c r="D7353" s="6" t="n">
        <f aca="false">Q!L10</f>
        <v>7.76</v>
      </c>
      <c r="E7353" s="6" t="n">
        <f aca="false">Q!M10</f>
        <v>8.26</v>
      </c>
      <c r="F7353" s="6" t="n">
        <f aca="false">Sens!E7353*(1+Sens!F7354)</f>
        <v>8.79988041237113</v>
      </c>
      <c r="G7353" s="6" t="n">
        <f aca="false">Sens!F7353*(1+Sens!G7354)</f>
        <v>9.38321269125306</v>
      </c>
      <c r="H7353" s="6" t="n">
        <f aca="false">Sens!G7353*(1+Sens!H7354)</f>
        <v>10.0139193587476</v>
      </c>
      <c r="I7353" s="6" t="n">
        <f aca="false">Sens!H7353*(1+Sens!I7354)</f>
        <v>10.6963111830911</v>
      </c>
      <c r="J7353" s="6" t="n">
        <f aca="false">Sens!I7353*(1+Sens!J7354)</f>
        <v>11.4351285534696</v>
      </c>
      <c r="K7353" s="6" t="n">
        <f aca="false">Sens!J7353*(1+Sens!K7354)</f>
        <v>12.2355875522124</v>
      </c>
    </row>
    <row r="7354" customFormat="false" ht="15" hidden="false" customHeight="false" outlineLevel="0" collapsed="false">
      <c r="A7354" s="1" t="s">
        <v>866</v>
      </c>
      <c r="B7354" s="0" t="s">
        <v>129</v>
      </c>
      <c r="E7354" s="7" t="n">
        <f aca="false">Sens!E7353/Sens!D7353-1</f>
        <v>0.0644329896907216</v>
      </c>
      <c r="F7354" s="7" t="n">
        <f aca="false">Sens!$E$7354+(glt_fro-Sens!$E$7354)*MIN(1,(Sens!F7302-base_fy)/n_conv)</f>
        <v>0.065360824742268</v>
      </c>
      <c r="G7354" s="7" t="n">
        <f aca="false">Sens!$E$7354+(glt_fro-Sens!$E$7354)*MIN(1,(Sens!G7302-base_fy)/n_conv)</f>
        <v>0.0662886597938144</v>
      </c>
      <c r="H7354" s="7" t="n">
        <f aca="false">Sens!$E$7354+(glt_fro-Sens!$E$7354)*MIN(1,(Sens!H7302-base_fy)/n_conv)</f>
        <v>0.0672164948453608</v>
      </c>
      <c r="I7354" s="7" t="n">
        <f aca="false">Sens!$E$7354+(glt_fro-Sens!$E$7354)*MIN(1,(Sens!I7302-base_fy)/n_conv)</f>
        <v>0.0681443298969072</v>
      </c>
      <c r="J7354" s="7" t="n">
        <f aca="false">Sens!$E$7354+(glt_fro-Sens!$E$7354)*MIN(1,(Sens!J7302-base_fy)/n_conv)</f>
        <v>0.0690721649484536</v>
      </c>
      <c r="K7354" s="7" t="n">
        <f aca="false">Sens!$E$7354+(glt_fro-Sens!$E$7354)*MIN(1,(Sens!K7302-base_fy)/n_conv)</f>
        <v>0.07</v>
      </c>
    </row>
    <row r="7355" customFormat="false" ht="15" hidden="false" customHeight="false" outlineLevel="0" collapsed="false">
      <c r="A7355" s="0" t="s">
        <v>704</v>
      </c>
      <c r="B7355" s="0" t="s">
        <v>98</v>
      </c>
      <c r="D7355" s="6" t="n">
        <f aca="false">Sens!D7343+Sens!D7348+Sens!D7349+Sens!D7351+Sens!D7353</f>
        <v>218.783</v>
      </c>
      <c r="E7355" s="6" t="n">
        <f aca="false">Sens!E7343+Sens!E7348+Sens!E7349+Sens!E7351+Sens!E7353</f>
        <v>268.127</v>
      </c>
      <c r="F7355" s="6" t="n">
        <f aca="false">Sens!F7343+Sens!F7348+Sens!F7349+Sens!F7351+Sens!F7353</f>
        <v>330.463433064856</v>
      </c>
      <c r="G7355" s="6" t="n">
        <f aca="false">Sens!G7343+Sens!G7348+Sens!G7349+Sens!G7351+Sens!G7353</f>
        <v>391.969865673274</v>
      </c>
      <c r="H7355" s="6" t="n">
        <f aca="false">Sens!H7343+Sens!H7348+Sens!H7349+Sens!H7351+Sens!H7353</f>
        <v>449.056320871193</v>
      </c>
      <c r="I7355" s="6" t="n">
        <f aca="false">Sens!I7343+Sens!I7348+Sens!I7349+Sens!I7351+Sens!I7353</f>
        <v>508.451226245492</v>
      </c>
      <c r="J7355" s="6" t="n">
        <f aca="false">Sens!J7343+Sens!J7348+Sens!J7349+Sens!J7351+Sens!J7353</f>
        <v>557.564968064502</v>
      </c>
      <c r="K7355" s="6" t="n">
        <f aca="false">Sens!K7343+Sens!K7348+Sens!K7349+Sens!K7351+Sens!K7353</f>
        <v>596.889823703864</v>
      </c>
    </row>
    <row r="7356" customFormat="false" ht="15" hidden="false" customHeight="false" outlineLevel="0" collapsed="false">
      <c r="A7356" s="0" t="s">
        <v>877</v>
      </c>
      <c r="B7356" s="0" t="s">
        <v>98</v>
      </c>
      <c r="D7356" s="6" t="n">
        <f aca="false">Q!L13</f>
        <v>22.171</v>
      </c>
      <c r="E7356" s="6" t="n">
        <f aca="false">Q!M13</f>
        <v>24.835</v>
      </c>
      <c r="F7356" s="6" t="n">
        <f aca="false">Sens!E7356*(1+Sens!F7357)</f>
        <v>27.6114901218559</v>
      </c>
      <c r="G7356" s="6" t="n">
        <f aca="false">Sens!F7356*(1+Sens!G7357)</f>
        <v>30.4675667338515</v>
      </c>
      <c r="H7356" s="6" t="n">
        <f aca="false">Sens!G7356*(1+Sens!H7357)</f>
        <v>33.3643766955789</v>
      </c>
      <c r="I7356" s="6" t="n">
        <f aca="false">Sens!H7356*(1+Sens!I7357)</f>
        <v>36.2577016533691</v>
      </c>
      <c r="J7356" s="6" t="n">
        <f aca="false">Sens!I7356*(1+Sens!J7357)</f>
        <v>39.0988367952171</v>
      </c>
      <c r="K7356" s="6" t="n">
        <f aca="false">Sens!J7356*(1+Sens!K7357)</f>
        <v>41.8357553708823</v>
      </c>
    </row>
    <row r="7357" customFormat="false" ht="15" hidden="false" customHeight="false" outlineLevel="0" collapsed="false">
      <c r="A7357" s="1" t="s">
        <v>866</v>
      </c>
      <c r="B7357" s="0" t="s">
        <v>129</v>
      </c>
      <c r="E7357" s="7" t="n">
        <f aca="false">Sens!E7356/Sens!D7356-1</f>
        <v>0.120156961796942</v>
      </c>
      <c r="F7357" s="7" t="n">
        <f aca="false">Sens!$E$7357+(glt_srch-Sens!$E$7357)*MIN(1,(Sens!F7302-base_fy)/n_conv)</f>
        <v>0.111797468164118</v>
      </c>
      <c r="G7357" s="7" t="n">
        <f aca="false">Sens!$E$7357+(glt_srch-Sens!$E$7357)*MIN(1,(Sens!G7302-base_fy)/n_conv)</f>
        <v>0.103437974531295</v>
      </c>
      <c r="H7357" s="7" t="n">
        <f aca="false">Sens!$E$7357+(glt_srch-Sens!$E$7357)*MIN(1,(Sens!H7302-base_fy)/n_conv)</f>
        <v>0.095078480898471</v>
      </c>
      <c r="I7357" s="7" t="n">
        <f aca="false">Sens!$E$7357+(glt_srch-Sens!$E$7357)*MIN(1,(Sens!I7302-base_fy)/n_conv)</f>
        <v>0.0867189872656474</v>
      </c>
      <c r="J7357" s="7" t="n">
        <f aca="false">Sens!$E$7357+(glt_srch-Sens!$E$7357)*MIN(1,(Sens!J7302-base_fy)/n_conv)</f>
        <v>0.0783594936328237</v>
      </c>
      <c r="K7357" s="7" t="n">
        <f aca="false">Sens!$E$7357+(glt_srch-Sens!$E$7357)*MIN(1,(Sens!K7302-base_fy)/n_conv)</f>
        <v>0.07</v>
      </c>
    </row>
    <row r="7358" customFormat="false" ht="15" hidden="false" customHeight="false" outlineLevel="0" collapsed="false">
      <c r="A7358" s="0" t="s">
        <v>878</v>
      </c>
      <c r="B7358" s="0" t="s">
        <v>98</v>
      </c>
      <c r="D7358" s="6" t="n">
        <f aca="false">Q!L14</f>
        <v>23.455</v>
      </c>
      <c r="E7358" s="6" t="n">
        <f aca="false">Q!M14</f>
        <v>21.79</v>
      </c>
      <c r="F7358" s="6" t="n">
        <f aca="false">Sens!E7358*(1+Sens!F7359)</f>
        <v>20.5736277908051</v>
      </c>
      <c r="G7358" s="6" t="n">
        <f aca="false">Sens!F7358*(1+Sens!G7359)</f>
        <v>19.7371452817919</v>
      </c>
      <c r="H7358" s="6" t="n">
        <f aca="false">Sens!G7358*(1+Sens!H7359)</f>
        <v>19.2339764043138</v>
      </c>
      <c r="I7358" s="6" t="n">
        <f aca="false">Sens!H7358*(1+Sens!I7359)</f>
        <v>19.0353086852681</v>
      </c>
      <c r="J7358" s="6" t="n">
        <f aca="false">Sens!I7358*(1+Sens!J7359)</f>
        <v>19.1273539319129</v>
      </c>
      <c r="K7358" s="6" t="n">
        <f aca="false">Sens!J7358*(1+Sens!K7359)</f>
        <v>19.5099010105511</v>
      </c>
    </row>
    <row r="7359" customFormat="false" ht="15" hidden="false" customHeight="false" outlineLevel="0" collapsed="false">
      <c r="A7359" s="1" t="s">
        <v>866</v>
      </c>
      <c r="B7359" s="0" t="s">
        <v>129</v>
      </c>
      <c r="E7359" s="7" t="n">
        <f aca="false">Sens!E7358/Sens!D7358-1</f>
        <v>-0.0709869963760392</v>
      </c>
      <c r="F7359" s="7" t="n">
        <f aca="false">Sens!$E$7359+(glt_xbox-Sens!$E$7359)*MIN(1,(Sens!F7302-base_fy)/n_conv)</f>
        <v>-0.0558224969800327</v>
      </c>
      <c r="G7359" s="7" t="n">
        <f aca="false">Sens!$E$7359+(glt_xbox-Sens!$E$7359)*MIN(1,(Sens!G7302-base_fy)/n_conv)</f>
        <v>-0.0406579975840262</v>
      </c>
      <c r="H7359" s="7" t="n">
        <f aca="false">Sens!$E$7359+(glt_xbox-Sens!$E$7359)*MIN(1,(Sens!H7302-base_fy)/n_conv)</f>
        <v>-0.0254934981880196</v>
      </c>
      <c r="I7359" s="7" t="n">
        <f aca="false">Sens!$E$7359+(glt_xbox-Sens!$E$7359)*MIN(1,(Sens!I7302-base_fy)/n_conv)</f>
        <v>-0.0103289987920131</v>
      </c>
      <c r="J7359" s="7" t="n">
        <f aca="false">Sens!$E$7359+(glt_xbox-Sens!$E$7359)*MIN(1,(Sens!J7302-base_fy)/n_conv)</f>
        <v>0.00483550060399347</v>
      </c>
      <c r="K7359" s="7" t="n">
        <f aca="false">Sens!$E$7359+(glt_xbox-Sens!$E$7359)*MIN(1,(Sens!K7302-base_fy)/n_conv)</f>
        <v>0.02</v>
      </c>
    </row>
    <row r="7360" customFormat="false" ht="15" hidden="false" customHeight="false" outlineLevel="0" collapsed="false">
      <c r="A7360" s="0" t="s">
        <v>879</v>
      </c>
      <c r="B7360" s="0" t="s">
        <v>98</v>
      </c>
      <c r="D7360" s="6" t="n">
        <f aca="false">Q!L15</f>
        <v>17.315</v>
      </c>
      <c r="E7360" s="6" t="n">
        <f aca="false">Q!M15</f>
        <v>17.087</v>
      </c>
      <c r="F7360" s="6" t="n">
        <f aca="false">Sens!E7360*(1+Sens!F7361)</f>
        <v>16.9564585436519</v>
      </c>
      <c r="G7360" s="6" t="n">
        <f aca="false">Sens!F7360*(1+Sens!G7361)</f>
        <v>16.9206490624268</v>
      </c>
      <c r="H7360" s="6" t="n">
        <f aca="false">Sens!G7360*(1+Sens!H7361)</f>
        <v>16.9784519149849</v>
      </c>
      <c r="I7360" s="6" t="n">
        <f aca="false">Sens!H7360*(1+Sens!I7361)</f>
        <v>17.1303084701817</v>
      </c>
      <c r="J7360" s="6" t="n">
        <f aca="false">Sens!I7360*(1+Sens!J7361)</f>
        <v>17.3782189407267</v>
      </c>
      <c r="K7360" s="6" t="n">
        <f aca="false">Sens!J7360*(1+Sens!K7361)</f>
        <v>17.7257833195413</v>
      </c>
    </row>
    <row r="7361" customFormat="false" ht="15" hidden="false" customHeight="false" outlineLevel="0" collapsed="false">
      <c r="A7361" s="1" t="s">
        <v>866</v>
      </c>
      <c r="B7361" s="0" t="s">
        <v>129</v>
      </c>
      <c r="E7361" s="7" t="n">
        <f aca="false">Sens!E7360/Sens!D7360-1</f>
        <v>-0.0131677736066995</v>
      </c>
      <c r="F7361" s="7" t="n">
        <f aca="false">Sens!$E$7361+(glt_win-Sens!$E$7361)*MIN(1,(Sens!F7302-base_fy)/n_conv)</f>
        <v>-0.00763981133891627</v>
      </c>
      <c r="G7361" s="7" t="n">
        <f aca="false">Sens!$E$7361+(glt_win-Sens!$E$7361)*MIN(1,(Sens!G7302-base_fy)/n_conv)</f>
        <v>-0.00211184907113301</v>
      </c>
      <c r="H7361" s="7" t="n">
        <f aca="false">Sens!$E$7361+(glt_win-Sens!$E$7361)*MIN(1,(Sens!H7302-base_fy)/n_conv)</f>
        <v>0.00341611319665024</v>
      </c>
      <c r="I7361" s="7" t="n">
        <f aca="false">Sens!$E$7361+(glt_win-Sens!$E$7361)*MIN(1,(Sens!I7302-base_fy)/n_conv)</f>
        <v>0.00894407546443349</v>
      </c>
      <c r="J7361" s="7" t="n">
        <f aca="false">Sens!$E$7361+(glt_win-Sens!$E$7361)*MIN(1,(Sens!J7302-base_fy)/n_conv)</f>
        <v>0.0144720377322168</v>
      </c>
      <c r="K7361" s="7" t="n">
        <f aca="false">Sens!$E$7361+(glt_win-Sens!$E$7361)*MIN(1,(Sens!K7302-base_fy)/n_conv)</f>
        <v>0.02</v>
      </c>
    </row>
    <row r="7362" customFormat="false" ht="15" hidden="false" customHeight="false" outlineLevel="0" collapsed="false">
      <c r="A7362" s="0" t="s">
        <v>718</v>
      </c>
      <c r="B7362" s="0" t="s">
        <v>98</v>
      </c>
      <c r="D7362" s="6" t="n">
        <f aca="false">Sens!D7356+Sens!D7358+Sens!D7360</f>
        <v>62.941</v>
      </c>
      <c r="E7362" s="6" t="n">
        <f aca="false">Sens!E7356+Sens!E7358+Sens!E7360</f>
        <v>63.712</v>
      </c>
      <c r="F7362" s="6" t="n">
        <f aca="false">Sens!F7356+Sens!F7358+Sens!F7360</f>
        <v>65.1415764563129</v>
      </c>
      <c r="G7362" s="6" t="n">
        <f aca="false">Sens!G7356+Sens!G7358+Sens!G7360</f>
        <v>67.1253610780702</v>
      </c>
      <c r="H7362" s="6" t="n">
        <f aca="false">Sens!H7356+Sens!H7358+Sens!H7360</f>
        <v>69.5768050148776</v>
      </c>
      <c r="I7362" s="6" t="n">
        <f aca="false">Sens!I7356+Sens!I7358+Sens!I7360</f>
        <v>72.4233188088189</v>
      </c>
      <c r="J7362" s="6" t="n">
        <f aca="false">Sens!J7356+Sens!J7358+Sens!J7360</f>
        <v>75.6044096678567</v>
      </c>
      <c r="K7362" s="6" t="n">
        <f aca="false">Sens!K7356+Sens!K7358+Sens!K7360</f>
        <v>79.0714397009747</v>
      </c>
    </row>
    <row r="7363" customFormat="false" ht="15" hidden="false" customHeight="false" outlineLevel="0" collapsed="false">
      <c r="A7363" s="1" t="s">
        <v>880</v>
      </c>
      <c r="B7363" s="0" t="s">
        <v>98</v>
      </c>
      <c r="D7363" s="6" t="n">
        <f aca="false">Sens!D7355+Sens!D7362</f>
        <v>281.724</v>
      </c>
      <c r="E7363" s="6" t="n">
        <f aca="false">Sens!E7355+Sens!E7362</f>
        <v>331.839</v>
      </c>
      <c r="F7363" s="6" t="n">
        <f aca="false">Sens!F7355+Sens!F7362</f>
        <v>395.605009521169</v>
      </c>
      <c r="G7363" s="6" t="n">
        <f aca="false">Sens!G7355+Sens!G7362</f>
        <v>459.095226751344</v>
      </c>
      <c r="H7363" s="6" t="n">
        <f aca="false">Sens!H7355+Sens!H7362</f>
        <v>518.633125886071</v>
      </c>
      <c r="I7363" s="6" t="n">
        <f aca="false">Sens!I7355+Sens!I7362</f>
        <v>580.874545054311</v>
      </c>
      <c r="J7363" s="6" t="n">
        <f aca="false">Sens!J7355+Sens!J7362</f>
        <v>633.169377732358</v>
      </c>
      <c r="K7363" s="6" t="n">
        <f aca="false">Sens!K7355+Sens!K7362</f>
        <v>675.961263404839</v>
      </c>
    </row>
    <row r="7364" customFormat="false" ht="15" hidden="false" customHeight="false" outlineLevel="0" collapsed="false">
      <c r="A7364" s="23" t="s">
        <v>881</v>
      </c>
      <c r="B7364" s="30" t="s">
        <v>98</v>
      </c>
      <c r="C7364" s="30"/>
      <c r="D7364" s="24" t="n">
        <f aca="false">(Sens!D7343+Sens!D7348+Sens!D7349+Sens!D7351+Sens!D7353-Sens!D7355)+(Sens!D7356+Sens!D7358+Sens!D7360-Sens!D7362)+(Sens!D7355-Q!L5)+(Sens!D7362-Q!L12)+(Sens!D7343-Q!L6)+(Sens!D7348-Q!L7)</f>
        <v>0</v>
      </c>
      <c r="E7364" s="24" t="n">
        <f aca="false">(Sens!E7343+Sens!E7348+Sens!E7349+Sens!E7351+Sens!E7353-Sens!E7355)+(Sens!E7356+Sens!E7358+Sens!E7360-Sens!E7362)+(Sens!E7355-Q!M5)+(Sens!E7362-Q!M12)+(Sens!E7343-Q!M6)+(Sens!E7348-Q!M7)</f>
        <v>0</v>
      </c>
      <c r="F7364" s="24" t="n">
        <f aca="false">(Sens!F7343+Sens!F7348+Sens!F7349+Sens!F7351+Sens!F7353-Sens!F7355)+(Sens!F7356+Sens!F7358+Sens!F7360-Sens!F7362)</f>
        <v>0</v>
      </c>
      <c r="G7364" s="24" t="n">
        <f aca="false">(Sens!G7343+Sens!G7348+Sens!G7349+Sens!G7351+Sens!G7353-Sens!G7355)+(Sens!G7356+Sens!G7358+Sens!G7360-Sens!G7362)</f>
        <v>0</v>
      </c>
      <c r="H7364" s="24" t="n">
        <f aca="false">(Sens!H7343+Sens!H7348+Sens!H7349+Sens!H7351+Sens!H7353-Sens!H7355)+(Sens!H7356+Sens!H7358+Sens!H7360-Sens!H7362)</f>
        <v>0</v>
      </c>
      <c r="I7364" s="24" t="n">
        <f aca="false">(Sens!I7343+Sens!I7348+Sens!I7349+Sens!I7351+Sens!I7353-Sens!I7355)+(Sens!I7356+Sens!I7358+Sens!I7360-Sens!I7362)</f>
        <v>0</v>
      </c>
      <c r="J7364" s="24" t="n">
        <f aca="false">(Sens!J7343+Sens!J7348+Sens!J7349+Sens!J7351+Sens!J7353-Sens!J7355)+(Sens!J7356+Sens!J7358+Sens!J7360-Sens!J7362)</f>
        <v>0</v>
      </c>
      <c r="K7364" s="24" t="n">
        <f aca="false">(Sens!K7343+Sens!K7348+Sens!K7349+Sens!K7351+Sens!K7353-Sens!K7355)+(Sens!K7356+Sens!K7358+Sens!K7360-Sens!K7362)</f>
        <v>0</v>
      </c>
    </row>
    <row r="7365" customFormat="false" ht="17.15" hidden="false" customHeight="false" outlineLevel="0" collapsed="false">
      <c r="A7365" s="3" t="s">
        <v>1426</v>
      </c>
    </row>
    <row r="7366" customFormat="false" ht="15" hidden="false" customHeight="false" outlineLevel="0" collapsed="false">
      <c r="A7366" s="4" t="s">
        <v>43</v>
      </c>
      <c r="B7366" s="4" t="s">
        <v>65</v>
      </c>
      <c r="C7366" s="20" t="s">
        <v>788</v>
      </c>
      <c r="D7366" s="20" t="s">
        <v>789</v>
      </c>
      <c r="E7366" s="20" t="s">
        <v>790</v>
      </c>
      <c r="F7366" s="20" t="s">
        <v>791</v>
      </c>
      <c r="G7366" s="20" t="s">
        <v>792</v>
      </c>
      <c r="H7366" s="20" t="s">
        <v>793</v>
      </c>
      <c r="I7366" s="20" t="s">
        <v>794</v>
      </c>
      <c r="J7366" s="20" t="s">
        <v>795</v>
      </c>
      <c r="K7366" s="20" t="s">
        <v>796</v>
      </c>
      <c r="L7366" s="4" t="s">
        <v>47</v>
      </c>
    </row>
    <row r="7367" customFormat="false" ht="15" hidden="false" customHeight="false" outlineLevel="0" collapsed="false">
      <c r="A7367" s="0" t="s">
        <v>867</v>
      </c>
      <c r="B7367" s="0" t="s">
        <v>98</v>
      </c>
      <c r="D7367" s="6" t="n">
        <f aca="false">Sens!D7343</f>
        <v>72.61</v>
      </c>
      <c r="E7367" s="6" t="n">
        <f aca="false">Sens!E7343</f>
        <v>101.938</v>
      </c>
      <c r="F7367" s="6" t="n">
        <f aca="false">Sens!F7343</f>
        <v>140.741861125673</v>
      </c>
      <c r="G7367" s="6" t="n">
        <f aca="false">Sens!G7343</f>
        <v>182.176709135845</v>
      </c>
      <c r="H7367" s="6" t="n">
        <f aca="false">Sens!H7343</f>
        <v>219.167638189678</v>
      </c>
      <c r="I7367" s="6" t="n">
        <f aca="false">Sens!I7343</f>
        <v>259.639871266006</v>
      </c>
      <c r="J7367" s="6" t="n">
        <f aca="false">Sens!J7343</f>
        <v>291.324070960333</v>
      </c>
      <c r="K7367" s="6" t="n">
        <f aca="false">Sens!K7343</f>
        <v>314.145754363688</v>
      </c>
    </row>
    <row r="7368" customFormat="false" ht="17.15" hidden="false" customHeight="false" outlineLevel="0" collapsed="false">
      <c r="A7368" s="0" t="s">
        <v>864</v>
      </c>
      <c r="B7368" s="0" t="s">
        <v>98</v>
      </c>
      <c r="D7368" s="6" t="n">
        <f aca="false">Sens!D7340</f>
        <v>12.9359794422418</v>
      </c>
      <c r="E7368" s="6" t="n">
        <f aca="false">Sens!E7340</f>
        <v>27.8095064661409</v>
      </c>
      <c r="F7368" s="6" t="n">
        <f aca="false">Sens!F7340</f>
        <v>50.6619113883066</v>
      </c>
      <c r="G7368" s="6" t="n">
        <f aca="false">Sens!G7340</f>
        <v>75.1482839325348</v>
      </c>
      <c r="H7368" s="6" t="n">
        <f aca="false">Sens!H7340</f>
        <v>94.895655604042</v>
      </c>
      <c r="I7368" s="6" t="n">
        <f aca="false">Sens!I7340</f>
        <v>118.706168884151</v>
      </c>
      <c r="J7368" s="6" t="n">
        <f aca="false">Sens!J7340</f>
        <v>135.305203646001</v>
      </c>
      <c r="K7368" s="6" t="n">
        <f aca="false">Sens!K7340</f>
        <v>145.64537766421</v>
      </c>
    </row>
    <row r="7369" customFormat="false" ht="17.15" hidden="false" customHeight="false" outlineLevel="0" collapsed="false">
      <c r="A7369" s="0" t="s">
        <v>892</v>
      </c>
      <c r="B7369" s="0" t="s">
        <v>98</v>
      </c>
      <c r="D7369" s="6" t="n">
        <f aca="false">Sens!D7341</f>
        <v>59.6740205577583</v>
      </c>
      <c r="E7369" s="6" t="n">
        <f aca="false">Sens!E7341</f>
        <v>74.1284935338591</v>
      </c>
      <c r="F7369" s="6" t="n">
        <f aca="false">Sens!F7341</f>
        <v>90.0799497373663</v>
      </c>
      <c r="G7369" s="6" t="n">
        <f aca="false">Sens!G7341</f>
        <v>107.02842520331</v>
      </c>
      <c r="H7369" s="6" t="n">
        <f aca="false">Sens!H7341</f>
        <v>124.271982585636</v>
      </c>
      <c r="I7369" s="6" t="n">
        <f aca="false">Sens!I7341</f>
        <v>140.933702381855</v>
      </c>
      <c r="J7369" s="6" t="n">
        <f aca="false">Sens!J7341</f>
        <v>156.018867314332</v>
      </c>
      <c r="K7369" s="6" t="n">
        <f aca="false">Sens!K7341</f>
        <v>168.500376699478</v>
      </c>
    </row>
    <row r="7370" customFormat="false" ht="15" hidden="false" customHeight="false" outlineLevel="0" collapsed="false">
      <c r="A7370" s="0" t="s">
        <v>873</v>
      </c>
      <c r="B7370" s="0" t="s">
        <v>98</v>
      </c>
      <c r="D7370" s="6" t="n">
        <f aca="false">Sens!D7348</f>
        <v>84.605</v>
      </c>
      <c r="E7370" s="6" t="n">
        <f aca="false">Sens!E7348</f>
        <v>100.299</v>
      </c>
      <c r="F7370" s="6" t="n">
        <f aca="false">Sens!F7348</f>
        <v>119.49238776686</v>
      </c>
      <c r="G7370" s="6" t="n">
        <f aca="false">Sens!G7348</f>
        <v>135.244168448684</v>
      </c>
      <c r="H7370" s="6" t="n">
        <f aca="false">Sens!H7348</f>
        <v>151.077359388781</v>
      </c>
      <c r="I7370" s="6" t="n">
        <f aca="false">Sens!I7348</f>
        <v>165.834028071957</v>
      </c>
      <c r="J7370" s="6" t="n">
        <f aca="false">Sens!J7348</f>
        <v>179.232702785465</v>
      </c>
      <c r="K7370" s="6" t="n">
        <f aca="false">Sens!K7348</f>
        <v>191.877991980448</v>
      </c>
    </row>
    <row r="7371" customFormat="false" ht="17.15" hidden="false" customHeight="false" outlineLevel="0" collapsed="false">
      <c r="A7371" s="0" t="s">
        <v>893</v>
      </c>
      <c r="B7371" s="0" t="s">
        <v>98</v>
      </c>
      <c r="D7371" s="6" t="n">
        <f aca="false">Sens!D7346</f>
        <v>83.705</v>
      </c>
      <c r="E7371" s="6" t="n">
        <f aca="false">Sens!E7346</f>
        <v>95.049</v>
      </c>
      <c r="F7371" s="6" t="n">
        <f aca="false">Sens!F7346</f>
        <v>106.89238776686</v>
      </c>
      <c r="G7371" s="6" t="n">
        <f aca="false">Sens!G7346</f>
        <v>119.044168448684</v>
      </c>
      <c r="H7371" s="6" t="n">
        <f aca="false">Sens!H7346</f>
        <v>131.277359388781</v>
      </c>
      <c r="I7371" s="6" t="n">
        <f aca="false">Sens!I7346</f>
        <v>143.334028071957</v>
      </c>
      <c r="J7371" s="6" t="n">
        <f aca="false">Sens!J7346</f>
        <v>154.932702785465</v>
      </c>
      <c r="K7371" s="6" t="n">
        <f aca="false">Sens!K7346</f>
        <v>165.777991980448</v>
      </c>
    </row>
    <row r="7372" customFormat="false" ht="17.15" hidden="false" customHeight="false" outlineLevel="0" collapsed="false">
      <c r="A7372" s="0" t="s">
        <v>894</v>
      </c>
      <c r="B7372" s="0" t="s">
        <v>98</v>
      </c>
      <c r="D7372" s="6" t="n">
        <f aca="false">Sens!D7345</f>
        <v>0.9</v>
      </c>
      <c r="E7372" s="6" t="n">
        <f aca="false">Sens!E7345</f>
        <v>5.25</v>
      </c>
      <c r="F7372" s="6" t="n">
        <f aca="false">Sens!F7345</f>
        <v>12.6</v>
      </c>
      <c r="G7372" s="6" t="n">
        <f aca="false">Sens!G7345</f>
        <v>16.2</v>
      </c>
      <c r="H7372" s="6" t="n">
        <f aca="false">Sens!H7345</f>
        <v>19.8</v>
      </c>
      <c r="I7372" s="6" t="n">
        <f aca="false">Sens!I7345</f>
        <v>22.5</v>
      </c>
      <c r="J7372" s="6" t="n">
        <f aca="false">Sens!J7345</f>
        <v>24.3</v>
      </c>
      <c r="K7372" s="6" t="n">
        <f aca="false">Sens!K7345</f>
        <v>26.1</v>
      </c>
    </row>
    <row r="7373" customFormat="false" ht="15" hidden="false" customHeight="false" outlineLevel="0" collapsed="false">
      <c r="A7373" s="0" t="s">
        <v>874</v>
      </c>
      <c r="B7373" s="0" t="s">
        <v>98</v>
      </c>
      <c r="D7373" s="6" t="n">
        <f aca="false">Sens!D7349</f>
        <v>35.391</v>
      </c>
      <c r="E7373" s="6" t="n">
        <f aca="false">Sens!E7349</f>
        <v>37.285</v>
      </c>
      <c r="F7373" s="6" t="n">
        <f aca="false">Sens!F7349</f>
        <v>39.0720834331704</v>
      </c>
      <c r="G7373" s="6" t="n">
        <f aca="false">Sens!G7349</f>
        <v>40.726562953769</v>
      </c>
      <c r="H7373" s="6" t="n">
        <f aca="false">Sens!H7349</f>
        <v>42.2235987259198</v>
      </c>
      <c r="I7373" s="6" t="n">
        <f aca="false">Sens!I7349</f>
        <v>43.5397988077414</v>
      </c>
      <c r="J7373" s="6" t="n">
        <f aca="false">Sens!J7349</f>
        <v>44.653811225693</v>
      </c>
      <c r="K7373" s="6" t="n">
        <f aca="false">Sens!K7349</f>
        <v>45.5468874502068</v>
      </c>
    </row>
    <row r="7374" customFormat="false" ht="15" hidden="false" customHeight="false" outlineLevel="0" collapsed="false">
      <c r="A7374" s="0" t="s">
        <v>875</v>
      </c>
      <c r="B7374" s="0" t="s">
        <v>98</v>
      </c>
      <c r="D7374" s="6" t="n">
        <f aca="false">Sens!D7351</f>
        <v>18.417</v>
      </c>
      <c r="E7374" s="6" t="n">
        <f aca="false">Sens!E7351</f>
        <v>20.345</v>
      </c>
      <c r="F7374" s="6" t="n">
        <f aca="false">Sens!F7351</f>
        <v>22.3572203267814</v>
      </c>
      <c r="G7374" s="6" t="n">
        <f aca="false">Sens!G7351</f>
        <v>24.4392124437232</v>
      </c>
      <c r="H7374" s="6" t="n">
        <f aca="false">Sens!H7351</f>
        <v>26.5738052080665</v>
      </c>
      <c r="I7374" s="6" t="n">
        <f aca="false">Sens!I7351</f>
        <v>28.7412169166967</v>
      </c>
      <c r="J7374" s="6" t="n">
        <f aca="false">Sens!J7351</f>
        <v>30.9192545395413</v>
      </c>
      <c r="K7374" s="6" t="n">
        <f aca="false">Sens!K7351</f>
        <v>33.0836023573092</v>
      </c>
    </row>
    <row r="7375" customFormat="false" ht="15" hidden="false" customHeight="false" outlineLevel="0" collapsed="false">
      <c r="A7375" s="0" t="s">
        <v>876</v>
      </c>
      <c r="B7375" s="0" t="s">
        <v>98</v>
      </c>
      <c r="D7375" s="6" t="n">
        <f aca="false">Sens!D7353</f>
        <v>7.76</v>
      </c>
      <c r="E7375" s="6" t="n">
        <f aca="false">Sens!E7353</f>
        <v>8.26</v>
      </c>
      <c r="F7375" s="6" t="n">
        <f aca="false">Sens!F7353</f>
        <v>8.79988041237113</v>
      </c>
      <c r="G7375" s="6" t="n">
        <f aca="false">Sens!G7353</f>
        <v>9.38321269125306</v>
      </c>
      <c r="H7375" s="6" t="n">
        <f aca="false">Sens!H7353</f>
        <v>10.0139193587476</v>
      </c>
      <c r="I7375" s="6" t="n">
        <f aca="false">Sens!I7353</f>
        <v>10.6963111830911</v>
      </c>
      <c r="J7375" s="6" t="n">
        <f aca="false">Sens!J7353</f>
        <v>11.4351285534696</v>
      </c>
      <c r="K7375" s="6" t="n">
        <f aca="false">Sens!K7353</f>
        <v>12.2355875522124</v>
      </c>
    </row>
    <row r="7376" customFormat="false" ht="15" hidden="false" customHeight="false" outlineLevel="0" collapsed="false">
      <c r="A7376" s="0" t="s">
        <v>704</v>
      </c>
      <c r="B7376" s="0" t="s">
        <v>98</v>
      </c>
      <c r="D7376" s="6" t="n">
        <f aca="false">Sens!D7355</f>
        <v>218.783</v>
      </c>
      <c r="E7376" s="6" t="n">
        <f aca="false">Sens!E7355</f>
        <v>268.127</v>
      </c>
      <c r="F7376" s="6" t="n">
        <f aca="false">Sens!F7355</f>
        <v>330.463433064856</v>
      </c>
      <c r="G7376" s="6" t="n">
        <f aca="false">Sens!G7355</f>
        <v>391.969865673274</v>
      </c>
      <c r="H7376" s="6" t="n">
        <f aca="false">Sens!H7355</f>
        <v>449.056320871193</v>
      </c>
      <c r="I7376" s="6" t="n">
        <f aca="false">Sens!I7355</f>
        <v>508.451226245492</v>
      </c>
      <c r="J7376" s="6" t="n">
        <f aca="false">Sens!J7355</f>
        <v>557.564968064502</v>
      </c>
      <c r="K7376" s="6" t="n">
        <f aca="false">Sens!K7355</f>
        <v>596.889823703864</v>
      </c>
    </row>
    <row r="7377" customFormat="false" ht="15" hidden="false" customHeight="false" outlineLevel="0" collapsed="false">
      <c r="A7377" s="0" t="s">
        <v>877</v>
      </c>
      <c r="B7377" s="0" t="s">
        <v>98</v>
      </c>
      <c r="D7377" s="6" t="n">
        <f aca="false">Sens!D7356</f>
        <v>22.171</v>
      </c>
      <c r="E7377" s="6" t="n">
        <f aca="false">Sens!E7356</f>
        <v>24.835</v>
      </c>
      <c r="F7377" s="6" t="n">
        <f aca="false">Sens!F7356</f>
        <v>27.6114901218559</v>
      </c>
      <c r="G7377" s="6" t="n">
        <f aca="false">Sens!G7356</f>
        <v>30.4675667338515</v>
      </c>
      <c r="H7377" s="6" t="n">
        <f aca="false">Sens!H7356</f>
        <v>33.3643766955789</v>
      </c>
      <c r="I7377" s="6" t="n">
        <f aca="false">Sens!I7356</f>
        <v>36.2577016533691</v>
      </c>
      <c r="J7377" s="6" t="n">
        <f aca="false">Sens!J7356</f>
        <v>39.0988367952171</v>
      </c>
      <c r="K7377" s="6" t="n">
        <f aca="false">Sens!K7356</f>
        <v>41.8357553708823</v>
      </c>
    </row>
    <row r="7378" customFormat="false" ht="15" hidden="false" customHeight="false" outlineLevel="0" collapsed="false">
      <c r="A7378" s="0" t="s">
        <v>878</v>
      </c>
      <c r="B7378" s="0" t="s">
        <v>98</v>
      </c>
      <c r="D7378" s="6" t="n">
        <f aca="false">Sens!D7358</f>
        <v>23.455</v>
      </c>
      <c r="E7378" s="6" t="n">
        <f aca="false">Sens!E7358</f>
        <v>21.79</v>
      </c>
      <c r="F7378" s="6" t="n">
        <f aca="false">Sens!F7358</f>
        <v>20.5736277908051</v>
      </c>
      <c r="G7378" s="6" t="n">
        <f aca="false">Sens!G7358</f>
        <v>19.7371452817919</v>
      </c>
      <c r="H7378" s="6" t="n">
        <f aca="false">Sens!H7358</f>
        <v>19.2339764043138</v>
      </c>
      <c r="I7378" s="6" t="n">
        <f aca="false">Sens!I7358</f>
        <v>19.0353086852681</v>
      </c>
      <c r="J7378" s="6" t="n">
        <f aca="false">Sens!J7358</f>
        <v>19.1273539319129</v>
      </c>
      <c r="K7378" s="6" t="n">
        <f aca="false">Sens!K7358</f>
        <v>19.5099010105511</v>
      </c>
    </row>
    <row r="7379" customFormat="false" ht="15" hidden="false" customHeight="false" outlineLevel="0" collapsed="false">
      <c r="A7379" s="0" t="s">
        <v>879</v>
      </c>
      <c r="B7379" s="0" t="s">
        <v>98</v>
      </c>
      <c r="D7379" s="6" t="n">
        <f aca="false">Sens!D7360</f>
        <v>17.315</v>
      </c>
      <c r="E7379" s="6" t="n">
        <f aca="false">Sens!E7360</f>
        <v>17.087</v>
      </c>
      <c r="F7379" s="6" t="n">
        <f aca="false">Sens!F7360</f>
        <v>16.9564585436519</v>
      </c>
      <c r="G7379" s="6" t="n">
        <f aca="false">Sens!G7360</f>
        <v>16.9206490624268</v>
      </c>
      <c r="H7379" s="6" t="n">
        <f aca="false">Sens!H7360</f>
        <v>16.9784519149849</v>
      </c>
      <c r="I7379" s="6" t="n">
        <f aca="false">Sens!I7360</f>
        <v>17.1303084701817</v>
      </c>
      <c r="J7379" s="6" t="n">
        <f aca="false">Sens!J7360</f>
        <v>17.3782189407267</v>
      </c>
      <c r="K7379" s="6" t="n">
        <f aca="false">Sens!K7360</f>
        <v>17.7257833195413</v>
      </c>
    </row>
    <row r="7380" customFormat="false" ht="15" hidden="false" customHeight="false" outlineLevel="0" collapsed="false">
      <c r="A7380" s="0" t="s">
        <v>718</v>
      </c>
      <c r="B7380" s="0" t="s">
        <v>98</v>
      </c>
      <c r="D7380" s="6" t="n">
        <f aca="false">Sens!D7362</f>
        <v>62.941</v>
      </c>
      <c r="E7380" s="6" t="n">
        <f aca="false">Sens!E7362</f>
        <v>63.712</v>
      </c>
      <c r="F7380" s="6" t="n">
        <f aca="false">Sens!F7362</f>
        <v>65.1415764563129</v>
      </c>
      <c r="G7380" s="6" t="n">
        <f aca="false">Sens!G7362</f>
        <v>67.1253610780702</v>
      </c>
      <c r="H7380" s="6" t="n">
        <f aca="false">Sens!H7362</f>
        <v>69.5768050148776</v>
      </c>
      <c r="I7380" s="6" t="n">
        <f aca="false">Sens!I7362</f>
        <v>72.4233188088189</v>
      </c>
      <c r="J7380" s="6" t="n">
        <f aca="false">Sens!J7362</f>
        <v>75.6044096678567</v>
      </c>
      <c r="K7380" s="6" t="n">
        <f aca="false">Sens!K7362</f>
        <v>79.0714397009747</v>
      </c>
    </row>
    <row r="7381" customFormat="false" ht="15" hidden="false" customHeight="false" outlineLevel="0" collapsed="false">
      <c r="A7381" s="1" t="s">
        <v>895</v>
      </c>
      <c r="B7381" s="0" t="s">
        <v>98</v>
      </c>
      <c r="D7381" s="6" t="n">
        <f aca="false">Sens!D7363</f>
        <v>281.724</v>
      </c>
      <c r="E7381" s="6" t="n">
        <f aca="false">Sens!E7363</f>
        <v>331.839</v>
      </c>
      <c r="F7381" s="6" t="n">
        <f aca="false">Sens!F7363</f>
        <v>395.605009521169</v>
      </c>
      <c r="G7381" s="6" t="n">
        <f aca="false">Sens!G7363</f>
        <v>459.095226751344</v>
      </c>
      <c r="H7381" s="6" t="n">
        <f aca="false">Sens!H7363</f>
        <v>518.633125886071</v>
      </c>
      <c r="I7381" s="6" t="n">
        <f aca="false">Sens!I7363</f>
        <v>580.874545054311</v>
      </c>
      <c r="J7381" s="6" t="n">
        <f aca="false">Sens!J7363</f>
        <v>633.169377732358</v>
      </c>
      <c r="K7381" s="6" t="n">
        <f aca="false">Sens!K7363</f>
        <v>675.961263404839</v>
      </c>
    </row>
    <row r="7382" customFormat="false" ht="15" hidden="false" customHeight="false" outlineLevel="0" collapsed="false">
      <c r="A7382" s="1" t="s">
        <v>896</v>
      </c>
      <c r="B7382" s="0" t="s">
        <v>129</v>
      </c>
      <c r="E7382" s="7" t="n">
        <f aca="false">Sens!E7381/Sens!D7381-1</f>
        <v>0.177886867998467</v>
      </c>
      <c r="F7382" s="7" t="n">
        <f aca="false">Sens!F7381/Sens!E7381-1</f>
        <v>0.19215947951015</v>
      </c>
      <c r="G7382" s="7" t="n">
        <f aca="false">Sens!G7381/Sens!F7381-1</f>
        <v>0.160488911166779</v>
      </c>
      <c r="H7382" s="7" t="n">
        <f aca="false">Sens!H7381/Sens!G7381-1</f>
        <v>0.129685293301848</v>
      </c>
      <c r="I7382" s="7" t="n">
        <f aca="false">Sens!I7381/Sens!H7381-1</f>
        <v>0.120010496942136</v>
      </c>
      <c r="J7382" s="7" t="n">
        <f aca="false">Sens!J7381/Sens!I7381-1</f>
        <v>0.0900277574965136</v>
      </c>
      <c r="K7382" s="7" t="n">
        <f aca="false">Sens!K7381/Sens!J7381-1</f>
        <v>0.0675836311379052</v>
      </c>
    </row>
    <row r="7383" customFormat="false" ht="17.15" hidden="false" customHeight="false" outlineLevel="0" collapsed="false">
      <c r="A7383" s="23" t="s">
        <v>897</v>
      </c>
      <c r="B7383" s="30" t="s">
        <v>98</v>
      </c>
      <c r="C7383" s="30"/>
      <c r="D7383" s="24" t="n">
        <f aca="false">(Sens!D7376+Sens!D7380-Sens!D7381)+(Sens!D7368+Sens!D7369-Sens!D7367)+(Sens!D7371+Sens!D7372-Sens!D7370)+(Sens!D7381-Q!L18)</f>
        <v>0</v>
      </c>
      <c r="E7383" s="24" t="n">
        <f aca="false">(Sens!E7376+Sens!E7380-Sens!E7381)+(Sens!E7368+Sens!E7369-Sens!E7367)+(Sens!E7371+Sens!E7372-Sens!E7370)+(Sens!E7381-Q!M18)</f>
        <v>0</v>
      </c>
      <c r="F7383" s="24" t="n">
        <f aca="false">(Sens!F7376+Sens!F7380-Sens!F7381)+(Sens!F7368+Sens!F7369-Sens!F7367)+(Sens!F7371+Sens!F7372-Sens!F7370)</f>
        <v>0</v>
      </c>
      <c r="G7383" s="24" t="n">
        <f aca="false">(Sens!G7376+Sens!G7380-Sens!G7381)+(Sens!G7368+Sens!G7369-Sens!G7367)+(Sens!G7371+Sens!G7372-Sens!G7370)</f>
        <v>0</v>
      </c>
      <c r="H7383" s="24" t="n">
        <f aca="false">(Sens!H7376+Sens!H7380-Sens!H7381)+(Sens!H7368+Sens!H7369-Sens!H7367)+(Sens!H7371+Sens!H7372-Sens!H7370)</f>
        <v>0</v>
      </c>
      <c r="I7383" s="24" t="n">
        <f aca="false">(Sens!I7376+Sens!I7380-Sens!I7381)+(Sens!I7368+Sens!I7369-Sens!I7367)+(Sens!I7371+Sens!I7372-Sens!I7370)</f>
        <v>0</v>
      </c>
      <c r="J7383" s="24" t="n">
        <f aca="false">(Sens!J7376+Sens!J7380-Sens!J7381)+(Sens!J7368+Sens!J7369-Sens!J7367)+(Sens!J7371+Sens!J7372-Sens!J7370)</f>
        <v>0</v>
      </c>
      <c r="K7383" s="24" t="n">
        <f aca="false">(Sens!K7376+Sens!K7380-Sens!K7381)+(Sens!K7368+Sens!K7369-Sens!K7367)+(Sens!K7371+Sens!K7372-Sens!K7370)</f>
        <v>0</v>
      </c>
    </row>
    <row r="7384" customFormat="false" ht="17.15" hidden="false" customHeight="false" outlineLevel="0" collapsed="false">
      <c r="A7384" s="0" t="s">
        <v>898</v>
      </c>
      <c r="B7384" s="0" t="s">
        <v>129</v>
      </c>
      <c r="E7384" s="7" t="n">
        <f aca="false">(Q!M21+Sens!E7321+Sens!E7322+Sens!E7323+Sens!E7336-Sens!E7319)/(Q!M5-Sens!E7319)</f>
        <v>0.570957350878296</v>
      </c>
      <c r="F7384" s="7" t="n">
        <f aca="false">Sens!$E$7384+dm_seg</f>
        <v>0.570957350878296</v>
      </c>
      <c r="G7384" s="7" t="n">
        <f aca="false">Sens!$E$7384+dm_seg</f>
        <v>0.570957350878296</v>
      </c>
      <c r="H7384" s="7" t="n">
        <f aca="false">Sens!$E$7384+dm_seg</f>
        <v>0.570957350878296</v>
      </c>
      <c r="I7384" s="7" t="n">
        <f aca="false">Sens!$E$7384+dm_seg</f>
        <v>0.570957350878296</v>
      </c>
      <c r="J7384" s="7" t="n">
        <f aca="false">Sens!$E$7384+dm_seg</f>
        <v>0.570957350878296</v>
      </c>
      <c r="K7384" s="7" t="n">
        <f aca="false">Sens!$E$7384+dm_seg</f>
        <v>0.570957350878296</v>
      </c>
      <c r="L7384" s="11" t="s">
        <v>899</v>
      </c>
    </row>
    <row r="7385" customFormat="false" ht="17.15" hidden="false" customHeight="false" outlineLevel="0" collapsed="false">
      <c r="A7385" s="0" t="s">
        <v>732</v>
      </c>
      <c r="B7385" s="0" t="s">
        <v>98</v>
      </c>
      <c r="D7385" s="6" t="n">
        <f aca="false">Q!L21</f>
        <v>110.814</v>
      </c>
      <c r="E7385" s="6" t="n">
        <f aca="false">Q!M21</f>
        <v>136.365</v>
      </c>
      <c r="F7385" s="6" t="n">
        <f aca="false">Sens!F7384*(Sens!F7355-Sens!F7319)+Sens!F7319-(Sens!F7321+Sens!F7322+Sens!F7323)-Sens!F7336</f>
        <v>153.543615144321</v>
      </c>
      <c r="G7385" s="6" t="n">
        <f aca="false">Sens!G7384*(Sens!G7355-Sens!G7319)+Sens!G7319-(Sens!G7321+Sens!G7322+Sens!G7323)-Sens!G7336</f>
        <v>161.860743748546</v>
      </c>
      <c r="H7385" s="6" t="n">
        <f aca="false">Sens!H7384*(Sens!H7355-Sens!H7319)+Sens!H7319-(Sens!H7321+Sens!H7322+Sens!H7323)-Sens!H7336</f>
        <v>164.494558582105</v>
      </c>
      <c r="I7385" s="6" t="n">
        <f aca="false">Sens!I7384*(Sens!I7355-Sens!I7319)+Sens!I7319-(Sens!I7321+Sens!I7322+Sens!I7323)-Sens!I7336</f>
        <v>174.677712291377</v>
      </c>
      <c r="J7385" s="6" t="n">
        <f aca="false">Sens!J7384*(Sens!J7355-Sens!J7319)+Sens!J7319-(Sens!J7321+Sens!J7322+Sens!J7323)-Sens!J7336</f>
        <v>186.108320520679</v>
      </c>
      <c r="K7385" s="6" t="n">
        <f aca="false">Sens!K7384*(Sens!K7355-Sens!K7319)+Sens!K7319-(Sens!K7321+Sens!K7322+Sens!K7323)-Sens!K7336</f>
        <v>199.025850777399</v>
      </c>
      <c r="L7385" s="1" t="s">
        <v>900</v>
      </c>
    </row>
    <row r="7386" customFormat="false" ht="17.15" hidden="false" customHeight="false" outlineLevel="0" collapsed="false">
      <c r="A7386" s="0" t="s">
        <v>901</v>
      </c>
      <c r="B7386" s="0" t="s">
        <v>129</v>
      </c>
      <c r="E7386" s="7" t="n">
        <f aca="false">Q!M22/Q!M12</f>
        <v>0.296207935710698</v>
      </c>
      <c r="F7386" s="7" t="n">
        <f aca="false">Sens!$E$7386+dm_seg</f>
        <v>0.296207935710698</v>
      </c>
      <c r="G7386" s="7" t="n">
        <f aca="false">Sens!$E$7386+dm_seg</f>
        <v>0.296207935710698</v>
      </c>
      <c r="H7386" s="7" t="n">
        <f aca="false">Sens!$E$7386+dm_seg</f>
        <v>0.296207935710698</v>
      </c>
      <c r="I7386" s="7" t="n">
        <f aca="false">Sens!$E$7386+dm_seg</f>
        <v>0.296207935710698</v>
      </c>
      <c r="J7386" s="7" t="n">
        <f aca="false">Sens!$E$7386+dm_seg</f>
        <v>0.296207935710698</v>
      </c>
      <c r="K7386" s="7" t="n">
        <f aca="false">Sens!$E$7386+dm_seg</f>
        <v>0.296207935710698</v>
      </c>
      <c r="L7386" s="11" t="s">
        <v>902</v>
      </c>
    </row>
    <row r="7387" customFormat="false" ht="17.15" hidden="false" customHeight="false" outlineLevel="0" collapsed="false">
      <c r="A7387" s="0" t="s">
        <v>734</v>
      </c>
      <c r="B7387" s="0" t="s">
        <v>98</v>
      </c>
      <c r="D7387" s="6" t="n">
        <f aca="false">Q!L22</f>
        <v>17.714</v>
      </c>
      <c r="E7387" s="6" t="n">
        <f aca="false">Q!M22</f>
        <v>18.872</v>
      </c>
      <c r="F7387" s="6" t="n">
        <f aca="false">Sens!F7362*Sens!F7386</f>
        <v>19.2954518910651</v>
      </c>
      <c r="G7387" s="6" t="n">
        <f aca="false">Sens!G7362*Sens!G7386</f>
        <v>19.8830646387704</v>
      </c>
      <c r="H7387" s="6" t="n">
        <f aca="false">Sens!H7362*Sens!H7386</f>
        <v>20.6092017868026</v>
      </c>
      <c r="I7387" s="6" t="n">
        <f aca="false">Sens!I7362*Sens!I7386</f>
        <v>21.452361761678</v>
      </c>
      <c r="J7387" s="6" t="n">
        <f aca="false">Sens!J7362*Sens!J7386</f>
        <v>22.3946261183418</v>
      </c>
      <c r="K7387" s="6" t="n">
        <f aca="false">Sens!K7362*Sens!K7386</f>
        <v>23.4215879274986</v>
      </c>
    </row>
    <row r="7388" customFormat="false" ht="15" hidden="false" customHeight="false" outlineLevel="0" collapsed="false">
      <c r="A7388" s="1" t="s">
        <v>903</v>
      </c>
      <c r="B7388" s="0" t="s">
        <v>98</v>
      </c>
      <c r="D7388" s="6" t="n">
        <f aca="false">Sens!D7385+Sens!D7387</f>
        <v>128.528</v>
      </c>
      <c r="E7388" s="6" t="n">
        <f aca="false">Sens!E7385+Sens!E7387</f>
        <v>155.237</v>
      </c>
      <c r="F7388" s="6" t="n">
        <f aca="false">Sens!F7385+Sens!F7387</f>
        <v>172.839067035386</v>
      </c>
      <c r="G7388" s="6" t="n">
        <f aca="false">Sens!G7385+Sens!G7387</f>
        <v>181.743808387317</v>
      </c>
      <c r="H7388" s="6" t="n">
        <f aca="false">Sens!H7385+Sens!H7387</f>
        <v>185.103760368908</v>
      </c>
      <c r="I7388" s="6" t="n">
        <f aca="false">Sens!I7385+Sens!I7387</f>
        <v>196.130074053055</v>
      </c>
      <c r="J7388" s="6" t="n">
        <f aca="false">Sens!J7385+Sens!J7387</f>
        <v>208.502946639021</v>
      </c>
      <c r="K7388" s="6" t="n">
        <f aca="false">Sens!K7385+Sens!K7387</f>
        <v>222.447438704898</v>
      </c>
    </row>
    <row r="7389" customFormat="false" ht="15" hidden="false" customHeight="false" outlineLevel="0" collapsed="false">
      <c r="A7389" s="23" t="s">
        <v>904</v>
      </c>
      <c r="B7389" s="30" t="s">
        <v>98</v>
      </c>
      <c r="C7389" s="30"/>
      <c r="D7389" s="24" t="n">
        <f aca="false">Sens!D7388-Q!L23</f>
        <v>0</v>
      </c>
      <c r="E7389" s="24" t="n">
        <f aca="false">Sens!E7388-Q!M23</f>
        <v>0</v>
      </c>
      <c r="F7389" s="30"/>
      <c r="G7389" s="30"/>
      <c r="H7389" s="30"/>
      <c r="I7389" s="30"/>
      <c r="J7389" s="30"/>
      <c r="K7389" s="30"/>
    </row>
    <row r="7390" customFormat="false" ht="15" hidden="false" customHeight="false" outlineLevel="0" collapsed="false">
      <c r="A7390" s="1" t="s">
        <v>905</v>
      </c>
      <c r="B7390" s="0" t="s">
        <v>129</v>
      </c>
      <c r="D7390" s="7" t="n">
        <f aca="false">Sens!D7388/Sens!D7381</f>
        <v>0.456219562408598</v>
      </c>
      <c r="E7390" s="7" t="n">
        <f aca="false">Sens!E7388/Sens!E7381</f>
        <v>0.467808184089272</v>
      </c>
      <c r="F7390" s="7" t="n">
        <f aca="false">Sens!F7388/Sens!F7381</f>
        <v>0.436898074785723</v>
      </c>
      <c r="G7390" s="7" t="n">
        <f aca="false">Sens!G7388/Sens!G7381</f>
        <v>0.395873879311216</v>
      </c>
      <c r="H7390" s="7" t="n">
        <f aca="false">Sens!H7388/Sens!H7381</f>
        <v>0.35690693696563</v>
      </c>
      <c r="I7390" s="7" t="n">
        <f aca="false">Sens!I7388/Sens!I7381</f>
        <v>0.337646184917118</v>
      </c>
      <c r="J7390" s="7" t="n">
        <f aca="false">Sens!J7388/Sens!J7381</f>
        <v>0.3293004272976</v>
      </c>
      <c r="K7390" s="7" t="n">
        <f aca="false">Sens!K7388/Sens!K7381</f>
        <v>0.329083115775633</v>
      </c>
    </row>
    <row r="7391" customFormat="false" ht="17.15" hidden="false" customHeight="false" outlineLevel="0" collapsed="false">
      <c r="A7391" s="1" t="s">
        <v>906</v>
      </c>
      <c r="B7391" s="0" t="s">
        <v>98</v>
      </c>
      <c r="F7391" s="6" t="n">
        <f aca="false">Sens!F7406</f>
        <v>19.5932440555302</v>
      </c>
      <c r="G7391" s="6" t="n">
        <f aca="false">Sens!G7406</f>
        <v>36.1636726754934</v>
      </c>
      <c r="H7391" s="6" t="n">
        <f aca="false">Sens!H7406</f>
        <v>54.0865573884068</v>
      </c>
      <c r="I7391" s="6" t="n">
        <f aca="false">Sens!I7406</f>
        <v>70.2450873489594</v>
      </c>
      <c r="J7391" s="6" t="n">
        <f aca="false">Sens!J7406</f>
        <v>81.5437769492815</v>
      </c>
      <c r="K7391" s="6" t="n">
        <f aca="false">Sens!K7406</f>
        <v>88.1210056375072</v>
      </c>
      <c r="L7391" s="1" t="s">
        <v>907</v>
      </c>
    </row>
    <row r="7392" customFormat="false" ht="17.15" hidden="false" customHeight="false" outlineLevel="0" collapsed="false">
      <c r="A7392" s="1" t="s">
        <v>908</v>
      </c>
      <c r="B7392" s="0" t="s">
        <v>98</v>
      </c>
      <c r="D7392" s="6" t="n">
        <f aca="false">Sens!D7388</f>
        <v>128.528</v>
      </c>
      <c r="E7392" s="6" t="n">
        <f aca="false">Sens!E7388</f>
        <v>155.237</v>
      </c>
      <c r="F7392" s="6" t="n">
        <f aca="false">Sens!F7388+Sens!F7391</f>
        <v>192.432311090916</v>
      </c>
      <c r="G7392" s="6" t="n">
        <f aca="false">Sens!G7388+Sens!G7391</f>
        <v>217.90748106281</v>
      </c>
      <c r="H7392" s="6" t="n">
        <f aca="false">Sens!H7388+Sens!H7391</f>
        <v>239.190317757314</v>
      </c>
      <c r="I7392" s="6" t="n">
        <f aca="false">Sens!I7388+Sens!I7391</f>
        <v>266.375161402014</v>
      </c>
      <c r="J7392" s="6" t="n">
        <f aca="false">Sens!J7388+Sens!J7391</f>
        <v>290.046723588303</v>
      </c>
      <c r="K7392" s="6" t="n">
        <f aca="false">Sens!K7388+Sens!K7391</f>
        <v>310.568444342405</v>
      </c>
    </row>
    <row r="7393" customFormat="false" ht="17.15" hidden="false" customHeight="false" outlineLevel="0" collapsed="false">
      <c r="A7393" s="1" t="s">
        <v>909</v>
      </c>
      <c r="B7393" s="0" t="s">
        <v>98</v>
      </c>
      <c r="E7393" s="6" t="n">
        <f aca="false">Sens!E7336</f>
        <v>16.3054059770833</v>
      </c>
      <c r="F7393" s="6" t="n">
        <f aca="false">Sens!F7336</f>
        <v>34.7355354558698</v>
      </c>
      <c r="G7393" s="6" t="n">
        <f aca="false">Sens!G7336</f>
        <v>60.4967332603396</v>
      </c>
      <c r="H7393" s="6" t="n">
        <f aca="false">Sens!H7336</f>
        <v>87.7323159931396</v>
      </c>
      <c r="I7393" s="6" t="n">
        <f aca="false">Sens!I7336</f>
        <v>111.977039982221</v>
      </c>
      <c r="J7393" s="6" t="n">
        <f aca="false">Sens!J7336</f>
        <v>129.173710922666</v>
      </c>
      <c r="K7393" s="6" t="n">
        <f aca="false">Sens!K7336</f>
        <v>139.637646804474</v>
      </c>
    </row>
    <row r="7394" customFormat="false" ht="17.15" hidden="false" customHeight="false" outlineLevel="0" collapsed="false">
      <c r="A7394" s="1" t="s">
        <v>910</v>
      </c>
      <c r="B7394" s="0" t="s">
        <v>98</v>
      </c>
      <c r="E7394" s="6" t="n">
        <f aca="false">Sens!E7418</f>
        <v>22.2285940229167</v>
      </c>
      <c r="F7394" s="6" t="n">
        <f aca="false">Sens!F7418</f>
        <v>23.5696693435813</v>
      </c>
      <c r="G7394" s="6" t="n">
        <f aca="false">Sens!G7418</f>
        <v>25.3099917662621</v>
      </c>
      <c r="H7394" s="6" t="n">
        <f aca="false">Sens!H7418</f>
        <v>27.4181439540448</v>
      </c>
      <c r="I7394" s="6" t="n">
        <f aca="false">Sens!I7418</f>
        <v>29.8361695898047</v>
      </c>
      <c r="J7394" s="6" t="n">
        <f aca="false">Sens!J7418</f>
        <v>32.4886439558616</v>
      </c>
      <c r="K7394" s="6" t="n">
        <f aca="false">Sens!K7418</f>
        <v>35.2926498344749</v>
      </c>
    </row>
    <row r="7395" customFormat="false" ht="17.15" hidden="false" customHeight="false" outlineLevel="0" collapsed="false">
      <c r="A7395" s="1" t="s">
        <v>911</v>
      </c>
      <c r="B7395" s="0" t="s">
        <v>98</v>
      </c>
      <c r="D7395" s="6" t="n">
        <f aca="false">Q!L27</f>
        <v>-4.901</v>
      </c>
      <c r="E7395" s="6" t="n">
        <f aca="false">Q!M27</f>
        <v>10.697</v>
      </c>
      <c r="F7395" s="6" t="n">
        <f aca="false">oie_f</f>
        <v>-0.4</v>
      </c>
      <c r="G7395" s="6" t="n">
        <f aca="false">oie_f</f>
        <v>-0.4</v>
      </c>
      <c r="H7395" s="6" t="n">
        <f aca="false">oie_f</f>
        <v>-0.4</v>
      </c>
      <c r="I7395" s="6" t="n">
        <f aca="false">oie_f</f>
        <v>-0.4</v>
      </c>
      <c r="J7395" s="6" t="n">
        <f aca="false">oie_f</f>
        <v>-0.4</v>
      </c>
      <c r="K7395" s="6" t="n">
        <f aca="false">oie_f</f>
        <v>-0.4</v>
      </c>
      <c r="L7395" s="11" t="s">
        <v>912</v>
      </c>
    </row>
    <row r="7396" customFormat="false" ht="15" hidden="false" customHeight="false" outlineLevel="0" collapsed="false">
      <c r="A7396" s="1" t="s">
        <v>913</v>
      </c>
      <c r="B7396" s="0" t="s">
        <v>98</v>
      </c>
      <c r="D7396" s="6" t="n">
        <f aca="false">Sens!D7388+Sens!D7395</f>
        <v>123.627</v>
      </c>
      <c r="E7396" s="6" t="n">
        <f aca="false">Sens!E7388+Sens!E7395</f>
        <v>165.934</v>
      </c>
      <c r="F7396" s="6" t="n">
        <f aca="false">Sens!F7388+Sens!F7395</f>
        <v>172.439067035386</v>
      </c>
      <c r="G7396" s="6" t="n">
        <f aca="false">Sens!G7388+Sens!G7395</f>
        <v>181.343808387317</v>
      </c>
      <c r="H7396" s="6" t="n">
        <f aca="false">Sens!H7388+Sens!H7395</f>
        <v>184.703760368908</v>
      </c>
      <c r="I7396" s="6" t="n">
        <f aca="false">Sens!I7388+Sens!I7395</f>
        <v>195.730074053055</v>
      </c>
      <c r="J7396" s="6" t="n">
        <f aca="false">Sens!J7388+Sens!J7395</f>
        <v>208.102946639021</v>
      </c>
      <c r="K7396" s="6" t="n">
        <f aca="false">Sens!K7388+Sens!K7395</f>
        <v>222.047438704898</v>
      </c>
    </row>
    <row r="7397" customFormat="false" ht="15" hidden="false" customHeight="false" outlineLevel="0" collapsed="false">
      <c r="A7397" s="1" t="s">
        <v>914</v>
      </c>
      <c r="B7397" s="0" t="s">
        <v>98</v>
      </c>
      <c r="D7397" s="6" t="n">
        <f aca="false">Q!L29</f>
        <v>21.795</v>
      </c>
      <c r="E7397" s="6" t="n">
        <f aca="false">Q!M29</f>
        <v>32.185</v>
      </c>
      <c r="F7397" s="6" t="n">
        <f aca="false">Sens!F7396*tax_f</f>
        <v>34.4878134070772</v>
      </c>
      <c r="G7397" s="6" t="n">
        <f aca="false">Sens!G7396*tax_f</f>
        <v>36.2687616774633</v>
      </c>
      <c r="H7397" s="6" t="n">
        <f aca="false">Sens!H7396*tax_f</f>
        <v>36.9407520737815</v>
      </c>
      <c r="I7397" s="6" t="n">
        <f aca="false">Sens!I7396*tax_f</f>
        <v>39.1460148106109</v>
      </c>
      <c r="J7397" s="6" t="n">
        <f aca="false">Sens!J7396*tax_f</f>
        <v>41.6205893278042</v>
      </c>
      <c r="K7397" s="6" t="n">
        <f aca="false">Sens!K7396*tax_f</f>
        <v>44.4094877409795</v>
      </c>
    </row>
    <row r="7398" customFormat="false" ht="15" hidden="false" customHeight="false" outlineLevel="0" collapsed="false">
      <c r="A7398" s="1" t="s">
        <v>915</v>
      </c>
      <c r="B7398" s="0" t="s">
        <v>98</v>
      </c>
      <c r="D7398" s="6" t="n">
        <f aca="false">Sens!D7396-Sens!D7397</f>
        <v>101.832</v>
      </c>
      <c r="E7398" s="6" t="n">
        <f aca="false">Sens!E7396-Sens!E7397</f>
        <v>133.749</v>
      </c>
      <c r="F7398" s="6" t="n">
        <f aca="false">Sens!F7396-Sens!F7397</f>
        <v>137.951253628309</v>
      </c>
      <c r="G7398" s="6" t="n">
        <f aca="false">Sens!G7396-Sens!G7397</f>
        <v>145.075046709853</v>
      </c>
      <c r="H7398" s="6" t="n">
        <f aca="false">Sens!H7396-Sens!H7397</f>
        <v>147.763008295126</v>
      </c>
      <c r="I7398" s="6" t="n">
        <f aca="false">Sens!I7396-Sens!I7397</f>
        <v>156.584059242444</v>
      </c>
      <c r="J7398" s="6" t="n">
        <f aca="false">Sens!J7396-Sens!J7397</f>
        <v>166.482357311217</v>
      </c>
      <c r="K7398" s="6" t="n">
        <f aca="false">Sens!K7396-Sens!K7397</f>
        <v>177.637950963918</v>
      </c>
    </row>
    <row r="7399" customFormat="false" ht="17.15" hidden="false" customHeight="false" outlineLevel="0" collapsed="false">
      <c r="A7399" s="1" t="s">
        <v>916</v>
      </c>
      <c r="B7399" s="1" t="s">
        <v>81</v>
      </c>
      <c r="D7399" s="14" t="n">
        <f aca="false">Q!L31</f>
        <v>7.465</v>
      </c>
      <c r="E7399" s="14" t="n">
        <f aca="false">Q!M31</f>
        <v>7.453</v>
      </c>
      <c r="F7399" s="14" t="n">
        <f aca="false">Sens!F7440</f>
        <v>7.4735</v>
      </c>
      <c r="G7399" s="14" t="n">
        <f aca="false">Sens!G7440</f>
        <v>7.5185</v>
      </c>
      <c r="H7399" s="14" t="n">
        <f aca="false">Sens!H7440</f>
        <v>7.5572934950576</v>
      </c>
      <c r="I7399" s="14" t="n">
        <f aca="false">Sens!I7440</f>
        <v>7.58011623627256</v>
      </c>
      <c r="J7399" s="14" t="n">
        <f aca="false">Sens!J7440</f>
        <v>7.59435774739044</v>
      </c>
      <c r="K7399" s="14" t="n">
        <f aca="false">Sens!K7440</f>
        <v>7.61087766509218</v>
      </c>
    </row>
    <row r="7400" customFormat="false" ht="17.15" hidden="false" customHeight="false" outlineLevel="0" collapsed="false">
      <c r="A7400" s="0" t="s">
        <v>917</v>
      </c>
      <c r="B7400" s="0" t="s">
        <v>75</v>
      </c>
      <c r="D7400" s="8" t="n">
        <f aca="false">Sens!D7398/Sens!D7399</f>
        <v>13.641259209645</v>
      </c>
      <c r="E7400" s="8" t="n">
        <f aca="false">Sens!E7398/Sens!E7399</f>
        <v>17.9456594659869</v>
      </c>
      <c r="F7400" s="8" t="n">
        <f aca="false">Sens!F7398/Sens!F7399</f>
        <v>18.4587212990311</v>
      </c>
      <c r="G7400" s="8" t="n">
        <f aca="false">Sens!G7398/Sens!G7399</f>
        <v>19.2957433942746</v>
      </c>
      <c r="H7400" s="8" t="n">
        <f aca="false">Sens!H7398/Sens!H7399</f>
        <v>19.5523712810362</v>
      </c>
      <c r="I7400" s="8" t="n">
        <f aca="false">Sens!I7398/Sens!I7399</f>
        <v>20.6572108344664</v>
      </c>
      <c r="J7400" s="8" t="n">
        <f aca="false">Sens!J7398/Sens!J7399</f>
        <v>21.9218481468592</v>
      </c>
      <c r="K7400" s="8" t="n">
        <f aca="false">Sens!K7398/Sens!K7399</f>
        <v>23.340008706048</v>
      </c>
      <c r="L7400" s="1" t="s">
        <v>918</v>
      </c>
    </row>
    <row r="7401" customFormat="false" ht="17.15" hidden="false" customHeight="false" outlineLevel="0" collapsed="false">
      <c r="A7401" s="1" t="s">
        <v>919</v>
      </c>
      <c r="B7401" s="0" t="s">
        <v>98</v>
      </c>
      <c r="D7401" s="6" t="n">
        <f aca="false">Sens!D7398</f>
        <v>101.832</v>
      </c>
      <c r="E7401" s="6" t="n">
        <f aca="false">Sens!E7398</f>
        <v>133.749</v>
      </c>
      <c r="F7401" s="6" t="n">
        <f aca="false">Sens!F7398+Sens!F7391*(1-tax_f)</f>
        <v>153.625848872733</v>
      </c>
      <c r="G7401" s="6" t="n">
        <f aca="false">Sens!G7398+Sens!G7391*(1-tax_f)</f>
        <v>174.005984850248</v>
      </c>
      <c r="H7401" s="6" t="n">
        <f aca="false">Sens!H7398+Sens!H7391*(1-tax_f)</f>
        <v>191.032254205852</v>
      </c>
      <c r="I7401" s="6" t="n">
        <f aca="false">Sens!I7398+Sens!I7391*(1-tax_f)</f>
        <v>212.780129121611</v>
      </c>
      <c r="J7401" s="6" t="n">
        <f aca="false">Sens!J7398+Sens!J7391*(1-tax_f)</f>
        <v>231.717378870642</v>
      </c>
      <c r="K7401" s="6" t="n">
        <f aca="false">Sens!K7398+Sens!K7391*(1-tax_f)</f>
        <v>248.134755473924</v>
      </c>
    </row>
    <row r="7402" customFormat="false" ht="17.15" hidden="false" customHeight="false" outlineLevel="0" collapsed="false">
      <c r="A7402" s="0" t="s">
        <v>920</v>
      </c>
      <c r="B7402" s="0" t="s">
        <v>75</v>
      </c>
      <c r="D7402" s="8" t="n">
        <f aca="false">Sens!D7401/Sens!D7399</f>
        <v>13.641259209645</v>
      </c>
      <c r="E7402" s="8" t="n">
        <f aca="false">Sens!E7401/Sens!E7399</f>
        <v>17.9456594659869</v>
      </c>
      <c r="F7402" s="8" t="n">
        <f aca="false">Sens!F7401/Sens!F7399</f>
        <v>20.5560779919359</v>
      </c>
      <c r="G7402" s="8" t="n">
        <f aca="false">Sens!G7401/Sens!G7399</f>
        <v>23.1437101616344</v>
      </c>
      <c r="H7402" s="8" t="n">
        <f aca="false">Sens!H7401/Sens!H7399</f>
        <v>25.2778662534127</v>
      </c>
      <c r="I7402" s="8" t="n">
        <f aca="false">Sens!I7401/Sens!I7399</f>
        <v>28.0708266851385</v>
      </c>
      <c r="J7402" s="8" t="n">
        <f aca="false">Sens!J7401/Sens!J7399</f>
        <v>30.511780795455</v>
      </c>
      <c r="K7402" s="8" t="n">
        <f aca="false">Sens!K7401/Sens!K7399</f>
        <v>32.6026466844962</v>
      </c>
      <c r="L7402" s="1" t="s">
        <v>921</v>
      </c>
    </row>
    <row r="7403" customFormat="false" ht="17.15" hidden="false" customHeight="false" outlineLevel="0" collapsed="false">
      <c r="A7403" s="0" t="s">
        <v>922</v>
      </c>
      <c r="B7403" s="0" t="s">
        <v>129</v>
      </c>
      <c r="E7403" s="7" t="n">
        <f aca="false">Sens!E7402/Sens!D7402-1</f>
        <v>0.315542736208578</v>
      </c>
      <c r="F7403" s="7" t="n">
        <f aca="false">Sens!F7402/Sens!E7402-1</f>
        <v>0.145462390551692</v>
      </c>
      <c r="G7403" s="7" t="n">
        <f aca="false">Sens!G7402/Sens!F7402-1</f>
        <v>0.125881608870797</v>
      </c>
      <c r="H7403" s="7" t="n">
        <f aca="false">Sens!H7402/Sens!G7402-1</f>
        <v>0.0922132223776342</v>
      </c>
      <c r="I7403" s="7" t="n">
        <f aca="false">Sens!I7402/Sens!H7402-1</f>
        <v>0.110490355622827</v>
      </c>
      <c r="J7403" s="7" t="n">
        <f aca="false">Sens!J7402/Sens!I7402-1</f>
        <v>0.0869569727210335</v>
      </c>
      <c r="K7403" s="7" t="n">
        <f aca="false">Sens!K7402/Sens!J7402-1</f>
        <v>0.0685265112206333</v>
      </c>
    </row>
    <row r="7404" customFormat="false" ht="17.15" hidden="false" customHeight="false" outlineLevel="0" collapsed="false">
      <c r="A7404" s="0" t="s">
        <v>846</v>
      </c>
      <c r="B7404" s="0" t="s">
        <v>98</v>
      </c>
      <c r="E7404" s="6" t="n">
        <f aca="false">Sens!E7345</f>
        <v>5.25</v>
      </c>
      <c r="F7404" s="6" t="n">
        <f aca="false">Sens!F7345</f>
        <v>12.6</v>
      </c>
      <c r="G7404" s="6" t="n">
        <f aca="false">Sens!G7345</f>
        <v>16.2</v>
      </c>
      <c r="H7404" s="6" t="n">
        <f aca="false">Sens!H7345</f>
        <v>19.8</v>
      </c>
      <c r="I7404" s="6" t="n">
        <f aca="false">Sens!I7345</f>
        <v>22.5</v>
      </c>
      <c r="J7404" s="6" t="n">
        <f aca="false">Sens!J7345</f>
        <v>24.3</v>
      </c>
      <c r="K7404" s="6" t="n">
        <f aca="false">Sens!K7345</f>
        <v>26.1</v>
      </c>
    </row>
    <row r="7405" customFormat="false" ht="17.15" hidden="false" customHeight="false" outlineLevel="0" collapsed="false">
      <c r="A7405" s="1" t="s">
        <v>847</v>
      </c>
      <c r="B7405" s="0" t="s">
        <v>98</v>
      </c>
      <c r="F7405" s="6" t="n">
        <f aca="false">MAX(0,(Sens!E7308+Sens!F7308)/2*Sens!F7316/1000-Sens!F7404*Sens!F7384)</f>
        <v>19.5932440555302</v>
      </c>
      <c r="G7405" s="6" t="n">
        <f aca="false">MAX(0,(Sens!F7308+Sens!G7308)/2*Sens!G7316/1000-Sens!G7404*Sens!G7384)</f>
        <v>36.1636726754934</v>
      </c>
      <c r="H7405" s="6" t="n">
        <f aca="false">MAX(0,(Sens!G7308+Sens!H7308)/2*Sens!H7316/1000-Sens!H7404*Sens!H7384)</f>
        <v>54.0865573884068</v>
      </c>
      <c r="I7405" s="6" t="n">
        <f aca="false">MAX(0,(Sens!H7308+Sens!I7308)/2*Sens!I7316/1000-Sens!I7404*Sens!I7384)</f>
        <v>70.2450873489594</v>
      </c>
      <c r="J7405" s="6" t="n">
        <f aca="false">MAX(0,(Sens!I7308+Sens!J7308)/2*Sens!J7316/1000-Sens!J7404*Sens!J7384)</f>
        <v>81.5437769492815</v>
      </c>
      <c r="K7405" s="6" t="n">
        <f aca="false">MAX(0,(Sens!J7308+Sens!K7308)/2*Sens!K7316/1000-Sens!K7404*Sens!K7384)</f>
        <v>88.1210056375072</v>
      </c>
      <c r="L7405" s="1" t="s">
        <v>848</v>
      </c>
    </row>
    <row r="7406" customFormat="false" ht="17.15" hidden="false" customHeight="false" outlineLevel="0" collapsed="false">
      <c r="A7406" s="1" t="s">
        <v>849</v>
      </c>
      <c r="B7406" s="0" t="s">
        <v>98</v>
      </c>
      <c r="F7406" s="6" t="n">
        <f aca="false">IF(internal_ai_reading=2,1,0)*Sens!F7405</f>
        <v>19.5932440555302</v>
      </c>
      <c r="G7406" s="6" t="n">
        <f aca="false">IF(internal_ai_reading=2,1,0)*Sens!G7405</f>
        <v>36.1636726754934</v>
      </c>
      <c r="H7406" s="6" t="n">
        <f aca="false">IF(internal_ai_reading=2,1,0)*Sens!H7405</f>
        <v>54.0865573884068</v>
      </c>
      <c r="I7406" s="6" t="n">
        <f aca="false">IF(internal_ai_reading=2,1,0)*Sens!I7405</f>
        <v>70.2450873489594</v>
      </c>
      <c r="J7406" s="6" t="n">
        <f aca="false">IF(internal_ai_reading=2,1,0)*Sens!J7405</f>
        <v>81.5437769492815</v>
      </c>
      <c r="K7406" s="6" t="n">
        <f aca="false">IF(internal_ai_reading=2,1,0)*Sens!K7405</f>
        <v>88.1210056375072</v>
      </c>
    </row>
    <row r="7407" customFormat="false" ht="17.15" hidden="false" customHeight="false" outlineLevel="0" collapsed="false">
      <c r="A7407" s="0" t="s">
        <v>850</v>
      </c>
      <c r="B7407" s="0" t="s">
        <v>98</v>
      </c>
      <c r="F7407" s="6" t="n">
        <f aca="false">Sens!F7325+Sens!F7404*Sens!F7384+Sens!F7406-Sens!F7326-Sens!F7336</f>
        <v>20.5761862327591</v>
      </c>
      <c r="G7407" s="6" t="n">
        <f aca="false">Sens!G7325+Sens!G7404*Sens!G7384+Sens!G7406-Sens!G7326-Sens!G7336</f>
        <v>26.3823144965041</v>
      </c>
      <c r="H7407" s="6" t="n">
        <f aca="false">Sens!H7325+Sens!H7404*Sens!H7384+Sens!H7406-Sens!H7326-Sens!H7336</f>
        <v>27.6754362916746</v>
      </c>
      <c r="I7407" s="6" t="n">
        <f aca="false">Sens!I7325+Sens!I7404*Sens!I7384+Sens!I7406-Sens!I7326-Sens!I7336</f>
        <v>35.241534566157</v>
      </c>
      <c r="J7407" s="6" t="n">
        <f aca="false">Sens!J7325+Sens!J7404*Sens!J7384+Sens!J7406-Sens!J7326-Sens!J7336</f>
        <v>40.434044621423</v>
      </c>
      <c r="K7407" s="6" t="n">
        <f aca="false">Sens!K7325+Sens!K7404*Sens!K7384+Sens!K7406-Sens!K7326-Sens!K7336</f>
        <v>44.4075097634843</v>
      </c>
    </row>
    <row r="7408" customFormat="false" ht="17.15" hidden="false" customHeight="false" outlineLevel="0" collapsed="false">
      <c r="A7408" s="0" t="s">
        <v>851</v>
      </c>
      <c r="B7408" s="0" t="s">
        <v>98</v>
      </c>
      <c r="E7408" s="6" t="n">
        <f aca="false">Sens!E7307*(cxit_open+self_build*tk_cxfac)/1000*ai_net_open</f>
        <v>126.6980382</v>
      </c>
      <c r="F7408" s="6" t="n">
        <f aca="false">Sens!E7408+Sens!F7333-Sens!F7336</f>
        <v>260.523155514568</v>
      </c>
      <c r="G7408" s="6" t="n">
        <f aca="false">Sens!F7408+Sens!G7333-Sens!G7336</f>
        <v>383.600602737428</v>
      </c>
      <c r="H7408" s="6" t="n">
        <f aca="false">Sens!G7408+Sens!H7333-Sens!H7336</f>
        <v>483.948572654688</v>
      </c>
      <c r="I7408" s="6" t="n">
        <f aca="false">Sens!H7408+Sens!I7333-Sens!I7336</f>
        <v>535.678201826713</v>
      </c>
      <c r="J7408" s="6" t="n">
        <f aca="false">Sens!I7408+Sens!J7333-Sens!J7336</f>
        <v>531.016967622137</v>
      </c>
      <c r="K7408" s="6" t="n">
        <f aca="false">Sens!J7408+Sens!K7333-Sens!K7336</f>
        <v>506.3387564596</v>
      </c>
      <c r="L7408" s="1" t="s">
        <v>852</v>
      </c>
    </row>
    <row r="7409" customFormat="false" ht="17.15" hidden="false" customHeight="false" outlineLevel="0" collapsed="false">
      <c r="A7409" s="0" t="s">
        <v>853</v>
      </c>
      <c r="B7409" s="0" t="s">
        <v>129</v>
      </c>
      <c r="F7409" s="7" t="n">
        <f aca="false">Sens!F7407*(1-tax_f)/((Sens!E7408+Sens!F7408)/2)</f>
        <v>0.0850209092549883</v>
      </c>
      <c r="G7409" s="7" t="n">
        <f aca="false">Sens!G7407*(1-tax_f)/((Sens!F7408+Sens!G7408)/2)</f>
        <v>0.0655335293157941</v>
      </c>
      <c r="H7409" s="7" t="n">
        <f aca="false">Sens!H7407*(1-tax_f)/((Sens!G7408+Sens!H7408)/2)</f>
        <v>0.0510411390186214</v>
      </c>
      <c r="I7409" s="7" t="n">
        <f aca="false">Sens!I7407*(1-tax_f)/((Sens!H7408+Sens!I7408)/2)</f>
        <v>0.0553010736056145</v>
      </c>
      <c r="J7409" s="7" t="n">
        <f aca="false">Sens!J7407*(1-tax_f)/((Sens!I7408+Sens!J7408)/2)</f>
        <v>0.0606494462965495</v>
      </c>
      <c r="K7409" s="7" t="n">
        <f aca="false">Sens!K7407*(1-tax_f)/((Sens!J7408+Sens!K7408)/2)</f>
        <v>0.0684933952472956</v>
      </c>
    </row>
    <row r="7410" customFormat="false" ht="17.15" hidden="false" customHeight="false" outlineLevel="0" collapsed="false">
      <c r="A7410" s="1" t="s">
        <v>854</v>
      </c>
      <c r="B7410" s="0" t="s">
        <v>129</v>
      </c>
      <c r="F7410" s="7" t="n">
        <f aca="false">(Sens!F7407-Sens!F7406)*(1-tax_f)/((Sens!E7408+Sens!F7408)/2)</f>
        <v>0.00406152222320125</v>
      </c>
      <c r="G7410" s="7" t="n">
        <f aca="false">(Sens!G7407-Sens!G7406)*(1-tax_f)/((Sens!F7408+Sens!G7408)/2)</f>
        <v>-0.0242968418504757</v>
      </c>
      <c r="H7410" s="7" t="n">
        <f aca="false">(Sens!H7407-Sens!H7406)*(1-tax_f)/((Sens!G7408+Sens!H7408)/2)</f>
        <v>-0.0487093930274002</v>
      </c>
      <c r="I7410" s="7" t="n">
        <f aca="false">(Sens!I7407-Sens!I7406)*(1-tax_f)/((Sens!H7408+Sens!I7408)/2)</f>
        <v>-0.054927632202449</v>
      </c>
      <c r="J7410" s="7" t="n">
        <f aca="false">(Sens!J7407-Sens!J7406)*(1-tax_f)/((Sens!I7408+Sens!J7408)/2)</f>
        <v>-0.0616629507739865</v>
      </c>
      <c r="K7410" s="7" t="n">
        <f aca="false">(Sens!K7407-Sens!K7406)*(1-tax_f)/((Sens!J7408+Sens!K7408)/2)</f>
        <v>-0.067422959911219</v>
      </c>
    </row>
    <row r="7411" customFormat="false" ht="17.15" hidden="false" customHeight="false" outlineLevel="0" collapsed="false">
      <c r="A7411" s="1" t="s">
        <v>855</v>
      </c>
      <c r="B7411" s="0" t="s">
        <v>129</v>
      </c>
      <c r="F7411" s="7" t="n">
        <f aca="false">(Sens!F7407-Sens!F7406+Sens!F7405)*(1-tax_f)/((Sens!E7408+Sens!F7408)/2)</f>
        <v>0.0850209092549883</v>
      </c>
      <c r="G7411" s="7" t="n">
        <f aca="false">(Sens!G7407-Sens!G7406+Sens!G7405)*(1-tax_f)/((Sens!F7408+Sens!G7408)/2)</f>
        <v>0.0655335293157941</v>
      </c>
      <c r="H7411" s="7" t="n">
        <f aca="false">(Sens!H7407-Sens!H7406+Sens!H7405)*(1-tax_f)/((Sens!G7408+Sens!H7408)/2)</f>
        <v>0.0510411390186214</v>
      </c>
      <c r="I7411" s="7" t="n">
        <f aca="false">(Sens!I7407-Sens!I7406+Sens!I7405)*(1-tax_f)/((Sens!H7408+Sens!I7408)/2)</f>
        <v>0.0553010736056145</v>
      </c>
      <c r="J7411" s="7" t="n">
        <f aca="false">(Sens!J7407-Sens!J7406+Sens!J7405)*(1-tax_f)/((Sens!I7408+Sens!J7408)/2)</f>
        <v>0.0606494462965495</v>
      </c>
      <c r="K7411" s="7" t="n">
        <f aca="false">(Sens!K7407-Sens!K7406+Sens!K7405)*(1-tax_f)/((Sens!J7408+Sens!K7408)/2)</f>
        <v>0.0684933952472956</v>
      </c>
    </row>
    <row r="7412" customFormat="false" ht="17.15" hidden="false" customHeight="false" outlineLevel="0" collapsed="false">
      <c r="A7412" s="1" t="s">
        <v>856</v>
      </c>
      <c r="B7412" s="0" t="s">
        <v>129</v>
      </c>
      <c r="F7412" s="7" t="n">
        <f aca="false">Sens!F7337*(1-tax_f)/(Sens!F7324*(Sens!E7408+Sens!F7408)/2)</f>
        <v>0.0979011446671941</v>
      </c>
      <c r="G7412" s="7" t="n">
        <f aca="false">Sens!G7337*(1-tax_f)/(Sens!G7324*(Sens!F7408+Sens!G7408)/2)</f>
        <v>0.0660430318892947</v>
      </c>
      <c r="H7412" s="7" t="n">
        <f aca="false">Sens!H7337*(1-tax_f)/(Sens!H7324*(Sens!G7408+Sens!H7408)/2)</f>
        <v>0.0388536061929634</v>
      </c>
      <c r="I7412" s="7" t="n">
        <f aca="false">Sens!I7337*(1-tax_f)/(Sens!I7324*(Sens!H7408+Sens!I7408)/2)</f>
        <v>0.0420652629626569</v>
      </c>
      <c r="J7412" s="7" t="n">
        <f aca="false">Sens!J7337*(1-tax_f)/(Sens!J7324*(Sens!I7408+Sens!J7408)/2)</f>
        <v>0.0461071376693538</v>
      </c>
      <c r="K7412" s="7" t="n">
        <f aca="false">Sens!K7337*(1-tax_f)/(Sens!K7324*(Sens!J7408+Sens!K7408)/2)</f>
        <v>0.0524423781297708</v>
      </c>
    </row>
    <row r="7413" customFormat="false" ht="17.15" hidden="false" customHeight="false" outlineLevel="0" collapsed="false">
      <c r="A7413" s="0" t="s">
        <v>857</v>
      </c>
      <c r="B7413" s="0" t="s">
        <v>209</v>
      </c>
      <c r="F7413" s="7" t="n">
        <f aca="false">Sens!F7409-wacc</f>
        <v>-0.0179135108378874</v>
      </c>
      <c r="G7413" s="7" t="n">
        <f aca="false">Sens!G7409-wacc</f>
        <v>-0.0374008907770817</v>
      </c>
      <c r="H7413" s="7" t="n">
        <f aca="false">Sens!H7409-wacc</f>
        <v>-0.0518932810742544</v>
      </c>
      <c r="I7413" s="7" t="n">
        <f aca="false">Sens!I7409-wacc</f>
        <v>-0.0476333464872612</v>
      </c>
      <c r="J7413" s="7" t="n">
        <f aca="false">Sens!J7409-wacc</f>
        <v>-0.0422849737963262</v>
      </c>
      <c r="K7413" s="7" t="n">
        <f aca="false">Sens!K7409-wacc</f>
        <v>-0.0344410248455801</v>
      </c>
    </row>
    <row r="7414" customFormat="false" ht="17.15" hidden="false" customHeight="false" outlineLevel="0" collapsed="false">
      <c r="A7414" s="0" t="s">
        <v>858</v>
      </c>
      <c r="B7414" s="0" t="s">
        <v>98</v>
      </c>
      <c r="F7414" s="6" t="n">
        <f aca="false">Sens!F7407*(1-tax_f)-wacc*(Sens!E7408+Sens!F7408)/2</f>
        <v>-3.4682455251328</v>
      </c>
      <c r="G7414" s="6" t="n">
        <f aca="false">Sens!G7407*(1-tax_f)-wacc*(Sens!F7408+Sens!G7408)/2</f>
        <v>-12.0454011646531</v>
      </c>
      <c r="H7414" s="6" t="n">
        <f aca="false">Sens!H7407*(1-tax_f)-wacc*(Sens!G7408+Sens!H7408)/2</f>
        <v>-22.5099866021804</v>
      </c>
      <c r="I7414" s="6" t="n">
        <f aca="false">Sens!I7407*(1-tax_f)-wacc*(Sens!H7408+Sens!I7408)/2</f>
        <v>-24.2841177182806</v>
      </c>
      <c r="J7414" s="6" t="n">
        <f aca="false">Sens!J7407*(1-tax_f)-wacc*(Sens!I7408+Sens!J7408)/2</f>
        <v>-22.5525886444062</v>
      </c>
      <c r="K7414" s="6" t="n">
        <f aca="false">Sens!K7407*(1-tax_f)-wacc*(Sens!J7408+Sens!K7408)/2</f>
        <v>-17.8637971334019</v>
      </c>
    </row>
    <row r="7415" customFormat="false" ht="17.15" hidden="false" customHeight="false" outlineLevel="0" collapsed="false">
      <c r="A7415" s="3" t="s">
        <v>1427</v>
      </c>
    </row>
    <row r="7416" customFormat="false" ht="15" hidden="false" customHeight="false" outlineLevel="0" collapsed="false">
      <c r="A7416" s="4" t="s">
        <v>43</v>
      </c>
      <c r="B7416" s="4" t="s">
        <v>65</v>
      </c>
      <c r="C7416" s="20" t="s">
        <v>788</v>
      </c>
      <c r="D7416" s="20" t="s">
        <v>789</v>
      </c>
      <c r="E7416" s="20" t="s">
        <v>790</v>
      </c>
      <c r="F7416" s="20" t="s">
        <v>791</v>
      </c>
      <c r="G7416" s="20" t="s">
        <v>792</v>
      </c>
      <c r="H7416" s="20" t="s">
        <v>793</v>
      </c>
      <c r="I7416" s="20" t="s">
        <v>794</v>
      </c>
      <c r="J7416" s="20" t="s">
        <v>795</v>
      </c>
      <c r="K7416" s="20" t="s">
        <v>796</v>
      </c>
      <c r="L7416" s="4" t="s">
        <v>47</v>
      </c>
    </row>
    <row r="7417" customFormat="false" ht="15" hidden="false" customHeight="false" outlineLevel="0" collapsed="false">
      <c r="A7417" s="1" t="s">
        <v>915</v>
      </c>
      <c r="B7417" s="0" t="s">
        <v>98</v>
      </c>
      <c r="F7417" s="6" t="n">
        <f aca="false">Sens!F7398</f>
        <v>137.951253628309</v>
      </c>
      <c r="G7417" s="6" t="n">
        <f aca="false">Sens!G7398</f>
        <v>145.075046709853</v>
      </c>
      <c r="H7417" s="6" t="n">
        <f aca="false">Sens!H7398</f>
        <v>147.763008295126</v>
      </c>
      <c r="I7417" s="6" t="n">
        <f aca="false">Sens!I7398</f>
        <v>156.584059242444</v>
      </c>
      <c r="J7417" s="6" t="n">
        <f aca="false">Sens!J7398</f>
        <v>166.482357311217</v>
      </c>
      <c r="K7417" s="6" t="n">
        <f aca="false">Sens!K7398</f>
        <v>177.637950963918</v>
      </c>
    </row>
    <row r="7418" customFormat="false" ht="17.15" hidden="false" customHeight="false" outlineLevel="0" collapsed="false">
      <c r="A7418" s="1" t="s">
        <v>937</v>
      </c>
      <c r="B7418" s="0" t="s">
        <v>98</v>
      </c>
      <c r="E7418" s="6" t="n">
        <f aca="false">Q!M38-Sens!E7336</f>
        <v>22.2285940229167</v>
      </c>
      <c r="F7418" s="6" t="n">
        <f aca="false">Sens!E7418*(1-1/life_nonai)+Sens!F7424/life_nonai</f>
        <v>23.5696693435813</v>
      </c>
      <c r="G7418" s="6" t="n">
        <f aca="false">Sens!F7418*(1-1/life_nonai)+Sens!G7424/life_nonai</f>
        <v>25.3099917662621</v>
      </c>
      <c r="H7418" s="6" t="n">
        <f aca="false">Sens!G7418*(1-1/life_nonai)+Sens!H7424/life_nonai</f>
        <v>27.4181439540448</v>
      </c>
      <c r="I7418" s="6" t="n">
        <f aca="false">Sens!H7418*(1-1/life_nonai)+Sens!I7424/life_nonai</f>
        <v>29.8361695898047</v>
      </c>
      <c r="J7418" s="6" t="n">
        <f aca="false">Sens!I7418*(1-1/life_nonai)+Sens!J7424/life_nonai</f>
        <v>32.4886439558616</v>
      </c>
      <c r="K7418" s="6" t="n">
        <f aca="false">Sens!J7418*(1-1/life_nonai)+Sens!K7424/life_nonai</f>
        <v>35.2926498344749</v>
      </c>
      <c r="L7418" s="11" t="s">
        <v>938</v>
      </c>
    </row>
    <row r="7419" customFormat="false" ht="17.15" hidden="false" customHeight="false" outlineLevel="0" collapsed="false">
      <c r="A7419" s="1" t="s">
        <v>939</v>
      </c>
      <c r="B7419" s="0" t="s">
        <v>98</v>
      </c>
      <c r="E7419" s="6" t="n">
        <f aca="false">Sens!E7336+Sens!E7418</f>
        <v>38.534</v>
      </c>
      <c r="F7419" s="6" t="n">
        <f aca="false">Sens!F7336+Sens!F7418</f>
        <v>58.3052047994511</v>
      </c>
      <c r="G7419" s="6" t="n">
        <f aca="false">Sens!G7336+Sens!G7418</f>
        <v>85.8067250266016</v>
      </c>
      <c r="H7419" s="6" t="n">
        <f aca="false">Sens!H7336+Sens!H7418</f>
        <v>115.150459947184</v>
      </c>
      <c r="I7419" s="6" t="n">
        <f aca="false">Sens!I7336+Sens!I7418</f>
        <v>141.813209572026</v>
      </c>
      <c r="J7419" s="6" t="n">
        <f aca="false">Sens!J7336+Sens!J7418</f>
        <v>161.662354878527</v>
      </c>
      <c r="K7419" s="6" t="n">
        <f aca="false">Sens!K7336+Sens!K7418</f>
        <v>174.930296638948</v>
      </c>
    </row>
    <row r="7420" customFormat="false" ht="17.15" hidden="false" customHeight="false" outlineLevel="0" collapsed="false">
      <c r="A7420" s="1" t="s">
        <v>940</v>
      </c>
      <c r="B7420" s="0" t="s">
        <v>98</v>
      </c>
      <c r="F7420" s="6" t="n">
        <f aca="false">Sens!F7363*sbc_r</f>
        <v>14.7887383433234</v>
      </c>
      <c r="G7420" s="6" t="n">
        <f aca="false">Sens!G7363*sbc_r</f>
        <v>17.1621668575738</v>
      </c>
      <c r="H7420" s="6" t="n">
        <f aca="false">Sens!H7363*sbc_r</f>
        <v>19.3878475001935</v>
      </c>
      <c r="I7420" s="6" t="n">
        <f aca="false">Sens!I7363*sbc_r</f>
        <v>21.71459271333</v>
      </c>
      <c r="J7420" s="6" t="n">
        <f aca="false">Sens!J7363*sbc_r</f>
        <v>23.6695088002613</v>
      </c>
      <c r="K7420" s="6" t="n">
        <f aca="false">Sens!K7363*sbc_r</f>
        <v>25.2691801522335</v>
      </c>
    </row>
    <row r="7421" customFormat="false" ht="17.15" hidden="false" customHeight="false" outlineLevel="0" collapsed="false">
      <c r="A7421" s="1" t="s">
        <v>941</v>
      </c>
      <c r="B7421" s="0" t="s">
        <v>98</v>
      </c>
      <c r="F7421" s="6" t="n">
        <f aca="false">wc27</f>
        <v>-4.895</v>
      </c>
      <c r="G7421" s="6" t="n">
        <f aca="false">wc_f</f>
        <v>0</v>
      </c>
      <c r="H7421" s="6" t="n">
        <f aca="false">wc_f</f>
        <v>0</v>
      </c>
      <c r="I7421" s="6" t="n">
        <f aca="false">wc_f</f>
        <v>0</v>
      </c>
      <c r="J7421" s="6" t="n">
        <f aca="false">wc_f</f>
        <v>0</v>
      </c>
      <c r="K7421" s="6" t="n">
        <f aca="false">wc_f</f>
        <v>0</v>
      </c>
      <c r="L7421" s="11" t="s">
        <v>942</v>
      </c>
    </row>
    <row r="7422" customFormat="false" ht="15" hidden="false" customHeight="false" outlineLevel="0" collapsed="false">
      <c r="A7422" s="1" t="s">
        <v>756</v>
      </c>
      <c r="B7422" s="0" t="s">
        <v>98</v>
      </c>
      <c r="E7422" s="6" t="n">
        <f aca="false">Q!M35</f>
        <v>182.935</v>
      </c>
      <c r="F7422" s="6" t="n">
        <f aca="false">Sens!F7417+Sens!F7419+Sens!F7420+Sens!F7421</f>
        <v>206.150196771083</v>
      </c>
      <c r="G7422" s="6" t="n">
        <f aca="false">Sens!G7417+Sens!G7419+Sens!G7420+Sens!G7421</f>
        <v>248.043938594029</v>
      </c>
      <c r="H7422" s="6" t="n">
        <f aca="false">Sens!H7417+Sens!H7419+Sens!H7420+Sens!H7421</f>
        <v>282.301315742504</v>
      </c>
      <c r="I7422" s="6" t="n">
        <f aca="false">Sens!I7417+Sens!I7419+Sens!I7420+Sens!I7421</f>
        <v>320.1118615278</v>
      </c>
      <c r="J7422" s="6" t="n">
        <f aca="false">Sens!J7417+Sens!J7419+Sens!J7420+Sens!J7421</f>
        <v>351.814220990006</v>
      </c>
      <c r="K7422" s="6" t="n">
        <f aca="false">Sens!K7417+Sens!K7419+Sens!K7420+Sens!K7421</f>
        <v>377.8374277551</v>
      </c>
    </row>
    <row r="7423" customFormat="false" ht="17.15" hidden="false" customHeight="false" outlineLevel="0" collapsed="false">
      <c r="A7423" s="0" t="s">
        <v>943</v>
      </c>
      <c r="B7423" s="0" t="s">
        <v>98</v>
      </c>
      <c r="F7423" s="6" t="n">
        <f aca="false">Sens!F7333</f>
        <v>168.560652770438</v>
      </c>
      <c r="G7423" s="6" t="n">
        <f aca="false">Sens!G7333</f>
        <v>183.5741804832</v>
      </c>
      <c r="H7423" s="6" t="n">
        <f aca="false">Sens!H7333</f>
        <v>188.0802859104</v>
      </c>
      <c r="I7423" s="6" t="n">
        <f aca="false">Sens!I7333</f>
        <v>163.706669154245</v>
      </c>
      <c r="J7423" s="6" t="n">
        <f aca="false">Sens!J7333</f>
        <v>124.51247671809</v>
      </c>
      <c r="K7423" s="6" t="n">
        <f aca="false">Sens!K7333</f>
        <v>114.959435641936</v>
      </c>
    </row>
    <row r="7424" customFormat="false" ht="17.15" hidden="false" customHeight="false" outlineLevel="0" collapsed="false">
      <c r="A7424" s="1" t="s">
        <v>944</v>
      </c>
      <c r="B7424" s="0" t="s">
        <v>98</v>
      </c>
      <c r="E7424" s="6" t="n">
        <f aca="false">Sens!E7341*cx_azo+Sens!E7348*cx_m365+Sens!E7349*cx_lic+(Sens!E7351+Sens!E7353)*cx_ind+Sens!E7356*cx_srch+(Sens!E7358+Sens!E7360)*cx_dev</f>
        <v>30.1846587067718</v>
      </c>
      <c r="F7424" s="6" t="n">
        <f aca="false">Sens!F7341*cx_azo+Sens!F7348*cx_m365+Sens!F7349*cx_lic+(Sens!F7351+Sens!F7353)*cx_ind+Sens!F7356*cx_srch+(Sens!F7358+Sens!F7360)*cx_dev</f>
        <v>35.6393472295625</v>
      </c>
      <c r="G7424" s="6" t="n">
        <f aca="false">Sens!G7341*cx_azo+Sens!G7348*cx_m365+Sens!G7349*cx_lic+(Sens!G7351+Sens!G7353)*cx_ind+Sens!G7356*cx_srch+(Sens!G7358+Sens!G7360)*cx_dev</f>
        <v>40.9728935703892</v>
      </c>
      <c r="H7424" s="6" t="n">
        <f aca="false">Sens!H7341*cx_azo+Sens!H7348*cx_m365+Sens!H7349*cx_lic+(Sens!H7351+Sens!H7353)*cx_ind+Sens!H7356*cx_srch+(Sens!H7358+Sens!H7360)*cx_dev</f>
        <v>46.3915136440897</v>
      </c>
      <c r="I7424" s="6" t="n">
        <f aca="false">Sens!I7341*cx_azo+Sens!I7348*cx_m365+Sens!I7349*cx_lic+(Sens!I7351+Sens!I7353)*cx_ind+Sens!I7356*cx_srch+(Sens!I7358+Sens!I7360)*cx_dev</f>
        <v>51.5984003116439</v>
      </c>
      <c r="J7424" s="6" t="n">
        <f aca="false">Sens!J7341*cx_azo+Sens!J7348*cx_m365+Sens!J7349*cx_lic+(Sens!J7351+Sens!J7353)*cx_ind+Sens!J7356*cx_srch+(Sens!J7358+Sens!J7360)*cx_dev</f>
        <v>56.3609132503738</v>
      </c>
      <c r="K7424" s="6" t="n">
        <f aca="false">Sens!K7341*cx_azo+Sens!K7348*cx_m365+Sens!K7349*cx_lic+(Sens!K7351+Sens!K7353)*cx_ind+Sens!K7356*cx_srch+(Sens!K7358+Sens!K7360)*cx_dev</f>
        <v>60.528702741994</v>
      </c>
    </row>
    <row r="7425" customFormat="false" ht="17.15" hidden="false" customHeight="false" outlineLevel="0" collapsed="false">
      <c r="A7425" s="1" t="s">
        <v>945</v>
      </c>
      <c r="B7425" s="0" t="s">
        <v>98</v>
      </c>
      <c r="E7425" s="6" t="n">
        <f aca="false">Q!M42</f>
        <v>145.3</v>
      </c>
      <c r="F7425" s="6" t="n">
        <f aca="false">Sens!F7423+Sens!F7424</f>
        <v>204.2</v>
      </c>
      <c r="G7425" s="6" t="n">
        <f aca="false">Sens!G7423+Sens!G7424</f>
        <v>224.547074053589</v>
      </c>
      <c r="H7425" s="6" t="n">
        <f aca="false">Sens!H7423+Sens!H7424</f>
        <v>234.47179955449</v>
      </c>
      <c r="I7425" s="6" t="n">
        <f aca="false">Sens!I7423+Sens!I7424</f>
        <v>215.305069465889</v>
      </c>
      <c r="J7425" s="6" t="n">
        <f aca="false">Sens!J7423+Sens!J7424</f>
        <v>180.873389968464</v>
      </c>
      <c r="K7425" s="6" t="n">
        <f aca="false">Sens!K7423+Sens!K7424</f>
        <v>175.48813838393</v>
      </c>
      <c r="L7425" s="1" t="s">
        <v>946</v>
      </c>
    </row>
    <row r="7426" customFormat="false" ht="15" hidden="false" customHeight="false" outlineLevel="0" collapsed="false">
      <c r="A7426" s="1" t="s">
        <v>947</v>
      </c>
      <c r="B7426" s="0" t="s">
        <v>98</v>
      </c>
      <c r="E7426" s="6" t="n">
        <f aca="false">fl_liab</f>
        <v>66.594</v>
      </c>
      <c r="F7426" s="6" t="n">
        <f aca="false">Sens!E7426-Sens!F7427</f>
        <v>62.46973</v>
      </c>
      <c r="G7426" s="6" t="n">
        <f aca="false">Sens!F7426-Sens!G7427</f>
        <v>57.98686785</v>
      </c>
      <c r="H7426" s="6" t="n">
        <f aca="false">Sens!G7426-Sens!H7427</f>
        <v>53.92827690325</v>
      </c>
      <c r="I7426" s="6" t="n">
        <f aca="false">Sens!H7426-Sens!I7427</f>
        <v>49.7850493638962</v>
      </c>
      <c r="J7426" s="6" t="n">
        <f aca="false">Sens!I7426-Sens!J7427</f>
        <v>45.4823765852716</v>
      </c>
      <c r="K7426" s="6" t="n">
        <f aca="false">Sens!J7426-Sens!K7427</f>
        <v>40.9860835316088</v>
      </c>
    </row>
    <row r="7427" customFormat="false" ht="15" hidden="false" customHeight="false" outlineLevel="0" collapsed="false">
      <c r="A7427" s="1" t="s">
        <v>948</v>
      </c>
      <c r="B7427" s="0" t="s">
        <v>98</v>
      </c>
      <c r="F7427" s="6" t="n">
        <f aca="false">fl_pay_27-Sens!E7426*fl_rate</f>
        <v>4.12427</v>
      </c>
      <c r="G7427" s="6" t="n">
        <f aca="false">fl_pay_28-Sens!F7426*fl_rate</f>
        <v>4.48286215</v>
      </c>
      <c r="H7427" s="6" t="n">
        <f aca="false">fl_pay_29-Sens!G7426*fl_rate</f>
        <v>4.05859094675</v>
      </c>
      <c r="I7427" s="6" t="n">
        <f aca="false">fl_pay_30-Sens!H7426*fl_rate</f>
        <v>4.14322753935375</v>
      </c>
      <c r="J7427" s="6" t="n">
        <f aca="false">fl_pay_31-Sens!I7426*fl_rate</f>
        <v>4.30267277862467</v>
      </c>
      <c r="K7427" s="6" t="n">
        <f aca="false">fl_pay_32-Sens!J7426*fl_rate</f>
        <v>4.49629305366278</v>
      </c>
    </row>
    <row r="7428" customFormat="false" ht="17.15" hidden="false" customHeight="false" outlineLevel="0" collapsed="false">
      <c r="A7428" s="1" t="s">
        <v>949</v>
      </c>
      <c r="B7428" s="0" t="s">
        <v>98</v>
      </c>
      <c r="E7428" s="6" t="n">
        <f aca="false">Q!M35-Q!M36-Q!M43</f>
        <v>63.886</v>
      </c>
      <c r="F7428" s="6" t="n">
        <f aca="false">Sens!F7422-Sens!F7425-Sens!F7427</f>
        <v>-2.17407322891675</v>
      </c>
      <c r="G7428" s="6" t="n">
        <f aca="false">Sens!G7422-Sens!G7425-Sens!G7427</f>
        <v>19.0140023904395</v>
      </c>
      <c r="H7428" s="6" t="n">
        <f aca="false">Sens!H7422-Sens!H7425-Sens!H7427</f>
        <v>43.7709252412644</v>
      </c>
      <c r="I7428" s="6" t="n">
        <f aca="false">Sens!I7422-Sens!I7425-Sens!I7427</f>
        <v>100.663564522557</v>
      </c>
      <c r="J7428" s="6" t="n">
        <f aca="false">Sens!J7422-Sens!J7425-Sens!J7427</f>
        <v>166.638158242917</v>
      </c>
      <c r="K7428" s="6" t="n">
        <f aca="false">Sens!K7422-Sens!K7425-Sens!K7427</f>
        <v>197.852996317507</v>
      </c>
      <c r="L7428" s="11" t="s">
        <v>950</v>
      </c>
    </row>
    <row r="7429" customFormat="false" ht="15" hidden="false" customHeight="false" outlineLevel="0" collapsed="false">
      <c r="A7429" s="1" t="s">
        <v>951</v>
      </c>
      <c r="B7429" s="0" t="s">
        <v>75</v>
      </c>
      <c r="F7429" s="8" t="n">
        <f aca="false">dps_27</f>
        <v>3.85</v>
      </c>
      <c r="G7429" s="8" t="n">
        <f aca="false">Sens!F7429*(1+dps_g)</f>
        <v>4.158</v>
      </c>
      <c r="H7429" s="8" t="n">
        <f aca="false">Sens!G7429*(1+dps_g)</f>
        <v>4.49064</v>
      </c>
      <c r="I7429" s="8" t="n">
        <f aca="false">Sens!H7429*(1+dps_g)</f>
        <v>4.8498912</v>
      </c>
      <c r="J7429" s="8" t="n">
        <f aca="false">Sens!I7429*(1+dps_g)</f>
        <v>5.237882496</v>
      </c>
      <c r="K7429" s="8" t="n">
        <f aca="false">Sens!J7429*(1+dps_g)</f>
        <v>5.65691309568</v>
      </c>
    </row>
    <row r="7430" customFormat="false" ht="17.15" hidden="false" customHeight="false" outlineLevel="0" collapsed="false">
      <c r="A7430" s="1" t="s">
        <v>952</v>
      </c>
      <c r="B7430" s="0" t="s">
        <v>98</v>
      </c>
      <c r="E7430" s="6" t="n">
        <f aca="false">Q!M41</f>
        <v>26.445</v>
      </c>
      <c r="F7430" s="6" t="n">
        <f aca="false">Sens!F7429*Sens!E7439</f>
        <v>28.59395</v>
      </c>
      <c r="G7430" s="6" t="n">
        <f aca="false">Sens!G7429*Sens!F7439</f>
        <v>31.068576</v>
      </c>
      <c r="H7430" s="6" t="n">
        <f aca="false">Sens!H7429*Sens!G7439</f>
        <v>33.75614088</v>
      </c>
      <c r="I7430" s="6" t="n">
        <f aca="false">Sens!I7429*Sens!H7439</f>
        <v>36.6146755069942</v>
      </c>
      <c r="J7430" s="6" t="n">
        <f aca="false">Sens!J7429*Sens!I7439</f>
        <v>39.6122483958731</v>
      </c>
      <c r="K7430" s="6" t="n">
        <f aca="false">Sens!K7429*Sens!J7439</f>
        <v>42.868483492848</v>
      </c>
      <c r="L7430" s="1" t="s">
        <v>953</v>
      </c>
    </row>
    <row r="7431" customFormat="false" ht="15" hidden="false" customHeight="false" outlineLevel="0" collapsed="false">
      <c r="A7431" s="1" t="s">
        <v>954</v>
      </c>
      <c r="B7431" s="0" t="s">
        <v>98</v>
      </c>
      <c r="E7431" s="6" t="n">
        <f aca="false">Sens!E7428-Sens!E7430</f>
        <v>37.441</v>
      </c>
      <c r="F7431" s="6" t="n">
        <f aca="false">Sens!F7428-Sens!F7430</f>
        <v>-30.7680232289167</v>
      </c>
      <c r="G7431" s="6" t="n">
        <f aca="false">Sens!G7428-Sens!G7430</f>
        <v>-12.0545736095605</v>
      </c>
      <c r="H7431" s="6" t="n">
        <f aca="false">Sens!H7428-Sens!H7430</f>
        <v>10.0147843612644</v>
      </c>
      <c r="I7431" s="6" t="n">
        <f aca="false">Sens!I7428-Sens!I7430</f>
        <v>64.0488890155624</v>
      </c>
      <c r="J7431" s="6" t="n">
        <f aca="false">Sens!J7428-Sens!J7430</f>
        <v>127.025909847043</v>
      </c>
      <c r="K7431" s="6" t="n">
        <f aca="false">Sens!K7428-Sens!K7430</f>
        <v>154.984512824659</v>
      </c>
    </row>
    <row r="7432" customFormat="false" ht="15" hidden="false" customHeight="false" outlineLevel="0" collapsed="false">
      <c r="A7432" s="1" t="s">
        <v>955</v>
      </c>
      <c r="B7432" s="0" t="s">
        <v>98</v>
      </c>
      <c r="F7432" s="6" t="n">
        <f aca="false">debt_mat_27</f>
        <v>9.25</v>
      </c>
      <c r="G7432" s="6" t="n">
        <f aca="false">debt_mat_28</f>
        <v>0</v>
      </c>
      <c r="H7432" s="6" t="n">
        <f aca="false">debt_mat_29</f>
        <v>2.001</v>
      </c>
      <c r="I7432" s="6" t="n">
        <f aca="false">debt_mat_30</f>
        <v>0</v>
      </c>
      <c r="J7432" s="6" t="n">
        <f aca="false">debt_mat_31</f>
        <v>0.5</v>
      </c>
      <c r="K7432" s="6" t="n">
        <f aca="false">debt_mat_32</f>
        <v>0</v>
      </c>
    </row>
    <row r="7433" customFormat="false" ht="15" hidden="false" customHeight="false" outlineLevel="0" collapsed="false">
      <c r="A7433" s="1" t="s">
        <v>956</v>
      </c>
      <c r="B7433" s="0" t="s">
        <v>98</v>
      </c>
      <c r="E7433" s="6" t="n">
        <f aca="false">Q!M40</f>
        <v>22.271</v>
      </c>
      <c r="F7433" s="6" t="n">
        <f aca="false">MAX(0,MIN(bb_target,Sens!E7435+Sens!F7431-Sens!F7432-min_cash))</f>
        <v>0</v>
      </c>
      <c r="G7433" s="6" t="n">
        <f aca="false">MAX(0,MIN(bb_target,Sens!F7435+Sens!G7431-Sens!G7432-min_cash))</f>
        <v>0</v>
      </c>
      <c r="H7433" s="6" t="n">
        <f aca="false">MAX(0,MIN(bb_target,Sens!G7435+Sens!H7431-Sens!H7432-min_cash))</f>
        <v>8.01378436126436</v>
      </c>
      <c r="I7433" s="6" t="n">
        <f aca="false">MAX(0,MIN(bb_target,Sens!H7435+Sens!I7431-Sens!I7432-min_cash))</f>
        <v>22.271</v>
      </c>
      <c r="J7433" s="6" t="n">
        <f aca="false">MAX(0,MIN(bb_target,Sens!I7435+Sens!J7431-Sens!J7432-min_cash))</f>
        <v>22.271</v>
      </c>
      <c r="K7433" s="6" t="n">
        <f aca="false">MAX(0,MIN(bb_target,Sens!J7435+Sens!K7431-Sens!K7432-min_cash))</f>
        <v>22.271</v>
      </c>
    </row>
    <row r="7434" customFormat="false" ht="15" hidden="false" customHeight="false" outlineLevel="0" collapsed="false">
      <c r="A7434" s="1" t="s">
        <v>957</v>
      </c>
      <c r="B7434" s="0" t="s">
        <v>98</v>
      </c>
      <c r="F7434" s="6" t="n">
        <f aca="false">MAX(0,min_cash-(Sens!E7435+Sens!F7431-Sens!F7432-Sens!F7433))</f>
        <v>13.1750232289167</v>
      </c>
      <c r="G7434" s="6" t="n">
        <f aca="false">MAX(0,min_cash-(Sens!F7435+Sens!G7431-Sens!G7432-Sens!G7433))</f>
        <v>12.0545736095605</v>
      </c>
      <c r="H7434" s="6" t="n">
        <f aca="false">MAX(0,min_cash-(Sens!G7435+Sens!H7431-Sens!H7432-Sens!H7433))</f>
        <v>0</v>
      </c>
      <c r="I7434" s="6" t="n">
        <f aca="false">MAX(0,min_cash-(Sens!H7435+Sens!I7431-Sens!I7432-Sens!I7433))</f>
        <v>0</v>
      </c>
      <c r="J7434" s="6" t="n">
        <f aca="false">MAX(0,min_cash-(Sens!I7435+Sens!J7431-Sens!J7432-Sens!J7433))</f>
        <v>0</v>
      </c>
      <c r="K7434" s="6" t="n">
        <f aca="false">MAX(0,min_cash-(Sens!J7435+Sens!K7431-Sens!K7432-Sens!K7433))</f>
        <v>0</v>
      </c>
    </row>
    <row r="7435" customFormat="false" ht="15" hidden="false" customHeight="false" outlineLevel="0" collapsed="false">
      <c r="A7435" s="1" t="s">
        <v>958</v>
      </c>
      <c r="B7435" s="0" t="s">
        <v>98</v>
      </c>
      <c r="E7435" s="6" t="n">
        <f aca="false">cash_open</f>
        <v>76.843</v>
      </c>
      <c r="F7435" s="6" t="n">
        <f aca="false">Sens!E7435+Sens!F7431-Sens!F7432-Sens!F7433+Sens!F7434</f>
        <v>50</v>
      </c>
      <c r="G7435" s="6" t="n">
        <f aca="false">Sens!F7435+Sens!G7431-Sens!G7432-Sens!G7433+Sens!G7434</f>
        <v>50</v>
      </c>
      <c r="H7435" s="6" t="n">
        <f aca="false">Sens!G7435+Sens!H7431-Sens!H7432-Sens!H7433+Sens!H7434</f>
        <v>50</v>
      </c>
      <c r="I7435" s="6" t="n">
        <f aca="false">Sens!H7435+Sens!I7431-Sens!I7432-Sens!I7433+Sens!I7434</f>
        <v>91.7778890155624</v>
      </c>
      <c r="J7435" s="6" t="n">
        <f aca="false">Sens!I7435+Sens!J7431-Sens!J7432-Sens!J7433+Sens!J7434</f>
        <v>196.032798862606</v>
      </c>
      <c r="K7435" s="6" t="n">
        <f aca="false">Sens!J7435+Sens!K7431-Sens!K7432-Sens!K7433+Sens!K7434</f>
        <v>328.746311687265</v>
      </c>
    </row>
    <row r="7436" customFormat="false" ht="15" hidden="false" customHeight="false" outlineLevel="0" collapsed="false">
      <c r="A7436" s="1" t="s">
        <v>959</v>
      </c>
      <c r="B7436" s="0" t="s">
        <v>98</v>
      </c>
      <c r="E7436" s="6" t="n">
        <f aca="false">debt_face</f>
        <v>46.136</v>
      </c>
      <c r="F7436" s="6" t="n">
        <f aca="false">Sens!E7436-Sens!F7432+Sens!F7434</f>
        <v>50.0610232289167</v>
      </c>
      <c r="G7436" s="6" t="n">
        <f aca="false">Sens!F7436-Sens!G7432+Sens!G7434</f>
        <v>62.1155968384772</v>
      </c>
      <c r="H7436" s="6" t="n">
        <f aca="false">Sens!G7436-Sens!H7432+Sens!H7434</f>
        <v>60.1145968384772</v>
      </c>
      <c r="I7436" s="6" t="n">
        <f aca="false">Sens!H7436-Sens!I7432+Sens!I7434</f>
        <v>60.1145968384772</v>
      </c>
      <c r="J7436" s="6" t="n">
        <f aca="false">Sens!I7436-Sens!J7432+Sens!J7434</f>
        <v>59.6145968384772</v>
      </c>
      <c r="K7436" s="6" t="n">
        <f aca="false">Sens!J7436-Sens!K7432+Sens!K7434</f>
        <v>59.6145968384772</v>
      </c>
    </row>
    <row r="7437" customFormat="false" ht="15" hidden="false" customHeight="false" outlineLevel="0" collapsed="false">
      <c r="A7437" s="1" t="s">
        <v>960</v>
      </c>
      <c r="B7437" s="0" t="s">
        <v>98</v>
      </c>
      <c r="E7437" s="6" t="n">
        <f aca="false">Sens!E7435-Sens!E7436</f>
        <v>30.707</v>
      </c>
      <c r="F7437" s="6" t="n">
        <f aca="false">Sens!F7435-Sens!F7436</f>
        <v>-0.0610232289167456</v>
      </c>
      <c r="G7437" s="6" t="n">
        <f aca="false">Sens!G7435-Sens!G7436</f>
        <v>-12.1155968384772</v>
      </c>
      <c r="H7437" s="6" t="n">
        <f aca="false">Sens!H7435-Sens!H7436</f>
        <v>-10.1145968384772</v>
      </c>
      <c r="I7437" s="6" t="n">
        <f aca="false">Sens!I7435-Sens!I7436</f>
        <v>31.6632921770852</v>
      </c>
      <c r="J7437" s="6" t="n">
        <f aca="false">Sens!J7435-Sens!J7436</f>
        <v>136.418202024129</v>
      </c>
      <c r="K7437" s="6" t="n">
        <f aca="false">Sens!K7435-Sens!K7436</f>
        <v>269.131714848788</v>
      </c>
    </row>
    <row r="7438" customFormat="false" ht="15" hidden="false" customHeight="false" outlineLevel="0" collapsed="false">
      <c r="A7438" s="1" t="s">
        <v>961</v>
      </c>
      <c r="B7438" s="0" t="s">
        <v>75</v>
      </c>
      <c r="F7438" s="29" t="n">
        <f aca="false">px*(1+bb_g)^(Sens!F7302-base_fy-mid_yr)</f>
        <v>553.494156066711</v>
      </c>
      <c r="G7438" s="29" t="n">
        <f aca="false">px*(1+bb_g)^(Sens!G7302-base_fy-mid_yr)</f>
        <v>597.773688552047</v>
      </c>
      <c r="H7438" s="29" t="n">
        <f aca="false">px*(1+bb_g)^(Sens!H7302-base_fy-mid_yr)</f>
        <v>645.595583636211</v>
      </c>
      <c r="I7438" s="29" t="n">
        <f aca="false">px*(1+bb_g)^(Sens!I7302-base_fy-mid_yr)</f>
        <v>697.243230327108</v>
      </c>
      <c r="J7438" s="29" t="n">
        <f aca="false">px*(1+bb_g)^(Sens!J7302-base_fy-mid_yr)</f>
        <v>753.022688753277</v>
      </c>
      <c r="K7438" s="29" t="n">
        <f aca="false">px*(1+bb_g)^(Sens!K7302-base_fy-mid_yr)</f>
        <v>813.264503853539</v>
      </c>
    </row>
    <row r="7439" customFormat="false" ht="15" hidden="false" customHeight="false" outlineLevel="0" collapsed="false">
      <c r="A7439" s="1" t="s">
        <v>962</v>
      </c>
      <c r="B7439" s="1" t="s">
        <v>81</v>
      </c>
      <c r="E7439" s="14" t="n">
        <f aca="false">sh_out26</f>
        <v>7.427</v>
      </c>
      <c r="F7439" s="14" t="n">
        <f aca="false">Sens!E7439+sh_iss-Sens!F7433/Sens!F7438</f>
        <v>7.472</v>
      </c>
      <c r="G7439" s="14" t="n">
        <f aca="false">Sens!F7439+sh_iss-Sens!G7433/Sens!G7438</f>
        <v>7.517</v>
      </c>
      <c r="H7439" s="14" t="n">
        <f aca="false">Sens!G7439+sh_iss-Sens!H7433/Sens!H7438</f>
        <v>7.54958699011519</v>
      </c>
      <c r="I7439" s="14" t="n">
        <f aca="false">Sens!H7439+sh_iss-Sens!I7433/Sens!I7438</f>
        <v>7.56264548242992</v>
      </c>
      <c r="J7439" s="14" t="n">
        <f aca="false">Sens!I7439+sh_iss-Sens!J7433/Sens!J7438</f>
        <v>7.57807001235096</v>
      </c>
      <c r="K7439" s="14" t="n">
        <f aca="false">Sens!J7439+sh_iss-Sens!K7433/Sens!K7438</f>
        <v>7.5956853178334</v>
      </c>
    </row>
    <row r="7440" customFormat="false" ht="15" hidden="false" customHeight="false" outlineLevel="0" collapsed="false">
      <c r="A7440" s="1" t="s">
        <v>963</v>
      </c>
      <c r="B7440" s="1" t="s">
        <v>81</v>
      </c>
      <c r="E7440" s="14" t="n">
        <f aca="false">sh_dil26</f>
        <v>7.453</v>
      </c>
      <c r="F7440" s="14" t="n">
        <f aca="false">(Sens!E7439+Sens!F7439)/2+dil_gap</f>
        <v>7.4735</v>
      </c>
      <c r="G7440" s="14" t="n">
        <f aca="false">(Sens!F7439+Sens!G7439)/2+dil_gap</f>
        <v>7.5185</v>
      </c>
      <c r="H7440" s="14" t="n">
        <f aca="false">(Sens!G7439+Sens!H7439)/2+dil_gap</f>
        <v>7.5572934950576</v>
      </c>
      <c r="I7440" s="14" t="n">
        <f aca="false">(Sens!H7439+Sens!I7439)/2+dil_gap</f>
        <v>7.58011623627256</v>
      </c>
      <c r="J7440" s="14" t="n">
        <f aca="false">(Sens!I7439+Sens!J7439)/2+dil_gap</f>
        <v>7.59435774739044</v>
      </c>
      <c r="K7440" s="14" t="n">
        <f aca="false">(Sens!J7439+Sens!K7439)/2+dil_gap</f>
        <v>7.61087766509218</v>
      </c>
    </row>
    <row r="7441" customFormat="false" ht="17.15" hidden="false" customHeight="false" outlineLevel="0" collapsed="false">
      <c r="A7441" s="1" t="s">
        <v>964</v>
      </c>
      <c r="B7441" s="0" t="s">
        <v>98</v>
      </c>
      <c r="C7441" s="6" t="n">
        <f aca="false">SUM(Sens!F7431:J7431)</f>
        <v>158.266986385393</v>
      </c>
    </row>
    <row r="7442" customFormat="false" ht="15" hidden="false" customHeight="false" outlineLevel="0" collapsed="false">
      <c r="A7442" s="23" t="s">
        <v>935</v>
      </c>
      <c r="B7442" s="30" t="s">
        <v>98</v>
      </c>
      <c r="C7442" s="24" t="n">
        <f aca="false">Sens!$C$7441-(Sens!F7431+Sens!G7431+Sens!H7431+Sens!I7431+Sens!J7431)</f>
        <v>0</v>
      </c>
      <c r="D7442" s="30"/>
      <c r="E7442" s="30"/>
      <c r="F7442" s="30"/>
      <c r="G7442" s="30"/>
      <c r="H7442" s="30"/>
      <c r="I7442" s="30"/>
      <c r="J7442" s="30"/>
      <c r="K7442" s="30"/>
    </row>
    <row r="7443" customFormat="false" ht="17.15" hidden="false" customHeight="false" outlineLevel="0" collapsed="false">
      <c r="A7443" s="1" t="s">
        <v>929</v>
      </c>
      <c r="B7443" s="1" t="s">
        <v>965</v>
      </c>
      <c r="C7443" s="32" t="str">
        <f aca="false">IF(SUM(Sens!F7434:J7434)&gt;0.05,"需要舉債 "&amp;TEXT(SUM(Sens!F7434:J7434),"0.0")&amp;" 十億美元","不需舉債")&amp;"；"&amp;IF(SUM(Sens!F7433:J7433)&lt;COUNT(Sens!F7433:J7433)*bb_target-0.05,"回購較每年 "&amp;TEXT(bb_target,"0.0")&amp;" 的目標少 "&amp;TEXT(COUNT(Sens!F7433:J7433)*bb_target-SUM(Sens!F7433:J7433),"0.0")&amp;" 十億美元（"&amp;TEXT(COUNTIF(Sens!F7433:J7433,"&lt;"&amp;(bb_target-0.05)),"0")&amp;" 年減少）","回購不減")</f>
        <v>需要舉債 25.2 十億美元；回購較每年 22.3 的目標少 58.8 十億美元（3 年減少）</v>
      </c>
    </row>
    <row r="7444" customFormat="false" ht="17.15" hidden="false" customHeight="false" outlineLevel="0" collapsed="false">
      <c r="A7444" s="3" t="s">
        <v>1428</v>
      </c>
    </row>
    <row r="7445" customFormat="false" ht="15" hidden="false" customHeight="false" outlineLevel="0" collapsed="false">
      <c r="A7445" s="4" t="s">
        <v>43</v>
      </c>
      <c r="B7445" s="4" t="s">
        <v>65</v>
      </c>
      <c r="C7445" s="20" t="s">
        <v>788</v>
      </c>
      <c r="D7445" s="20" t="s">
        <v>789</v>
      </c>
      <c r="E7445" s="20" t="s">
        <v>790</v>
      </c>
      <c r="F7445" s="20" t="s">
        <v>791</v>
      </c>
      <c r="G7445" s="20" t="s">
        <v>792</v>
      </c>
      <c r="H7445" s="20" t="s">
        <v>793</v>
      </c>
      <c r="I7445" s="20" t="s">
        <v>794</v>
      </c>
      <c r="J7445" s="20" t="s">
        <v>795</v>
      </c>
      <c r="K7445" s="20" t="s">
        <v>796</v>
      </c>
      <c r="L7445" s="4" t="s">
        <v>47</v>
      </c>
    </row>
    <row r="7446" customFormat="false" ht="15" hidden="false" customHeight="false" outlineLevel="0" collapsed="false">
      <c r="A7446" s="1" t="s">
        <v>1042</v>
      </c>
      <c r="B7446" s="1" t="s">
        <v>235</v>
      </c>
      <c r="F7446" s="36" t="n">
        <f aca="false">Sens!F7302-base_fy-mid_yr</f>
        <v>0.5</v>
      </c>
      <c r="G7446" s="36" t="n">
        <f aca="false">Sens!G7302-base_fy-mid_yr</f>
        <v>1.5</v>
      </c>
      <c r="H7446" s="36" t="n">
        <f aca="false">Sens!H7302-base_fy-mid_yr</f>
        <v>2.5</v>
      </c>
      <c r="I7446" s="36" t="n">
        <f aca="false">Sens!I7302-base_fy-mid_yr</f>
        <v>3.5</v>
      </c>
      <c r="J7446" s="36" t="n">
        <f aca="false">Sens!J7302-base_fy-mid_yr</f>
        <v>4.5</v>
      </c>
      <c r="K7446" s="36" t="n">
        <f aca="false">Sens!K7302-base_fy-mid_yr</f>
        <v>5.5</v>
      </c>
    </row>
    <row r="7447" customFormat="false" ht="15" hidden="false" customHeight="false" outlineLevel="0" collapsed="false">
      <c r="A7447" s="1" t="s">
        <v>1043</v>
      </c>
      <c r="B7447" s="0" t="s">
        <v>185</v>
      </c>
      <c r="F7447" s="14" t="n">
        <f aca="false">1/(1+wacc)^Sens!F7446</f>
        <v>0.952193373608246</v>
      </c>
      <c r="G7447" s="14" t="n">
        <f aca="false">1/(1+wacc)^Sens!G7446</f>
        <v>0.863327280626589</v>
      </c>
      <c r="H7447" s="14" t="n">
        <f aca="false">1/(1+wacc)^Sens!H7446</f>
        <v>0.782754862754115</v>
      </c>
      <c r="I7447" s="14" t="n">
        <f aca="false">1/(1+wacc)^Sens!I7446</f>
        <v>0.709702089711011</v>
      </c>
      <c r="J7447" s="14" t="n">
        <f aca="false">1/(1+wacc)^Sens!J7446</f>
        <v>0.643467169744551</v>
      </c>
      <c r="K7447" s="14" t="n">
        <f aca="false">1/(1+wacc)^Sens!K7446</f>
        <v>0.583413807767797</v>
      </c>
    </row>
    <row r="7448" customFormat="false" ht="17.15" hidden="false" customHeight="false" outlineLevel="0" collapsed="false">
      <c r="A7448" s="1" t="s">
        <v>1044</v>
      </c>
      <c r="B7448" s="0" t="s">
        <v>98</v>
      </c>
      <c r="F7448" s="6" t="n">
        <f aca="false">Sens!F7422-Sens!F7420-Sens!F7425+Sens!F7406*(1-tax_f)</f>
        <v>2.83605367218399</v>
      </c>
      <c r="G7448" s="6" t="n">
        <f aca="false">Sens!G7422-Sens!G7420-Sens!G7425+Sens!G7406*(1-tax_f)</f>
        <v>35.2656358232604</v>
      </c>
      <c r="H7448" s="6" t="n">
        <f aca="false">Sens!H7422-Sens!H7420-Sens!H7425+Sens!H7406*(1-tax_f)</f>
        <v>71.7109145985464</v>
      </c>
      <c r="I7448" s="6" t="n">
        <f aca="false">Sens!I7422-Sens!I7420-Sens!I7425+Sens!I7406*(1-tax_f)</f>
        <v>139.288269227748</v>
      </c>
      <c r="J7448" s="6" t="n">
        <f aca="false">Sens!J7422-Sens!J7420-Sens!J7425+Sens!J7406*(1-tax_f)</f>
        <v>212.506343780705</v>
      </c>
      <c r="K7448" s="6" t="n">
        <f aca="false">Sens!K7422-Sens!K7420-Sens!K7425+Sens!K7406*(1-tax_f)</f>
        <v>247.576913728942</v>
      </c>
      <c r="L7448" s="1" t="s">
        <v>1045</v>
      </c>
    </row>
    <row r="7449" customFormat="false" ht="15" hidden="false" customHeight="false" outlineLevel="0" collapsed="false">
      <c r="A7449" s="1" t="s">
        <v>1046</v>
      </c>
      <c r="B7449" s="0" t="s">
        <v>98</v>
      </c>
      <c r="F7449" s="6" t="n">
        <f aca="false">Sens!F7448*Sens!F7447</f>
        <v>2.70047151385092</v>
      </c>
      <c r="G7449" s="6" t="n">
        <f aca="false">Sens!G7448*Sens!G7447</f>
        <v>30.445785474863</v>
      </c>
      <c r="H7449" s="6" t="n">
        <f aca="false">Sens!H7448*Sens!H7447</f>
        <v>56.1320671145573</v>
      </c>
      <c r="I7449" s="6" t="n">
        <f aca="false">Sens!I7448*Sens!I7447</f>
        <v>98.8531757431625</v>
      </c>
      <c r="J7449" s="6" t="n">
        <f aca="false">Sens!J7448*Sens!J7447</f>
        <v>136.740855585333</v>
      </c>
      <c r="K7449" s="6" t="n">
        <f aca="false">Sens!K7448*Sens!K7447</f>
        <v>144.439789954001</v>
      </c>
    </row>
    <row r="7450" customFormat="false" ht="17.15" hidden="false" customHeight="false" outlineLevel="0" collapsed="false">
      <c r="A7450" s="1" t="s">
        <v>1047</v>
      </c>
      <c r="B7450" s="0" t="s">
        <v>98</v>
      </c>
      <c r="C7450" s="6" t="n">
        <f aca="false">SUM(Sens!F7449:K7449)</f>
        <v>469.312145385768</v>
      </c>
    </row>
    <row r="7451" customFormat="false" ht="17.15" hidden="false" customHeight="false" outlineLevel="0" collapsed="false">
      <c r="A7451" s="1" t="s">
        <v>1048</v>
      </c>
      <c r="B7451" s="0" t="s">
        <v>98</v>
      </c>
      <c r="C7451" s="6" t="n">
        <f aca="false">Sens!K7392*(1+g_tv)*(1-tax_f)</f>
        <v>255.908398138141</v>
      </c>
    </row>
    <row r="7452" customFormat="false" ht="17.15" hidden="false" customHeight="false" outlineLevel="0" collapsed="false">
      <c r="A7452" s="1" t="s">
        <v>1049</v>
      </c>
      <c r="B7452" s="0" t="s">
        <v>98</v>
      </c>
      <c r="C7452" s="6" t="n">
        <f aca="false">Sens!$C$7451*(1-g_tv/(wacc+ronic_prem))</f>
        <v>181.324484057534</v>
      </c>
    </row>
    <row r="7453" customFormat="false" ht="17.15" hidden="false" customHeight="false" outlineLevel="0" collapsed="false">
      <c r="A7453" s="1" t="s">
        <v>1050</v>
      </c>
      <c r="B7453" s="0" t="s">
        <v>98</v>
      </c>
      <c r="C7453" s="6" t="n">
        <f aca="false">Sens!$C$7452/(wacc-g_tv)</f>
        <v>2486.1304693536</v>
      </c>
    </row>
    <row r="7454" customFormat="false" ht="15" hidden="false" customHeight="false" outlineLevel="0" collapsed="false">
      <c r="A7454" s="1" t="s">
        <v>1051</v>
      </c>
      <c r="B7454" s="0" t="s">
        <v>98</v>
      </c>
      <c r="C7454" s="6" t="n">
        <f aca="false">Sens!$C$7453/(1+wacc)^(Sens!K7446+mid_yr)</f>
        <v>1381.10206460018</v>
      </c>
    </row>
    <row r="7455" customFormat="false" ht="17.15" hidden="false" customHeight="false" outlineLevel="0" collapsed="false">
      <c r="A7455" s="0" t="s">
        <v>972</v>
      </c>
      <c r="B7455" s="0" t="s">
        <v>98</v>
      </c>
      <c r="C7455" s="6" t="n">
        <f aca="false">Sens!$C$7450+Sens!$C$7454</f>
        <v>1850.41420998595</v>
      </c>
    </row>
    <row r="7456" customFormat="false" ht="15" hidden="false" customHeight="false" outlineLevel="0" collapsed="false">
      <c r="A7456" s="1" t="s">
        <v>973</v>
      </c>
      <c r="B7456" s="0" t="s">
        <v>129</v>
      </c>
      <c r="C7456" s="7" t="n">
        <f aca="false">Sens!$C$7454/Sens!$C$7455</f>
        <v>0.746374545302842</v>
      </c>
    </row>
    <row r="7457" customFormat="false" ht="17.15" hidden="false" customHeight="false" outlineLevel="0" collapsed="false">
      <c r="A7457" s="1" t="s">
        <v>1052</v>
      </c>
      <c r="B7457" s="0" t="s">
        <v>98</v>
      </c>
      <c r="C7457" s="6" t="n">
        <f aca="false">Sens!$C$7455+Sens!E7437-Sens!E7426+oai_v</f>
        <v>1984.92720998595</v>
      </c>
    </row>
    <row r="7458" customFormat="false" ht="17.15" hidden="false" customHeight="false" outlineLevel="0" collapsed="false">
      <c r="A7458" s="0" t="s">
        <v>980</v>
      </c>
      <c r="B7458" s="0" t="s">
        <v>75</v>
      </c>
      <c r="C7458" s="5" t="n">
        <f aca="false">Sens!$C$7457/sh_dil26</f>
        <v>266.325937204609</v>
      </c>
    </row>
    <row r="7459" customFormat="false" ht="15" hidden="false" customHeight="false" outlineLevel="0" collapsed="false">
      <c r="A7459" s="1" t="s">
        <v>1053</v>
      </c>
      <c r="B7459" s="0" t="s">
        <v>75</v>
      </c>
      <c r="C7459" s="8" t="n">
        <f aca="false">dps_27+Sens!G7429*roll_div_q/q_per_yr</f>
        <v>4.8895</v>
      </c>
    </row>
    <row r="7460" customFormat="false" ht="17.15" hidden="false" customHeight="false" outlineLevel="0" collapsed="false">
      <c r="A7460" s="0" t="s">
        <v>1054</v>
      </c>
      <c r="B7460" s="0" t="s">
        <v>75</v>
      </c>
      <c r="C7460" s="5" t="n">
        <f aca="false">Sens!$C$7458*(1+wacc)^t_roll-Sens!$C$7459</f>
        <v>298.384737191624</v>
      </c>
    </row>
    <row r="7461" customFormat="false" ht="17.15" hidden="false" customHeight="false" outlineLevel="0" collapsed="false">
      <c r="A7461" s="1" t="s">
        <v>1055</v>
      </c>
      <c r="B7461" s="0" t="s">
        <v>129</v>
      </c>
      <c r="F7461" s="7" t="n">
        <f aca="false">Sens!F7418/(Sens!F7363-Sens!F7319)</f>
        <v>0.068329151883778</v>
      </c>
      <c r="G7461" s="7" t="n">
        <f aca="false">Sens!G7418/(Sens!G7363-Sens!G7319)</f>
        <v>0.0659205451160637</v>
      </c>
      <c r="H7461" s="7" t="n">
        <f aca="false">Sens!H7418/(Sens!H7363-Sens!H7319)</f>
        <v>0.0647054978069228</v>
      </c>
      <c r="I7461" s="7" t="n">
        <f aca="false">Sens!I7418/(Sens!I7363-Sens!I7319)</f>
        <v>0.0645569258482102</v>
      </c>
      <c r="J7461" s="7" t="n">
        <f aca="false">Sens!J7418/(Sens!J7363-Sens!J7319)</f>
        <v>0.065256038989916</v>
      </c>
      <c r="K7461" s="7" t="n">
        <f aca="false">Sens!K7418/(Sens!K7363-Sens!K7319)</f>
        <v>0.0665502406837876</v>
      </c>
    </row>
    <row r="7462" customFormat="false" ht="17.15" hidden="false" customHeight="false" outlineLevel="0" collapsed="false">
      <c r="A7462" s="0" t="s">
        <v>1056</v>
      </c>
      <c r="B7462" s="0" t="s">
        <v>98</v>
      </c>
      <c r="F7462" s="6" t="n">
        <f aca="false">Sens!F7348*(al_m365+Sens!F7461+sbc_r)</f>
        <v>84.3271806508015</v>
      </c>
      <c r="G7462" s="6" t="n">
        <f aca="false">Sens!G7348*(al_m365+Sens!G7461+sbc_r)</f>
        <v>95.1176471532214</v>
      </c>
      <c r="H7462" s="6" t="n">
        <f aca="false">Sens!H7348*(al_m365+Sens!H7461+sbc_r)</f>
        <v>106.069613780069</v>
      </c>
      <c r="I7462" s="6" t="n">
        <f aca="false">Sens!I7348*(al_m365+Sens!I7461+sbc_r)</f>
        <v>116.405456734813</v>
      </c>
      <c r="J7462" s="6" t="n">
        <f aca="false">Sens!J7348*(al_m365+Sens!J7461+sbc_r)</f>
        <v>125.935819862358</v>
      </c>
      <c r="K7462" s="6" t="n">
        <f aca="false">Sens!K7348*(al_m365+Sens!K7461+sbc_r)</f>
        <v>135.069217298848</v>
      </c>
      <c r="L7462" s="11" t="s">
        <v>1057</v>
      </c>
    </row>
    <row r="7463" customFormat="false" ht="17.15" hidden="false" customHeight="false" outlineLevel="0" collapsed="false">
      <c r="A7463" s="0" t="s">
        <v>1058</v>
      </c>
      <c r="B7463" s="0" t="s">
        <v>98</v>
      </c>
      <c r="F7463" s="6" t="n">
        <f aca="false">Sens!F7349*(al_lic+Sens!F7461+sbc_r)</f>
        <v>33.4344404225597</v>
      </c>
      <c r="G7463" s="6" t="n">
        <f aca="false">Sens!G7349*(al_lic+Sens!G7461+sbc_r)</f>
        <v>34.7521036934892</v>
      </c>
      <c r="H7463" s="6" t="n">
        <f aca="false">Sens!H7349*(al_lic+Sens!H7461+sbc_r)</f>
        <v>35.978225335444</v>
      </c>
      <c r="I7463" s="6" t="n">
        <f aca="false">Sens!I7349*(al_lic+Sens!I7461+sbc_r)</f>
        <v>37.0932749480551</v>
      </c>
      <c r="J7463" s="6" t="n">
        <f aca="false">Sens!J7349*(al_lic+Sens!J7461+sbc_r)</f>
        <v>38.0735642100015</v>
      </c>
      <c r="K7463" s="6" t="n">
        <f aca="false">Sens!K7349*(al_lic+Sens!K7461+sbc_r)</f>
        <v>38.8939823530902</v>
      </c>
    </row>
    <row r="7464" customFormat="false" ht="17.15" hidden="false" customHeight="false" outlineLevel="0" collapsed="false">
      <c r="A7464" s="0" t="s">
        <v>1059</v>
      </c>
      <c r="B7464" s="0" t="s">
        <v>98</v>
      </c>
      <c r="F7464" s="6" t="n">
        <f aca="false">Sens!F7351*(al_ind+Sens!F7461+sbc_r)</f>
        <v>9.07058671601677</v>
      </c>
      <c r="G7464" s="6" t="n">
        <f aca="false">Sens!G7351*(al_ind+Sens!G7461+sbc_r)</f>
        <v>9.85641090383023</v>
      </c>
      <c r="H7464" s="6" t="n">
        <f aca="false">Sens!H7351*(al_ind+Sens!H7461+sbc_r)</f>
        <v>10.6850104191211</v>
      </c>
      <c r="I7464" s="6" t="n">
        <f aca="false">Sens!I7351*(al_ind+Sens!I7461+sbc_r)</f>
        <v>11.5522307012615</v>
      </c>
      <c r="J7464" s="6" t="n">
        <f aca="false">Sens!J7351*(al_ind+Sens!J7461+sbc_r)</f>
        <v>12.4492861376461</v>
      </c>
      <c r="K7464" s="6" t="n">
        <f aca="false">Sens!K7351*(al_ind+Sens!K7461+sbc_r)</f>
        <v>13.3635530214915</v>
      </c>
    </row>
    <row r="7465" customFormat="false" ht="17.15" hidden="false" customHeight="false" outlineLevel="0" collapsed="false">
      <c r="A7465" s="0" t="s">
        <v>1060</v>
      </c>
      <c r="B7465" s="0" t="s">
        <v>98</v>
      </c>
      <c r="F7465" s="6" t="n">
        <f aca="false">Sens!F7353*(al_fro+Sens!F7461+sbc_r)</f>
        <v>3.5702147764485</v>
      </c>
      <c r="G7465" s="6" t="n">
        <f aca="false">Sens!G7353*(al_fro+Sens!G7461+sbc_r)</f>
        <v>3.78427905956429</v>
      </c>
      <c r="H7465" s="6" t="n">
        <f aca="false">Sens!H7353*(al_fro+Sens!H7461+sbc_r)</f>
        <v>4.0264776476941</v>
      </c>
      <c r="I7465" s="6" t="n">
        <f aca="false">Sens!I7353*(al_fro+Sens!I7461+sbc_r)</f>
        <v>4.29927009693762</v>
      </c>
      <c r="J7465" s="6" t="n">
        <f aca="false">Sens!J7353*(al_fro+Sens!J7461+sbc_r)</f>
        <v>4.60422443888007</v>
      </c>
      <c r="K7465" s="6" t="n">
        <f aca="false">Sens!K7353*(al_fro+Sens!K7461+sbc_r)</f>
        <v>4.94235546773727</v>
      </c>
    </row>
    <row r="7466" customFormat="false" ht="17.15" hidden="false" customHeight="false" outlineLevel="0" collapsed="false">
      <c r="A7466" s="0" t="s">
        <v>1061</v>
      </c>
      <c r="B7466" s="0" t="s">
        <v>98</v>
      </c>
      <c r="F7466" s="6" t="n">
        <f aca="false">Sens!F7356*(al_srch+Sens!F7461+sbc_r)</f>
        <v>11.2023056465888</v>
      </c>
      <c r="G7466" s="6" t="n">
        <f aca="false">Sens!G7356*(al_srch+Sens!G7461+sbc_r)</f>
        <v>12.2876650653215</v>
      </c>
      <c r="H7466" s="6" t="n">
        <f aca="false">Sens!H7356*(al_srch+Sens!H7461+sbc_r)</f>
        <v>13.4154182973964</v>
      </c>
      <c r="I7466" s="6" t="n">
        <f aca="false">Sens!I7356*(al_srch+Sens!I7461+sbc_r)</f>
        <v>14.5734029081386</v>
      </c>
      <c r="J7466" s="6" t="n">
        <f aca="false">Sens!J7356*(al_srch+Sens!J7461+sbc_r)</f>
        <v>15.7427018911564</v>
      </c>
      <c r="K7466" s="6" t="n">
        <f aca="false">Sens!K7356*(al_srch+Sens!K7461+sbc_r)</f>
        <v>16.8988349290027</v>
      </c>
    </row>
    <row r="7467" customFormat="false" ht="17.15" hidden="false" customHeight="false" outlineLevel="0" collapsed="false">
      <c r="A7467" s="0" t="s">
        <v>1062</v>
      </c>
      <c r="B7467" s="0" t="s">
        <v>98</v>
      </c>
      <c r="F7467" s="6" t="n">
        <f aca="false">Sens!F7325-Sens!F7326+Sens!F7406</f>
        <v>48.1176590675623</v>
      </c>
      <c r="G7467" s="6" t="n">
        <f aca="false">Sens!G7325-Sens!G7326+Sens!G7406</f>
        <v>77.6295386726153</v>
      </c>
      <c r="H7467" s="6" t="n">
        <f aca="false">Sens!H7325-Sens!H7326+Sens!H7406</f>
        <v>104.102796737424</v>
      </c>
      <c r="I7467" s="6" t="n">
        <f aca="false">Sens!I7325-Sens!I7326+Sens!I7406</f>
        <v>134.372034153617</v>
      </c>
      <c r="J7467" s="6" t="n">
        <f aca="false">Sens!J7325-Sens!J7326+Sens!J7406</f>
        <v>155.733491917746</v>
      </c>
      <c r="K7467" s="6" t="n">
        <f aca="false">Sens!K7325-Sens!K7326+Sens!K7406</f>
        <v>169.143169710034</v>
      </c>
    </row>
    <row r="7468" customFormat="false" ht="17.15" hidden="false" customHeight="false" outlineLevel="0" collapsed="false">
      <c r="A7468" s="0" t="s">
        <v>1063</v>
      </c>
      <c r="B7468" s="0" t="s">
        <v>98</v>
      </c>
      <c r="F7468" s="6" t="n">
        <f aca="false">Sens!F7385+Sens!F7406+Sens!F7336+Sens!F7461*(Sens!F7355-Sens!F7319)+sbc_r*Sens!F7355</f>
        <v>239.344573078234</v>
      </c>
      <c r="G7468" s="6" t="n">
        <f aca="false">Sens!G7385+Sens!G7406+Sens!G7336+Sens!G7461*(Sens!G7355-Sens!G7319)+sbc_r*Sens!G7355</f>
        <v>294.059048322584</v>
      </c>
      <c r="H7468" s="6" t="n">
        <f aca="false">Sens!H7385+Sens!H7406+Sens!H7336+Sens!H7461*(Sens!H7355-Sens!H7319)+sbc_r*Sens!H7355</f>
        <v>346.016460707215</v>
      </c>
      <c r="I7468" s="6" t="n">
        <f aca="false">Sens!I7385+Sens!I7406+Sens!I7336+Sens!I7461*(Sens!I7355-Sens!I7319)+sbc_r*Sens!I7355</f>
        <v>401.067804150215</v>
      </c>
      <c r="J7468" s="6" t="n">
        <f aca="false">Sens!J7385+Sens!J7406+Sens!J7336+Sens!J7461*(Sens!J7355-Sens!J7319)+sbc_r*Sens!J7355</f>
        <v>445.224028487163</v>
      </c>
      <c r="K7468" s="6" t="n">
        <f aca="false">Sens!K7385+Sens!K7406+Sens!K7336+Sens!K7461*(Sens!K7355-Sens!K7319)+sbc_r*Sens!K7355</f>
        <v>479.128214957442</v>
      </c>
    </row>
    <row r="7469" customFormat="false" ht="17.15" hidden="false" customHeight="false" outlineLevel="0" collapsed="false">
      <c r="A7469" s="0" t="s">
        <v>1064</v>
      </c>
      <c r="B7469" s="0" t="s">
        <v>98</v>
      </c>
      <c r="F7469" s="6" t="n">
        <f aca="false">Sens!F7468-Sens!F7462-Sens!F7463-Sens!F7464-Sens!F7465-Sens!F7467</f>
        <v>60.8244914448456</v>
      </c>
      <c r="G7469" s="6" t="n">
        <f aca="false">Sens!G7468-Sens!G7462-Sens!G7463-Sens!G7464-Sens!G7465-Sens!G7467</f>
        <v>72.9190688398632</v>
      </c>
      <c r="H7469" s="6" t="n">
        <f aca="false">Sens!H7468-Sens!H7462-Sens!H7463-Sens!H7464-Sens!H7465-Sens!H7467</f>
        <v>85.1543367874631</v>
      </c>
      <c r="I7469" s="6" t="n">
        <f aca="false">Sens!I7468-Sens!I7462-Sens!I7463-Sens!I7464-Sens!I7465-Sens!I7467</f>
        <v>97.3455375155313</v>
      </c>
      <c r="J7469" s="6" t="n">
        <f aca="false">Sens!J7468-Sens!J7462-Sens!J7463-Sens!J7464-Sens!J7465-Sens!J7467</f>
        <v>108.427641920531</v>
      </c>
      <c r="K7469" s="6" t="n">
        <f aca="false">Sens!K7468-Sens!K7462-Sens!K7463-Sens!K7464-Sens!K7465-Sens!K7467</f>
        <v>117.715937106241</v>
      </c>
    </row>
    <row r="7470" customFormat="false" ht="17.15" hidden="false" customHeight="false" outlineLevel="0" collapsed="false">
      <c r="A7470" s="0" t="s">
        <v>1065</v>
      </c>
      <c r="B7470" s="0" t="s">
        <v>98</v>
      </c>
      <c r="F7470" s="6" t="n">
        <f aca="false">Sens!F7387+Sens!F7461*Sens!F7362+sbc_r*Sens!F7362</f>
        <v>26.1816811554562</v>
      </c>
      <c r="G7470" s="6" t="n">
        <f aca="false">Sens!G7387+Sens!G7461*Sens!G7362+sbc_r*Sens!G7362</f>
        <v>26.8173246244019</v>
      </c>
      <c r="H7470" s="6" t="n">
        <f aca="false">Sens!H7387+Sens!H7461*Sens!H7362+sbc_r*Sens!H7362</f>
        <v>27.7121644974774</v>
      </c>
      <c r="I7470" s="6" t="n">
        <f aca="false">Sens!I7387+Sens!I7461*Sens!I7362+sbc_r*Sens!I7362</f>
        <v>28.8351595371547</v>
      </c>
      <c r="J7470" s="6" t="n">
        <f aca="false">Sens!J7387+Sens!J7461*Sens!J7362+sbc_r*Sens!J7362</f>
        <v>30.1545587799284</v>
      </c>
      <c r="K7470" s="6" t="n">
        <f aca="false">Sens!K7387+Sens!K7461*Sens!K7362+sbc_r*Sens!K7362</f>
        <v>31.6397061761445</v>
      </c>
    </row>
    <row r="7471" customFormat="false" ht="17.15" hidden="false" customHeight="false" outlineLevel="0" collapsed="false">
      <c r="A7471" s="0" t="s">
        <v>1066</v>
      </c>
      <c r="B7471" s="0" t="s">
        <v>98</v>
      </c>
      <c r="F7471" s="6" t="n">
        <f aca="false">(Sens!F7470-Sens!F7466)*Sens!F7358/(Sens!F7358+Sens!F7360)</f>
        <v>8.21154775695769</v>
      </c>
      <c r="G7471" s="6" t="n">
        <f aca="false">(Sens!G7470-Sens!G7466)*Sens!G7358/(Sens!G7358+Sens!G7360)</f>
        <v>7.82300208571528</v>
      </c>
      <c r="H7471" s="6" t="n">
        <f aca="false">(Sens!H7470-Sens!H7466)*Sens!H7358/(Sens!H7358+Sens!H7360)</f>
        <v>7.59361611008769</v>
      </c>
      <c r="I7471" s="6" t="n">
        <f aca="false">(Sens!I7470-Sens!I7466)*Sens!I7358/(Sens!I7358+Sens!I7360)</f>
        <v>7.50649266292369</v>
      </c>
      <c r="J7471" s="6" t="n">
        <f aca="false">(Sens!J7470-Sens!J7466)*Sens!J7358/(Sens!J7358+Sens!J7360)</f>
        <v>7.55119467620309</v>
      </c>
      <c r="K7471" s="6" t="n">
        <f aca="false">(Sens!K7470-Sens!K7466)*Sens!K7358/(Sens!K7358+Sens!K7360)</f>
        <v>7.72358408379228</v>
      </c>
    </row>
    <row r="7472" customFormat="false" ht="17.15" hidden="false" customHeight="false" outlineLevel="0" collapsed="false">
      <c r="A7472" s="0" t="s">
        <v>1067</v>
      </c>
      <c r="B7472" s="0" t="s">
        <v>98</v>
      </c>
      <c r="F7472" s="6" t="n">
        <f aca="false">Sens!F7470-Sens!F7466-Sens!F7471</f>
        <v>6.76782775190969</v>
      </c>
      <c r="G7472" s="6" t="n">
        <f aca="false">Sens!G7470-Sens!G7466-Sens!G7471</f>
        <v>6.70665747336505</v>
      </c>
      <c r="H7472" s="6" t="n">
        <f aca="false">Sens!H7470-Sens!H7466-Sens!H7471</f>
        <v>6.70313008999335</v>
      </c>
      <c r="I7472" s="6" t="n">
        <f aca="false">Sens!I7470-Sens!I7466-Sens!I7471</f>
        <v>6.75526396609248</v>
      </c>
      <c r="J7472" s="6" t="n">
        <f aca="false">Sens!J7470-Sens!J7466-Sens!J7471</f>
        <v>6.86066221256897</v>
      </c>
      <c r="K7472" s="6" t="n">
        <f aca="false">Sens!K7470-Sens!K7466-Sens!K7471</f>
        <v>7.01728716334948</v>
      </c>
    </row>
    <row r="7473" customFormat="false" ht="17.15" hidden="false" customHeight="false" outlineLevel="0" collapsed="false">
      <c r="A7473" s="0" t="s">
        <v>1068</v>
      </c>
      <c r="B7473" s="0" t="s">
        <v>98</v>
      </c>
      <c r="F7473" s="6" t="n">
        <f aca="false">Sens!F7467-tax_f*(Sens!F7467-Sens!F7336)-Sens!F7333</f>
        <v>-123.119418425214</v>
      </c>
      <c r="G7473" s="6" t="n">
        <f aca="false">Sens!G7467-tax_f*(Sens!G7467-Sens!G7336)-Sens!G7333</f>
        <v>-109.37120289304</v>
      </c>
      <c r="H7473" s="6" t="n">
        <f aca="false">Sens!H7467-tax_f*(Sens!H7467-Sens!H7336)-Sens!H7333</f>
        <v>-87.2515853218329</v>
      </c>
      <c r="I7473" s="6" t="n">
        <f aca="false">Sens!I7467-tax_f*(Sens!I7467-Sens!I7336)-Sens!I7333</f>
        <v>-33.813633834908</v>
      </c>
      <c r="J7473" s="6" t="n">
        <f aca="false">Sens!J7467-tax_f*(Sens!J7467-Sens!J7336)-Sens!J7333</f>
        <v>25.9090590006396</v>
      </c>
      <c r="K7473" s="6" t="n">
        <f aca="false">Sens!K7467-tax_f*(Sens!K7467-Sens!K7336)-Sens!K7333</f>
        <v>48.2826294869862</v>
      </c>
    </row>
    <row r="7474" customFormat="false" ht="17.15" hidden="false" customHeight="false" outlineLevel="0" collapsed="false">
      <c r="A7474" s="0" t="s">
        <v>1069</v>
      </c>
      <c r="B7474" s="0" t="s">
        <v>98</v>
      </c>
      <c r="F7474" s="6" t="n">
        <f aca="false">Sens!F7473*Sens!F7447</f>
        <v>-117.233494386989</v>
      </c>
      <c r="G7474" s="6" t="n">
        <f aca="false">Sens!G7473*Sens!G7447</f>
        <v>-94.423143172507</v>
      </c>
      <c r="H7474" s="6" t="n">
        <f aca="false">Sens!H7473*Sens!H7447</f>
        <v>-68.2966026936703</v>
      </c>
      <c r="I7474" s="6" t="n">
        <f aca="false">Sens!I7473*Sens!I7447</f>
        <v>-23.9976065933571</v>
      </c>
      <c r="J7474" s="6" t="n">
        <f aca="false">Sens!J7473*Sens!J7447</f>
        <v>16.6716288658862</v>
      </c>
      <c r="K7474" s="6" t="n">
        <f aca="false">Sens!K7473*Sens!K7447</f>
        <v>28.1687527180443</v>
      </c>
    </row>
    <row r="7475" customFormat="false" ht="17.15" hidden="false" customHeight="false" outlineLevel="0" collapsed="false">
      <c r="A7475" s="0" t="s">
        <v>1070</v>
      </c>
      <c r="B7475" s="0" t="s">
        <v>98</v>
      </c>
      <c r="C7475" s="6" t="n">
        <f aca="false">(Sens!K7467-Sens!K7336)*(1-tax_f)*(1+g_tv)*(1-g_tv/(wacc+ronic_prem))/(wacc-g_tv)/(1+wacc)^(Sens!K7446+mid_yr)</f>
        <v>131.211458679461</v>
      </c>
    </row>
    <row r="7476" customFormat="false" ht="17.15" hidden="false" customHeight="false" outlineLevel="0" collapsed="false">
      <c r="A7476" s="1" t="s">
        <v>1071</v>
      </c>
      <c r="B7476" s="0" t="s">
        <v>98</v>
      </c>
      <c r="C7476" s="6" t="n">
        <f aca="false">(SUM(Sens!F7474:K7474)+Sens!$C$7475)*(1+wacc)^t_roll</f>
        <v>-145.642869283386</v>
      </c>
      <c r="L7476" s="11" t="s">
        <v>1072</v>
      </c>
    </row>
    <row r="7477" customFormat="false" ht="17.15" hidden="false" customHeight="false" outlineLevel="0" collapsed="false">
      <c r="A7477" s="1" t="s">
        <v>1073</v>
      </c>
      <c r="B7477" s="0" t="s">
        <v>98</v>
      </c>
      <c r="C7477" s="6" t="n">
        <f aca="false">(w_ntm28*Sens!G7325+(1-w_ntm28)*Sens!H7325)*m_ai</f>
        <v>338.776008390068</v>
      </c>
    </row>
    <row r="7478" customFormat="false" ht="17.15" hidden="false" customHeight="false" outlineLevel="0" collapsed="false">
      <c r="A7478" s="1" t="s">
        <v>1074</v>
      </c>
      <c r="B7478" s="0" t="s">
        <v>98</v>
      </c>
      <c r="C7478" s="6" t="n">
        <f aca="false">(w_ntm28*Sens!G7469+(1-w_ntm28)*Sens!H7469)*m_cloud</f>
        <v>1062.40669727986</v>
      </c>
    </row>
    <row r="7479" customFormat="false" ht="17.15" hidden="false" customHeight="false" outlineLevel="0" collapsed="false">
      <c r="A7479" s="1" t="s">
        <v>1075</v>
      </c>
      <c r="B7479" s="0" t="s">
        <v>98</v>
      </c>
      <c r="C7479" s="6" t="n">
        <f aca="false">(w_ntm28*Sens!G7462+(1-w_ntm28)*Sens!H7462)*m_sw</f>
        <v>1065.5094557459</v>
      </c>
    </row>
    <row r="7480" customFormat="false" ht="17.15" hidden="false" customHeight="false" outlineLevel="0" collapsed="false">
      <c r="A7480" s="1" t="s">
        <v>1076</v>
      </c>
      <c r="B7480" s="0" t="s">
        <v>98</v>
      </c>
      <c r="C7480" s="6" t="n">
        <f aca="false">(w_ntm28*Sens!G7463+(1-w_ntm28)*Sens!H7463)*m_sw</f>
        <v>379.603732000662</v>
      </c>
    </row>
    <row r="7481" customFormat="false" ht="17.15" hidden="false" customHeight="false" outlineLevel="0" collapsed="false">
      <c r="A7481" s="1" t="s">
        <v>1077</v>
      </c>
      <c r="B7481" s="0" t="s">
        <v>98</v>
      </c>
      <c r="C7481" s="6" t="n">
        <f aca="false">(w_ntm28*Sens!G7464+(1-w_ntm28)*Sens!H7464)*m_sw</f>
        <v>109.342298644344</v>
      </c>
    </row>
    <row r="7482" customFormat="false" ht="17.15" hidden="false" customHeight="false" outlineLevel="0" collapsed="false">
      <c r="A7482" s="1" t="s">
        <v>1078</v>
      </c>
      <c r="B7482" s="0" t="s">
        <v>98</v>
      </c>
      <c r="C7482" s="6" t="n">
        <f aca="false">(w_ntm28*Sens!G7465+(1-w_ntm28)*Sens!H7465)*m_sw</f>
        <v>41.715851872644</v>
      </c>
    </row>
    <row r="7483" customFormat="false" ht="17.15" hidden="false" customHeight="false" outlineLevel="0" collapsed="false">
      <c r="A7483" s="1" t="s">
        <v>1079</v>
      </c>
      <c r="B7483" s="0" t="s">
        <v>98</v>
      </c>
      <c r="C7483" s="6" t="n">
        <f aca="false">(w_ntm28*Sens!G7466+(1-w_ntm28)*Sens!H7466)*m_ads</f>
        <v>115.262031948958</v>
      </c>
    </row>
    <row r="7484" customFormat="false" ht="17.15" hidden="false" customHeight="false" outlineLevel="0" collapsed="false">
      <c r="A7484" s="1" t="s">
        <v>1080</v>
      </c>
      <c r="B7484" s="0" t="s">
        <v>98</v>
      </c>
      <c r="C7484" s="6" t="n">
        <f aca="false">(w_ntm28*Sens!G7471+(1-w_ntm28)*Sens!H7471)*m_game</f>
        <v>97.8679051236338</v>
      </c>
    </row>
    <row r="7485" customFormat="false" ht="17.15" hidden="false" customHeight="false" outlineLevel="0" collapsed="false">
      <c r="A7485" s="1" t="s">
        <v>1081</v>
      </c>
      <c r="B7485" s="0" t="s">
        <v>98</v>
      </c>
      <c r="C7485" s="6" t="n">
        <f aca="false">(w_ntm28*Sens!G7472+(1-w_ntm28)*Sens!H7472)*m_pc</f>
        <v>97.0288326368201</v>
      </c>
    </row>
    <row r="7486" customFormat="false" ht="17.15" hidden="false" customHeight="false" outlineLevel="0" collapsed="false">
      <c r="A7486" s="1" t="s">
        <v>1082</v>
      </c>
      <c r="B7486" s="0" t="s">
        <v>98</v>
      </c>
      <c r="C7486" s="6" t="n">
        <f aca="false">Sens!$C$7476+Sens!$C$7478+Sens!$C$7479+Sens!$C$7480+Sens!$C$7481+Sens!$C$7482+Sens!$C$7483+Sens!$C$7484+Sens!$C$7485</f>
        <v>2823.09393596944</v>
      </c>
    </row>
    <row r="7487" customFormat="false" ht="17.15" hidden="false" customHeight="false" outlineLevel="0" collapsed="false">
      <c r="A7487" s="1" t="s">
        <v>1000</v>
      </c>
      <c r="B7487" s="0" t="s">
        <v>98</v>
      </c>
      <c r="C7487" s="6" t="n">
        <f aca="false">Sens!F7437+oai_v-Sens!F7426</f>
        <v>107.869246771083</v>
      </c>
      <c r="L7487" s="1" t="s">
        <v>1083</v>
      </c>
    </row>
    <row r="7488" customFormat="false" ht="15" hidden="false" customHeight="false" outlineLevel="0" collapsed="false">
      <c r="A7488" s="1" t="s">
        <v>1001</v>
      </c>
      <c r="B7488" s="0" t="s">
        <v>75</v>
      </c>
      <c r="C7488" s="5" t="n">
        <f aca="false">(Sens!$C$7486+Sens!$C$7487)/Sens!F7439</f>
        <v>392.259526598035</v>
      </c>
    </row>
    <row r="7489" customFormat="false" ht="17.15" hidden="false" customHeight="false" outlineLevel="0" collapsed="false">
      <c r="A7489" s="1" t="s">
        <v>1084</v>
      </c>
      <c r="B7489" s="0" t="s">
        <v>75</v>
      </c>
      <c r="C7489" s="5" t="n">
        <f aca="false">w_dcf*Sens!$C$7460+(1-w_dcf)*Sens!$C$7488</f>
        <v>345.32213189483</v>
      </c>
    </row>
    <row r="7490" customFormat="false" ht="17.15" hidden="false" customHeight="false" outlineLevel="0" collapsed="false">
      <c r="A7490" s="3" t="s">
        <v>1429</v>
      </c>
    </row>
    <row r="7491" customFormat="false" ht="15" hidden="false" customHeight="false" outlineLevel="0" collapsed="false">
      <c r="A7491" s="4" t="s">
        <v>43</v>
      </c>
      <c r="B7491" s="4" t="s">
        <v>65</v>
      </c>
      <c r="C7491" s="20" t="s">
        <v>788</v>
      </c>
      <c r="D7491" s="20" t="s">
        <v>789</v>
      </c>
      <c r="E7491" s="20" t="s">
        <v>790</v>
      </c>
      <c r="F7491" s="20" t="s">
        <v>791</v>
      </c>
      <c r="G7491" s="20" t="s">
        <v>792</v>
      </c>
      <c r="H7491" s="20" t="s">
        <v>793</v>
      </c>
      <c r="I7491" s="20" t="s">
        <v>794</v>
      </c>
      <c r="J7491" s="20" t="s">
        <v>795</v>
      </c>
      <c r="K7491" s="20" t="s">
        <v>796</v>
      </c>
      <c r="L7491" s="4" t="s">
        <v>47</v>
      </c>
    </row>
    <row r="7492" customFormat="false" ht="17.15" hidden="false" customHeight="false" outlineLevel="0" collapsed="false">
      <c r="A7492" s="1" t="s">
        <v>797</v>
      </c>
      <c r="B7492" s="1" t="s">
        <v>235</v>
      </c>
      <c r="C7492" s="28" t="n">
        <v>2024</v>
      </c>
      <c r="D7492" s="28" t="n">
        <v>2025</v>
      </c>
      <c r="E7492" s="28" t="n">
        <v>2026</v>
      </c>
      <c r="F7492" s="28" t="n">
        <v>2027</v>
      </c>
      <c r="G7492" s="28" t="n">
        <v>2028</v>
      </c>
      <c r="H7492" s="28" t="n">
        <v>2029</v>
      </c>
      <c r="I7492" s="28" t="n">
        <v>2030</v>
      </c>
      <c r="J7492" s="28" t="n">
        <v>2031</v>
      </c>
      <c r="K7492" s="28" t="n">
        <v>2032</v>
      </c>
    </row>
    <row r="7493" customFormat="false" ht="17.15" hidden="false" customHeight="false" outlineLevel="0" collapsed="false">
      <c r="A7493" s="1" t="s">
        <v>798</v>
      </c>
      <c r="B7493" s="0" t="s">
        <v>392</v>
      </c>
      <c r="F7493" s="29" t="n">
        <f aca="false">pace</f>
        <v>2527.2</v>
      </c>
      <c r="G7493" s="29" t="n">
        <f aca="false">pace</f>
        <v>2527.2</v>
      </c>
      <c r="H7493" s="29" t="n">
        <f aca="false">pace</f>
        <v>2527.2</v>
      </c>
      <c r="I7493" s="29" t="n">
        <f aca="false">pace+(g_tv*Sens!H7494-pace)*MIN(1,(Sens!I7492-pace_y0)/(pace_y1-pace_y0))</f>
        <v>1793.116</v>
      </c>
      <c r="J7493" s="29" t="n">
        <f aca="false">pace+(g_tv*Sens!H7494-pace)*MIN(1,(Sens!J7492-pace_y0)/(pace_y1-pace_y0))</f>
        <v>1059.032</v>
      </c>
      <c r="K7493" s="29" t="n">
        <f aca="false">pace+(g_tv*Sens!H7494-pace)*MIN(1,(Sens!K7492-pace_y0)/(pace_y1-pace_y0))</f>
        <v>324.948</v>
      </c>
      <c r="L7493" s="11" t="s">
        <v>799</v>
      </c>
    </row>
    <row r="7494" customFormat="false" ht="17.15" hidden="false" customHeight="false" outlineLevel="0" collapsed="false">
      <c r="A7494" s="1" t="s">
        <v>800</v>
      </c>
      <c r="B7494" s="0" t="s">
        <v>392</v>
      </c>
      <c r="C7494" s="29" t="n">
        <f aca="false">mw_ext_24</f>
        <v>640</v>
      </c>
      <c r="D7494" s="29" t="n">
        <f aca="false">mw_ext_25</f>
        <v>1630</v>
      </c>
      <c r="E7494" s="29" t="n">
        <f aca="false">mw_ext_26</f>
        <v>3250</v>
      </c>
      <c r="F7494" s="29" t="n">
        <f aca="false">Sens!E7494+Sens!F7493</f>
        <v>5777.2</v>
      </c>
      <c r="G7494" s="29" t="n">
        <f aca="false">Sens!F7494+Sens!G7493</f>
        <v>8304.4</v>
      </c>
      <c r="H7494" s="29" t="n">
        <f aca="false">Sens!G7494+Sens!H7493</f>
        <v>10831.6</v>
      </c>
      <c r="I7494" s="29" t="n">
        <f aca="false">Sens!H7494+Sens!I7493</f>
        <v>12624.716</v>
      </c>
      <c r="J7494" s="29" t="n">
        <f aca="false">Sens!I7494+Sens!J7493</f>
        <v>13683.748</v>
      </c>
      <c r="K7494" s="29" t="n">
        <f aca="false">Sens!J7494+Sens!K7493</f>
        <v>14008.696</v>
      </c>
      <c r="L7494" s="1" t="s">
        <v>801</v>
      </c>
    </row>
    <row r="7495" customFormat="false" ht="17.15" hidden="false" customHeight="false" outlineLevel="0" collapsed="false">
      <c r="A7495" s="1" t="s">
        <v>802</v>
      </c>
      <c r="B7495" s="0" t="s">
        <v>392</v>
      </c>
      <c r="C7495" s="29" t="n">
        <f aca="false">rent_ext_24</f>
        <v>150</v>
      </c>
      <c r="D7495" s="29" t="n">
        <f aca="false">rent_ext_25</f>
        <v>400</v>
      </c>
      <c r="E7495" s="29" t="n">
        <f aca="false">rent_ext_26</f>
        <v>550</v>
      </c>
      <c r="F7495" s="29" t="n">
        <f aca="false">rent_ext_f</f>
        <v>756</v>
      </c>
      <c r="G7495" s="29" t="n">
        <f aca="false">rent_ext_f</f>
        <v>756</v>
      </c>
      <c r="H7495" s="29" t="n">
        <f aca="false">rent_ext_f</f>
        <v>756</v>
      </c>
      <c r="I7495" s="29" t="n">
        <f aca="false">rent_ext_f</f>
        <v>756</v>
      </c>
      <c r="J7495" s="29" t="n">
        <f aca="false">rent_ext_f</f>
        <v>756</v>
      </c>
      <c r="K7495" s="29" t="n">
        <f aca="false">rent_ext_f</f>
        <v>756</v>
      </c>
      <c r="L7495" s="1" t="s">
        <v>803</v>
      </c>
    </row>
    <row r="7496" customFormat="false" ht="17.15" hidden="false" customHeight="false" outlineLevel="0" collapsed="false">
      <c r="A7496" s="1" t="s">
        <v>804</v>
      </c>
      <c r="B7496" s="0" t="s">
        <v>392</v>
      </c>
      <c r="C7496" s="29" t="n">
        <f aca="false">Sens!C7494-Sens!C7495</f>
        <v>490</v>
      </c>
      <c r="D7496" s="29" t="n">
        <f aca="false">Sens!D7494-Sens!D7495</f>
        <v>1230</v>
      </c>
      <c r="E7496" s="29" t="n">
        <f aca="false">Sens!E7494-Sens!E7495</f>
        <v>2700</v>
      </c>
      <c r="F7496" s="29" t="n">
        <f aca="false">Sens!F7494-Sens!F7495</f>
        <v>5021.2</v>
      </c>
      <c r="G7496" s="29" t="n">
        <f aca="false">Sens!G7494-Sens!G7495</f>
        <v>7548.4</v>
      </c>
      <c r="H7496" s="29" t="n">
        <f aca="false">Sens!H7494-Sens!H7495</f>
        <v>10075.6</v>
      </c>
      <c r="I7496" s="29" t="n">
        <f aca="false">Sens!I7494-Sens!I7495</f>
        <v>11868.716</v>
      </c>
      <c r="J7496" s="29" t="n">
        <f aca="false">Sens!J7494-Sens!J7495</f>
        <v>12927.748</v>
      </c>
      <c r="K7496" s="29" t="n">
        <f aca="false">Sens!K7494-Sens!K7495</f>
        <v>13252.696</v>
      </c>
    </row>
    <row r="7497" customFormat="false" ht="17.15" hidden="false" customHeight="false" outlineLevel="0" collapsed="false">
      <c r="A7497" s="1" t="s">
        <v>805</v>
      </c>
      <c r="B7497" s="0" t="s">
        <v>392</v>
      </c>
      <c r="C7497" s="29" t="n">
        <f aca="false">Sens!C7496/ext_sh</f>
        <v>816.666666666667</v>
      </c>
      <c r="D7497" s="29" t="n">
        <f aca="false">Sens!D7496/ext_sh</f>
        <v>2050</v>
      </c>
      <c r="E7497" s="29" t="n">
        <f aca="false">Sens!E7496/ext_sh</f>
        <v>4500</v>
      </c>
      <c r="F7497" s="29" t="n">
        <f aca="false">Sens!F7496/ext_sh</f>
        <v>8368.66666666667</v>
      </c>
      <c r="G7497" s="29" t="n">
        <f aca="false">Sens!G7496/ext_sh</f>
        <v>12580.6666666667</v>
      </c>
      <c r="H7497" s="29" t="n">
        <f aca="false">Sens!H7496/ext_sh</f>
        <v>16792.6666666667</v>
      </c>
      <c r="I7497" s="29" t="n">
        <f aca="false">Sens!I7496/ext_sh</f>
        <v>19781.1933333333</v>
      </c>
      <c r="J7497" s="29" t="n">
        <f aca="false">Sens!J7496/ext_sh</f>
        <v>21546.2466666667</v>
      </c>
      <c r="K7497" s="29" t="n">
        <f aca="false">Sens!K7496/ext_sh</f>
        <v>22087.8266666667</v>
      </c>
      <c r="L7497" s="1" t="s">
        <v>806</v>
      </c>
    </row>
    <row r="7498" customFormat="false" ht="17.15" hidden="false" customHeight="false" outlineLevel="0" collapsed="false">
      <c r="A7498" s="1" t="s">
        <v>807</v>
      </c>
      <c r="B7498" s="0" t="s">
        <v>392</v>
      </c>
      <c r="C7498" s="29" t="n">
        <f aca="false">Sens!C7497-Sens!C7496</f>
        <v>326.666666666667</v>
      </c>
      <c r="D7498" s="29" t="n">
        <f aca="false">Sens!D7497-Sens!D7496</f>
        <v>820</v>
      </c>
      <c r="E7498" s="29" t="n">
        <f aca="false">Sens!E7497-Sens!E7496</f>
        <v>1800</v>
      </c>
      <c r="F7498" s="29" t="n">
        <f aca="false">Sens!F7497-Sens!F7496</f>
        <v>3347.46666666667</v>
      </c>
      <c r="G7498" s="29" t="n">
        <f aca="false">Sens!G7497-Sens!G7496</f>
        <v>5032.26666666667</v>
      </c>
      <c r="H7498" s="29" t="n">
        <f aca="false">Sens!H7497-Sens!H7496</f>
        <v>6717.06666666667</v>
      </c>
      <c r="I7498" s="29" t="n">
        <f aca="false">Sens!I7497-Sens!I7496</f>
        <v>7912.47733333333</v>
      </c>
      <c r="J7498" s="29" t="n">
        <f aca="false">Sens!J7497-Sens!J7496</f>
        <v>8618.49866666667</v>
      </c>
      <c r="K7498" s="29" t="n">
        <f aca="false">Sens!K7497-Sens!K7496</f>
        <v>8835.13066666667</v>
      </c>
    </row>
    <row r="7499" customFormat="false" ht="17.15" hidden="false" customHeight="false" outlineLevel="0" collapsed="false">
      <c r="A7499" s="1" t="s">
        <v>808</v>
      </c>
      <c r="B7499" s="0" t="s">
        <v>392</v>
      </c>
      <c r="C7499" s="29" t="n">
        <f aca="false">Sens!C7497</f>
        <v>816.666666666667</v>
      </c>
      <c r="D7499" s="29" t="n">
        <f aca="false">Sens!D7497-Sens!C7497</f>
        <v>1233.33333333333</v>
      </c>
      <c r="E7499" s="29" t="n">
        <f aca="false">Sens!E7497-Sens!D7497</f>
        <v>2450</v>
      </c>
      <c r="F7499" s="29" t="n">
        <f aca="false">Sens!F7497-Sens!E7497</f>
        <v>3868.66666666667</v>
      </c>
      <c r="G7499" s="29" t="n">
        <f aca="false">Sens!G7497-Sens!F7497</f>
        <v>4212</v>
      </c>
      <c r="H7499" s="29" t="n">
        <f aca="false">Sens!H7497-Sens!G7497</f>
        <v>4212</v>
      </c>
      <c r="I7499" s="29" t="n">
        <f aca="false">Sens!I7497-Sens!H7497</f>
        <v>2988.52666666667</v>
      </c>
      <c r="J7499" s="29" t="n">
        <f aca="false">Sens!J7497-Sens!I7497</f>
        <v>1765.05333333333</v>
      </c>
      <c r="K7499" s="29" t="n">
        <f aca="false">Sens!K7497-Sens!J7497</f>
        <v>541.580000000002</v>
      </c>
    </row>
    <row r="7500" customFormat="false" ht="17.15" hidden="false" customHeight="false" outlineLevel="0" collapsed="false">
      <c r="A7500" s="1" t="s">
        <v>809</v>
      </c>
      <c r="B7500" s="0" t="s">
        <v>392</v>
      </c>
      <c r="D7500" s="29" t="n">
        <f aca="false">Sens!D7494-Sens!C7494</f>
        <v>990</v>
      </c>
      <c r="E7500" s="29" t="n">
        <f aca="false">Sens!E7494-Sens!D7494</f>
        <v>1620</v>
      </c>
      <c r="F7500" s="29" t="n">
        <f aca="false">Sens!F7494-Sens!E7494</f>
        <v>2527.2</v>
      </c>
      <c r="G7500" s="29" t="n">
        <f aca="false">Sens!G7494-Sens!F7494</f>
        <v>2527.2</v>
      </c>
      <c r="H7500" s="29" t="n">
        <f aca="false">Sens!H7494-Sens!G7494</f>
        <v>2527.2</v>
      </c>
      <c r="I7500" s="29" t="n">
        <f aca="false">Sens!I7494-Sens!H7494</f>
        <v>1793.116</v>
      </c>
      <c r="J7500" s="29" t="n">
        <f aca="false">Sens!J7494-Sens!I7494</f>
        <v>1059.032</v>
      </c>
      <c r="K7500" s="29" t="n">
        <f aca="false">Sens!K7494-Sens!J7494</f>
        <v>324.948</v>
      </c>
    </row>
    <row r="7501" customFormat="false" ht="17.15" hidden="false" customHeight="false" outlineLevel="0" collapsed="false">
      <c r="A7501" s="1" t="s">
        <v>810</v>
      </c>
      <c r="B7501" s="0" t="s">
        <v>392</v>
      </c>
      <c r="F7501" s="29" t="n">
        <f aca="false">Sens!F7518*ext_sh</f>
        <v>0</v>
      </c>
      <c r="G7501" s="29" t="n">
        <f aca="false">Sens!G7518*ext_sh</f>
        <v>0</v>
      </c>
      <c r="H7501" s="29" t="n">
        <f aca="false">Sens!H7518*ext_sh</f>
        <v>0</v>
      </c>
      <c r="I7501" s="29" t="n">
        <f aca="false">Sens!I7518*ext_sh</f>
        <v>490</v>
      </c>
      <c r="J7501" s="29" t="n">
        <f aca="false">Sens!J7518*ext_sh</f>
        <v>740</v>
      </c>
      <c r="K7501" s="29" t="n">
        <f aca="false">Sens!K7518*ext_sh</f>
        <v>1470</v>
      </c>
      <c r="L7501" s="1" t="s">
        <v>811</v>
      </c>
    </row>
    <row r="7502" customFormat="false" ht="17.15" hidden="false" customHeight="false" outlineLevel="0" collapsed="false">
      <c r="A7502" s="1" t="s">
        <v>812</v>
      </c>
      <c r="B7502" s="0" t="s">
        <v>392</v>
      </c>
      <c r="C7502" s="29" t="n">
        <f aca="false">mix_h*Sens!C7494</f>
        <v>128</v>
      </c>
      <c r="D7502" s="29" t="n">
        <f aca="false">mix_h*Sens!D7494</f>
        <v>326</v>
      </c>
      <c r="E7502" s="29" t="n">
        <f aca="false">mix_h*Sens!E7494</f>
        <v>650</v>
      </c>
      <c r="F7502" s="29" t="n">
        <f aca="false">Sens!E7502-Sens!F7501*mix_h</f>
        <v>650</v>
      </c>
      <c r="G7502" s="29" t="n">
        <f aca="false">Sens!F7502-Sens!G7501*mix_h</f>
        <v>650</v>
      </c>
      <c r="H7502" s="29" t="n">
        <f aca="false">Sens!G7502-Sens!H7501*mix_h</f>
        <v>650</v>
      </c>
      <c r="I7502" s="29" t="n">
        <f aca="false">Sens!H7502-Sens!I7501*mix_h</f>
        <v>552</v>
      </c>
      <c r="J7502" s="29" t="n">
        <f aca="false">Sens!I7502-Sens!J7501*mix_h</f>
        <v>404</v>
      </c>
      <c r="K7502" s="29" t="n">
        <f aca="false">Sens!J7502-Sens!K7501*mix_h</f>
        <v>110</v>
      </c>
    </row>
    <row r="7503" customFormat="false" ht="17.15" hidden="false" customHeight="false" outlineLevel="0" collapsed="false">
      <c r="A7503" s="1" t="s">
        <v>813</v>
      </c>
      <c r="B7503" s="0" t="s">
        <v>392</v>
      </c>
      <c r="C7503" s="29" t="n">
        <f aca="false">mix_g2*Sens!C7494</f>
        <v>288</v>
      </c>
      <c r="D7503" s="29" t="n">
        <f aca="false">mix_g2*Sens!D7494</f>
        <v>733.5</v>
      </c>
      <c r="E7503" s="29" t="n">
        <f aca="false">mix_g2*Sens!E7494</f>
        <v>1462.5</v>
      </c>
      <c r="F7503" s="29" t="n">
        <f aca="false">Sens!E7503-Sens!F7501*mix_g2</f>
        <v>1462.5</v>
      </c>
      <c r="G7503" s="29" t="n">
        <f aca="false">Sens!F7503-Sens!G7501*mix_g2</f>
        <v>1462.5</v>
      </c>
      <c r="H7503" s="29" t="n">
        <f aca="false">Sens!G7503-Sens!H7501*mix_g2</f>
        <v>1462.5</v>
      </c>
      <c r="I7503" s="29" t="n">
        <f aca="false">Sens!H7503-Sens!I7501*mix_g2</f>
        <v>1242</v>
      </c>
      <c r="J7503" s="29" t="n">
        <f aca="false">Sens!I7503-Sens!J7501*mix_g2</f>
        <v>909</v>
      </c>
      <c r="K7503" s="29" t="n">
        <f aca="false">Sens!J7503-Sens!K7501*mix_g2</f>
        <v>247.5</v>
      </c>
    </row>
    <row r="7504" customFormat="false" ht="17.15" hidden="false" customHeight="false" outlineLevel="0" collapsed="false">
      <c r="A7504" s="1" t="s">
        <v>814</v>
      </c>
      <c r="B7504" s="0" t="s">
        <v>392</v>
      </c>
      <c r="C7504" s="29" t="n">
        <f aca="false">mix_g3*Sens!C7494</f>
        <v>224</v>
      </c>
      <c r="D7504" s="29" t="n">
        <f aca="false">mix_g3*Sens!D7494</f>
        <v>570.5</v>
      </c>
      <c r="E7504" s="29" t="n">
        <f aca="false">mix_g3*Sens!E7494</f>
        <v>1137.5</v>
      </c>
      <c r="F7504" s="29" t="n">
        <f aca="false">Sens!E7504+(Sens!F7500+Sens!F7501)*a_g3_27-Sens!F7501*mix_g3</f>
        <v>2906.54</v>
      </c>
      <c r="G7504" s="29" t="n">
        <f aca="false">Sens!F7504+(Sens!G7500+Sens!G7501)*a_g3_28-Sens!G7501*mix_g3</f>
        <v>3664.7</v>
      </c>
      <c r="H7504" s="29" t="n">
        <f aca="false">Sens!G7504+(Sens!H7500+Sens!H7501)*a_g3_29-Sens!H7501*mix_g3</f>
        <v>3917.42</v>
      </c>
      <c r="I7504" s="29" t="n">
        <f aca="false">Sens!H7504+(Sens!I7500+Sens!I7501)*a_g3_29-Sens!I7501*mix_g3</f>
        <v>3974.2316</v>
      </c>
      <c r="J7504" s="29" t="n">
        <f aca="false">Sens!I7504+(Sens!J7500+Sens!J7501)*a_g3_29-Sens!J7501*mix_g3</f>
        <v>3895.1348</v>
      </c>
      <c r="K7504" s="29" t="n">
        <f aca="false">Sens!J7504+(Sens!K7500+Sens!K7501)*a_g3_29-Sens!K7501*mix_g3</f>
        <v>3560.1296</v>
      </c>
    </row>
    <row r="7505" customFormat="false" ht="17.15" hidden="false" customHeight="false" outlineLevel="0" collapsed="false">
      <c r="A7505" s="1" t="s">
        <v>815</v>
      </c>
      <c r="B7505" s="0" t="s">
        <v>392</v>
      </c>
      <c r="C7505" s="29" t="n">
        <v>0</v>
      </c>
      <c r="D7505" s="29" t="n">
        <v>0</v>
      </c>
      <c r="E7505" s="29" t="n">
        <v>0</v>
      </c>
      <c r="F7505" s="29" t="n">
        <f aca="false">Sens!E7505+(Sens!F7500+Sens!F7501)*(1-a_g3_27)</f>
        <v>758.16</v>
      </c>
      <c r="G7505" s="29" t="n">
        <f aca="false">Sens!F7505+(Sens!G7500+Sens!G7501)*(1-a_g3_28)</f>
        <v>2527.2</v>
      </c>
      <c r="H7505" s="29" t="n">
        <f aca="false">Sens!G7505+(Sens!H7500+Sens!H7501)*(1-a_g3_29)</f>
        <v>4801.68</v>
      </c>
      <c r="I7505" s="29" t="n">
        <f aca="false">Sens!H7505+(Sens!I7500+Sens!I7501)*(1-a_g3_29)</f>
        <v>6856.4844</v>
      </c>
      <c r="J7505" s="29" t="n">
        <f aca="false">Sens!I7505+(Sens!J7500+Sens!J7501)*(1-a_g3_29)</f>
        <v>8475.6132</v>
      </c>
      <c r="K7505" s="29" t="n">
        <f aca="false">Sens!J7505+(Sens!K7500+Sens!K7501)*(1-a_g3_29)</f>
        <v>10091.0664</v>
      </c>
    </row>
    <row r="7506" customFormat="false" ht="17.15" hidden="false" customHeight="false" outlineLevel="0" collapsed="false">
      <c r="A7506" s="1" t="s">
        <v>816</v>
      </c>
      <c r="B7506" s="0" t="s">
        <v>339</v>
      </c>
      <c r="C7506" s="14" t="n">
        <f aca="false">(Sens!C7502*tk_hold_h100+Sens!C7503*tk_hold_gb200+Sens!C7504*tk_hold_gb300+Sens!C7505*tk_hold_vr200)/Sens!C7494</f>
        <v>9.7235358126469</v>
      </c>
      <c r="D7506" s="14" t="n">
        <f aca="false">(Sens!D7502*tk_hold_h100+Sens!D7503*tk_hold_gb200+Sens!D7504*tk_hold_gb300+Sens!D7505*tk_hold_vr200)/Sens!D7494</f>
        <v>9.7235358126469</v>
      </c>
      <c r="E7506" s="14" t="n">
        <f aca="false">(Sens!E7502*tk_hold_h100+Sens!E7503*tk_hold_gb200+Sens!E7504*tk_hold_gb300+Sens!E7505*tk_hold_vr200)/Sens!E7494</f>
        <v>9.7235358126469</v>
      </c>
      <c r="F7506" s="14" t="n">
        <f aca="false">(Sens!F7502*tk_hold_h100+Sens!F7503*tk_hold_gb200+Sens!F7504*tk_hold_gb300+Sens!F7505*tk_hold_vr200)/Sens!F7494</f>
        <v>10.4079573161931</v>
      </c>
      <c r="G7506" s="14" t="n">
        <f aca="false">(Sens!G7502*tk_hold_h100+Sens!G7503*tk_hold_gb200+Sens!G7504*tk_hold_gb300+Sens!G7505*tk_hold_vr200)/Sens!G7494</f>
        <v>10.8388131109316</v>
      </c>
      <c r="H7506" s="14" t="n">
        <f aca="false">(Sens!H7502*tk_hold_h100+Sens!H7503*tk_hold_gb200+Sens!H7504*tk_hold_gb300+Sens!H7505*tk_hold_vr200)/Sens!H7494</f>
        <v>11.1311018388216</v>
      </c>
      <c r="I7506" s="14" t="n">
        <f aca="false">(Sens!I7502*tk_hold_h100+Sens!I7503*tk_hold_gb200+Sens!I7504*tk_hold_gb300+Sens!I7505*tk_hold_vr200)/Sens!I7494</f>
        <v>11.3594282560989</v>
      </c>
      <c r="J7506" s="14" t="n">
        <f aca="false">(Sens!J7502*tk_hold_h100+Sens!J7503*tk_hold_gb200+Sens!J7504*tk_hold_gb300+Sens!J7505*tk_hold_vr200)/Sens!J7494</f>
        <v>11.5441508808221</v>
      </c>
      <c r="K7506" s="14" t="n">
        <f aca="false">(Sens!K7502*tk_hold_h100+Sens!K7503*tk_hold_gb200+Sens!K7504*tk_hold_gb300+Sens!K7505*tk_hold_vr200)/Sens!K7494</f>
        <v>11.8053375063575</v>
      </c>
    </row>
    <row r="7507" customFormat="false" ht="17.15" hidden="false" customHeight="false" outlineLevel="0" collapsed="false">
      <c r="A7507" s="0" t="s">
        <v>817</v>
      </c>
      <c r="B7507" s="0" t="s">
        <v>185</v>
      </c>
      <c r="C7507" s="14" t="n">
        <f aca="false">k_B</f>
        <v>1.17213932619116</v>
      </c>
      <c r="D7507" s="14" t="n">
        <f aca="false">k_B</f>
        <v>1.17213932619116</v>
      </c>
      <c r="E7507" s="14" t="n">
        <f aca="false">k_B</f>
        <v>1.17213932619116</v>
      </c>
      <c r="F7507" s="14" t="n">
        <f aca="false">(k_B+((ls_A*k_long+(1-ls_A)*k_spot)-k_B)*MIN(1,(Sens!F7492-base_fy)/k_ramp))</f>
        <v>1.25022828131298</v>
      </c>
      <c r="G7507" s="14" t="n">
        <f aca="false">(k_B+((ls_A*k_long+(1-ls_A)*k_spot)-k_B)*MIN(1,(Sens!G7492-base_fy)/k_ramp))</f>
        <v>1.3283172364348</v>
      </c>
      <c r="H7507" s="14" t="n">
        <f aca="false">(k_B+((ls_A*k_long+(1-ls_A)*k_spot)-k_B)*MIN(1,(Sens!H7492-base_fy)/k_ramp))</f>
        <v>1.40640619155662</v>
      </c>
      <c r="I7507" s="14" t="n">
        <f aca="false">(k_B+((ls_A*k_long+(1-ls_A)*k_spot)-k_B)*MIN(1,(Sens!I7492-base_fy)/k_ramp))</f>
        <v>1.40640619155662</v>
      </c>
      <c r="J7507" s="14" t="n">
        <f aca="false">(k_B+((ls_A*k_long+(1-ls_A)*k_spot)-k_B)*MIN(1,(Sens!J7492-base_fy)/k_ramp))</f>
        <v>1.40640619155662</v>
      </c>
      <c r="K7507" s="14" t="n">
        <f aca="false">(k_B+((ls_A*k_long+(1-ls_A)*k_spot)-k_B)*MIN(1,(Sens!K7492-base_fy)/k_ramp))</f>
        <v>1.40640619155662</v>
      </c>
      <c r="L7507" s="1" t="s">
        <v>818</v>
      </c>
    </row>
    <row r="7508" customFormat="false" ht="17.15" hidden="false" customHeight="false" outlineLevel="0" collapsed="false">
      <c r="A7508" s="1" t="s">
        <v>819</v>
      </c>
      <c r="B7508" s="0" t="s">
        <v>339</v>
      </c>
      <c r="C7508" s="14" t="n">
        <f aca="false">Sens!C7506*Sens!C7507*chip_f</f>
        <v>11.3973387156315</v>
      </c>
      <c r="D7508" s="14" t="n">
        <f aca="false">Sens!D7506*Sens!D7507*chip_f</f>
        <v>11.3973387156315</v>
      </c>
      <c r="E7508" s="14" t="n">
        <f aca="false">Sens!E7506*Sens!E7507*chip_f</f>
        <v>11.3973387156315</v>
      </c>
      <c r="F7508" s="14" t="n">
        <f aca="false">Sens!F7506*Sens!F7507*chip_f</f>
        <v>13.0123225874029</v>
      </c>
      <c r="G7508" s="14" t="n">
        <f aca="false">Sens!G7506*Sens!G7507*chip_f</f>
        <v>14.3973822777458</v>
      </c>
      <c r="H7508" s="14" t="n">
        <f aca="false">Sens!H7506*Sens!H7507*chip_f</f>
        <v>15.6548505449659</v>
      </c>
      <c r="I7508" s="14" t="n">
        <f aca="false">Sens!I7506*Sens!I7507*chip_f</f>
        <v>15.9759702319207</v>
      </c>
      <c r="J7508" s="14" t="n">
        <f aca="false">Sens!J7506*Sens!J7507*chip_f</f>
        <v>16.2357652750519</v>
      </c>
      <c r="K7508" s="14" t="n">
        <f aca="false">Sens!K7506*Sens!K7507*chip_f</f>
        <v>16.6030997623568</v>
      </c>
      <c r="L7508" s="1" t="s">
        <v>820</v>
      </c>
    </row>
    <row r="7509" customFormat="false" ht="17.15" hidden="false" customHeight="false" outlineLevel="0" collapsed="false">
      <c r="A7509" s="0" t="s">
        <v>821</v>
      </c>
      <c r="B7509" s="0" t="s">
        <v>98</v>
      </c>
      <c r="D7509" s="6" t="n">
        <f aca="false">(Sens!C7494+Sens!D7494)/2*Sens!D7508/1000</f>
        <v>12.9359794422418</v>
      </c>
      <c r="E7509" s="6" t="n">
        <f aca="false">(Sens!D7494+Sens!E7494)/2*Sens!E7508/1000</f>
        <v>27.8095064661409</v>
      </c>
      <c r="F7509" s="6" t="n">
        <f aca="false">(Sens!E7494+Sens!F7494)/2*Sens!F7508/1000</f>
        <v>58.7324192305018</v>
      </c>
      <c r="G7509" s="6" t="n">
        <f aca="false">(Sens!F7494+Sens!G7494)/2*Sens!G7508/1000</f>
        <v>101.369089141153</v>
      </c>
      <c r="H7509" s="6" t="n">
        <f aca="false">(Sens!G7494+Sens!H7494)/2*Sens!H7508/1000</f>
        <v>149.785610014234</v>
      </c>
      <c r="I7509" s="6" t="n">
        <f aca="false">(Sens!H7494+Sens!I7494)/2*Sens!I7508/1000</f>
        <v>187.368703083263</v>
      </c>
      <c r="J7509" s="6" t="n">
        <f aca="false">(Sens!I7494+Sens!J7494)/2*Sens!J7508/1000</f>
        <v>213.569023125577</v>
      </c>
      <c r="K7509" s="6" t="n">
        <f aca="false">(Sens!J7494+Sens!K7494)/2*Sens!K7508/1000</f>
        <v>229.890205197739</v>
      </c>
      <c r="L7509" s="11" t="s">
        <v>822</v>
      </c>
    </row>
    <row r="7510" customFormat="false" ht="17.15" hidden="false" customHeight="false" outlineLevel="0" collapsed="false">
      <c r="A7510" s="1" t="s">
        <v>823</v>
      </c>
      <c r="B7510" s="0" t="s">
        <v>339</v>
      </c>
      <c r="C7510" s="14" t="n">
        <f aca="false">(Sens!C7502*tk_opex_h100+Sens!C7503*tk_opex_gb200+Sens!C7504*tk_opex_gb300+Sens!C7505*tk_opex_vr200)/Sens!C7494</f>
        <v>1.88636041306092</v>
      </c>
      <c r="D7510" s="14" t="n">
        <f aca="false">(Sens!D7502*tk_opex_h100+Sens!D7503*tk_opex_gb200+Sens!D7504*tk_opex_gb300+Sens!D7505*tk_opex_vr200)/Sens!D7494</f>
        <v>1.88636041306092</v>
      </c>
      <c r="E7510" s="14" t="n">
        <f aca="false">(Sens!E7502*tk_opex_h100+Sens!E7503*tk_opex_gb200+Sens!E7504*tk_opex_gb300+Sens!E7505*tk_opex_vr200)/Sens!E7494</f>
        <v>1.88636041306092</v>
      </c>
      <c r="F7510" s="14" t="n">
        <f aca="false">(Sens!F7502*tk_opex_h100+Sens!F7503*tk_opex_gb200+Sens!F7504*tk_opex_gb300+Sens!F7505*tk_opex_vr200)/Sens!F7494</f>
        <v>1.9430236476499</v>
      </c>
      <c r="G7510" s="14" t="n">
        <f aca="false">(Sens!G7502*tk_opex_h100+Sens!G7503*tk_opex_gb200+Sens!G7504*tk_opex_gb300+Sens!G7505*tk_opex_vr200)/Sens!G7494</f>
        <v>1.9786941852423</v>
      </c>
      <c r="H7510" s="14" t="n">
        <f aca="false">(Sens!H7502*tk_opex_h100+Sens!H7503*tk_opex_gb200+Sens!H7504*tk_opex_gb300+Sens!H7505*tk_opex_vr200)/Sens!H7494</f>
        <v>2.00289275976156</v>
      </c>
      <c r="I7510" s="14" t="n">
        <f aca="false">(Sens!I7502*tk_opex_h100+Sens!I7503*tk_opex_gb200+Sens!I7504*tk_opex_gb300+Sens!I7505*tk_opex_vr200)/Sens!I7494</f>
        <v>2.02179589661219</v>
      </c>
      <c r="J7510" s="14" t="n">
        <f aca="false">(Sens!J7502*tk_opex_h100+Sens!J7503*tk_opex_gb200+Sens!J7504*tk_opex_gb300+Sens!J7505*tk_opex_vr200)/Sens!J7494</f>
        <v>2.03708907685909</v>
      </c>
      <c r="K7510" s="14" t="n">
        <f aca="false">(Sens!K7502*tk_opex_h100+Sens!K7503*tk_opex_gb200+Sens!K7504*tk_opex_gb300+Sens!K7505*tk_opex_vr200)/Sens!K7494</f>
        <v>2.05871270931005</v>
      </c>
    </row>
    <row r="7511" customFormat="false" ht="17.15" hidden="false" customHeight="false" outlineLevel="0" collapsed="false">
      <c r="A7511" s="0" t="s">
        <v>824</v>
      </c>
      <c r="B7511" s="0" t="s">
        <v>98</v>
      </c>
      <c r="D7511" s="6" t="n">
        <f aca="false">(Sens!C7497+Sens!D7497)/2*Sens!D7510/1000</f>
        <v>2.70378325872065</v>
      </c>
      <c r="E7511" s="6" t="n">
        <f aca="false">(Sens!D7497+Sens!E7497)/2*Sens!E7510/1000</f>
        <v>6.17783035277451</v>
      </c>
      <c r="F7511" s="6" t="n">
        <f aca="false">(Sens!E7497+Sens!F7497)/2*Sens!F7510/1000</f>
        <v>12.5020618235287</v>
      </c>
      <c r="G7511" s="6" t="n">
        <f aca="false">(Sens!F7497+Sens!G7497)/2*Sens!G7510/1000</f>
        <v>20.7261620256847</v>
      </c>
      <c r="H7511" s="6" t="n">
        <f aca="false">(Sens!G7497+Sens!H7497)/2*Sens!H7510/1000</f>
        <v>29.4158183316982</v>
      </c>
      <c r="I7511" s="6" t="n">
        <f aca="false">(Sens!H7497+Sens!I7497)/2*Sens!I7510/1000</f>
        <v>36.9724400356344</v>
      </c>
      <c r="J7511" s="6" t="n">
        <f aca="false">(Sens!I7497+Sens!J7497)/2*Sens!J7510/1000</f>
        <v>42.0938382992747</v>
      </c>
      <c r="K7511" s="6" t="n">
        <f aca="false">(Sens!J7497+Sens!K7497)/2*Sens!K7510/1000</f>
        <v>44.9150106651501</v>
      </c>
    </row>
    <row r="7512" customFormat="false" ht="17.15" hidden="false" customHeight="false" outlineLevel="0" collapsed="false">
      <c r="A7512" s="0" t="s">
        <v>825</v>
      </c>
      <c r="B7512" s="0" t="s">
        <v>98</v>
      </c>
      <c r="D7512" s="6" t="n">
        <f aca="false">(Sens!C7495+Sens!D7495)/2*rent_mw/1000</f>
        <v>2.44475</v>
      </c>
      <c r="E7512" s="6" t="n">
        <f aca="false">(Sens!D7495+Sens!E7495)/2*rent_mw/1000</f>
        <v>4.22275</v>
      </c>
      <c r="F7512" s="6" t="n">
        <f aca="false">(Sens!E7495+Sens!F7495)/2*rent_mw/1000</f>
        <v>5.80517</v>
      </c>
      <c r="G7512" s="6" t="n">
        <f aca="false">(Sens!F7495+Sens!G7495)/2*rent_mw/1000</f>
        <v>6.72084</v>
      </c>
      <c r="H7512" s="6" t="n">
        <f aca="false">(Sens!G7495+Sens!H7495)/2*rent_mw/1000</f>
        <v>6.72084</v>
      </c>
      <c r="I7512" s="6" t="n">
        <f aca="false">(Sens!H7495+Sens!I7495)/2*rent_mw/1000</f>
        <v>6.72084</v>
      </c>
      <c r="J7512" s="6" t="n">
        <f aca="false">(Sens!I7495+Sens!J7495)/2*rent_mw/1000</f>
        <v>6.72084</v>
      </c>
      <c r="K7512" s="6" t="n">
        <f aca="false">(Sens!J7495+Sens!K7495)/2*rent_mw/1000</f>
        <v>6.72084</v>
      </c>
    </row>
    <row r="7513" customFormat="false" ht="17.15" hidden="false" customHeight="false" outlineLevel="0" collapsed="false">
      <c r="A7513" s="0" t="s">
        <v>826</v>
      </c>
      <c r="B7513" s="0" t="s">
        <v>98</v>
      </c>
      <c r="D7513" s="6" t="n">
        <f aca="false">(Sens!C7497+Sens!D7497)/2*(1-self_build)*fac_rent/1000</f>
        <v>0.853242375631075</v>
      </c>
      <c r="E7513" s="6" t="n">
        <f aca="false">(Sens!D7497+Sens!E7497)/2*(1-self_build)*fac_rent/1000</f>
        <v>1.94955961408728</v>
      </c>
      <c r="F7513" s="6" t="n">
        <f aca="false">(Sens!E7497+Sens!F7497)/2*(1-self_build)*fac_rent/1000</f>
        <v>3.83026455274573</v>
      </c>
      <c r="G7513" s="6" t="n">
        <f aca="false">(Sens!F7497+Sens!G7497)/2*(1-self_build)*fac_rent/1000</f>
        <v>6.23541590972812</v>
      </c>
      <c r="H7513" s="6" t="n">
        <f aca="false">(Sens!G7497+Sens!H7497)/2*(1-self_build)*fac_rent/1000</f>
        <v>8.74275792332679</v>
      </c>
      <c r="I7513" s="6" t="n">
        <f aca="false">(Sens!H7497+Sens!I7497)/2*(1-self_build)*fac_rent/1000</f>
        <v>10.8859420438599</v>
      </c>
      <c r="J7513" s="6" t="n">
        <f aca="false">(Sens!I7497+Sens!J7497)/2*(1-self_build)*fac_rent/1000</f>
        <v>12.3008103782619</v>
      </c>
      <c r="K7513" s="6" t="n">
        <f aca="false">(Sens!J7497+Sens!K7497)/2*(1-self_build)*fac_rent/1000</f>
        <v>12.9873629265328</v>
      </c>
      <c r="L7513" s="11" t="s">
        <v>827</v>
      </c>
    </row>
    <row r="7514" customFormat="false" ht="17.15" hidden="false" customHeight="false" outlineLevel="0" collapsed="false">
      <c r="A7514" s="1" t="s">
        <v>828</v>
      </c>
      <c r="B7514" s="0" t="s">
        <v>129</v>
      </c>
      <c r="D7514" s="7" t="n">
        <f aca="false">(Sens!C7496+Sens!D7496)/(Sens!C7497+Sens!D7497)</f>
        <v>0.6</v>
      </c>
      <c r="E7514" s="7" t="n">
        <f aca="false">(Sens!D7496+Sens!E7496)/(Sens!D7497+Sens!E7497)</f>
        <v>0.6</v>
      </c>
      <c r="F7514" s="7" t="n">
        <f aca="false">(Sens!E7496+Sens!F7496)/(Sens!E7497+Sens!F7497)</f>
        <v>0.6</v>
      </c>
      <c r="G7514" s="7" t="n">
        <f aca="false">(Sens!F7496+Sens!G7496)/(Sens!F7497+Sens!G7497)</f>
        <v>0.6</v>
      </c>
      <c r="H7514" s="7" t="n">
        <f aca="false">(Sens!G7496+Sens!H7496)/(Sens!G7497+Sens!H7497)</f>
        <v>0.6</v>
      </c>
      <c r="I7514" s="7" t="n">
        <f aca="false">(Sens!H7496+Sens!I7496)/(Sens!H7497+Sens!I7497)</f>
        <v>0.6</v>
      </c>
      <c r="J7514" s="7" t="n">
        <f aca="false">(Sens!I7496+Sens!J7496)/(Sens!I7497+Sens!J7497)</f>
        <v>0.6</v>
      </c>
      <c r="K7514" s="7" t="n">
        <f aca="false">(Sens!J7496+Sens!K7496)/(Sens!J7497+Sens!K7497)</f>
        <v>0.6</v>
      </c>
    </row>
    <row r="7515" customFormat="false" ht="17.15" hidden="false" customHeight="false" outlineLevel="0" collapsed="false">
      <c r="A7515" s="0" t="s">
        <v>829</v>
      </c>
      <c r="B7515" s="0" t="s">
        <v>98</v>
      </c>
      <c r="D7515" s="6" t="n">
        <f aca="false">Sens!D7509-Sens!D7514*(Sens!D7511+Sens!D7513)-Sens!D7512</f>
        <v>8.35701406163072</v>
      </c>
      <c r="E7515" s="6" t="n">
        <f aca="false">Sens!E7509-Sens!E7514*(Sens!E7511+Sens!E7513)-Sens!E7512</f>
        <v>18.7103224860238</v>
      </c>
      <c r="F7515" s="6" t="n">
        <f aca="false">Sens!F7509-Sens!F7514*(Sens!F7511+Sens!F7513)-Sens!F7512</f>
        <v>43.1278534047371</v>
      </c>
      <c r="G7515" s="6" t="n">
        <f aca="false">Sens!G7509-Sens!G7514*(Sens!G7511+Sens!G7513)-Sens!G7512</f>
        <v>78.4713023799053</v>
      </c>
      <c r="H7515" s="6" t="n">
        <f aca="false">Sens!H7509-Sens!H7514*(Sens!H7511+Sens!H7513)-Sens!H7512</f>
        <v>120.169624261219</v>
      </c>
      <c r="I7515" s="6" t="n">
        <f aca="false">Sens!I7509-Sens!I7514*(Sens!I7511+Sens!I7513)-Sens!I7512</f>
        <v>151.932833835566</v>
      </c>
      <c r="J7515" s="6" t="n">
        <f aca="false">Sens!J7509-Sens!J7514*(Sens!J7511+Sens!J7513)-Sens!J7512</f>
        <v>174.211393919055</v>
      </c>
      <c r="K7515" s="6" t="n">
        <f aca="false">Sens!K7509-Sens!K7514*(Sens!K7511+Sens!K7513)-Sens!K7512</f>
        <v>188.427941042729</v>
      </c>
    </row>
    <row r="7516" customFormat="false" ht="17.15" hidden="false" customHeight="false" outlineLevel="0" collapsed="false">
      <c r="A7516" s="1" t="s">
        <v>830</v>
      </c>
      <c r="B7516" s="0" t="s">
        <v>98</v>
      </c>
      <c r="D7516" s="6" t="n">
        <f aca="false">(1-Sens!D7514)*(Sens!D7511+Sens!D7513)</f>
        <v>1.42281025374069</v>
      </c>
      <c r="E7516" s="6" t="n">
        <f aca="false">(1-Sens!E7514)*(Sens!E7511+Sens!E7513)</f>
        <v>3.25095598674472</v>
      </c>
      <c r="F7516" s="6" t="n">
        <f aca="false">(1-Sens!F7514)*(Sens!F7511+Sens!F7513)</f>
        <v>6.53293055050977</v>
      </c>
      <c r="G7516" s="6" t="n">
        <f aca="false">(1-Sens!G7514)*(Sens!G7511+Sens!G7513)</f>
        <v>10.7846311741651</v>
      </c>
      <c r="H7516" s="6" t="n">
        <f aca="false">(1-Sens!H7514)*(Sens!H7511+Sens!H7513)</f>
        <v>15.26343050201</v>
      </c>
      <c r="I7516" s="6" t="n">
        <f aca="false">(1-Sens!I7514)*(Sens!I7511+Sens!I7513)</f>
        <v>19.1433528317977</v>
      </c>
      <c r="J7516" s="6" t="n">
        <f aca="false">(1-Sens!J7514)*(Sens!J7511+Sens!J7513)</f>
        <v>21.7578594710146</v>
      </c>
      <c r="K7516" s="6" t="n">
        <f aca="false">(1-Sens!K7514)*(Sens!K7511+Sens!K7513)</f>
        <v>23.1609494366731</v>
      </c>
    </row>
    <row r="7517" customFormat="false" ht="17.15" hidden="false" customHeight="false" outlineLevel="0" collapsed="false">
      <c r="A7517" s="1" t="s">
        <v>831</v>
      </c>
      <c r="B7517" s="0" t="s">
        <v>350</v>
      </c>
      <c r="C7517" s="8" t="n">
        <f aca="false">cxit_open</f>
        <v>27.5918995</v>
      </c>
      <c r="D7517" s="8" t="n">
        <f aca="false">cxit_open</f>
        <v>27.5918995</v>
      </c>
      <c r="E7517" s="8" t="n">
        <f aca="false">cxit_open</f>
        <v>27.5918995</v>
      </c>
      <c r="F7517" s="8" t="n">
        <f aca="false">(a_g3_27*tk_cxit_gb300+(1-a_g3_27)*tk_cxit_vr200)</f>
        <v>33.8419624</v>
      </c>
      <c r="G7517" s="8" t="n">
        <f aca="false">(a_g3_28*tk_cxit_gb300+(1-a_g3_28)*tk_cxit_vr200)</f>
        <v>35.9816136</v>
      </c>
      <c r="H7517" s="8" t="n">
        <f aca="false">(a_g3_29*tk_cxit_gb300+(1-a_g3_29)*tk_cxit_vr200)</f>
        <v>37.0514392</v>
      </c>
      <c r="I7517" s="8" t="n">
        <f aca="false">(a_g3_29*tk_cxit_gb300+(1-a_g3_29)*tk_cxit_vr200)</f>
        <v>37.0514392</v>
      </c>
      <c r="J7517" s="8" t="n">
        <f aca="false">(a_g3_29*tk_cxit_gb300+(1-a_g3_29)*tk_cxit_vr200)</f>
        <v>37.0514392</v>
      </c>
      <c r="K7517" s="8" t="n">
        <f aca="false">(a_g3_29*tk_cxit_gb300+(1-a_g3_29)*tk_cxit_vr200)</f>
        <v>37.0514392</v>
      </c>
      <c r="L7517" s="11" t="s">
        <v>832</v>
      </c>
    </row>
    <row r="7518" customFormat="false" ht="17.15" hidden="false" customHeight="false" outlineLevel="0" collapsed="false">
      <c r="A7518" s="0" t="s">
        <v>833</v>
      </c>
      <c r="B7518" s="0" t="s">
        <v>392</v>
      </c>
      <c r="F7518" s="29" t="n">
        <f aca="false">Sens!C7499*IF(Sens!F7492-Sens!C7492=life_it,1,0)+Sens!D7499*IF(Sens!F7492-Sens!D7492=life_it,1,0)+Sens!E7499*IF(Sens!F7492-Sens!E7492=life_it,1,0)</f>
        <v>0</v>
      </c>
      <c r="G7518" s="29" t="n">
        <f aca="false">Sens!C7499*IF(Sens!G7492-Sens!C7492=life_it,1,0)+Sens!D7499*IF(Sens!G7492-Sens!D7492=life_it,1,0)+Sens!E7499*IF(Sens!G7492-Sens!E7492=life_it,1,0)+Sens!F7499*IF(Sens!G7492-Sens!F7492=life_it,1,0)</f>
        <v>0</v>
      </c>
      <c r="H7518" s="29" t="n">
        <f aca="false">Sens!C7499*IF(Sens!H7492-Sens!C7492=life_it,1,0)+Sens!D7499*IF(Sens!H7492-Sens!D7492=life_it,1,0)+Sens!E7499*IF(Sens!H7492-Sens!E7492=life_it,1,0)+Sens!F7499*IF(Sens!H7492-Sens!F7492=life_it,1,0)+Sens!G7499*IF(Sens!H7492-Sens!G7492=life_it,1,0)</f>
        <v>0</v>
      </c>
      <c r="I7518" s="29" t="n">
        <f aca="false">Sens!C7499*IF(Sens!I7492-Sens!C7492=life_it,1,0)+Sens!D7499*IF(Sens!I7492-Sens!D7492=life_it,1,0)+Sens!E7499*IF(Sens!I7492-Sens!E7492=life_it,1,0)+Sens!F7499*IF(Sens!I7492-Sens!F7492=life_it,1,0)+Sens!G7499*IF(Sens!I7492-Sens!G7492=life_it,1,0)+Sens!H7499*IF(Sens!I7492-Sens!H7492=life_it,1,0)</f>
        <v>816.666666666667</v>
      </c>
      <c r="J7518" s="29" t="n">
        <f aca="false">Sens!C7499*IF(Sens!J7492-Sens!C7492=life_it,1,0)+Sens!D7499*IF(Sens!J7492-Sens!D7492=life_it,1,0)+Sens!E7499*IF(Sens!J7492-Sens!E7492=life_it,1,0)+Sens!F7499*IF(Sens!J7492-Sens!F7492=life_it,1,0)+Sens!G7499*IF(Sens!J7492-Sens!G7492=life_it,1,0)+Sens!H7499*IF(Sens!J7492-Sens!H7492=life_it,1,0)+Sens!I7499*IF(Sens!J7492-Sens!I7492=life_it,1,0)</f>
        <v>1233.33333333333</v>
      </c>
      <c r="K7518" s="29" t="n">
        <f aca="false">Sens!C7499*IF(Sens!K7492-Sens!C7492=life_it,1,0)+Sens!D7499*IF(Sens!K7492-Sens!D7492=life_it,1,0)+Sens!E7499*IF(Sens!K7492-Sens!E7492=life_it,1,0)+Sens!F7499*IF(Sens!K7492-Sens!F7492=life_it,1,0)+Sens!G7499*IF(Sens!K7492-Sens!G7492=life_it,1,0)+Sens!H7499*IF(Sens!K7492-Sens!H7492=life_it,1,0)+Sens!I7499*IF(Sens!K7492-Sens!I7492=life_it,1,0)+Sens!J7499*IF(Sens!K7492-Sens!J7492=life_it,1,0)</f>
        <v>2450</v>
      </c>
      <c r="L7518" s="1" t="s">
        <v>834</v>
      </c>
    </row>
    <row r="7519" customFormat="false" ht="17.15" hidden="false" customHeight="false" outlineLevel="0" collapsed="false">
      <c r="A7519" s="0" t="s">
        <v>835</v>
      </c>
      <c r="B7519" s="0" t="s">
        <v>98</v>
      </c>
      <c r="C7519" s="6" t="n">
        <f aca="false">Sens!C7499*Sens!C7517/1000</f>
        <v>22.5333845916667</v>
      </c>
      <c r="D7519" s="6" t="n">
        <f aca="false">Sens!D7499*Sens!D7517/1000</f>
        <v>34.0300093833333</v>
      </c>
      <c r="E7519" s="6" t="n">
        <f aca="false">Sens!E7499*Sens!E7517/1000</f>
        <v>67.600153775</v>
      </c>
      <c r="F7519" s="6" t="n">
        <f aca="false">(Sens!F7499+Sens!F7518)*Sens!F7517/1000</f>
        <v>130.923271871467</v>
      </c>
      <c r="G7519" s="6" t="n">
        <f aca="false">(Sens!G7499+Sens!G7518)*Sens!G7517/1000</f>
        <v>151.5545564832</v>
      </c>
      <c r="H7519" s="6" t="n">
        <f aca="false">(Sens!H7499+Sens!H7518)*Sens!H7517/1000</f>
        <v>156.0606619104</v>
      </c>
      <c r="I7519" s="6" t="n">
        <f aca="false">(Sens!I7499+Sens!I7518)*Sens!I7517/1000</f>
        <v>140.987889434245</v>
      </c>
      <c r="J7519" s="6" t="n">
        <f aca="false">(Sens!J7499+Sens!J7518)*Sens!J7517/1000</f>
        <v>111.094541278091</v>
      </c>
      <c r="K7519" s="6" t="n">
        <f aca="false">(Sens!K7499+Sens!K7518)*Sens!K7517/1000</f>
        <v>110.842344481936</v>
      </c>
    </row>
    <row r="7520" customFormat="false" ht="17.15" hidden="false" customHeight="false" outlineLevel="0" collapsed="false">
      <c r="A7520" s="0" t="s">
        <v>836</v>
      </c>
      <c r="B7520" s="0" t="s">
        <v>98</v>
      </c>
      <c r="C7520" s="6" t="n">
        <f aca="false">Sens!C7499*self_build*tk_cxfac/1000</f>
        <v>6.2083</v>
      </c>
      <c r="D7520" s="6" t="n">
        <f aca="false">Sens!D7499*self_build*tk_cxfac/1000</f>
        <v>9.3758</v>
      </c>
      <c r="E7520" s="6" t="n">
        <f aca="false">Sens!E7499*self_build*tk_cxfac/1000</f>
        <v>18.6249</v>
      </c>
      <c r="F7520" s="6" t="n">
        <f aca="false">Sens!F7499*self_build*tk_cxfac/1000</f>
        <v>29.409604</v>
      </c>
      <c r="G7520" s="6" t="n">
        <f aca="false">Sens!G7499*self_build*tk_cxfac/1000</f>
        <v>32.019624</v>
      </c>
      <c r="H7520" s="6" t="n">
        <f aca="false">Sens!H7499*self_build*tk_cxfac/1000</f>
        <v>32.019624</v>
      </c>
      <c r="I7520" s="6" t="n">
        <f aca="false">Sens!I7499*self_build*tk_cxfac/1000</f>
        <v>22.71877972</v>
      </c>
      <c r="J7520" s="6" t="n">
        <f aca="false">Sens!J7499*self_build*tk_cxfac/1000</f>
        <v>13.41793544</v>
      </c>
      <c r="K7520" s="6" t="n">
        <f aca="false">Sens!K7499*self_build*tk_cxfac/1000</f>
        <v>4.11709116000001</v>
      </c>
    </row>
    <row r="7521" customFormat="false" ht="17.15" hidden="false" customHeight="false" outlineLevel="0" collapsed="false">
      <c r="A7521" s="0" t="s">
        <v>837</v>
      </c>
      <c r="B7521" s="0" t="s">
        <v>98</v>
      </c>
      <c r="F7521" s="6" t="n">
        <f aca="false">MAX(0,capex_floor27-Sens!F7519-Sens!F7520-Sens!F7614)</f>
        <v>8.21190539250474</v>
      </c>
      <c r="L7521" s="1" t="s">
        <v>838</v>
      </c>
    </row>
    <row r="7522" customFormat="false" ht="17.15" hidden="false" customHeight="false" outlineLevel="0" collapsed="false">
      <c r="A7522" s="0" t="s">
        <v>839</v>
      </c>
      <c r="B7522" s="0" t="s">
        <v>98</v>
      </c>
      <c r="C7522" s="6" t="n">
        <f aca="false">Sens!C7519</f>
        <v>22.5333845916667</v>
      </c>
      <c r="D7522" s="6" t="n">
        <f aca="false">Sens!D7519</f>
        <v>34.0300093833333</v>
      </c>
      <c r="E7522" s="6" t="n">
        <f aca="false">Sens!E7519</f>
        <v>67.600153775</v>
      </c>
      <c r="F7522" s="6" t="n">
        <f aca="false">Sens!F7519+Sens!F7521</f>
        <v>139.135177263971</v>
      </c>
      <c r="G7522" s="6" t="n">
        <f aca="false">Sens!G7519</f>
        <v>151.5545564832</v>
      </c>
      <c r="H7522" s="6" t="n">
        <f aca="false">Sens!H7519</f>
        <v>156.0606619104</v>
      </c>
      <c r="I7522" s="6" t="n">
        <f aca="false">Sens!I7519</f>
        <v>140.987889434245</v>
      </c>
      <c r="J7522" s="6" t="n">
        <f aca="false">Sens!J7519</f>
        <v>111.094541278091</v>
      </c>
      <c r="K7522" s="6" t="n">
        <f aca="false">Sens!K7519</f>
        <v>110.842344481936</v>
      </c>
    </row>
    <row r="7523" customFormat="false" ht="17.15" hidden="false" customHeight="false" outlineLevel="0" collapsed="false">
      <c r="A7523" s="0" t="s">
        <v>840</v>
      </c>
      <c r="B7523" s="0" t="s">
        <v>98</v>
      </c>
      <c r="C7523" s="6" t="n">
        <f aca="false">Sens!C7522+Sens!C7520</f>
        <v>28.7416845916667</v>
      </c>
      <c r="D7523" s="6" t="n">
        <f aca="false">Sens!D7522+Sens!D7520</f>
        <v>43.4058093833333</v>
      </c>
      <c r="E7523" s="6" t="n">
        <f aca="false">Sens!E7522+Sens!E7520</f>
        <v>86.225053775</v>
      </c>
      <c r="F7523" s="6" t="n">
        <f aca="false">Sens!F7522+Sens!F7520</f>
        <v>168.544781263971</v>
      </c>
      <c r="G7523" s="6" t="n">
        <f aca="false">Sens!G7522+Sens!G7520</f>
        <v>183.5741804832</v>
      </c>
      <c r="H7523" s="6" t="n">
        <f aca="false">Sens!H7522+Sens!H7520</f>
        <v>188.0802859104</v>
      </c>
      <c r="I7523" s="6" t="n">
        <f aca="false">Sens!I7522+Sens!I7520</f>
        <v>163.706669154245</v>
      </c>
      <c r="J7523" s="6" t="n">
        <f aca="false">Sens!J7522+Sens!J7520</f>
        <v>124.51247671809</v>
      </c>
      <c r="K7523" s="6" t="n">
        <f aca="false">Sens!K7522+Sens!K7520</f>
        <v>114.959435641936</v>
      </c>
      <c r="L7523" s="11" t="s">
        <v>841</v>
      </c>
    </row>
    <row r="7524" customFormat="false" ht="17.15" hidden="false" customHeight="false" outlineLevel="0" collapsed="false">
      <c r="A7524" s="0" t="s">
        <v>842</v>
      </c>
      <c r="B7524" s="0" t="s">
        <v>98</v>
      </c>
      <c r="E7524" s="6" t="n">
        <f aca="false">(Sens!C7522*IF(2&lt;life_it,1,IF(2=life_it,0.5,0))+Sens!D7522*IF(1&lt;life_it,1,IF(1=life_it,0.5,0))+Sens!E7522*0.5)/life_it</f>
        <v>15.0605784770833</v>
      </c>
      <c r="F7524" s="6" t="n">
        <f aca="false">(Sens!C7522*IF(3&lt;life_it,1,IF(3=life_it,0.5,0))+Sens!D7522*IF(2&lt;life_it,1,IF(2=life_it,0.5,0))+Sens!E7522*IF(1&lt;life_it,1,IF(1=life_it,0.5,0))+Sens!F7522*0.5)/life_it</f>
        <v>32.2885227303309</v>
      </c>
      <c r="G7524" s="6" t="n">
        <f aca="false">(Sens!C7522*IF(4&lt;life_it,1,IF(4=life_it,0.5,0))+Sens!D7522*IF(3&lt;life_it,1,IF(3=life_it,0.5,0))+Sens!E7522*IF(2&lt;life_it,1,IF(2=life_it,0.5,0))+Sens!F7522*IF(1&lt;life_it,1,IF(1=life_it,0.5,0))+Sens!G7522*0.5)/life_it</f>
        <v>56.5126672092619</v>
      </c>
      <c r="H7524" s="6" t="n">
        <f aca="false">(Sens!C7522*IF(5&lt;life_it,1,IF(5=life_it,0.5,0))+Sens!D7522*IF(4&lt;life_it,1,IF(4=life_it,0.5,0))+Sens!E7522*IF(3&lt;life_it,1,IF(3=life_it,0.5,0))+Sens!F7522*IF(2&lt;life_it,1,IF(2=life_it,0.5,0))+Sens!G7522*IF(1&lt;life_it,1,IF(1=life_it,0.5,0))+Sens!H7522*0.5)/life_it</f>
        <v>82.1472687420619</v>
      </c>
      <c r="I7524" s="6" t="n">
        <f aca="false">(Sens!C7522*IF(6&lt;life_it,1,IF(6=life_it,0.5,0))+Sens!D7522*IF(5&lt;life_it,1,IF(5=life_it,0.5,0))+Sens!E7522*IF(4&lt;life_it,1,IF(4=life_it,0.5,0))+Sens!F7522*IF(3&lt;life_it,1,IF(3=life_it,0.5,0))+Sens!G7522*IF(2&lt;life_it,1,IF(2=life_it,0.5,0))+Sens!H7522*IF(1&lt;life_it,1,IF(1=life_it,0.5,0))+Sens!I7522*0.5)/life_it</f>
        <v>105.023532638143</v>
      </c>
      <c r="J7524" s="6" t="n">
        <f aca="false">(Sens!C7522*IF(7&lt;life_it,1,IF(7=life_it,0.5,0))+Sens!D7522*IF(6&lt;life_it,1,IF(6=life_it,0.5,0))+Sens!E7522*IF(5&lt;life_it,1,IF(5=life_it,0.5,0))+Sens!F7522*IF(4&lt;life_it,1,IF(4=life_it,0.5,0))+Sens!G7522*IF(3&lt;life_it,1,IF(3=life_it,0.5,0))+Sens!H7522*IF(2&lt;life_it,1,IF(2=life_it,0.5,0))+Sens!I7522*IF(1&lt;life_it,1,IF(1=life_it,0.5,0))+Sens!J7522*0.5)/life_it</f>
        <v>121.316785699588</v>
      </c>
      <c r="K7524" s="6" t="n">
        <f aca="false">(Sens!C7522*IF(8&lt;life_it,1,IF(8=life_it,0.5,0))+Sens!D7522*IF(7&lt;life_it,1,IF(7=life_it,0.5,0))+Sens!E7522*IF(6&lt;life_it,1,IF(6=life_it,0.5,0))+Sens!F7522*IF(5&lt;life_it,1,IF(5=life_it,0.5,0))+Sens!G7522*IF(4&lt;life_it,1,IF(4=life_it,0.5,0))+Sens!H7522*IF(3&lt;life_it,1,IF(3=life_it,0.5,0))+Sens!I7522*IF(2&lt;life_it,1,IF(2=life_it,0.5,0))+Sens!J7522*IF(1&lt;life_it,1,IF(1=life_it,0.5,0))+Sens!K7522*0.5)/life_it</f>
        <v>131.342345916396</v>
      </c>
    </row>
    <row r="7525" customFormat="false" ht="17.15" hidden="false" customHeight="false" outlineLevel="0" collapsed="false">
      <c r="A7525" s="0" t="s">
        <v>843</v>
      </c>
      <c r="B7525" s="0" t="s">
        <v>98</v>
      </c>
      <c r="E7525" s="6" t="n">
        <f aca="false">(Sens!C7520*IF(2&lt;life_fac,1,IF(2=life_fac,0.5,0))+Sens!D7520*IF(1&lt;life_fac,1,IF(1=life_fac,0.5,0))+Sens!E7520*0.5)/life_fac</f>
        <v>1.2448275</v>
      </c>
      <c r="F7525" s="6" t="n">
        <f aca="false">(Sens!C7520*IF(3&lt;life_fac,1,IF(3=life_fac,0.5,0))+Sens!D7520*IF(2&lt;life_fac,1,IF(2=life_fac,0.5,0))+Sens!E7520*IF(1&lt;life_fac,1,IF(1=life_fac,0.5,0))+Sens!F7520*0.5)/life_fac</f>
        <v>2.4456901</v>
      </c>
      <c r="G7525" s="6" t="n">
        <f aca="false">(Sens!C7520*IF(4&lt;life_fac,1,IF(4=life_fac,0.5,0))+Sens!D7520*IF(3&lt;life_fac,1,IF(3=life_fac,0.5,0))+Sens!E7520*IF(2&lt;life_fac,1,IF(2=life_fac,0.5,0))+Sens!F7520*IF(1&lt;life_fac,1,IF(1=life_fac,0.5,0))+Sens!G7520*0.5)/life_fac</f>
        <v>3.9814208</v>
      </c>
      <c r="H7525" s="6" t="n">
        <f aca="false">(Sens!C7520*IF(5&lt;life_fac,1,IF(5=life_fac,0.5,0))+Sens!D7520*IF(4&lt;life_fac,1,IF(4=life_fac,0.5,0))+Sens!E7520*IF(3&lt;life_fac,1,IF(3=life_fac,0.5,0))+Sens!F7520*IF(2&lt;life_fac,1,IF(2=life_fac,0.5,0))+Sens!G7520*IF(1&lt;life_fac,1,IF(1=life_fac,0.5,0))+Sens!H7520*0.5)/life_fac</f>
        <v>5.582402</v>
      </c>
      <c r="I7525" s="6" t="n">
        <f aca="false">(Sens!C7520*IF(6&lt;life_fac,1,IF(6=life_fac,0.5,0))+Sens!D7520*IF(5&lt;life_fac,1,IF(5=life_fac,0.5,0))+Sens!E7520*IF(4&lt;life_fac,1,IF(4=life_fac,0.5,0))+Sens!F7520*IF(3&lt;life_fac,1,IF(3=life_fac,0.5,0))+Sens!G7520*IF(2&lt;life_fac,1,IF(2=life_fac,0.5,0))+Sens!H7520*IF(1&lt;life_fac,1,IF(1=life_fac,0.5,0))+Sens!I7520*0.5)/life_fac</f>
        <v>6.950862093</v>
      </c>
      <c r="J7525" s="6" t="n">
        <f aca="false">(Sens!C7520*IF(7&lt;life_fac,1,IF(7=life_fac,0.5,0))+Sens!D7520*IF(6&lt;life_fac,1,IF(6=life_fac,0.5,0))+Sens!E7520*IF(5&lt;life_fac,1,IF(5=life_fac,0.5,0))+Sens!F7520*IF(4&lt;life_fac,1,IF(4=life_fac,0.5,0))+Sens!G7520*IF(3&lt;life_fac,1,IF(3=life_fac,0.5,0))+Sens!H7520*IF(2&lt;life_fac,1,IF(2=life_fac,0.5,0))+Sens!I7520*IF(1&lt;life_fac,1,IF(1=life_fac,0.5,0))+Sens!J7520*0.5)/life_fac</f>
        <v>7.854279972</v>
      </c>
      <c r="K7525" s="6" t="n">
        <f aca="false">(Sens!C7520*IF(8&lt;life_fac,1,IF(8=life_fac,0.5,0))+Sens!D7520*IF(7&lt;life_fac,1,IF(7=life_fac,0.5,0))+Sens!E7520*IF(6&lt;life_fac,1,IF(6=life_fac,0.5,0))+Sens!F7520*IF(5&lt;life_fac,1,IF(5=life_fac,0.5,0))+Sens!G7520*IF(4&lt;life_fac,1,IF(4=life_fac,0.5,0))+Sens!H7520*IF(3&lt;life_fac,1,IF(3=life_fac,0.5,0))+Sens!I7520*IF(2&lt;life_fac,1,IF(2=life_fac,0.5,0))+Sens!J7520*IF(1&lt;life_fac,1,IF(1=life_fac,0.5,0))+Sens!K7520*0.5)/life_fac</f>
        <v>8.292655637</v>
      </c>
    </row>
    <row r="7526" customFormat="false" ht="17.15" hidden="false" customHeight="false" outlineLevel="0" collapsed="false">
      <c r="A7526" s="0" t="s">
        <v>844</v>
      </c>
      <c r="B7526" s="0" t="s">
        <v>98</v>
      </c>
      <c r="E7526" s="6" t="n">
        <f aca="false">Sens!E7524+Sens!E7525</f>
        <v>16.3054059770833</v>
      </c>
      <c r="F7526" s="6" t="n">
        <f aca="false">Sens!F7524+Sens!F7525</f>
        <v>34.734212830331</v>
      </c>
      <c r="G7526" s="6" t="n">
        <f aca="false">Sens!G7524+Sens!G7525</f>
        <v>60.4940880092619</v>
      </c>
      <c r="H7526" s="6" t="n">
        <f aca="false">Sens!H7524+Sens!H7525</f>
        <v>87.7296707420619</v>
      </c>
      <c r="I7526" s="6" t="n">
        <f aca="false">Sens!I7524+Sens!I7525</f>
        <v>111.974394731143</v>
      </c>
      <c r="J7526" s="6" t="n">
        <f aca="false">Sens!J7524+Sens!J7525</f>
        <v>129.171065671588</v>
      </c>
      <c r="K7526" s="6" t="n">
        <f aca="false">Sens!K7524+Sens!K7525</f>
        <v>139.635001553396</v>
      </c>
    </row>
    <row r="7527" customFormat="false" ht="17.15" hidden="false" customHeight="false" outlineLevel="0" collapsed="false">
      <c r="A7527" s="0" t="s">
        <v>845</v>
      </c>
      <c r="B7527" s="0" t="s">
        <v>98</v>
      </c>
      <c r="E7527" s="6" t="n">
        <f aca="false">Sens!E7515-Sens!E7514*Sens!E7526</f>
        <v>8.92707889977379</v>
      </c>
      <c r="F7527" s="6" t="n">
        <f aca="false">Sens!F7515-Sens!F7514*Sens!F7526</f>
        <v>22.2873257065385</v>
      </c>
      <c r="G7527" s="6" t="n">
        <f aca="false">Sens!G7515-Sens!G7514*Sens!G7526</f>
        <v>42.1748495743481</v>
      </c>
      <c r="H7527" s="6" t="n">
        <f aca="false">Sens!H7515-Sens!H7514*Sens!H7526</f>
        <v>67.5318218159817</v>
      </c>
      <c r="I7527" s="6" t="n">
        <f aca="false">Sens!I7515-Sens!I7514*Sens!I7526</f>
        <v>84.7481969968798</v>
      </c>
      <c r="J7527" s="6" t="n">
        <f aca="false">Sens!J7515-Sens!J7514*Sens!J7526</f>
        <v>96.7087545161021</v>
      </c>
      <c r="K7527" s="6" t="n">
        <f aca="false">Sens!K7515-Sens!K7514*Sens!K7526</f>
        <v>104.646940110692</v>
      </c>
    </row>
    <row r="7528" customFormat="false" ht="17.15" hidden="false" customHeight="false" outlineLevel="0" collapsed="false">
      <c r="A7528" s="3" t="s">
        <v>1430</v>
      </c>
    </row>
    <row r="7529" customFormat="false" ht="15" hidden="false" customHeight="false" outlineLevel="0" collapsed="false">
      <c r="A7529" s="4" t="s">
        <v>43</v>
      </c>
      <c r="B7529" s="4" t="s">
        <v>65</v>
      </c>
      <c r="C7529" s="20" t="s">
        <v>788</v>
      </c>
      <c r="D7529" s="20" t="s">
        <v>789</v>
      </c>
      <c r="E7529" s="20" t="s">
        <v>790</v>
      </c>
      <c r="F7529" s="20" t="s">
        <v>791</v>
      </c>
      <c r="G7529" s="20" t="s">
        <v>792</v>
      </c>
      <c r="H7529" s="20" t="s">
        <v>793</v>
      </c>
      <c r="I7529" s="20" t="s">
        <v>794</v>
      </c>
      <c r="J7529" s="20" t="s">
        <v>795</v>
      </c>
      <c r="K7529" s="20" t="s">
        <v>796</v>
      </c>
      <c r="L7529" s="4" t="s">
        <v>47</v>
      </c>
    </row>
    <row r="7530" customFormat="false" ht="17.15" hidden="false" customHeight="false" outlineLevel="0" collapsed="false">
      <c r="A7530" s="0" t="s">
        <v>864</v>
      </c>
      <c r="B7530" s="0" t="s">
        <v>98</v>
      </c>
      <c r="D7530" s="6" t="n">
        <f aca="false">Sens!D7509</f>
        <v>12.9359794422418</v>
      </c>
      <c r="E7530" s="6" t="n">
        <f aca="false">Sens!E7509</f>
        <v>27.8095064661409</v>
      </c>
      <c r="F7530" s="6" t="n">
        <f aca="false">Sens!F7509</f>
        <v>58.7324192305018</v>
      </c>
      <c r="G7530" s="6" t="n">
        <f aca="false">Sens!G7509</f>
        <v>101.369089141153</v>
      </c>
      <c r="H7530" s="6" t="n">
        <f aca="false">Sens!H7509</f>
        <v>149.785610014234</v>
      </c>
      <c r="I7530" s="6" t="n">
        <f aca="false">Sens!I7509</f>
        <v>187.368703083263</v>
      </c>
      <c r="J7530" s="6" t="n">
        <f aca="false">Sens!J7509</f>
        <v>213.569023125577</v>
      </c>
      <c r="K7530" s="6" t="n">
        <f aca="false">Sens!K7509</f>
        <v>229.890205197739</v>
      </c>
    </row>
    <row r="7531" customFormat="false" ht="17.15" hidden="false" customHeight="false" outlineLevel="0" collapsed="false">
      <c r="A7531" s="0" t="s">
        <v>865</v>
      </c>
      <c r="B7531" s="0" t="s">
        <v>98</v>
      </c>
      <c r="D7531" s="6" t="n">
        <f aca="false">Q!L6-Sens!D7530</f>
        <v>59.6740205577583</v>
      </c>
      <c r="E7531" s="6" t="n">
        <f aca="false">Q!M6-Sens!E7530</f>
        <v>74.1284935338591</v>
      </c>
      <c r="F7531" s="6" t="n">
        <f aca="false">Sens!E7531*(1+Sens!F7532)</f>
        <v>89.709307269697</v>
      </c>
      <c r="G7531" s="6" t="n">
        <f aca="false">Sens!F7531*(1+Sens!G7532)</f>
        <v>105.690953558647</v>
      </c>
      <c r="H7531" s="6" t="n">
        <f aca="false">Sens!G7531*(1+Sens!H7532)</f>
        <v>121.133663984194</v>
      </c>
      <c r="I7531" s="6" t="n">
        <f aca="false">Sens!H7531*(1+Sens!I7532)</f>
        <v>134.951941602699</v>
      </c>
      <c r="J7531" s="6" t="n">
        <f aca="false">Sens!I7531*(1+Sens!J7532)</f>
        <v>146.023036389274</v>
      </c>
      <c r="K7531" s="6" t="n">
        <f aca="false">Sens!J7531*(1+Sens!K7532)</f>
        <v>153.324188208738</v>
      </c>
    </row>
    <row r="7532" customFormat="false" ht="15" hidden="false" customHeight="false" outlineLevel="0" collapsed="false">
      <c r="A7532" s="1" t="s">
        <v>866</v>
      </c>
      <c r="B7532" s="0" t="s">
        <v>129</v>
      </c>
      <c r="E7532" s="7" t="n">
        <f aca="false">Sens!E7531/Sens!D7531-1</f>
        <v>0.242223883039864</v>
      </c>
      <c r="F7532" s="7" t="n">
        <f aca="false">Sens!$E$7532+(glt_azo_lo-Sens!$E$7532)*MIN(1,(Sens!F7492-base_fy)/n_conv)</f>
        <v>0.210186569199887</v>
      </c>
      <c r="G7532" s="7" t="n">
        <f aca="false">Sens!$E$7532+(glt_azo_lo-Sens!$E$7532)*MIN(1,(Sens!G7492-base_fy)/n_conv)</f>
        <v>0.17814925535991</v>
      </c>
      <c r="H7532" s="7" t="n">
        <f aca="false">Sens!$E$7532+(glt_azo_lo-Sens!$E$7532)*MIN(1,(Sens!H7492-base_fy)/n_conv)</f>
        <v>0.146111941519932</v>
      </c>
      <c r="I7532" s="7" t="n">
        <f aca="false">Sens!$E$7532+(glt_azo_lo-Sens!$E$7532)*MIN(1,(Sens!I7492-base_fy)/n_conv)</f>
        <v>0.114074627679955</v>
      </c>
      <c r="J7532" s="7" t="n">
        <f aca="false">Sens!$E$7532+(glt_azo_lo-Sens!$E$7532)*MIN(1,(Sens!J7492-base_fy)/n_conv)</f>
        <v>0.0820373138399774</v>
      </c>
      <c r="K7532" s="7" t="n">
        <f aca="false">Sens!$E$7532+(glt_azo_lo-Sens!$E$7532)*MIN(1,(Sens!K7492-base_fy)/n_conv)</f>
        <v>0.05</v>
      </c>
    </row>
    <row r="7533" customFormat="false" ht="15" hidden="false" customHeight="false" outlineLevel="0" collapsed="false">
      <c r="A7533" s="0" t="s">
        <v>867</v>
      </c>
      <c r="B7533" s="0" t="s">
        <v>98</v>
      </c>
      <c r="D7533" s="6" t="n">
        <f aca="false">Sens!D7530+Sens!D7531</f>
        <v>72.61</v>
      </c>
      <c r="E7533" s="6" t="n">
        <f aca="false">Sens!E7530+Sens!E7531</f>
        <v>101.938</v>
      </c>
      <c r="F7533" s="6" t="n">
        <f aca="false">Sens!F7530+Sens!F7531</f>
        <v>148.441726500199</v>
      </c>
      <c r="G7533" s="6" t="n">
        <f aca="false">Sens!G7530+Sens!G7531</f>
        <v>207.0600426998</v>
      </c>
      <c r="H7533" s="6" t="n">
        <f aca="false">Sens!H7530+Sens!H7531</f>
        <v>270.919273998428</v>
      </c>
      <c r="I7533" s="6" t="n">
        <f aca="false">Sens!I7530+Sens!I7531</f>
        <v>322.320644685962</v>
      </c>
      <c r="J7533" s="6" t="n">
        <f aca="false">Sens!J7530+Sens!J7531</f>
        <v>359.592059514851</v>
      </c>
      <c r="K7533" s="6" t="n">
        <f aca="false">Sens!K7530+Sens!K7531</f>
        <v>383.214393406477</v>
      </c>
    </row>
    <row r="7534" customFormat="false" ht="17.15" hidden="false" customHeight="false" outlineLevel="0" collapsed="false">
      <c r="A7534" s="0" t="s">
        <v>868</v>
      </c>
      <c r="B7534" s="1" t="s">
        <v>521</v>
      </c>
      <c r="C7534" s="29" t="n">
        <f aca="false">cop_s24</f>
        <v>1</v>
      </c>
      <c r="D7534" s="29" t="n">
        <f aca="false">cop_s25</f>
        <v>5</v>
      </c>
      <c r="E7534" s="29" t="n">
        <f aca="false">cop_s26</f>
        <v>30</v>
      </c>
      <c r="F7534" s="29" t="n">
        <f aca="false">Sens!E7534+cop_add_A</f>
        <v>60</v>
      </c>
      <c r="G7534" s="29" t="n">
        <f aca="false">Sens!F7534+cop_add_A</f>
        <v>90</v>
      </c>
      <c r="H7534" s="29" t="n">
        <f aca="false">Sens!G7534+cop_add_A</f>
        <v>120</v>
      </c>
      <c r="I7534" s="29" t="n">
        <f aca="false">Sens!H7534+cop_add_A*cop_tail</f>
        <v>135</v>
      </c>
      <c r="J7534" s="29" t="n">
        <f aca="false">Sens!I7534+cop_add_A*cop_tail</f>
        <v>150</v>
      </c>
      <c r="K7534" s="29" t="n">
        <f aca="false">Sens!J7534+cop_add_A*cop_tail</f>
        <v>165</v>
      </c>
      <c r="L7534" s="11" t="s">
        <v>869</v>
      </c>
    </row>
    <row r="7535" customFormat="false" ht="17.15" hidden="false" customHeight="false" outlineLevel="0" collapsed="false">
      <c r="A7535" s="0" t="s">
        <v>870</v>
      </c>
      <c r="B7535" s="0" t="s">
        <v>98</v>
      </c>
      <c r="D7535" s="6" t="n">
        <f aca="false">(Sens!C7534+Sens!D7534)/2*cop_px*12/1000</f>
        <v>0.9</v>
      </c>
      <c r="E7535" s="6" t="n">
        <f aca="false">(Sens!D7534+Sens!E7534)/2*cop_px*12/1000</f>
        <v>5.25</v>
      </c>
      <c r="F7535" s="6" t="n">
        <f aca="false">(Sens!E7534+Sens!F7534)/2*cop_px*12/1000</f>
        <v>13.5</v>
      </c>
      <c r="G7535" s="6" t="n">
        <f aca="false">(Sens!F7534+Sens!G7534)/2*cop_px*12/1000</f>
        <v>22.5</v>
      </c>
      <c r="H7535" s="6" t="n">
        <f aca="false">(Sens!G7534+Sens!H7534)/2*cop_px*12/1000</f>
        <v>31.5</v>
      </c>
      <c r="I7535" s="6" t="n">
        <f aca="false">(Sens!H7534+Sens!I7534)/2*cop_px*12/1000</f>
        <v>38.25</v>
      </c>
      <c r="J7535" s="6" t="n">
        <f aca="false">(Sens!I7534+Sens!J7534)/2*cop_px*12/1000</f>
        <v>42.75</v>
      </c>
      <c r="K7535" s="6" t="n">
        <f aca="false">(Sens!J7534+Sens!K7534)/2*cop_px*12/1000</f>
        <v>47.25</v>
      </c>
      <c r="L7535" s="1" t="s">
        <v>871</v>
      </c>
    </row>
    <row r="7536" customFormat="false" ht="17.15" hidden="false" customHeight="false" outlineLevel="0" collapsed="false">
      <c r="A7536" s="0" t="s">
        <v>872</v>
      </c>
      <c r="B7536" s="0" t="s">
        <v>98</v>
      </c>
      <c r="D7536" s="6" t="n">
        <f aca="false">Q!L7-Sens!D7535</f>
        <v>83.705</v>
      </c>
      <c r="E7536" s="6" t="n">
        <f aca="false">Q!M7-Sens!E7535</f>
        <v>95.049</v>
      </c>
      <c r="F7536" s="6" t="n">
        <f aca="false">Sens!E7536*(1+Sens!F7537)</f>
        <v>106.89238776686</v>
      </c>
      <c r="G7536" s="6" t="n">
        <f aca="false">Sens!F7536*(1+Sens!G7537)</f>
        <v>119.044168448684</v>
      </c>
      <c r="H7536" s="6" t="n">
        <f aca="false">Sens!G7536*(1+Sens!H7537)</f>
        <v>131.277359388781</v>
      </c>
      <c r="I7536" s="6" t="n">
        <f aca="false">Sens!H7536*(1+Sens!I7537)</f>
        <v>143.334028071957</v>
      </c>
      <c r="J7536" s="6" t="n">
        <f aca="false">Sens!I7536*(1+Sens!J7537)</f>
        <v>154.932702785465</v>
      </c>
      <c r="K7536" s="6" t="n">
        <f aca="false">Sens!J7536*(1+Sens!K7537)</f>
        <v>165.777991980448</v>
      </c>
    </row>
    <row r="7537" customFormat="false" ht="15" hidden="false" customHeight="false" outlineLevel="0" collapsed="false">
      <c r="A7537" s="1" t="s">
        <v>866</v>
      </c>
      <c r="B7537" s="0" t="s">
        <v>129</v>
      </c>
      <c r="E7537" s="7" t="n">
        <f aca="false">Sens!E7536/Sens!D7536-1</f>
        <v>0.135523564900544</v>
      </c>
      <c r="F7537" s="7" t="n">
        <f aca="false">Sens!$E$7537+(glt_m365b-Sens!$E$7537)*MIN(1,(Sens!F7492-base_fy)/n_conv)</f>
        <v>0.124602970750453</v>
      </c>
      <c r="G7537" s="7" t="n">
        <f aca="false">Sens!$E$7537+(glt_m365b-Sens!$E$7537)*MIN(1,(Sens!G7492-base_fy)/n_conv)</f>
        <v>0.113682376600363</v>
      </c>
      <c r="H7537" s="7" t="n">
        <f aca="false">Sens!$E$7537+(glt_m365b-Sens!$E$7537)*MIN(1,(Sens!H7492-base_fy)/n_conv)</f>
        <v>0.102761782450272</v>
      </c>
      <c r="I7537" s="7" t="n">
        <f aca="false">Sens!$E$7537+(glt_m365b-Sens!$E$7537)*MIN(1,(Sens!I7492-base_fy)/n_conv)</f>
        <v>0.0918411883001813</v>
      </c>
      <c r="J7537" s="7" t="n">
        <f aca="false">Sens!$E$7537+(glt_m365b-Sens!$E$7537)*MIN(1,(Sens!J7492-base_fy)/n_conv)</f>
        <v>0.0809205941500906</v>
      </c>
      <c r="K7537" s="7" t="n">
        <f aca="false">Sens!$E$7537+(glt_m365b-Sens!$E$7537)*MIN(1,(Sens!K7492-base_fy)/n_conv)</f>
        <v>0.07</v>
      </c>
    </row>
    <row r="7538" customFormat="false" ht="15" hidden="false" customHeight="false" outlineLevel="0" collapsed="false">
      <c r="A7538" s="0" t="s">
        <v>873</v>
      </c>
      <c r="B7538" s="0" t="s">
        <v>98</v>
      </c>
      <c r="D7538" s="6" t="n">
        <f aca="false">Sens!D7536+Sens!D7535</f>
        <v>84.605</v>
      </c>
      <c r="E7538" s="6" t="n">
        <f aca="false">Sens!E7536+Sens!E7535</f>
        <v>100.299</v>
      </c>
      <c r="F7538" s="6" t="n">
        <f aca="false">Sens!F7536+Sens!F7535</f>
        <v>120.39238776686</v>
      </c>
      <c r="G7538" s="6" t="n">
        <f aca="false">Sens!G7536+Sens!G7535</f>
        <v>141.544168448684</v>
      </c>
      <c r="H7538" s="6" t="n">
        <f aca="false">Sens!H7536+Sens!H7535</f>
        <v>162.777359388781</v>
      </c>
      <c r="I7538" s="6" t="n">
        <f aca="false">Sens!I7536+Sens!I7535</f>
        <v>181.584028071957</v>
      </c>
      <c r="J7538" s="6" t="n">
        <f aca="false">Sens!J7536+Sens!J7535</f>
        <v>197.682702785465</v>
      </c>
      <c r="K7538" s="6" t="n">
        <f aca="false">Sens!K7536+Sens!K7535</f>
        <v>213.027991980448</v>
      </c>
    </row>
    <row r="7539" customFormat="false" ht="15" hidden="false" customHeight="false" outlineLevel="0" collapsed="false">
      <c r="A7539" s="0" t="s">
        <v>874</v>
      </c>
      <c r="B7539" s="0" t="s">
        <v>98</v>
      </c>
      <c r="D7539" s="6" t="n">
        <f aca="false">Q!L8</f>
        <v>35.391</v>
      </c>
      <c r="E7539" s="6" t="n">
        <f aca="false">Q!M8</f>
        <v>37.285</v>
      </c>
      <c r="F7539" s="6" t="n">
        <f aca="false">Sens!E7539*(1+Sens!F7540)</f>
        <v>39.0720834331704</v>
      </c>
      <c r="G7539" s="6" t="n">
        <f aca="false">Sens!F7539*(1+Sens!G7540)</f>
        <v>40.726562953769</v>
      </c>
      <c r="H7539" s="6" t="n">
        <f aca="false">Sens!G7539*(1+Sens!H7540)</f>
        <v>42.2235987259198</v>
      </c>
      <c r="I7539" s="6" t="n">
        <f aca="false">Sens!H7539*(1+Sens!I7540)</f>
        <v>43.5397988077414</v>
      </c>
      <c r="J7539" s="6" t="n">
        <f aca="false">Sens!I7539*(1+Sens!J7540)</f>
        <v>44.653811225693</v>
      </c>
      <c r="K7539" s="6" t="n">
        <f aca="false">Sens!J7539*(1+Sens!K7540)</f>
        <v>45.5468874502068</v>
      </c>
    </row>
    <row r="7540" customFormat="false" ht="15" hidden="false" customHeight="false" outlineLevel="0" collapsed="false">
      <c r="A7540" s="1" t="s">
        <v>866</v>
      </c>
      <c r="B7540" s="0" t="s">
        <v>129</v>
      </c>
      <c r="E7540" s="7" t="n">
        <f aca="false">Sens!E7539/Sens!D7539-1</f>
        <v>0.0535164307309768</v>
      </c>
      <c r="F7540" s="7" t="n">
        <f aca="false">Sens!$E$7540+(glt_lic-Sens!$E$7540)*MIN(1,(Sens!F7492-base_fy)/n_conv)</f>
        <v>0.0479303589424807</v>
      </c>
      <c r="G7540" s="7" t="n">
        <f aca="false">Sens!$E$7540+(glt_lic-Sens!$E$7540)*MIN(1,(Sens!G7492-base_fy)/n_conv)</f>
        <v>0.0423442871539845</v>
      </c>
      <c r="H7540" s="7" t="n">
        <f aca="false">Sens!$E$7540+(glt_lic-Sens!$E$7540)*MIN(1,(Sens!H7492-base_fy)/n_conv)</f>
        <v>0.0367582153654884</v>
      </c>
      <c r="I7540" s="7" t="n">
        <f aca="false">Sens!$E$7540+(glt_lic-Sens!$E$7540)*MIN(1,(Sens!I7492-base_fy)/n_conv)</f>
        <v>0.0311721435769923</v>
      </c>
      <c r="J7540" s="7" t="n">
        <f aca="false">Sens!$E$7540+(glt_lic-Sens!$E$7540)*MIN(1,(Sens!J7492-base_fy)/n_conv)</f>
        <v>0.0255860717884961</v>
      </c>
      <c r="K7540" s="7" t="n">
        <f aca="false">Sens!$E$7540+(glt_lic-Sens!$E$7540)*MIN(1,(Sens!K7492-base_fy)/n_conv)</f>
        <v>0.02</v>
      </c>
    </row>
    <row r="7541" customFormat="false" ht="15" hidden="false" customHeight="false" outlineLevel="0" collapsed="false">
      <c r="A7541" s="0" t="s">
        <v>875</v>
      </c>
      <c r="B7541" s="0" t="s">
        <v>98</v>
      </c>
      <c r="D7541" s="6" t="n">
        <f aca="false">Q!L9</f>
        <v>18.417</v>
      </c>
      <c r="E7541" s="6" t="n">
        <f aca="false">Q!M9</f>
        <v>20.345</v>
      </c>
      <c r="F7541" s="6" t="n">
        <f aca="false">Sens!E7541*(1+Sens!F7542)</f>
        <v>22.3572203267814</v>
      </c>
      <c r="G7541" s="6" t="n">
        <f aca="false">Sens!F7541*(1+Sens!G7542)</f>
        <v>24.4392124437232</v>
      </c>
      <c r="H7541" s="6" t="n">
        <f aca="false">Sens!G7541*(1+Sens!H7542)</f>
        <v>26.5738052080665</v>
      </c>
      <c r="I7541" s="6" t="n">
        <f aca="false">Sens!H7541*(1+Sens!I7542)</f>
        <v>28.7412169166967</v>
      </c>
      <c r="J7541" s="6" t="n">
        <f aca="false">Sens!I7541*(1+Sens!J7542)</f>
        <v>30.9192545395413</v>
      </c>
      <c r="K7541" s="6" t="n">
        <f aca="false">Sens!J7541*(1+Sens!K7542)</f>
        <v>33.0836023573092</v>
      </c>
    </row>
    <row r="7542" customFormat="false" ht="15" hidden="false" customHeight="false" outlineLevel="0" collapsed="false">
      <c r="A7542" s="1" t="s">
        <v>866</v>
      </c>
      <c r="B7542" s="0" t="s">
        <v>129</v>
      </c>
      <c r="E7542" s="7" t="n">
        <f aca="false">Sens!E7541/Sens!D7541-1</f>
        <v>0.104685888038225</v>
      </c>
      <c r="F7542" s="7" t="n">
        <f aca="false">Sens!$E$7542+(glt_ind-Sens!$E$7542)*MIN(1,(Sens!F7492-base_fy)/n_conv)</f>
        <v>0.0989049066985211</v>
      </c>
      <c r="G7542" s="7" t="n">
        <f aca="false">Sens!$E$7542+(glt_ind-Sens!$E$7542)*MIN(1,(Sens!G7492-base_fy)/n_conv)</f>
        <v>0.0931239253588169</v>
      </c>
      <c r="H7542" s="7" t="n">
        <f aca="false">Sens!$E$7542+(glt_ind-Sens!$E$7542)*MIN(1,(Sens!H7492-base_fy)/n_conv)</f>
        <v>0.0873429440191127</v>
      </c>
      <c r="I7542" s="7" t="n">
        <f aca="false">Sens!$E$7542+(glt_ind-Sens!$E$7542)*MIN(1,(Sens!I7492-base_fy)/n_conv)</f>
        <v>0.0815619626794085</v>
      </c>
      <c r="J7542" s="7" t="n">
        <f aca="false">Sens!$E$7542+(glt_ind-Sens!$E$7542)*MIN(1,(Sens!J7492-base_fy)/n_conv)</f>
        <v>0.0757809813397042</v>
      </c>
      <c r="K7542" s="7" t="n">
        <f aca="false">Sens!$E$7542+(glt_ind-Sens!$E$7542)*MIN(1,(Sens!K7492-base_fy)/n_conv)</f>
        <v>0.07</v>
      </c>
    </row>
    <row r="7543" customFormat="false" ht="15" hidden="false" customHeight="false" outlineLevel="0" collapsed="false">
      <c r="A7543" s="0" t="s">
        <v>876</v>
      </c>
      <c r="B7543" s="0" t="s">
        <v>98</v>
      </c>
      <c r="D7543" s="6" t="n">
        <f aca="false">Q!L10</f>
        <v>7.76</v>
      </c>
      <c r="E7543" s="6" t="n">
        <f aca="false">Q!M10</f>
        <v>8.26</v>
      </c>
      <c r="F7543" s="6" t="n">
        <f aca="false">Sens!E7543*(1+Sens!F7544)</f>
        <v>8.79988041237113</v>
      </c>
      <c r="G7543" s="6" t="n">
        <f aca="false">Sens!F7543*(1+Sens!G7544)</f>
        <v>9.38321269125306</v>
      </c>
      <c r="H7543" s="6" t="n">
        <f aca="false">Sens!G7543*(1+Sens!H7544)</f>
        <v>10.0139193587476</v>
      </c>
      <c r="I7543" s="6" t="n">
        <f aca="false">Sens!H7543*(1+Sens!I7544)</f>
        <v>10.6963111830911</v>
      </c>
      <c r="J7543" s="6" t="n">
        <f aca="false">Sens!I7543*(1+Sens!J7544)</f>
        <v>11.4351285534696</v>
      </c>
      <c r="K7543" s="6" t="n">
        <f aca="false">Sens!J7543*(1+Sens!K7544)</f>
        <v>12.2355875522124</v>
      </c>
    </row>
    <row r="7544" customFormat="false" ht="15" hidden="false" customHeight="false" outlineLevel="0" collapsed="false">
      <c r="A7544" s="1" t="s">
        <v>866</v>
      </c>
      <c r="B7544" s="0" t="s">
        <v>129</v>
      </c>
      <c r="E7544" s="7" t="n">
        <f aca="false">Sens!E7543/Sens!D7543-1</f>
        <v>0.0644329896907216</v>
      </c>
      <c r="F7544" s="7" t="n">
        <f aca="false">Sens!$E$7544+(glt_fro-Sens!$E$7544)*MIN(1,(Sens!F7492-base_fy)/n_conv)</f>
        <v>0.065360824742268</v>
      </c>
      <c r="G7544" s="7" t="n">
        <f aca="false">Sens!$E$7544+(glt_fro-Sens!$E$7544)*MIN(1,(Sens!G7492-base_fy)/n_conv)</f>
        <v>0.0662886597938144</v>
      </c>
      <c r="H7544" s="7" t="n">
        <f aca="false">Sens!$E$7544+(glt_fro-Sens!$E$7544)*MIN(1,(Sens!H7492-base_fy)/n_conv)</f>
        <v>0.0672164948453608</v>
      </c>
      <c r="I7544" s="7" t="n">
        <f aca="false">Sens!$E$7544+(glt_fro-Sens!$E$7544)*MIN(1,(Sens!I7492-base_fy)/n_conv)</f>
        <v>0.0681443298969072</v>
      </c>
      <c r="J7544" s="7" t="n">
        <f aca="false">Sens!$E$7544+(glt_fro-Sens!$E$7544)*MIN(1,(Sens!J7492-base_fy)/n_conv)</f>
        <v>0.0690721649484536</v>
      </c>
      <c r="K7544" s="7" t="n">
        <f aca="false">Sens!$E$7544+(glt_fro-Sens!$E$7544)*MIN(1,(Sens!K7492-base_fy)/n_conv)</f>
        <v>0.07</v>
      </c>
    </row>
    <row r="7545" customFormat="false" ht="15" hidden="false" customHeight="false" outlineLevel="0" collapsed="false">
      <c r="A7545" s="0" t="s">
        <v>704</v>
      </c>
      <c r="B7545" s="0" t="s">
        <v>98</v>
      </c>
      <c r="D7545" s="6" t="n">
        <f aca="false">Sens!D7533+Sens!D7538+Sens!D7539+Sens!D7541+Sens!D7543</f>
        <v>218.783</v>
      </c>
      <c r="E7545" s="6" t="n">
        <f aca="false">Sens!E7533+Sens!E7538+Sens!E7539+Sens!E7541+Sens!E7543</f>
        <v>268.127</v>
      </c>
      <c r="F7545" s="6" t="n">
        <f aca="false">Sens!F7533+Sens!F7538+Sens!F7539+Sens!F7541+Sens!F7543</f>
        <v>339.063298439382</v>
      </c>
      <c r="G7545" s="6" t="n">
        <f aca="false">Sens!G7533+Sens!G7538+Sens!G7539+Sens!G7541+Sens!G7543</f>
        <v>423.153199237229</v>
      </c>
      <c r="H7545" s="6" t="n">
        <f aca="false">Sens!H7533+Sens!H7538+Sens!H7539+Sens!H7541+Sens!H7543</f>
        <v>512.507956679943</v>
      </c>
      <c r="I7545" s="6" t="n">
        <f aca="false">Sens!I7533+Sens!I7538+Sens!I7539+Sens!I7541+Sens!I7543</f>
        <v>586.881999665448</v>
      </c>
      <c r="J7545" s="6" t="n">
        <f aca="false">Sens!J7533+Sens!J7538+Sens!J7539+Sens!J7541+Sens!J7543</f>
        <v>644.28295661902</v>
      </c>
      <c r="K7545" s="6" t="n">
        <f aca="false">Sens!K7533+Sens!K7538+Sens!K7539+Sens!K7541+Sens!K7543</f>
        <v>687.108462746653</v>
      </c>
    </row>
    <row r="7546" customFormat="false" ht="15" hidden="false" customHeight="false" outlineLevel="0" collapsed="false">
      <c r="A7546" s="0" t="s">
        <v>877</v>
      </c>
      <c r="B7546" s="0" t="s">
        <v>98</v>
      </c>
      <c r="D7546" s="6" t="n">
        <f aca="false">Q!L13</f>
        <v>22.171</v>
      </c>
      <c r="E7546" s="6" t="n">
        <f aca="false">Q!M13</f>
        <v>24.835</v>
      </c>
      <c r="F7546" s="6" t="n">
        <f aca="false">Sens!E7546*(1+Sens!F7547)</f>
        <v>27.6114901218559</v>
      </c>
      <c r="G7546" s="6" t="n">
        <f aca="false">Sens!F7546*(1+Sens!G7547)</f>
        <v>30.4675667338515</v>
      </c>
      <c r="H7546" s="6" t="n">
        <f aca="false">Sens!G7546*(1+Sens!H7547)</f>
        <v>33.3643766955789</v>
      </c>
      <c r="I7546" s="6" t="n">
        <f aca="false">Sens!H7546*(1+Sens!I7547)</f>
        <v>36.2577016533691</v>
      </c>
      <c r="J7546" s="6" t="n">
        <f aca="false">Sens!I7546*(1+Sens!J7547)</f>
        <v>39.0988367952171</v>
      </c>
      <c r="K7546" s="6" t="n">
        <f aca="false">Sens!J7546*(1+Sens!K7547)</f>
        <v>41.8357553708823</v>
      </c>
    </row>
    <row r="7547" customFormat="false" ht="15" hidden="false" customHeight="false" outlineLevel="0" collapsed="false">
      <c r="A7547" s="1" t="s">
        <v>866</v>
      </c>
      <c r="B7547" s="0" t="s">
        <v>129</v>
      </c>
      <c r="E7547" s="7" t="n">
        <f aca="false">Sens!E7546/Sens!D7546-1</f>
        <v>0.120156961796942</v>
      </c>
      <c r="F7547" s="7" t="n">
        <f aca="false">Sens!$E$7547+(glt_srch-Sens!$E$7547)*MIN(1,(Sens!F7492-base_fy)/n_conv)</f>
        <v>0.111797468164118</v>
      </c>
      <c r="G7547" s="7" t="n">
        <f aca="false">Sens!$E$7547+(glt_srch-Sens!$E$7547)*MIN(1,(Sens!G7492-base_fy)/n_conv)</f>
        <v>0.103437974531295</v>
      </c>
      <c r="H7547" s="7" t="n">
        <f aca="false">Sens!$E$7547+(glt_srch-Sens!$E$7547)*MIN(1,(Sens!H7492-base_fy)/n_conv)</f>
        <v>0.095078480898471</v>
      </c>
      <c r="I7547" s="7" t="n">
        <f aca="false">Sens!$E$7547+(glt_srch-Sens!$E$7547)*MIN(1,(Sens!I7492-base_fy)/n_conv)</f>
        <v>0.0867189872656474</v>
      </c>
      <c r="J7547" s="7" t="n">
        <f aca="false">Sens!$E$7547+(glt_srch-Sens!$E$7547)*MIN(1,(Sens!J7492-base_fy)/n_conv)</f>
        <v>0.0783594936328237</v>
      </c>
      <c r="K7547" s="7" t="n">
        <f aca="false">Sens!$E$7547+(glt_srch-Sens!$E$7547)*MIN(1,(Sens!K7492-base_fy)/n_conv)</f>
        <v>0.07</v>
      </c>
    </row>
    <row r="7548" customFormat="false" ht="15" hidden="false" customHeight="false" outlineLevel="0" collapsed="false">
      <c r="A7548" s="0" t="s">
        <v>878</v>
      </c>
      <c r="B7548" s="0" t="s">
        <v>98</v>
      </c>
      <c r="D7548" s="6" t="n">
        <f aca="false">Q!L14</f>
        <v>23.455</v>
      </c>
      <c r="E7548" s="6" t="n">
        <f aca="false">Q!M14</f>
        <v>21.79</v>
      </c>
      <c r="F7548" s="6" t="n">
        <f aca="false">Sens!E7548*(1+Sens!F7549)</f>
        <v>20.5736277908051</v>
      </c>
      <c r="G7548" s="6" t="n">
        <f aca="false">Sens!F7548*(1+Sens!G7549)</f>
        <v>19.7371452817919</v>
      </c>
      <c r="H7548" s="6" t="n">
        <f aca="false">Sens!G7548*(1+Sens!H7549)</f>
        <v>19.2339764043138</v>
      </c>
      <c r="I7548" s="6" t="n">
        <f aca="false">Sens!H7548*(1+Sens!I7549)</f>
        <v>19.0353086852681</v>
      </c>
      <c r="J7548" s="6" t="n">
        <f aca="false">Sens!I7548*(1+Sens!J7549)</f>
        <v>19.1273539319129</v>
      </c>
      <c r="K7548" s="6" t="n">
        <f aca="false">Sens!J7548*(1+Sens!K7549)</f>
        <v>19.5099010105511</v>
      </c>
    </row>
    <row r="7549" customFormat="false" ht="15" hidden="false" customHeight="false" outlineLevel="0" collapsed="false">
      <c r="A7549" s="1" t="s">
        <v>866</v>
      </c>
      <c r="B7549" s="0" t="s">
        <v>129</v>
      </c>
      <c r="E7549" s="7" t="n">
        <f aca="false">Sens!E7548/Sens!D7548-1</f>
        <v>-0.0709869963760392</v>
      </c>
      <c r="F7549" s="7" t="n">
        <f aca="false">Sens!$E$7549+(glt_xbox-Sens!$E$7549)*MIN(1,(Sens!F7492-base_fy)/n_conv)</f>
        <v>-0.0558224969800327</v>
      </c>
      <c r="G7549" s="7" t="n">
        <f aca="false">Sens!$E$7549+(glt_xbox-Sens!$E$7549)*MIN(1,(Sens!G7492-base_fy)/n_conv)</f>
        <v>-0.0406579975840262</v>
      </c>
      <c r="H7549" s="7" t="n">
        <f aca="false">Sens!$E$7549+(glt_xbox-Sens!$E$7549)*MIN(1,(Sens!H7492-base_fy)/n_conv)</f>
        <v>-0.0254934981880196</v>
      </c>
      <c r="I7549" s="7" t="n">
        <f aca="false">Sens!$E$7549+(glt_xbox-Sens!$E$7549)*MIN(1,(Sens!I7492-base_fy)/n_conv)</f>
        <v>-0.0103289987920131</v>
      </c>
      <c r="J7549" s="7" t="n">
        <f aca="false">Sens!$E$7549+(glt_xbox-Sens!$E$7549)*MIN(1,(Sens!J7492-base_fy)/n_conv)</f>
        <v>0.00483550060399347</v>
      </c>
      <c r="K7549" s="7" t="n">
        <f aca="false">Sens!$E$7549+(glt_xbox-Sens!$E$7549)*MIN(1,(Sens!K7492-base_fy)/n_conv)</f>
        <v>0.02</v>
      </c>
    </row>
    <row r="7550" customFormat="false" ht="15" hidden="false" customHeight="false" outlineLevel="0" collapsed="false">
      <c r="A7550" s="0" t="s">
        <v>879</v>
      </c>
      <c r="B7550" s="0" t="s">
        <v>98</v>
      </c>
      <c r="D7550" s="6" t="n">
        <f aca="false">Q!L15</f>
        <v>17.315</v>
      </c>
      <c r="E7550" s="6" t="n">
        <f aca="false">Q!M15</f>
        <v>17.087</v>
      </c>
      <c r="F7550" s="6" t="n">
        <f aca="false">Sens!E7550*(1+Sens!F7551)</f>
        <v>16.9564585436519</v>
      </c>
      <c r="G7550" s="6" t="n">
        <f aca="false">Sens!F7550*(1+Sens!G7551)</f>
        <v>16.9206490624268</v>
      </c>
      <c r="H7550" s="6" t="n">
        <f aca="false">Sens!G7550*(1+Sens!H7551)</f>
        <v>16.9784519149849</v>
      </c>
      <c r="I7550" s="6" t="n">
        <f aca="false">Sens!H7550*(1+Sens!I7551)</f>
        <v>17.1303084701817</v>
      </c>
      <c r="J7550" s="6" t="n">
        <f aca="false">Sens!I7550*(1+Sens!J7551)</f>
        <v>17.3782189407267</v>
      </c>
      <c r="K7550" s="6" t="n">
        <f aca="false">Sens!J7550*(1+Sens!K7551)</f>
        <v>17.7257833195413</v>
      </c>
    </row>
    <row r="7551" customFormat="false" ht="15" hidden="false" customHeight="false" outlineLevel="0" collapsed="false">
      <c r="A7551" s="1" t="s">
        <v>866</v>
      </c>
      <c r="B7551" s="0" t="s">
        <v>129</v>
      </c>
      <c r="E7551" s="7" t="n">
        <f aca="false">Sens!E7550/Sens!D7550-1</f>
        <v>-0.0131677736066995</v>
      </c>
      <c r="F7551" s="7" t="n">
        <f aca="false">Sens!$E$7551+(glt_win-Sens!$E$7551)*MIN(1,(Sens!F7492-base_fy)/n_conv)</f>
        <v>-0.00763981133891627</v>
      </c>
      <c r="G7551" s="7" t="n">
        <f aca="false">Sens!$E$7551+(glt_win-Sens!$E$7551)*MIN(1,(Sens!G7492-base_fy)/n_conv)</f>
        <v>-0.00211184907113301</v>
      </c>
      <c r="H7551" s="7" t="n">
        <f aca="false">Sens!$E$7551+(glt_win-Sens!$E$7551)*MIN(1,(Sens!H7492-base_fy)/n_conv)</f>
        <v>0.00341611319665024</v>
      </c>
      <c r="I7551" s="7" t="n">
        <f aca="false">Sens!$E$7551+(glt_win-Sens!$E$7551)*MIN(1,(Sens!I7492-base_fy)/n_conv)</f>
        <v>0.00894407546443349</v>
      </c>
      <c r="J7551" s="7" t="n">
        <f aca="false">Sens!$E$7551+(glt_win-Sens!$E$7551)*MIN(1,(Sens!J7492-base_fy)/n_conv)</f>
        <v>0.0144720377322168</v>
      </c>
      <c r="K7551" s="7" t="n">
        <f aca="false">Sens!$E$7551+(glt_win-Sens!$E$7551)*MIN(1,(Sens!K7492-base_fy)/n_conv)</f>
        <v>0.02</v>
      </c>
    </row>
    <row r="7552" customFormat="false" ht="15" hidden="false" customHeight="false" outlineLevel="0" collapsed="false">
      <c r="A7552" s="0" t="s">
        <v>718</v>
      </c>
      <c r="B7552" s="0" t="s">
        <v>98</v>
      </c>
      <c r="D7552" s="6" t="n">
        <f aca="false">Sens!D7546+Sens!D7548+Sens!D7550</f>
        <v>62.941</v>
      </c>
      <c r="E7552" s="6" t="n">
        <f aca="false">Sens!E7546+Sens!E7548+Sens!E7550</f>
        <v>63.712</v>
      </c>
      <c r="F7552" s="6" t="n">
        <f aca="false">Sens!F7546+Sens!F7548+Sens!F7550</f>
        <v>65.1415764563129</v>
      </c>
      <c r="G7552" s="6" t="n">
        <f aca="false">Sens!G7546+Sens!G7548+Sens!G7550</f>
        <v>67.1253610780702</v>
      </c>
      <c r="H7552" s="6" t="n">
        <f aca="false">Sens!H7546+Sens!H7548+Sens!H7550</f>
        <v>69.5768050148776</v>
      </c>
      <c r="I7552" s="6" t="n">
        <f aca="false">Sens!I7546+Sens!I7548+Sens!I7550</f>
        <v>72.4233188088189</v>
      </c>
      <c r="J7552" s="6" t="n">
        <f aca="false">Sens!J7546+Sens!J7548+Sens!J7550</f>
        <v>75.6044096678567</v>
      </c>
      <c r="K7552" s="6" t="n">
        <f aca="false">Sens!K7546+Sens!K7548+Sens!K7550</f>
        <v>79.0714397009747</v>
      </c>
    </row>
    <row r="7553" customFormat="false" ht="15" hidden="false" customHeight="false" outlineLevel="0" collapsed="false">
      <c r="A7553" s="1" t="s">
        <v>880</v>
      </c>
      <c r="B7553" s="0" t="s">
        <v>98</v>
      </c>
      <c r="D7553" s="6" t="n">
        <f aca="false">Sens!D7545+Sens!D7552</f>
        <v>281.724</v>
      </c>
      <c r="E7553" s="6" t="n">
        <f aca="false">Sens!E7545+Sens!E7552</f>
        <v>331.839</v>
      </c>
      <c r="F7553" s="6" t="n">
        <f aca="false">Sens!F7545+Sens!F7552</f>
        <v>404.204874895694</v>
      </c>
      <c r="G7553" s="6" t="n">
        <f aca="false">Sens!G7545+Sens!G7552</f>
        <v>490.278560315299</v>
      </c>
      <c r="H7553" s="6" t="n">
        <f aca="false">Sens!H7545+Sens!H7552</f>
        <v>582.08476169482</v>
      </c>
      <c r="I7553" s="6" t="n">
        <f aca="false">Sens!I7545+Sens!I7552</f>
        <v>659.305318474267</v>
      </c>
      <c r="J7553" s="6" t="n">
        <f aca="false">Sens!J7545+Sens!J7552</f>
        <v>719.887366286877</v>
      </c>
      <c r="K7553" s="6" t="n">
        <f aca="false">Sens!K7545+Sens!K7552</f>
        <v>766.179902447628</v>
      </c>
    </row>
    <row r="7554" customFormat="false" ht="15" hidden="false" customHeight="false" outlineLevel="0" collapsed="false">
      <c r="A7554" s="23" t="s">
        <v>881</v>
      </c>
      <c r="B7554" s="30" t="s">
        <v>98</v>
      </c>
      <c r="C7554" s="30"/>
      <c r="D7554" s="24" t="n">
        <f aca="false">(Sens!D7533+Sens!D7538+Sens!D7539+Sens!D7541+Sens!D7543-Sens!D7545)+(Sens!D7546+Sens!D7548+Sens!D7550-Sens!D7552)+(Sens!D7545-Q!L5)+(Sens!D7552-Q!L12)+(Sens!D7533-Q!L6)+(Sens!D7538-Q!L7)</f>
        <v>0</v>
      </c>
      <c r="E7554" s="24" t="n">
        <f aca="false">(Sens!E7533+Sens!E7538+Sens!E7539+Sens!E7541+Sens!E7543-Sens!E7545)+(Sens!E7546+Sens!E7548+Sens!E7550-Sens!E7552)+(Sens!E7545-Q!M5)+(Sens!E7552-Q!M12)+(Sens!E7533-Q!M6)+(Sens!E7538-Q!M7)</f>
        <v>0</v>
      </c>
      <c r="F7554" s="24" t="n">
        <f aca="false">(Sens!F7533+Sens!F7538+Sens!F7539+Sens!F7541+Sens!F7543-Sens!F7545)+(Sens!F7546+Sens!F7548+Sens!F7550-Sens!F7552)</f>
        <v>0</v>
      </c>
      <c r="G7554" s="24" t="n">
        <f aca="false">(Sens!G7533+Sens!G7538+Sens!G7539+Sens!G7541+Sens!G7543-Sens!G7545)+(Sens!G7546+Sens!G7548+Sens!G7550-Sens!G7552)</f>
        <v>0</v>
      </c>
      <c r="H7554" s="24" t="n">
        <f aca="false">(Sens!H7533+Sens!H7538+Sens!H7539+Sens!H7541+Sens!H7543-Sens!H7545)+(Sens!H7546+Sens!H7548+Sens!H7550-Sens!H7552)</f>
        <v>0</v>
      </c>
      <c r="I7554" s="24" t="n">
        <f aca="false">(Sens!I7533+Sens!I7538+Sens!I7539+Sens!I7541+Sens!I7543-Sens!I7545)+(Sens!I7546+Sens!I7548+Sens!I7550-Sens!I7552)</f>
        <v>0</v>
      </c>
      <c r="J7554" s="24" t="n">
        <f aca="false">(Sens!J7533+Sens!J7538+Sens!J7539+Sens!J7541+Sens!J7543-Sens!J7545)+(Sens!J7546+Sens!J7548+Sens!J7550-Sens!J7552)</f>
        <v>0</v>
      </c>
      <c r="K7554" s="24" t="n">
        <f aca="false">(Sens!K7533+Sens!K7538+Sens!K7539+Sens!K7541+Sens!K7543-Sens!K7545)+(Sens!K7546+Sens!K7548+Sens!K7550-Sens!K7552)</f>
        <v>0</v>
      </c>
    </row>
    <row r="7555" customFormat="false" ht="17.15" hidden="false" customHeight="false" outlineLevel="0" collapsed="false">
      <c r="A7555" s="3" t="s">
        <v>1431</v>
      </c>
    </row>
    <row r="7556" customFormat="false" ht="15" hidden="false" customHeight="false" outlineLevel="0" collapsed="false">
      <c r="A7556" s="4" t="s">
        <v>43</v>
      </c>
      <c r="B7556" s="4" t="s">
        <v>65</v>
      </c>
      <c r="C7556" s="20" t="s">
        <v>788</v>
      </c>
      <c r="D7556" s="20" t="s">
        <v>789</v>
      </c>
      <c r="E7556" s="20" t="s">
        <v>790</v>
      </c>
      <c r="F7556" s="20" t="s">
        <v>791</v>
      </c>
      <c r="G7556" s="20" t="s">
        <v>792</v>
      </c>
      <c r="H7556" s="20" t="s">
        <v>793</v>
      </c>
      <c r="I7556" s="20" t="s">
        <v>794</v>
      </c>
      <c r="J7556" s="20" t="s">
        <v>795</v>
      </c>
      <c r="K7556" s="20" t="s">
        <v>796</v>
      </c>
      <c r="L7556" s="4" t="s">
        <v>47</v>
      </c>
    </row>
    <row r="7557" customFormat="false" ht="15" hidden="false" customHeight="false" outlineLevel="0" collapsed="false">
      <c r="A7557" s="0" t="s">
        <v>867</v>
      </c>
      <c r="B7557" s="0" t="s">
        <v>98</v>
      </c>
      <c r="D7557" s="6" t="n">
        <f aca="false">Sens!D7533</f>
        <v>72.61</v>
      </c>
      <c r="E7557" s="6" t="n">
        <f aca="false">Sens!E7533</f>
        <v>101.938</v>
      </c>
      <c r="F7557" s="6" t="n">
        <f aca="false">Sens!F7533</f>
        <v>148.441726500199</v>
      </c>
      <c r="G7557" s="6" t="n">
        <f aca="false">Sens!G7533</f>
        <v>207.0600426998</v>
      </c>
      <c r="H7557" s="6" t="n">
        <f aca="false">Sens!H7533</f>
        <v>270.919273998428</v>
      </c>
      <c r="I7557" s="6" t="n">
        <f aca="false">Sens!I7533</f>
        <v>322.320644685962</v>
      </c>
      <c r="J7557" s="6" t="n">
        <f aca="false">Sens!J7533</f>
        <v>359.592059514851</v>
      </c>
      <c r="K7557" s="6" t="n">
        <f aca="false">Sens!K7533</f>
        <v>383.214393406477</v>
      </c>
    </row>
    <row r="7558" customFormat="false" ht="17.15" hidden="false" customHeight="false" outlineLevel="0" collapsed="false">
      <c r="A7558" s="0" t="s">
        <v>864</v>
      </c>
      <c r="B7558" s="0" t="s">
        <v>98</v>
      </c>
      <c r="D7558" s="6" t="n">
        <f aca="false">Sens!D7530</f>
        <v>12.9359794422418</v>
      </c>
      <c r="E7558" s="6" t="n">
        <f aca="false">Sens!E7530</f>
        <v>27.8095064661409</v>
      </c>
      <c r="F7558" s="6" t="n">
        <f aca="false">Sens!F7530</f>
        <v>58.7324192305018</v>
      </c>
      <c r="G7558" s="6" t="n">
        <f aca="false">Sens!G7530</f>
        <v>101.369089141153</v>
      </c>
      <c r="H7558" s="6" t="n">
        <f aca="false">Sens!H7530</f>
        <v>149.785610014234</v>
      </c>
      <c r="I7558" s="6" t="n">
        <f aca="false">Sens!I7530</f>
        <v>187.368703083263</v>
      </c>
      <c r="J7558" s="6" t="n">
        <f aca="false">Sens!J7530</f>
        <v>213.569023125577</v>
      </c>
      <c r="K7558" s="6" t="n">
        <f aca="false">Sens!K7530</f>
        <v>229.890205197739</v>
      </c>
    </row>
    <row r="7559" customFormat="false" ht="17.15" hidden="false" customHeight="false" outlineLevel="0" collapsed="false">
      <c r="A7559" s="0" t="s">
        <v>892</v>
      </c>
      <c r="B7559" s="0" t="s">
        <v>98</v>
      </c>
      <c r="D7559" s="6" t="n">
        <f aca="false">Sens!D7531</f>
        <v>59.6740205577583</v>
      </c>
      <c r="E7559" s="6" t="n">
        <f aca="false">Sens!E7531</f>
        <v>74.1284935338591</v>
      </c>
      <c r="F7559" s="6" t="n">
        <f aca="false">Sens!F7531</f>
        <v>89.709307269697</v>
      </c>
      <c r="G7559" s="6" t="n">
        <f aca="false">Sens!G7531</f>
        <v>105.690953558647</v>
      </c>
      <c r="H7559" s="6" t="n">
        <f aca="false">Sens!H7531</f>
        <v>121.133663984194</v>
      </c>
      <c r="I7559" s="6" t="n">
        <f aca="false">Sens!I7531</f>
        <v>134.951941602699</v>
      </c>
      <c r="J7559" s="6" t="n">
        <f aca="false">Sens!J7531</f>
        <v>146.023036389274</v>
      </c>
      <c r="K7559" s="6" t="n">
        <f aca="false">Sens!K7531</f>
        <v>153.324188208738</v>
      </c>
    </row>
    <row r="7560" customFormat="false" ht="15" hidden="false" customHeight="false" outlineLevel="0" collapsed="false">
      <c r="A7560" s="0" t="s">
        <v>873</v>
      </c>
      <c r="B7560" s="0" t="s">
        <v>98</v>
      </c>
      <c r="D7560" s="6" t="n">
        <f aca="false">Sens!D7538</f>
        <v>84.605</v>
      </c>
      <c r="E7560" s="6" t="n">
        <f aca="false">Sens!E7538</f>
        <v>100.299</v>
      </c>
      <c r="F7560" s="6" t="n">
        <f aca="false">Sens!F7538</f>
        <v>120.39238776686</v>
      </c>
      <c r="G7560" s="6" t="n">
        <f aca="false">Sens!G7538</f>
        <v>141.544168448684</v>
      </c>
      <c r="H7560" s="6" t="n">
        <f aca="false">Sens!H7538</f>
        <v>162.777359388781</v>
      </c>
      <c r="I7560" s="6" t="n">
        <f aca="false">Sens!I7538</f>
        <v>181.584028071957</v>
      </c>
      <c r="J7560" s="6" t="n">
        <f aca="false">Sens!J7538</f>
        <v>197.682702785465</v>
      </c>
      <c r="K7560" s="6" t="n">
        <f aca="false">Sens!K7538</f>
        <v>213.027991980448</v>
      </c>
    </row>
    <row r="7561" customFormat="false" ht="17.15" hidden="false" customHeight="false" outlineLevel="0" collapsed="false">
      <c r="A7561" s="0" t="s">
        <v>893</v>
      </c>
      <c r="B7561" s="0" t="s">
        <v>98</v>
      </c>
      <c r="D7561" s="6" t="n">
        <f aca="false">Sens!D7536</f>
        <v>83.705</v>
      </c>
      <c r="E7561" s="6" t="n">
        <f aca="false">Sens!E7536</f>
        <v>95.049</v>
      </c>
      <c r="F7561" s="6" t="n">
        <f aca="false">Sens!F7536</f>
        <v>106.89238776686</v>
      </c>
      <c r="G7561" s="6" t="n">
        <f aca="false">Sens!G7536</f>
        <v>119.044168448684</v>
      </c>
      <c r="H7561" s="6" t="n">
        <f aca="false">Sens!H7536</f>
        <v>131.277359388781</v>
      </c>
      <c r="I7561" s="6" t="n">
        <f aca="false">Sens!I7536</f>
        <v>143.334028071957</v>
      </c>
      <c r="J7561" s="6" t="n">
        <f aca="false">Sens!J7536</f>
        <v>154.932702785465</v>
      </c>
      <c r="K7561" s="6" t="n">
        <f aca="false">Sens!K7536</f>
        <v>165.777991980448</v>
      </c>
    </row>
    <row r="7562" customFormat="false" ht="17.15" hidden="false" customHeight="false" outlineLevel="0" collapsed="false">
      <c r="A7562" s="0" t="s">
        <v>894</v>
      </c>
      <c r="B7562" s="0" t="s">
        <v>98</v>
      </c>
      <c r="D7562" s="6" t="n">
        <f aca="false">Sens!D7535</f>
        <v>0.9</v>
      </c>
      <c r="E7562" s="6" t="n">
        <f aca="false">Sens!E7535</f>
        <v>5.25</v>
      </c>
      <c r="F7562" s="6" t="n">
        <f aca="false">Sens!F7535</f>
        <v>13.5</v>
      </c>
      <c r="G7562" s="6" t="n">
        <f aca="false">Sens!G7535</f>
        <v>22.5</v>
      </c>
      <c r="H7562" s="6" t="n">
        <f aca="false">Sens!H7535</f>
        <v>31.5</v>
      </c>
      <c r="I7562" s="6" t="n">
        <f aca="false">Sens!I7535</f>
        <v>38.25</v>
      </c>
      <c r="J7562" s="6" t="n">
        <f aca="false">Sens!J7535</f>
        <v>42.75</v>
      </c>
      <c r="K7562" s="6" t="n">
        <f aca="false">Sens!K7535</f>
        <v>47.25</v>
      </c>
    </row>
    <row r="7563" customFormat="false" ht="15" hidden="false" customHeight="false" outlineLevel="0" collapsed="false">
      <c r="A7563" s="0" t="s">
        <v>874</v>
      </c>
      <c r="B7563" s="0" t="s">
        <v>98</v>
      </c>
      <c r="D7563" s="6" t="n">
        <f aca="false">Sens!D7539</f>
        <v>35.391</v>
      </c>
      <c r="E7563" s="6" t="n">
        <f aca="false">Sens!E7539</f>
        <v>37.285</v>
      </c>
      <c r="F7563" s="6" t="n">
        <f aca="false">Sens!F7539</f>
        <v>39.0720834331704</v>
      </c>
      <c r="G7563" s="6" t="n">
        <f aca="false">Sens!G7539</f>
        <v>40.726562953769</v>
      </c>
      <c r="H7563" s="6" t="n">
        <f aca="false">Sens!H7539</f>
        <v>42.2235987259198</v>
      </c>
      <c r="I7563" s="6" t="n">
        <f aca="false">Sens!I7539</f>
        <v>43.5397988077414</v>
      </c>
      <c r="J7563" s="6" t="n">
        <f aca="false">Sens!J7539</f>
        <v>44.653811225693</v>
      </c>
      <c r="K7563" s="6" t="n">
        <f aca="false">Sens!K7539</f>
        <v>45.5468874502068</v>
      </c>
    </row>
    <row r="7564" customFormat="false" ht="15" hidden="false" customHeight="false" outlineLevel="0" collapsed="false">
      <c r="A7564" s="0" t="s">
        <v>875</v>
      </c>
      <c r="B7564" s="0" t="s">
        <v>98</v>
      </c>
      <c r="D7564" s="6" t="n">
        <f aca="false">Sens!D7541</f>
        <v>18.417</v>
      </c>
      <c r="E7564" s="6" t="n">
        <f aca="false">Sens!E7541</f>
        <v>20.345</v>
      </c>
      <c r="F7564" s="6" t="n">
        <f aca="false">Sens!F7541</f>
        <v>22.3572203267814</v>
      </c>
      <c r="G7564" s="6" t="n">
        <f aca="false">Sens!G7541</f>
        <v>24.4392124437232</v>
      </c>
      <c r="H7564" s="6" t="n">
        <f aca="false">Sens!H7541</f>
        <v>26.5738052080665</v>
      </c>
      <c r="I7564" s="6" t="n">
        <f aca="false">Sens!I7541</f>
        <v>28.7412169166967</v>
      </c>
      <c r="J7564" s="6" t="n">
        <f aca="false">Sens!J7541</f>
        <v>30.9192545395413</v>
      </c>
      <c r="K7564" s="6" t="n">
        <f aca="false">Sens!K7541</f>
        <v>33.0836023573092</v>
      </c>
    </row>
    <row r="7565" customFormat="false" ht="15" hidden="false" customHeight="false" outlineLevel="0" collapsed="false">
      <c r="A7565" s="0" t="s">
        <v>876</v>
      </c>
      <c r="B7565" s="0" t="s">
        <v>98</v>
      </c>
      <c r="D7565" s="6" t="n">
        <f aca="false">Sens!D7543</f>
        <v>7.76</v>
      </c>
      <c r="E7565" s="6" t="n">
        <f aca="false">Sens!E7543</f>
        <v>8.26</v>
      </c>
      <c r="F7565" s="6" t="n">
        <f aca="false">Sens!F7543</f>
        <v>8.79988041237113</v>
      </c>
      <c r="G7565" s="6" t="n">
        <f aca="false">Sens!G7543</f>
        <v>9.38321269125306</v>
      </c>
      <c r="H7565" s="6" t="n">
        <f aca="false">Sens!H7543</f>
        <v>10.0139193587476</v>
      </c>
      <c r="I7565" s="6" t="n">
        <f aca="false">Sens!I7543</f>
        <v>10.6963111830911</v>
      </c>
      <c r="J7565" s="6" t="n">
        <f aca="false">Sens!J7543</f>
        <v>11.4351285534696</v>
      </c>
      <c r="K7565" s="6" t="n">
        <f aca="false">Sens!K7543</f>
        <v>12.2355875522124</v>
      </c>
    </row>
    <row r="7566" customFormat="false" ht="15" hidden="false" customHeight="false" outlineLevel="0" collapsed="false">
      <c r="A7566" s="0" t="s">
        <v>704</v>
      </c>
      <c r="B7566" s="0" t="s">
        <v>98</v>
      </c>
      <c r="D7566" s="6" t="n">
        <f aca="false">Sens!D7545</f>
        <v>218.783</v>
      </c>
      <c r="E7566" s="6" t="n">
        <f aca="false">Sens!E7545</f>
        <v>268.127</v>
      </c>
      <c r="F7566" s="6" t="n">
        <f aca="false">Sens!F7545</f>
        <v>339.063298439382</v>
      </c>
      <c r="G7566" s="6" t="n">
        <f aca="false">Sens!G7545</f>
        <v>423.153199237229</v>
      </c>
      <c r="H7566" s="6" t="n">
        <f aca="false">Sens!H7545</f>
        <v>512.507956679943</v>
      </c>
      <c r="I7566" s="6" t="n">
        <f aca="false">Sens!I7545</f>
        <v>586.881999665448</v>
      </c>
      <c r="J7566" s="6" t="n">
        <f aca="false">Sens!J7545</f>
        <v>644.28295661902</v>
      </c>
      <c r="K7566" s="6" t="n">
        <f aca="false">Sens!K7545</f>
        <v>687.108462746653</v>
      </c>
    </row>
    <row r="7567" customFormat="false" ht="15" hidden="false" customHeight="false" outlineLevel="0" collapsed="false">
      <c r="A7567" s="0" t="s">
        <v>877</v>
      </c>
      <c r="B7567" s="0" t="s">
        <v>98</v>
      </c>
      <c r="D7567" s="6" t="n">
        <f aca="false">Sens!D7546</f>
        <v>22.171</v>
      </c>
      <c r="E7567" s="6" t="n">
        <f aca="false">Sens!E7546</f>
        <v>24.835</v>
      </c>
      <c r="F7567" s="6" t="n">
        <f aca="false">Sens!F7546</f>
        <v>27.6114901218559</v>
      </c>
      <c r="G7567" s="6" t="n">
        <f aca="false">Sens!G7546</f>
        <v>30.4675667338515</v>
      </c>
      <c r="H7567" s="6" t="n">
        <f aca="false">Sens!H7546</f>
        <v>33.3643766955789</v>
      </c>
      <c r="I7567" s="6" t="n">
        <f aca="false">Sens!I7546</f>
        <v>36.2577016533691</v>
      </c>
      <c r="J7567" s="6" t="n">
        <f aca="false">Sens!J7546</f>
        <v>39.0988367952171</v>
      </c>
      <c r="K7567" s="6" t="n">
        <f aca="false">Sens!K7546</f>
        <v>41.8357553708823</v>
      </c>
    </row>
    <row r="7568" customFormat="false" ht="15" hidden="false" customHeight="false" outlineLevel="0" collapsed="false">
      <c r="A7568" s="0" t="s">
        <v>878</v>
      </c>
      <c r="B7568" s="0" t="s">
        <v>98</v>
      </c>
      <c r="D7568" s="6" t="n">
        <f aca="false">Sens!D7548</f>
        <v>23.455</v>
      </c>
      <c r="E7568" s="6" t="n">
        <f aca="false">Sens!E7548</f>
        <v>21.79</v>
      </c>
      <c r="F7568" s="6" t="n">
        <f aca="false">Sens!F7548</f>
        <v>20.5736277908051</v>
      </c>
      <c r="G7568" s="6" t="n">
        <f aca="false">Sens!G7548</f>
        <v>19.7371452817919</v>
      </c>
      <c r="H7568" s="6" t="n">
        <f aca="false">Sens!H7548</f>
        <v>19.2339764043138</v>
      </c>
      <c r="I7568" s="6" t="n">
        <f aca="false">Sens!I7548</f>
        <v>19.0353086852681</v>
      </c>
      <c r="J7568" s="6" t="n">
        <f aca="false">Sens!J7548</f>
        <v>19.1273539319129</v>
      </c>
      <c r="K7568" s="6" t="n">
        <f aca="false">Sens!K7548</f>
        <v>19.5099010105511</v>
      </c>
    </row>
    <row r="7569" customFormat="false" ht="15" hidden="false" customHeight="false" outlineLevel="0" collapsed="false">
      <c r="A7569" s="0" t="s">
        <v>879</v>
      </c>
      <c r="B7569" s="0" t="s">
        <v>98</v>
      </c>
      <c r="D7569" s="6" t="n">
        <f aca="false">Sens!D7550</f>
        <v>17.315</v>
      </c>
      <c r="E7569" s="6" t="n">
        <f aca="false">Sens!E7550</f>
        <v>17.087</v>
      </c>
      <c r="F7569" s="6" t="n">
        <f aca="false">Sens!F7550</f>
        <v>16.9564585436519</v>
      </c>
      <c r="G7569" s="6" t="n">
        <f aca="false">Sens!G7550</f>
        <v>16.9206490624268</v>
      </c>
      <c r="H7569" s="6" t="n">
        <f aca="false">Sens!H7550</f>
        <v>16.9784519149849</v>
      </c>
      <c r="I7569" s="6" t="n">
        <f aca="false">Sens!I7550</f>
        <v>17.1303084701817</v>
      </c>
      <c r="J7569" s="6" t="n">
        <f aca="false">Sens!J7550</f>
        <v>17.3782189407267</v>
      </c>
      <c r="K7569" s="6" t="n">
        <f aca="false">Sens!K7550</f>
        <v>17.7257833195413</v>
      </c>
    </row>
    <row r="7570" customFormat="false" ht="15" hidden="false" customHeight="false" outlineLevel="0" collapsed="false">
      <c r="A7570" s="0" t="s">
        <v>718</v>
      </c>
      <c r="B7570" s="0" t="s">
        <v>98</v>
      </c>
      <c r="D7570" s="6" t="n">
        <f aca="false">Sens!D7552</f>
        <v>62.941</v>
      </c>
      <c r="E7570" s="6" t="n">
        <f aca="false">Sens!E7552</f>
        <v>63.712</v>
      </c>
      <c r="F7570" s="6" t="n">
        <f aca="false">Sens!F7552</f>
        <v>65.1415764563129</v>
      </c>
      <c r="G7570" s="6" t="n">
        <f aca="false">Sens!G7552</f>
        <v>67.1253610780702</v>
      </c>
      <c r="H7570" s="6" t="n">
        <f aca="false">Sens!H7552</f>
        <v>69.5768050148776</v>
      </c>
      <c r="I7570" s="6" t="n">
        <f aca="false">Sens!I7552</f>
        <v>72.4233188088189</v>
      </c>
      <c r="J7570" s="6" t="n">
        <f aca="false">Sens!J7552</f>
        <v>75.6044096678567</v>
      </c>
      <c r="K7570" s="6" t="n">
        <f aca="false">Sens!K7552</f>
        <v>79.0714397009747</v>
      </c>
    </row>
    <row r="7571" customFormat="false" ht="15" hidden="false" customHeight="false" outlineLevel="0" collapsed="false">
      <c r="A7571" s="1" t="s">
        <v>895</v>
      </c>
      <c r="B7571" s="0" t="s">
        <v>98</v>
      </c>
      <c r="D7571" s="6" t="n">
        <f aca="false">Sens!D7553</f>
        <v>281.724</v>
      </c>
      <c r="E7571" s="6" t="n">
        <f aca="false">Sens!E7553</f>
        <v>331.839</v>
      </c>
      <c r="F7571" s="6" t="n">
        <f aca="false">Sens!F7553</f>
        <v>404.204874895694</v>
      </c>
      <c r="G7571" s="6" t="n">
        <f aca="false">Sens!G7553</f>
        <v>490.278560315299</v>
      </c>
      <c r="H7571" s="6" t="n">
        <f aca="false">Sens!H7553</f>
        <v>582.08476169482</v>
      </c>
      <c r="I7571" s="6" t="n">
        <f aca="false">Sens!I7553</f>
        <v>659.305318474267</v>
      </c>
      <c r="J7571" s="6" t="n">
        <f aca="false">Sens!J7553</f>
        <v>719.887366286877</v>
      </c>
      <c r="K7571" s="6" t="n">
        <f aca="false">Sens!K7553</f>
        <v>766.179902447628</v>
      </c>
    </row>
    <row r="7572" customFormat="false" ht="15" hidden="false" customHeight="false" outlineLevel="0" collapsed="false">
      <c r="A7572" s="1" t="s">
        <v>896</v>
      </c>
      <c r="B7572" s="0" t="s">
        <v>129</v>
      </c>
      <c r="E7572" s="7" t="n">
        <f aca="false">Sens!E7571/Sens!D7571-1</f>
        <v>0.177886867998467</v>
      </c>
      <c r="F7572" s="7" t="n">
        <f aca="false">Sens!F7571/Sens!E7571-1</f>
        <v>0.21807525606</v>
      </c>
      <c r="G7572" s="7" t="n">
        <f aca="false">Sens!G7571/Sens!F7571-1</f>
        <v>0.212945688598674</v>
      </c>
      <c r="H7572" s="7" t="n">
        <f aca="false">Sens!H7571/Sens!G7571-1</f>
        <v>0.187253143030526</v>
      </c>
      <c r="I7572" s="7" t="n">
        <f aca="false">Sens!I7571/Sens!H7571-1</f>
        <v>0.132662048315109</v>
      </c>
      <c r="J7572" s="7" t="n">
        <f aca="false">Sens!J7571/Sens!I7571-1</f>
        <v>0.0918876977252452</v>
      </c>
      <c r="K7572" s="7" t="n">
        <f aca="false">Sens!K7571/Sens!J7571-1</f>
        <v>0.0643052487495708</v>
      </c>
    </row>
    <row r="7573" customFormat="false" ht="17.15" hidden="false" customHeight="false" outlineLevel="0" collapsed="false">
      <c r="A7573" s="23" t="s">
        <v>897</v>
      </c>
      <c r="B7573" s="30" t="s">
        <v>98</v>
      </c>
      <c r="C7573" s="30"/>
      <c r="D7573" s="24" t="n">
        <f aca="false">(Sens!D7566+Sens!D7570-Sens!D7571)+(Sens!D7558+Sens!D7559-Sens!D7557)+(Sens!D7561+Sens!D7562-Sens!D7560)+(Sens!D7571-Q!L18)</f>
        <v>0</v>
      </c>
      <c r="E7573" s="24" t="n">
        <f aca="false">(Sens!E7566+Sens!E7570-Sens!E7571)+(Sens!E7558+Sens!E7559-Sens!E7557)+(Sens!E7561+Sens!E7562-Sens!E7560)+(Sens!E7571-Q!M18)</f>
        <v>0</v>
      </c>
      <c r="F7573" s="24" t="n">
        <f aca="false">(Sens!F7566+Sens!F7570-Sens!F7571)+(Sens!F7558+Sens!F7559-Sens!F7557)+(Sens!F7561+Sens!F7562-Sens!F7560)</f>
        <v>0</v>
      </c>
      <c r="G7573" s="24" t="n">
        <f aca="false">(Sens!G7566+Sens!G7570-Sens!G7571)+(Sens!G7558+Sens!G7559-Sens!G7557)+(Sens!G7561+Sens!G7562-Sens!G7560)</f>
        <v>0</v>
      </c>
      <c r="H7573" s="24" t="n">
        <f aca="false">(Sens!H7566+Sens!H7570-Sens!H7571)+(Sens!H7558+Sens!H7559-Sens!H7557)+(Sens!H7561+Sens!H7562-Sens!H7560)</f>
        <v>0</v>
      </c>
      <c r="I7573" s="24" t="n">
        <f aca="false">(Sens!I7566+Sens!I7570-Sens!I7571)+(Sens!I7558+Sens!I7559-Sens!I7557)+(Sens!I7561+Sens!I7562-Sens!I7560)</f>
        <v>0</v>
      </c>
      <c r="J7573" s="24" t="n">
        <f aca="false">(Sens!J7566+Sens!J7570-Sens!J7571)+(Sens!J7558+Sens!J7559-Sens!J7557)+(Sens!J7561+Sens!J7562-Sens!J7560)</f>
        <v>0</v>
      </c>
      <c r="K7573" s="24" t="n">
        <f aca="false">(Sens!K7566+Sens!K7570-Sens!K7571)+(Sens!K7558+Sens!K7559-Sens!K7557)+(Sens!K7561+Sens!K7562-Sens!K7560)</f>
        <v>0</v>
      </c>
    </row>
    <row r="7574" customFormat="false" ht="17.15" hidden="false" customHeight="false" outlineLevel="0" collapsed="false">
      <c r="A7574" s="0" t="s">
        <v>898</v>
      </c>
      <c r="B7574" s="0" t="s">
        <v>129</v>
      </c>
      <c r="E7574" s="7" t="n">
        <f aca="false">(Q!M21+Sens!E7511+Sens!E7512+Sens!E7513+Sens!E7526-Sens!E7509)/(Q!M5-Sens!E7509)</f>
        <v>0.570957350878296</v>
      </c>
      <c r="F7574" s="7" t="n">
        <f aca="false">Sens!$E$7574+dm_seg</f>
        <v>0.570957350878296</v>
      </c>
      <c r="G7574" s="7" t="n">
        <f aca="false">Sens!$E$7574+dm_seg</f>
        <v>0.570957350878296</v>
      </c>
      <c r="H7574" s="7" t="n">
        <f aca="false">Sens!$E$7574+dm_seg</f>
        <v>0.570957350878296</v>
      </c>
      <c r="I7574" s="7" t="n">
        <f aca="false">Sens!$E$7574+dm_seg</f>
        <v>0.570957350878296</v>
      </c>
      <c r="J7574" s="7" t="n">
        <f aca="false">Sens!$E$7574+dm_seg</f>
        <v>0.570957350878296</v>
      </c>
      <c r="K7574" s="7" t="n">
        <f aca="false">Sens!$E$7574+dm_seg</f>
        <v>0.570957350878296</v>
      </c>
      <c r="L7574" s="11" t="s">
        <v>899</v>
      </c>
    </row>
    <row r="7575" customFormat="false" ht="17.15" hidden="false" customHeight="false" outlineLevel="0" collapsed="false">
      <c r="A7575" s="0" t="s">
        <v>732</v>
      </c>
      <c r="B7575" s="0" t="s">
        <v>98</v>
      </c>
      <c r="D7575" s="6" t="n">
        <f aca="false">Q!L21</f>
        <v>110.814</v>
      </c>
      <c r="E7575" s="6" t="n">
        <f aca="false">Q!M21</f>
        <v>136.365</v>
      </c>
      <c r="F7575" s="6" t="n">
        <f aca="false">Sens!F7574*(Sens!F7545-Sens!F7509)+Sens!F7509-(Sens!F7511+Sens!F7512+Sens!F7513)-Sens!F7526</f>
        <v>161.917686186382</v>
      </c>
      <c r="G7575" s="6" t="n">
        <f aca="false">Sens!G7574*(Sens!G7545-Sens!G7509)+Sens!G7509-(Sens!G7511+Sens!G7512+Sens!G7513)-Sens!G7526</f>
        <v>190.917586251664</v>
      </c>
      <c r="H7575" s="6" t="n">
        <f aca="false">Sens!H7574*(Sens!H7545-Sens!H7509)+Sens!H7509-(Sens!H7511+Sens!H7512+Sens!H7513)-Sens!H7526</f>
        <v>224.275513173759</v>
      </c>
      <c r="I7575" s="6" t="n">
        <f aca="false">Sens!I7574*(Sens!I7545-Sens!I7509)+Sens!I7509-(Sens!I7511+Sens!I7512+Sens!I7513)-Sens!I7526</f>
        <v>248.920139729844</v>
      </c>
      <c r="J7575" s="6" t="n">
        <f aca="false">Sens!J7574*(Sens!J7545-Sens!J7509)+Sens!J7509-(Sens!J7511+Sens!J7512+Sens!J7513)-Sens!J7526</f>
        <v>269.201755230239</v>
      </c>
      <c r="K7575" s="6" t="n">
        <f aca="false">Sens!K7574*(Sens!K7545-Sens!K7509)+Sens!K7509-(Sens!K7511+Sens!K7512+Sens!K7513)-Sens!K7526</f>
        <v>286.684115155979</v>
      </c>
      <c r="L7575" s="1" t="s">
        <v>900</v>
      </c>
    </row>
    <row r="7576" customFormat="false" ht="17.15" hidden="false" customHeight="false" outlineLevel="0" collapsed="false">
      <c r="A7576" s="0" t="s">
        <v>901</v>
      </c>
      <c r="B7576" s="0" t="s">
        <v>129</v>
      </c>
      <c r="E7576" s="7" t="n">
        <f aca="false">Q!M22/Q!M12</f>
        <v>0.296207935710698</v>
      </c>
      <c r="F7576" s="7" t="n">
        <f aca="false">Sens!$E$7576+dm_seg</f>
        <v>0.296207935710698</v>
      </c>
      <c r="G7576" s="7" t="n">
        <f aca="false">Sens!$E$7576+dm_seg</f>
        <v>0.296207935710698</v>
      </c>
      <c r="H7576" s="7" t="n">
        <f aca="false">Sens!$E$7576+dm_seg</f>
        <v>0.296207935710698</v>
      </c>
      <c r="I7576" s="7" t="n">
        <f aca="false">Sens!$E$7576+dm_seg</f>
        <v>0.296207935710698</v>
      </c>
      <c r="J7576" s="7" t="n">
        <f aca="false">Sens!$E$7576+dm_seg</f>
        <v>0.296207935710698</v>
      </c>
      <c r="K7576" s="7" t="n">
        <f aca="false">Sens!$E$7576+dm_seg</f>
        <v>0.296207935710698</v>
      </c>
      <c r="L7576" s="11" t="s">
        <v>902</v>
      </c>
    </row>
    <row r="7577" customFormat="false" ht="17.15" hidden="false" customHeight="false" outlineLevel="0" collapsed="false">
      <c r="A7577" s="0" t="s">
        <v>734</v>
      </c>
      <c r="B7577" s="0" t="s">
        <v>98</v>
      </c>
      <c r="D7577" s="6" t="n">
        <f aca="false">Q!L22</f>
        <v>17.714</v>
      </c>
      <c r="E7577" s="6" t="n">
        <f aca="false">Q!M22</f>
        <v>18.872</v>
      </c>
      <c r="F7577" s="6" t="n">
        <f aca="false">Sens!F7552*Sens!F7576</f>
        <v>19.2954518910651</v>
      </c>
      <c r="G7577" s="6" t="n">
        <f aca="false">Sens!G7552*Sens!G7576</f>
        <v>19.8830646387704</v>
      </c>
      <c r="H7577" s="6" t="n">
        <f aca="false">Sens!H7552*Sens!H7576</f>
        <v>20.6092017868026</v>
      </c>
      <c r="I7577" s="6" t="n">
        <f aca="false">Sens!I7552*Sens!I7576</f>
        <v>21.452361761678</v>
      </c>
      <c r="J7577" s="6" t="n">
        <f aca="false">Sens!J7552*Sens!J7576</f>
        <v>22.3946261183418</v>
      </c>
      <c r="K7577" s="6" t="n">
        <f aca="false">Sens!K7552*Sens!K7576</f>
        <v>23.4215879274986</v>
      </c>
    </row>
    <row r="7578" customFormat="false" ht="15" hidden="false" customHeight="false" outlineLevel="0" collapsed="false">
      <c r="A7578" s="1" t="s">
        <v>903</v>
      </c>
      <c r="B7578" s="0" t="s">
        <v>98</v>
      </c>
      <c r="D7578" s="6" t="n">
        <f aca="false">Sens!D7575+Sens!D7577</f>
        <v>128.528</v>
      </c>
      <c r="E7578" s="6" t="n">
        <f aca="false">Sens!E7575+Sens!E7577</f>
        <v>155.237</v>
      </c>
      <c r="F7578" s="6" t="n">
        <f aca="false">Sens!F7575+Sens!F7577</f>
        <v>181.213138077447</v>
      </c>
      <c r="G7578" s="6" t="n">
        <f aca="false">Sens!G7575+Sens!G7577</f>
        <v>210.800650890434</v>
      </c>
      <c r="H7578" s="6" t="n">
        <f aca="false">Sens!H7575+Sens!H7577</f>
        <v>244.884714960562</v>
      </c>
      <c r="I7578" s="6" t="n">
        <f aca="false">Sens!I7575+Sens!I7577</f>
        <v>270.372501491522</v>
      </c>
      <c r="J7578" s="6" t="n">
        <f aca="false">Sens!J7575+Sens!J7577</f>
        <v>291.596381348581</v>
      </c>
      <c r="K7578" s="6" t="n">
        <f aca="false">Sens!K7575+Sens!K7577</f>
        <v>310.105703083477</v>
      </c>
    </row>
    <row r="7579" customFormat="false" ht="15" hidden="false" customHeight="false" outlineLevel="0" collapsed="false">
      <c r="A7579" s="23" t="s">
        <v>904</v>
      </c>
      <c r="B7579" s="30" t="s">
        <v>98</v>
      </c>
      <c r="C7579" s="30"/>
      <c r="D7579" s="24" t="n">
        <f aca="false">Sens!D7578-Q!L23</f>
        <v>0</v>
      </c>
      <c r="E7579" s="24" t="n">
        <f aca="false">Sens!E7578-Q!M23</f>
        <v>0</v>
      </c>
      <c r="F7579" s="30"/>
      <c r="G7579" s="30"/>
      <c r="H7579" s="30"/>
      <c r="I7579" s="30"/>
      <c r="J7579" s="30"/>
      <c r="K7579" s="30"/>
    </row>
    <row r="7580" customFormat="false" ht="15" hidden="false" customHeight="false" outlineLevel="0" collapsed="false">
      <c r="A7580" s="1" t="s">
        <v>905</v>
      </c>
      <c r="B7580" s="0" t="s">
        <v>129</v>
      </c>
      <c r="D7580" s="7" t="n">
        <f aca="false">Sens!D7578/Sens!D7571</f>
        <v>0.456219562408598</v>
      </c>
      <c r="E7580" s="7" t="n">
        <f aca="false">Sens!E7578/Sens!E7571</f>
        <v>0.467808184089272</v>
      </c>
      <c r="F7580" s="7" t="n">
        <f aca="false">Sens!F7578/Sens!F7571</f>
        <v>0.448320021187793</v>
      </c>
      <c r="G7580" s="7" t="n">
        <f aca="false">Sens!G7578/Sens!G7571</f>
        <v>0.429960981273315</v>
      </c>
      <c r="H7580" s="7" t="n">
        <f aca="false">Sens!H7578/Sens!H7571</f>
        <v>0.420702844457817</v>
      </c>
      <c r="I7580" s="7" t="n">
        <f aca="false">Sens!I7578/Sens!I7571</f>
        <v>0.410086941384313</v>
      </c>
      <c r="J7580" s="7" t="n">
        <f aca="false">Sens!J7578/Sens!J7571</f>
        <v>0.405058339685293</v>
      </c>
      <c r="K7580" s="7" t="n">
        <f aca="false">Sens!K7578/Sens!K7571</f>
        <v>0.40474267478541</v>
      </c>
    </row>
    <row r="7581" customFormat="false" ht="17.15" hidden="false" customHeight="false" outlineLevel="0" collapsed="false">
      <c r="A7581" s="1" t="s">
        <v>906</v>
      </c>
      <c r="B7581" s="0" t="s">
        <v>98</v>
      </c>
      <c r="F7581" s="6" t="n">
        <f aca="false">Sens!F7596</f>
        <v>19.0793824397397</v>
      </c>
      <c r="G7581" s="6" t="n">
        <f aca="false">Sens!G7596</f>
        <v>32.5666413649601</v>
      </c>
      <c r="H7581" s="6" t="n">
        <f aca="false">Sens!H7596</f>
        <v>47.4063563831308</v>
      </c>
      <c r="I7581" s="6" t="n">
        <f aca="false">Sens!I7596</f>
        <v>61.2525090726263</v>
      </c>
      <c r="J7581" s="6" t="n">
        <f aca="false">Sens!J7596</f>
        <v>71.009613825577</v>
      </c>
      <c r="K7581" s="6" t="n">
        <f aca="false">Sens!K7596</f>
        <v>76.0452576664312</v>
      </c>
      <c r="L7581" s="1" t="s">
        <v>907</v>
      </c>
    </row>
    <row r="7582" customFormat="false" ht="17.15" hidden="false" customHeight="false" outlineLevel="0" collapsed="false">
      <c r="A7582" s="1" t="s">
        <v>908</v>
      </c>
      <c r="B7582" s="0" t="s">
        <v>98</v>
      </c>
      <c r="D7582" s="6" t="n">
        <f aca="false">Sens!D7578</f>
        <v>128.528</v>
      </c>
      <c r="E7582" s="6" t="n">
        <f aca="false">Sens!E7578</f>
        <v>155.237</v>
      </c>
      <c r="F7582" s="6" t="n">
        <f aca="false">Sens!F7578+Sens!F7581</f>
        <v>200.292520517187</v>
      </c>
      <c r="G7582" s="6" t="n">
        <f aca="false">Sens!G7578+Sens!G7581</f>
        <v>243.367292255394</v>
      </c>
      <c r="H7582" s="6" t="n">
        <f aca="false">Sens!H7578+Sens!H7581</f>
        <v>292.291071343692</v>
      </c>
      <c r="I7582" s="6" t="n">
        <f aca="false">Sens!I7578+Sens!I7581</f>
        <v>331.625010564149</v>
      </c>
      <c r="J7582" s="6" t="n">
        <f aca="false">Sens!J7578+Sens!J7581</f>
        <v>362.605995174158</v>
      </c>
      <c r="K7582" s="6" t="n">
        <f aca="false">Sens!K7578+Sens!K7581</f>
        <v>386.150960749908</v>
      </c>
    </row>
    <row r="7583" customFormat="false" ht="17.15" hidden="false" customHeight="false" outlineLevel="0" collapsed="false">
      <c r="A7583" s="1" t="s">
        <v>909</v>
      </c>
      <c r="B7583" s="0" t="s">
        <v>98</v>
      </c>
      <c r="E7583" s="6" t="n">
        <f aca="false">Sens!E7526</f>
        <v>16.3054059770833</v>
      </c>
      <c r="F7583" s="6" t="n">
        <f aca="false">Sens!F7526</f>
        <v>34.734212830331</v>
      </c>
      <c r="G7583" s="6" t="n">
        <f aca="false">Sens!G7526</f>
        <v>60.4940880092619</v>
      </c>
      <c r="H7583" s="6" t="n">
        <f aca="false">Sens!H7526</f>
        <v>87.7296707420619</v>
      </c>
      <c r="I7583" s="6" t="n">
        <f aca="false">Sens!I7526</f>
        <v>111.974394731143</v>
      </c>
      <c r="J7583" s="6" t="n">
        <f aca="false">Sens!J7526</f>
        <v>129.171065671588</v>
      </c>
      <c r="K7583" s="6" t="n">
        <f aca="false">Sens!K7526</f>
        <v>139.635001553396</v>
      </c>
    </row>
    <row r="7584" customFormat="false" ht="17.15" hidden="false" customHeight="false" outlineLevel="0" collapsed="false">
      <c r="A7584" s="1" t="s">
        <v>910</v>
      </c>
      <c r="B7584" s="0" t="s">
        <v>98</v>
      </c>
      <c r="E7584" s="6" t="n">
        <f aca="false">Sens!E7608</f>
        <v>22.2285940229167</v>
      </c>
      <c r="F7584" s="6" t="n">
        <f aca="false">Sens!F7608</f>
        <v>23.5712564942279</v>
      </c>
      <c r="G7584" s="6" t="n">
        <f aca="false">Sens!G7608</f>
        <v>25.3476707689507</v>
      </c>
      <c r="H7584" s="6" t="n">
        <f aca="false">Sens!H7608</f>
        <v>27.5062886844358</v>
      </c>
      <c r="I7584" s="6" t="n">
        <f aca="false">Sens!I7608</f>
        <v>29.9533646315735</v>
      </c>
      <c r="J7584" s="6" t="n">
        <f aca="false">Sens!J7608</f>
        <v>32.5787028749524</v>
      </c>
      <c r="K7584" s="6" t="n">
        <f aca="false">Sens!K7608</f>
        <v>35.2816790918417</v>
      </c>
    </row>
    <row r="7585" customFormat="false" ht="17.15" hidden="false" customHeight="false" outlineLevel="0" collapsed="false">
      <c r="A7585" s="1" t="s">
        <v>911</v>
      </c>
      <c r="B7585" s="0" t="s">
        <v>98</v>
      </c>
      <c r="D7585" s="6" t="n">
        <f aca="false">Q!L27</f>
        <v>-4.901</v>
      </c>
      <c r="E7585" s="6" t="n">
        <f aca="false">Q!M27</f>
        <v>10.697</v>
      </c>
      <c r="F7585" s="6" t="n">
        <f aca="false">oie_f</f>
        <v>-0.4</v>
      </c>
      <c r="G7585" s="6" t="n">
        <f aca="false">oie_f</f>
        <v>-0.4</v>
      </c>
      <c r="H7585" s="6" t="n">
        <f aca="false">oie_f</f>
        <v>-0.4</v>
      </c>
      <c r="I7585" s="6" t="n">
        <f aca="false">oie_f</f>
        <v>-0.4</v>
      </c>
      <c r="J7585" s="6" t="n">
        <f aca="false">oie_f</f>
        <v>-0.4</v>
      </c>
      <c r="K7585" s="6" t="n">
        <f aca="false">oie_f</f>
        <v>-0.4</v>
      </c>
      <c r="L7585" s="11" t="s">
        <v>912</v>
      </c>
    </row>
    <row r="7586" customFormat="false" ht="15" hidden="false" customHeight="false" outlineLevel="0" collapsed="false">
      <c r="A7586" s="1" t="s">
        <v>913</v>
      </c>
      <c r="B7586" s="0" t="s">
        <v>98</v>
      </c>
      <c r="D7586" s="6" t="n">
        <f aca="false">Sens!D7578+Sens!D7585</f>
        <v>123.627</v>
      </c>
      <c r="E7586" s="6" t="n">
        <f aca="false">Sens!E7578+Sens!E7585</f>
        <v>165.934</v>
      </c>
      <c r="F7586" s="6" t="n">
        <f aca="false">Sens!F7578+Sens!F7585</f>
        <v>180.813138077447</v>
      </c>
      <c r="G7586" s="6" t="n">
        <f aca="false">Sens!G7578+Sens!G7585</f>
        <v>210.400650890434</v>
      </c>
      <c r="H7586" s="6" t="n">
        <f aca="false">Sens!H7578+Sens!H7585</f>
        <v>244.484714960562</v>
      </c>
      <c r="I7586" s="6" t="n">
        <f aca="false">Sens!I7578+Sens!I7585</f>
        <v>269.972501491522</v>
      </c>
      <c r="J7586" s="6" t="n">
        <f aca="false">Sens!J7578+Sens!J7585</f>
        <v>291.196381348581</v>
      </c>
      <c r="K7586" s="6" t="n">
        <f aca="false">Sens!K7578+Sens!K7585</f>
        <v>309.705703083477</v>
      </c>
    </row>
    <row r="7587" customFormat="false" ht="15" hidden="false" customHeight="false" outlineLevel="0" collapsed="false">
      <c r="A7587" s="1" t="s">
        <v>914</v>
      </c>
      <c r="B7587" s="0" t="s">
        <v>98</v>
      </c>
      <c r="D7587" s="6" t="n">
        <f aca="false">Q!L29</f>
        <v>21.795</v>
      </c>
      <c r="E7587" s="6" t="n">
        <f aca="false">Q!M29</f>
        <v>32.185</v>
      </c>
      <c r="F7587" s="6" t="n">
        <f aca="false">Sens!F7586*tax_f</f>
        <v>36.1626276154894</v>
      </c>
      <c r="G7587" s="6" t="n">
        <f aca="false">Sens!G7586*tax_f</f>
        <v>42.0801301780868</v>
      </c>
      <c r="H7587" s="6" t="n">
        <f aca="false">Sens!H7586*tax_f</f>
        <v>48.8969429921123</v>
      </c>
      <c r="I7587" s="6" t="n">
        <f aca="false">Sens!I7586*tax_f</f>
        <v>53.9945002983045</v>
      </c>
      <c r="J7587" s="6" t="n">
        <f aca="false">Sens!J7586*tax_f</f>
        <v>58.2392762697162</v>
      </c>
      <c r="K7587" s="6" t="n">
        <f aca="false">Sens!K7586*tax_f</f>
        <v>61.9411406166955</v>
      </c>
    </row>
    <row r="7588" customFormat="false" ht="15" hidden="false" customHeight="false" outlineLevel="0" collapsed="false">
      <c r="A7588" s="1" t="s">
        <v>915</v>
      </c>
      <c r="B7588" s="0" t="s">
        <v>98</v>
      </c>
      <c r="D7588" s="6" t="n">
        <f aca="false">Sens!D7586-Sens!D7587</f>
        <v>101.832</v>
      </c>
      <c r="E7588" s="6" t="n">
        <f aca="false">Sens!E7586-Sens!E7587</f>
        <v>133.749</v>
      </c>
      <c r="F7588" s="6" t="n">
        <f aca="false">Sens!F7586-Sens!F7587</f>
        <v>144.650510461958</v>
      </c>
      <c r="G7588" s="6" t="n">
        <f aca="false">Sens!G7586-Sens!G7587</f>
        <v>168.320520712347</v>
      </c>
      <c r="H7588" s="6" t="n">
        <f aca="false">Sens!H7586-Sens!H7587</f>
        <v>195.587771968449</v>
      </c>
      <c r="I7588" s="6" t="n">
        <f aca="false">Sens!I7586-Sens!I7587</f>
        <v>215.978001193218</v>
      </c>
      <c r="J7588" s="6" t="n">
        <f aca="false">Sens!J7586-Sens!J7587</f>
        <v>232.957105078865</v>
      </c>
      <c r="K7588" s="6" t="n">
        <f aca="false">Sens!K7586-Sens!K7587</f>
        <v>247.764562466782</v>
      </c>
    </row>
    <row r="7589" customFormat="false" ht="17.15" hidden="false" customHeight="false" outlineLevel="0" collapsed="false">
      <c r="A7589" s="1" t="s">
        <v>916</v>
      </c>
      <c r="B7589" s="1" t="s">
        <v>81</v>
      </c>
      <c r="D7589" s="14" t="n">
        <f aca="false">Q!L31</f>
        <v>7.465</v>
      </c>
      <c r="E7589" s="14" t="n">
        <f aca="false">Q!M31</f>
        <v>7.453</v>
      </c>
      <c r="F7589" s="14" t="n">
        <f aca="false">Sens!F7630</f>
        <v>7.4735</v>
      </c>
      <c r="G7589" s="14" t="n">
        <f aca="false">Sens!G7630</f>
        <v>7.50843838106566</v>
      </c>
      <c r="H7589" s="14" t="n">
        <f aca="false">Sens!H7630</f>
        <v>7.52612834798128</v>
      </c>
      <c r="I7589" s="14" t="n">
        <f aca="false">Sens!I7630</f>
        <v>7.53790917998859</v>
      </c>
      <c r="J7589" s="14" t="n">
        <f aca="false">Sens!J7630</f>
        <v>7.55215069110648</v>
      </c>
      <c r="K7589" s="14" t="n">
        <f aca="false">Sens!K7630</f>
        <v>7.56867060880822</v>
      </c>
    </row>
    <row r="7590" customFormat="false" ht="17.15" hidden="false" customHeight="false" outlineLevel="0" collapsed="false">
      <c r="A7590" s="0" t="s">
        <v>917</v>
      </c>
      <c r="B7590" s="0" t="s">
        <v>75</v>
      </c>
      <c r="D7590" s="8" t="n">
        <f aca="false">Sens!D7588/Sens!D7589</f>
        <v>13.641259209645</v>
      </c>
      <c r="E7590" s="8" t="n">
        <f aca="false">Sens!E7588/Sens!E7589</f>
        <v>17.9456594659869</v>
      </c>
      <c r="F7590" s="8" t="n">
        <f aca="false">Sens!F7588/Sens!F7589</f>
        <v>19.3551228289232</v>
      </c>
      <c r="G7590" s="8" t="n">
        <f aca="false">Sens!G7588/Sens!G7589</f>
        <v>22.4175137584945</v>
      </c>
      <c r="H7590" s="8" t="n">
        <f aca="false">Sens!H7588/Sens!H7589</f>
        <v>25.9878337074748</v>
      </c>
      <c r="I7590" s="8" t="n">
        <f aca="false">Sens!I7588/Sens!I7589</f>
        <v>28.6522424237466</v>
      </c>
      <c r="J7590" s="8" t="n">
        <f aca="false">Sens!J7588/Sens!J7589</f>
        <v>30.8464587912948</v>
      </c>
      <c r="K7590" s="8" t="n">
        <f aca="false">Sens!K7588/Sens!K7589</f>
        <v>32.7355456820171</v>
      </c>
      <c r="L7590" s="1" t="s">
        <v>918</v>
      </c>
    </row>
    <row r="7591" customFormat="false" ht="17.15" hidden="false" customHeight="false" outlineLevel="0" collapsed="false">
      <c r="A7591" s="1" t="s">
        <v>919</v>
      </c>
      <c r="B7591" s="0" t="s">
        <v>98</v>
      </c>
      <c r="D7591" s="6" t="n">
        <f aca="false">Sens!D7588</f>
        <v>101.832</v>
      </c>
      <c r="E7591" s="6" t="n">
        <f aca="false">Sens!E7588</f>
        <v>133.749</v>
      </c>
      <c r="F7591" s="6" t="n">
        <f aca="false">Sens!F7588+Sens!F7581*(1-tax_f)</f>
        <v>159.914016413749</v>
      </c>
      <c r="G7591" s="6" t="n">
        <f aca="false">Sens!G7588+Sens!G7581*(1-tax_f)</f>
        <v>194.373833804315</v>
      </c>
      <c r="H7591" s="6" t="n">
        <f aca="false">Sens!H7588+Sens!H7581*(1-tax_f)</f>
        <v>233.512857074954</v>
      </c>
      <c r="I7591" s="6" t="n">
        <f aca="false">Sens!I7588+Sens!I7581*(1-tax_f)</f>
        <v>264.980008451319</v>
      </c>
      <c r="J7591" s="6" t="n">
        <f aca="false">Sens!J7588+Sens!J7581*(1-tax_f)</f>
        <v>289.764796139326</v>
      </c>
      <c r="K7591" s="6" t="n">
        <f aca="false">Sens!K7588+Sens!K7581*(1-tax_f)</f>
        <v>308.600768599927</v>
      </c>
    </row>
    <row r="7592" customFormat="false" ht="17.15" hidden="false" customHeight="false" outlineLevel="0" collapsed="false">
      <c r="A7592" s="0" t="s">
        <v>920</v>
      </c>
      <c r="B7592" s="0" t="s">
        <v>75</v>
      </c>
      <c r="D7592" s="8" t="n">
        <f aca="false">Sens!D7591/Sens!D7589</f>
        <v>13.641259209645</v>
      </c>
      <c r="E7592" s="8" t="n">
        <f aca="false">Sens!E7591/Sens!E7589</f>
        <v>17.9456594659869</v>
      </c>
      <c r="F7592" s="8" t="n">
        <f aca="false">Sens!F7591/Sens!F7589</f>
        <v>21.3974732606877</v>
      </c>
      <c r="G7592" s="8" t="n">
        <f aca="false">Sens!G7591/Sens!G7589</f>
        <v>25.8873848248493</v>
      </c>
      <c r="H7592" s="8" t="n">
        <f aca="false">Sens!H7591/Sens!H7589</f>
        <v>31.026956527733</v>
      </c>
      <c r="I7592" s="8" t="n">
        <f aca="false">Sens!I7591/Sens!I7589</f>
        <v>35.1529850153647</v>
      </c>
      <c r="J7592" s="8" t="n">
        <f aca="false">Sens!J7591/Sens!J7589</f>
        <v>38.3685135521141</v>
      </c>
      <c r="K7592" s="8" t="n">
        <f aca="false">Sens!K7591/Sens!K7589</f>
        <v>40.7734441819658</v>
      </c>
      <c r="L7592" s="1" t="s">
        <v>921</v>
      </c>
    </row>
    <row r="7593" customFormat="false" ht="17.15" hidden="false" customHeight="false" outlineLevel="0" collapsed="false">
      <c r="A7593" s="0" t="s">
        <v>922</v>
      </c>
      <c r="B7593" s="0" t="s">
        <v>129</v>
      </c>
      <c r="E7593" s="7" t="n">
        <f aca="false">Sens!E7592/Sens!D7592-1</f>
        <v>0.315542736208578</v>
      </c>
      <c r="F7593" s="7" t="n">
        <f aca="false">Sens!F7592/Sens!E7592-1</f>
        <v>0.19234811633661</v>
      </c>
      <c r="G7593" s="7" t="n">
        <f aca="false">Sens!G7592/Sens!F7592-1</f>
        <v>0.209833727069573</v>
      </c>
      <c r="H7593" s="7" t="n">
        <f aca="false">Sens!H7592/Sens!G7592-1</f>
        <v>0.198535763177985</v>
      </c>
      <c r="I7593" s="7" t="n">
        <f aca="false">Sens!I7592/Sens!H7592-1</f>
        <v>0.132982056552783</v>
      </c>
      <c r="J7593" s="7" t="n">
        <f aca="false">Sens!J7592/Sens!I7592-1</f>
        <v>0.0914724179282054</v>
      </c>
      <c r="K7593" s="7" t="n">
        <f aca="false">Sens!K7592/Sens!J7592-1</f>
        <v>0.0626797967188697</v>
      </c>
    </row>
    <row r="7594" customFormat="false" ht="17.15" hidden="false" customHeight="false" outlineLevel="0" collapsed="false">
      <c r="A7594" s="0" t="s">
        <v>846</v>
      </c>
      <c r="B7594" s="0" t="s">
        <v>98</v>
      </c>
      <c r="E7594" s="6" t="n">
        <f aca="false">Sens!E7535</f>
        <v>5.25</v>
      </c>
      <c r="F7594" s="6" t="n">
        <f aca="false">Sens!F7535</f>
        <v>13.5</v>
      </c>
      <c r="G7594" s="6" t="n">
        <f aca="false">Sens!G7535</f>
        <v>22.5</v>
      </c>
      <c r="H7594" s="6" t="n">
        <f aca="false">Sens!H7535</f>
        <v>31.5</v>
      </c>
      <c r="I7594" s="6" t="n">
        <f aca="false">Sens!I7535</f>
        <v>38.25</v>
      </c>
      <c r="J7594" s="6" t="n">
        <f aca="false">Sens!J7535</f>
        <v>42.75</v>
      </c>
      <c r="K7594" s="6" t="n">
        <f aca="false">Sens!K7535</f>
        <v>47.25</v>
      </c>
    </row>
    <row r="7595" customFormat="false" ht="17.15" hidden="false" customHeight="false" outlineLevel="0" collapsed="false">
      <c r="A7595" s="1" t="s">
        <v>847</v>
      </c>
      <c r="B7595" s="0" t="s">
        <v>98</v>
      </c>
      <c r="F7595" s="6" t="n">
        <f aca="false">MAX(0,(Sens!E7498+Sens!F7498)/2*Sens!F7506/1000-Sens!F7594*Sens!F7574)</f>
        <v>19.0793824397397</v>
      </c>
      <c r="G7595" s="6" t="n">
        <f aca="false">MAX(0,(Sens!F7498+Sens!G7498)/2*Sens!G7506/1000-Sens!G7594*Sens!G7574)</f>
        <v>32.5666413649601</v>
      </c>
      <c r="H7595" s="6" t="n">
        <f aca="false">MAX(0,(Sens!G7498+Sens!H7498)/2*Sens!H7506/1000-Sens!H7594*Sens!H7574)</f>
        <v>47.4063563831308</v>
      </c>
      <c r="I7595" s="6" t="n">
        <f aca="false">MAX(0,(Sens!H7498+Sens!I7498)/2*Sens!I7506/1000-Sens!I7594*Sens!I7574)</f>
        <v>61.2525090726263</v>
      </c>
      <c r="J7595" s="6" t="n">
        <f aca="false">MAX(0,(Sens!I7498+Sens!J7498)/2*Sens!J7506/1000-Sens!J7594*Sens!J7574)</f>
        <v>71.009613825577</v>
      </c>
      <c r="K7595" s="6" t="n">
        <f aca="false">MAX(0,(Sens!J7498+Sens!K7498)/2*Sens!K7506/1000-Sens!K7594*Sens!K7574)</f>
        <v>76.0452576664312</v>
      </c>
      <c r="L7595" s="1" t="s">
        <v>848</v>
      </c>
    </row>
    <row r="7596" customFormat="false" ht="17.15" hidden="false" customHeight="false" outlineLevel="0" collapsed="false">
      <c r="A7596" s="1" t="s">
        <v>849</v>
      </c>
      <c r="B7596" s="0" t="s">
        <v>98</v>
      </c>
      <c r="F7596" s="6" t="n">
        <f aca="false">IF(internal_ai_reading=2,1,0)*Sens!F7595</f>
        <v>19.0793824397397</v>
      </c>
      <c r="G7596" s="6" t="n">
        <f aca="false">IF(internal_ai_reading=2,1,0)*Sens!G7595</f>
        <v>32.5666413649601</v>
      </c>
      <c r="H7596" s="6" t="n">
        <f aca="false">IF(internal_ai_reading=2,1,0)*Sens!H7595</f>
        <v>47.4063563831308</v>
      </c>
      <c r="I7596" s="6" t="n">
        <f aca="false">IF(internal_ai_reading=2,1,0)*Sens!I7595</f>
        <v>61.2525090726263</v>
      </c>
      <c r="J7596" s="6" t="n">
        <f aca="false">IF(internal_ai_reading=2,1,0)*Sens!J7595</f>
        <v>71.009613825577</v>
      </c>
      <c r="K7596" s="6" t="n">
        <f aca="false">IF(internal_ai_reading=2,1,0)*Sens!K7595</f>
        <v>76.0452576664312</v>
      </c>
    </row>
    <row r="7597" customFormat="false" ht="17.15" hidden="false" customHeight="false" outlineLevel="0" collapsed="false">
      <c r="A7597" s="0" t="s">
        <v>850</v>
      </c>
      <c r="B7597" s="0" t="s">
        <v>98</v>
      </c>
      <c r="F7597" s="6" t="n">
        <f aca="false">Sens!F7515+Sens!F7594*Sens!F7574+Sens!F7596-Sens!F7516-Sens!F7526</f>
        <v>28.6480167004931</v>
      </c>
      <c r="G7597" s="6" t="n">
        <f aca="false">Sens!G7515+Sens!G7594*Sens!G7574+Sens!G7596-Sens!G7516-Sens!G7526</f>
        <v>52.6057649562</v>
      </c>
      <c r="H7597" s="6" t="n">
        <f aca="false">Sens!H7515+Sens!H7594*Sens!H7574+Sens!H7596-Sens!H7516-Sens!H7526</f>
        <v>82.5680359529441</v>
      </c>
      <c r="I7597" s="6" t="n">
        <f aca="false">Sens!I7515+Sens!I7594*Sens!I7574+Sens!I7596-Sens!I7516-Sens!I7526</f>
        <v>103.906714016346</v>
      </c>
      <c r="J7597" s="6" t="n">
        <f aca="false">Sens!J7515+Sens!J7594*Sens!J7574+Sens!J7596-Sens!J7516-Sens!J7526</f>
        <v>118.700509352076</v>
      </c>
      <c r="K7597" s="6" t="n">
        <f aca="false">Sens!K7515+Sens!K7594*Sens!K7574+Sens!K7596-Sens!K7516-Sens!K7526</f>
        <v>128.654982548091</v>
      </c>
    </row>
    <row r="7598" customFormat="false" ht="17.15" hidden="false" customHeight="false" outlineLevel="0" collapsed="false">
      <c r="A7598" s="0" t="s">
        <v>851</v>
      </c>
      <c r="B7598" s="0" t="s">
        <v>98</v>
      </c>
      <c r="E7598" s="6" t="n">
        <f aca="false">Sens!E7497*(cxit_open+self_build*tk_cxfac)/1000*ai_net_open</f>
        <v>126.6980382</v>
      </c>
      <c r="F7598" s="6" t="n">
        <f aca="false">Sens!E7598+Sens!F7523-Sens!F7526</f>
        <v>260.50860663364</v>
      </c>
      <c r="G7598" s="6" t="n">
        <f aca="false">Sens!F7598+Sens!G7523-Sens!G7526</f>
        <v>383.588699107579</v>
      </c>
      <c r="H7598" s="6" t="n">
        <f aca="false">Sens!G7598+Sens!H7523-Sens!H7526</f>
        <v>483.939314275917</v>
      </c>
      <c r="I7598" s="6" t="n">
        <f aca="false">Sens!H7598+Sens!I7523-Sens!I7526</f>
        <v>535.671588699019</v>
      </c>
      <c r="J7598" s="6" t="n">
        <f aca="false">Sens!I7598+Sens!J7523-Sens!J7526</f>
        <v>531.012999745521</v>
      </c>
      <c r="K7598" s="6" t="n">
        <f aca="false">Sens!J7598+Sens!K7523-Sens!K7526</f>
        <v>506.337433834061</v>
      </c>
      <c r="L7598" s="1" t="s">
        <v>852</v>
      </c>
    </row>
    <row r="7599" customFormat="false" ht="17.15" hidden="false" customHeight="false" outlineLevel="0" collapsed="false">
      <c r="A7599" s="0" t="s">
        <v>853</v>
      </c>
      <c r="B7599" s="0" t="s">
        <v>129</v>
      </c>
      <c r="F7599" s="7" t="n">
        <f aca="false">Sens!F7597*(1-tax_f)/((Sens!E7598+Sens!F7598)/2)</f>
        <v>0.118378202782347</v>
      </c>
      <c r="G7599" s="7" t="n">
        <f aca="false">Sens!G7597*(1-tax_f)/((Sens!F7598+Sens!G7598)/2)</f>
        <v>0.13067780780896</v>
      </c>
      <c r="H7599" s="7" t="n">
        <f aca="false">Sens!H7597*(1-tax_f)/((Sens!G7598+Sens!H7598)/2)</f>
        <v>0.152281949962014</v>
      </c>
      <c r="I7599" s="7" t="n">
        <f aca="false">Sens!I7597*(1-tax_f)/((Sens!H7598+Sens!I7598)/2)</f>
        <v>0.163053123442561</v>
      </c>
      <c r="J7599" s="7" t="n">
        <f aca="false">Sens!J7597*(1-tax_f)/((Sens!I7598+Sens!J7598)/2)</f>
        <v>0.178047772528774</v>
      </c>
      <c r="K7599" s="7" t="n">
        <f aca="false">Sens!K7597*(1-tax_f)/((Sens!J7598+Sens!K7598)/2)</f>
        <v>0.198436290585647</v>
      </c>
    </row>
    <row r="7600" customFormat="false" ht="17.15" hidden="false" customHeight="false" outlineLevel="0" collapsed="false">
      <c r="A7600" s="1" t="s">
        <v>854</v>
      </c>
      <c r="B7600" s="0" t="s">
        <v>129</v>
      </c>
      <c r="F7600" s="7" t="n">
        <f aca="false">(Sens!F7597-Sens!F7596)*(1-tax_f)/((Sens!E7598+Sens!F7598)/2)</f>
        <v>0.0395391324541529</v>
      </c>
      <c r="G7600" s="7" t="n">
        <f aca="false">(Sens!G7597-Sens!G7596)*(1-tax_f)/((Sens!F7598+Sens!G7598)/2)</f>
        <v>0.0497791210430334</v>
      </c>
      <c r="H7600" s="7" t="n">
        <f aca="false">(Sens!H7597-Sens!H7596)*(1-tax_f)/((Sens!G7598+Sens!H7598)/2)</f>
        <v>0.0648494186283203</v>
      </c>
      <c r="I7600" s="7" t="n">
        <f aca="false">(Sens!I7597-Sens!I7596)*(1-tax_f)/((Sens!H7598+Sens!I7598)/2)</f>
        <v>0.0669340899659142</v>
      </c>
      <c r="J7600" s="7" t="n">
        <f aca="false">(Sens!J7597-Sens!J7596)*(1-tax_f)/((Sens!I7598+Sens!J7598)/2)</f>
        <v>0.0715351413801423</v>
      </c>
      <c r="K7600" s="7" t="n">
        <f aca="false">(Sens!K7597-Sens!K7596)*(1-tax_f)/((Sens!J7598+Sens!K7598)/2)</f>
        <v>0.0811447675595901</v>
      </c>
    </row>
    <row r="7601" customFormat="false" ht="17.15" hidden="false" customHeight="false" outlineLevel="0" collapsed="false">
      <c r="A7601" s="1" t="s">
        <v>855</v>
      </c>
      <c r="B7601" s="0" t="s">
        <v>129</v>
      </c>
      <c r="F7601" s="7" t="n">
        <f aca="false">(Sens!F7597-Sens!F7596+Sens!F7595)*(1-tax_f)/((Sens!E7598+Sens!F7598)/2)</f>
        <v>0.118378202782347</v>
      </c>
      <c r="G7601" s="7" t="n">
        <f aca="false">(Sens!G7597-Sens!G7596+Sens!G7595)*(1-tax_f)/((Sens!F7598+Sens!G7598)/2)</f>
        <v>0.13067780780896</v>
      </c>
      <c r="H7601" s="7" t="n">
        <f aca="false">(Sens!H7597-Sens!H7596+Sens!H7595)*(1-tax_f)/((Sens!G7598+Sens!H7598)/2)</f>
        <v>0.152281949962014</v>
      </c>
      <c r="I7601" s="7" t="n">
        <f aca="false">(Sens!I7597-Sens!I7596+Sens!I7595)*(1-tax_f)/((Sens!H7598+Sens!I7598)/2)</f>
        <v>0.163053123442561</v>
      </c>
      <c r="J7601" s="7" t="n">
        <f aca="false">(Sens!J7597-Sens!J7596+Sens!J7595)*(1-tax_f)/((Sens!I7598+Sens!J7598)/2)</f>
        <v>0.178047772528774</v>
      </c>
      <c r="K7601" s="7" t="n">
        <f aca="false">(Sens!K7597-Sens!K7596+Sens!K7595)*(1-tax_f)/((Sens!J7598+Sens!K7598)/2)</f>
        <v>0.198436290585647</v>
      </c>
    </row>
    <row r="7602" customFormat="false" ht="17.15" hidden="false" customHeight="false" outlineLevel="0" collapsed="false">
      <c r="A7602" s="1" t="s">
        <v>856</v>
      </c>
      <c r="B7602" s="0" t="s">
        <v>129</v>
      </c>
      <c r="F7602" s="7" t="n">
        <f aca="false">Sens!F7527*(1-tax_f)/(Sens!F7514*(Sens!E7598+Sens!F7598)/2)</f>
        <v>0.153491344592767</v>
      </c>
      <c r="G7602" s="7" t="n">
        <f aca="false">Sens!G7527*(1-tax_f)/(Sens!G7514*(Sens!F7598+Sens!G7598)/2)</f>
        <v>0.17461067532672</v>
      </c>
      <c r="H7602" s="7" t="n">
        <f aca="false">Sens!H7527*(1-tax_f)/(Sens!H7514*(Sens!G7598+Sens!H7598)/2)</f>
        <v>0.207583911294797</v>
      </c>
      <c r="I7602" s="7" t="n">
        <f aca="false">Sens!I7527*(1-tax_f)/(Sens!I7514*(Sens!H7598+Sens!I7598)/2)</f>
        <v>0.221648465441366</v>
      </c>
      <c r="J7602" s="7" t="n">
        <f aca="false">Sens!J7527*(1-tax_f)/(Sens!J7514*(Sens!I7598+Sens!J7598)/2)</f>
        <v>0.241767824187841</v>
      </c>
      <c r="K7602" s="7" t="n">
        <f aca="false">Sens!K7527*(1-tax_f)/(Sens!K7514*(Sens!J7598+Sens!K7598)/2)</f>
        <v>0.269010835614053</v>
      </c>
    </row>
    <row r="7603" customFormat="false" ht="17.15" hidden="false" customHeight="false" outlineLevel="0" collapsed="false">
      <c r="A7603" s="0" t="s">
        <v>857</v>
      </c>
      <c r="B7603" s="0" t="s">
        <v>209</v>
      </c>
      <c r="F7603" s="7" t="n">
        <f aca="false">Sens!F7599-wacc</f>
        <v>0.0154437826894715</v>
      </c>
      <c r="G7603" s="7" t="n">
        <f aca="false">Sens!G7599-wacc</f>
        <v>0.0277433877160843</v>
      </c>
      <c r="H7603" s="7" t="n">
        <f aca="false">Sens!H7599-wacc</f>
        <v>0.049347529869138</v>
      </c>
      <c r="I7603" s="7" t="n">
        <f aca="false">Sens!I7599-wacc</f>
        <v>0.0601187033496854</v>
      </c>
      <c r="J7603" s="7" t="n">
        <f aca="false">Sens!J7599-wacc</f>
        <v>0.0751133524358982</v>
      </c>
      <c r="K7603" s="7" t="n">
        <f aca="false">Sens!K7599-wacc</f>
        <v>0.0955018704927715</v>
      </c>
    </row>
    <row r="7604" customFormat="false" ht="17.15" hidden="false" customHeight="false" outlineLevel="0" collapsed="false">
      <c r="A7604" s="0" t="s">
        <v>858</v>
      </c>
      <c r="B7604" s="0" t="s">
        <v>98</v>
      </c>
      <c r="F7604" s="6" t="n">
        <f aca="false">Sens!F7597*(1-tax_f)-wacc*(Sens!E7598+Sens!F7598)/2</f>
        <v>2.98996763936505</v>
      </c>
      <c r="G7604" s="6" t="n">
        <f aca="false">Sens!G7597*(1-tax_f)-wacc*(Sens!F7598+Sens!G7598)/2</f>
        <v>8.93472064003198</v>
      </c>
      <c r="H7604" s="6" t="n">
        <f aca="false">Sens!H7597*(1-tax_f)-wacc*(Sens!G7598+Sens!H7598)/2</f>
        <v>21.405182276378</v>
      </c>
      <c r="I7604" s="6" t="n">
        <f aca="false">Sens!I7597*(1-tax_f)-wacc*(Sens!H7598+Sens!I7598)/2</f>
        <v>30.6488427040275</v>
      </c>
      <c r="J7604" s="6" t="n">
        <f aca="false">Sens!J7597*(1-tax_f)-wacc*(Sens!I7598+Sens!J7598)/2</f>
        <v>40.0611277148878</v>
      </c>
      <c r="K7604" s="6" t="n">
        <f aca="false">Sens!K7597*(1-tax_f)-wacc*(Sens!J7598+Sens!K7598)/2</f>
        <v>49.5344533816688</v>
      </c>
    </row>
    <row r="7605" customFormat="false" ht="17.15" hidden="false" customHeight="false" outlineLevel="0" collapsed="false">
      <c r="A7605" s="3" t="s">
        <v>1432</v>
      </c>
    </row>
    <row r="7606" customFormat="false" ht="15" hidden="false" customHeight="false" outlineLevel="0" collapsed="false">
      <c r="A7606" s="4" t="s">
        <v>43</v>
      </c>
      <c r="B7606" s="4" t="s">
        <v>65</v>
      </c>
      <c r="C7606" s="20" t="s">
        <v>788</v>
      </c>
      <c r="D7606" s="20" t="s">
        <v>789</v>
      </c>
      <c r="E7606" s="20" t="s">
        <v>790</v>
      </c>
      <c r="F7606" s="20" t="s">
        <v>791</v>
      </c>
      <c r="G7606" s="20" t="s">
        <v>792</v>
      </c>
      <c r="H7606" s="20" t="s">
        <v>793</v>
      </c>
      <c r="I7606" s="20" t="s">
        <v>794</v>
      </c>
      <c r="J7606" s="20" t="s">
        <v>795</v>
      </c>
      <c r="K7606" s="20" t="s">
        <v>796</v>
      </c>
      <c r="L7606" s="4" t="s">
        <v>47</v>
      </c>
    </row>
    <row r="7607" customFormat="false" ht="15" hidden="false" customHeight="false" outlineLevel="0" collapsed="false">
      <c r="A7607" s="1" t="s">
        <v>915</v>
      </c>
      <c r="B7607" s="0" t="s">
        <v>98</v>
      </c>
      <c r="F7607" s="6" t="n">
        <f aca="false">Sens!F7588</f>
        <v>144.650510461958</v>
      </c>
      <c r="G7607" s="6" t="n">
        <f aca="false">Sens!G7588</f>
        <v>168.320520712347</v>
      </c>
      <c r="H7607" s="6" t="n">
        <f aca="false">Sens!H7588</f>
        <v>195.587771968449</v>
      </c>
      <c r="I7607" s="6" t="n">
        <f aca="false">Sens!I7588</f>
        <v>215.978001193218</v>
      </c>
      <c r="J7607" s="6" t="n">
        <f aca="false">Sens!J7588</f>
        <v>232.957105078865</v>
      </c>
      <c r="K7607" s="6" t="n">
        <f aca="false">Sens!K7588</f>
        <v>247.764562466782</v>
      </c>
    </row>
    <row r="7608" customFormat="false" ht="17.15" hidden="false" customHeight="false" outlineLevel="0" collapsed="false">
      <c r="A7608" s="1" t="s">
        <v>937</v>
      </c>
      <c r="B7608" s="0" t="s">
        <v>98</v>
      </c>
      <c r="E7608" s="6" t="n">
        <f aca="false">Q!M38-Sens!E7526</f>
        <v>22.2285940229167</v>
      </c>
      <c r="F7608" s="6" t="n">
        <f aca="false">Sens!E7608*(1-1/life_nonai)+Sens!F7614/life_nonai</f>
        <v>23.5712564942279</v>
      </c>
      <c r="G7608" s="6" t="n">
        <f aca="false">Sens!F7608*(1-1/life_nonai)+Sens!G7614/life_nonai</f>
        <v>25.3476707689507</v>
      </c>
      <c r="H7608" s="6" t="n">
        <f aca="false">Sens!G7608*(1-1/life_nonai)+Sens!H7614/life_nonai</f>
        <v>27.5062886844358</v>
      </c>
      <c r="I7608" s="6" t="n">
        <f aca="false">Sens!H7608*(1-1/life_nonai)+Sens!I7614/life_nonai</f>
        <v>29.9533646315735</v>
      </c>
      <c r="J7608" s="6" t="n">
        <f aca="false">Sens!I7608*(1-1/life_nonai)+Sens!J7614/life_nonai</f>
        <v>32.5787028749524</v>
      </c>
      <c r="K7608" s="6" t="n">
        <f aca="false">Sens!J7608*(1-1/life_nonai)+Sens!K7614/life_nonai</f>
        <v>35.2816790918417</v>
      </c>
      <c r="L7608" s="11" t="s">
        <v>938</v>
      </c>
    </row>
    <row r="7609" customFormat="false" ht="17.15" hidden="false" customHeight="false" outlineLevel="0" collapsed="false">
      <c r="A7609" s="1" t="s">
        <v>939</v>
      </c>
      <c r="B7609" s="0" t="s">
        <v>98</v>
      </c>
      <c r="E7609" s="6" t="n">
        <f aca="false">Sens!E7526+Sens!E7608</f>
        <v>38.534</v>
      </c>
      <c r="F7609" s="6" t="n">
        <f aca="false">Sens!F7526+Sens!F7608</f>
        <v>58.3054693245588</v>
      </c>
      <c r="G7609" s="6" t="n">
        <f aca="false">Sens!G7526+Sens!G7608</f>
        <v>85.8417587782127</v>
      </c>
      <c r="H7609" s="6" t="n">
        <f aca="false">Sens!H7526+Sens!H7608</f>
        <v>115.235959426498</v>
      </c>
      <c r="I7609" s="6" t="n">
        <f aca="false">Sens!I7526+Sens!I7608</f>
        <v>141.927759362717</v>
      </c>
      <c r="J7609" s="6" t="n">
        <f aca="false">Sens!J7526+Sens!J7608</f>
        <v>161.74976854654</v>
      </c>
      <c r="K7609" s="6" t="n">
        <f aca="false">Sens!K7526+Sens!K7608</f>
        <v>174.916680645238</v>
      </c>
    </row>
    <row r="7610" customFormat="false" ht="17.15" hidden="false" customHeight="false" outlineLevel="0" collapsed="false">
      <c r="A7610" s="1" t="s">
        <v>940</v>
      </c>
      <c r="B7610" s="0" t="s">
        <v>98</v>
      </c>
      <c r="F7610" s="6" t="n">
        <f aca="false">Sens!F7553*sbc_r</f>
        <v>15.1102235514243</v>
      </c>
      <c r="G7610" s="6" t="n">
        <f aca="false">Sens!G7553*sbc_r</f>
        <v>18.3278805104623</v>
      </c>
      <c r="H7610" s="6" t="n">
        <f aca="false">Sens!H7553*sbc_r</f>
        <v>21.7598337411342</v>
      </c>
      <c r="I7610" s="6" t="n">
        <f aca="false">Sens!I7553*sbc_r</f>
        <v>24.6465378562293</v>
      </c>
      <c r="J7610" s="6" t="n">
        <f aca="false">Sens!J7553*sbc_r</f>
        <v>26.9112514767363</v>
      </c>
      <c r="K7610" s="6" t="n">
        <f aca="false">Sens!K7553*sbc_r</f>
        <v>28.6417861971101</v>
      </c>
    </row>
    <row r="7611" customFormat="false" ht="17.15" hidden="false" customHeight="false" outlineLevel="0" collapsed="false">
      <c r="A7611" s="1" t="s">
        <v>941</v>
      </c>
      <c r="B7611" s="0" t="s">
        <v>98</v>
      </c>
      <c r="F7611" s="6" t="n">
        <f aca="false">wc27</f>
        <v>-4.895</v>
      </c>
      <c r="G7611" s="6" t="n">
        <f aca="false">wc_f</f>
        <v>0</v>
      </c>
      <c r="H7611" s="6" t="n">
        <f aca="false">wc_f</f>
        <v>0</v>
      </c>
      <c r="I7611" s="6" t="n">
        <f aca="false">wc_f</f>
        <v>0</v>
      </c>
      <c r="J7611" s="6" t="n">
        <f aca="false">wc_f</f>
        <v>0</v>
      </c>
      <c r="K7611" s="6" t="n">
        <f aca="false">wc_f</f>
        <v>0</v>
      </c>
      <c r="L7611" s="11" t="s">
        <v>942</v>
      </c>
    </row>
    <row r="7612" customFormat="false" ht="15" hidden="false" customHeight="false" outlineLevel="0" collapsed="false">
      <c r="A7612" s="1" t="s">
        <v>756</v>
      </c>
      <c r="B7612" s="0" t="s">
        <v>98</v>
      </c>
      <c r="E7612" s="6" t="n">
        <f aca="false">Q!M35</f>
        <v>182.935</v>
      </c>
      <c r="F7612" s="6" t="n">
        <f aca="false">Sens!F7607+Sens!F7609+Sens!F7610+Sens!F7611</f>
        <v>213.171203337941</v>
      </c>
      <c r="G7612" s="6" t="n">
        <f aca="false">Sens!G7607+Sens!G7609+Sens!G7610+Sens!G7611</f>
        <v>272.490160001022</v>
      </c>
      <c r="H7612" s="6" t="n">
        <f aca="false">Sens!H7607+Sens!H7609+Sens!H7610+Sens!H7611</f>
        <v>332.583565136081</v>
      </c>
      <c r="I7612" s="6" t="n">
        <f aca="false">Sens!I7607+Sens!I7609+Sens!I7610+Sens!I7611</f>
        <v>382.552298412164</v>
      </c>
      <c r="J7612" s="6" t="n">
        <f aca="false">Sens!J7607+Sens!J7609+Sens!J7610+Sens!J7611</f>
        <v>421.618125102142</v>
      </c>
      <c r="K7612" s="6" t="n">
        <f aca="false">Sens!K7607+Sens!K7609+Sens!K7610+Sens!K7611</f>
        <v>451.32302930913</v>
      </c>
    </row>
    <row r="7613" customFormat="false" ht="17.15" hidden="false" customHeight="false" outlineLevel="0" collapsed="false">
      <c r="A7613" s="0" t="s">
        <v>943</v>
      </c>
      <c r="B7613" s="0" t="s">
        <v>98</v>
      </c>
      <c r="F7613" s="6" t="n">
        <f aca="false">Sens!F7523</f>
        <v>168.544781263971</v>
      </c>
      <c r="G7613" s="6" t="n">
        <f aca="false">Sens!G7523</f>
        <v>183.5741804832</v>
      </c>
      <c r="H7613" s="6" t="n">
        <f aca="false">Sens!H7523</f>
        <v>188.0802859104</v>
      </c>
      <c r="I7613" s="6" t="n">
        <f aca="false">Sens!I7523</f>
        <v>163.706669154245</v>
      </c>
      <c r="J7613" s="6" t="n">
        <f aca="false">Sens!J7523</f>
        <v>124.51247671809</v>
      </c>
      <c r="K7613" s="6" t="n">
        <f aca="false">Sens!K7523</f>
        <v>114.959435641936</v>
      </c>
    </row>
    <row r="7614" customFormat="false" ht="17.15" hidden="false" customHeight="false" outlineLevel="0" collapsed="false">
      <c r="A7614" s="1" t="s">
        <v>944</v>
      </c>
      <c r="B7614" s="0" t="s">
        <v>98</v>
      </c>
      <c r="E7614" s="6" t="n">
        <f aca="false">Sens!E7531*cx_azo+Sens!E7538*cx_m365+Sens!E7539*cx_lic+(Sens!E7541+Sens!E7543)*cx_ind+Sens!E7546*cx_srch+(Sens!E7548+Sens!E7550)*cx_dev</f>
        <v>30.1846587067718</v>
      </c>
      <c r="F7614" s="6" t="n">
        <f aca="false">Sens!F7531*cx_azo+Sens!F7538*cx_m365+Sens!F7539*cx_lic+(Sens!F7541+Sens!F7543)*cx_ind+Sens!F7546*cx_srch+(Sens!F7548+Sens!F7550)*cx_dev</f>
        <v>35.6552187360286</v>
      </c>
      <c r="G7614" s="6" t="n">
        <f aca="false">Sens!G7531*cx_azo+Sens!G7538*cx_m365+Sens!G7539*cx_lic+(Sens!G7541+Sens!G7543)*cx_ind+Sens!G7546*cx_srch+(Sens!G7548+Sens!G7550)*cx_dev</f>
        <v>41.3353992414566</v>
      </c>
      <c r="H7614" s="6" t="n">
        <f aca="false">Sens!H7531*cx_azo+Sens!H7538*cx_m365+Sens!H7539*cx_lic+(Sens!H7541+Sens!H7543)*cx_ind+Sens!H7546*cx_srch+(Sens!H7548+Sens!H7550)*cx_dev</f>
        <v>46.9338499238012</v>
      </c>
      <c r="I7614" s="6" t="n">
        <f aca="false">Sens!I7531*cx_azo+Sens!I7538*cx_m365+Sens!I7539*cx_lic+(Sens!I7541+Sens!I7543)*cx_ind+Sens!I7546*cx_srch+(Sens!I7548+Sens!I7550)*cx_dev</f>
        <v>51.9770481558128</v>
      </c>
      <c r="J7614" s="6" t="n">
        <f aca="false">Sens!J7531*cx_azo+Sens!J7538*cx_m365+Sens!J7539*cx_lic+(Sens!J7541+Sens!J7543)*cx_ind+Sens!J7546*cx_srch+(Sens!J7548+Sens!J7550)*cx_dev</f>
        <v>56.2067470653624</v>
      </c>
      <c r="K7614" s="6" t="n">
        <f aca="false">Sens!K7531*cx_azo+Sens!K7538*cx_m365+Sens!K7539*cx_lic+(Sens!K7541+Sens!K7543)*cx_ind+Sens!K7546*cx_srch+(Sens!K7548+Sens!K7550)*cx_dev</f>
        <v>59.608465043846</v>
      </c>
    </row>
    <row r="7615" customFormat="false" ht="17.15" hidden="false" customHeight="false" outlineLevel="0" collapsed="false">
      <c r="A7615" s="1" t="s">
        <v>945</v>
      </c>
      <c r="B7615" s="0" t="s">
        <v>98</v>
      </c>
      <c r="E7615" s="6" t="n">
        <f aca="false">Q!M42</f>
        <v>145.3</v>
      </c>
      <c r="F7615" s="6" t="n">
        <f aca="false">Sens!F7613+Sens!F7614</f>
        <v>204.2</v>
      </c>
      <c r="G7615" s="6" t="n">
        <f aca="false">Sens!G7613+Sens!G7614</f>
        <v>224.909579724657</v>
      </c>
      <c r="H7615" s="6" t="n">
        <f aca="false">Sens!H7613+Sens!H7614</f>
        <v>235.014135834201</v>
      </c>
      <c r="I7615" s="6" t="n">
        <f aca="false">Sens!I7613+Sens!I7614</f>
        <v>215.683717310058</v>
      </c>
      <c r="J7615" s="6" t="n">
        <f aca="false">Sens!J7613+Sens!J7614</f>
        <v>180.719223783453</v>
      </c>
      <c r="K7615" s="6" t="n">
        <f aca="false">Sens!K7613+Sens!K7614</f>
        <v>174.567900685782</v>
      </c>
      <c r="L7615" s="1" t="s">
        <v>946</v>
      </c>
    </row>
    <row r="7616" customFormat="false" ht="15" hidden="false" customHeight="false" outlineLevel="0" collapsed="false">
      <c r="A7616" s="1" t="s">
        <v>947</v>
      </c>
      <c r="B7616" s="0" t="s">
        <v>98</v>
      </c>
      <c r="E7616" s="6" t="n">
        <f aca="false">fl_liab</f>
        <v>66.594</v>
      </c>
      <c r="F7616" s="6" t="n">
        <f aca="false">Sens!E7616-Sens!F7617</f>
        <v>62.46973</v>
      </c>
      <c r="G7616" s="6" t="n">
        <f aca="false">Sens!F7616-Sens!G7617</f>
        <v>57.98686785</v>
      </c>
      <c r="H7616" s="6" t="n">
        <f aca="false">Sens!G7616-Sens!H7617</f>
        <v>53.92827690325</v>
      </c>
      <c r="I7616" s="6" t="n">
        <f aca="false">Sens!H7616-Sens!I7617</f>
        <v>49.7850493638962</v>
      </c>
      <c r="J7616" s="6" t="n">
        <f aca="false">Sens!I7616-Sens!J7617</f>
        <v>45.4823765852716</v>
      </c>
      <c r="K7616" s="6" t="n">
        <f aca="false">Sens!J7616-Sens!K7617</f>
        <v>40.9860835316088</v>
      </c>
    </row>
    <row r="7617" customFormat="false" ht="15" hidden="false" customHeight="false" outlineLevel="0" collapsed="false">
      <c r="A7617" s="1" t="s">
        <v>948</v>
      </c>
      <c r="B7617" s="0" t="s">
        <v>98</v>
      </c>
      <c r="F7617" s="6" t="n">
        <f aca="false">fl_pay_27-Sens!E7616*fl_rate</f>
        <v>4.12427</v>
      </c>
      <c r="G7617" s="6" t="n">
        <f aca="false">fl_pay_28-Sens!F7616*fl_rate</f>
        <v>4.48286215</v>
      </c>
      <c r="H7617" s="6" t="n">
        <f aca="false">fl_pay_29-Sens!G7616*fl_rate</f>
        <v>4.05859094675</v>
      </c>
      <c r="I7617" s="6" t="n">
        <f aca="false">fl_pay_30-Sens!H7616*fl_rate</f>
        <v>4.14322753935375</v>
      </c>
      <c r="J7617" s="6" t="n">
        <f aca="false">fl_pay_31-Sens!I7616*fl_rate</f>
        <v>4.30267277862467</v>
      </c>
      <c r="K7617" s="6" t="n">
        <f aca="false">fl_pay_32-Sens!J7616*fl_rate</f>
        <v>4.49629305366278</v>
      </c>
    </row>
    <row r="7618" customFormat="false" ht="17.15" hidden="false" customHeight="false" outlineLevel="0" collapsed="false">
      <c r="A7618" s="1" t="s">
        <v>949</v>
      </c>
      <c r="B7618" s="0" t="s">
        <v>98</v>
      </c>
      <c r="E7618" s="6" t="n">
        <f aca="false">Q!M35-Q!M36-Q!M43</f>
        <v>63.886</v>
      </c>
      <c r="F7618" s="6" t="n">
        <f aca="false">Sens!F7612-Sens!F7615-Sens!F7617</f>
        <v>4.84693333794069</v>
      </c>
      <c r="G7618" s="6" t="n">
        <f aca="false">Sens!G7612-Sens!G7615-Sens!G7617</f>
        <v>43.0977181263656</v>
      </c>
      <c r="H7618" s="6" t="n">
        <f aca="false">Sens!H7612-Sens!H7615-Sens!H7617</f>
        <v>93.5108383551301</v>
      </c>
      <c r="I7618" s="6" t="n">
        <f aca="false">Sens!I7612-Sens!I7615-Sens!I7617</f>
        <v>162.725353562752</v>
      </c>
      <c r="J7618" s="6" t="n">
        <f aca="false">Sens!J7612-Sens!J7615-Sens!J7617</f>
        <v>236.596228540064</v>
      </c>
      <c r="K7618" s="6" t="n">
        <f aca="false">Sens!K7612-Sens!K7615-Sens!K7617</f>
        <v>272.258835569685</v>
      </c>
      <c r="L7618" s="11" t="s">
        <v>950</v>
      </c>
    </row>
    <row r="7619" customFormat="false" ht="15" hidden="false" customHeight="false" outlineLevel="0" collapsed="false">
      <c r="A7619" s="1" t="s">
        <v>951</v>
      </c>
      <c r="B7619" s="0" t="s">
        <v>75</v>
      </c>
      <c r="F7619" s="8" t="n">
        <f aca="false">dps_27</f>
        <v>3.85</v>
      </c>
      <c r="G7619" s="8" t="n">
        <f aca="false">Sens!F7619*(1+dps_g)</f>
        <v>4.158</v>
      </c>
      <c r="H7619" s="8" t="n">
        <f aca="false">Sens!G7619*(1+dps_g)</f>
        <v>4.49064</v>
      </c>
      <c r="I7619" s="8" t="n">
        <f aca="false">Sens!H7619*(1+dps_g)</f>
        <v>4.8498912</v>
      </c>
      <c r="J7619" s="8" t="n">
        <f aca="false">Sens!I7619*(1+dps_g)</f>
        <v>5.237882496</v>
      </c>
      <c r="K7619" s="8" t="n">
        <f aca="false">Sens!J7619*(1+dps_g)</f>
        <v>5.65691309568</v>
      </c>
    </row>
    <row r="7620" customFormat="false" ht="17.15" hidden="false" customHeight="false" outlineLevel="0" collapsed="false">
      <c r="A7620" s="1" t="s">
        <v>952</v>
      </c>
      <c r="B7620" s="0" t="s">
        <v>98</v>
      </c>
      <c r="E7620" s="6" t="n">
        <f aca="false">Q!M41</f>
        <v>26.445</v>
      </c>
      <c r="F7620" s="6" t="n">
        <f aca="false">Sens!F7619*Sens!E7629</f>
        <v>28.59395</v>
      </c>
      <c r="G7620" s="6" t="n">
        <f aca="false">Sens!G7619*Sens!F7629</f>
        <v>31.068576</v>
      </c>
      <c r="H7620" s="6" t="n">
        <f aca="false">Sens!H7619*Sens!G7629</f>
        <v>33.6657746630974</v>
      </c>
      <c r="I7620" s="6" t="n">
        <f aca="false">Sens!I7619*Sens!H7629</f>
        <v>36.4099758761447</v>
      </c>
      <c r="J7620" s="6" t="n">
        <f aca="false">Sens!J7619*Sens!I7629</f>
        <v>39.3911727945557</v>
      </c>
      <c r="K7620" s="6" t="n">
        <f aca="false">Sens!K7619*Sens!J7629</f>
        <v>42.6297218434252</v>
      </c>
      <c r="L7620" s="1" t="s">
        <v>953</v>
      </c>
    </row>
    <row r="7621" customFormat="false" ht="15" hidden="false" customHeight="false" outlineLevel="0" collapsed="false">
      <c r="A7621" s="1" t="s">
        <v>954</v>
      </c>
      <c r="B7621" s="0" t="s">
        <v>98</v>
      </c>
      <c r="E7621" s="6" t="n">
        <f aca="false">Sens!E7618-Sens!E7620</f>
        <v>37.441</v>
      </c>
      <c r="F7621" s="6" t="n">
        <f aca="false">Sens!F7618-Sens!F7620</f>
        <v>-23.7470166620593</v>
      </c>
      <c r="G7621" s="6" t="n">
        <f aca="false">Sens!G7618-Sens!G7620</f>
        <v>12.0291421263656</v>
      </c>
      <c r="H7621" s="6" t="n">
        <f aca="false">Sens!H7618-Sens!H7620</f>
        <v>59.8450636920327</v>
      </c>
      <c r="I7621" s="6" t="n">
        <f aca="false">Sens!I7618-Sens!I7620</f>
        <v>126.315377686607</v>
      </c>
      <c r="J7621" s="6" t="n">
        <f aca="false">Sens!J7618-Sens!J7620</f>
        <v>197.205055745508</v>
      </c>
      <c r="K7621" s="6" t="n">
        <f aca="false">Sens!K7618-Sens!K7620</f>
        <v>229.629113726259</v>
      </c>
    </row>
    <row r="7622" customFormat="false" ht="15" hidden="false" customHeight="false" outlineLevel="0" collapsed="false">
      <c r="A7622" s="1" t="s">
        <v>955</v>
      </c>
      <c r="B7622" s="0" t="s">
        <v>98</v>
      </c>
      <c r="F7622" s="6" t="n">
        <f aca="false">debt_mat_27</f>
        <v>9.25</v>
      </c>
      <c r="G7622" s="6" t="n">
        <f aca="false">debt_mat_28</f>
        <v>0</v>
      </c>
      <c r="H7622" s="6" t="n">
        <f aca="false">debt_mat_29</f>
        <v>2.001</v>
      </c>
      <c r="I7622" s="6" t="n">
        <f aca="false">debt_mat_30</f>
        <v>0</v>
      </c>
      <c r="J7622" s="6" t="n">
        <f aca="false">debt_mat_31</f>
        <v>0.5</v>
      </c>
      <c r="K7622" s="6" t="n">
        <f aca="false">debt_mat_32</f>
        <v>0</v>
      </c>
    </row>
    <row r="7623" customFormat="false" ht="15" hidden="false" customHeight="false" outlineLevel="0" collapsed="false">
      <c r="A7623" s="1" t="s">
        <v>956</v>
      </c>
      <c r="B7623" s="0" t="s">
        <v>98</v>
      </c>
      <c r="E7623" s="6" t="n">
        <f aca="false">Q!M40</f>
        <v>22.271</v>
      </c>
      <c r="F7623" s="6" t="n">
        <f aca="false">MAX(0,MIN(bb_target,Sens!E7625+Sens!F7621-Sens!F7622-min_cash))</f>
        <v>0</v>
      </c>
      <c r="G7623" s="6" t="n">
        <f aca="false">MAX(0,MIN(bb_target,Sens!F7625+Sens!G7621-Sens!G7622-min_cash))</f>
        <v>12.0291421263656</v>
      </c>
      <c r="H7623" s="6" t="n">
        <f aca="false">MAX(0,MIN(bb_target,Sens!G7625+Sens!H7621-Sens!H7622-min_cash))</f>
        <v>22.271</v>
      </c>
      <c r="I7623" s="6" t="n">
        <f aca="false">MAX(0,MIN(bb_target,Sens!H7625+Sens!I7621-Sens!I7622-min_cash))</f>
        <v>22.271</v>
      </c>
      <c r="J7623" s="6" t="n">
        <f aca="false">MAX(0,MIN(bb_target,Sens!I7625+Sens!J7621-Sens!J7622-min_cash))</f>
        <v>22.271</v>
      </c>
      <c r="K7623" s="6" t="n">
        <f aca="false">MAX(0,MIN(bb_target,Sens!J7625+Sens!K7621-Sens!K7622-min_cash))</f>
        <v>22.271</v>
      </c>
    </row>
    <row r="7624" customFormat="false" ht="15" hidden="false" customHeight="false" outlineLevel="0" collapsed="false">
      <c r="A7624" s="1" t="s">
        <v>957</v>
      </c>
      <c r="B7624" s="0" t="s">
        <v>98</v>
      </c>
      <c r="F7624" s="6" t="n">
        <f aca="false">MAX(0,min_cash-(Sens!E7625+Sens!F7621-Sens!F7622-Sens!F7623))</f>
        <v>6.15401666205931</v>
      </c>
      <c r="G7624" s="6" t="n">
        <f aca="false">MAX(0,min_cash-(Sens!F7625+Sens!G7621-Sens!G7622-Sens!G7623))</f>
        <v>0</v>
      </c>
      <c r="H7624" s="6" t="n">
        <f aca="false">MAX(0,min_cash-(Sens!G7625+Sens!H7621-Sens!H7622-Sens!H7623))</f>
        <v>0</v>
      </c>
      <c r="I7624" s="6" t="n">
        <f aca="false">MAX(0,min_cash-(Sens!H7625+Sens!I7621-Sens!I7622-Sens!I7623))</f>
        <v>0</v>
      </c>
      <c r="J7624" s="6" t="n">
        <f aca="false">MAX(0,min_cash-(Sens!I7625+Sens!J7621-Sens!J7622-Sens!J7623))</f>
        <v>0</v>
      </c>
      <c r="K7624" s="6" t="n">
        <f aca="false">MAX(0,min_cash-(Sens!J7625+Sens!K7621-Sens!K7622-Sens!K7623))</f>
        <v>0</v>
      </c>
    </row>
    <row r="7625" customFormat="false" ht="15" hidden="false" customHeight="false" outlineLevel="0" collapsed="false">
      <c r="A7625" s="1" t="s">
        <v>958</v>
      </c>
      <c r="B7625" s="0" t="s">
        <v>98</v>
      </c>
      <c r="E7625" s="6" t="n">
        <f aca="false">cash_open</f>
        <v>76.843</v>
      </c>
      <c r="F7625" s="6" t="n">
        <f aca="false">Sens!E7625+Sens!F7621-Sens!F7622-Sens!F7623+Sens!F7624</f>
        <v>50</v>
      </c>
      <c r="G7625" s="6" t="n">
        <f aca="false">Sens!F7625+Sens!G7621-Sens!G7622-Sens!G7623+Sens!G7624</f>
        <v>50</v>
      </c>
      <c r="H7625" s="6" t="n">
        <f aca="false">Sens!G7625+Sens!H7621-Sens!H7622-Sens!H7623+Sens!H7624</f>
        <v>85.5730636920327</v>
      </c>
      <c r="I7625" s="6" t="n">
        <f aca="false">Sens!H7625+Sens!I7621-Sens!I7622-Sens!I7623+Sens!I7624</f>
        <v>189.61744137864</v>
      </c>
      <c r="J7625" s="6" t="n">
        <f aca="false">Sens!I7625+Sens!J7621-Sens!J7622-Sens!J7623+Sens!J7624</f>
        <v>364.051497124148</v>
      </c>
      <c r="K7625" s="6" t="n">
        <f aca="false">Sens!J7625+Sens!K7621-Sens!K7622-Sens!K7623+Sens!K7624</f>
        <v>571.409610850408</v>
      </c>
    </row>
    <row r="7626" customFormat="false" ht="15" hidden="false" customHeight="false" outlineLevel="0" collapsed="false">
      <c r="A7626" s="1" t="s">
        <v>959</v>
      </c>
      <c r="B7626" s="0" t="s">
        <v>98</v>
      </c>
      <c r="E7626" s="6" t="n">
        <f aca="false">debt_face</f>
        <v>46.136</v>
      </c>
      <c r="F7626" s="6" t="n">
        <f aca="false">Sens!E7626-Sens!F7622+Sens!F7624</f>
        <v>43.0400166620593</v>
      </c>
      <c r="G7626" s="6" t="n">
        <f aca="false">Sens!F7626-Sens!G7622+Sens!G7624</f>
        <v>43.0400166620593</v>
      </c>
      <c r="H7626" s="6" t="n">
        <f aca="false">Sens!G7626-Sens!H7622+Sens!H7624</f>
        <v>41.0390166620593</v>
      </c>
      <c r="I7626" s="6" t="n">
        <f aca="false">Sens!H7626-Sens!I7622+Sens!I7624</f>
        <v>41.0390166620593</v>
      </c>
      <c r="J7626" s="6" t="n">
        <f aca="false">Sens!I7626-Sens!J7622+Sens!J7624</f>
        <v>40.5390166620593</v>
      </c>
      <c r="K7626" s="6" t="n">
        <f aca="false">Sens!J7626-Sens!K7622+Sens!K7624</f>
        <v>40.5390166620593</v>
      </c>
    </row>
    <row r="7627" customFormat="false" ht="15" hidden="false" customHeight="false" outlineLevel="0" collapsed="false">
      <c r="A7627" s="1" t="s">
        <v>960</v>
      </c>
      <c r="B7627" s="0" t="s">
        <v>98</v>
      </c>
      <c r="E7627" s="6" t="n">
        <f aca="false">Sens!E7625-Sens!E7626</f>
        <v>30.707</v>
      </c>
      <c r="F7627" s="6" t="n">
        <f aca="false">Sens!F7625-Sens!F7626</f>
        <v>6.95998333794069</v>
      </c>
      <c r="G7627" s="6" t="n">
        <f aca="false">Sens!G7625-Sens!G7626</f>
        <v>6.95998333794069</v>
      </c>
      <c r="H7627" s="6" t="n">
        <f aca="false">Sens!H7625-Sens!H7626</f>
        <v>44.5340470299733</v>
      </c>
      <c r="I7627" s="6" t="n">
        <f aca="false">Sens!I7625-Sens!I7626</f>
        <v>148.578424716581</v>
      </c>
      <c r="J7627" s="6" t="n">
        <f aca="false">Sens!J7625-Sens!J7626</f>
        <v>323.512480462089</v>
      </c>
      <c r="K7627" s="6" t="n">
        <f aca="false">Sens!K7625-Sens!K7626</f>
        <v>530.870594188349</v>
      </c>
    </row>
    <row r="7628" customFormat="false" ht="15" hidden="false" customHeight="false" outlineLevel="0" collapsed="false">
      <c r="A7628" s="1" t="s">
        <v>961</v>
      </c>
      <c r="B7628" s="0" t="s">
        <v>75</v>
      </c>
      <c r="F7628" s="29" t="n">
        <f aca="false">px*(1+bb_g)^(Sens!F7492-base_fy-mid_yr)</f>
        <v>553.494156066711</v>
      </c>
      <c r="G7628" s="29" t="n">
        <f aca="false">px*(1+bb_g)^(Sens!G7492-base_fy-mid_yr)</f>
        <v>597.773688552047</v>
      </c>
      <c r="H7628" s="29" t="n">
        <f aca="false">px*(1+bb_g)^(Sens!H7492-base_fy-mid_yr)</f>
        <v>645.595583636211</v>
      </c>
      <c r="I7628" s="29" t="n">
        <f aca="false">px*(1+bb_g)^(Sens!I7492-base_fy-mid_yr)</f>
        <v>697.243230327108</v>
      </c>
      <c r="J7628" s="29" t="n">
        <f aca="false">px*(1+bb_g)^(Sens!J7492-base_fy-mid_yr)</f>
        <v>753.022688753277</v>
      </c>
      <c r="K7628" s="29" t="n">
        <f aca="false">px*(1+bb_g)^(Sens!K7492-base_fy-mid_yr)</f>
        <v>813.264503853539</v>
      </c>
    </row>
    <row r="7629" customFormat="false" ht="15" hidden="false" customHeight="false" outlineLevel="0" collapsed="false">
      <c r="A7629" s="1" t="s">
        <v>962</v>
      </c>
      <c r="B7629" s="1" t="s">
        <v>81</v>
      </c>
      <c r="E7629" s="14" t="n">
        <f aca="false">sh_out26</f>
        <v>7.427</v>
      </c>
      <c r="F7629" s="14" t="n">
        <f aca="false">Sens!E7629+sh_iss-Sens!F7623/Sens!F7628</f>
        <v>7.472</v>
      </c>
      <c r="G7629" s="14" t="n">
        <f aca="false">Sens!F7629+sh_iss-Sens!G7623/Sens!G7628</f>
        <v>7.49687676213133</v>
      </c>
      <c r="H7629" s="14" t="n">
        <f aca="false">Sens!G7629+sh_iss-Sens!H7623/Sens!H7628</f>
        <v>7.50737993383123</v>
      </c>
      <c r="I7629" s="14" t="n">
        <f aca="false">Sens!H7629+sh_iss-Sens!I7623/Sens!I7628</f>
        <v>7.52043842614596</v>
      </c>
      <c r="J7629" s="14" t="n">
        <f aca="false">Sens!I7629+sh_iss-Sens!J7623/Sens!J7628</f>
        <v>7.535862956067</v>
      </c>
      <c r="K7629" s="14" t="n">
        <f aca="false">Sens!J7629+sh_iss-Sens!K7623/Sens!K7628</f>
        <v>7.55347826154944</v>
      </c>
    </row>
    <row r="7630" customFormat="false" ht="15" hidden="false" customHeight="false" outlineLevel="0" collapsed="false">
      <c r="A7630" s="1" t="s">
        <v>963</v>
      </c>
      <c r="B7630" s="1" t="s">
        <v>81</v>
      </c>
      <c r="E7630" s="14" t="n">
        <f aca="false">sh_dil26</f>
        <v>7.453</v>
      </c>
      <c r="F7630" s="14" t="n">
        <f aca="false">(Sens!E7629+Sens!F7629)/2+dil_gap</f>
        <v>7.4735</v>
      </c>
      <c r="G7630" s="14" t="n">
        <f aca="false">(Sens!F7629+Sens!G7629)/2+dil_gap</f>
        <v>7.50843838106566</v>
      </c>
      <c r="H7630" s="14" t="n">
        <f aca="false">(Sens!G7629+Sens!H7629)/2+dil_gap</f>
        <v>7.52612834798128</v>
      </c>
      <c r="I7630" s="14" t="n">
        <f aca="false">(Sens!H7629+Sens!I7629)/2+dil_gap</f>
        <v>7.53790917998859</v>
      </c>
      <c r="J7630" s="14" t="n">
        <f aca="false">(Sens!I7629+Sens!J7629)/2+dil_gap</f>
        <v>7.55215069110648</v>
      </c>
      <c r="K7630" s="14" t="n">
        <f aca="false">(Sens!J7629+Sens!K7629)/2+dil_gap</f>
        <v>7.56867060880822</v>
      </c>
    </row>
    <row r="7631" customFormat="false" ht="17.15" hidden="false" customHeight="false" outlineLevel="0" collapsed="false">
      <c r="A7631" s="1" t="s">
        <v>964</v>
      </c>
      <c r="B7631" s="0" t="s">
        <v>98</v>
      </c>
      <c r="C7631" s="6" t="n">
        <f aca="false">SUM(Sens!F7621:J7621)</f>
        <v>371.647622588455</v>
      </c>
    </row>
    <row r="7632" customFormat="false" ht="15" hidden="false" customHeight="false" outlineLevel="0" collapsed="false">
      <c r="A7632" s="23" t="s">
        <v>935</v>
      </c>
      <c r="B7632" s="30" t="s">
        <v>98</v>
      </c>
      <c r="C7632" s="24" t="n">
        <f aca="false">Sens!$C$7631-(Sens!F7621+Sens!G7621+Sens!H7621+Sens!I7621+Sens!J7621)</f>
        <v>0</v>
      </c>
      <c r="D7632" s="30"/>
      <c r="E7632" s="30"/>
      <c r="F7632" s="30"/>
      <c r="G7632" s="30"/>
      <c r="H7632" s="30"/>
      <c r="I7632" s="30"/>
      <c r="J7632" s="30"/>
      <c r="K7632" s="30"/>
    </row>
    <row r="7633" customFormat="false" ht="17.15" hidden="false" customHeight="false" outlineLevel="0" collapsed="false">
      <c r="A7633" s="1" t="s">
        <v>929</v>
      </c>
      <c r="B7633" s="1" t="s">
        <v>965</v>
      </c>
      <c r="C7633" s="32" t="str">
        <f aca="false">IF(SUM(Sens!F7624:J7624)&gt;0.05,"需要舉債 "&amp;TEXT(SUM(Sens!F7624:J7624),"0.0")&amp;" 十億美元","不需舉債")&amp;"；"&amp;IF(SUM(Sens!F7623:J7623)&lt;COUNT(Sens!F7623:J7623)*bb_target-0.05,"回購較每年 "&amp;TEXT(bb_target,"0.0")&amp;" 的目標少 "&amp;TEXT(COUNT(Sens!F7623:J7623)*bb_target-SUM(Sens!F7623:J7623),"0.0")&amp;" 十億美元（"&amp;TEXT(COUNTIF(Sens!F7623:J7623,"&lt;"&amp;(bb_target-0.05)),"0")&amp;" 年減少）","回購不減")</f>
        <v>需要舉債 6.2 十億美元；回購較每年 22.3 的目標少 32.5 十億美元（2 年減少）</v>
      </c>
    </row>
    <row r="7634" customFormat="false" ht="17.15" hidden="false" customHeight="false" outlineLevel="0" collapsed="false">
      <c r="A7634" s="3" t="s">
        <v>1433</v>
      </c>
    </row>
    <row r="7635" customFormat="false" ht="15" hidden="false" customHeight="false" outlineLevel="0" collapsed="false">
      <c r="A7635" s="4" t="s">
        <v>43</v>
      </c>
      <c r="B7635" s="4" t="s">
        <v>65</v>
      </c>
      <c r="C7635" s="20" t="s">
        <v>788</v>
      </c>
      <c r="D7635" s="20" t="s">
        <v>789</v>
      </c>
      <c r="E7635" s="20" t="s">
        <v>790</v>
      </c>
      <c r="F7635" s="20" t="s">
        <v>791</v>
      </c>
      <c r="G7635" s="20" t="s">
        <v>792</v>
      </c>
      <c r="H7635" s="20" t="s">
        <v>793</v>
      </c>
      <c r="I7635" s="20" t="s">
        <v>794</v>
      </c>
      <c r="J7635" s="20" t="s">
        <v>795</v>
      </c>
      <c r="K7635" s="20" t="s">
        <v>796</v>
      </c>
      <c r="L7635" s="4" t="s">
        <v>47</v>
      </c>
    </row>
    <row r="7636" customFormat="false" ht="15" hidden="false" customHeight="false" outlineLevel="0" collapsed="false">
      <c r="A7636" s="1" t="s">
        <v>1042</v>
      </c>
      <c r="B7636" s="1" t="s">
        <v>235</v>
      </c>
      <c r="F7636" s="36" t="n">
        <f aca="false">Sens!F7492-base_fy-mid_yr</f>
        <v>0.5</v>
      </c>
      <c r="G7636" s="36" t="n">
        <f aca="false">Sens!G7492-base_fy-mid_yr</f>
        <v>1.5</v>
      </c>
      <c r="H7636" s="36" t="n">
        <f aca="false">Sens!H7492-base_fy-mid_yr</f>
        <v>2.5</v>
      </c>
      <c r="I7636" s="36" t="n">
        <f aca="false">Sens!I7492-base_fy-mid_yr</f>
        <v>3.5</v>
      </c>
      <c r="J7636" s="36" t="n">
        <f aca="false">Sens!J7492-base_fy-mid_yr</f>
        <v>4.5</v>
      </c>
      <c r="K7636" s="36" t="n">
        <f aca="false">Sens!K7492-base_fy-mid_yr</f>
        <v>5.5</v>
      </c>
    </row>
    <row r="7637" customFormat="false" ht="15" hidden="false" customHeight="false" outlineLevel="0" collapsed="false">
      <c r="A7637" s="1" t="s">
        <v>1043</v>
      </c>
      <c r="B7637" s="0" t="s">
        <v>185</v>
      </c>
      <c r="F7637" s="14" t="n">
        <f aca="false">1/(1+wacc)^Sens!F7636</f>
        <v>0.952193373608246</v>
      </c>
      <c r="G7637" s="14" t="n">
        <f aca="false">1/(1+wacc)^Sens!G7636</f>
        <v>0.863327280626589</v>
      </c>
      <c r="H7637" s="14" t="n">
        <f aca="false">1/(1+wacc)^Sens!H7636</f>
        <v>0.782754862754115</v>
      </c>
      <c r="I7637" s="14" t="n">
        <f aca="false">1/(1+wacc)^Sens!I7636</f>
        <v>0.709702089711011</v>
      </c>
      <c r="J7637" s="14" t="n">
        <f aca="false">1/(1+wacc)^Sens!J7636</f>
        <v>0.643467169744551</v>
      </c>
      <c r="K7637" s="14" t="n">
        <f aca="false">1/(1+wacc)^Sens!K7636</f>
        <v>0.583413807767797</v>
      </c>
    </row>
    <row r="7638" customFormat="false" ht="17.15" hidden="false" customHeight="false" outlineLevel="0" collapsed="false">
      <c r="A7638" s="1" t="s">
        <v>1044</v>
      </c>
      <c r="B7638" s="0" t="s">
        <v>98</v>
      </c>
      <c r="F7638" s="6" t="n">
        <f aca="false">Sens!F7612-Sens!F7610-Sens!F7615+Sens!F7596*(1-tax_f)</f>
        <v>9.12448573830817</v>
      </c>
      <c r="G7638" s="6" t="n">
        <f aca="false">Sens!G7612-Sens!G7610-Sens!G7615+Sens!G7596*(1-tax_f)</f>
        <v>55.3060128578714</v>
      </c>
      <c r="H7638" s="6" t="n">
        <f aca="false">Sens!H7612-Sens!H7610-Sens!H7615+Sens!H7596*(1-tax_f)</f>
        <v>113.73468066725</v>
      </c>
      <c r="I7638" s="6" t="n">
        <f aca="false">Sens!I7612-Sens!I7610-Sens!I7615+Sens!I7596*(1-tax_f)</f>
        <v>191.224050503978</v>
      </c>
      <c r="J7638" s="6" t="n">
        <f aca="false">Sens!J7612-Sens!J7610-Sens!J7615+Sens!J7596*(1-tax_f)</f>
        <v>270.795340902414</v>
      </c>
      <c r="K7638" s="6" t="n">
        <f aca="false">Sens!K7612-Sens!K7610-Sens!K7615+Sens!K7596*(1-tax_f)</f>
        <v>308.949548559382</v>
      </c>
      <c r="L7638" s="1" t="s">
        <v>1045</v>
      </c>
    </row>
    <row r="7639" customFormat="false" ht="15" hidden="false" customHeight="false" outlineLevel="0" collapsed="false">
      <c r="A7639" s="1" t="s">
        <v>1046</v>
      </c>
      <c r="B7639" s="0" t="s">
        <v>98</v>
      </c>
      <c r="F7639" s="6" t="n">
        <f aca="false">Sens!F7638*Sens!F7637</f>
        <v>8.68827485759998</v>
      </c>
      <c r="G7639" s="6" t="n">
        <f aca="false">Sens!G7638*Sens!G7637</f>
        <v>47.7471896828853</v>
      </c>
      <c r="H7639" s="6" t="n">
        <f aca="false">Sens!H7638*Sens!H7637</f>
        <v>89.0263743560768</v>
      </c>
      <c r="I7639" s="6" t="n">
        <f aca="false">Sens!I7638*Sens!I7637</f>
        <v>135.712108245677</v>
      </c>
      <c r="J7639" s="6" t="n">
        <f aca="false">Sens!J7638*Sens!J7637</f>
        <v>174.247911590487</v>
      </c>
      <c r="K7639" s="6" t="n">
        <f aca="false">Sens!K7638*Sens!K7637</f>
        <v>180.245432533171</v>
      </c>
    </row>
    <row r="7640" customFormat="false" ht="17.15" hidden="false" customHeight="false" outlineLevel="0" collapsed="false">
      <c r="A7640" s="1" t="s">
        <v>1047</v>
      </c>
      <c r="B7640" s="0" t="s">
        <v>98</v>
      </c>
      <c r="C7640" s="6" t="n">
        <f aca="false">SUM(Sens!F7639:K7639)</f>
        <v>635.667291265897</v>
      </c>
    </row>
    <row r="7641" customFormat="false" ht="17.15" hidden="false" customHeight="false" outlineLevel="0" collapsed="false">
      <c r="A7641" s="1" t="s">
        <v>1048</v>
      </c>
      <c r="B7641" s="0" t="s">
        <v>98</v>
      </c>
      <c r="C7641" s="6" t="n">
        <f aca="false">Sens!K7582*(1+g_tv)*(1-tax_f)</f>
        <v>318.188391657925</v>
      </c>
    </row>
    <row r="7642" customFormat="false" ht="17.15" hidden="false" customHeight="false" outlineLevel="0" collapsed="false">
      <c r="A7642" s="1" t="s">
        <v>1049</v>
      </c>
      <c r="B7642" s="0" t="s">
        <v>98</v>
      </c>
      <c r="C7642" s="6" t="n">
        <f aca="false">Sens!$C$7641*(1-g_tv/(wacc+ronic_prem))</f>
        <v>225.453116702036</v>
      </c>
    </row>
    <row r="7643" customFormat="false" ht="17.15" hidden="false" customHeight="false" outlineLevel="0" collapsed="false">
      <c r="A7643" s="1" t="s">
        <v>1050</v>
      </c>
      <c r="B7643" s="0" t="s">
        <v>98</v>
      </c>
      <c r="C7643" s="6" t="n">
        <f aca="false">Sens!$C$7642/(wacc-g_tv)</f>
        <v>3091.17583186294</v>
      </c>
    </row>
    <row r="7644" customFormat="false" ht="15" hidden="false" customHeight="false" outlineLevel="0" collapsed="false">
      <c r="A7644" s="1" t="s">
        <v>1051</v>
      </c>
      <c r="B7644" s="0" t="s">
        <v>98</v>
      </c>
      <c r="C7644" s="6" t="n">
        <f aca="false">Sens!$C$7643/(1+wacc)^(Sens!K7636+mid_yr)</f>
        <v>1717.21853541262</v>
      </c>
    </row>
    <row r="7645" customFormat="false" ht="17.15" hidden="false" customHeight="false" outlineLevel="0" collapsed="false">
      <c r="A7645" s="0" t="s">
        <v>972</v>
      </c>
      <c r="B7645" s="0" t="s">
        <v>98</v>
      </c>
      <c r="C7645" s="6" t="n">
        <f aca="false">Sens!$C$7640+Sens!$C$7644</f>
        <v>2352.88582667852</v>
      </c>
    </row>
    <row r="7646" customFormat="false" ht="15" hidden="false" customHeight="false" outlineLevel="0" collapsed="false">
      <c r="A7646" s="1" t="s">
        <v>973</v>
      </c>
      <c r="B7646" s="0" t="s">
        <v>129</v>
      </c>
      <c r="C7646" s="7" t="n">
        <f aca="false">Sens!$C$7644/Sens!$C$7645</f>
        <v>0.729835045943031</v>
      </c>
    </row>
    <row r="7647" customFormat="false" ht="17.15" hidden="false" customHeight="false" outlineLevel="0" collapsed="false">
      <c r="A7647" s="1" t="s">
        <v>1052</v>
      </c>
      <c r="B7647" s="0" t="s">
        <v>98</v>
      </c>
      <c r="C7647" s="6" t="n">
        <f aca="false">Sens!$C$7645+Sens!E7627-Sens!E7616+oai_v</f>
        <v>2487.39882667852</v>
      </c>
    </row>
    <row r="7648" customFormat="false" ht="17.15" hidden="false" customHeight="false" outlineLevel="0" collapsed="false">
      <c r="A7648" s="0" t="s">
        <v>980</v>
      </c>
      <c r="B7648" s="0" t="s">
        <v>75</v>
      </c>
      <c r="C7648" s="5" t="n">
        <f aca="false">Sens!$C$7647/sh_dil26</f>
        <v>333.744643321954</v>
      </c>
    </row>
    <row r="7649" customFormat="false" ht="15" hidden="false" customHeight="false" outlineLevel="0" collapsed="false">
      <c r="A7649" s="1" t="s">
        <v>1053</v>
      </c>
      <c r="B7649" s="0" t="s">
        <v>75</v>
      </c>
      <c r="C7649" s="8" t="n">
        <f aca="false">dps_27+Sens!G7619*roll_div_q/q_per_yr</f>
        <v>4.8895</v>
      </c>
    </row>
    <row r="7650" customFormat="false" ht="17.15" hidden="false" customHeight="false" outlineLevel="0" collapsed="false">
      <c r="A7650" s="0" t="s">
        <v>1054</v>
      </c>
      <c r="B7650" s="0" t="s">
        <v>75</v>
      </c>
      <c r="C7650" s="5" t="n">
        <f aca="false">Sens!$C$7648*(1+wacc)^t_roll-Sens!$C$7649</f>
        <v>375.156668926068</v>
      </c>
    </row>
    <row r="7651" customFormat="false" ht="17.15" hidden="false" customHeight="false" outlineLevel="0" collapsed="false">
      <c r="A7651" s="1" t="s">
        <v>1055</v>
      </c>
      <c r="B7651" s="0" t="s">
        <v>129</v>
      </c>
      <c r="F7651" s="7" t="n">
        <f aca="false">Sens!F7608/(Sens!F7553-Sens!F7509)</f>
        <v>0.0682290472299518</v>
      </c>
      <c r="G7651" s="7" t="n">
        <f aca="false">Sens!G7608/(Sens!G7553-Sens!G7509)</f>
        <v>0.0651762753229544</v>
      </c>
      <c r="H7651" s="7" t="n">
        <f aca="false">Sens!H7608/(Sens!H7553-Sens!H7509)</f>
        <v>0.0636279034495062</v>
      </c>
      <c r="I7651" s="7" t="n">
        <f aca="false">Sens!I7608/(Sens!I7553-Sens!I7509)</f>
        <v>0.0634690415083747</v>
      </c>
      <c r="J7651" s="7" t="n">
        <f aca="false">Sens!J7608/(Sens!J7553-Sens!J7509)</f>
        <v>0.0643443069266279</v>
      </c>
      <c r="K7651" s="7" t="n">
        <f aca="false">Sens!K7608/(Sens!K7553-Sens!K7509)</f>
        <v>0.065788470807415</v>
      </c>
    </row>
    <row r="7652" customFormat="false" ht="17.15" hidden="false" customHeight="false" outlineLevel="0" collapsed="false">
      <c r="A7652" s="0" t="s">
        <v>1056</v>
      </c>
      <c r="B7652" s="0" t="s">
        <v>98</v>
      </c>
      <c r="F7652" s="6" t="n">
        <f aca="false">Sens!F7538*(al_m365+Sens!F7651+sbc_r)</f>
        <v>84.9502693767165</v>
      </c>
      <c r="G7652" s="6" t="n">
        <f aca="false">Sens!G7538*(al_m365+Sens!G7651+sbc_r)</f>
        <v>99.4431098311274</v>
      </c>
      <c r="H7652" s="6" t="n">
        <f aca="false">Sens!H7538*(al_m365+Sens!H7651+sbc_r)</f>
        <v>114.108636398181</v>
      </c>
      <c r="I7652" s="6" t="n">
        <f aca="false">Sens!I7538*(al_m365+Sens!I7651+sbc_r)</f>
        <v>127.263461628024</v>
      </c>
      <c r="J7652" s="6" t="n">
        <f aca="false">Sens!J7538*(al_m365+Sens!J7651+sbc_r)</f>
        <v>138.7192688374</v>
      </c>
      <c r="K7652" s="6" t="n">
        <f aca="false">Sens!K7538*(al_m365+Sens!K7651+sbc_r)</f>
        <v>149.795118278921</v>
      </c>
      <c r="L7652" s="11" t="s">
        <v>1057</v>
      </c>
    </row>
    <row r="7653" customFormat="false" ht="17.15" hidden="false" customHeight="false" outlineLevel="0" collapsed="false">
      <c r="A7653" s="0" t="s">
        <v>1058</v>
      </c>
      <c r="B7653" s="0" t="s">
        <v>98</v>
      </c>
      <c r="F7653" s="6" t="n">
        <f aca="false">Sens!F7539*(al_lic+Sens!F7651+sbc_r)</f>
        <v>33.4305291251733</v>
      </c>
      <c r="G7653" s="6" t="n">
        <f aca="false">Sens!G7539*(al_lic+Sens!G7651+sbc_r)</f>
        <v>34.7217921429055</v>
      </c>
      <c r="H7653" s="6" t="n">
        <f aca="false">Sens!H7539*(al_lic+Sens!H7651+sbc_r)</f>
        <v>35.9327254237072</v>
      </c>
      <c r="I7653" s="6" t="n">
        <f aca="false">Sens!I7539*(al_lic+Sens!I7651+sbc_r)</f>
        <v>37.0459086827725</v>
      </c>
      <c r="J7653" s="6" t="n">
        <f aca="false">Sens!J7539*(al_lic+Sens!J7651+sbc_r)</f>
        <v>38.0328518985591</v>
      </c>
      <c r="K7653" s="6" t="n">
        <f aca="false">Sens!K7539*(al_lic+Sens!K7651+sbc_r)</f>
        <v>38.8592861062681</v>
      </c>
    </row>
    <row r="7654" customFormat="false" ht="17.15" hidden="false" customHeight="false" outlineLevel="0" collapsed="false">
      <c r="A7654" s="0" t="s">
        <v>1059</v>
      </c>
      <c r="B7654" s="0" t="s">
        <v>98</v>
      </c>
      <c r="F7654" s="6" t="n">
        <f aca="false">Sens!F7541*(al_ind+Sens!F7651+sbc_r)</f>
        <v>9.06834865421544</v>
      </c>
      <c r="G7654" s="6" t="n">
        <f aca="false">Sens!G7541*(al_ind+Sens!G7651+sbc_r)</f>
        <v>9.83822153624099</v>
      </c>
      <c r="H7654" s="6" t="n">
        <f aca="false">Sens!H7541*(al_ind+Sens!H7651+sbc_r)</f>
        <v>10.6563746365739</v>
      </c>
      <c r="I7654" s="6" t="n">
        <f aca="false">Sens!I7541*(al_ind+Sens!I7651+sbc_r)</f>
        <v>11.52096358147</v>
      </c>
      <c r="J7654" s="6" t="n">
        <f aca="false">Sens!J7541*(al_ind+Sens!J7651+sbc_r)</f>
        <v>12.4210960619094</v>
      </c>
      <c r="K7654" s="6" t="n">
        <f aca="false">Sens!K7541*(al_ind+Sens!K7651+sbc_r)</f>
        <v>13.3383509298138</v>
      </c>
    </row>
    <row r="7655" customFormat="false" ht="17.15" hidden="false" customHeight="false" outlineLevel="0" collapsed="false">
      <c r="A7655" s="0" t="s">
        <v>1060</v>
      </c>
      <c r="B7655" s="0" t="s">
        <v>98</v>
      </c>
      <c r="F7655" s="6" t="n">
        <f aca="false">Sens!F7543*(al_fro+Sens!F7651+sbc_r)</f>
        <v>3.56933386746611</v>
      </c>
      <c r="G7655" s="6" t="n">
        <f aca="false">Sens!G7543*(al_fro+Sens!G7651+sbc_r)</f>
        <v>3.77729541779587</v>
      </c>
      <c r="H7655" s="6" t="n">
        <f aca="false">Sens!H7543*(al_fro+Sens!H7651+sbc_r)</f>
        <v>4.01568670469749</v>
      </c>
      <c r="I7655" s="6" t="n">
        <f aca="false">Sens!I7543*(al_fro+Sens!I7651+sbc_r)</f>
        <v>4.28763374750753</v>
      </c>
      <c r="J7655" s="6" t="n">
        <f aca="false">Sens!J7543*(al_fro+Sens!J7651+sbc_r)</f>
        <v>4.59379866553005</v>
      </c>
      <c r="K7655" s="6" t="n">
        <f aca="false">Sens!K7543*(al_fro+Sens!K7651+sbc_r)</f>
        <v>4.93303476572027</v>
      </c>
    </row>
    <row r="7656" customFormat="false" ht="17.15" hidden="false" customHeight="false" outlineLevel="0" collapsed="false">
      <c r="A7656" s="0" t="s">
        <v>1061</v>
      </c>
      <c r="B7656" s="0" t="s">
        <v>98</v>
      </c>
      <c r="F7656" s="6" t="n">
        <f aca="false">Sens!F7546*(al_srch+Sens!F7651+sbc_r)</f>
        <v>11.1995416079286</v>
      </c>
      <c r="G7656" s="6" t="n">
        <f aca="false">Sens!G7546*(al_srch+Sens!G7651+sbc_r)</f>
        <v>12.264988975732</v>
      </c>
      <c r="H7656" s="6" t="n">
        <f aca="false">Sens!H7546*(al_srch+Sens!H7651+sbc_r)</f>
        <v>13.3794650333305</v>
      </c>
      <c r="I7656" s="6" t="n">
        <f aca="false">Sens!I7546*(al_srch+Sens!I7651+sbc_r)</f>
        <v>14.5339587223115</v>
      </c>
      <c r="J7656" s="6" t="n">
        <f aca="false">Sens!J7546*(al_srch+Sens!J7651+sbc_r)</f>
        <v>15.7070542280129</v>
      </c>
      <c r="K7656" s="6" t="n">
        <f aca="false">Sens!K7546*(al_srch+Sens!K7651+sbc_r)</f>
        <v>16.8669657108059</v>
      </c>
    </row>
    <row r="7657" customFormat="false" ht="17.15" hidden="false" customHeight="false" outlineLevel="0" collapsed="false">
      <c r="A7657" s="0" t="s">
        <v>1062</v>
      </c>
      <c r="B7657" s="0" t="s">
        <v>98</v>
      </c>
      <c r="F7657" s="6" t="n">
        <f aca="false">Sens!F7515-Sens!F7516+Sens!F7596</f>
        <v>55.6743052939671</v>
      </c>
      <c r="G7657" s="6" t="n">
        <f aca="false">Sens!G7515-Sens!G7516+Sens!G7596</f>
        <v>100.2533125707</v>
      </c>
      <c r="H7657" s="6" t="n">
        <f aca="false">Sens!H7515-Sens!H7516+Sens!H7596</f>
        <v>152.31255014234</v>
      </c>
      <c r="I7657" s="6" t="n">
        <f aca="false">Sens!I7515-Sens!I7516+Sens!I7596</f>
        <v>194.041990076394</v>
      </c>
      <c r="J7657" s="6" t="n">
        <f aca="false">Sens!J7515-Sens!J7516+Sens!J7596</f>
        <v>223.463148273617</v>
      </c>
      <c r="K7657" s="6" t="n">
        <f aca="false">Sens!K7515-Sens!K7516+Sens!K7596</f>
        <v>241.312249272487</v>
      </c>
    </row>
    <row r="7658" customFormat="false" ht="17.15" hidden="false" customHeight="false" outlineLevel="0" collapsed="false">
      <c r="A7658" s="0" t="s">
        <v>1063</v>
      </c>
      <c r="B7658" s="0" t="s">
        <v>98</v>
      </c>
      <c r="F7658" s="6" t="n">
        <f aca="false">Sens!F7575+Sens!F7596+Sens!F7526+Sens!F7651*(Sens!F7545-Sens!F7509)+sbc_r*Sens!F7545</f>
        <v>247.533053212674</v>
      </c>
      <c r="G7658" s="6" t="n">
        <f aca="false">Sens!G7575+Sens!G7596+Sens!G7526+Sens!G7651*(Sens!G7545-Sens!G7509)+sbc_r*Sens!G7545</f>
        <v>320.769566298269</v>
      </c>
      <c r="H7658" s="6" t="n">
        <f aca="false">Sens!H7575+Sens!H7596+Sens!H7526+Sens!H7651*(Sens!H7545-Sens!H7509)+sbc_r*Sens!H7545</f>
        <v>401.649675586338</v>
      </c>
      <c r="I7658" s="6" t="n">
        <f aca="false">Sens!I7575+Sens!I7596+Sens!I7526+Sens!I7651*(Sens!I7545-Sens!I7509)+sbc_r*Sens!I7545</f>
        <v>469.442936440311</v>
      </c>
      <c r="J7658" s="6" t="n">
        <f aca="false">Sens!J7575+Sens!J7596+Sens!J7526+Sens!J7651*(Sens!J7545-Sens!J7509)+sbc_r*Sens!J7545</f>
        <v>521.181387381927</v>
      </c>
      <c r="K7658" s="6" t="n">
        <f aca="false">Sens!K7575+Sens!K7596+Sens!K7526+Sens!K7651*(Sens!K7545-Sens!K7509)+sbc_r*Sens!K7545</f>
        <v>558.129955656957</v>
      </c>
    </row>
    <row r="7659" customFormat="false" ht="17.15" hidden="false" customHeight="false" outlineLevel="0" collapsed="false">
      <c r="A7659" s="0" t="s">
        <v>1064</v>
      </c>
      <c r="B7659" s="0" t="s">
        <v>98</v>
      </c>
      <c r="F7659" s="6" t="n">
        <f aca="false">Sens!F7658-Sens!F7652-Sens!F7653-Sens!F7654-Sens!F7655-Sens!F7657</f>
        <v>60.840266895136</v>
      </c>
      <c r="G7659" s="6" t="n">
        <f aca="false">Sens!G7658-Sens!G7652-Sens!G7653-Sens!G7654-Sens!G7655-Sens!G7657</f>
        <v>72.7358347994994</v>
      </c>
      <c r="H7659" s="6" t="n">
        <f aca="false">Sens!H7658-Sens!H7652-Sens!H7653-Sens!H7654-Sens!H7655-Sens!H7657</f>
        <v>84.6237022808391</v>
      </c>
      <c r="I7659" s="6" t="n">
        <f aca="false">Sens!I7658-Sens!I7652-Sens!I7653-Sens!I7654-Sens!I7655-Sens!I7657</f>
        <v>95.2829787241431</v>
      </c>
      <c r="J7659" s="6" t="n">
        <f aca="false">Sens!J7658-Sens!J7652-Sens!J7653-Sens!J7654-Sens!J7655-Sens!J7657</f>
        <v>103.95122364491</v>
      </c>
      <c r="K7659" s="6" t="n">
        <f aca="false">Sens!K7658-Sens!K7652-Sens!K7653-Sens!K7654-Sens!K7655-Sens!K7657</f>
        <v>109.891916303747</v>
      </c>
    </row>
    <row r="7660" customFormat="false" ht="17.15" hidden="false" customHeight="false" outlineLevel="0" collapsed="false">
      <c r="A7660" s="0" t="s">
        <v>1065</v>
      </c>
      <c r="B7660" s="0" t="s">
        <v>98</v>
      </c>
      <c r="F7660" s="6" t="n">
        <f aca="false">Sens!F7577+Sens!F7651*Sens!F7552+sbc_r*Sens!F7552</f>
        <v>26.1751601804954</v>
      </c>
      <c r="G7660" s="6" t="n">
        <f aca="false">Sens!G7577+Sens!G7651*Sens!G7552+sbc_r*Sens!G7552</f>
        <v>26.7673652457999</v>
      </c>
      <c r="H7660" s="6" t="n">
        <f aca="false">Sens!H7577+Sens!H7651*Sens!H7552+sbc_r*Sens!H7552</f>
        <v>27.6371889249863</v>
      </c>
      <c r="I7660" s="6" t="n">
        <f aca="false">Sens!I7577+Sens!I7651*Sens!I7552+sbc_r*Sens!I7552</f>
        <v>28.7563713427837</v>
      </c>
      <c r="J7660" s="6" t="n">
        <f aca="false">Sens!J7577+Sens!J7651*Sens!J7552+sbc_r*Sens!J7552</f>
        <v>30.0856278155083</v>
      </c>
      <c r="K7660" s="6" t="n">
        <f aca="false">Sens!K7577+Sens!K7651*Sens!K7552+sbc_r*Sens!K7552</f>
        <v>31.5794719352989</v>
      </c>
    </row>
    <row r="7661" customFormat="false" ht="17.15" hidden="false" customHeight="false" outlineLevel="0" collapsed="false">
      <c r="A7661" s="0" t="s">
        <v>1066</v>
      </c>
      <c r="B7661" s="0" t="s">
        <v>98</v>
      </c>
      <c r="F7661" s="6" t="n">
        <f aca="false">(Sens!F7660-Sens!F7656)*Sens!F7548/(Sens!F7548+Sens!F7550)</f>
        <v>8.20948824106974</v>
      </c>
      <c r="G7661" s="6" t="n">
        <f aca="false">(Sens!G7660-Sens!G7656)*Sens!G7548/(Sens!G7548+Sens!G7550)</f>
        <v>7.80831232467983</v>
      </c>
      <c r="H7661" s="6" t="n">
        <f aca="false">(Sens!H7660-Sens!H7656)*Sens!H7548/(Sens!H7548+Sens!H7550)</f>
        <v>7.57288968564372</v>
      </c>
      <c r="I7661" s="6" t="n">
        <f aca="false">(Sens!I7660-Sens!I7656)*Sens!I7548/(Sens!I7548+Sens!I7550)</f>
        <v>7.48578444870105</v>
      </c>
      <c r="J7661" s="6" t="n">
        <f aca="false">(Sens!J7660-Sens!J7656)*Sens!J7548/(Sens!J7548+Sens!J7550)</f>
        <v>7.5337556543375</v>
      </c>
      <c r="K7661" s="6" t="n">
        <f aca="false">(Sens!K7660-Sens!K7656)*Sens!K7548/(Sens!K7548+Sens!K7550)</f>
        <v>7.70872202891143</v>
      </c>
    </row>
    <row r="7662" customFormat="false" ht="17.15" hidden="false" customHeight="false" outlineLevel="0" collapsed="false">
      <c r="A7662" s="0" t="s">
        <v>1067</v>
      </c>
      <c r="B7662" s="0" t="s">
        <v>98</v>
      </c>
      <c r="F7662" s="6" t="n">
        <f aca="false">Sens!F7660-Sens!F7656-Sens!F7661</f>
        <v>6.76613033149706</v>
      </c>
      <c r="G7662" s="6" t="n">
        <f aca="false">Sens!G7660-Sens!G7656-Sens!G7661</f>
        <v>6.69406394538808</v>
      </c>
      <c r="H7662" s="6" t="n">
        <f aca="false">Sens!H7660-Sens!H7656-Sens!H7661</f>
        <v>6.6848342060121</v>
      </c>
      <c r="I7662" s="6" t="n">
        <f aca="false">Sens!I7660-Sens!I7656-Sens!I7661</f>
        <v>6.73662817177122</v>
      </c>
      <c r="J7662" s="6" t="n">
        <f aca="false">Sens!J7660-Sens!J7656-Sens!J7661</f>
        <v>6.84481793315787</v>
      </c>
      <c r="K7662" s="6" t="n">
        <f aca="false">Sens!K7660-Sens!K7656-Sens!K7661</f>
        <v>7.00378419558154</v>
      </c>
    </row>
    <row r="7663" customFormat="false" ht="17.15" hidden="false" customHeight="false" outlineLevel="0" collapsed="false">
      <c r="A7663" s="0" t="s">
        <v>1068</v>
      </c>
      <c r="B7663" s="0" t="s">
        <v>98</v>
      </c>
      <c r="F7663" s="6" t="n">
        <f aca="false">Sens!F7657-tax_f*(Sens!F7657-Sens!F7526)-Sens!F7523</f>
        <v>-117.058494462732</v>
      </c>
      <c r="G7663" s="6" t="n">
        <f aca="false">Sens!G7657-tax_f*(Sens!G7657-Sens!G7526)-Sens!G7523</f>
        <v>-91.2727128247874</v>
      </c>
      <c r="H7663" s="6" t="n">
        <f aca="false">Sens!H7657-tax_f*(Sens!H7657-Sens!H7526)-Sens!H7523</f>
        <v>-48.6843116481158</v>
      </c>
      <c r="I7663" s="6" t="n">
        <f aca="false">Sens!I7657-tax_f*(Sens!I7657-Sens!I7526)-Sens!I7523</f>
        <v>13.9218018530988</v>
      </c>
      <c r="J7663" s="6" t="n">
        <f aca="false">Sens!J7657-tax_f*(Sens!J7657-Sens!J7526)-Sens!J7523</f>
        <v>80.092255035121</v>
      </c>
      <c r="K7663" s="6" t="n">
        <f aca="false">Sens!K7657-tax_f*(Sens!K7657-Sens!K7526)-Sens!K7523</f>
        <v>106.017364086733</v>
      </c>
    </row>
    <row r="7664" customFormat="false" ht="17.15" hidden="false" customHeight="false" outlineLevel="0" collapsed="false">
      <c r="A7664" s="0" t="s">
        <v>1069</v>
      </c>
      <c r="B7664" s="0" t="s">
        <v>98</v>
      </c>
      <c r="F7664" s="6" t="n">
        <f aca="false">Sens!F7663*Sens!F7637</f>
        <v>-111.462322751971</v>
      </c>
      <c r="G7664" s="6" t="n">
        <f aca="false">Sens!G7663*Sens!G7637</f>
        <v>-78.7982229584353</v>
      </c>
      <c r="H7664" s="6" t="n">
        <f aca="false">Sens!H7663*Sens!H7637</f>
        <v>-38.1078816823995</v>
      </c>
      <c r="I7664" s="6" t="n">
        <f aca="false">Sens!I7663*Sens!I7637</f>
        <v>9.88033186768684</v>
      </c>
      <c r="J7664" s="6" t="n">
        <f aca="false">Sens!J7663*Sens!J7637</f>
        <v>51.5367366659081</v>
      </c>
      <c r="K7664" s="6" t="n">
        <f aca="false">Sens!K7663*Sens!K7637</f>
        <v>61.8519940713456</v>
      </c>
    </row>
    <row r="7665" customFormat="false" ht="17.15" hidden="false" customHeight="false" outlineLevel="0" collapsed="false">
      <c r="A7665" s="0" t="s">
        <v>1070</v>
      </c>
      <c r="B7665" s="0" t="s">
        <v>98</v>
      </c>
      <c r="C7665" s="6" t="n">
        <f aca="false">(Sens!K7657-Sens!K7526)*(1-tax_f)*(1+g_tv)*(1-g_tv/(wacc+ronic_prem))/(wacc-g_tv)/(1+wacc)^(Sens!K7636+mid_yr)</f>
        <v>452.160093228528</v>
      </c>
    </row>
    <row r="7666" customFormat="false" ht="17.15" hidden="false" customHeight="false" outlineLevel="0" collapsed="false">
      <c r="A7666" s="1" t="s">
        <v>1071</v>
      </c>
      <c r="B7666" s="0" t="s">
        <v>98</v>
      </c>
      <c r="C7666" s="6" t="n">
        <f aca="false">(SUM(Sens!F7664:K7664)+Sens!$C$7665)*(1+wacc)^t_roll</f>
        <v>395.20963966851</v>
      </c>
      <c r="L7666" s="11" t="s">
        <v>1072</v>
      </c>
    </row>
    <row r="7667" customFormat="false" ht="17.15" hidden="false" customHeight="false" outlineLevel="0" collapsed="false">
      <c r="A7667" s="1" t="s">
        <v>1073</v>
      </c>
      <c r="B7667" s="0" t="s">
        <v>98</v>
      </c>
      <c r="C7667" s="6" t="n">
        <f aca="false">(w_ntm28*Sens!G7515+(1-w_ntm28)*Sens!H7515)*m_ai</f>
        <v>551.711134531404</v>
      </c>
    </row>
    <row r="7668" customFormat="false" ht="17.15" hidden="false" customHeight="false" outlineLevel="0" collapsed="false">
      <c r="A7668" s="1" t="s">
        <v>1074</v>
      </c>
      <c r="B7668" s="0" t="s">
        <v>98</v>
      </c>
      <c r="C7668" s="6" t="n">
        <f aca="false">(w_ntm28*Sens!G7659+(1-w_ntm28)*Sens!H7659)*m_cloud</f>
        <v>1058.32227466571</v>
      </c>
    </row>
    <row r="7669" customFormat="false" ht="17.15" hidden="false" customHeight="false" outlineLevel="0" collapsed="false">
      <c r="A7669" s="1" t="s">
        <v>1075</v>
      </c>
      <c r="B7669" s="0" t="s">
        <v>98</v>
      </c>
      <c r="C7669" s="6" t="n">
        <f aca="false">(w_ntm28*Sens!G7652+(1-w_ntm28)*Sens!H7652)*m_sw</f>
        <v>1125.19037263385</v>
      </c>
    </row>
    <row r="7670" customFormat="false" ht="17.15" hidden="false" customHeight="false" outlineLevel="0" collapsed="false">
      <c r="A7670" s="1" t="s">
        <v>1076</v>
      </c>
      <c r="B7670" s="0" t="s">
        <v>98</v>
      </c>
      <c r="C7670" s="6" t="n">
        <f aca="false">(w_ntm28*Sens!G7653+(1-w_ntm28)*Sens!H7653)*m_sw</f>
        <v>379.223336987362</v>
      </c>
    </row>
    <row r="7671" customFormat="false" ht="17.15" hidden="false" customHeight="false" outlineLevel="0" collapsed="false">
      <c r="A7671" s="1" t="s">
        <v>1077</v>
      </c>
      <c r="B7671" s="0" t="s">
        <v>98</v>
      </c>
      <c r="C7671" s="6" t="n">
        <f aca="false">(w_ntm28*Sens!G7654+(1-w_ntm28)*Sens!H7654)*m_sw</f>
        <v>109.109379745003</v>
      </c>
    </row>
    <row r="7672" customFormat="false" ht="17.15" hidden="false" customHeight="false" outlineLevel="0" collapsed="false">
      <c r="A7672" s="1" t="s">
        <v>1078</v>
      </c>
      <c r="B7672" s="0" t="s">
        <v>98</v>
      </c>
      <c r="C7672" s="6" t="n">
        <f aca="false">(w_ntm28*Sens!G7655+(1-w_ntm28)*Sens!H7655)*m_sw</f>
        <v>41.6271353232294</v>
      </c>
    </row>
    <row r="7673" customFormat="false" ht="17.15" hidden="false" customHeight="false" outlineLevel="0" collapsed="false">
      <c r="A7673" s="1" t="s">
        <v>1079</v>
      </c>
      <c r="B7673" s="0" t="s">
        <v>98</v>
      </c>
      <c r="C7673" s="6" t="n">
        <f aca="false">(w_ntm28*Sens!G7656+(1-w_ntm28)*Sens!H7656)*m_ads</f>
        <v>115.016349493294</v>
      </c>
    </row>
    <row r="7674" customFormat="false" ht="17.15" hidden="false" customHeight="false" outlineLevel="0" collapsed="false">
      <c r="A7674" s="1" t="s">
        <v>1080</v>
      </c>
      <c r="B7674" s="0" t="s">
        <v>98</v>
      </c>
      <c r="C7674" s="6" t="n">
        <f aca="false">(w_ntm28*Sens!G7661+(1-w_ntm28)*Sens!H7661)*m_game</f>
        <v>97.6577250008129</v>
      </c>
    </row>
    <row r="7675" customFormat="false" ht="17.15" hidden="false" customHeight="false" outlineLevel="0" collapsed="false">
      <c r="A7675" s="1" t="s">
        <v>1081</v>
      </c>
      <c r="B7675" s="0" t="s">
        <v>98</v>
      </c>
      <c r="C7675" s="6" t="n">
        <f aca="false">(w_ntm28*Sens!G7662+(1-w_ntm28)*Sens!H7662)*m_pc</f>
        <v>96.8199288218343</v>
      </c>
    </row>
    <row r="7676" customFormat="false" ht="17.15" hidden="false" customHeight="false" outlineLevel="0" collapsed="false">
      <c r="A7676" s="1" t="s">
        <v>1082</v>
      </c>
      <c r="B7676" s="0" t="s">
        <v>98</v>
      </c>
      <c r="C7676" s="6" t="n">
        <f aca="false">Sens!$C$7666+Sens!$C$7668+Sens!$C$7669+Sens!$C$7670+Sens!$C$7671+Sens!$C$7672+Sens!$C$7673+Sens!$C$7674+Sens!$C$7675</f>
        <v>3418.17614233961</v>
      </c>
    </row>
    <row r="7677" customFormat="false" ht="17.15" hidden="false" customHeight="false" outlineLevel="0" collapsed="false">
      <c r="A7677" s="1" t="s">
        <v>1000</v>
      </c>
      <c r="B7677" s="0" t="s">
        <v>98</v>
      </c>
      <c r="C7677" s="6" t="n">
        <f aca="false">Sens!F7627+oai_v-Sens!F7616</f>
        <v>114.890253337941</v>
      </c>
      <c r="L7677" s="1" t="s">
        <v>1083</v>
      </c>
    </row>
    <row r="7678" customFormat="false" ht="15" hidden="false" customHeight="false" outlineLevel="0" collapsed="false">
      <c r="A7678" s="1" t="s">
        <v>1001</v>
      </c>
      <c r="B7678" s="0" t="s">
        <v>75</v>
      </c>
      <c r="C7678" s="5" t="n">
        <f aca="false">(Sens!$C$7676+Sens!$C$7677)/Sens!F7629</f>
        <v>472.840791712735</v>
      </c>
    </row>
    <row r="7679" customFormat="false" ht="17.15" hidden="false" customHeight="false" outlineLevel="0" collapsed="false">
      <c r="A7679" s="1" t="s">
        <v>1084</v>
      </c>
      <c r="B7679" s="0" t="s">
        <v>75</v>
      </c>
      <c r="C7679" s="5" t="n">
        <f aca="false">w_dcf*Sens!$C$7650+(1-w_dcf)*Sens!$C$7678</f>
        <v>423.998730319402</v>
      </c>
    </row>
    <row r="7680" customFormat="false" ht="17.15" hidden="false" customHeight="false" outlineLevel="0" collapsed="false">
      <c r="A7680" s="3" t="s">
        <v>1434</v>
      </c>
    </row>
    <row r="7681" customFormat="false" ht="15" hidden="false" customHeight="false" outlineLevel="0" collapsed="false">
      <c r="A7681" s="4" t="s">
        <v>43</v>
      </c>
      <c r="B7681" s="4" t="s">
        <v>65</v>
      </c>
      <c r="C7681" s="20" t="s">
        <v>788</v>
      </c>
      <c r="D7681" s="20" t="s">
        <v>789</v>
      </c>
      <c r="E7681" s="20" t="s">
        <v>790</v>
      </c>
      <c r="F7681" s="20" t="s">
        <v>791</v>
      </c>
      <c r="G7681" s="20" t="s">
        <v>792</v>
      </c>
      <c r="H7681" s="20" t="s">
        <v>793</v>
      </c>
      <c r="I7681" s="20" t="s">
        <v>794</v>
      </c>
      <c r="J7681" s="20" t="s">
        <v>795</v>
      </c>
      <c r="K7681" s="20" t="s">
        <v>796</v>
      </c>
      <c r="L7681" s="4" t="s">
        <v>47</v>
      </c>
    </row>
    <row r="7682" customFormat="false" ht="17.15" hidden="false" customHeight="false" outlineLevel="0" collapsed="false">
      <c r="A7682" s="1" t="s">
        <v>797</v>
      </c>
      <c r="B7682" s="1" t="s">
        <v>235</v>
      </c>
      <c r="C7682" s="28" t="n">
        <v>2024</v>
      </c>
      <c r="D7682" s="28" t="n">
        <v>2025</v>
      </c>
      <c r="E7682" s="28" t="n">
        <v>2026</v>
      </c>
      <c r="F7682" s="28" t="n">
        <v>2027</v>
      </c>
      <c r="G7682" s="28" t="n">
        <v>2028</v>
      </c>
      <c r="H7682" s="28" t="n">
        <v>2029</v>
      </c>
      <c r="I7682" s="28" t="n">
        <v>2030</v>
      </c>
      <c r="J7682" s="28" t="n">
        <v>2031</v>
      </c>
      <c r="K7682" s="28" t="n">
        <v>2032</v>
      </c>
    </row>
    <row r="7683" customFormat="false" ht="17.15" hidden="false" customHeight="false" outlineLevel="0" collapsed="false">
      <c r="A7683" s="1" t="s">
        <v>798</v>
      </c>
      <c r="B7683" s="0" t="s">
        <v>392</v>
      </c>
      <c r="F7683" s="29" t="n">
        <f aca="false">pace</f>
        <v>2527.2</v>
      </c>
      <c r="G7683" s="29" t="n">
        <f aca="false">pace</f>
        <v>2527.2</v>
      </c>
      <c r="H7683" s="29" t="n">
        <f aca="false">pace</f>
        <v>2527.2</v>
      </c>
      <c r="I7683" s="29" t="n">
        <f aca="false">pace+(g_tv*Sens!H7684-pace)*MIN(1,(Sens!I7682-pace_y0)/(pace_y1-pace_y0))</f>
        <v>1793.116</v>
      </c>
      <c r="J7683" s="29" t="n">
        <f aca="false">pace+(g_tv*Sens!H7684-pace)*MIN(1,(Sens!J7682-pace_y0)/(pace_y1-pace_y0))</f>
        <v>1059.032</v>
      </c>
      <c r="K7683" s="29" t="n">
        <f aca="false">pace+(g_tv*Sens!H7684-pace)*MIN(1,(Sens!K7682-pace_y0)/(pace_y1-pace_y0))</f>
        <v>324.948</v>
      </c>
      <c r="L7683" s="11" t="s">
        <v>799</v>
      </c>
    </row>
    <row r="7684" customFormat="false" ht="17.15" hidden="false" customHeight="false" outlineLevel="0" collapsed="false">
      <c r="A7684" s="1" t="s">
        <v>800</v>
      </c>
      <c r="B7684" s="0" t="s">
        <v>392</v>
      </c>
      <c r="C7684" s="29" t="n">
        <f aca="false">mw_ext_24</f>
        <v>640</v>
      </c>
      <c r="D7684" s="29" t="n">
        <f aca="false">mw_ext_25</f>
        <v>1630</v>
      </c>
      <c r="E7684" s="29" t="n">
        <f aca="false">mw_ext_26</f>
        <v>3250</v>
      </c>
      <c r="F7684" s="29" t="n">
        <f aca="false">Sens!E7684+Sens!F7683</f>
        <v>5777.2</v>
      </c>
      <c r="G7684" s="29" t="n">
        <f aca="false">Sens!F7684+Sens!G7683</f>
        <v>8304.4</v>
      </c>
      <c r="H7684" s="29" t="n">
        <f aca="false">Sens!G7684+Sens!H7683</f>
        <v>10831.6</v>
      </c>
      <c r="I7684" s="29" t="n">
        <f aca="false">Sens!H7684+Sens!I7683</f>
        <v>12624.716</v>
      </c>
      <c r="J7684" s="29" t="n">
        <f aca="false">Sens!I7684+Sens!J7683</f>
        <v>13683.748</v>
      </c>
      <c r="K7684" s="29" t="n">
        <f aca="false">Sens!J7684+Sens!K7683</f>
        <v>14008.696</v>
      </c>
      <c r="L7684" s="1" t="s">
        <v>801</v>
      </c>
    </row>
    <row r="7685" customFormat="false" ht="17.15" hidden="false" customHeight="false" outlineLevel="0" collapsed="false">
      <c r="A7685" s="1" t="s">
        <v>802</v>
      </c>
      <c r="B7685" s="0" t="s">
        <v>392</v>
      </c>
      <c r="C7685" s="29" t="n">
        <f aca="false">rent_ext_24</f>
        <v>150</v>
      </c>
      <c r="D7685" s="29" t="n">
        <f aca="false">rent_ext_25</f>
        <v>400</v>
      </c>
      <c r="E7685" s="29" t="n">
        <f aca="false">rent_ext_26</f>
        <v>550</v>
      </c>
      <c r="F7685" s="29" t="n">
        <f aca="false">rent_ext_f</f>
        <v>756</v>
      </c>
      <c r="G7685" s="29" t="n">
        <f aca="false">rent_ext_f</f>
        <v>756</v>
      </c>
      <c r="H7685" s="29" t="n">
        <f aca="false">rent_ext_f</f>
        <v>756</v>
      </c>
      <c r="I7685" s="29" t="n">
        <f aca="false">rent_ext_f</f>
        <v>756</v>
      </c>
      <c r="J7685" s="29" t="n">
        <f aca="false">rent_ext_f</f>
        <v>756</v>
      </c>
      <c r="K7685" s="29" t="n">
        <f aca="false">rent_ext_f</f>
        <v>756</v>
      </c>
      <c r="L7685" s="1" t="s">
        <v>803</v>
      </c>
    </row>
    <row r="7686" customFormat="false" ht="17.15" hidden="false" customHeight="false" outlineLevel="0" collapsed="false">
      <c r="A7686" s="1" t="s">
        <v>804</v>
      </c>
      <c r="B7686" s="0" t="s">
        <v>392</v>
      </c>
      <c r="C7686" s="29" t="n">
        <f aca="false">Sens!C7684-Sens!C7685</f>
        <v>490</v>
      </c>
      <c r="D7686" s="29" t="n">
        <f aca="false">Sens!D7684-Sens!D7685</f>
        <v>1230</v>
      </c>
      <c r="E7686" s="29" t="n">
        <f aca="false">Sens!E7684-Sens!E7685</f>
        <v>2700</v>
      </c>
      <c r="F7686" s="29" t="n">
        <f aca="false">Sens!F7684-Sens!F7685</f>
        <v>5021.2</v>
      </c>
      <c r="G7686" s="29" t="n">
        <f aca="false">Sens!G7684-Sens!G7685</f>
        <v>7548.4</v>
      </c>
      <c r="H7686" s="29" t="n">
        <f aca="false">Sens!H7684-Sens!H7685</f>
        <v>10075.6</v>
      </c>
      <c r="I7686" s="29" t="n">
        <f aca="false">Sens!I7684-Sens!I7685</f>
        <v>11868.716</v>
      </c>
      <c r="J7686" s="29" t="n">
        <f aca="false">Sens!J7684-Sens!J7685</f>
        <v>12927.748</v>
      </c>
      <c r="K7686" s="29" t="n">
        <f aca="false">Sens!K7684-Sens!K7685</f>
        <v>13252.696</v>
      </c>
    </row>
    <row r="7687" customFormat="false" ht="17.15" hidden="false" customHeight="false" outlineLevel="0" collapsed="false">
      <c r="A7687" s="1" t="s">
        <v>805</v>
      </c>
      <c r="B7687" s="0" t="s">
        <v>392</v>
      </c>
      <c r="C7687" s="29" t="n">
        <f aca="false">Sens!C7686/ext_sh</f>
        <v>816.666666666667</v>
      </c>
      <c r="D7687" s="29" t="n">
        <f aca="false">Sens!D7686/ext_sh</f>
        <v>2050</v>
      </c>
      <c r="E7687" s="29" t="n">
        <f aca="false">Sens!E7686/ext_sh</f>
        <v>4500</v>
      </c>
      <c r="F7687" s="29" t="n">
        <f aca="false">Sens!F7686/ext_sh</f>
        <v>8368.66666666667</v>
      </c>
      <c r="G7687" s="29" t="n">
        <f aca="false">Sens!G7686/ext_sh</f>
        <v>12580.6666666667</v>
      </c>
      <c r="H7687" s="29" t="n">
        <f aca="false">Sens!H7686/ext_sh</f>
        <v>16792.6666666667</v>
      </c>
      <c r="I7687" s="29" t="n">
        <f aca="false">Sens!I7686/ext_sh</f>
        <v>19781.1933333333</v>
      </c>
      <c r="J7687" s="29" t="n">
        <f aca="false">Sens!J7686/ext_sh</f>
        <v>21546.2466666667</v>
      </c>
      <c r="K7687" s="29" t="n">
        <f aca="false">Sens!K7686/ext_sh</f>
        <v>22087.8266666667</v>
      </c>
      <c r="L7687" s="1" t="s">
        <v>806</v>
      </c>
    </row>
    <row r="7688" customFormat="false" ht="17.15" hidden="false" customHeight="false" outlineLevel="0" collapsed="false">
      <c r="A7688" s="1" t="s">
        <v>807</v>
      </c>
      <c r="B7688" s="0" t="s">
        <v>392</v>
      </c>
      <c r="C7688" s="29" t="n">
        <f aca="false">Sens!C7687-Sens!C7686</f>
        <v>326.666666666667</v>
      </c>
      <c r="D7688" s="29" t="n">
        <f aca="false">Sens!D7687-Sens!D7686</f>
        <v>820</v>
      </c>
      <c r="E7688" s="29" t="n">
        <f aca="false">Sens!E7687-Sens!E7686</f>
        <v>1800</v>
      </c>
      <c r="F7688" s="29" t="n">
        <f aca="false">Sens!F7687-Sens!F7686</f>
        <v>3347.46666666667</v>
      </c>
      <c r="G7688" s="29" t="n">
        <f aca="false">Sens!G7687-Sens!G7686</f>
        <v>5032.26666666667</v>
      </c>
      <c r="H7688" s="29" t="n">
        <f aca="false">Sens!H7687-Sens!H7686</f>
        <v>6717.06666666667</v>
      </c>
      <c r="I7688" s="29" t="n">
        <f aca="false">Sens!I7687-Sens!I7686</f>
        <v>7912.47733333333</v>
      </c>
      <c r="J7688" s="29" t="n">
        <f aca="false">Sens!J7687-Sens!J7686</f>
        <v>8618.49866666667</v>
      </c>
      <c r="K7688" s="29" t="n">
        <f aca="false">Sens!K7687-Sens!K7686</f>
        <v>8835.13066666667</v>
      </c>
    </row>
    <row r="7689" customFormat="false" ht="17.15" hidden="false" customHeight="false" outlineLevel="0" collapsed="false">
      <c r="A7689" s="1" t="s">
        <v>808</v>
      </c>
      <c r="B7689" s="0" t="s">
        <v>392</v>
      </c>
      <c r="C7689" s="29" t="n">
        <f aca="false">Sens!C7687</f>
        <v>816.666666666667</v>
      </c>
      <c r="D7689" s="29" t="n">
        <f aca="false">Sens!D7687-Sens!C7687</f>
        <v>1233.33333333333</v>
      </c>
      <c r="E7689" s="29" t="n">
        <f aca="false">Sens!E7687-Sens!D7687</f>
        <v>2450</v>
      </c>
      <c r="F7689" s="29" t="n">
        <f aca="false">Sens!F7687-Sens!E7687</f>
        <v>3868.66666666667</v>
      </c>
      <c r="G7689" s="29" t="n">
        <f aca="false">Sens!G7687-Sens!F7687</f>
        <v>4212</v>
      </c>
      <c r="H7689" s="29" t="n">
        <f aca="false">Sens!H7687-Sens!G7687</f>
        <v>4212</v>
      </c>
      <c r="I7689" s="29" t="n">
        <f aca="false">Sens!I7687-Sens!H7687</f>
        <v>2988.52666666667</v>
      </c>
      <c r="J7689" s="29" t="n">
        <f aca="false">Sens!J7687-Sens!I7687</f>
        <v>1765.05333333333</v>
      </c>
      <c r="K7689" s="29" t="n">
        <f aca="false">Sens!K7687-Sens!J7687</f>
        <v>541.580000000002</v>
      </c>
    </row>
    <row r="7690" customFormat="false" ht="17.15" hidden="false" customHeight="false" outlineLevel="0" collapsed="false">
      <c r="A7690" s="1" t="s">
        <v>809</v>
      </c>
      <c r="B7690" s="0" t="s">
        <v>392</v>
      </c>
      <c r="D7690" s="29" t="n">
        <f aca="false">Sens!D7684-Sens!C7684</f>
        <v>990</v>
      </c>
      <c r="E7690" s="29" t="n">
        <f aca="false">Sens!E7684-Sens!D7684</f>
        <v>1620</v>
      </c>
      <c r="F7690" s="29" t="n">
        <f aca="false">Sens!F7684-Sens!E7684</f>
        <v>2527.2</v>
      </c>
      <c r="G7690" s="29" t="n">
        <f aca="false">Sens!G7684-Sens!F7684</f>
        <v>2527.2</v>
      </c>
      <c r="H7690" s="29" t="n">
        <f aca="false">Sens!H7684-Sens!G7684</f>
        <v>2527.2</v>
      </c>
      <c r="I7690" s="29" t="n">
        <f aca="false">Sens!I7684-Sens!H7684</f>
        <v>1793.116</v>
      </c>
      <c r="J7690" s="29" t="n">
        <f aca="false">Sens!J7684-Sens!I7684</f>
        <v>1059.032</v>
      </c>
      <c r="K7690" s="29" t="n">
        <f aca="false">Sens!K7684-Sens!J7684</f>
        <v>324.948</v>
      </c>
    </row>
    <row r="7691" customFormat="false" ht="17.15" hidden="false" customHeight="false" outlineLevel="0" collapsed="false">
      <c r="A7691" s="1" t="s">
        <v>810</v>
      </c>
      <c r="B7691" s="0" t="s">
        <v>392</v>
      </c>
      <c r="F7691" s="29" t="n">
        <f aca="false">Sens!F7708*ext_sh</f>
        <v>0</v>
      </c>
      <c r="G7691" s="29" t="n">
        <f aca="false">Sens!G7708*ext_sh</f>
        <v>0</v>
      </c>
      <c r="H7691" s="29" t="n">
        <f aca="false">Sens!H7708*ext_sh</f>
        <v>0</v>
      </c>
      <c r="I7691" s="29" t="n">
        <f aca="false">Sens!I7708*ext_sh</f>
        <v>490</v>
      </c>
      <c r="J7691" s="29" t="n">
        <f aca="false">Sens!J7708*ext_sh</f>
        <v>740</v>
      </c>
      <c r="K7691" s="29" t="n">
        <f aca="false">Sens!K7708*ext_sh</f>
        <v>1470</v>
      </c>
      <c r="L7691" s="1" t="s">
        <v>811</v>
      </c>
    </row>
    <row r="7692" customFormat="false" ht="17.15" hidden="false" customHeight="false" outlineLevel="0" collapsed="false">
      <c r="A7692" s="1" t="s">
        <v>812</v>
      </c>
      <c r="B7692" s="0" t="s">
        <v>392</v>
      </c>
      <c r="C7692" s="29" t="n">
        <f aca="false">mix_h*Sens!C7684</f>
        <v>128</v>
      </c>
      <c r="D7692" s="29" t="n">
        <f aca="false">mix_h*Sens!D7684</f>
        <v>326</v>
      </c>
      <c r="E7692" s="29" t="n">
        <f aca="false">mix_h*Sens!E7684</f>
        <v>650</v>
      </c>
      <c r="F7692" s="29" t="n">
        <f aca="false">Sens!E7692-Sens!F7691*mix_h</f>
        <v>650</v>
      </c>
      <c r="G7692" s="29" t="n">
        <f aca="false">Sens!F7692-Sens!G7691*mix_h</f>
        <v>650</v>
      </c>
      <c r="H7692" s="29" t="n">
        <f aca="false">Sens!G7692-Sens!H7691*mix_h</f>
        <v>650</v>
      </c>
      <c r="I7692" s="29" t="n">
        <f aca="false">Sens!H7692-Sens!I7691*mix_h</f>
        <v>552</v>
      </c>
      <c r="J7692" s="29" t="n">
        <f aca="false">Sens!I7692-Sens!J7691*mix_h</f>
        <v>404</v>
      </c>
      <c r="K7692" s="29" t="n">
        <f aca="false">Sens!J7692-Sens!K7691*mix_h</f>
        <v>110</v>
      </c>
    </row>
    <row r="7693" customFormat="false" ht="17.15" hidden="false" customHeight="false" outlineLevel="0" collapsed="false">
      <c r="A7693" s="1" t="s">
        <v>813</v>
      </c>
      <c r="B7693" s="0" t="s">
        <v>392</v>
      </c>
      <c r="C7693" s="29" t="n">
        <f aca="false">mix_g2*Sens!C7684</f>
        <v>288</v>
      </c>
      <c r="D7693" s="29" t="n">
        <f aca="false">mix_g2*Sens!D7684</f>
        <v>733.5</v>
      </c>
      <c r="E7693" s="29" t="n">
        <f aca="false">mix_g2*Sens!E7684</f>
        <v>1462.5</v>
      </c>
      <c r="F7693" s="29" t="n">
        <f aca="false">Sens!E7693-Sens!F7691*mix_g2</f>
        <v>1462.5</v>
      </c>
      <c r="G7693" s="29" t="n">
        <f aca="false">Sens!F7693-Sens!G7691*mix_g2</f>
        <v>1462.5</v>
      </c>
      <c r="H7693" s="29" t="n">
        <f aca="false">Sens!G7693-Sens!H7691*mix_g2</f>
        <v>1462.5</v>
      </c>
      <c r="I7693" s="29" t="n">
        <f aca="false">Sens!H7693-Sens!I7691*mix_g2</f>
        <v>1242</v>
      </c>
      <c r="J7693" s="29" t="n">
        <f aca="false">Sens!I7693-Sens!J7691*mix_g2</f>
        <v>909</v>
      </c>
      <c r="K7693" s="29" t="n">
        <f aca="false">Sens!J7693-Sens!K7691*mix_g2</f>
        <v>247.5</v>
      </c>
    </row>
    <row r="7694" customFormat="false" ht="17.15" hidden="false" customHeight="false" outlineLevel="0" collapsed="false">
      <c r="A7694" s="1" t="s">
        <v>814</v>
      </c>
      <c r="B7694" s="0" t="s">
        <v>392</v>
      </c>
      <c r="C7694" s="29" t="n">
        <f aca="false">mix_g3*Sens!C7684</f>
        <v>224</v>
      </c>
      <c r="D7694" s="29" t="n">
        <f aca="false">mix_g3*Sens!D7684</f>
        <v>570.5</v>
      </c>
      <c r="E7694" s="29" t="n">
        <f aca="false">mix_g3*Sens!E7684</f>
        <v>1137.5</v>
      </c>
      <c r="F7694" s="29" t="n">
        <f aca="false">Sens!E7694+(Sens!F7690+Sens!F7691)*a_g3_27-Sens!F7691*mix_g3</f>
        <v>2906.54</v>
      </c>
      <c r="G7694" s="29" t="n">
        <f aca="false">Sens!F7694+(Sens!G7690+Sens!G7691)*a_g3_28-Sens!G7691*mix_g3</f>
        <v>3664.7</v>
      </c>
      <c r="H7694" s="29" t="n">
        <f aca="false">Sens!G7694+(Sens!H7690+Sens!H7691)*a_g3_29-Sens!H7691*mix_g3</f>
        <v>3917.42</v>
      </c>
      <c r="I7694" s="29" t="n">
        <f aca="false">Sens!H7694+(Sens!I7690+Sens!I7691)*a_g3_29-Sens!I7691*mix_g3</f>
        <v>3974.2316</v>
      </c>
      <c r="J7694" s="29" t="n">
        <f aca="false">Sens!I7694+(Sens!J7690+Sens!J7691)*a_g3_29-Sens!J7691*mix_g3</f>
        <v>3895.1348</v>
      </c>
      <c r="K7694" s="29" t="n">
        <f aca="false">Sens!J7694+(Sens!K7690+Sens!K7691)*a_g3_29-Sens!K7691*mix_g3</f>
        <v>3560.1296</v>
      </c>
    </row>
    <row r="7695" customFormat="false" ht="17.15" hidden="false" customHeight="false" outlineLevel="0" collapsed="false">
      <c r="A7695" s="1" t="s">
        <v>815</v>
      </c>
      <c r="B7695" s="0" t="s">
        <v>392</v>
      </c>
      <c r="C7695" s="29" t="n">
        <v>0</v>
      </c>
      <c r="D7695" s="29" t="n">
        <v>0</v>
      </c>
      <c r="E7695" s="29" t="n">
        <v>0</v>
      </c>
      <c r="F7695" s="29" t="n">
        <f aca="false">Sens!E7695+(Sens!F7690+Sens!F7691)*(1-a_g3_27)</f>
        <v>758.16</v>
      </c>
      <c r="G7695" s="29" t="n">
        <f aca="false">Sens!F7695+(Sens!G7690+Sens!G7691)*(1-a_g3_28)</f>
        <v>2527.2</v>
      </c>
      <c r="H7695" s="29" t="n">
        <f aca="false">Sens!G7695+(Sens!H7690+Sens!H7691)*(1-a_g3_29)</f>
        <v>4801.68</v>
      </c>
      <c r="I7695" s="29" t="n">
        <f aca="false">Sens!H7695+(Sens!I7690+Sens!I7691)*(1-a_g3_29)</f>
        <v>6856.4844</v>
      </c>
      <c r="J7695" s="29" t="n">
        <f aca="false">Sens!I7695+(Sens!J7690+Sens!J7691)*(1-a_g3_29)</f>
        <v>8475.6132</v>
      </c>
      <c r="K7695" s="29" t="n">
        <f aca="false">Sens!J7695+(Sens!K7690+Sens!K7691)*(1-a_g3_29)</f>
        <v>10091.0664</v>
      </c>
    </row>
    <row r="7696" customFormat="false" ht="17.15" hidden="false" customHeight="false" outlineLevel="0" collapsed="false">
      <c r="A7696" s="1" t="s">
        <v>816</v>
      </c>
      <c r="B7696" s="0" t="s">
        <v>339</v>
      </c>
      <c r="C7696" s="14" t="n">
        <f aca="false">(Sens!C7692*tk_hold_h100+Sens!C7693*tk_hold_gb200+Sens!C7694*tk_hold_gb300+Sens!C7695*tk_hold_vr200)/Sens!C7684</f>
        <v>9.7235358126469</v>
      </c>
      <c r="D7696" s="14" t="n">
        <f aca="false">(Sens!D7692*tk_hold_h100+Sens!D7693*tk_hold_gb200+Sens!D7694*tk_hold_gb300+Sens!D7695*tk_hold_vr200)/Sens!D7684</f>
        <v>9.7235358126469</v>
      </c>
      <c r="E7696" s="14" t="n">
        <f aca="false">(Sens!E7692*tk_hold_h100+Sens!E7693*tk_hold_gb200+Sens!E7694*tk_hold_gb300+Sens!E7695*tk_hold_vr200)/Sens!E7684</f>
        <v>9.7235358126469</v>
      </c>
      <c r="F7696" s="14" t="n">
        <f aca="false">(Sens!F7692*tk_hold_h100+Sens!F7693*tk_hold_gb200+Sens!F7694*tk_hold_gb300+Sens!F7695*tk_hold_vr200)/Sens!F7684</f>
        <v>10.4079573161931</v>
      </c>
      <c r="G7696" s="14" t="n">
        <f aca="false">(Sens!G7692*tk_hold_h100+Sens!G7693*tk_hold_gb200+Sens!G7694*tk_hold_gb300+Sens!G7695*tk_hold_vr200)/Sens!G7684</f>
        <v>10.8388131109316</v>
      </c>
      <c r="H7696" s="14" t="n">
        <f aca="false">(Sens!H7692*tk_hold_h100+Sens!H7693*tk_hold_gb200+Sens!H7694*tk_hold_gb300+Sens!H7695*tk_hold_vr200)/Sens!H7684</f>
        <v>11.1311018388216</v>
      </c>
      <c r="I7696" s="14" t="n">
        <f aca="false">(Sens!I7692*tk_hold_h100+Sens!I7693*tk_hold_gb200+Sens!I7694*tk_hold_gb300+Sens!I7695*tk_hold_vr200)/Sens!I7684</f>
        <v>11.3594282560989</v>
      </c>
      <c r="J7696" s="14" t="n">
        <f aca="false">(Sens!J7692*tk_hold_h100+Sens!J7693*tk_hold_gb200+Sens!J7694*tk_hold_gb300+Sens!J7695*tk_hold_vr200)/Sens!J7684</f>
        <v>11.5441508808221</v>
      </c>
      <c r="K7696" s="14" t="n">
        <f aca="false">(Sens!K7692*tk_hold_h100+Sens!K7693*tk_hold_gb200+Sens!K7694*tk_hold_gb300+Sens!K7695*tk_hold_vr200)/Sens!K7684</f>
        <v>11.8053375063575</v>
      </c>
    </row>
    <row r="7697" customFormat="false" ht="17.15" hidden="false" customHeight="false" outlineLevel="0" collapsed="false">
      <c r="A7697" s="0" t="s">
        <v>817</v>
      </c>
      <c r="B7697" s="0" t="s">
        <v>185</v>
      </c>
      <c r="C7697" s="14" t="n">
        <f aca="false">k_B</f>
        <v>1.17213932619116</v>
      </c>
      <c r="D7697" s="14" t="n">
        <f aca="false">k_B</f>
        <v>1.17213932619116</v>
      </c>
      <c r="E7697" s="14" t="n">
        <f aca="false">k_B</f>
        <v>1.17213932619116</v>
      </c>
      <c r="F7697" s="14" t="n">
        <f aca="false">(k_B+((ls_B*k_long+(1-ls_B)*k_spot)-k_B)*MIN(1,(Sens!F7682-base_fy)/k_ramp))</f>
        <v>1.17213932619116</v>
      </c>
      <c r="G7697" s="14" t="n">
        <f aca="false">(k_B+((ls_B*k_long+(1-ls_B)*k_spot)-k_B)*MIN(1,(Sens!G7682-base_fy)/k_ramp))</f>
        <v>1.17213932619116</v>
      </c>
      <c r="H7697" s="14" t="n">
        <f aca="false">(k_B+((ls_B*k_long+(1-ls_B)*k_spot)-k_B)*MIN(1,(Sens!H7682-base_fy)/k_ramp))</f>
        <v>1.17213932619116</v>
      </c>
      <c r="I7697" s="14" t="n">
        <f aca="false">(k_B+((ls_B*k_long+(1-ls_B)*k_spot)-k_B)*MIN(1,(Sens!I7682-base_fy)/k_ramp))</f>
        <v>1.17213932619116</v>
      </c>
      <c r="J7697" s="14" t="n">
        <f aca="false">(k_B+((ls_B*k_long+(1-ls_B)*k_spot)-k_B)*MIN(1,(Sens!J7682-base_fy)/k_ramp))</f>
        <v>1.17213932619116</v>
      </c>
      <c r="K7697" s="14" t="n">
        <f aca="false">(k_B+((ls_B*k_long+(1-ls_B)*k_spot)-k_B)*MIN(1,(Sens!K7682-base_fy)/k_ramp))</f>
        <v>1.17213932619116</v>
      </c>
      <c r="L7697" s="1" t="s">
        <v>818</v>
      </c>
    </row>
    <row r="7698" customFormat="false" ht="17.15" hidden="false" customHeight="false" outlineLevel="0" collapsed="false">
      <c r="A7698" s="1" t="s">
        <v>819</v>
      </c>
      <c r="B7698" s="0" t="s">
        <v>339</v>
      </c>
      <c r="C7698" s="14" t="n">
        <f aca="false">Sens!C7696*Sens!C7697*chip_f</f>
        <v>11.3973387156315</v>
      </c>
      <c r="D7698" s="14" t="n">
        <f aca="false">Sens!D7696*Sens!D7697*chip_f</f>
        <v>11.3973387156315</v>
      </c>
      <c r="E7698" s="14" t="n">
        <f aca="false">Sens!E7696*Sens!E7697*chip_f</f>
        <v>11.3973387156315</v>
      </c>
      <c r="F7698" s="14" t="n">
        <f aca="false">Sens!F7696*Sens!F7697*chip_f</f>
        <v>12.1995760756289</v>
      </c>
      <c r="G7698" s="14" t="n">
        <f aca="false">Sens!G7696*Sens!G7697*chip_f</f>
        <v>12.7045990965592</v>
      </c>
      <c r="H7698" s="14" t="n">
        <f aca="false">Sens!H7696*Sens!H7697*chip_f</f>
        <v>13.0472022091214</v>
      </c>
      <c r="I7698" s="14" t="n">
        <f aca="false">Sens!I7696*Sens!I7697*chip_f</f>
        <v>13.3148325820205</v>
      </c>
      <c r="J7698" s="14" t="n">
        <f aca="false">Sens!J7696*Sens!J7697*chip_f</f>
        <v>13.5313532348958</v>
      </c>
      <c r="K7698" s="14" t="n">
        <f aca="false">Sens!K7696*Sens!K7697*chip_f</f>
        <v>13.8375003501611</v>
      </c>
      <c r="L7698" s="1" t="s">
        <v>820</v>
      </c>
    </row>
    <row r="7699" customFormat="false" ht="17.15" hidden="false" customHeight="false" outlineLevel="0" collapsed="false">
      <c r="A7699" s="0" t="s">
        <v>821</v>
      </c>
      <c r="B7699" s="0" t="s">
        <v>98</v>
      </c>
      <c r="D7699" s="6" t="n">
        <f aca="false">(Sens!C7684+Sens!D7684)/2*Sens!D7698/1000</f>
        <v>12.9359794422418</v>
      </c>
      <c r="E7699" s="6" t="n">
        <f aca="false">(Sens!D7684+Sens!E7684)/2*Sens!E7698/1000</f>
        <v>27.8095064661409</v>
      </c>
      <c r="F7699" s="6" t="n">
        <f aca="false">(Sens!E7684+Sens!F7684)/2*Sens!F7698/1000</f>
        <v>55.0640065749585</v>
      </c>
      <c r="G7699" s="6" t="n">
        <f aca="false">(Sens!F7684+Sens!G7684)/2*Sens!G7698/1000</f>
        <v>89.4505413190538</v>
      </c>
      <c r="H7699" s="6" t="n">
        <f aca="false">(Sens!G7684+Sens!H7684)/2*Sens!H7698/1000</f>
        <v>124.835630736874</v>
      </c>
      <c r="I7699" s="6" t="n">
        <f aca="false">(Sens!H7684+Sens!I7684)/2*Sens!I7698/1000</f>
        <v>156.158460265485</v>
      </c>
      <c r="J7699" s="6" t="n">
        <f aca="false">(Sens!I7684+Sens!J7684)/2*Sens!J7698/1000</f>
        <v>177.99455972577</v>
      </c>
      <c r="K7699" s="6" t="n">
        <f aca="false">(Sens!J7684+Sens!K7684)/2*Sens!K7698/1000</f>
        <v>191.597101773408</v>
      </c>
      <c r="L7699" s="11" t="s">
        <v>822</v>
      </c>
    </row>
    <row r="7700" customFormat="false" ht="17.15" hidden="false" customHeight="false" outlineLevel="0" collapsed="false">
      <c r="A7700" s="1" t="s">
        <v>823</v>
      </c>
      <c r="B7700" s="0" t="s">
        <v>339</v>
      </c>
      <c r="C7700" s="14" t="n">
        <f aca="false">(Sens!C7692*tk_opex_h100+Sens!C7693*tk_opex_gb200+Sens!C7694*tk_opex_gb300+Sens!C7695*tk_opex_vr200)/Sens!C7684</f>
        <v>1.88636041306092</v>
      </c>
      <c r="D7700" s="14" t="n">
        <f aca="false">(Sens!D7692*tk_opex_h100+Sens!D7693*tk_opex_gb200+Sens!D7694*tk_opex_gb300+Sens!D7695*tk_opex_vr200)/Sens!D7684</f>
        <v>1.88636041306092</v>
      </c>
      <c r="E7700" s="14" t="n">
        <f aca="false">(Sens!E7692*tk_opex_h100+Sens!E7693*tk_opex_gb200+Sens!E7694*tk_opex_gb300+Sens!E7695*tk_opex_vr200)/Sens!E7684</f>
        <v>1.88636041306092</v>
      </c>
      <c r="F7700" s="14" t="n">
        <f aca="false">(Sens!F7692*tk_opex_h100+Sens!F7693*tk_opex_gb200+Sens!F7694*tk_opex_gb300+Sens!F7695*tk_opex_vr200)/Sens!F7684</f>
        <v>1.9430236476499</v>
      </c>
      <c r="G7700" s="14" t="n">
        <f aca="false">(Sens!G7692*tk_opex_h100+Sens!G7693*tk_opex_gb200+Sens!G7694*tk_opex_gb300+Sens!G7695*tk_opex_vr200)/Sens!G7684</f>
        <v>1.9786941852423</v>
      </c>
      <c r="H7700" s="14" t="n">
        <f aca="false">(Sens!H7692*tk_opex_h100+Sens!H7693*tk_opex_gb200+Sens!H7694*tk_opex_gb300+Sens!H7695*tk_opex_vr200)/Sens!H7684</f>
        <v>2.00289275976156</v>
      </c>
      <c r="I7700" s="14" t="n">
        <f aca="false">(Sens!I7692*tk_opex_h100+Sens!I7693*tk_opex_gb200+Sens!I7694*tk_opex_gb300+Sens!I7695*tk_opex_vr200)/Sens!I7684</f>
        <v>2.02179589661219</v>
      </c>
      <c r="J7700" s="14" t="n">
        <f aca="false">(Sens!J7692*tk_opex_h100+Sens!J7693*tk_opex_gb200+Sens!J7694*tk_opex_gb300+Sens!J7695*tk_opex_vr200)/Sens!J7684</f>
        <v>2.03708907685909</v>
      </c>
      <c r="K7700" s="14" t="n">
        <f aca="false">(Sens!K7692*tk_opex_h100+Sens!K7693*tk_opex_gb200+Sens!K7694*tk_opex_gb300+Sens!K7695*tk_opex_vr200)/Sens!K7684</f>
        <v>2.05871270931005</v>
      </c>
    </row>
    <row r="7701" customFormat="false" ht="17.15" hidden="false" customHeight="false" outlineLevel="0" collapsed="false">
      <c r="A7701" s="0" t="s">
        <v>824</v>
      </c>
      <c r="B7701" s="0" t="s">
        <v>98</v>
      </c>
      <c r="D7701" s="6" t="n">
        <f aca="false">(Sens!C7687+Sens!D7687)/2*Sens!D7700/1000</f>
        <v>2.70378325872065</v>
      </c>
      <c r="E7701" s="6" t="n">
        <f aca="false">(Sens!D7687+Sens!E7687)/2*Sens!E7700/1000</f>
        <v>6.17783035277451</v>
      </c>
      <c r="F7701" s="6" t="n">
        <f aca="false">(Sens!E7687+Sens!F7687)/2*Sens!F7700/1000</f>
        <v>12.5020618235287</v>
      </c>
      <c r="G7701" s="6" t="n">
        <f aca="false">(Sens!F7687+Sens!G7687)/2*Sens!G7700/1000</f>
        <v>20.7261620256847</v>
      </c>
      <c r="H7701" s="6" t="n">
        <f aca="false">(Sens!G7687+Sens!H7687)/2*Sens!H7700/1000</f>
        <v>29.4158183316982</v>
      </c>
      <c r="I7701" s="6" t="n">
        <f aca="false">(Sens!H7687+Sens!I7687)/2*Sens!I7700/1000</f>
        <v>36.9724400356344</v>
      </c>
      <c r="J7701" s="6" t="n">
        <f aca="false">(Sens!I7687+Sens!J7687)/2*Sens!J7700/1000</f>
        <v>42.0938382992747</v>
      </c>
      <c r="K7701" s="6" t="n">
        <f aca="false">(Sens!J7687+Sens!K7687)/2*Sens!K7700/1000</f>
        <v>44.9150106651501</v>
      </c>
    </row>
    <row r="7702" customFormat="false" ht="17.15" hidden="false" customHeight="false" outlineLevel="0" collapsed="false">
      <c r="A7702" s="0" t="s">
        <v>825</v>
      </c>
      <c r="B7702" s="0" t="s">
        <v>98</v>
      </c>
      <c r="D7702" s="6" t="n">
        <f aca="false">(Sens!C7685+Sens!D7685)/2*rent_mw/1000</f>
        <v>2.44475</v>
      </c>
      <c r="E7702" s="6" t="n">
        <f aca="false">(Sens!D7685+Sens!E7685)/2*rent_mw/1000</f>
        <v>4.22275</v>
      </c>
      <c r="F7702" s="6" t="n">
        <f aca="false">(Sens!E7685+Sens!F7685)/2*rent_mw/1000</f>
        <v>5.80517</v>
      </c>
      <c r="G7702" s="6" t="n">
        <f aca="false">(Sens!F7685+Sens!G7685)/2*rent_mw/1000</f>
        <v>6.72084</v>
      </c>
      <c r="H7702" s="6" t="n">
        <f aca="false">(Sens!G7685+Sens!H7685)/2*rent_mw/1000</f>
        <v>6.72084</v>
      </c>
      <c r="I7702" s="6" t="n">
        <f aca="false">(Sens!H7685+Sens!I7685)/2*rent_mw/1000</f>
        <v>6.72084</v>
      </c>
      <c r="J7702" s="6" t="n">
        <f aca="false">(Sens!I7685+Sens!J7685)/2*rent_mw/1000</f>
        <v>6.72084</v>
      </c>
      <c r="K7702" s="6" t="n">
        <f aca="false">(Sens!J7685+Sens!K7685)/2*rent_mw/1000</f>
        <v>6.72084</v>
      </c>
    </row>
    <row r="7703" customFormat="false" ht="17.15" hidden="false" customHeight="false" outlineLevel="0" collapsed="false">
      <c r="A7703" s="0" t="s">
        <v>826</v>
      </c>
      <c r="B7703" s="0" t="s">
        <v>98</v>
      </c>
      <c r="D7703" s="6" t="n">
        <f aca="false">(Sens!C7687+Sens!D7687)/2*(1-self_build)*fac_rent/1000</f>
        <v>0.853242375631075</v>
      </c>
      <c r="E7703" s="6" t="n">
        <f aca="false">(Sens!D7687+Sens!E7687)/2*(1-self_build)*fac_rent/1000</f>
        <v>1.94955961408728</v>
      </c>
      <c r="F7703" s="6" t="n">
        <f aca="false">(Sens!E7687+Sens!F7687)/2*(1-self_build)*fac_rent/1000</f>
        <v>3.83026455274573</v>
      </c>
      <c r="G7703" s="6" t="n">
        <f aca="false">(Sens!F7687+Sens!G7687)/2*(1-self_build)*fac_rent/1000</f>
        <v>6.23541590972812</v>
      </c>
      <c r="H7703" s="6" t="n">
        <f aca="false">(Sens!G7687+Sens!H7687)/2*(1-self_build)*fac_rent/1000</f>
        <v>8.74275792332679</v>
      </c>
      <c r="I7703" s="6" t="n">
        <f aca="false">(Sens!H7687+Sens!I7687)/2*(1-self_build)*fac_rent/1000</f>
        <v>10.8859420438599</v>
      </c>
      <c r="J7703" s="6" t="n">
        <f aca="false">(Sens!I7687+Sens!J7687)/2*(1-self_build)*fac_rent/1000</f>
        <v>12.3008103782619</v>
      </c>
      <c r="K7703" s="6" t="n">
        <f aca="false">(Sens!J7687+Sens!K7687)/2*(1-self_build)*fac_rent/1000</f>
        <v>12.9873629265328</v>
      </c>
      <c r="L7703" s="11" t="s">
        <v>827</v>
      </c>
    </row>
    <row r="7704" customFormat="false" ht="17.15" hidden="false" customHeight="false" outlineLevel="0" collapsed="false">
      <c r="A7704" s="1" t="s">
        <v>828</v>
      </c>
      <c r="B7704" s="0" t="s">
        <v>129</v>
      </c>
      <c r="D7704" s="7" t="n">
        <f aca="false">(Sens!C7686+Sens!D7686)/(Sens!C7687+Sens!D7687)</f>
        <v>0.6</v>
      </c>
      <c r="E7704" s="7" t="n">
        <f aca="false">(Sens!D7686+Sens!E7686)/(Sens!D7687+Sens!E7687)</f>
        <v>0.6</v>
      </c>
      <c r="F7704" s="7" t="n">
        <f aca="false">(Sens!E7686+Sens!F7686)/(Sens!E7687+Sens!F7687)</f>
        <v>0.6</v>
      </c>
      <c r="G7704" s="7" t="n">
        <f aca="false">(Sens!F7686+Sens!G7686)/(Sens!F7687+Sens!G7687)</f>
        <v>0.6</v>
      </c>
      <c r="H7704" s="7" t="n">
        <f aca="false">(Sens!G7686+Sens!H7686)/(Sens!G7687+Sens!H7687)</f>
        <v>0.6</v>
      </c>
      <c r="I7704" s="7" t="n">
        <f aca="false">(Sens!H7686+Sens!I7686)/(Sens!H7687+Sens!I7687)</f>
        <v>0.6</v>
      </c>
      <c r="J7704" s="7" t="n">
        <f aca="false">(Sens!I7686+Sens!J7686)/(Sens!I7687+Sens!J7687)</f>
        <v>0.6</v>
      </c>
      <c r="K7704" s="7" t="n">
        <f aca="false">(Sens!J7686+Sens!K7686)/(Sens!J7687+Sens!K7687)</f>
        <v>0.6</v>
      </c>
    </row>
    <row r="7705" customFormat="false" ht="17.15" hidden="false" customHeight="false" outlineLevel="0" collapsed="false">
      <c r="A7705" s="0" t="s">
        <v>829</v>
      </c>
      <c r="B7705" s="0" t="s">
        <v>98</v>
      </c>
      <c r="D7705" s="6" t="n">
        <f aca="false">Sens!D7699-Sens!D7704*(Sens!D7701+Sens!D7703)-Sens!D7702</f>
        <v>8.35701406163072</v>
      </c>
      <c r="E7705" s="6" t="n">
        <f aca="false">Sens!E7699-Sens!E7704*(Sens!E7701+Sens!E7703)-Sens!E7702</f>
        <v>18.7103224860238</v>
      </c>
      <c r="F7705" s="6" t="n">
        <f aca="false">Sens!F7699-Sens!F7704*(Sens!F7701+Sens!F7703)-Sens!F7702</f>
        <v>39.4594407491938</v>
      </c>
      <c r="G7705" s="6" t="n">
        <f aca="false">Sens!G7699-Sens!G7704*(Sens!G7701+Sens!G7703)-Sens!G7702</f>
        <v>66.5527545578061</v>
      </c>
      <c r="H7705" s="6" t="n">
        <f aca="false">Sens!H7699-Sens!H7704*(Sens!H7701+Sens!H7703)-Sens!H7702</f>
        <v>95.219644983859</v>
      </c>
      <c r="I7705" s="6" t="n">
        <f aca="false">Sens!I7699-Sens!I7704*(Sens!I7701+Sens!I7703)-Sens!I7702</f>
        <v>120.722591017788</v>
      </c>
      <c r="J7705" s="6" t="n">
        <f aca="false">Sens!J7699-Sens!J7704*(Sens!J7701+Sens!J7703)-Sens!J7702</f>
        <v>138.636930519248</v>
      </c>
      <c r="K7705" s="6" t="n">
        <f aca="false">Sens!K7699-Sens!K7704*(Sens!K7701+Sens!K7703)-Sens!K7702</f>
        <v>150.134837618398</v>
      </c>
    </row>
    <row r="7706" customFormat="false" ht="17.15" hidden="false" customHeight="false" outlineLevel="0" collapsed="false">
      <c r="A7706" s="1" t="s">
        <v>830</v>
      </c>
      <c r="B7706" s="0" t="s">
        <v>98</v>
      </c>
      <c r="D7706" s="6" t="n">
        <f aca="false">(1-Sens!D7704)*(Sens!D7701+Sens!D7703)</f>
        <v>1.42281025374069</v>
      </c>
      <c r="E7706" s="6" t="n">
        <f aca="false">(1-Sens!E7704)*(Sens!E7701+Sens!E7703)</f>
        <v>3.25095598674472</v>
      </c>
      <c r="F7706" s="6" t="n">
        <f aca="false">(1-Sens!F7704)*(Sens!F7701+Sens!F7703)</f>
        <v>6.53293055050977</v>
      </c>
      <c r="G7706" s="6" t="n">
        <f aca="false">(1-Sens!G7704)*(Sens!G7701+Sens!G7703)</f>
        <v>10.7846311741651</v>
      </c>
      <c r="H7706" s="6" t="n">
        <f aca="false">(1-Sens!H7704)*(Sens!H7701+Sens!H7703)</f>
        <v>15.26343050201</v>
      </c>
      <c r="I7706" s="6" t="n">
        <f aca="false">(1-Sens!I7704)*(Sens!I7701+Sens!I7703)</f>
        <v>19.1433528317977</v>
      </c>
      <c r="J7706" s="6" t="n">
        <f aca="false">(1-Sens!J7704)*(Sens!J7701+Sens!J7703)</f>
        <v>21.7578594710146</v>
      </c>
      <c r="K7706" s="6" t="n">
        <f aca="false">(1-Sens!K7704)*(Sens!K7701+Sens!K7703)</f>
        <v>23.1609494366731</v>
      </c>
    </row>
    <row r="7707" customFormat="false" ht="17.15" hidden="false" customHeight="false" outlineLevel="0" collapsed="false">
      <c r="A7707" s="1" t="s">
        <v>831</v>
      </c>
      <c r="B7707" s="0" t="s">
        <v>350</v>
      </c>
      <c r="C7707" s="8" t="n">
        <f aca="false">cxit_open</f>
        <v>27.5918995</v>
      </c>
      <c r="D7707" s="8" t="n">
        <f aca="false">cxit_open</f>
        <v>27.5918995</v>
      </c>
      <c r="E7707" s="8" t="n">
        <f aca="false">cxit_open</f>
        <v>27.5918995</v>
      </c>
      <c r="F7707" s="8" t="n">
        <f aca="false">(a_g3_27*tk_cxit_gb300+(1-a_g3_27)*tk_cxit_vr200)</f>
        <v>33.8419624</v>
      </c>
      <c r="G7707" s="8" t="n">
        <f aca="false">(a_g3_28*tk_cxit_gb300+(1-a_g3_28)*tk_cxit_vr200)</f>
        <v>35.9816136</v>
      </c>
      <c r="H7707" s="8" t="n">
        <f aca="false">(a_g3_29*tk_cxit_gb300+(1-a_g3_29)*tk_cxit_vr200)</f>
        <v>37.0514392</v>
      </c>
      <c r="I7707" s="8" t="n">
        <f aca="false">(a_g3_29*tk_cxit_gb300+(1-a_g3_29)*tk_cxit_vr200)</f>
        <v>37.0514392</v>
      </c>
      <c r="J7707" s="8" t="n">
        <f aca="false">(a_g3_29*tk_cxit_gb300+(1-a_g3_29)*tk_cxit_vr200)</f>
        <v>37.0514392</v>
      </c>
      <c r="K7707" s="8" t="n">
        <f aca="false">(a_g3_29*tk_cxit_gb300+(1-a_g3_29)*tk_cxit_vr200)</f>
        <v>37.0514392</v>
      </c>
      <c r="L7707" s="11" t="s">
        <v>832</v>
      </c>
    </row>
    <row r="7708" customFormat="false" ht="17.15" hidden="false" customHeight="false" outlineLevel="0" collapsed="false">
      <c r="A7708" s="0" t="s">
        <v>833</v>
      </c>
      <c r="B7708" s="0" t="s">
        <v>392</v>
      </c>
      <c r="F7708" s="29" t="n">
        <f aca="false">Sens!C7689*IF(Sens!F7682-Sens!C7682=life_it,1,0)+Sens!D7689*IF(Sens!F7682-Sens!D7682=life_it,1,0)+Sens!E7689*IF(Sens!F7682-Sens!E7682=life_it,1,0)</f>
        <v>0</v>
      </c>
      <c r="G7708" s="29" t="n">
        <f aca="false">Sens!C7689*IF(Sens!G7682-Sens!C7682=life_it,1,0)+Sens!D7689*IF(Sens!G7682-Sens!D7682=life_it,1,0)+Sens!E7689*IF(Sens!G7682-Sens!E7682=life_it,1,0)+Sens!F7689*IF(Sens!G7682-Sens!F7682=life_it,1,0)</f>
        <v>0</v>
      </c>
      <c r="H7708" s="29" t="n">
        <f aca="false">Sens!C7689*IF(Sens!H7682-Sens!C7682=life_it,1,0)+Sens!D7689*IF(Sens!H7682-Sens!D7682=life_it,1,0)+Sens!E7689*IF(Sens!H7682-Sens!E7682=life_it,1,0)+Sens!F7689*IF(Sens!H7682-Sens!F7682=life_it,1,0)+Sens!G7689*IF(Sens!H7682-Sens!G7682=life_it,1,0)</f>
        <v>0</v>
      </c>
      <c r="I7708" s="29" t="n">
        <f aca="false">Sens!C7689*IF(Sens!I7682-Sens!C7682=life_it,1,0)+Sens!D7689*IF(Sens!I7682-Sens!D7682=life_it,1,0)+Sens!E7689*IF(Sens!I7682-Sens!E7682=life_it,1,0)+Sens!F7689*IF(Sens!I7682-Sens!F7682=life_it,1,0)+Sens!G7689*IF(Sens!I7682-Sens!G7682=life_it,1,0)+Sens!H7689*IF(Sens!I7682-Sens!H7682=life_it,1,0)</f>
        <v>816.666666666667</v>
      </c>
      <c r="J7708" s="29" t="n">
        <f aca="false">Sens!C7689*IF(Sens!J7682-Sens!C7682=life_it,1,0)+Sens!D7689*IF(Sens!J7682-Sens!D7682=life_it,1,0)+Sens!E7689*IF(Sens!J7682-Sens!E7682=life_it,1,0)+Sens!F7689*IF(Sens!J7682-Sens!F7682=life_it,1,0)+Sens!G7689*IF(Sens!J7682-Sens!G7682=life_it,1,0)+Sens!H7689*IF(Sens!J7682-Sens!H7682=life_it,1,0)+Sens!I7689*IF(Sens!J7682-Sens!I7682=life_it,1,0)</f>
        <v>1233.33333333333</v>
      </c>
      <c r="K7708" s="29" t="n">
        <f aca="false">Sens!C7689*IF(Sens!K7682-Sens!C7682=life_it,1,0)+Sens!D7689*IF(Sens!K7682-Sens!D7682=life_it,1,0)+Sens!E7689*IF(Sens!K7682-Sens!E7682=life_it,1,0)+Sens!F7689*IF(Sens!K7682-Sens!F7682=life_it,1,0)+Sens!G7689*IF(Sens!K7682-Sens!G7682=life_it,1,0)+Sens!H7689*IF(Sens!K7682-Sens!H7682=life_it,1,0)+Sens!I7689*IF(Sens!K7682-Sens!I7682=life_it,1,0)+Sens!J7689*IF(Sens!K7682-Sens!J7682=life_it,1,0)</f>
        <v>2450</v>
      </c>
      <c r="L7708" s="1" t="s">
        <v>834</v>
      </c>
    </row>
    <row r="7709" customFormat="false" ht="17.15" hidden="false" customHeight="false" outlineLevel="0" collapsed="false">
      <c r="A7709" s="0" t="s">
        <v>835</v>
      </c>
      <c r="B7709" s="0" t="s">
        <v>98</v>
      </c>
      <c r="C7709" s="6" t="n">
        <f aca="false">Sens!C7689*Sens!C7707/1000</f>
        <v>22.5333845916667</v>
      </c>
      <c r="D7709" s="6" t="n">
        <f aca="false">Sens!D7689*Sens!D7707/1000</f>
        <v>34.0300093833333</v>
      </c>
      <c r="E7709" s="6" t="n">
        <f aca="false">Sens!E7689*Sens!E7707/1000</f>
        <v>67.600153775</v>
      </c>
      <c r="F7709" s="6" t="n">
        <f aca="false">(Sens!F7689+Sens!F7708)*Sens!F7707/1000</f>
        <v>130.923271871467</v>
      </c>
      <c r="G7709" s="6" t="n">
        <f aca="false">(Sens!G7689+Sens!G7708)*Sens!G7707/1000</f>
        <v>151.5545564832</v>
      </c>
      <c r="H7709" s="6" t="n">
        <f aca="false">(Sens!H7689+Sens!H7708)*Sens!H7707/1000</f>
        <v>156.0606619104</v>
      </c>
      <c r="I7709" s="6" t="n">
        <f aca="false">(Sens!I7689+Sens!I7708)*Sens!I7707/1000</f>
        <v>140.987889434245</v>
      </c>
      <c r="J7709" s="6" t="n">
        <f aca="false">(Sens!J7689+Sens!J7708)*Sens!J7707/1000</f>
        <v>111.094541278091</v>
      </c>
      <c r="K7709" s="6" t="n">
        <f aca="false">(Sens!K7689+Sens!K7708)*Sens!K7707/1000</f>
        <v>110.842344481936</v>
      </c>
    </row>
    <row r="7710" customFormat="false" ht="17.15" hidden="false" customHeight="false" outlineLevel="0" collapsed="false">
      <c r="A7710" s="0" t="s">
        <v>836</v>
      </c>
      <c r="B7710" s="0" t="s">
        <v>98</v>
      </c>
      <c r="C7710" s="6" t="n">
        <f aca="false">Sens!C7689*self_build*tk_cxfac/1000</f>
        <v>6.2083</v>
      </c>
      <c r="D7710" s="6" t="n">
        <f aca="false">Sens!D7689*self_build*tk_cxfac/1000</f>
        <v>9.3758</v>
      </c>
      <c r="E7710" s="6" t="n">
        <f aca="false">Sens!E7689*self_build*tk_cxfac/1000</f>
        <v>18.6249</v>
      </c>
      <c r="F7710" s="6" t="n">
        <f aca="false">Sens!F7689*self_build*tk_cxfac/1000</f>
        <v>29.409604</v>
      </c>
      <c r="G7710" s="6" t="n">
        <f aca="false">Sens!G7689*self_build*tk_cxfac/1000</f>
        <v>32.019624</v>
      </c>
      <c r="H7710" s="6" t="n">
        <f aca="false">Sens!H7689*self_build*tk_cxfac/1000</f>
        <v>32.019624</v>
      </c>
      <c r="I7710" s="6" t="n">
        <f aca="false">Sens!I7689*self_build*tk_cxfac/1000</f>
        <v>22.71877972</v>
      </c>
      <c r="J7710" s="6" t="n">
        <f aca="false">Sens!J7689*self_build*tk_cxfac/1000</f>
        <v>13.41793544</v>
      </c>
      <c r="K7710" s="6" t="n">
        <f aca="false">Sens!K7689*self_build*tk_cxfac/1000</f>
        <v>4.11709116000001</v>
      </c>
    </row>
    <row r="7711" customFormat="false" ht="17.15" hidden="false" customHeight="false" outlineLevel="0" collapsed="false">
      <c r="A7711" s="0" t="s">
        <v>837</v>
      </c>
      <c r="B7711" s="0" t="s">
        <v>98</v>
      </c>
      <c r="F7711" s="6" t="n">
        <f aca="false">MAX(0,capex_floor27-Sens!F7709-Sens!F7710-Sens!F7804)</f>
        <v>8.36190539250475</v>
      </c>
      <c r="L7711" s="1" t="s">
        <v>838</v>
      </c>
    </row>
    <row r="7712" customFormat="false" ht="17.15" hidden="false" customHeight="false" outlineLevel="0" collapsed="false">
      <c r="A7712" s="0" t="s">
        <v>839</v>
      </c>
      <c r="B7712" s="0" t="s">
        <v>98</v>
      </c>
      <c r="C7712" s="6" t="n">
        <f aca="false">Sens!C7709</f>
        <v>22.5333845916667</v>
      </c>
      <c r="D7712" s="6" t="n">
        <f aca="false">Sens!D7709</f>
        <v>34.0300093833333</v>
      </c>
      <c r="E7712" s="6" t="n">
        <f aca="false">Sens!E7709</f>
        <v>67.600153775</v>
      </c>
      <c r="F7712" s="6" t="n">
        <f aca="false">Sens!F7709+Sens!F7711</f>
        <v>139.285177263971</v>
      </c>
      <c r="G7712" s="6" t="n">
        <f aca="false">Sens!G7709</f>
        <v>151.5545564832</v>
      </c>
      <c r="H7712" s="6" t="n">
        <f aca="false">Sens!H7709</f>
        <v>156.0606619104</v>
      </c>
      <c r="I7712" s="6" t="n">
        <f aca="false">Sens!I7709</f>
        <v>140.987889434245</v>
      </c>
      <c r="J7712" s="6" t="n">
        <f aca="false">Sens!J7709</f>
        <v>111.094541278091</v>
      </c>
      <c r="K7712" s="6" t="n">
        <f aca="false">Sens!K7709</f>
        <v>110.842344481936</v>
      </c>
    </row>
    <row r="7713" customFormat="false" ht="17.15" hidden="false" customHeight="false" outlineLevel="0" collapsed="false">
      <c r="A7713" s="0" t="s">
        <v>840</v>
      </c>
      <c r="B7713" s="0" t="s">
        <v>98</v>
      </c>
      <c r="C7713" s="6" t="n">
        <f aca="false">Sens!C7712+Sens!C7710</f>
        <v>28.7416845916667</v>
      </c>
      <c r="D7713" s="6" t="n">
        <f aca="false">Sens!D7712+Sens!D7710</f>
        <v>43.4058093833333</v>
      </c>
      <c r="E7713" s="6" t="n">
        <f aca="false">Sens!E7712+Sens!E7710</f>
        <v>86.225053775</v>
      </c>
      <c r="F7713" s="6" t="n">
        <f aca="false">Sens!F7712+Sens!F7710</f>
        <v>168.694781263971</v>
      </c>
      <c r="G7713" s="6" t="n">
        <f aca="false">Sens!G7712+Sens!G7710</f>
        <v>183.5741804832</v>
      </c>
      <c r="H7713" s="6" t="n">
        <f aca="false">Sens!H7712+Sens!H7710</f>
        <v>188.0802859104</v>
      </c>
      <c r="I7713" s="6" t="n">
        <f aca="false">Sens!I7712+Sens!I7710</f>
        <v>163.706669154245</v>
      </c>
      <c r="J7713" s="6" t="n">
        <f aca="false">Sens!J7712+Sens!J7710</f>
        <v>124.51247671809</v>
      </c>
      <c r="K7713" s="6" t="n">
        <f aca="false">Sens!K7712+Sens!K7710</f>
        <v>114.959435641936</v>
      </c>
      <c r="L7713" s="11" t="s">
        <v>841</v>
      </c>
    </row>
    <row r="7714" customFormat="false" ht="17.15" hidden="false" customHeight="false" outlineLevel="0" collapsed="false">
      <c r="A7714" s="0" t="s">
        <v>842</v>
      </c>
      <c r="B7714" s="0" t="s">
        <v>98</v>
      </c>
      <c r="E7714" s="6" t="n">
        <f aca="false">(Sens!C7712*IF(2&lt;life_it,1,IF(2=life_it,0.5,0))+Sens!D7712*IF(1&lt;life_it,1,IF(1=life_it,0.5,0))+Sens!E7712*0.5)/life_it</f>
        <v>15.0605784770833</v>
      </c>
      <c r="F7714" s="6" t="n">
        <f aca="false">(Sens!C7712*IF(3&lt;life_it,1,IF(3=life_it,0.5,0))+Sens!D7712*IF(2&lt;life_it,1,IF(2=life_it,0.5,0))+Sens!E7712*IF(1&lt;life_it,1,IF(1=life_it,0.5,0))+Sens!F7712*0.5)/life_it</f>
        <v>32.301022730331</v>
      </c>
      <c r="G7714" s="6" t="n">
        <f aca="false">(Sens!C7712*IF(4&lt;life_it,1,IF(4=life_it,0.5,0))+Sens!D7712*IF(3&lt;life_it,1,IF(3=life_it,0.5,0))+Sens!E7712*IF(2&lt;life_it,1,IF(2=life_it,0.5,0))+Sens!F7712*IF(1&lt;life_it,1,IF(1=life_it,0.5,0))+Sens!G7712*0.5)/life_it</f>
        <v>56.5376672092619</v>
      </c>
      <c r="H7714" s="6" t="n">
        <f aca="false">(Sens!C7712*IF(5&lt;life_it,1,IF(5=life_it,0.5,0))+Sens!D7712*IF(4&lt;life_it,1,IF(4=life_it,0.5,0))+Sens!E7712*IF(3&lt;life_it,1,IF(3=life_it,0.5,0))+Sens!F7712*IF(2&lt;life_it,1,IF(2=life_it,0.5,0))+Sens!G7712*IF(1&lt;life_it,1,IF(1=life_it,0.5,0))+Sens!H7712*0.5)/life_it</f>
        <v>82.1722687420619</v>
      </c>
      <c r="I7714" s="6" t="n">
        <f aca="false">(Sens!C7712*IF(6&lt;life_it,1,IF(6=life_it,0.5,0))+Sens!D7712*IF(5&lt;life_it,1,IF(5=life_it,0.5,0))+Sens!E7712*IF(4&lt;life_it,1,IF(4=life_it,0.5,0))+Sens!F7712*IF(3&lt;life_it,1,IF(3=life_it,0.5,0))+Sens!G7712*IF(2&lt;life_it,1,IF(2=life_it,0.5,0))+Sens!H7712*IF(1&lt;life_it,1,IF(1=life_it,0.5,0))+Sens!I7712*0.5)/life_it</f>
        <v>105.048532638143</v>
      </c>
      <c r="J7714" s="6" t="n">
        <f aca="false">(Sens!C7712*IF(7&lt;life_it,1,IF(7=life_it,0.5,0))+Sens!D7712*IF(6&lt;life_it,1,IF(6=life_it,0.5,0))+Sens!E7712*IF(5&lt;life_it,1,IF(5=life_it,0.5,0))+Sens!F7712*IF(4&lt;life_it,1,IF(4=life_it,0.5,0))+Sens!G7712*IF(3&lt;life_it,1,IF(3=life_it,0.5,0))+Sens!H7712*IF(2&lt;life_it,1,IF(2=life_it,0.5,0))+Sens!I7712*IF(1&lt;life_it,1,IF(1=life_it,0.5,0))+Sens!J7712*0.5)/life_it</f>
        <v>121.341785699588</v>
      </c>
      <c r="K7714" s="6" t="n">
        <f aca="false">(Sens!C7712*IF(8&lt;life_it,1,IF(8=life_it,0.5,0))+Sens!D7712*IF(7&lt;life_it,1,IF(7=life_it,0.5,0))+Sens!E7712*IF(6&lt;life_it,1,IF(6=life_it,0.5,0))+Sens!F7712*IF(5&lt;life_it,1,IF(5=life_it,0.5,0))+Sens!G7712*IF(4&lt;life_it,1,IF(4=life_it,0.5,0))+Sens!H7712*IF(3&lt;life_it,1,IF(3=life_it,0.5,0))+Sens!I7712*IF(2&lt;life_it,1,IF(2=life_it,0.5,0))+Sens!J7712*IF(1&lt;life_it,1,IF(1=life_it,0.5,0))+Sens!K7712*0.5)/life_it</f>
        <v>131.367345916396</v>
      </c>
    </row>
    <row r="7715" customFormat="false" ht="17.15" hidden="false" customHeight="false" outlineLevel="0" collapsed="false">
      <c r="A7715" s="0" t="s">
        <v>843</v>
      </c>
      <c r="B7715" s="0" t="s">
        <v>98</v>
      </c>
      <c r="E7715" s="6" t="n">
        <f aca="false">(Sens!C7710*IF(2&lt;life_fac,1,IF(2=life_fac,0.5,0))+Sens!D7710*IF(1&lt;life_fac,1,IF(1=life_fac,0.5,0))+Sens!E7710*0.5)/life_fac</f>
        <v>1.2448275</v>
      </c>
      <c r="F7715" s="6" t="n">
        <f aca="false">(Sens!C7710*IF(3&lt;life_fac,1,IF(3=life_fac,0.5,0))+Sens!D7710*IF(2&lt;life_fac,1,IF(2=life_fac,0.5,0))+Sens!E7710*IF(1&lt;life_fac,1,IF(1=life_fac,0.5,0))+Sens!F7710*0.5)/life_fac</f>
        <v>2.4456901</v>
      </c>
      <c r="G7715" s="6" t="n">
        <f aca="false">(Sens!C7710*IF(4&lt;life_fac,1,IF(4=life_fac,0.5,0))+Sens!D7710*IF(3&lt;life_fac,1,IF(3=life_fac,0.5,0))+Sens!E7710*IF(2&lt;life_fac,1,IF(2=life_fac,0.5,0))+Sens!F7710*IF(1&lt;life_fac,1,IF(1=life_fac,0.5,0))+Sens!G7710*0.5)/life_fac</f>
        <v>3.9814208</v>
      </c>
      <c r="H7715" s="6" t="n">
        <f aca="false">(Sens!C7710*IF(5&lt;life_fac,1,IF(5=life_fac,0.5,0))+Sens!D7710*IF(4&lt;life_fac,1,IF(4=life_fac,0.5,0))+Sens!E7710*IF(3&lt;life_fac,1,IF(3=life_fac,0.5,0))+Sens!F7710*IF(2&lt;life_fac,1,IF(2=life_fac,0.5,0))+Sens!G7710*IF(1&lt;life_fac,1,IF(1=life_fac,0.5,0))+Sens!H7710*0.5)/life_fac</f>
        <v>5.582402</v>
      </c>
      <c r="I7715" s="6" t="n">
        <f aca="false">(Sens!C7710*IF(6&lt;life_fac,1,IF(6=life_fac,0.5,0))+Sens!D7710*IF(5&lt;life_fac,1,IF(5=life_fac,0.5,0))+Sens!E7710*IF(4&lt;life_fac,1,IF(4=life_fac,0.5,0))+Sens!F7710*IF(3&lt;life_fac,1,IF(3=life_fac,0.5,0))+Sens!G7710*IF(2&lt;life_fac,1,IF(2=life_fac,0.5,0))+Sens!H7710*IF(1&lt;life_fac,1,IF(1=life_fac,0.5,0))+Sens!I7710*0.5)/life_fac</f>
        <v>6.950862093</v>
      </c>
      <c r="J7715" s="6" t="n">
        <f aca="false">(Sens!C7710*IF(7&lt;life_fac,1,IF(7=life_fac,0.5,0))+Sens!D7710*IF(6&lt;life_fac,1,IF(6=life_fac,0.5,0))+Sens!E7710*IF(5&lt;life_fac,1,IF(5=life_fac,0.5,0))+Sens!F7710*IF(4&lt;life_fac,1,IF(4=life_fac,0.5,0))+Sens!G7710*IF(3&lt;life_fac,1,IF(3=life_fac,0.5,0))+Sens!H7710*IF(2&lt;life_fac,1,IF(2=life_fac,0.5,0))+Sens!I7710*IF(1&lt;life_fac,1,IF(1=life_fac,0.5,0))+Sens!J7710*0.5)/life_fac</f>
        <v>7.854279972</v>
      </c>
      <c r="K7715" s="6" t="n">
        <f aca="false">(Sens!C7710*IF(8&lt;life_fac,1,IF(8=life_fac,0.5,0))+Sens!D7710*IF(7&lt;life_fac,1,IF(7=life_fac,0.5,0))+Sens!E7710*IF(6&lt;life_fac,1,IF(6=life_fac,0.5,0))+Sens!F7710*IF(5&lt;life_fac,1,IF(5=life_fac,0.5,0))+Sens!G7710*IF(4&lt;life_fac,1,IF(4=life_fac,0.5,0))+Sens!H7710*IF(3&lt;life_fac,1,IF(3=life_fac,0.5,0))+Sens!I7710*IF(2&lt;life_fac,1,IF(2=life_fac,0.5,0))+Sens!J7710*IF(1&lt;life_fac,1,IF(1=life_fac,0.5,0))+Sens!K7710*0.5)/life_fac</f>
        <v>8.292655637</v>
      </c>
    </row>
    <row r="7716" customFormat="false" ht="17.15" hidden="false" customHeight="false" outlineLevel="0" collapsed="false">
      <c r="A7716" s="0" t="s">
        <v>844</v>
      </c>
      <c r="B7716" s="0" t="s">
        <v>98</v>
      </c>
      <c r="E7716" s="6" t="n">
        <f aca="false">Sens!E7714+Sens!E7715</f>
        <v>16.3054059770833</v>
      </c>
      <c r="F7716" s="6" t="n">
        <f aca="false">Sens!F7714+Sens!F7715</f>
        <v>34.746712830331</v>
      </c>
      <c r="G7716" s="6" t="n">
        <f aca="false">Sens!G7714+Sens!G7715</f>
        <v>60.5190880092619</v>
      </c>
      <c r="H7716" s="6" t="n">
        <f aca="false">Sens!H7714+Sens!H7715</f>
        <v>87.7546707420619</v>
      </c>
      <c r="I7716" s="6" t="n">
        <f aca="false">Sens!I7714+Sens!I7715</f>
        <v>111.999394731143</v>
      </c>
      <c r="J7716" s="6" t="n">
        <f aca="false">Sens!J7714+Sens!J7715</f>
        <v>129.196065671588</v>
      </c>
      <c r="K7716" s="6" t="n">
        <f aca="false">Sens!K7714+Sens!K7715</f>
        <v>139.660001553396</v>
      </c>
    </row>
    <row r="7717" customFormat="false" ht="17.15" hidden="false" customHeight="false" outlineLevel="0" collapsed="false">
      <c r="A7717" s="0" t="s">
        <v>845</v>
      </c>
      <c r="B7717" s="0" t="s">
        <v>98</v>
      </c>
      <c r="E7717" s="6" t="n">
        <f aca="false">Sens!E7705-Sens!E7704*Sens!E7716</f>
        <v>8.92707889977379</v>
      </c>
      <c r="F7717" s="6" t="n">
        <f aca="false">Sens!F7705-Sens!F7704*Sens!F7716</f>
        <v>18.6114130509953</v>
      </c>
      <c r="G7717" s="6" t="n">
        <f aca="false">Sens!G7705-Sens!G7704*Sens!G7716</f>
        <v>30.241301752249</v>
      </c>
      <c r="H7717" s="6" t="n">
        <f aca="false">Sens!H7705-Sens!H7704*Sens!H7716</f>
        <v>42.5668425386218</v>
      </c>
      <c r="I7717" s="6" t="n">
        <f aca="false">Sens!I7705-Sens!I7704*Sens!I7716</f>
        <v>53.5229541791021</v>
      </c>
      <c r="J7717" s="6" t="n">
        <f aca="false">Sens!J7705-Sens!J7704*Sens!J7716</f>
        <v>61.119291116295</v>
      </c>
      <c r="K7717" s="6" t="n">
        <f aca="false">Sens!K7705-Sens!K7704*Sens!K7716</f>
        <v>66.3388366863603</v>
      </c>
    </row>
    <row r="7718" customFormat="false" ht="17.15" hidden="false" customHeight="false" outlineLevel="0" collapsed="false">
      <c r="A7718" s="3" t="s">
        <v>1435</v>
      </c>
    </row>
    <row r="7719" customFormat="false" ht="15" hidden="false" customHeight="false" outlineLevel="0" collapsed="false">
      <c r="A7719" s="4" t="s">
        <v>43</v>
      </c>
      <c r="B7719" s="4" t="s">
        <v>65</v>
      </c>
      <c r="C7719" s="20" t="s">
        <v>788</v>
      </c>
      <c r="D7719" s="20" t="s">
        <v>789</v>
      </c>
      <c r="E7719" s="20" t="s">
        <v>790</v>
      </c>
      <c r="F7719" s="20" t="s">
        <v>791</v>
      </c>
      <c r="G7719" s="20" t="s">
        <v>792</v>
      </c>
      <c r="H7719" s="20" t="s">
        <v>793</v>
      </c>
      <c r="I7719" s="20" t="s">
        <v>794</v>
      </c>
      <c r="J7719" s="20" t="s">
        <v>795</v>
      </c>
      <c r="K7719" s="20" t="s">
        <v>796</v>
      </c>
      <c r="L7719" s="4" t="s">
        <v>47</v>
      </c>
    </row>
    <row r="7720" customFormat="false" ht="17.15" hidden="false" customHeight="false" outlineLevel="0" collapsed="false">
      <c r="A7720" s="0" t="s">
        <v>864</v>
      </c>
      <c r="B7720" s="0" t="s">
        <v>98</v>
      </c>
      <c r="D7720" s="6" t="n">
        <f aca="false">Sens!D7699</f>
        <v>12.9359794422418</v>
      </c>
      <c r="E7720" s="6" t="n">
        <f aca="false">Sens!E7699</f>
        <v>27.8095064661409</v>
      </c>
      <c r="F7720" s="6" t="n">
        <f aca="false">Sens!F7699</f>
        <v>55.0640065749585</v>
      </c>
      <c r="G7720" s="6" t="n">
        <f aca="false">Sens!G7699</f>
        <v>89.4505413190538</v>
      </c>
      <c r="H7720" s="6" t="n">
        <f aca="false">Sens!H7699</f>
        <v>124.835630736874</v>
      </c>
      <c r="I7720" s="6" t="n">
        <f aca="false">Sens!I7699</f>
        <v>156.158460265485</v>
      </c>
      <c r="J7720" s="6" t="n">
        <f aca="false">Sens!J7699</f>
        <v>177.99455972577</v>
      </c>
      <c r="K7720" s="6" t="n">
        <f aca="false">Sens!K7699</f>
        <v>191.597101773408</v>
      </c>
    </row>
    <row r="7721" customFormat="false" ht="17.15" hidden="false" customHeight="false" outlineLevel="0" collapsed="false">
      <c r="A7721" s="0" t="s">
        <v>865</v>
      </c>
      <c r="B7721" s="0" t="s">
        <v>98</v>
      </c>
      <c r="D7721" s="6" t="n">
        <f aca="false">Q!L6-Sens!D7720</f>
        <v>59.6740205577583</v>
      </c>
      <c r="E7721" s="6" t="n">
        <f aca="false">Q!M6-Sens!E7720</f>
        <v>74.1284935338591</v>
      </c>
      <c r="F7721" s="6" t="n">
        <f aca="false">Sens!E7721*(1+Sens!F7722)</f>
        <v>89.709307269697</v>
      </c>
      <c r="G7721" s="6" t="n">
        <f aca="false">Sens!F7721*(1+Sens!G7722)</f>
        <v>105.690953558647</v>
      </c>
      <c r="H7721" s="6" t="n">
        <f aca="false">Sens!G7721*(1+Sens!H7722)</f>
        <v>121.133663984194</v>
      </c>
      <c r="I7721" s="6" t="n">
        <f aca="false">Sens!H7721*(1+Sens!I7722)</f>
        <v>134.951941602699</v>
      </c>
      <c r="J7721" s="6" t="n">
        <f aca="false">Sens!I7721*(1+Sens!J7722)</f>
        <v>146.023036389274</v>
      </c>
      <c r="K7721" s="6" t="n">
        <f aca="false">Sens!J7721*(1+Sens!K7722)</f>
        <v>153.324188208738</v>
      </c>
    </row>
    <row r="7722" customFormat="false" ht="15" hidden="false" customHeight="false" outlineLevel="0" collapsed="false">
      <c r="A7722" s="1" t="s">
        <v>866</v>
      </c>
      <c r="B7722" s="0" t="s">
        <v>129</v>
      </c>
      <c r="E7722" s="7" t="n">
        <f aca="false">Sens!E7721/Sens!D7721-1</f>
        <v>0.242223883039864</v>
      </c>
      <c r="F7722" s="7" t="n">
        <f aca="false">Sens!$E$7722+(glt_azo_lo-Sens!$E$7722)*MIN(1,(Sens!F7682-base_fy)/n_conv)</f>
        <v>0.210186569199887</v>
      </c>
      <c r="G7722" s="7" t="n">
        <f aca="false">Sens!$E$7722+(glt_azo_lo-Sens!$E$7722)*MIN(1,(Sens!G7682-base_fy)/n_conv)</f>
        <v>0.17814925535991</v>
      </c>
      <c r="H7722" s="7" t="n">
        <f aca="false">Sens!$E$7722+(glt_azo_lo-Sens!$E$7722)*MIN(1,(Sens!H7682-base_fy)/n_conv)</f>
        <v>0.146111941519932</v>
      </c>
      <c r="I7722" s="7" t="n">
        <f aca="false">Sens!$E$7722+(glt_azo_lo-Sens!$E$7722)*MIN(1,(Sens!I7682-base_fy)/n_conv)</f>
        <v>0.114074627679955</v>
      </c>
      <c r="J7722" s="7" t="n">
        <f aca="false">Sens!$E$7722+(glt_azo_lo-Sens!$E$7722)*MIN(1,(Sens!J7682-base_fy)/n_conv)</f>
        <v>0.0820373138399774</v>
      </c>
      <c r="K7722" s="7" t="n">
        <f aca="false">Sens!$E$7722+(glt_azo_lo-Sens!$E$7722)*MIN(1,(Sens!K7682-base_fy)/n_conv)</f>
        <v>0.05</v>
      </c>
    </row>
    <row r="7723" customFormat="false" ht="15" hidden="false" customHeight="false" outlineLevel="0" collapsed="false">
      <c r="A7723" s="0" t="s">
        <v>867</v>
      </c>
      <c r="B7723" s="0" t="s">
        <v>98</v>
      </c>
      <c r="D7723" s="6" t="n">
        <f aca="false">Sens!D7720+Sens!D7721</f>
        <v>72.61</v>
      </c>
      <c r="E7723" s="6" t="n">
        <f aca="false">Sens!E7720+Sens!E7721</f>
        <v>101.938</v>
      </c>
      <c r="F7723" s="6" t="n">
        <f aca="false">Sens!F7720+Sens!F7721</f>
        <v>144.773313844656</v>
      </c>
      <c r="G7723" s="6" t="n">
        <f aca="false">Sens!G7720+Sens!G7721</f>
        <v>195.141494877701</v>
      </c>
      <c r="H7723" s="6" t="n">
        <f aca="false">Sens!H7720+Sens!H7721</f>
        <v>245.969294721068</v>
      </c>
      <c r="I7723" s="6" t="n">
        <f aca="false">Sens!I7720+Sens!I7721</f>
        <v>291.110401868184</v>
      </c>
      <c r="J7723" s="6" t="n">
        <f aca="false">Sens!J7720+Sens!J7721</f>
        <v>324.017596115044</v>
      </c>
      <c r="K7723" s="6" t="n">
        <f aca="false">Sens!K7720+Sens!K7721</f>
        <v>344.921289982146</v>
      </c>
    </row>
    <row r="7724" customFormat="false" ht="17.15" hidden="false" customHeight="false" outlineLevel="0" collapsed="false">
      <c r="A7724" s="0" t="s">
        <v>868</v>
      </c>
      <c r="B7724" s="1" t="s">
        <v>521</v>
      </c>
      <c r="C7724" s="29" t="n">
        <f aca="false">cop_s24</f>
        <v>1</v>
      </c>
      <c r="D7724" s="29" t="n">
        <f aca="false">cop_s25</f>
        <v>5</v>
      </c>
      <c r="E7724" s="29" t="n">
        <f aca="false">cop_s26</f>
        <v>30</v>
      </c>
      <c r="F7724" s="29" t="n">
        <f aca="false">Sens!E7724+cop_add_B</f>
        <v>50</v>
      </c>
      <c r="G7724" s="29" t="n">
        <f aca="false">Sens!F7724+cop_add_B</f>
        <v>70</v>
      </c>
      <c r="H7724" s="29" t="n">
        <f aca="false">Sens!G7724+cop_add_B</f>
        <v>90</v>
      </c>
      <c r="I7724" s="29" t="n">
        <f aca="false">Sens!H7724+cop_add_B*cop_tail</f>
        <v>100</v>
      </c>
      <c r="J7724" s="29" t="n">
        <f aca="false">Sens!I7724+cop_add_B*cop_tail</f>
        <v>110</v>
      </c>
      <c r="K7724" s="29" t="n">
        <f aca="false">Sens!J7724+cop_add_B*cop_tail</f>
        <v>120</v>
      </c>
      <c r="L7724" s="11" t="s">
        <v>869</v>
      </c>
    </row>
    <row r="7725" customFormat="false" ht="17.15" hidden="false" customHeight="false" outlineLevel="0" collapsed="false">
      <c r="A7725" s="0" t="s">
        <v>870</v>
      </c>
      <c r="B7725" s="0" t="s">
        <v>98</v>
      </c>
      <c r="D7725" s="6" t="n">
        <f aca="false">(Sens!C7724+Sens!D7724)/2*cop_px*12/1000</f>
        <v>0.9</v>
      </c>
      <c r="E7725" s="6" t="n">
        <f aca="false">(Sens!D7724+Sens!E7724)/2*cop_px*12/1000</f>
        <v>5.25</v>
      </c>
      <c r="F7725" s="6" t="n">
        <f aca="false">(Sens!E7724+Sens!F7724)/2*cop_px*12/1000</f>
        <v>12</v>
      </c>
      <c r="G7725" s="6" t="n">
        <f aca="false">(Sens!F7724+Sens!G7724)/2*cop_px*12/1000</f>
        <v>18</v>
      </c>
      <c r="H7725" s="6" t="n">
        <f aca="false">(Sens!G7724+Sens!H7724)/2*cop_px*12/1000</f>
        <v>24</v>
      </c>
      <c r="I7725" s="6" t="n">
        <f aca="false">(Sens!H7724+Sens!I7724)/2*cop_px*12/1000</f>
        <v>28.5</v>
      </c>
      <c r="J7725" s="6" t="n">
        <f aca="false">(Sens!I7724+Sens!J7724)/2*cop_px*12/1000</f>
        <v>31.5</v>
      </c>
      <c r="K7725" s="6" t="n">
        <f aca="false">(Sens!J7724+Sens!K7724)/2*cop_px*12/1000</f>
        <v>34.5</v>
      </c>
      <c r="L7725" s="1" t="s">
        <v>871</v>
      </c>
    </row>
    <row r="7726" customFormat="false" ht="17.15" hidden="false" customHeight="false" outlineLevel="0" collapsed="false">
      <c r="A7726" s="0" t="s">
        <v>872</v>
      </c>
      <c r="B7726" s="0" t="s">
        <v>98</v>
      </c>
      <c r="D7726" s="6" t="n">
        <f aca="false">Q!L7-Sens!D7725</f>
        <v>83.705</v>
      </c>
      <c r="E7726" s="6" t="n">
        <f aca="false">Q!M7-Sens!E7725</f>
        <v>95.049</v>
      </c>
      <c r="F7726" s="6" t="n">
        <f aca="false">Sens!E7726*(1+Sens!F7727)</f>
        <v>106.89238776686</v>
      </c>
      <c r="G7726" s="6" t="n">
        <f aca="false">Sens!F7726*(1+Sens!G7727)</f>
        <v>119.044168448684</v>
      </c>
      <c r="H7726" s="6" t="n">
        <f aca="false">Sens!G7726*(1+Sens!H7727)</f>
        <v>131.277359388781</v>
      </c>
      <c r="I7726" s="6" t="n">
        <f aca="false">Sens!H7726*(1+Sens!I7727)</f>
        <v>143.334028071957</v>
      </c>
      <c r="J7726" s="6" t="n">
        <f aca="false">Sens!I7726*(1+Sens!J7727)</f>
        <v>154.932702785465</v>
      </c>
      <c r="K7726" s="6" t="n">
        <f aca="false">Sens!J7726*(1+Sens!K7727)</f>
        <v>165.777991980448</v>
      </c>
    </row>
    <row r="7727" customFormat="false" ht="15" hidden="false" customHeight="false" outlineLevel="0" collapsed="false">
      <c r="A7727" s="1" t="s">
        <v>866</v>
      </c>
      <c r="B7727" s="0" t="s">
        <v>129</v>
      </c>
      <c r="E7727" s="7" t="n">
        <f aca="false">Sens!E7726/Sens!D7726-1</f>
        <v>0.135523564900544</v>
      </c>
      <c r="F7727" s="7" t="n">
        <f aca="false">Sens!$E$7727+(glt_m365b-Sens!$E$7727)*MIN(1,(Sens!F7682-base_fy)/n_conv)</f>
        <v>0.124602970750453</v>
      </c>
      <c r="G7727" s="7" t="n">
        <f aca="false">Sens!$E$7727+(glt_m365b-Sens!$E$7727)*MIN(1,(Sens!G7682-base_fy)/n_conv)</f>
        <v>0.113682376600363</v>
      </c>
      <c r="H7727" s="7" t="n">
        <f aca="false">Sens!$E$7727+(glt_m365b-Sens!$E$7727)*MIN(1,(Sens!H7682-base_fy)/n_conv)</f>
        <v>0.102761782450272</v>
      </c>
      <c r="I7727" s="7" t="n">
        <f aca="false">Sens!$E$7727+(glt_m365b-Sens!$E$7727)*MIN(1,(Sens!I7682-base_fy)/n_conv)</f>
        <v>0.0918411883001813</v>
      </c>
      <c r="J7727" s="7" t="n">
        <f aca="false">Sens!$E$7727+(glt_m365b-Sens!$E$7727)*MIN(1,(Sens!J7682-base_fy)/n_conv)</f>
        <v>0.0809205941500906</v>
      </c>
      <c r="K7727" s="7" t="n">
        <f aca="false">Sens!$E$7727+(glt_m365b-Sens!$E$7727)*MIN(1,(Sens!K7682-base_fy)/n_conv)</f>
        <v>0.07</v>
      </c>
    </row>
    <row r="7728" customFormat="false" ht="15" hidden="false" customHeight="false" outlineLevel="0" collapsed="false">
      <c r="A7728" s="0" t="s">
        <v>873</v>
      </c>
      <c r="B7728" s="0" t="s">
        <v>98</v>
      </c>
      <c r="D7728" s="6" t="n">
        <f aca="false">Sens!D7726+Sens!D7725</f>
        <v>84.605</v>
      </c>
      <c r="E7728" s="6" t="n">
        <f aca="false">Sens!E7726+Sens!E7725</f>
        <v>100.299</v>
      </c>
      <c r="F7728" s="6" t="n">
        <f aca="false">Sens!F7726+Sens!F7725</f>
        <v>118.89238776686</v>
      </c>
      <c r="G7728" s="6" t="n">
        <f aca="false">Sens!G7726+Sens!G7725</f>
        <v>137.044168448684</v>
      </c>
      <c r="H7728" s="6" t="n">
        <f aca="false">Sens!H7726+Sens!H7725</f>
        <v>155.277359388781</v>
      </c>
      <c r="I7728" s="6" t="n">
        <f aca="false">Sens!I7726+Sens!I7725</f>
        <v>171.834028071957</v>
      </c>
      <c r="J7728" s="6" t="n">
        <f aca="false">Sens!J7726+Sens!J7725</f>
        <v>186.432702785465</v>
      </c>
      <c r="K7728" s="6" t="n">
        <f aca="false">Sens!K7726+Sens!K7725</f>
        <v>200.277991980448</v>
      </c>
    </row>
    <row r="7729" customFormat="false" ht="15" hidden="false" customHeight="false" outlineLevel="0" collapsed="false">
      <c r="A7729" s="0" t="s">
        <v>874</v>
      </c>
      <c r="B7729" s="0" t="s">
        <v>98</v>
      </c>
      <c r="D7729" s="6" t="n">
        <f aca="false">Q!L8</f>
        <v>35.391</v>
      </c>
      <c r="E7729" s="6" t="n">
        <f aca="false">Q!M8</f>
        <v>37.285</v>
      </c>
      <c r="F7729" s="6" t="n">
        <f aca="false">Sens!E7729*(1+Sens!F7730)</f>
        <v>39.0720834331704</v>
      </c>
      <c r="G7729" s="6" t="n">
        <f aca="false">Sens!F7729*(1+Sens!G7730)</f>
        <v>40.726562953769</v>
      </c>
      <c r="H7729" s="6" t="n">
        <f aca="false">Sens!G7729*(1+Sens!H7730)</f>
        <v>42.2235987259198</v>
      </c>
      <c r="I7729" s="6" t="n">
        <f aca="false">Sens!H7729*(1+Sens!I7730)</f>
        <v>43.5397988077414</v>
      </c>
      <c r="J7729" s="6" t="n">
        <f aca="false">Sens!I7729*(1+Sens!J7730)</f>
        <v>44.653811225693</v>
      </c>
      <c r="K7729" s="6" t="n">
        <f aca="false">Sens!J7729*(1+Sens!K7730)</f>
        <v>45.5468874502068</v>
      </c>
    </row>
    <row r="7730" customFormat="false" ht="15" hidden="false" customHeight="false" outlineLevel="0" collapsed="false">
      <c r="A7730" s="1" t="s">
        <v>866</v>
      </c>
      <c r="B7730" s="0" t="s">
        <v>129</v>
      </c>
      <c r="E7730" s="7" t="n">
        <f aca="false">Sens!E7729/Sens!D7729-1</f>
        <v>0.0535164307309768</v>
      </c>
      <c r="F7730" s="7" t="n">
        <f aca="false">Sens!$E$7730+(glt_lic-Sens!$E$7730)*MIN(1,(Sens!F7682-base_fy)/n_conv)</f>
        <v>0.0479303589424807</v>
      </c>
      <c r="G7730" s="7" t="n">
        <f aca="false">Sens!$E$7730+(glt_lic-Sens!$E$7730)*MIN(1,(Sens!G7682-base_fy)/n_conv)</f>
        <v>0.0423442871539845</v>
      </c>
      <c r="H7730" s="7" t="n">
        <f aca="false">Sens!$E$7730+(glt_lic-Sens!$E$7730)*MIN(1,(Sens!H7682-base_fy)/n_conv)</f>
        <v>0.0367582153654884</v>
      </c>
      <c r="I7730" s="7" t="n">
        <f aca="false">Sens!$E$7730+(glt_lic-Sens!$E$7730)*MIN(1,(Sens!I7682-base_fy)/n_conv)</f>
        <v>0.0311721435769923</v>
      </c>
      <c r="J7730" s="7" t="n">
        <f aca="false">Sens!$E$7730+(glt_lic-Sens!$E$7730)*MIN(1,(Sens!J7682-base_fy)/n_conv)</f>
        <v>0.0255860717884961</v>
      </c>
      <c r="K7730" s="7" t="n">
        <f aca="false">Sens!$E$7730+(glt_lic-Sens!$E$7730)*MIN(1,(Sens!K7682-base_fy)/n_conv)</f>
        <v>0.02</v>
      </c>
    </row>
    <row r="7731" customFormat="false" ht="15" hidden="false" customHeight="false" outlineLevel="0" collapsed="false">
      <c r="A7731" s="0" t="s">
        <v>875</v>
      </c>
      <c r="B7731" s="0" t="s">
        <v>98</v>
      </c>
      <c r="D7731" s="6" t="n">
        <f aca="false">Q!L9</f>
        <v>18.417</v>
      </c>
      <c r="E7731" s="6" t="n">
        <f aca="false">Q!M9</f>
        <v>20.345</v>
      </c>
      <c r="F7731" s="6" t="n">
        <f aca="false">Sens!E7731*(1+Sens!F7732)</f>
        <v>22.3572203267814</v>
      </c>
      <c r="G7731" s="6" t="n">
        <f aca="false">Sens!F7731*(1+Sens!G7732)</f>
        <v>24.4392124437232</v>
      </c>
      <c r="H7731" s="6" t="n">
        <f aca="false">Sens!G7731*(1+Sens!H7732)</f>
        <v>26.5738052080665</v>
      </c>
      <c r="I7731" s="6" t="n">
        <f aca="false">Sens!H7731*(1+Sens!I7732)</f>
        <v>28.7412169166967</v>
      </c>
      <c r="J7731" s="6" t="n">
        <f aca="false">Sens!I7731*(1+Sens!J7732)</f>
        <v>30.9192545395413</v>
      </c>
      <c r="K7731" s="6" t="n">
        <f aca="false">Sens!J7731*(1+Sens!K7732)</f>
        <v>33.0836023573092</v>
      </c>
    </row>
    <row r="7732" customFormat="false" ht="15" hidden="false" customHeight="false" outlineLevel="0" collapsed="false">
      <c r="A7732" s="1" t="s">
        <v>866</v>
      </c>
      <c r="B7732" s="0" t="s">
        <v>129</v>
      </c>
      <c r="E7732" s="7" t="n">
        <f aca="false">Sens!E7731/Sens!D7731-1</f>
        <v>0.104685888038225</v>
      </c>
      <c r="F7732" s="7" t="n">
        <f aca="false">Sens!$E$7732+(glt_ind-Sens!$E$7732)*MIN(1,(Sens!F7682-base_fy)/n_conv)</f>
        <v>0.0989049066985211</v>
      </c>
      <c r="G7732" s="7" t="n">
        <f aca="false">Sens!$E$7732+(glt_ind-Sens!$E$7732)*MIN(1,(Sens!G7682-base_fy)/n_conv)</f>
        <v>0.0931239253588169</v>
      </c>
      <c r="H7732" s="7" t="n">
        <f aca="false">Sens!$E$7732+(glt_ind-Sens!$E$7732)*MIN(1,(Sens!H7682-base_fy)/n_conv)</f>
        <v>0.0873429440191127</v>
      </c>
      <c r="I7732" s="7" t="n">
        <f aca="false">Sens!$E$7732+(glt_ind-Sens!$E$7732)*MIN(1,(Sens!I7682-base_fy)/n_conv)</f>
        <v>0.0815619626794085</v>
      </c>
      <c r="J7732" s="7" t="n">
        <f aca="false">Sens!$E$7732+(glt_ind-Sens!$E$7732)*MIN(1,(Sens!J7682-base_fy)/n_conv)</f>
        <v>0.0757809813397042</v>
      </c>
      <c r="K7732" s="7" t="n">
        <f aca="false">Sens!$E$7732+(glt_ind-Sens!$E$7732)*MIN(1,(Sens!K7682-base_fy)/n_conv)</f>
        <v>0.07</v>
      </c>
    </row>
    <row r="7733" customFormat="false" ht="15" hidden="false" customHeight="false" outlineLevel="0" collapsed="false">
      <c r="A7733" s="0" t="s">
        <v>876</v>
      </c>
      <c r="B7733" s="0" t="s">
        <v>98</v>
      </c>
      <c r="D7733" s="6" t="n">
        <f aca="false">Q!L10</f>
        <v>7.76</v>
      </c>
      <c r="E7733" s="6" t="n">
        <f aca="false">Q!M10</f>
        <v>8.26</v>
      </c>
      <c r="F7733" s="6" t="n">
        <f aca="false">Sens!E7733*(1+Sens!F7734)</f>
        <v>8.79988041237113</v>
      </c>
      <c r="G7733" s="6" t="n">
        <f aca="false">Sens!F7733*(1+Sens!G7734)</f>
        <v>9.38321269125306</v>
      </c>
      <c r="H7733" s="6" t="n">
        <f aca="false">Sens!G7733*(1+Sens!H7734)</f>
        <v>10.0139193587476</v>
      </c>
      <c r="I7733" s="6" t="n">
        <f aca="false">Sens!H7733*(1+Sens!I7734)</f>
        <v>10.6963111830911</v>
      </c>
      <c r="J7733" s="6" t="n">
        <f aca="false">Sens!I7733*(1+Sens!J7734)</f>
        <v>11.4351285534696</v>
      </c>
      <c r="K7733" s="6" t="n">
        <f aca="false">Sens!J7733*(1+Sens!K7734)</f>
        <v>12.2355875522124</v>
      </c>
    </row>
    <row r="7734" customFormat="false" ht="15" hidden="false" customHeight="false" outlineLevel="0" collapsed="false">
      <c r="A7734" s="1" t="s">
        <v>866</v>
      </c>
      <c r="B7734" s="0" t="s">
        <v>129</v>
      </c>
      <c r="E7734" s="7" t="n">
        <f aca="false">Sens!E7733/Sens!D7733-1</f>
        <v>0.0644329896907216</v>
      </c>
      <c r="F7734" s="7" t="n">
        <f aca="false">Sens!$E$7734+(glt_fro-Sens!$E$7734)*MIN(1,(Sens!F7682-base_fy)/n_conv)</f>
        <v>0.065360824742268</v>
      </c>
      <c r="G7734" s="7" t="n">
        <f aca="false">Sens!$E$7734+(glt_fro-Sens!$E$7734)*MIN(1,(Sens!G7682-base_fy)/n_conv)</f>
        <v>0.0662886597938144</v>
      </c>
      <c r="H7734" s="7" t="n">
        <f aca="false">Sens!$E$7734+(glt_fro-Sens!$E$7734)*MIN(1,(Sens!H7682-base_fy)/n_conv)</f>
        <v>0.0672164948453608</v>
      </c>
      <c r="I7734" s="7" t="n">
        <f aca="false">Sens!$E$7734+(glt_fro-Sens!$E$7734)*MIN(1,(Sens!I7682-base_fy)/n_conv)</f>
        <v>0.0681443298969072</v>
      </c>
      <c r="J7734" s="7" t="n">
        <f aca="false">Sens!$E$7734+(glt_fro-Sens!$E$7734)*MIN(1,(Sens!J7682-base_fy)/n_conv)</f>
        <v>0.0690721649484536</v>
      </c>
      <c r="K7734" s="7" t="n">
        <f aca="false">Sens!$E$7734+(glt_fro-Sens!$E$7734)*MIN(1,(Sens!K7682-base_fy)/n_conv)</f>
        <v>0.07</v>
      </c>
    </row>
    <row r="7735" customFormat="false" ht="15" hidden="false" customHeight="false" outlineLevel="0" collapsed="false">
      <c r="A7735" s="0" t="s">
        <v>704</v>
      </c>
      <c r="B7735" s="0" t="s">
        <v>98</v>
      </c>
      <c r="D7735" s="6" t="n">
        <f aca="false">Sens!D7723+Sens!D7728+Sens!D7729+Sens!D7731+Sens!D7733</f>
        <v>218.783</v>
      </c>
      <c r="E7735" s="6" t="n">
        <f aca="false">Sens!E7723+Sens!E7728+Sens!E7729+Sens!E7731+Sens!E7733</f>
        <v>268.127</v>
      </c>
      <c r="F7735" s="6" t="n">
        <f aca="false">Sens!F7723+Sens!F7728+Sens!F7729+Sens!F7731+Sens!F7733</f>
        <v>333.894885783838</v>
      </c>
      <c r="G7735" s="6" t="n">
        <f aca="false">Sens!G7723+Sens!G7728+Sens!G7729+Sens!G7731+Sens!G7733</f>
        <v>406.73465141513</v>
      </c>
      <c r="H7735" s="6" t="n">
        <f aca="false">Sens!H7723+Sens!H7728+Sens!H7729+Sens!H7731+Sens!H7733</f>
        <v>480.057977402583</v>
      </c>
      <c r="I7735" s="6" t="n">
        <f aca="false">Sens!I7723+Sens!I7728+Sens!I7729+Sens!I7731+Sens!I7733</f>
        <v>545.92175684767</v>
      </c>
      <c r="J7735" s="6" t="n">
        <f aca="false">Sens!J7723+Sens!J7728+Sens!J7729+Sens!J7731+Sens!J7733</f>
        <v>597.458493219213</v>
      </c>
      <c r="K7735" s="6" t="n">
        <f aca="false">Sens!K7723+Sens!K7728+Sens!K7729+Sens!K7731+Sens!K7733</f>
        <v>636.065359322322</v>
      </c>
    </row>
    <row r="7736" customFormat="false" ht="15" hidden="false" customHeight="false" outlineLevel="0" collapsed="false">
      <c r="A7736" s="0" t="s">
        <v>877</v>
      </c>
      <c r="B7736" s="0" t="s">
        <v>98</v>
      </c>
      <c r="D7736" s="6" t="n">
        <f aca="false">Q!L13</f>
        <v>22.171</v>
      </c>
      <c r="E7736" s="6" t="n">
        <f aca="false">Q!M13</f>
        <v>24.835</v>
      </c>
      <c r="F7736" s="6" t="n">
        <f aca="false">Sens!E7736*(1+Sens!F7737)</f>
        <v>27.6114901218559</v>
      </c>
      <c r="G7736" s="6" t="n">
        <f aca="false">Sens!F7736*(1+Sens!G7737)</f>
        <v>30.4675667338515</v>
      </c>
      <c r="H7736" s="6" t="n">
        <f aca="false">Sens!G7736*(1+Sens!H7737)</f>
        <v>33.3643766955789</v>
      </c>
      <c r="I7736" s="6" t="n">
        <f aca="false">Sens!H7736*(1+Sens!I7737)</f>
        <v>36.2577016533691</v>
      </c>
      <c r="J7736" s="6" t="n">
        <f aca="false">Sens!I7736*(1+Sens!J7737)</f>
        <v>39.0988367952171</v>
      </c>
      <c r="K7736" s="6" t="n">
        <f aca="false">Sens!J7736*(1+Sens!K7737)</f>
        <v>41.8357553708823</v>
      </c>
    </row>
    <row r="7737" customFormat="false" ht="15" hidden="false" customHeight="false" outlineLevel="0" collapsed="false">
      <c r="A7737" s="1" t="s">
        <v>866</v>
      </c>
      <c r="B7737" s="0" t="s">
        <v>129</v>
      </c>
      <c r="E7737" s="7" t="n">
        <f aca="false">Sens!E7736/Sens!D7736-1</f>
        <v>0.120156961796942</v>
      </c>
      <c r="F7737" s="7" t="n">
        <f aca="false">Sens!$E$7737+(glt_srch-Sens!$E$7737)*MIN(1,(Sens!F7682-base_fy)/n_conv)</f>
        <v>0.111797468164118</v>
      </c>
      <c r="G7737" s="7" t="n">
        <f aca="false">Sens!$E$7737+(glt_srch-Sens!$E$7737)*MIN(1,(Sens!G7682-base_fy)/n_conv)</f>
        <v>0.103437974531295</v>
      </c>
      <c r="H7737" s="7" t="n">
        <f aca="false">Sens!$E$7737+(glt_srch-Sens!$E$7737)*MIN(1,(Sens!H7682-base_fy)/n_conv)</f>
        <v>0.095078480898471</v>
      </c>
      <c r="I7737" s="7" t="n">
        <f aca="false">Sens!$E$7737+(glt_srch-Sens!$E$7737)*MIN(1,(Sens!I7682-base_fy)/n_conv)</f>
        <v>0.0867189872656474</v>
      </c>
      <c r="J7737" s="7" t="n">
        <f aca="false">Sens!$E$7737+(glt_srch-Sens!$E$7737)*MIN(1,(Sens!J7682-base_fy)/n_conv)</f>
        <v>0.0783594936328237</v>
      </c>
      <c r="K7737" s="7" t="n">
        <f aca="false">Sens!$E$7737+(glt_srch-Sens!$E$7737)*MIN(1,(Sens!K7682-base_fy)/n_conv)</f>
        <v>0.07</v>
      </c>
    </row>
    <row r="7738" customFormat="false" ht="15" hidden="false" customHeight="false" outlineLevel="0" collapsed="false">
      <c r="A7738" s="0" t="s">
        <v>878</v>
      </c>
      <c r="B7738" s="0" t="s">
        <v>98</v>
      </c>
      <c r="D7738" s="6" t="n">
        <f aca="false">Q!L14</f>
        <v>23.455</v>
      </c>
      <c r="E7738" s="6" t="n">
        <f aca="false">Q!M14</f>
        <v>21.79</v>
      </c>
      <c r="F7738" s="6" t="n">
        <f aca="false">Sens!E7738*(1+Sens!F7739)</f>
        <v>20.5736277908051</v>
      </c>
      <c r="G7738" s="6" t="n">
        <f aca="false">Sens!F7738*(1+Sens!G7739)</f>
        <v>19.7371452817919</v>
      </c>
      <c r="H7738" s="6" t="n">
        <f aca="false">Sens!G7738*(1+Sens!H7739)</f>
        <v>19.2339764043138</v>
      </c>
      <c r="I7738" s="6" t="n">
        <f aca="false">Sens!H7738*(1+Sens!I7739)</f>
        <v>19.0353086852681</v>
      </c>
      <c r="J7738" s="6" t="n">
        <f aca="false">Sens!I7738*(1+Sens!J7739)</f>
        <v>19.1273539319129</v>
      </c>
      <c r="K7738" s="6" t="n">
        <f aca="false">Sens!J7738*(1+Sens!K7739)</f>
        <v>19.5099010105511</v>
      </c>
    </row>
    <row r="7739" customFormat="false" ht="15" hidden="false" customHeight="false" outlineLevel="0" collapsed="false">
      <c r="A7739" s="1" t="s">
        <v>866</v>
      </c>
      <c r="B7739" s="0" t="s">
        <v>129</v>
      </c>
      <c r="E7739" s="7" t="n">
        <f aca="false">Sens!E7738/Sens!D7738-1</f>
        <v>-0.0709869963760392</v>
      </c>
      <c r="F7739" s="7" t="n">
        <f aca="false">Sens!$E$7739+(glt_xbox-Sens!$E$7739)*MIN(1,(Sens!F7682-base_fy)/n_conv)</f>
        <v>-0.0558224969800327</v>
      </c>
      <c r="G7739" s="7" t="n">
        <f aca="false">Sens!$E$7739+(glt_xbox-Sens!$E$7739)*MIN(1,(Sens!G7682-base_fy)/n_conv)</f>
        <v>-0.0406579975840262</v>
      </c>
      <c r="H7739" s="7" t="n">
        <f aca="false">Sens!$E$7739+(glt_xbox-Sens!$E$7739)*MIN(1,(Sens!H7682-base_fy)/n_conv)</f>
        <v>-0.0254934981880196</v>
      </c>
      <c r="I7739" s="7" t="n">
        <f aca="false">Sens!$E$7739+(glt_xbox-Sens!$E$7739)*MIN(1,(Sens!I7682-base_fy)/n_conv)</f>
        <v>-0.0103289987920131</v>
      </c>
      <c r="J7739" s="7" t="n">
        <f aca="false">Sens!$E$7739+(glt_xbox-Sens!$E$7739)*MIN(1,(Sens!J7682-base_fy)/n_conv)</f>
        <v>0.00483550060399347</v>
      </c>
      <c r="K7739" s="7" t="n">
        <f aca="false">Sens!$E$7739+(glt_xbox-Sens!$E$7739)*MIN(1,(Sens!K7682-base_fy)/n_conv)</f>
        <v>0.02</v>
      </c>
    </row>
    <row r="7740" customFormat="false" ht="15" hidden="false" customHeight="false" outlineLevel="0" collapsed="false">
      <c r="A7740" s="0" t="s">
        <v>879</v>
      </c>
      <c r="B7740" s="0" t="s">
        <v>98</v>
      </c>
      <c r="D7740" s="6" t="n">
        <f aca="false">Q!L15</f>
        <v>17.315</v>
      </c>
      <c r="E7740" s="6" t="n">
        <f aca="false">Q!M15</f>
        <v>17.087</v>
      </c>
      <c r="F7740" s="6" t="n">
        <f aca="false">Sens!E7740*(1+Sens!F7741)</f>
        <v>16.9564585436519</v>
      </c>
      <c r="G7740" s="6" t="n">
        <f aca="false">Sens!F7740*(1+Sens!G7741)</f>
        <v>16.9206490624268</v>
      </c>
      <c r="H7740" s="6" t="n">
        <f aca="false">Sens!G7740*(1+Sens!H7741)</f>
        <v>16.9784519149849</v>
      </c>
      <c r="I7740" s="6" t="n">
        <f aca="false">Sens!H7740*(1+Sens!I7741)</f>
        <v>17.1303084701817</v>
      </c>
      <c r="J7740" s="6" t="n">
        <f aca="false">Sens!I7740*(1+Sens!J7741)</f>
        <v>17.3782189407267</v>
      </c>
      <c r="K7740" s="6" t="n">
        <f aca="false">Sens!J7740*(1+Sens!K7741)</f>
        <v>17.7257833195413</v>
      </c>
    </row>
    <row r="7741" customFormat="false" ht="15" hidden="false" customHeight="false" outlineLevel="0" collapsed="false">
      <c r="A7741" s="1" t="s">
        <v>866</v>
      </c>
      <c r="B7741" s="0" t="s">
        <v>129</v>
      </c>
      <c r="E7741" s="7" t="n">
        <f aca="false">Sens!E7740/Sens!D7740-1</f>
        <v>-0.0131677736066995</v>
      </c>
      <c r="F7741" s="7" t="n">
        <f aca="false">Sens!$E$7741+(glt_win-Sens!$E$7741)*MIN(1,(Sens!F7682-base_fy)/n_conv)</f>
        <v>-0.00763981133891627</v>
      </c>
      <c r="G7741" s="7" t="n">
        <f aca="false">Sens!$E$7741+(glt_win-Sens!$E$7741)*MIN(1,(Sens!G7682-base_fy)/n_conv)</f>
        <v>-0.00211184907113301</v>
      </c>
      <c r="H7741" s="7" t="n">
        <f aca="false">Sens!$E$7741+(glt_win-Sens!$E$7741)*MIN(1,(Sens!H7682-base_fy)/n_conv)</f>
        <v>0.00341611319665024</v>
      </c>
      <c r="I7741" s="7" t="n">
        <f aca="false">Sens!$E$7741+(glt_win-Sens!$E$7741)*MIN(1,(Sens!I7682-base_fy)/n_conv)</f>
        <v>0.00894407546443349</v>
      </c>
      <c r="J7741" s="7" t="n">
        <f aca="false">Sens!$E$7741+(glt_win-Sens!$E$7741)*MIN(1,(Sens!J7682-base_fy)/n_conv)</f>
        <v>0.0144720377322168</v>
      </c>
      <c r="K7741" s="7" t="n">
        <f aca="false">Sens!$E$7741+(glt_win-Sens!$E$7741)*MIN(1,(Sens!K7682-base_fy)/n_conv)</f>
        <v>0.02</v>
      </c>
    </row>
    <row r="7742" customFormat="false" ht="15" hidden="false" customHeight="false" outlineLevel="0" collapsed="false">
      <c r="A7742" s="0" t="s">
        <v>718</v>
      </c>
      <c r="B7742" s="0" t="s">
        <v>98</v>
      </c>
      <c r="D7742" s="6" t="n">
        <f aca="false">Sens!D7736+Sens!D7738+Sens!D7740</f>
        <v>62.941</v>
      </c>
      <c r="E7742" s="6" t="n">
        <f aca="false">Sens!E7736+Sens!E7738+Sens!E7740</f>
        <v>63.712</v>
      </c>
      <c r="F7742" s="6" t="n">
        <f aca="false">Sens!F7736+Sens!F7738+Sens!F7740</f>
        <v>65.1415764563129</v>
      </c>
      <c r="G7742" s="6" t="n">
        <f aca="false">Sens!G7736+Sens!G7738+Sens!G7740</f>
        <v>67.1253610780702</v>
      </c>
      <c r="H7742" s="6" t="n">
        <f aca="false">Sens!H7736+Sens!H7738+Sens!H7740</f>
        <v>69.5768050148776</v>
      </c>
      <c r="I7742" s="6" t="n">
        <f aca="false">Sens!I7736+Sens!I7738+Sens!I7740</f>
        <v>72.4233188088189</v>
      </c>
      <c r="J7742" s="6" t="n">
        <f aca="false">Sens!J7736+Sens!J7738+Sens!J7740</f>
        <v>75.6044096678567</v>
      </c>
      <c r="K7742" s="6" t="n">
        <f aca="false">Sens!K7736+Sens!K7738+Sens!K7740</f>
        <v>79.0714397009747</v>
      </c>
    </row>
    <row r="7743" customFormat="false" ht="15" hidden="false" customHeight="false" outlineLevel="0" collapsed="false">
      <c r="A7743" s="1" t="s">
        <v>880</v>
      </c>
      <c r="B7743" s="0" t="s">
        <v>98</v>
      </c>
      <c r="D7743" s="6" t="n">
        <f aca="false">Sens!D7735+Sens!D7742</f>
        <v>281.724</v>
      </c>
      <c r="E7743" s="6" t="n">
        <f aca="false">Sens!E7735+Sens!E7742</f>
        <v>331.839</v>
      </c>
      <c r="F7743" s="6" t="n">
        <f aca="false">Sens!F7735+Sens!F7742</f>
        <v>399.036462240151</v>
      </c>
      <c r="G7743" s="6" t="n">
        <f aca="false">Sens!G7735+Sens!G7742</f>
        <v>473.8600124932</v>
      </c>
      <c r="H7743" s="6" t="n">
        <f aca="false">Sens!H7735+Sens!H7742</f>
        <v>549.63478241746</v>
      </c>
      <c r="I7743" s="6" t="n">
        <f aca="false">Sens!I7735+Sens!I7742</f>
        <v>618.345075656489</v>
      </c>
      <c r="J7743" s="6" t="n">
        <f aca="false">Sens!J7735+Sens!J7742</f>
        <v>673.06290288707</v>
      </c>
      <c r="K7743" s="6" t="n">
        <f aca="false">Sens!K7735+Sens!K7742</f>
        <v>715.136799023297</v>
      </c>
    </row>
    <row r="7744" customFormat="false" ht="15" hidden="false" customHeight="false" outlineLevel="0" collapsed="false">
      <c r="A7744" s="23" t="s">
        <v>881</v>
      </c>
      <c r="B7744" s="30" t="s">
        <v>98</v>
      </c>
      <c r="C7744" s="30"/>
      <c r="D7744" s="24" t="n">
        <f aca="false">(Sens!D7723+Sens!D7728+Sens!D7729+Sens!D7731+Sens!D7733-Sens!D7735)+(Sens!D7736+Sens!D7738+Sens!D7740-Sens!D7742)+(Sens!D7735-Q!L5)+(Sens!D7742-Q!L12)+(Sens!D7723-Q!L6)+(Sens!D7728-Q!L7)</f>
        <v>0</v>
      </c>
      <c r="E7744" s="24" t="n">
        <f aca="false">(Sens!E7723+Sens!E7728+Sens!E7729+Sens!E7731+Sens!E7733-Sens!E7735)+(Sens!E7736+Sens!E7738+Sens!E7740-Sens!E7742)+(Sens!E7735-Q!M5)+(Sens!E7742-Q!M12)+(Sens!E7723-Q!M6)+(Sens!E7728-Q!M7)</f>
        <v>0</v>
      </c>
      <c r="F7744" s="24" t="n">
        <f aca="false">(Sens!F7723+Sens!F7728+Sens!F7729+Sens!F7731+Sens!F7733-Sens!F7735)+(Sens!F7736+Sens!F7738+Sens!F7740-Sens!F7742)</f>
        <v>0</v>
      </c>
      <c r="G7744" s="24" t="n">
        <f aca="false">(Sens!G7723+Sens!G7728+Sens!G7729+Sens!G7731+Sens!G7733-Sens!G7735)+(Sens!G7736+Sens!G7738+Sens!G7740-Sens!G7742)</f>
        <v>0</v>
      </c>
      <c r="H7744" s="24" t="n">
        <f aca="false">(Sens!H7723+Sens!H7728+Sens!H7729+Sens!H7731+Sens!H7733-Sens!H7735)+(Sens!H7736+Sens!H7738+Sens!H7740-Sens!H7742)</f>
        <v>0</v>
      </c>
      <c r="I7744" s="24" t="n">
        <f aca="false">(Sens!I7723+Sens!I7728+Sens!I7729+Sens!I7731+Sens!I7733-Sens!I7735)+(Sens!I7736+Sens!I7738+Sens!I7740-Sens!I7742)</f>
        <v>0</v>
      </c>
      <c r="J7744" s="24" t="n">
        <f aca="false">(Sens!J7723+Sens!J7728+Sens!J7729+Sens!J7731+Sens!J7733-Sens!J7735)+(Sens!J7736+Sens!J7738+Sens!J7740-Sens!J7742)</f>
        <v>0</v>
      </c>
      <c r="K7744" s="24" t="n">
        <f aca="false">(Sens!K7723+Sens!K7728+Sens!K7729+Sens!K7731+Sens!K7733-Sens!K7735)+(Sens!K7736+Sens!K7738+Sens!K7740-Sens!K7742)</f>
        <v>0</v>
      </c>
    </row>
    <row r="7745" customFormat="false" ht="17.15" hidden="false" customHeight="false" outlineLevel="0" collapsed="false">
      <c r="A7745" s="3" t="s">
        <v>1436</v>
      </c>
    </row>
    <row r="7746" customFormat="false" ht="15" hidden="false" customHeight="false" outlineLevel="0" collapsed="false">
      <c r="A7746" s="4" t="s">
        <v>43</v>
      </c>
      <c r="B7746" s="4" t="s">
        <v>65</v>
      </c>
      <c r="C7746" s="20" t="s">
        <v>788</v>
      </c>
      <c r="D7746" s="20" t="s">
        <v>789</v>
      </c>
      <c r="E7746" s="20" t="s">
        <v>790</v>
      </c>
      <c r="F7746" s="20" t="s">
        <v>791</v>
      </c>
      <c r="G7746" s="20" t="s">
        <v>792</v>
      </c>
      <c r="H7746" s="20" t="s">
        <v>793</v>
      </c>
      <c r="I7746" s="20" t="s">
        <v>794</v>
      </c>
      <c r="J7746" s="20" t="s">
        <v>795</v>
      </c>
      <c r="K7746" s="20" t="s">
        <v>796</v>
      </c>
      <c r="L7746" s="4" t="s">
        <v>47</v>
      </c>
    </row>
    <row r="7747" customFormat="false" ht="15" hidden="false" customHeight="false" outlineLevel="0" collapsed="false">
      <c r="A7747" s="0" t="s">
        <v>867</v>
      </c>
      <c r="B7747" s="0" t="s">
        <v>98</v>
      </c>
      <c r="D7747" s="6" t="n">
        <f aca="false">Sens!D7723</f>
        <v>72.61</v>
      </c>
      <c r="E7747" s="6" t="n">
        <f aca="false">Sens!E7723</f>
        <v>101.938</v>
      </c>
      <c r="F7747" s="6" t="n">
        <f aca="false">Sens!F7723</f>
        <v>144.773313844656</v>
      </c>
      <c r="G7747" s="6" t="n">
        <f aca="false">Sens!G7723</f>
        <v>195.141494877701</v>
      </c>
      <c r="H7747" s="6" t="n">
        <f aca="false">Sens!H7723</f>
        <v>245.969294721068</v>
      </c>
      <c r="I7747" s="6" t="n">
        <f aca="false">Sens!I7723</f>
        <v>291.110401868184</v>
      </c>
      <c r="J7747" s="6" t="n">
        <f aca="false">Sens!J7723</f>
        <v>324.017596115044</v>
      </c>
      <c r="K7747" s="6" t="n">
        <f aca="false">Sens!K7723</f>
        <v>344.921289982146</v>
      </c>
    </row>
    <row r="7748" customFormat="false" ht="17.15" hidden="false" customHeight="false" outlineLevel="0" collapsed="false">
      <c r="A7748" s="0" t="s">
        <v>864</v>
      </c>
      <c r="B7748" s="0" t="s">
        <v>98</v>
      </c>
      <c r="D7748" s="6" t="n">
        <f aca="false">Sens!D7720</f>
        <v>12.9359794422418</v>
      </c>
      <c r="E7748" s="6" t="n">
        <f aca="false">Sens!E7720</f>
        <v>27.8095064661409</v>
      </c>
      <c r="F7748" s="6" t="n">
        <f aca="false">Sens!F7720</f>
        <v>55.0640065749585</v>
      </c>
      <c r="G7748" s="6" t="n">
        <f aca="false">Sens!G7720</f>
        <v>89.4505413190538</v>
      </c>
      <c r="H7748" s="6" t="n">
        <f aca="false">Sens!H7720</f>
        <v>124.835630736874</v>
      </c>
      <c r="I7748" s="6" t="n">
        <f aca="false">Sens!I7720</f>
        <v>156.158460265485</v>
      </c>
      <c r="J7748" s="6" t="n">
        <f aca="false">Sens!J7720</f>
        <v>177.99455972577</v>
      </c>
      <c r="K7748" s="6" t="n">
        <f aca="false">Sens!K7720</f>
        <v>191.597101773408</v>
      </c>
    </row>
    <row r="7749" customFormat="false" ht="17.15" hidden="false" customHeight="false" outlineLevel="0" collapsed="false">
      <c r="A7749" s="0" t="s">
        <v>892</v>
      </c>
      <c r="B7749" s="0" t="s">
        <v>98</v>
      </c>
      <c r="D7749" s="6" t="n">
        <f aca="false">Sens!D7721</f>
        <v>59.6740205577583</v>
      </c>
      <c r="E7749" s="6" t="n">
        <f aca="false">Sens!E7721</f>
        <v>74.1284935338591</v>
      </c>
      <c r="F7749" s="6" t="n">
        <f aca="false">Sens!F7721</f>
        <v>89.709307269697</v>
      </c>
      <c r="G7749" s="6" t="n">
        <f aca="false">Sens!G7721</f>
        <v>105.690953558647</v>
      </c>
      <c r="H7749" s="6" t="n">
        <f aca="false">Sens!H7721</f>
        <v>121.133663984194</v>
      </c>
      <c r="I7749" s="6" t="n">
        <f aca="false">Sens!I7721</f>
        <v>134.951941602699</v>
      </c>
      <c r="J7749" s="6" t="n">
        <f aca="false">Sens!J7721</f>
        <v>146.023036389274</v>
      </c>
      <c r="K7749" s="6" t="n">
        <f aca="false">Sens!K7721</f>
        <v>153.324188208738</v>
      </c>
    </row>
    <row r="7750" customFormat="false" ht="15" hidden="false" customHeight="false" outlineLevel="0" collapsed="false">
      <c r="A7750" s="0" t="s">
        <v>873</v>
      </c>
      <c r="B7750" s="0" t="s">
        <v>98</v>
      </c>
      <c r="D7750" s="6" t="n">
        <f aca="false">Sens!D7728</f>
        <v>84.605</v>
      </c>
      <c r="E7750" s="6" t="n">
        <f aca="false">Sens!E7728</f>
        <v>100.299</v>
      </c>
      <c r="F7750" s="6" t="n">
        <f aca="false">Sens!F7728</f>
        <v>118.89238776686</v>
      </c>
      <c r="G7750" s="6" t="n">
        <f aca="false">Sens!G7728</f>
        <v>137.044168448684</v>
      </c>
      <c r="H7750" s="6" t="n">
        <f aca="false">Sens!H7728</f>
        <v>155.277359388781</v>
      </c>
      <c r="I7750" s="6" t="n">
        <f aca="false">Sens!I7728</f>
        <v>171.834028071957</v>
      </c>
      <c r="J7750" s="6" t="n">
        <f aca="false">Sens!J7728</f>
        <v>186.432702785465</v>
      </c>
      <c r="K7750" s="6" t="n">
        <f aca="false">Sens!K7728</f>
        <v>200.277991980448</v>
      </c>
    </row>
    <row r="7751" customFormat="false" ht="17.15" hidden="false" customHeight="false" outlineLevel="0" collapsed="false">
      <c r="A7751" s="0" t="s">
        <v>893</v>
      </c>
      <c r="B7751" s="0" t="s">
        <v>98</v>
      </c>
      <c r="D7751" s="6" t="n">
        <f aca="false">Sens!D7726</f>
        <v>83.705</v>
      </c>
      <c r="E7751" s="6" t="n">
        <f aca="false">Sens!E7726</f>
        <v>95.049</v>
      </c>
      <c r="F7751" s="6" t="n">
        <f aca="false">Sens!F7726</f>
        <v>106.89238776686</v>
      </c>
      <c r="G7751" s="6" t="n">
        <f aca="false">Sens!G7726</f>
        <v>119.044168448684</v>
      </c>
      <c r="H7751" s="6" t="n">
        <f aca="false">Sens!H7726</f>
        <v>131.277359388781</v>
      </c>
      <c r="I7751" s="6" t="n">
        <f aca="false">Sens!I7726</f>
        <v>143.334028071957</v>
      </c>
      <c r="J7751" s="6" t="n">
        <f aca="false">Sens!J7726</f>
        <v>154.932702785465</v>
      </c>
      <c r="K7751" s="6" t="n">
        <f aca="false">Sens!K7726</f>
        <v>165.777991980448</v>
      </c>
    </row>
    <row r="7752" customFormat="false" ht="17.15" hidden="false" customHeight="false" outlineLevel="0" collapsed="false">
      <c r="A7752" s="0" t="s">
        <v>894</v>
      </c>
      <c r="B7752" s="0" t="s">
        <v>98</v>
      </c>
      <c r="D7752" s="6" t="n">
        <f aca="false">Sens!D7725</f>
        <v>0.9</v>
      </c>
      <c r="E7752" s="6" t="n">
        <f aca="false">Sens!E7725</f>
        <v>5.25</v>
      </c>
      <c r="F7752" s="6" t="n">
        <f aca="false">Sens!F7725</f>
        <v>12</v>
      </c>
      <c r="G7752" s="6" t="n">
        <f aca="false">Sens!G7725</f>
        <v>18</v>
      </c>
      <c r="H7752" s="6" t="n">
        <f aca="false">Sens!H7725</f>
        <v>24</v>
      </c>
      <c r="I7752" s="6" t="n">
        <f aca="false">Sens!I7725</f>
        <v>28.5</v>
      </c>
      <c r="J7752" s="6" t="n">
        <f aca="false">Sens!J7725</f>
        <v>31.5</v>
      </c>
      <c r="K7752" s="6" t="n">
        <f aca="false">Sens!K7725</f>
        <v>34.5</v>
      </c>
    </row>
    <row r="7753" customFormat="false" ht="15" hidden="false" customHeight="false" outlineLevel="0" collapsed="false">
      <c r="A7753" s="0" t="s">
        <v>874</v>
      </c>
      <c r="B7753" s="0" t="s">
        <v>98</v>
      </c>
      <c r="D7753" s="6" t="n">
        <f aca="false">Sens!D7729</f>
        <v>35.391</v>
      </c>
      <c r="E7753" s="6" t="n">
        <f aca="false">Sens!E7729</f>
        <v>37.285</v>
      </c>
      <c r="F7753" s="6" t="n">
        <f aca="false">Sens!F7729</f>
        <v>39.0720834331704</v>
      </c>
      <c r="G7753" s="6" t="n">
        <f aca="false">Sens!G7729</f>
        <v>40.726562953769</v>
      </c>
      <c r="H7753" s="6" t="n">
        <f aca="false">Sens!H7729</f>
        <v>42.2235987259198</v>
      </c>
      <c r="I7753" s="6" t="n">
        <f aca="false">Sens!I7729</f>
        <v>43.5397988077414</v>
      </c>
      <c r="J7753" s="6" t="n">
        <f aca="false">Sens!J7729</f>
        <v>44.653811225693</v>
      </c>
      <c r="K7753" s="6" t="n">
        <f aca="false">Sens!K7729</f>
        <v>45.5468874502068</v>
      </c>
    </row>
    <row r="7754" customFormat="false" ht="15" hidden="false" customHeight="false" outlineLevel="0" collapsed="false">
      <c r="A7754" s="0" t="s">
        <v>875</v>
      </c>
      <c r="B7754" s="0" t="s">
        <v>98</v>
      </c>
      <c r="D7754" s="6" t="n">
        <f aca="false">Sens!D7731</f>
        <v>18.417</v>
      </c>
      <c r="E7754" s="6" t="n">
        <f aca="false">Sens!E7731</f>
        <v>20.345</v>
      </c>
      <c r="F7754" s="6" t="n">
        <f aca="false">Sens!F7731</f>
        <v>22.3572203267814</v>
      </c>
      <c r="G7754" s="6" t="n">
        <f aca="false">Sens!G7731</f>
        <v>24.4392124437232</v>
      </c>
      <c r="H7754" s="6" t="n">
        <f aca="false">Sens!H7731</f>
        <v>26.5738052080665</v>
      </c>
      <c r="I7754" s="6" t="n">
        <f aca="false">Sens!I7731</f>
        <v>28.7412169166967</v>
      </c>
      <c r="J7754" s="6" t="n">
        <f aca="false">Sens!J7731</f>
        <v>30.9192545395413</v>
      </c>
      <c r="K7754" s="6" t="n">
        <f aca="false">Sens!K7731</f>
        <v>33.0836023573092</v>
      </c>
    </row>
    <row r="7755" customFormat="false" ht="15" hidden="false" customHeight="false" outlineLevel="0" collapsed="false">
      <c r="A7755" s="0" t="s">
        <v>876</v>
      </c>
      <c r="B7755" s="0" t="s">
        <v>98</v>
      </c>
      <c r="D7755" s="6" t="n">
        <f aca="false">Sens!D7733</f>
        <v>7.76</v>
      </c>
      <c r="E7755" s="6" t="n">
        <f aca="false">Sens!E7733</f>
        <v>8.26</v>
      </c>
      <c r="F7755" s="6" t="n">
        <f aca="false">Sens!F7733</f>
        <v>8.79988041237113</v>
      </c>
      <c r="G7755" s="6" t="n">
        <f aca="false">Sens!G7733</f>
        <v>9.38321269125306</v>
      </c>
      <c r="H7755" s="6" t="n">
        <f aca="false">Sens!H7733</f>
        <v>10.0139193587476</v>
      </c>
      <c r="I7755" s="6" t="n">
        <f aca="false">Sens!I7733</f>
        <v>10.6963111830911</v>
      </c>
      <c r="J7755" s="6" t="n">
        <f aca="false">Sens!J7733</f>
        <v>11.4351285534696</v>
      </c>
      <c r="K7755" s="6" t="n">
        <f aca="false">Sens!K7733</f>
        <v>12.2355875522124</v>
      </c>
    </row>
    <row r="7756" customFormat="false" ht="15" hidden="false" customHeight="false" outlineLevel="0" collapsed="false">
      <c r="A7756" s="0" t="s">
        <v>704</v>
      </c>
      <c r="B7756" s="0" t="s">
        <v>98</v>
      </c>
      <c r="D7756" s="6" t="n">
        <f aca="false">Sens!D7735</f>
        <v>218.783</v>
      </c>
      <c r="E7756" s="6" t="n">
        <f aca="false">Sens!E7735</f>
        <v>268.127</v>
      </c>
      <c r="F7756" s="6" t="n">
        <f aca="false">Sens!F7735</f>
        <v>333.894885783838</v>
      </c>
      <c r="G7756" s="6" t="n">
        <f aca="false">Sens!G7735</f>
        <v>406.73465141513</v>
      </c>
      <c r="H7756" s="6" t="n">
        <f aca="false">Sens!H7735</f>
        <v>480.057977402583</v>
      </c>
      <c r="I7756" s="6" t="n">
        <f aca="false">Sens!I7735</f>
        <v>545.92175684767</v>
      </c>
      <c r="J7756" s="6" t="n">
        <f aca="false">Sens!J7735</f>
        <v>597.458493219213</v>
      </c>
      <c r="K7756" s="6" t="n">
        <f aca="false">Sens!K7735</f>
        <v>636.065359322322</v>
      </c>
    </row>
    <row r="7757" customFormat="false" ht="15" hidden="false" customHeight="false" outlineLevel="0" collapsed="false">
      <c r="A7757" s="0" t="s">
        <v>877</v>
      </c>
      <c r="B7757" s="0" t="s">
        <v>98</v>
      </c>
      <c r="D7757" s="6" t="n">
        <f aca="false">Sens!D7736</f>
        <v>22.171</v>
      </c>
      <c r="E7757" s="6" t="n">
        <f aca="false">Sens!E7736</f>
        <v>24.835</v>
      </c>
      <c r="F7757" s="6" t="n">
        <f aca="false">Sens!F7736</f>
        <v>27.6114901218559</v>
      </c>
      <c r="G7757" s="6" t="n">
        <f aca="false">Sens!G7736</f>
        <v>30.4675667338515</v>
      </c>
      <c r="H7757" s="6" t="n">
        <f aca="false">Sens!H7736</f>
        <v>33.3643766955789</v>
      </c>
      <c r="I7757" s="6" t="n">
        <f aca="false">Sens!I7736</f>
        <v>36.2577016533691</v>
      </c>
      <c r="J7757" s="6" t="n">
        <f aca="false">Sens!J7736</f>
        <v>39.0988367952171</v>
      </c>
      <c r="K7757" s="6" t="n">
        <f aca="false">Sens!K7736</f>
        <v>41.8357553708823</v>
      </c>
    </row>
    <row r="7758" customFormat="false" ht="15" hidden="false" customHeight="false" outlineLevel="0" collapsed="false">
      <c r="A7758" s="0" t="s">
        <v>878</v>
      </c>
      <c r="B7758" s="0" t="s">
        <v>98</v>
      </c>
      <c r="D7758" s="6" t="n">
        <f aca="false">Sens!D7738</f>
        <v>23.455</v>
      </c>
      <c r="E7758" s="6" t="n">
        <f aca="false">Sens!E7738</f>
        <v>21.79</v>
      </c>
      <c r="F7758" s="6" t="n">
        <f aca="false">Sens!F7738</f>
        <v>20.5736277908051</v>
      </c>
      <c r="G7758" s="6" t="n">
        <f aca="false">Sens!G7738</f>
        <v>19.7371452817919</v>
      </c>
      <c r="H7758" s="6" t="n">
        <f aca="false">Sens!H7738</f>
        <v>19.2339764043138</v>
      </c>
      <c r="I7758" s="6" t="n">
        <f aca="false">Sens!I7738</f>
        <v>19.0353086852681</v>
      </c>
      <c r="J7758" s="6" t="n">
        <f aca="false">Sens!J7738</f>
        <v>19.1273539319129</v>
      </c>
      <c r="K7758" s="6" t="n">
        <f aca="false">Sens!K7738</f>
        <v>19.5099010105511</v>
      </c>
    </row>
    <row r="7759" customFormat="false" ht="15" hidden="false" customHeight="false" outlineLevel="0" collapsed="false">
      <c r="A7759" s="0" t="s">
        <v>879</v>
      </c>
      <c r="B7759" s="0" t="s">
        <v>98</v>
      </c>
      <c r="D7759" s="6" t="n">
        <f aca="false">Sens!D7740</f>
        <v>17.315</v>
      </c>
      <c r="E7759" s="6" t="n">
        <f aca="false">Sens!E7740</f>
        <v>17.087</v>
      </c>
      <c r="F7759" s="6" t="n">
        <f aca="false">Sens!F7740</f>
        <v>16.9564585436519</v>
      </c>
      <c r="G7759" s="6" t="n">
        <f aca="false">Sens!G7740</f>
        <v>16.9206490624268</v>
      </c>
      <c r="H7759" s="6" t="n">
        <f aca="false">Sens!H7740</f>
        <v>16.9784519149849</v>
      </c>
      <c r="I7759" s="6" t="n">
        <f aca="false">Sens!I7740</f>
        <v>17.1303084701817</v>
      </c>
      <c r="J7759" s="6" t="n">
        <f aca="false">Sens!J7740</f>
        <v>17.3782189407267</v>
      </c>
      <c r="K7759" s="6" t="n">
        <f aca="false">Sens!K7740</f>
        <v>17.7257833195413</v>
      </c>
    </row>
    <row r="7760" customFormat="false" ht="15" hidden="false" customHeight="false" outlineLevel="0" collapsed="false">
      <c r="A7760" s="0" t="s">
        <v>718</v>
      </c>
      <c r="B7760" s="0" t="s">
        <v>98</v>
      </c>
      <c r="D7760" s="6" t="n">
        <f aca="false">Sens!D7742</f>
        <v>62.941</v>
      </c>
      <c r="E7760" s="6" t="n">
        <f aca="false">Sens!E7742</f>
        <v>63.712</v>
      </c>
      <c r="F7760" s="6" t="n">
        <f aca="false">Sens!F7742</f>
        <v>65.1415764563129</v>
      </c>
      <c r="G7760" s="6" t="n">
        <f aca="false">Sens!G7742</f>
        <v>67.1253610780702</v>
      </c>
      <c r="H7760" s="6" t="n">
        <f aca="false">Sens!H7742</f>
        <v>69.5768050148776</v>
      </c>
      <c r="I7760" s="6" t="n">
        <f aca="false">Sens!I7742</f>
        <v>72.4233188088189</v>
      </c>
      <c r="J7760" s="6" t="n">
        <f aca="false">Sens!J7742</f>
        <v>75.6044096678567</v>
      </c>
      <c r="K7760" s="6" t="n">
        <f aca="false">Sens!K7742</f>
        <v>79.0714397009747</v>
      </c>
    </row>
    <row r="7761" customFormat="false" ht="15" hidden="false" customHeight="false" outlineLevel="0" collapsed="false">
      <c r="A7761" s="1" t="s">
        <v>895</v>
      </c>
      <c r="B7761" s="0" t="s">
        <v>98</v>
      </c>
      <c r="D7761" s="6" t="n">
        <f aca="false">Sens!D7743</f>
        <v>281.724</v>
      </c>
      <c r="E7761" s="6" t="n">
        <f aca="false">Sens!E7743</f>
        <v>331.839</v>
      </c>
      <c r="F7761" s="6" t="n">
        <f aca="false">Sens!F7743</f>
        <v>399.036462240151</v>
      </c>
      <c r="G7761" s="6" t="n">
        <f aca="false">Sens!G7743</f>
        <v>473.8600124932</v>
      </c>
      <c r="H7761" s="6" t="n">
        <f aca="false">Sens!H7743</f>
        <v>549.63478241746</v>
      </c>
      <c r="I7761" s="6" t="n">
        <f aca="false">Sens!I7743</f>
        <v>618.345075656489</v>
      </c>
      <c r="J7761" s="6" t="n">
        <f aca="false">Sens!J7743</f>
        <v>673.06290288707</v>
      </c>
      <c r="K7761" s="6" t="n">
        <f aca="false">Sens!K7743</f>
        <v>715.136799023297</v>
      </c>
    </row>
    <row r="7762" customFormat="false" ht="15" hidden="false" customHeight="false" outlineLevel="0" collapsed="false">
      <c r="A7762" s="1" t="s">
        <v>896</v>
      </c>
      <c r="B7762" s="0" t="s">
        <v>129</v>
      </c>
      <c r="E7762" s="7" t="n">
        <f aca="false">Sens!E7761/Sens!D7761-1</f>
        <v>0.177886867998467</v>
      </c>
      <c r="F7762" s="7" t="n">
        <f aca="false">Sens!F7761/Sens!E7761-1</f>
        <v>0.202500195095065</v>
      </c>
      <c r="G7762" s="7" t="n">
        <f aca="false">Sens!G7761/Sens!F7761-1</f>
        <v>0.187510559393487</v>
      </c>
      <c r="H7762" s="7" t="n">
        <f aca="false">Sens!H7761/Sens!G7761-1</f>
        <v>0.159909610278305</v>
      </c>
      <c r="I7762" s="7" t="n">
        <f aca="false">Sens!I7761/Sens!H7761-1</f>
        <v>0.125010817068054</v>
      </c>
      <c r="J7762" s="7" t="n">
        <f aca="false">Sens!J7761/Sens!I7761-1</f>
        <v>0.0884907624961475</v>
      </c>
      <c r="K7762" s="7" t="n">
        <f aca="false">Sens!K7761/Sens!J7761-1</f>
        <v>0.0625110906510418</v>
      </c>
    </row>
    <row r="7763" customFormat="false" ht="17.15" hidden="false" customHeight="false" outlineLevel="0" collapsed="false">
      <c r="A7763" s="23" t="s">
        <v>897</v>
      </c>
      <c r="B7763" s="30" t="s">
        <v>98</v>
      </c>
      <c r="C7763" s="30"/>
      <c r="D7763" s="24" t="n">
        <f aca="false">(Sens!D7756+Sens!D7760-Sens!D7761)+(Sens!D7748+Sens!D7749-Sens!D7747)+(Sens!D7751+Sens!D7752-Sens!D7750)+(Sens!D7761-Q!L18)</f>
        <v>0</v>
      </c>
      <c r="E7763" s="24" t="n">
        <f aca="false">(Sens!E7756+Sens!E7760-Sens!E7761)+(Sens!E7748+Sens!E7749-Sens!E7747)+(Sens!E7751+Sens!E7752-Sens!E7750)+(Sens!E7761-Q!M18)</f>
        <v>0</v>
      </c>
      <c r="F7763" s="24" t="n">
        <f aca="false">(Sens!F7756+Sens!F7760-Sens!F7761)+(Sens!F7748+Sens!F7749-Sens!F7747)+(Sens!F7751+Sens!F7752-Sens!F7750)</f>
        <v>0</v>
      </c>
      <c r="G7763" s="24" t="n">
        <f aca="false">(Sens!G7756+Sens!G7760-Sens!G7761)+(Sens!G7748+Sens!G7749-Sens!G7747)+(Sens!G7751+Sens!G7752-Sens!G7750)</f>
        <v>0</v>
      </c>
      <c r="H7763" s="24" t="n">
        <f aca="false">(Sens!H7756+Sens!H7760-Sens!H7761)+(Sens!H7748+Sens!H7749-Sens!H7747)+(Sens!H7751+Sens!H7752-Sens!H7750)</f>
        <v>0</v>
      </c>
      <c r="I7763" s="24" t="n">
        <f aca="false">(Sens!I7756+Sens!I7760-Sens!I7761)+(Sens!I7748+Sens!I7749-Sens!I7747)+(Sens!I7751+Sens!I7752-Sens!I7750)</f>
        <v>0</v>
      </c>
      <c r="J7763" s="24" t="n">
        <f aca="false">(Sens!J7756+Sens!J7760-Sens!J7761)+(Sens!J7748+Sens!J7749-Sens!J7747)+(Sens!J7751+Sens!J7752-Sens!J7750)</f>
        <v>0</v>
      </c>
      <c r="K7763" s="24" t="n">
        <f aca="false">(Sens!K7756+Sens!K7760-Sens!K7761)+(Sens!K7748+Sens!K7749-Sens!K7747)+(Sens!K7751+Sens!K7752-Sens!K7750)</f>
        <v>0</v>
      </c>
    </row>
    <row r="7764" customFormat="false" ht="17.15" hidden="false" customHeight="false" outlineLevel="0" collapsed="false">
      <c r="A7764" s="0" t="s">
        <v>898</v>
      </c>
      <c r="B7764" s="0" t="s">
        <v>129</v>
      </c>
      <c r="E7764" s="7" t="n">
        <f aca="false">(Q!M21+Sens!E7701+Sens!E7702+Sens!E7703+Sens!E7716-Sens!E7699)/(Q!M5-Sens!E7699)</f>
        <v>0.570957350878296</v>
      </c>
      <c r="F7764" s="7" t="n">
        <f aca="false">Sens!$E$7764+dm_seg</f>
        <v>0.570957350878296</v>
      </c>
      <c r="G7764" s="7" t="n">
        <f aca="false">Sens!$E$7764+dm_seg</f>
        <v>0.570957350878296</v>
      </c>
      <c r="H7764" s="7" t="n">
        <f aca="false">Sens!$E$7764+dm_seg</f>
        <v>0.570957350878296</v>
      </c>
      <c r="I7764" s="7" t="n">
        <f aca="false">Sens!$E$7764+dm_seg</f>
        <v>0.570957350878296</v>
      </c>
      <c r="J7764" s="7" t="n">
        <f aca="false">Sens!$E$7764+dm_seg</f>
        <v>0.570957350878296</v>
      </c>
      <c r="K7764" s="7" t="n">
        <f aca="false">Sens!$E$7764+dm_seg</f>
        <v>0.570957350878296</v>
      </c>
      <c r="L7764" s="11" t="s">
        <v>899</v>
      </c>
    </row>
    <row r="7765" customFormat="false" ht="17.15" hidden="false" customHeight="false" outlineLevel="0" collapsed="false">
      <c r="A7765" s="0" t="s">
        <v>732</v>
      </c>
      <c r="B7765" s="0" t="s">
        <v>98</v>
      </c>
      <c r="D7765" s="6" t="n">
        <f aca="false">Q!L21</f>
        <v>110.814</v>
      </c>
      <c r="E7765" s="6" t="n">
        <f aca="false">Q!M21</f>
        <v>136.365</v>
      </c>
      <c r="F7765" s="6" t="n">
        <f aca="false">Sens!F7764*(Sens!F7735-Sens!F7699)+Sens!F7699-(Sens!F7701+Sens!F7702+Sens!F7703)-Sens!F7716</f>
        <v>157.380337504521</v>
      </c>
      <c r="G7765" s="6" t="n">
        <f aca="false">Sens!G7764*(Sens!G7735-Sens!G7699)+Sens!G7699-(Sens!G7701+Sens!G7702+Sens!G7703)-Sens!G7716</f>
        <v>176.404730350612</v>
      </c>
      <c r="H7765" s="6" t="n">
        <f aca="false">Sens!H7764*(Sens!H7735-Sens!H7699)+Sens!H7699-(Sens!H7701+Sens!H7702+Sens!H7703)-Sens!H7716</f>
        <v>195.018353764812</v>
      </c>
      <c r="I7765" s="6" t="n">
        <f aca="false">Sens!I7764*(Sens!I7735-Sens!I7699)+Sens!I7699-(Sens!I7701+Sens!I7702+Sens!I7703)-Sens!I7716</f>
        <v>212.118062741003</v>
      </c>
      <c r="J7765" s="6" t="n">
        <f aca="false">Sens!J7764*(Sens!J7735-Sens!J7699)+Sens!J7699-(Sens!J7701+Sens!J7702+Sens!J7703)-Sens!J7716</f>
        <v>227.179021633051</v>
      </c>
      <c r="K7765" s="6" t="n">
        <f aca="false">Sens!K7764*(Sens!K7735-Sens!K7699)+Sens!K7699-(Sens!K7701+Sens!K7702+Sens!K7703)-Sens!K7716</f>
        <v>241.086305507949</v>
      </c>
      <c r="L7765" s="1" t="s">
        <v>900</v>
      </c>
    </row>
    <row r="7766" customFormat="false" ht="17.15" hidden="false" customHeight="false" outlineLevel="0" collapsed="false">
      <c r="A7766" s="0" t="s">
        <v>901</v>
      </c>
      <c r="B7766" s="0" t="s">
        <v>129</v>
      </c>
      <c r="E7766" s="7" t="n">
        <f aca="false">Q!M22/Q!M12</f>
        <v>0.296207935710698</v>
      </c>
      <c r="F7766" s="7" t="n">
        <f aca="false">Sens!$E$7766+dm_seg</f>
        <v>0.296207935710698</v>
      </c>
      <c r="G7766" s="7" t="n">
        <f aca="false">Sens!$E$7766+dm_seg</f>
        <v>0.296207935710698</v>
      </c>
      <c r="H7766" s="7" t="n">
        <f aca="false">Sens!$E$7766+dm_seg</f>
        <v>0.296207935710698</v>
      </c>
      <c r="I7766" s="7" t="n">
        <f aca="false">Sens!$E$7766+dm_seg</f>
        <v>0.296207935710698</v>
      </c>
      <c r="J7766" s="7" t="n">
        <f aca="false">Sens!$E$7766+dm_seg</f>
        <v>0.296207935710698</v>
      </c>
      <c r="K7766" s="7" t="n">
        <f aca="false">Sens!$E$7766+dm_seg</f>
        <v>0.296207935710698</v>
      </c>
      <c r="L7766" s="11" t="s">
        <v>902</v>
      </c>
    </row>
    <row r="7767" customFormat="false" ht="17.15" hidden="false" customHeight="false" outlineLevel="0" collapsed="false">
      <c r="A7767" s="0" t="s">
        <v>734</v>
      </c>
      <c r="B7767" s="0" t="s">
        <v>98</v>
      </c>
      <c r="D7767" s="6" t="n">
        <f aca="false">Q!L22</f>
        <v>17.714</v>
      </c>
      <c r="E7767" s="6" t="n">
        <f aca="false">Q!M22</f>
        <v>18.872</v>
      </c>
      <c r="F7767" s="6" t="n">
        <f aca="false">Sens!F7742*Sens!F7766</f>
        <v>19.2954518910651</v>
      </c>
      <c r="G7767" s="6" t="n">
        <f aca="false">Sens!G7742*Sens!G7766</f>
        <v>19.8830646387704</v>
      </c>
      <c r="H7767" s="6" t="n">
        <f aca="false">Sens!H7742*Sens!H7766</f>
        <v>20.6092017868026</v>
      </c>
      <c r="I7767" s="6" t="n">
        <f aca="false">Sens!I7742*Sens!I7766</f>
        <v>21.452361761678</v>
      </c>
      <c r="J7767" s="6" t="n">
        <f aca="false">Sens!J7742*Sens!J7766</f>
        <v>22.3946261183418</v>
      </c>
      <c r="K7767" s="6" t="n">
        <f aca="false">Sens!K7742*Sens!K7766</f>
        <v>23.4215879274986</v>
      </c>
    </row>
    <row r="7768" customFormat="false" ht="15" hidden="false" customHeight="false" outlineLevel="0" collapsed="false">
      <c r="A7768" s="1" t="s">
        <v>903</v>
      </c>
      <c r="B7768" s="0" t="s">
        <v>98</v>
      </c>
      <c r="D7768" s="6" t="n">
        <f aca="false">Sens!D7765+Sens!D7767</f>
        <v>128.528</v>
      </c>
      <c r="E7768" s="6" t="n">
        <f aca="false">Sens!E7765+Sens!E7767</f>
        <v>155.237</v>
      </c>
      <c r="F7768" s="6" t="n">
        <f aca="false">Sens!F7765+Sens!F7767</f>
        <v>176.675789395586</v>
      </c>
      <c r="G7768" s="6" t="n">
        <f aca="false">Sens!G7765+Sens!G7767</f>
        <v>196.287794989383</v>
      </c>
      <c r="H7768" s="6" t="n">
        <f aca="false">Sens!H7765+Sens!H7767</f>
        <v>215.627555551615</v>
      </c>
      <c r="I7768" s="6" t="n">
        <f aca="false">Sens!I7765+Sens!I7767</f>
        <v>233.570424502681</v>
      </c>
      <c r="J7768" s="6" t="n">
        <f aca="false">Sens!J7765+Sens!J7767</f>
        <v>249.573647751393</v>
      </c>
      <c r="K7768" s="6" t="n">
        <f aca="false">Sens!K7765+Sens!K7767</f>
        <v>264.507893435448</v>
      </c>
    </row>
    <row r="7769" customFormat="false" ht="15" hidden="false" customHeight="false" outlineLevel="0" collapsed="false">
      <c r="A7769" s="23" t="s">
        <v>904</v>
      </c>
      <c r="B7769" s="30" t="s">
        <v>98</v>
      </c>
      <c r="C7769" s="30"/>
      <c r="D7769" s="24" t="n">
        <f aca="false">Sens!D7768-Q!L23</f>
        <v>0</v>
      </c>
      <c r="E7769" s="24" t="n">
        <f aca="false">Sens!E7768-Q!M23</f>
        <v>0</v>
      </c>
      <c r="F7769" s="30"/>
      <c r="G7769" s="30"/>
      <c r="H7769" s="30"/>
      <c r="I7769" s="30"/>
      <c r="J7769" s="30"/>
      <c r="K7769" s="30"/>
    </row>
    <row r="7770" customFormat="false" ht="15" hidden="false" customHeight="false" outlineLevel="0" collapsed="false">
      <c r="A7770" s="1" t="s">
        <v>905</v>
      </c>
      <c r="B7770" s="0" t="s">
        <v>129</v>
      </c>
      <c r="D7770" s="7" t="n">
        <f aca="false">Sens!D7768/Sens!D7761</f>
        <v>0.456219562408598</v>
      </c>
      <c r="E7770" s="7" t="n">
        <f aca="false">Sens!E7768/Sens!E7761</f>
        <v>0.467808184089272</v>
      </c>
      <c r="F7770" s="7" t="n">
        <f aca="false">Sens!F7768/Sens!F7761</f>
        <v>0.442756003809141</v>
      </c>
      <c r="G7770" s="7" t="n">
        <f aca="false">Sens!G7768/Sens!G7761</f>
        <v>0.414231608100081</v>
      </c>
      <c r="H7770" s="7" t="n">
        <f aca="false">Sens!H7768/Sens!H7761</f>
        <v>0.392310607787992</v>
      </c>
      <c r="I7770" s="7" t="n">
        <f aca="false">Sens!I7768/Sens!I7761</f>
        <v>0.377734753130689</v>
      </c>
      <c r="J7770" s="7" t="n">
        <f aca="false">Sens!J7768/Sens!J7761</f>
        <v>0.370802857624242</v>
      </c>
      <c r="K7770" s="7" t="n">
        <f aca="false">Sens!K7768/Sens!K7761</f>
        <v>0.369870343403809</v>
      </c>
    </row>
    <row r="7771" customFormat="false" ht="17.15" hidden="false" customHeight="false" outlineLevel="0" collapsed="false">
      <c r="A7771" s="1" t="s">
        <v>906</v>
      </c>
      <c r="B7771" s="0" t="s">
        <v>98</v>
      </c>
      <c r="F7771" s="6" t="n">
        <f aca="false">Sens!F7786</f>
        <v>19.9358184660572</v>
      </c>
      <c r="G7771" s="6" t="n">
        <f aca="false">Sens!G7786</f>
        <v>35.1359494439124</v>
      </c>
      <c r="H7771" s="6" t="n">
        <f aca="false">Sens!H7786</f>
        <v>51.688536514718</v>
      </c>
      <c r="I7771" s="6" t="n">
        <f aca="false">Sens!I7786</f>
        <v>66.8193432436896</v>
      </c>
      <c r="J7771" s="6" t="n">
        <f aca="false">Sens!J7786</f>
        <v>77.4328840229578</v>
      </c>
      <c r="K7771" s="6" t="n">
        <f aca="false">Sens!K7786</f>
        <v>83.3249638901295</v>
      </c>
      <c r="L7771" s="1" t="s">
        <v>907</v>
      </c>
    </row>
    <row r="7772" customFormat="false" ht="17.15" hidden="false" customHeight="false" outlineLevel="0" collapsed="false">
      <c r="A7772" s="1" t="s">
        <v>908</v>
      </c>
      <c r="B7772" s="0" t="s">
        <v>98</v>
      </c>
      <c r="D7772" s="6" t="n">
        <f aca="false">Sens!D7768</f>
        <v>128.528</v>
      </c>
      <c r="E7772" s="6" t="n">
        <f aca="false">Sens!E7768</f>
        <v>155.237</v>
      </c>
      <c r="F7772" s="6" t="n">
        <f aca="false">Sens!F7768+Sens!F7771</f>
        <v>196.611607861644</v>
      </c>
      <c r="G7772" s="6" t="n">
        <f aca="false">Sens!G7768+Sens!G7771</f>
        <v>231.423744433295</v>
      </c>
      <c r="H7772" s="6" t="n">
        <f aca="false">Sens!H7768+Sens!H7771</f>
        <v>267.316092066333</v>
      </c>
      <c r="I7772" s="6" t="n">
        <f aca="false">Sens!I7768+Sens!I7771</f>
        <v>300.389767746371</v>
      </c>
      <c r="J7772" s="6" t="n">
        <f aca="false">Sens!J7768+Sens!J7771</f>
        <v>327.006531774351</v>
      </c>
      <c r="K7772" s="6" t="n">
        <f aca="false">Sens!K7768+Sens!K7771</f>
        <v>347.832857325577</v>
      </c>
    </row>
    <row r="7773" customFormat="false" ht="17.15" hidden="false" customHeight="false" outlineLevel="0" collapsed="false">
      <c r="A7773" s="1" t="s">
        <v>909</v>
      </c>
      <c r="B7773" s="0" t="s">
        <v>98</v>
      </c>
      <c r="E7773" s="6" t="n">
        <f aca="false">Sens!E7716</f>
        <v>16.3054059770833</v>
      </c>
      <c r="F7773" s="6" t="n">
        <f aca="false">Sens!F7716</f>
        <v>34.746712830331</v>
      </c>
      <c r="G7773" s="6" t="n">
        <f aca="false">Sens!G7716</f>
        <v>60.5190880092619</v>
      </c>
      <c r="H7773" s="6" t="n">
        <f aca="false">Sens!H7716</f>
        <v>87.7546707420619</v>
      </c>
      <c r="I7773" s="6" t="n">
        <f aca="false">Sens!I7716</f>
        <v>111.999394731143</v>
      </c>
      <c r="J7773" s="6" t="n">
        <f aca="false">Sens!J7716</f>
        <v>129.196065671588</v>
      </c>
      <c r="K7773" s="6" t="n">
        <f aca="false">Sens!K7716</f>
        <v>139.660001553396</v>
      </c>
    </row>
    <row r="7774" customFormat="false" ht="17.15" hidden="false" customHeight="false" outlineLevel="0" collapsed="false">
      <c r="A7774" s="1" t="s">
        <v>910</v>
      </c>
      <c r="B7774" s="0" t="s">
        <v>98</v>
      </c>
      <c r="E7774" s="6" t="n">
        <f aca="false">Sens!E7798</f>
        <v>22.2285940229167</v>
      </c>
      <c r="F7774" s="6" t="n">
        <f aca="false">Sens!F7798</f>
        <v>23.5562564942279</v>
      </c>
      <c r="G7774" s="6" t="n">
        <f aca="false">Sens!G7798</f>
        <v>25.2891707689507</v>
      </c>
      <c r="H7774" s="6" t="n">
        <f aca="false">Sens!H7798</f>
        <v>27.3786386844358</v>
      </c>
      <c r="I7774" s="6" t="n">
        <f aca="false">Sens!I7798</f>
        <v>29.7409796315735</v>
      </c>
      <c r="J7774" s="6" t="n">
        <f aca="false">Sens!J7798</f>
        <v>32.2750563749524</v>
      </c>
      <c r="K7774" s="6" t="n">
        <f aca="false">Sens!K7798</f>
        <v>34.8808972418417</v>
      </c>
    </row>
    <row r="7775" customFormat="false" ht="17.15" hidden="false" customHeight="false" outlineLevel="0" collapsed="false">
      <c r="A7775" s="1" t="s">
        <v>911</v>
      </c>
      <c r="B7775" s="0" t="s">
        <v>98</v>
      </c>
      <c r="D7775" s="6" t="n">
        <f aca="false">Q!L27</f>
        <v>-4.901</v>
      </c>
      <c r="E7775" s="6" t="n">
        <f aca="false">Q!M27</f>
        <v>10.697</v>
      </c>
      <c r="F7775" s="6" t="n">
        <f aca="false">oie_f</f>
        <v>-0.4</v>
      </c>
      <c r="G7775" s="6" t="n">
        <f aca="false">oie_f</f>
        <v>-0.4</v>
      </c>
      <c r="H7775" s="6" t="n">
        <f aca="false">oie_f</f>
        <v>-0.4</v>
      </c>
      <c r="I7775" s="6" t="n">
        <f aca="false">oie_f</f>
        <v>-0.4</v>
      </c>
      <c r="J7775" s="6" t="n">
        <f aca="false">oie_f</f>
        <v>-0.4</v>
      </c>
      <c r="K7775" s="6" t="n">
        <f aca="false">oie_f</f>
        <v>-0.4</v>
      </c>
      <c r="L7775" s="11" t="s">
        <v>912</v>
      </c>
    </row>
    <row r="7776" customFormat="false" ht="15" hidden="false" customHeight="false" outlineLevel="0" collapsed="false">
      <c r="A7776" s="1" t="s">
        <v>913</v>
      </c>
      <c r="B7776" s="0" t="s">
        <v>98</v>
      </c>
      <c r="D7776" s="6" t="n">
        <f aca="false">Sens!D7768+Sens!D7775</f>
        <v>123.627</v>
      </c>
      <c r="E7776" s="6" t="n">
        <f aca="false">Sens!E7768+Sens!E7775</f>
        <v>165.934</v>
      </c>
      <c r="F7776" s="6" t="n">
        <f aca="false">Sens!F7768+Sens!F7775</f>
        <v>176.275789395586</v>
      </c>
      <c r="G7776" s="6" t="n">
        <f aca="false">Sens!G7768+Sens!G7775</f>
        <v>195.887794989383</v>
      </c>
      <c r="H7776" s="6" t="n">
        <f aca="false">Sens!H7768+Sens!H7775</f>
        <v>215.227555551615</v>
      </c>
      <c r="I7776" s="6" t="n">
        <f aca="false">Sens!I7768+Sens!I7775</f>
        <v>233.170424502681</v>
      </c>
      <c r="J7776" s="6" t="n">
        <f aca="false">Sens!J7768+Sens!J7775</f>
        <v>249.173647751393</v>
      </c>
      <c r="K7776" s="6" t="n">
        <f aca="false">Sens!K7768+Sens!K7775</f>
        <v>264.107893435448</v>
      </c>
    </row>
    <row r="7777" customFormat="false" ht="15" hidden="false" customHeight="false" outlineLevel="0" collapsed="false">
      <c r="A7777" s="1" t="s">
        <v>914</v>
      </c>
      <c r="B7777" s="0" t="s">
        <v>98</v>
      </c>
      <c r="D7777" s="6" t="n">
        <f aca="false">Q!L29</f>
        <v>21.795</v>
      </c>
      <c r="E7777" s="6" t="n">
        <f aca="false">Q!M29</f>
        <v>32.185</v>
      </c>
      <c r="F7777" s="6" t="n">
        <f aca="false">Sens!F7776*tax_f</f>
        <v>35.2551578791173</v>
      </c>
      <c r="G7777" s="6" t="n">
        <f aca="false">Sens!G7776*tax_f</f>
        <v>39.1775589978765</v>
      </c>
      <c r="H7777" s="6" t="n">
        <f aca="false">Sens!H7776*tax_f</f>
        <v>43.0455111103229</v>
      </c>
      <c r="I7777" s="6" t="n">
        <f aca="false">Sens!I7776*tax_f</f>
        <v>46.6340849005362</v>
      </c>
      <c r="J7777" s="6" t="n">
        <f aca="false">Sens!J7776*tax_f</f>
        <v>49.8347295502786</v>
      </c>
      <c r="K7777" s="6" t="n">
        <f aca="false">Sens!K7776*tax_f</f>
        <v>52.8215786870896</v>
      </c>
    </row>
    <row r="7778" customFormat="false" ht="15" hidden="false" customHeight="false" outlineLevel="0" collapsed="false">
      <c r="A7778" s="1" t="s">
        <v>915</v>
      </c>
      <c r="B7778" s="0" t="s">
        <v>98</v>
      </c>
      <c r="D7778" s="6" t="n">
        <f aca="false">Sens!D7776-Sens!D7777</f>
        <v>101.832</v>
      </c>
      <c r="E7778" s="6" t="n">
        <f aca="false">Sens!E7776-Sens!E7777</f>
        <v>133.749</v>
      </c>
      <c r="F7778" s="6" t="n">
        <f aca="false">Sens!F7776-Sens!F7777</f>
        <v>141.020631516469</v>
      </c>
      <c r="G7778" s="6" t="n">
        <f aca="false">Sens!G7776-Sens!G7777</f>
        <v>156.710235991506</v>
      </c>
      <c r="H7778" s="6" t="n">
        <f aca="false">Sens!H7776-Sens!H7777</f>
        <v>172.182044441292</v>
      </c>
      <c r="I7778" s="6" t="n">
        <f aca="false">Sens!I7776-Sens!I7777</f>
        <v>186.536339602145</v>
      </c>
      <c r="J7778" s="6" t="n">
        <f aca="false">Sens!J7776-Sens!J7777</f>
        <v>199.338918201114</v>
      </c>
      <c r="K7778" s="6" t="n">
        <f aca="false">Sens!K7776-Sens!K7777</f>
        <v>211.286314748358</v>
      </c>
    </row>
    <row r="7779" customFormat="false" ht="17.15" hidden="false" customHeight="false" outlineLevel="0" collapsed="false">
      <c r="A7779" s="1" t="s">
        <v>916</v>
      </c>
      <c r="B7779" s="1" t="s">
        <v>81</v>
      </c>
      <c r="D7779" s="14" t="n">
        <f aca="false">Q!L31</f>
        <v>7.465</v>
      </c>
      <c r="E7779" s="14" t="n">
        <f aca="false">Q!M31</f>
        <v>7.453</v>
      </c>
      <c r="F7779" s="14" t="n">
        <f aca="false">Sens!F7820</f>
        <v>7.4735</v>
      </c>
      <c r="G7779" s="14" t="n">
        <f aca="false">Sens!G7820</f>
        <v>7.51831465424824</v>
      </c>
      <c r="H7779" s="14" t="n">
        <f aca="false">Sens!H7820</f>
        <v>7.54588089434643</v>
      </c>
      <c r="I7779" s="14" t="n">
        <f aca="false">Sens!I7820</f>
        <v>7.55766172635374</v>
      </c>
      <c r="J7779" s="14" t="n">
        <f aca="false">Sens!J7820</f>
        <v>7.57190323747162</v>
      </c>
      <c r="K7779" s="14" t="n">
        <f aca="false">Sens!K7820</f>
        <v>7.58842315517337</v>
      </c>
    </row>
    <row r="7780" customFormat="false" ht="17.15" hidden="false" customHeight="false" outlineLevel="0" collapsed="false">
      <c r="A7780" s="0" t="s">
        <v>917</v>
      </c>
      <c r="B7780" s="0" t="s">
        <v>75</v>
      </c>
      <c r="D7780" s="8" t="n">
        <f aca="false">Sens!D7778/Sens!D7779</f>
        <v>13.641259209645</v>
      </c>
      <c r="E7780" s="8" t="n">
        <f aca="false">Sens!E7778/Sens!E7779</f>
        <v>17.9456594659869</v>
      </c>
      <c r="F7780" s="8" t="n">
        <f aca="false">Sens!F7778/Sens!F7779</f>
        <v>18.8694228295269</v>
      </c>
      <c r="G7780" s="8" t="n">
        <f aca="false">Sens!G7778/Sens!G7779</f>
        <v>20.8437985370773</v>
      </c>
      <c r="H7780" s="8" t="n">
        <f aca="false">Sens!H7778/Sens!H7779</f>
        <v>22.8180177837547</v>
      </c>
      <c r="I7780" s="8" t="n">
        <f aca="false">Sens!I7778/Sens!I7779</f>
        <v>24.6817529490224</v>
      </c>
      <c r="J7780" s="8" t="n">
        <f aca="false">Sens!J7778/Sens!J7779</f>
        <v>26.3261312181898</v>
      </c>
      <c r="K7780" s="8" t="n">
        <f aca="false">Sens!K7778/Sens!K7779</f>
        <v>27.8432436394002</v>
      </c>
      <c r="L7780" s="1" t="s">
        <v>918</v>
      </c>
    </row>
    <row r="7781" customFormat="false" ht="17.15" hidden="false" customHeight="false" outlineLevel="0" collapsed="false">
      <c r="A7781" s="1" t="s">
        <v>919</v>
      </c>
      <c r="B7781" s="0" t="s">
        <v>98</v>
      </c>
      <c r="D7781" s="6" t="n">
        <f aca="false">Sens!D7778</f>
        <v>101.832</v>
      </c>
      <c r="E7781" s="6" t="n">
        <f aca="false">Sens!E7778</f>
        <v>133.749</v>
      </c>
      <c r="F7781" s="6" t="n">
        <f aca="false">Sens!F7778+Sens!F7771*(1-tax_f)</f>
        <v>156.969286289315</v>
      </c>
      <c r="G7781" s="6" t="n">
        <f aca="false">Sens!G7778+Sens!G7771*(1-tax_f)</f>
        <v>184.818995546636</v>
      </c>
      <c r="H7781" s="6" t="n">
        <f aca="false">Sens!H7778+Sens!H7771*(1-tax_f)</f>
        <v>213.532873653066</v>
      </c>
      <c r="I7781" s="6" t="n">
        <f aca="false">Sens!I7778+Sens!I7771*(1-tax_f)</f>
        <v>239.991814197097</v>
      </c>
      <c r="J7781" s="6" t="n">
        <f aca="false">Sens!J7778+Sens!J7771*(1-tax_f)</f>
        <v>261.285225419481</v>
      </c>
      <c r="K7781" s="6" t="n">
        <f aca="false">Sens!K7778+Sens!K7771*(1-tax_f)</f>
        <v>277.946285860462</v>
      </c>
    </row>
    <row r="7782" customFormat="false" ht="17.15" hidden="false" customHeight="false" outlineLevel="0" collapsed="false">
      <c r="A7782" s="0" t="s">
        <v>920</v>
      </c>
      <c r="B7782" s="0" t="s">
        <v>75</v>
      </c>
      <c r="D7782" s="8" t="n">
        <f aca="false">Sens!D7781/Sens!D7779</f>
        <v>13.641259209645</v>
      </c>
      <c r="E7782" s="8" t="n">
        <f aca="false">Sens!E7781/Sens!E7779</f>
        <v>17.9456594659869</v>
      </c>
      <c r="F7782" s="8" t="n">
        <f aca="false">Sens!F7781/Sens!F7779</f>
        <v>21.0034503631919</v>
      </c>
      <c r="G7782" s="8" t="n">
        <f aca="false">Sens!G7781/Sens!G7779</f>
        <v>24.5825033995091</v>
      </c>
      <c r="H7782" s="8" t="n">
        <f aca="false">Sens!H7781/Sens!H7779</f>
        <v>28.2979385233937</v>
      </c>
      <c r="I7782" s="8" t="n">
        <f aca="false">Sens!I7781/Sens!I7779</f>
        <v>31.7547705741102</v>
      </c>
      <c r="J7782" s="8" t="n">
        <f aca="false">Sens!J7781/Sens!J7779</f>
        <v>34.5072060781812</v>
      </c>
      <c r="K7782" s="8" t="n">
        <f aca="false">Sens!K7781/Sens!K7779</f>
        <v>36.6276735201533</v>
      </c>
      <c r="L7782" s="1" t="s">
        <v>921</v>
      </c>
    </row>
    <row r="7783" customFormat="false" ht="17.15" hidden="false" customHeight="false" outlineLevel="0" collapsed="false">
      <c r="A7783" s="0" t="s">
        <v>922</v>
      </c>
      <c r="B7783" s="0" t="s">
        <v>129</v>
      </c>
      <c r="E7783" s="7" t="n">
        <f aca="false">Sens!E7782/Sens!D7782-1</f>
        <v>0.315542736208578</v>
      </c>
      <c r="F7783" s="7" t="n">
        <f aca="false">Sens!F7782/Sens!E7782-1</f>
        <v>0.17039167064329</v>
      </c>
      <c r="G7783" s="7" t="n">
        <f aca="false">Sens!G7782/Sens!F7782-1</f>
        <v>0.170403099225513</v>
      </c>
      <c r="H7783" s="7" t="n">
        <f aca="false">Sens!H7782/Sens!G7782-1</f>
        <v>0.151141446560679</v>
      </c>
      <c r="I7783" s="7" t="n">
        <f aca="false">Sens!I7782/Sens!H7782-1</f>
        <v>0.12215844090052</v>
      </c>
      <c r="J7783" s="7" t="n">
        <f aca="false">Sens!J7782/Sens!I7782-1</f>
        <v>0.086677858296828</v>
      </c>
      <c r="K7783" s="7" t="n">
        <f aca="false">Sens!K7782/Sens!J7782-1</f>
        <v>0.0614499892332021</v>
      </c>
    </row>
    <row r="7784" customFormat="false" ht="17.15" hidden="false" customHeight="false" outlineLevel="0" collapsed="false">
      <c r="A7784" s="0" t="s">
        <v>846</v>
      </c>
      <c r="B7784" s="0" t="s">
        <v>98</v>
      </c>
      <c r="E7784" s="6" t="n">
        <f aca="false">Sens!E7725</f>
        <v>5.25</v>
      </c>
      <c r="F7784" s="6" t="n">
        <f aca="false">Sens!F7725</f>
        <v>12</v>
      </c>
      <c r="G7784" s="6" t="n">
        <f aca="false">Sens!G7725</f>
        <v>18</v>
      </c>
      <c r="H7784" s="6" t="n">
        <f aca="false">Sens!H7725</f>
        <v>24</v>
      </c>
      <c r="I7784" s="6" t="n">
        <f aca="false">Sens!I7725</f>
        <v>28.5</v>
      </c>
      <c r="J7784" s="6" t="n">
        <f aca="false">Sens!J7725</f>
        <v>31.5</v>
      </c>
      <c r="K7784" s="6" t="n">
        <f aca="false">Sens!K7725</f>
        <v>34.5</v>
      </c>
    </row>
    <row r="7785" customFormat="false" ht="17.15" hidden="false" customHeight="false" outlineLevel="0" collapsed="false">
      <c r="A7785" s="1" t="s">
        <v>847</v>
      </c>
      <c r="B7785" s="0" t="s">
        <v>98</v>
      </c>
      <c r="F7785" s="6" t="n">
        <f aca="false">MAX(0,(Sens!E7688+Sens!F7688)/2*Sens!F7696/1000-Sens!F7784*Sens!F7764)</f>
        <v>19.9358184660572</v>
      </c>
      <c r="G7785" s="6" t="n">
        <f aca="false">MAX(0,(Sens!F7688+Sens!G7688)/2*Sens!G7696/1000-Sens!G7784*Sens!G7764)</f>
        <v>35.1359494439124</v>
      </c>
      <c r="H7785" s="6" t="n">
        <f aca="false">MAX(0,(Sens!G7688+Sens!H7688)/2*Sens!H7696/1000-Sens!H7784*Sens!H7764)</f>
        <v>51.688536514718</v>
      </c>
      <c r="I7785" s="6" t="n">
        <f aca="false">MAX(0,(Sens!H7688+Sens!I7688)/2*Sens!I7696/1000-Sens!I7784*Sens!I7764)</f>
        <v>66.8193432436896</v>
      </c>
      <c r="J7785" s="6" t="n">
        <f aca="false">MAX(0,(Sens!I7688+Sens!J7688)/2*Sens!J7696/1000-Sens!J7784*Sens!J7764)</f>
        <v>77.4328840229578</v>
      </c>
      <c r="K7785" s="6" t="n">
        <f aca="false">MAX(0,(Sens!J7688+Sens!K7688)/2*Sens!K7696/1000-Sens!K7784*Sens!K7764)</f>
        <v>83.3249638901295</v>
      </c>
      <c r="L7785" s="1" t="s">
        <v>848</v>
      </c>
    </row>
    <row r="7786" customFormat="false" ht="17.15" hidden="false" customHeight="false" outlineLevel="0" collapsed="false">
      <c r="A7786" s="1" t="s">
        <v>849</v>
      </c>
      <c r="B7786" s="0" t="s">
        <v>98</v>
      </c>
      <c r="F7786" s="6" t="n">
        <f aca="false">IF(internal_ai_reading=2,1,0)*Sens!F7785</f>
        <v>19.9358184660572</v>
      </c>
      <c r="G7786" s="6" t="n">
        <f aca="false">IF(internal_ai_reading=2,1,0)*Sens!G7785</f>
        <v>35.1359494439124</v>
      </c>
      <c r="H7786" s="6" t="n">
        <f aca="false">IF(internal_ai_reading=2,1,0)*Sens!H7785</f>
        <v>51.688536514718</v>
      </c>
      <c r="I7786" s="6" t="n">
        <f aca="false">IF(internal_ai_reading=2,1,0)*Sens!I7785</f>
        <v>66.8193432436896</v>
      </c>
      <c r="J7786" s="6" t="n">
        <f aca="false">IF(internal_ai_reading=2,1,0)*Sens!J7785</f>
        <v>77.4328840229578</v>
      </c>
      <c r="K7786" s="6" t="n">
        <f aca="false">IF(internal_ai_reading=2,1,0)*Sens!K7785</f>
        <v>83.3249638901295</v>
      </c>
    </row>
    <row r="7787" customFormat="false" ht="17.15" hidden="false" customHeight="false" outlineLevel="0" collapsed="false">
      <c r="A7787" s="0" t="s">
        <v>850</v>
      </c>
      <c r="B7787" s="0" t="s">
        <v>98</v>
      </c>
      <c r="F7787" s="6" t="n">
        <f aca="false">Sens!F7705+Sens!F7784*Sens!F7764+Sens!F7786-Sens!F7706-Sens!F7716</f>
        <v>24.9671040449498</v>
      </c>
      <c r="G7787" s="6" t="n">
        <f aca="false">Sens!G7705+Sens!G7784*Sens!G7764+Sens!G7786-Sens!G7706-Sens!G7716</f>
        <v>40.6622171341008</v>
      </c>
      <c r="H7787" s="6" t="n">
        <f aca="false">Sens!H7705+Sens!H7784*Sens!H7764+Sens!H7786-Sens!H7706-Sens!H7716</f>
        <v>57.5930566755842</v>
      </c>
      <c r="I7787" s="6" t="n">
        <f aca="false">Sens!I7705+Sens!I7784*Sens!I7764+Sens!I7786-Sens!I7706-Sens!I7716</f>
        <v>72.6714711985681</v>
      </c>
      <c r="J7787" s="6" t="n">
        <f aca="false">Sens!J7705+Sens!J7784*Sens!J7764+Sens!J7786-Sens!J7706-Sens!J7716</f>
        <v>83.1010459522693</v>
      </c>
      <c r="K7787" s="6" t="n">
        <f aca="false">Sens!K7705+Sens!K7784*Sens!K7764+Sens!K7786-Sens!K7706-Sens!K7716</f>
        <v>90.3368791237595</v>
      </c>
    </row>
    <row r="7788" customFormat="false" ht="17.15" hidden="false" customHeight="false" outlineLevel="0" collapsed="false">
      <c r="A7788" s="0" t="s">
        <v>851</v>
      </c>
      <c r="B7788" s="0" t="s">
        <v>98</v>
      </c>
      <c r="E7788" s="6" t="n">
        <f aca="false">Sens!E7687*(cxit_open+self_build*tk_cxfac)/1000*ai_net_open</f>
        <v>126.6980382</v>
      </c>
      <c r="F7788" s="6" t="n">
        <f aca="false">Sens!E7788+Sens!F7713-Sens!F7716</f>
        <v>260.64610663364</v>
      </c>
      <c r="G7788" s="6" t="n">
        <f aca="false">Sens!F7788+Sens!G7713-Sens!G7716</f>
        <v>383.701199107579</v>
      </c>
      <c r="H7788" s="6" t="n">
        <f aca="false">Sens!G7788+Sens!H7713-Sens!H7716</f>
        <v>484.026814275917</v>
      </c>
      <c r="I7788" s="6" t="n">
        <f aca="false">Sens!H7788+Sens!I7713-Sens!I7716</f>
        <v>535.734088699019</v>
      </c>
      <c r="J7788" s="6" t="n">
        <f aca="false">Sens!I7788+Sens!J7713-Sens!J7716</f>
        <v>531.050499745521</v>
      </c>
      <c r="K7788" s="6" t="n">
        <f aca="false">Sens!J7788+Sens!K7713-Sens!K7716</f>
        <v>506.349933834061</v>
      </c>
      <c r="L7788" s="1" t="s">
        <v>852</v>
      </c>
    </row>
    <row r="7789" customFormat="false" ht="17.15" hidden="false" customHeight="false" outlineLevel="0" collapsed="false">
      <c r="A7789" s="0" t="s">
        <v>853</v>
      </c>
      <c r="B7789" s="0" t="s">
        <v>129</v>
      </c>
      <c r="F7789" s="7" t="n">
        <f aca="false">Sens!F7787*(1-tax_f)/((Sens!E7788+Sens!F7788)/2)</f>
        <v>0.103131458174169</v>
      </c>
      <c r="G7789" s="7" t="n">
        <f aca="false">Sens!G7787*(1-tax_f)/((Sens!F7788+Sens!G7788)/2)</f>
        <v>0.100969689536795</v>
      </c>
      <c r="H7789" s="7" t="n">
        <f aca="false">Sens!H7787*(1-tax_f)/((Sens!G7788+Sens!H7788)/2)</f>
        <v>0.106195592696866</v>
      </c>
      <c r="I7789" s="7" t="n">
        <f aca="false">Sens!I7787*(1-tax_f)/((Sens!H7788+Sens!I7788)/2)</f>
        <v>0.114021192201528</v>
      </c>
      <c r="J7789" s="7" t="n">
        <f aca="false">Sens!J7787*(1-tax_f)/((Sens!I7788+Sens!J7788)/2)</f>
        <v>0.124637790012977</v>
      </c>
      <c r="K7789" s="7" t="n">
        <f aca="false">Sens!K7787*(1-tax_f)/((Sens!J7788+Sens!K7788)/2)</f>
        <v>0.13932807614055</v>
      </c>
    </row>
    <row r="7790" customFormat="false" ht="17.15" hidden="false" customHeight="false" outlineLevel="0" collapsed="false">
      <c r="A7790" s="1" t="s">
        <v>854</v>
      </c>
      <c r="B7790" s="0" t="s">
        <v>129</v>
      </c>
      <c r="F7790" s="7" t="n">
        <f aca="false">(Sens!F7787-Sens!F7786)*(1-tax_f)/((Sens!E7788+Sens!F7788)/2)</f>
        <v>0.0207826993994854</v>
      </c>
      <c r="G7790" s="7" t="n">
        <f aca="false">(Sens!G7787-Sens!G7786)*(1-tax_f)/((Sens!F7788+Sens!G7788)/2)</f>
        <v>0.0137224571679246</v>
      </c>
      <c r="H7790" s="7" t="n">
        <f aca="false">(Sens!H7787-Sens!H7786)*(1-tax_f)/((Sens!G7788+Sens!H7788)/2)</f>
        <v>0.010887319657399</v>
      </c>
      <c r="I7790" s="7" t="n">
        <f aca="false">(Sens!I7787-Sens!I7786)*(1-tax_f)/((Sens!H7788+Sens!I7788)/2)</f>
        <v>0.00918196088954751</v>
      </c>
      <c r="J7790" s="7" t="n">
        <f aca="false">(Sens!J7787-Sens!J7786)*(1-tax_f)/((Sens!I7788+Sens!J7788)/2)</f>
        <v>0.00850130306074422</v>
      </c>
      <c r="K7790" s="7" t="n">
        <f aca="false">(Sens!K7787-Sens!K7786)*(1-tax_f)/((Sens!J7788+Sens!K7788)/2)</f>
        <v>0.0108145938739357</v>
      </c>
    </row>
    <row r="7791" customFormat="false" ht="17.15" hidden="false" customHeight="false" outlineLevel="0" collapsed="false">
      <c r="A7791" s="1" t="s">
        <v>855</v>
      </c>
      <c r="B7791" s="0" t="s">
        <v>129</v>
      </c>
      <c r="F7791" s="7" t="n">
        <f aca="false">(Sens!F7787-Sens!F7786+Sens!F7785)*(1-tax_f)/((Sens!E7788+Sens!F7788)/2)</f>
        <v>0.103131458174169</v>
      </c>
      <c r="G7791" s="7" t="n">
        <f aca="false">(Sens!G7787-Sens!G7786+Sens!G7785)*(1-tax_f)/((Sens!F7788+Sens!G7788)/2)</f>
        <v>0.100969689536795</v>
      </c>
      <c r="H7791" s="7" t="n">
        <f aca="false">(Sens!H7787-Sens!H7786+Sens!H7785)*(1-tax_f)/((Sens!G7788+Sens!H7788)/2)</f>
        <v>0.106195592696866</v>
      </c>
      <c r="I7791" s="7" t="n">
        <f aca="false">(Sens!I7787-Sens!I7786+Sens!I7785)*(1-tax_f)/((Sens!H7788+Sens!I7788)/2)</f>
        <v>0.114021192201528</v>
      </c>
      <c r="J7791" s="7" t="n">
        <f aca="false">(Sens!J7787-Sens!J7786+Sens!J7785)*(1-tax_f)/((Sens!I7788+Sens!J7788)/2)</f>
        <v>0.124637790012977</v>
      </c>
      <c r="K7791" s="7" t="n">
        <f aca="false">(Sens!K7787-Sens!K7786+Sens!K7785)*(1-tax_f)/((Sens!J7788+Sens!K7788)/2)</f>
        <v>0.13932807614055</v>
      </c>
    </row>
    <row r="7792" customFormat="false" ht="17.15" hidden="false" customHeight="false" outlineLevel="0" collapsed="false">
      <c r="A7792" s="1" t="s">
        <v>856</v>
      </c>
      <c r="B7792" s="0" t="s">
        <v>129</v>
      </c>
      <c r="F7792" s="7" t="n">
        <f aca="false">Sens!F7717*(1-tax_f)/(Sens!F7704*(Sens!E7788+Sens!F7788)/2)</f>
        <v>0.128130076224515</v>
      </c>
      <c r="G7792" s="7" t="n">
        <f aca="false">Sens!G7717*(1-tax_f)/(Sens!G7704*(Sens!F7788+Sens!G7788)/2)</f>
        <v>0.125155286009248</v>
      </c>
      <c r="H7792" s="7" t="n">
        <f aca="false">Sens!H7717*(1-tax_f)/(Sens!H7704*(Sens!G7788+Sens!H7788)/2)</f>
        <v>0.130814700404082</v>
      </c>
      <c r="I7792" s="7" t="n">
        <f aca="false">Sens!I7717*(1-tax_f)/(Sens!I7704*(Sens!H7788+Sens!I7788)/2)</f>
        <v>0.139962100326224</v>
      </c>
      <c r="J7792" s="7" t="n">
        <f aca="false">Sens!J7717*(1-tax_f)/(Sens!J7704*(Sens!I7788+Sens!J7788)/2)</f>
        <v>0.152781337559221</v>
      </c>
      <c r="K7792" s="7" t="n">
        <f aca="false">Sens!K7717*(1-tax_f)/(Sens!K7704*(Sens!J7788+Sens!K7788)/2)</f>
        <v>0.170525824716064</v>
      </c>
    </row>
    <row r="7793" customFormat="false" ht="17.15" hidden="false" customHeight="false" outlineLevel="0" collapsed="false">
      <c r="A7793" s="0" t="s">
        <v>857</v>
      </c>
      <c r="B7793" s="0" t="s">
        <v>209</v>
      </c>
      <c r="F7793" s="7" t="n">
        <f aca="false">Sens!F7789-wacc</f>
        <v>0.000197038081292955</v>
      </c>
      <c r="G7793" s="7" t="n">
        <f aca="false">Sens!G7789-wacc</f>
        <v>-0.00196473055608051</v>
      </c>
      <c r="H7793" s="7" t="n">
        <f aca="false">Sens!H7789-wacc</f>
        <v>0.00326117260399068</v>
      </c>
      <c r="I7793" s="7" t="n">
        <f aca="false">Sens!I7789-wacc</f>
        <v>0.0110867721086524</v>
      </c>
      <c r="J7793" s="7" t="n">
        <f aca="false">Sens!J7789-wacc</f>
        <v>0.0217033699201015</v>
      </c>
      <c r="K7793" s="7" t="n">
        <f aca="false">Sens!K7789-wacc</f>
        <v>0.0363936560476738</v>
      </c>
    </row>
    <row r="7794" customFormat="false" ht="17.15" hidden="false" customHeight="false" outlineLevel="0" collapsed="false">
      <c r="A7794" s="0" t="s">
        <v>858</v>
      </c>
      <c r="B7794" s="0" t="s">
        <v>98</v>
      </c>
      <c r="F7794" s="6" t="n">
        <f aca="false">Sens!F7787*(1-tax_f)-wacc*(Sens!E7788+Sens!F7788)/2</f>
        <v>0.0381607735490412</v>
      </c>
      <c r="G7794" s="6" t="n">
        <f aca="false">Sens!G7787*(1-tax_f)-wacc*(Sens!F7788+Sens!G7788)/2</f>
        <v>-0.632984420158962</v>
      </c>
      <c r="H7794" s="6" t="n">
        <f aca="false">Sens!H7787*(1-tax_f)-wacc*(Sens!G7788+Sens!H7788)/2</f>
        <v>1.41490541248076</v>
      </c>
      <c r="I7794" s="6" t="n">
        <f aca="false">Sens!I7787*(1-tax_f)-wacc*(Sens!H7788+Sens!I7788)/2</f>
        <v>5.65292836829834</v>
      </c>
      <c r="J7794" s="6" t="n">
        <f aca="false">Sens!J7787*(1-tax_f)-wacc*(Sens!I7788+Sens!J7788)/2</f>
        <v>11.5764102740375</v>
      </c>
      <c r="K7794" s="6" t="n">
        <f aca="false">Sens!K7787*(1-tax_f)-wacc*(Sens!J7788+Sens!K7788)/2</f>
        <v>18.8773972817015</v>
      </c>
    </row>
    <row r="7795" customFormat="false" ht="17.15" hidden="false" customHeight="false" outlineLevel="0" collapsed="false">
      <c r="A7795" s="3" t="s">
        <v>1437</v>
      </c>
    </row>
    <row r="7796" customFormat="false" ht="15" hidden="false" customHeight="false" outlineLevel="0" collapsed="false">
      <c r="A7796" s="4" t="s">
        <v>43</v>
      </c>
      <c r="B7796" s="4" t="s">
        <v>65</v>
      </c>
      <c r="C7796" s="20" t="s">
        <v>788</v>
      </c>
      <c r="D7796" s="20" t="s">
        <v>789</v>
      </c>
      <c r="E7796" s="20" t="s">
        <v>790</v>
      </c>
      <c r="F7796" s="20" t="s">
        <v>791</v>
      </c>
      <c r="G7796" s="20" t="s">
        <v>792</v>
      </c>
      <c r="H7796" s="20" t="s">
        <v>793</v>
      </c>
      <c r="I7796" s="20" t="s">
        <v>794</v>
      </c>
      <c r="J7796" s="20" t="s">
        <v>795</v>
      </c>
      <c r="K7796" s="20" t="s">
        <v>796</v>
      </c>
      <c r="L7796" s="4" t="s">
        <v>47</v>
      </c>
    </row>
    <row r="7797" customFormat="false" ht="15" hidden="false" customHeight="false" outlineLevel="0" collapsed="false">
      <c r="A7797" s="1" t="s">
        <v>915</v>
      </c>
      <c r="B7797" s="0" t="s">
        <v>98</v>
      </c>
      <c r="F7797" s="6" t="n">
        <f aca="false">Sens!F7778</f>
        <v>141.020631516469</v>
      </c>
      <c r="G7797" s="6" t="n">
        <f aca="false">Sens!G7778</f>
        <v>156.710235991506</v>
      </c>
      <c r="H7797" s="6" t="n">
        <f aca="false">Sens!H7778</f>
        <v>172.182044441292</v>
      </c>
      <c r="I7797" s="6" t="n">
        <f aca="false">Sens!I7778</f>
        <v>186.536339602145</v>
      </c>
      <c r="J7797" s="6" t="n">
        <f aca="false">Sens!J7778</f>
        <v>199.338918201114</v>
      </c>
      <c r="K7797" s="6" t="n">
        <f aca="false">Sens!K7778</f>
        <v>211.286314748358</v>
      </c>
    </row>
    <row r="7798" customFormat="false" ht="17.15" hidden="false" customHeight="false" outlineLevel="0" collapsed="false">
      <c r="A7798" s="1" t="s">
        <v>937</v>
      </c>
      <c r="B7798" s="0" t="s">
        <v>98</v>
      </c>
      <c r="E7798" s="6" t="n">
        <f aca="false">Q!M38-Sens!E7716</f>
        <v>22.2285940229167</v>
      </c>
      <c r="F7798" s="6" t="n">
        <f aca="false">Sens!E7798*(1-1/life_nonai)+Sens!F7804/life_nonai</f>
        <v>23.5562564942279</v>
      </c>
      <c r="G7798" s="6" t="n">
        <f aca="false">Sens!F7798*(1-1/life_nonai)+Sens!G7804/life_nonai</f>
        <v>25.2891707689507</v>
      </c>
      <c r="H7798" s="6" t="n">
        <f aca="false">Sens!G7798*(1-1/life_nonai)+Sens!H7804/life_nonai</f>
        <v>27.3786386844358</v>
      </c>
      <c r="I7798" s="6" t="n">
        <f aca="false">Sens!H7798*(1-1/life_nonai)+Sens!I7804/life_nonai</f>
        <v>29.7409796315735</v>
      </c>
      <c r="J7798" s="6" t="n">
        <f aca="false">Sens!I7798*(1-1/life_nonai)+Sens!J7804/life_nonai</f>
        <v>32.2750563749524</v>
      </c>
      <c r="K7798" s="6" t="n">
        <f aca="false">Sens!J7798*(1-1/life_nonai)+Sens!K7804/life_nonai</f>
        <v>34.8808972418417</v>
      </c>
      <c r="L7798" s="11" t="s">
        <v>938</v>
      </c>
    </row>
    <row r="7799" customFormat="false" ht="17.15" hidden="false" customHeight="false" outlineLevel="0" collapsed="false">
      <c r="A7799" s="1" t="s">
        <v>939</v>
      </c>
      <c r="B7799" s="0" t="s">
        <v>98</v>
      </c>
      <c r="E7799" s="6" t="n">
        <f aca="false">Sens!E7716+Sens!E7798</f>
        <v>38.534</v>
      </c>
      <c r="F7799" s="6" t="n">
        <f aca="false">Sens!F7716+Sens!F7798</f>
        <v>58.3029693245588</v>
      </c>
      <c r="G7799" s="6" t="n">
        <f aca="false">Sens!G7716+Sens!G7798</f>
        <v>85.8082587782127</v>
      </c>
      <c r="H7799" s="6" t="n">
        <f aca="false">Sens!H7716+Sens!H7798</f>
        <v>115.133309426498</v>
      </c>
      <c r="I7799" s="6" t="n">
        <f aca="false">Sens!I7716+Sens!I7798</f>
        <v>141.740374362717</v>
      </c>
      <c r="J7799" s="6" t="n">
        <f aca="false">Sens!J7716+Sens!J7798</f>
        <v>161.47112204654</v>
      </c>
      <c r="K7799" s="6" t="n">
        <f aca="false">Sens!K7716+Sens!K7798</f>
        <v>174.540898795238</v>
      </c>
    </row>
    <row r="7800" customFormat="false" ht="17.15" hidden="false" customHeight="false" outlineLevel="0" collapsed="false">
      <c r="A7800" s="1" t="s">
        <v>940</v>
      </c>
      <c r="B7800" s="0" t="s">
        <v>98</v>
      </c>
      <c r="F7800" s="6" t="n">
        <f aca="false">Sens!F7743*sbc_r</f>
        <v>14.9170149201543</v>
      </c>
      <c r="G7800" s="6" t="n">
        <f aca="false">Sens!G7743*sbc_r</f>
        <v>17.7141127323134</v>
      </c>
      <c r="H7800" s="6" t="n">
        <f aca="false">Sens!H7743*sbc_r</f>
        <v>20.5467695957636</v>
      </c>
      <c r="I7800" s="6" t="n">
        <f aca="false">Sens!I7743*sbc_r</f>
        <v>23.115338051039</v>
      </c>
      <c r="J7800" s="6" t="n">
        <f aca="false">Sens!J7743*sbc_r</f>
        <v>25.1608319405317</v>
      </c>
      <c r="K7800" s="6" t="n">
        <f aca="false">Sens!K7743*sbc_r</f>
        <v>26.7336629868219</v>
      </c>
    </row>
    <row r="7801" customFormat="false" ht="17.15" hidden="false" customHeight="false" outlineLevel="0" collapsed="false">
      <c r="A7801" s="1" t="s">
        <v>941</v>
      </c>
      <c r="B7801" s="0" t="s">
        <v>98</v>
      </c>
      <c r="F7801" s="6" t="n">
        <f aca="false">wc27</f>
        <v>-4.895</v>
      </c>
      <c r="G7801" s="6" t="n">
        <f aca="false">wc_f</f>
        <v>0</v>
      </c>
      <c r="H7801" s="6" t="n">
        <f aca="false">wc_f</f>
        <v>0</v>
      </c>
      <c r="I7801" s="6" t="n">
        <f aca="false">wc_f</f>
        <v>0</v>
      </c>
      <c r="J7801" s="6" t="n">
        <f aca="false">wc_f</f>
        <v>0</v>
      </c>
      <c r="K7801" s="6" t="n">
        <f aca="false">wc_f</f>
        <v>0</v>
      </c>
      <c r="L7801" s="11" t="s">
        <v>942</v>
      </c>
    </row>
    <row r="7802" customFormat="false" ht="15" hidden="false" customHeight="false" outlineLevel="0" collapsed="false">
      <c r="A7802" s="1" t="s">
        <v>756</v>
      </c>
      <c r="B7802" s="0" t="s">
        <v>98</v>
      </c>
      <c r="E7802" s="6" t="n">
        <f aca="false">Q!M35</f>
        <v>182.935</v>
      </c>
      <c r="F7802" s="6" t="n">
        <f aca="false">Sens!F7797+Sens!F7799+Sens!F7800+Sens!F7801</f>
        <v>209.345615761182</v>
      </c>
      <c r="G7802" s="6" t="n">
        <f aca="false">Sens!G7797+Sens!G7799+Sens!G7800+Sens!G7801</f>
        <v>260.232607502032</v>
      </c>
      <c r="H7802" s="6" t="n">
        <f aca="false">Sens!H7797+Sens!H7799+Sens!H7800+Sens!H7801</f>
        <v>307.862123463553</v>
      </c>
      <c r="I7802" s="6" t="n">
        <f aca="false">Sens!I7797+Sens!I7799+Sens!I7800+Sens!I7801</f>
        <v>351.392052015901</v>
      </c>
      <c r="J7802" s="6" t="n">
        <f aca="false">Sens!J7797+Sens!J7799+Sens!J7800+Sens!J7801</f>
        <v>385.970872188187</v>
      </c>
      <c r="K7802" s="6" t="n">
        <f aca="false">Sens!K7797+Sens!K7799+Sens!K7800+Sens!K7801</f>
        <v>412.560876530418</v>
      </c>
    </row>
    <row r="7803" customFormat="false" ht="17.15" hidden="false" customHeight="false" outlineLevel="0" collapsed="false">
      <c r="A7803" s="0" t="s">
        <v>943</v>
      </c>
      <c r="B7803" s="0" t="s">
        <v>98</v>
      </c>
      <c r="F7803" s="6" t="n">
        <f aca="false">Sens!F7713</f>
        <v>168.694781263971</v>
      </c>
      <c r="G7803" s="6" t="n">
        <f aca="false">Sens!G7713</f>
        <v>183.5741804832</v>
      </c>
      <c r="H7803" s="6" t="n">
        <f aca="false">Sens!H7713</f>
        <v>188.0802859104</v>
      </c>
      <c r="I7803" s="6" t="n">
        <f aca="false">Sens!I7713</f>
        <v>163.706669154245</v>
      </c>
      <c r="J7803" s="6" t="n">
        <f aca="false">Sens!J7713</f>
        <v>124.51247671809</v>
      </c>
      <c r="K7803" s="6" t="n">
        <f aca="false">Sens!K7713</f>
        <v>114.959435641936</v>
      </c>
    </row>
    <row r="7804" customFormat="false" ht="17.15" hidden="false" customHeight="false" outlineLevel="0" collapsed="false">
      <c r="A7804" s="1" t="s">
        <v>944</v>
      </c>
      <c r="B7804" s="0" t="s">
        <v>98</v>
      </c>
      <c r="E7804" s="6" t="n">
        <f aca="false">Sens!E7721*cx_azo+Sens!E7728*cx_m365+Sens!E7729*cx_lic+(Sens!E7731+Sens!E7733)*cx_ind+Sens!E7736*cx_srch+(Sens!E7738+Sens!E7740)*cx_dev</f>
        <v>30.1846587067718</v>
      </c>
      <c r="F7804" s="6" t="n">
        <f aca="false">Sens!F7721*cx_azo+Sens!F7728*cx_m365+Sens!F7729*cx_lic+(Sens!F7731+Sens!F7733)*cx_ind+Sens!F7736*cx_srch+(Sens!F7738+Sens!F7740)*cx_dev</f>
        <v>35.5052187360286</v>
      </c>
      <c r="G7804" s="6" t="n">
        <f aca="false">Sens!G7721*cx_azo+Sens!G7728*cx_m365+Sens!G7729*cx_lic+(Sens!G7731+Sens!G7733)*cx_ind+Sens!G7736*cx_srch+(Sens!G7738+Sens!G7740)*cx_dev</f>
        <v>40.8853992414566</v>
      </c>
      <c r="H7804" s="6" t="n">
        <f aca="false">Sens!H7721*cx_azo+Sens!H7728*cx_m365+Sens!H7729*cx_lic+(Sens!H7731+Sens!H7733)*cx_ind+Sens!H7736*cx_srch+(Sens!H7738+Sens!H7740)*cx_dev</f>
        <v>46.1838499238012</v>
      </c>
      <c r="I7804" s="6" t="n">
        <f aca="false">Sens!I7721*cx_azo+Sens!I7728*cx_m365+Sens!I7729*cx_lic+(Sens!I7731+Sens!I7733)*cx_ind+Sens!I7736*cx_srch+(Sens!I7738+Sens!I7740)*cx_dev</f>
        <v>51.0020481558128</v>
      </c>
      <c r="J7804" s="6" t="n">
        <f aca="false">Sens!J7721*cx_azo+Sens!J7728*cx_m365+Sens!J7729*cx_lic+(Sens!J7731+Sens!J7733)*cx_ind+Sens!J7736*cx_srch+(Sens!J7738+Sens!J7740)*cx_dev</f>
        <v>55.0817470653624</v>
      </c>
      <c r="K7804" s="6" t="n">
        <f aca="false">Sens!K7721*cx_azo+Sens!K7728*cx_m365+Sens!K7729*cx_lic+(Sens!K7731+Sens!K7733)*cx_ind+Sens!K7736*cx_srch+(Sens!K7738+Sens!K7740)*cx_dev</f>
        <v>58.333465043846</v>
      </c>
    </row>
    <row r="7805" customFormat="false" ht="17.15" hidden="false" customHeight="false" outlineLevel="0" collapsed="false">
      <c r="A7805" s="1" t="s">
        <v>945</v>
      </c>
      <c r="B7805" s="0" t="s">
        <v>98</v>
      </c>
      <c r="E7805" s="6" t="n">
        <f aca="false">Q!M42</f>
        <v>145.3</v>
      </c>
      <c r="F7805" s="6" t="n">
        <f aca="false">Sens!F7803+Sens!F7804</f>
        <v>204.2</v>
      </c>
      <c r="G7805" s="6" t="n">
        <f aca="false">Sens!G7803+Sens!G7804</f>
        <v>224.459579724657</v>
      </c>
      <c r="H7805" s="6" t="n">
        <f aca="false">Sens!H7803+Sens!H7804</f>
        <v>234.264135834201</v>
      </c>
      <c r="I7805" s="6" t="n">
        <f aca="false">Sens!I7803+Sens!I7804</f>
        <v>214.708717310058</v>
      </c>
      <c r="J7805" s="6" t="n">
        <f aca="false">Sens!J7803+Sens!J7804</f>
        <v>179.594223783453</v>
      </c>
      <c r="K7805" s="6" t="n">
        <f aca="false">Sens!K7803+Sens!K7804</f>
        <v>173.292900685782</v>
      </c>
      <c r="L7805" s="1" t="s">
        <v>946</v>
      </c>
    </row>
    <row r="7806" customFormat="false" ht="15" hidden="false" customHeight="false" outlineLevel="0" collapsed="false">
      <c r="A7806" s="1" t="s">
        <v>947</v>
      </c>
      <c r="B7806" s="0" t="s">
        <v>98</v>
      </c>
      <c r="E7806" s="6" t="n">
        <f aca="false">fl_liab</f>
        <v>66.594</v>
      </c>
      <c r="F7806" s="6" t="n">
        <f aca="false">Sens!E7806-Sens!F7807</f>
        <v>62.46973</v>
      </c>
      <c r="G7806" s="6" t="n">
        <f aca="false">Sens!F7806-Sens!G7807</f>
        <v>57.98686785</v>
      </c>
      <c r="H7806" s="6" t="n">
        <f aca="false">Sens!G7806-Sens!H7807</f>
        <v>53.92827690325</v>
      </c>
      <c r="I7806" s="6" t="n">
        <f aca="false">Sens!H7806-Sens!I7807</f>
        <v>49.7850493638962</v>
      </c>
      <c r="J7806" s="6" t="n">
        <f aca="false">Sens!I7806-Sens!J7807</f>
        <v>45.4823765852716</v>
      </c>
      <c r="K7806" s="6" t="n">
        <f aca="false">Sens!J7806-Sens!K7807</f>
        <v>40.9860835316088</v>
      </c>
    </row>
    <row r="7807" customFormat="false" ht="15" hidden="false" customHeight="false" outlineLevel="0" collapsed="false">
      <c r="A7807" s="1" t="s">
        <v>948</v>
      </c>
      <c r="B7807" s="0" t="s">
        <v>98</v>
      </c>
      <c r="F7807" s="6" t="n">
        <f aca="false">fl_pay_27-Sens!E7806*fl_rate</f>
        <v>4.12427</v>
      </c>
      <c r="G7807" s="6" t="n">
        <f aca="false">fl_pay_28-Sens!F7806*fl_rate</f>
        <v>4.48286215</v>
      </c>
      <c r="H7807" s="6" t="n">
        <f aca="false">fl_pay_29-Sens!G7806*fl_rate</f>
        <v>4.05859094675</v>
      </c>
      <c r="I7807" s="6" t="n">
        <f aca="false">fl_pay_30-Sens!H7806*fl_rate</f>
        <v>4.14322753935375</v>
      </c>
      <c r="J7807" s="6" t="n">
        <f aca="false">fl_pay_31-Sens!I7806*fl_rate</f>
        <v>4.30267277862467</v>
      </c>
      <c r="K7807" s="6" t="n">
        <f aca="false">fl_pay_32-Sens!J7806*fl_rate</f>
        <v>4.49629305366278</v>
      </c>
    </row>
    <row r="7808" customFormat="false" ht="17.15" hidden="false" customHeight="false" outlineLevel="0" collapsed="false">
      <c r="A7808" s="1" t="s">
        <v>949</v>
      </c>
      <c r="B7808" s="0" t="s">
        <v>98</v>
      </c>
      <c r="E7808" s="6" t="n">
        <f aca="false">Q!M35-Q!M36-Q!M43</f>
        <v>63.886</v>
      </c>
      <c r="F7808" s="6" t="n">
        <f aca="false">Sens!F7802-Sens!F7805-Sens!F7807</f>
        <v>1.02134576118214</v>
      </c>
      <c r="G7808" s="6" t="n">
        <f aca="false">Sens!G7802-Sens!G7805-Sens!G7807</f>
        <v>31.2901656273756</v>
      </c>
      <c r="H7808" s="6" t="n">
        <f aca="false">Sens!H7802-Sens!H7805-Sens!H7807</f>
        <v>69.5393966826018</v>
      </c>
      <c r="I7808" s="6" t="n">
        <f aca="false">Sens!I7802-Sens!I7805-Sens!I7807</f>
        <v>132.540107166489</v>
      </c>
      <c r="J7808" s="6" t="n">
        <f aca="false">Sens!J7802-Sens!J7805-Sens!J7807</f>
        <v>202.073975626109</v>
      </c>
      <c r="K7808" s="6" t="n">
        <f aca="false">Sens!K7802-Sens!K7805-Sens!K7807</f>
        <v>234.771682790973</v>
      </c>
      <c r="L7808" s="11" t="s">
        <v>950</v>
      </c>
    </row>
    <row r="7809" customFormat="false" ht="15" hidden="false" customHeight="false" outlineLevel="0" collapsed="false">
      <c r="A7809" s="1" t="s">
        <v>951</v>
      </c>
      <c r="B7809" s="0" t="s">
        <v>75</v>
      </c>
      <c r="F7809" s="8" t="n">
        <f aca="false">dps_27</f>
        <v>3.85</v>
      </c>
      <c r="G7809" s="8" t="n">
        <f aca="false">Sens!F7809*(1+dps_g)</f>
        <v>4.158</v>
      </c>
      <c r="H7809" s="8" t="n">
        <f aca="false">Sens!G7809*(1+dps_g)</f>
        <v>4.49064</v>
      </c>
      <c r="I7809" s="8" t="n">
        <f aca="false">Sens!H7809*(1+dps_g)</f>
        <v>4.8498912</v>
      </c>
      <c r="J7809" s="8" t="n">
        <f aca="false">Sens!I7809*(1+dps_g)</f>
        <v>5.237882496</v>
      </c>
      <c r="K7809" s="8" t="n">
        <f aca="false">Sens!J7809*(1+dps_g)</f>
        <v>5.65691309568</v>
      </c>
    </row>
    <row r="7810" customFormat="false" ht="17.15" hidden="false" customHeight="false" outlineLevel="0" collapsed="false">
      <c r="A7810" s="1" t="s">
        <v>952</v>
      </c>
      <c r="B7810" s="0" t="s">
        <v>98</v>
      </c>
      <c r="E7810" s="6" t="n">
        <f aca="false">Q!M41</f>
        <v>26.445</v>
      </c>
      <c r="F7810" s="6" t="n">
        <f aca="false">Sens!F7809*Sens!E7819</f>
        <v>28.59395</v>
      </c>
      <c r="G7810" s="6" t="n">
        <f aca="false">Sens!G7809*Sens!F7819</f>
        <v>31.068576</v>
      </c>
      <c r="H7810" s="6" t="n">
        <f aca="false">Sens!H7809*Sens!G7819</f>
        <v>33.7544762379066</v>
      </c>
      <c r="I7810" s="6" t="n">
        <f aca="false">Sens!I7809*Sens!H7819</f>
        <v>36.5057735769386</v>
      </c>
      <c r="J7810" s="6" t="n">
        <f aca="false">Sens!J7809*Sens!I7819</f>
        <v>39.4946343114131</v>
      </c>
      <c r="K7810" s="6" t="n">
        <f aca="false">Sens!K7809*Sens!J7819</f>
        <v>42.7414602816312</v>
      </c>
      <c r="L7810" s="1" t="s">
        <v>953</v>
      </c>
    </row>
    <row r="7811" customFormat="false" ht="15" hidden="false" customHeight="false" outlineLevel="0" collapsed="false">
      <c r="A7811" s="1" t="s">
        <v>954</v>
      </c>
      <c r="B7811" s="0" t="s">
        <v>98</v>
      </c>
      <c r="E7811" s="6" t="n">
        <f aca="false">Sens!E7808-Sens!E7810</f>
        <v>37.441</v>
      </c>
      <c r="F7811" s="6" t="n">
        <f aca="false">Sens!F7808-Sens!F7810</f>
        <v>-27.5726042388179</v>
      </c>
      <c r="G7811" s="6" t="n">
        <f aca="false">Sens!G7808-Sens!G7810</f>
        <v>0.221589627375604</v>
      </c>
      <c r="H7811" s="6" t="n">
        <f aca="false">Sens!H7808-Sens!H7810</f>
        <v>35.7849204446951</v>
      </c>
      <c r="I7811" s="6" t="n">
        <f aca="false">Sens!I7808-Sens!I7810</f>
        <v>96.0343335895504</v>
      </c>
      <c r="J7811" s="6" t="n">
        <f aca="false">Sens!J7808-Sens!J7810</f>
        <v>162.579341314696</v>
      </c>
      <c r="K7811" s="6" t="n">
        <f aca="false">Sens!K7808-Sens!K7810</f>
        <v>192.030222509342</v>
      </c>
    </row>
    <row r="7812" customFormat="false" ht="15" hidden="false" customHeight="false" outlineLevel="0" collapsed="false">
      <c r="A7812" s="1" t="s">
        <v>955</v>
      </c>
      <c r="B7812" s="0" t="s">
        <v>98</v>
      </c>
      <c r="F7812" s="6" t="n">
        <f aca="false">debt_mat_27</f>
        <v>9.25</v>
      </c>
      <c r="G7812" s="6" t="n">
        <f aca="false">debt_mat_28</f>
        <v>0</v>
      </c>
      <c r="H7812" s="6" t="n">
        <f aca="false">debt_mat_29</f>
        <v>2.001</v>
      </c>
      <c r="I7812" s="6" t="n">
        <f aca="false">debt_mat_30</f>
        <v>0</v>
      </c>
      <c r="J7812" s="6" t="n">
        <f aca="false">debt_mat_31</f>
        <v>0.5</v>
      </c>
      <c r="K7812" s="6" t="n">
        <f aca="false">debt_mat_32</f>
        <v>0</v>
      </c>
    </row>
    <row r="7813" customFormat="false" ht="15" hidden="false" customHeight="false" outlineLevel="0" collapsed="false">
      <c r="A7813" s="1" t="s">
        <v>956</v>
      </c>
      <c r="B7813" s="0" t="s">
        <v>98</v>
      </c>
      <c r="E7813" s="6" t="n">
        <f aca="false">Q!M40</f>
        <v>22.271</v>
      </c>
      <c r="F7813" s="6" t="n">
        <f aca="false">MAX(0,MIN(bb_target,Sens!E7815+Sens!F7811-Sens!F7812-min_cash))</f>
        <v>0</v>
      </c>
      <c r="G7813" s="6" t="n">
        <f aca="false">MAX(0,MIN(bb_target,Sens!F7815+Sens!G7811-Sens!G7812-min_cash))</f>
        <v>0.221589627375607</v>
      </c>
      <c r="H7813" s="6" t="n">
        <f aca="false">MAX(0,MIN(bb_target,Sens!G7815+Sens!H7811-Sens!H7812-min_cash))</f>
        <v>22.271</v>
      </c>
      <c r="I7813" s="6" t="n">
        <f aca="false">MAX(0,MIN(bb_target,Sens!H7815+Sens!I7811-Sens!I7812-min_cash))</f>
        <v>22.271</v>
      </c>
      <c r="J7813" s="6" t="n">
        <f aca="false">MAX(0,MIN(bb_target,Sens!I7815+Sens!J7811-Sens!J7812-min_cash))</f>
        <v>22.271</v>
      </c>
      <c r="K7813" s="6" t="n">
        <f aca="false">MAX(0,MIN(bb_target,Sens!J7815+Sens!K7811-Sens!K7812-min_cash))</f>
        <v>22.271</v>
      </c>
    </row>
    <row r="7814" customFormat="false" ht="15" hidden="false" customHeight="false" outlineLevel="0" collapsed="false">
      <c r="A7814" s="1" t="s">
        <v>957</v>
      </c>
      <c r="B7814" s="0" t="s">
        <v>98</v>
      </c>
      <c r="F7814" s="6" t="n">
        <f aca="false">MAX(0,min_cash-(Sens!E7815+Sens!F7811-Sens!F7812-Sens!F7813))</f>
        <v>9.97960423881786</v>
      </c>
      <c r="G7814" s="6" t="n">
        <f aca="false">MAX(0,min_cash-(Sens!F7815+Sens!G7811-Sens!G7812-Sens!G7813))</f>
        <v>0</v>
      </c>
      <c r="H7814" s="6" t="n">
        <f aca="false">MAX(0,min_cash-(Sens!G7815+Sens!H7811-Sens!H7812-Sens!H7813))</f>
        <v>0</v>
      </c>
      <c r="I7814" s="6" t="n">
        <f aca="false">MAX(0,min_cash-(Sens!H7815+Sens!I7811-Sens!I7812-Sens!I7813))</f>
        <v>0</v>
      </c>
      <c r="J7814" s="6" t="n">
        <f aca="false">MAX(0,min_cash-(Sens!I7815+Sens!J7811-Sens!J7812-Sens!J7813))</f>
        <v>0</v>
      </c>
      <c r="K7814" s="6" t="n">
        <f aca="false">MAX(0,min_cash-(Sens!J7815+Sens!K7811-Sens!K7812-Sens!K7813))</f>
        <v>0</v>
      </c>
    </row>
    <row r="7815" customFormat="false" ht="15" hidden="false" customHeight="false" outlineLevel="0" collapsed="false">
      <c r="A7815" s="1" t="s">
        <v>958</v>
      </c>
      <c r="B7815" s="0" t="s">
        <v>98</v>
      </c>
      <c r="E7815" s="6" t="n">
        <f aca="false">cash_open</f>
        <v>76.843</v>
      </c>
      <c r="F7815" s="6" t="n">
        <f aca="false">Sens!E7815+Sens!F7811-Sens!F7812-Sens!F7813+Sens!F7814</f>
        <v>50</v>
      </c>
      <c r="G7815" s="6" t="n">
        <f aca="false">Sens!F7815+Sens!G7811-Sens!G7812-Sens!G7813+Sens!G7814</f>
        <v>50</v>
      </c>
      <c r="H7815" s="6" t="n">
        <f aca="false">Sens!G7815+Sens!H7811-Sens!H7812-Sens!H7813+Sens!H7814</f>
        <v>61.5129204446951</v>
      </c>
      <c r="I7815" s="6" t="n">
        <f aca="false">Sens!H7815+Sens!I7811-Sens!I7812-Sens!I7813+Sens!I7814</f>
        <v>135.276254034245</v>
      </c>
      <c r="J7815" s="6" t="n">
        <f aca="false">Sens!I7815+Sens!J7811-Sens!J7812-Sens!J7813+Sens!J7814</f>
        <v>275.084595348941</v>
      </c>
      <c r="K7815" s="6" t="n">
        <f aca="false">Sens!J7815+Sens!K7811-Sens!K7812-Sens!K7813+Sens!K7814</f>
        <v>444.843817858283</v>
      </c>
    </row>
    <row r="7816" customFormat="false" ht="15" hidden="false" customHeight="false" outlineLevel="0" collapsed="false">
      <c r="A7816" s="1" t="s">
        <v>959</v>
      </c>
      <c r="B7816" s="0" t="s">
        <v>98</v>
      </c>
      <c r="E7816" s="6" t="n">
        <f aca="false">debt_face</f>
        <v>46.136</v>
      </c>
      <c r="F7816" s="6" t="n">
        <f aca="false">Sens!E7816-Sens!F7812+Sens!F7814</f>
        <v>46.8656042388179</v>
      </c>
      <c r="G7816" s="6" t="n">
        <f aca="false">Sens!F7816-Sens!G7812+Sens!G7814</f>
        <v>46.8656042388179</v>
      </c>
      <c r="H7816" s="6" t="n">
        <f aca="false">Sens!G7816-Sens!H7812+Sens!H7814</f>
        <v>44.8646042388179</v>
      </c>
      <c r="I7816" s="6" t="n">
        <f aca="false">Sens!H7816-Sens!I7812+Sens!I7814</f>
        <v>44.8646042388179</v>
      </c>
      <c r="J7816" s="6" t="n">
        <f aca="false">Sens!I7816-Sens!J7812+Sens!J7814</f>
        <v>44.3646042388179</v>
      </c>
      <c r="K7816" s="6" t="n">
        <f aca="false">Sens!J7816-Sens!K7812+Sens!K7814</f>
        <v>44.3646042388179</v>
      </c>
    </row>
    <row r="7817" customFormat="false" ht="15" hidden="false" customHeight="false" outlineLevel="0" collapsed="false">
      <c r="A7817" s="1" t="s">
        <v>960</v>
      </c>
      <c r="B7817" s="0" t="s">
        <v>98</v>
      </c>
      <c r="E7817" s="6" t="n">
        <f aca="false">Sens!E7815-Sens!E7816</f>
        <v>30.707</v>
      </c>
      <c r="F7817" s="6" t="n">
        <f aca="false">Sens!F7815-Sens!F7816</f>
        <v>3.13439576118214</v>
      </c>
      <c r="G7817" s="6" t="n">
        <f aca="false">Sens!G7815-Sens!G7816</f>
        <v>3.13439576118214</v>
      </c>
      <c r="H7817" s="6" t="n">
        <f aca="false">Sens!H7815-Sens!H7816</f>
        <v>16.6483162058773</v>
      </c>
      <c r="I7817" s="6" t="n">
        <f aca="false">Sens!I7815-Sens!I7816</f>
        <v>90.4116497954276</v>
      </c>
      <c r="J7817" s="6" t="n">
        <f aca="false">Sens!J7815-Sens!J7816</f>
        <v>230.719991110124</v>
      </c>
      <c r="K7817" s="6" t="n">
        <f aca="false">Sens!K7815-Sens!K7816</f>
        <v>400.479213619465</v>
      </c>
    </row>
    <row r="7818" customFormat="false" ht="15" hidden="false" customHeight="false" outlineLevel="0" collapsed="false">
      <c r="A7818" s="1" t="s">
        <v>961</v>
      </c>
      <c r="B7818" s="0" t="s">
        <v>75</v>
      </c>
      <c r="F7818" s="29" t="n">
        <f aca="false">px*(1+bb_g)^(Sens!F7682-base_fy-mid_yr)</f>
        <v>553.494156066711</v>
      </c>
      <c r="G7818" s="29" t="n">
        <f aca="false">px*(1+bb_g)^(Sens!G7682-base_fy-mid_yr)</f>
        <v>597.773688552047</v>
      </c>
      <c r="H7818" s="29" t="n">
        <f aca="false">px*(1+bb_g)^(Sens!H7682-base_fy-mid_yr)</f>
        <v>645.595583636211</v>
      </c>
      <c r="I7818" s="29" t="n">
        <f aca="false">px*(1+bb_g)^(Sens!I7682-base_fy-mid_yr)</f>
        <v>697.243230327108</v>
      </c>
      <c r="J7818" s="29" t="n">
        <f aca="false">px*(1+bb_g)^(Sens!J7682-base_fy-mid_yr)</f>
        <v>753.022688753277</v>
      </c>
      <c r="K7818" s="29" t="n">
        <f aca="false">px*(1+bb_g)^(Sens!K7682-base_fy-mid_yr)</f>
        <v>813.264503853539</v>
      </c>
    </row>
    <row r="7819" customFormat="false" ht="15" hidden="false" customHeight="false" outlineLevel="0" collapsed="false">
      <c r="A7819" s="1" t="s">
        <v>962</v>
      </c>
      <c r="B7819" s="1" t="s">
        <v>81</v>
      </c>
      <c r="E7819" s="14" t="n">
        <f aca="false">sh_out26</f>
        <v>7.427</v>
      </c>
      <c r="F7819" s="14" t="n">
        <f aca="false">Sens!E7819+sh_iss-Sens!F7813/Sens!F7818</f>
        <v>7.472</v>
      </c>
      <c r="G7819" s="14" t="n">
        <f aca="false">Sens!F7819+sh_iss-Sens!G7813/Sens!G7818</f>
        <v>7.51662930849648</v>
      </c>
      <c r="H7819" s="14" t="n">
        <f aca="false">Sens!G7819+sh_iss-Sens!H7813/Sens!H7818</f>
        <v>7.52713248019638</v>
      </c>
      <c r="I7819" s="14" t="n">
        <f aca="false">Sens!H7819+sh_iss-Sens!I7813/Sens!I7818</f>
        <v>7.5401909725111</v>
      </c>
      <c r="J7819" s="14" t="n">
        <f aca="false">Sens!I7819+sh_iss-Sens!J7813/Sens!J7818</f>
        <v>7.55561550243214</v>
      </c>
      <c r="K7819" s="14" t="n">
        <f aca="false">Sens!J7819+sh_iss-Sens!K7813/Sens!K7818</f>
        <v>7.57323080791459</v>
      </c>
    </row>
    <row r="7820" customFormat="false" ht="15" hidden="false" customHeight="false" outlineLevel="0" collapsed="false">
      <c r="A7820" s="1" t="s">
        <v>963</v>
      </c>
      <c r="B7820" s="1" t="s">
        <v>81</v>
      </c>
      <c r="E7820" s="14" t="n">
        <f aca="false">sh_dil26</f>
        <v>7.453</v>
      </c>
      <c r="F7820" s="14" t="n">
        <f aca="false">(Sens!E7819+Sens!F7819)/2+dil_gap</f>
        <v>7.4735</v>
      </c>
      <c r="G7820" s="14" t="n">
        <f aca="false">(Sens!F7819+Sens!G7819)/2+dil_gap</f>
        <v>7.51831465424824</v>
      </c>
      <c r="H7820" s="14" t="n">
        <f aca="false">(Sens!G7819+Sens!H7819)/2+dil_gap</f>
        <v>7.54588089434643</v>
      </c>
      <c r="I7820" s="14" t="n">
        <f aca="false">(Sens!H7819+Sens!I7819)/2+dil_gap</f>
        <v>7.55766172635374</v>
      </c>
      <c r="J7820" s="14" t="n">
        <f aca="false">(Sens!I7819+Sens!J7819)/2+dil_gap</f>
        <v>7.57190323747162</v>
      </c>
      <c r="K7820" s="14" t="n">
        <f aca="false">(Sens!J7819+Sens!K7819)/2+dil_gap</f>
        <v>7.58842315517337</v>
      </c>
    </row>
    <row r="7821" customFormat="false" ht="17.15" hidden="false" customHeight="false" outlineLevel="0" collapsed="false">
      <c r="A7821" s="1" t="s">
        <v>964</v>
      </c>
      <c r="B7821" s="0" t="s">
        <v>98</v>
      </c>
      <c r="C7821" s="6" t="n">
        <f aca="false">SUM(Sens!F7811:J7811)</f>
        <v>267.047580737499</v>
      </c>
    </row>
    <row r="7822" customFormat="false" ht="15" hidden="false" customHeight="false" outlineLevel="0" collapsed="false">
      <c r="A7822" s="23" t="s">
        <v>935</v>
      </c>
      <c r="B7822" s="30" t="s">
        <v>98</v>
      </c>
      <c r="C7822" s="24" t="n">
        <f aca="false">Sens!$C$7821-(Sens!F7811+Sens!G7811+Sens!H7811+Sens!I7811+Sens!J7811)</f>
        <v>0</v>
      </c>
      <c r="D7822" s="30"/>
      <c r="E7822" s="30"/>
      <c r="F7822" s="30"/>
      <c r="G7822" s="30"/>
      <c r="H7822" s="30"/>
      <c r="I7822" s="30"/>
      <c r="J7822" s="30"/>
      <c r="K7822" s="30"/>
    </row>
    <row r="7823" customFormat="false" ht="17.15" hidden="false" customHeight="false" outlineLevel="0" collapsed="false">
      <c r="A7823" s="1" t="s">
        <v>929</v>
      </c>
      <c r="B7823" s="1" t="s">
        <v>965</v>
      </c>
      <c r="C7823" s="32" t="str">
        <f aca="false">IF(SUM(Sens!F7814:J7814)&gt;0.05,"需要舉債 "&amp;TEXT(SUM(Sens!F7814:J7814),"0.0")&amp;" 十億美元","不需舉債")&amp;"；"&amp;IF(SUM(Sens!F7813:J7813)&lt;COUNT(Sens!F7813:J7813)*bb_target-0.05,"回購較每年 "&amp;TEXT(bb_target,"0.0")&amp;" 的目標少 "&amp;TEXT(COUNT(Sens!F7813:J7813)*bb_target-SUM(Sens!F7813:J7813),"0.0")&amp;" 十億美元（"&amp;TEXT(COUNTIF(Sens!F7813:J7813,"&lt;"&amp;(bb_target-0.05)),"0")&amp;" 年減少）","回購不減")</f>
        <v>需要舉債 10.0 十億美元；回購較每年 22.3 的目標少 44.3 十億美元（2 年減少）</v>
      </c>
    </row>
    <row r="7824" customFormat="false" ht="17.15" hidden="false" customHeight="false" outlineLevel="0" collapsed="false">
      <c r="A7824" s="3" t="s">
        <v>1438</v>
      </c>
    </row>
    <row r="7825" customFormat="false" ht="15" hidden="false" customHeight="false" outlineLevel="0" collapsed="false">
      <c r="A7825" s="4" t="s">
        <v>43</v>
      </c>
      <c r="B7825" s="4" t="s">
        <v>65</v>
      </c>
      <c r="C7825" s="20" t="s">
        <v>788</v>
      </c>
      <c r="D7825" s="20" t="s">
        <v>789</v>
      </c>
      <c r="E7825" s="20" t="s">
        <v>790</v>
      </c>
      <c r="F7825" s="20" t="s">
        <v>791</v>
      </c>
      <c r="G7825" s="20" t="s">
        <v>792</v>
      </c>
      <c r="H7825" s="20" t="s">
        <v>793</v>
      </c>
      <c r="I7825" s="20" t="s">
        <v>794</v>
      </c>
      <c r="J7825" s="20" t="s">
        <v>795</v>
      </c>
      <c r="K7825" s="20" t="s">
        <v>796</v>
      </c>
      <c r="L7825" s="4" t="s">
        <v>47</v>
      </c>
    </row>
    <row r="7826" customFormat="false" ht="15" hidden="false" customHeight="false" outlineLevel="0" collapsed="false">
      <c r="A7826" s="1" t="s">
        <v>1042</v>
      </c>
      <c r="B7826" s="1" t="s">
        <v>235</v>
      </c>
      <c r="F7826" s="36" t="n">
        <f aca="false">Sens!F7682-base_fy-mid_yr</f>
        <v>0.5</v>
      </c>
      <c r="G7826" s="36" t="n">
        <f aca="false">Sens!G7682-base_fy-mid_yr</f>
        <v>1.5</v>
      </c>
      <c r="H7826" s="36" t="n">
        <f aca="false">Sens!H7682-base_fy-mid_yr</f>
        <v>2.5</v>
      </c>
      <c r="I7826" s="36" t="n">
        <f aca="false">Sens!I7682-base_fy-mid_yr</f>
        <v>3.5</v>
      </c>
      <c r="J7826" s="36" t="n">
        <f aca="false">Sens!J7682-base_fy-mid_yr</f>
        <v>4.5</v>
      </c>
      <c r="K7826" s="36" t="n">
        <f aca="false">Sens!K7682-base_fy-mid_yr</f>
        <v>5.5</v>
      </c>
    </row>
    <row r="7827" customFormat="false" ht="15" hidden="false" customHeight="false" outlineLevel="0" collapsed="false">
      <c r="A7827" s="1" t="s">
        <v>1043</v>
      </c>
      <c r="B7827" s="0" t="s">
        <v>185</v>
      </c>
      <c r="F7827" s="14" t="n">
        <f aca="false">1/(1+wacc)^Sens!F7826</f>
        <v>0.952193373608246</v>
      </c>
      <c r="G7827" s="14" t="n">
        <f aca="false">1/(1+wacc)^Sens!G7826</f>
        <v>0.863327280626589</v>
      </c>
      <c r="H7827" s="14" t="n">
        <f aca="false">1/(1+wacc)^Sens!H7826</f>
        <v>0.782754862754115</v>
      </c>
      <c r="I7827" s="14" t="n">
        <f aca="false">1/(1+wacc)^Sens!I7826</f>
        <v>0.709702089711011</v>
      </c>
      <c r="J7827" s="14" t="n">
        <f aca="false">1/(1+wacc)^Sens!J7826</f>
        <v>0.643467169744551</v>
      </c>
      <c r="K7827" s="14" t="n">
        <f aca="false">1/(1+wacc)^Sens!K7826</f>
        <v>0.583413807767797</v>
      </c>
    </row>
    <row r="7828" customFormat="false" ht="17.15" hidden="false" customHeight="false" outlineLevel="0" collapsed="false">
      <c r="A7828" s="1" t="s">
        <v>1044</v>
      </c>
      <c r="B7828" s="0" t="s">
        <v>98</v>
      </c>
      <c r="F7828" s="6" t="n">
        <f aca="false">Sens!F7802-Sens!F7800-Sens!F7805+Sens!F7786*(1-tax_f)</f>
        <v>6.17725561387358</v>
      </c>
      <c r="G7828" s="6" t="n">
        <f aca="false">Sens!G7802-Sens!G7800-Sens!G7805+Sens!G7786*(1-tax_f)</f>
        <v>46.1676746001921</v>
      </c>
      <c r="H7828" s="6" t="n">
        <f aca="false">Sens!H7802-Sens!H7800-Sens!H7805+Sens!H7786*(1-tax_f)</f>
        <v>94.4020472453626</v>
      </c>
      <c r="I7828" s="6" t="n">
        <f aca="false">Sens!I7802-Sens!I7800-Sens!I7805+Sens!I7786*(1-tax_f)</f>
        <v>167.023471249755</v>
      </c>
      <c r="J7828" s="6" t="n">
        <f aca="false">Sens!J7802-Sens!J7800-Sens!J7805+Sens!J7786*(1-tax_f)</f>
        <v>243.162123682568</v>
      </c>
      <c r="K7828" s="6" t="n">
        <f aca="false">Sens!K7802-Sens!K7800-Sens!K7805+Sens!K7786*(1-tax_f)</f>
        <v>279.194283969918</v>
      </c>
      <c r="L7828" s="1" t="s">
        <v>1045</v>
      </c>
    </row>
    <row r="7829" customFormat="false" ht="15" hidden="false" customHeight="false" outlineLevel="0" collapsed="false">
      <c r="A7829" s="1" t="s">
        <v>1046</v>
      </c>
      <c r="B7829" s="0" t="s">
        <v>98</v>
      </c>
      <c r="F7829" s="6" t="n">
        <f aca="false">Sens!F7828*Sens!F7827</f>
        <v>5.88194186261476</v>
      </c>
      <c r="G7829" s="6" t="n">
        <f aca="false">Sens!G7828*Sens!G7827</f>
        <v>39.8578129654371</v>
      </c>
      <c r="H7829" s="6" t="n">
        <f aca="false">Sens!H7828*Sens!H7827</f>
        <v>73.8936615352513</v>
      </c>
      <c r="I7829" s="6" t="n">
        <f aca="false">Sens!I7828*Sens!I7827</f>
        <v>118.536906576738</v>
      </c>
      <c r="J7829" s="6" t="n">
        <f aca="false">Sens!J7828*Sens!J7827</f>
        <v>156.466843515097</v>
      </c>
      <c r="K7829" s="6" t="n">
        <f aca="false">Sens!K7828*Sens!K7827</f>
        <v>162.885800317893</v>
      </c>
    </row>
    <row r="7830" customFormat="false" ht="17.15" hidden="false" customHeight="false" outlineLevel="0" collapsed="false">
      <c r="A7830" s="1" t="s">
        <v>1047</v>
      </c>
      <c r="B7830" s="0" t="s">
        <v>98</v>
      </c>
      <c r="C7830" s="6" t="n">
        <f aca="false">SUM(Sens!F7829:K7829)</f>
        <v>557.522966773031</v>
      </c>
    </row>
    <row r="7831" customFormat="false" ht="17.15" hidden="false" customHeight="false" outlineLevel="0" collapsed="false">
      <c r="A7831" s="1" t="s">
        <v>1048</v>
      </c>
      <c r="B7831" s="0" t="s">
        <v>98</v>
      </c>
      <c r="C7831" s="6" t="n">
        <f aca="false">Sens!K7772*(1+g_tv)*(1-tax_f)</f>
        <v>286.614274436276</v>
      </c>
    </row>
    <row r="7832" customFormat="false" ht="17.15" hidden="false" customHeight="false" outlineLevel="0" collapsed="false">
      <c r="A7832" s="1" t="s">
        <v>1049</v>
      </c>
      <c r="B7832" s="0" t="s">
        <v>98</v>
      </c>
      <c r="C7832" s="6" t="n">
        <f aca="false">Sens!$C$7831*(1-g_tv/(wacc+ronic_prem))</f>
        <v>203.081203328185</v>
      </c>
    </row>
    <row r="7833" customFormat="false" ht="17.15" hidden="false" customHeight="false" outlineLevel="0" collapsed="false">
      <c r="A7833" s="1" t="s">
        <v>1050</v>
      </c>
      <c r="B7833" s="0" t="s">
        <v>98</v>
      </c>
      <c r="C7833" s="6" t="n">
        <f aca="false">Sens!$C$7832/(wacc-g_tv)</f>
        <v>2784.43570360302</v>
      </c>
    </row>
    <row r="7834" customFormat="false" ht="15" hidden="false" customHeight="false" outlineLevel="0" collapsed="false">
      <c r="A7834" s="1" t="s">
        <v>1051</v>
      </c>
      <c r="B7834" s="0" t="s">
        <v>98</v>
      </c>
      <c r="C7834" s="6" t="n">
        <f aca="false">Sens!$C$7833/(1+wacc)^(Sens!K7826+mid_yr)</f>
        <v>1546.81741219818</v>
      </c>
    </row>
    <row r="7835" customFormat="false" ht="17.15" hidden="false" customHeight="false" outlineLevel="0" collapsed="false">
      <c r="A7835" s="0" t="s">
        <v>972</v>
      </c>
      <c r="B7835" s="0" t="s">
        <v>98</v>
      </c>
      <c r="C7835" s="6" t="n">
        <f aca="false">Sens!$C$7830+Sens!$C$7834</f>
        <v>2104.34037897122</v>
      </c>
    </row>
    <row r="7836" customFormat="false" ht="15" hidden="false" customHeight="false" outlineLevel="0" collapsed="false">
      <c r="A7836" s="1" t="s">
        <v>973</v>
      </c>
      <c r="B7836" s="0" t="s">
        <v>129</v>
      </c>
      <c r="C7836" s="7" t="n">
        <f aca="false">Sens!$C$7834/Sens!$C$7835</f>
        <v>0.735060462487729</v>
      </c>
    </row>
    <row r="7837" customFormat="false" ht="17.15" hidden="false" customHeight="false" outlineLevel="0" collapsed="false">
      <c r="A7837" s="1" t="s">
        <v>1052</v>
      </c>
      <c r="B7837" s="0" t="s">
        <v>98</v>
      </c>
      <c r="C7837" s="6" t="n">
        <f aca="false">Sens!$C$7835+Sens!E7817-Sens!E7806+oai_v</f>
        <v>2238.85337897122</v>
      </c>
    </row>
    <row r="7838" customFormat="false" ht="17.15" hidden="false" customHeight="false" outlineLevel="0" collapsed="false">
      <c r="A7838" s="0" t="s">
        <v>980</v>
      </c>
      <c r="B7838" s="0" t="s">
        <v>75</v>
      </c>
      <c r="C7838" s="5" t="n">
        <f aca="false">Sens!$C$7837/sh_dil26</f>
        <v>300.396267136887</v>
      </c>
    </row>
    <row r="7839" customFormat="false" ht="15" hidden="false" customHeight="false" outlineLevel="0" collapsed="false">
      <c r="A7839" s="1" t="s">
        <v>1053</v>
      </c>
      <c r="B7839" s="0" t="s">
        <v>75</v>
      </c>
      <c r="C7839" s="8" t="n">
        <f aca="false">dps_27+Sens!G7809*roll_div_q/q_per_yr</f>
        <v>4.8895</v>
      </c>
    </row>
    <row r="7840" customFormat="false" ht="17.15" hidden="false" customHeight="false" outlineLevel="0" collapsed="false">
      <c r="A7840" s="0" t="s">
        <v>1054</v>
      </c>
      <c r="B7840" s="0" t="s">
        <v>75</v>
      </c>
      <c r="C7840" s="5" t="n">
        <f aca="false">Sens!$C$7838*(1+wacc)^t_roll-Sens!$C$7839</f>
        <v>337.181759477667</v>
      </c>
    </row>
    <row r="7841" customFormat="false" ht="17.15" hidden="false" customHeight="false" outlineLevel="0" collapsed="false">
      <c r="A7841" s="1" t="s">
        <v>1055</v>
      </c>
      <c r="B7841" s="0" t="s">
        <v>129</v>
      </c>
      <c r="F7841" s="7" t="n">
        <f aca="false">Sens!F7798/(Sens!F7743-Sens!F7699)</f>
        <v>0.0684829732912</v>
      </c>
      <c r="G7841" s="7" t="n">
        <f aca="false">Sens!G7798/(Sens!G7743-Sens!G7699)</f>
        <v>0.0657870647455879</v>
      </c>
      <c r="H7841" s="7" t="n">
        <f aca="false">Sens!H7798/(Sens!H7743-Sens!H7699)</f>
        <v>0.0644507847440859</v>
      </c>
      <c r="I7841" s="7" t="n">
        <f aca="false">Sens!I7798/(Sens!I7743-Sens!I7699)</f>
        <v>0.0643484225660948</v>
      </c>
      <c r="J7841" s="7" t="n">
        <f aca="false">Sens!J7798/(Sens!J7743-Sens!J7699)</f>
        <v>0.0651931330709965</v>
      </c>
      <c r="K7841" s="7" t="n">
        <f aca="false">Sens!K7798/(Sens!K7743-Sens!K7699)</f>
        <v>0.0666251239878623</v>
      </c>
    </row>
    <row r="7842" customFormat="false" ht="17.15" hidden="false" customHeight="false" outlineLevel="0" collapsed="false">
      <c r="A7842" s="0" t="s">
        <v>1056</v>
      </c>
      <c r="B7842" s="0" t="s">
        <v>98</v>
      </c>
      <c r="F7842" s="6" t="n">
        <f aca="false">Sens!F7728*(al_m365+Sens!F7841+sbc_r)</f>
        <v>83.9220418024092</v>
      </c>
      <c r="G7842" s="6" t="n">
        <f aca="false">Sens!G7728*(al_m365+Sens!G7841+sbc_r)</f>
        <v>96.3653000830948</v>
      </c>
      <c r="H7842" s="6" t="n">
        <f aca="false">Sens!H7728*(al_m365+Sens!H7841+sbc_r)</f>
        <v>108.97883256082</v>
      </c>
      <c r="I7842" s="6" t="n">
        <f aca="false">Sens!I7728*(al_m365+Sens!I7841+sbc_r)</f>
        <v>120.581265847872</v>
      </c>
      <c r="J7842" s="6" t="n">
        <f aca="false">Sens!J7728*(al_m365+Sens!J7841+sbc_r)</f>
        <v>130.983090242762</v>
      </c>
      <c r="K7842" s="6" t="n">
        <f aca="false">Sens!K7728*(al_m365+Sens!K7841+sbc_r)</f>
        <v>140.997250521887</v>
      </c>
      <c r="L7842" s="11" t="s">
        <v>1057</v>
      </c>
    </row>
    <row r="7843" customFormat="false" ht="17.15" hidden="false" customHeight="false" outlineLevel="0" collapsed="false">
      <c r="A7843" s="0" t="s">
        <v>1058</v>
      </c>
      <c r="B7843" s="0" t="s">
        <v>98</v>
      </c>
      <c r="F7843" s="6" t="n">
        <f aca="false">Sens!F7729*(al_lic+Sens!F7841+sbc_r)</f>
        <v>33.4404505454243</v>
      </c>
      <c r="G7843" s="6" t="n">
        <f aca="false">Sens!G7729*(al_lic+Sens!G7841+sbc_r)</f>
        <v>34.7466674967779</v>
      </c>
      <c r="H7843" s="6" t="n">
        <f aca="false">Sens!H7729*(al_lic+Sens!H7841+sbc_r)</f>
        <v>35.9674704332886</v>
      </c>
      <c r="I7843" s="6" t="n">
        <f aca="false">Sens!I7729*(al_lic+Sens!I7841+sbc_r)</f>
        <v>37.084196757101</v>
      </c>
      <c r="J7843" s="6" t="n">
        <f aca="false">Sens!J7729*(al_lic+Sens!J7841+sbc_r)</f>
        <v>38.0707552209731</v>
      </c>
      <c r="K7843" s="6" t="n">
        <f aca="false">Sens!K7729*(al_lic+Sens!K7841+sbc_r)</f>
        <v>38.8973930545128</v>
      </c>
    </row>
    <row r="7844" customFormat="false" ht="17.15" hidden="false" customHeight="false" outlineLevel="0" collapsed="false">
      <c r="A7844" s="0" t="s">
        <v>1059</v>
      </c>
      <c r="B7844" s="0" t="s">
        <v>98</v>
      </c>
      <c r="F7844" s="6" t="n">
        <f aca="false">Sens!F7731*(al_ind+Sens!F7841+sbc_r)</f>
        <v>9.07402573511348</v>
      </c>
      <c r="G7844" s="6" t="n">
        <f aca="false">Sens!G7731*(al_ind+Sens!G7841+sbc_r)</f>
        <v>9.8531487486991</v>
      </c>
      <c r="H7844" s="6" t="n">
        <f aca="false">Sens!H7731*(al_ind+Sens!H7841+sbc_r)</f>
        <v>10.6782417238054</v>
      </c>
      <c r="I7844" s="6" t="n">
        <f aca="false">Sens!I7731*(al_ind+Sens!I7841+sbc_r)</f>
        <v>11.5462380632024</v>
      </c>
      <c r="J7844" s="6" t="n">
        <f aca="false">Sens!J7731*(al_ind+Sens!J7841+sbc_r)</f>
        <v>12.447341133527</v>
      </c>
      <c r="K7844" s="6" t="n">
        <f aca="false">Sens!K7731*(al_ind+Sens!K7841+sbc_r)</f>
        <v>13.3660304309467</v>
      </c>
    </row>
    <row r="7845" customFormat="false" ht="17.15" hidden="false" customHeight="false" outlineLevel="0" collapsed="false">
      <c r="A7845" s="0" t="s">
        <v>1060</v>
      </c>
      <c r="B7845" s="0" t="s">
        <v>98</v>
      </c>
      <c r="F7845" s="6" t="n">
        <f aca="false">Sens!F7733*(al_fro+Sens!F7841+sbc_r)</f>
        <v>3.57156838643868</v>
      </c>
      <c r="G7845" s="6" t="n">
        <f aca="false">Sens!G7733*(al_fro+Sens!G7841+sbc_r)</f>
        <v>3.78302658485801</v>
      </c>
      <c r="H7845" s="6" t="n">
        <f aca="false">Sens!H7733*(al_fro+Sens!H7841+sbc_r)</f>
        <v>4.02392697162323</v>
      </c>
      <c r="I7845" s="6" t="n">
        <f aca="false">Sens!I7733*(al_fro+Sens!I7841+sbc_r)</f>
        <v>4.29703988094942</v>
      </c>
      <c r="J7845" s="6" t="n">
        <f aca="false">Sens!J7733*(al_fro+Sens!J7841+sbc_r)</f>
        <v>4.60350510161045</v>
      </c>
      <c r="K7845" s="6" t="n">
        <f aca="false">Sens!K7733*(al_fro+Sens!K7841+sbc_r)</f>
        <v>4.94327170896047</v>
      </c>
    </row>
    <row r="7846" customFormat="false" ht="17.15" hidden="false" customHeight="false" outlineLevel="0" collapsed="false">
      <c r="A7846" s="0" t="s">
        <v>1061</v>
      </c>
      <c r="B7846" s="0" t="s">
        <v>98</v>
      </c>
      <c r="F7846" s="6" t="n">
        <f aca="false">Sens!F7736*(al_srch+Sens!F7841+sbc_r)</f>
        <v>11.2065528848604</v>
      </c>
      <c r="G7846" s="6" t="n">
        <f aca="false">Sens!G7736*(al_srch+Sens!G7841+sbc_r)</f>
        <v>12.2835982432264</v>
      </c>
      <c r="H7846" s="6" t="n">
        <f aca="false">Sens!H7736*(al_srch+Sens!H7841+sbc_r)</f>
        <v>13.4069199548186</v>
      </c>
      <c r="I7846" s="6" t="n">
        <f aca="false">Sens!I7736*(al_srch+Sens!I7841+sbc_r)</f>
        <v>14.5658430583419</v>
      </c>
      <c r="J7846" s="6" t="n">
        <f aca="false">Sens!J7736*(al_srch+Sens!J7841+sbc_r)</f>
        <v>15.7402423428991</v>
      </c>
      <c r="K7846" s="6" t="n">
        <f aca="false">Sens!K7736*(al_srch+Sens!K7841+sbc_r)</f>
        <v>16.9019677285934</v>
      </c>
    </row>
    <row r="7847" customFormat="false" ht="17.15" hidden="false" customHeight="false" outlineLevel="0" collapsed="false">
      <c r="A7847" s="0" t="s">
        <v>1062</v>
      </c>
      <c r="B7847" s="0" t="s">
        <v>98</v>
      </c>
      <c r="F7847" s="6" t="n">
        <f aca="false">Sens!F7705-Sens!F7706+Sens!F7786</f>
        <v>52.8623286647412</v>
      </c>
      <c r="G7847" s="6" t="n">
        <f aca="false">Sens!G7705-Sens!G7706+Sens!G7786</f>
        <v>90.9040728275534</v>
      </c>
      <c r="H7847" s="6" t="n">
        <f aca="false">Sens!H7705-Sens!H7706+Sens!H7786</f>
        <v>131.644750996567</v>
      </c>
      <c r="I7847" s="6" t="n">
        <f aca="false">Sens!I7705-Sens!I7706+Sens!I7786</f>
        <v>168.39858142968</v>
      </c>
      <c r="J7847" s="6" t="n">
        <f aca="false">Sens!J7705-Sens!J7706+Sens!J7786</f>
        <v>194.311955071191</v>
      </c>
      <c r="K7847" s="6" t="n">
        <f aca="false">Sens!K7705-Sens!K7706+Sens!K7786</f>
        <v>210.298852071854</v>
      </c>
    </row>
    <row r="7848" customFormat="false" ht="17.15" hidden="false" customHeight="false" outlineLevel="0" collapsed="false">
      <c r="A7848" s="0" t="s">
        <v>1063</v>
      </c>
      <c r="B7848" s="0" t="s">
        <v>98</v>
      </c>
      <c r="F7848" s="6" t="n">
        <f aca="false">Sens!F7765+Sens!F7786+Sens!F7716+Sens!F7841*(Sens!F7735-Sens!F7699)+sbc_r*Sens!F7735</f>
        <v>243.639890781928</v>
      </c>
      <c r="G7848" s="6" t="n">
        <f aca="false">Sens!G7765+Sens!G7786+Sens!G7716+Sens!G7841*(Sens!G7735-Sens!G7699)+sbc_r*Sens!G7735</f>
        <v>308.137751237484</v>
      </c>
      <c r="H7848" s="6" t="n">
        <f aca="false">Sens!H7765+Sens!H7786+Sens!H7716+Sens!H7841*(Sens!H7735-Sens!H7699)+sbc_r*Sens!H7735</f>
        <v>375.301728712224</v>
      </c>
      <c r="I7848" s="6" t="n">
        <f aca="false">Sens!I7765+Sens!I7786+Sens!I7716+Sens!I7841*(Sens!I7735-Sens!I7699)+sbc_r*Sens!I7735</f>
        <v>436.425421122645</v>
      </c>
      <c r="J7848" s="6" t="n">
        <f aca="false">Sens!J7765+Sens!J7786+Sens!J7716+Sens!J7841*(Sens!J7735-Sens!J7699)+sbc_r*Sens!J7735</f>
        <v>483.488682946359</v>
      </c>
      <c r="K7848" s="6" t="n">
        <f aca="false">Sens!K7765+Sens!K7786+Sens!K7716+Sens!K7841*(Sens!K7735-Sens!K7699)+sbc_r*Sens!K7735</f>
        <v>517.46179180083</v>
      </c>
    </row>
    <row r="7849" customFormat="false" ht="17.15" hidden="false" customHeight="false" outlineLevel="0" collapsed="false">
      <c r="A7849" s="0" t="s">
        <v>1064</v>
      </c>
      <c r="B7849" s="0" t="s">
        <v>98</v>
      </c>
      <c r="F7849" s="6" t="n">
        <f aca="false">Sens!F7848-Sens!F7842-Sens!F7843-Sens!F7844-Sens!F7845-Sens!F7847</f>
        <v>60.7694756478013</v>
      </c>
      <c r="G7849" s="6" t="n">
        <f aca="false">Sens!G7848-Sens!G7842-Sens!G7843-Sens!G7844-Sens!G7845-Sens!G7847</f>
        <v>72.4855354965011</v>
      </c>
      <c r="H7849" s="6" t="n">
        <f aca="false">Sens!H7848-Sens!H7842-Sens!H7843-Sens!H7844-Sens!H7845-Sens!H7847</f>
        <v>84.00850602612</v>
      </c>
      <c r="I7849" s="6" t="n">
        <f aca="false">Sens!I7848-Sens!I7842-Sens!I7843-Sens!I7844-Sens!I7845-Sens!I7847</f>
        <v>94.5180991438402</v>
      </c>
      <c r="J7849" s="6" t="n">
        <f aca="false">Sens!J7848-Sens!J7842-Sens!J7843-Sens!J7844-Sens!J7845-Sens!J7847</f>
        <v>103.072036176296</v>
      </c>
      <c r="K7849" s="6" t="n">
        <f aca="false">Sens!K7848-Sens!K7842-Sens!K7843-Sens!K7844-Sens!K7845-Sens!K7847</f>
        <v>108.958994012668</v>
      </c>
    </row>
    <row r="7850" customFormat="false" ht="17.15" hidden="false" customHeight="false" outlineLevel="0" collapsed="false">
      <c r="A7850" s="0" t="s">
        <v>1065</v>
      </c>
      <c r="B7850" s="0" t="s">
        <v>98</v>
      </c>
      <c r="F7850" s="6" t="n">
        <f aca="false">Sens!F7767+Sens!F7841*Sens!F7742+sbc_r*Sens!F7742</f>
        <v>26.1917013244284</v>
      </c>
      <c r="G7850" s="6" t="n">
        <f aca="false">Sens!G7767+Sens!G7841*Sens!G7742+sbc_r*Sens!G7742</f>
        <v>26.8083647063368</v>
      </c>
      <c r="H7850" s="6" t="n">
        <f aca="false">Sens!H7767+Sens!H7841*Sens!H7742+sbc_r*Sens!H7742</f>
        <v>27.6944423763697</v>
      </c>
      <c r="I7850" s="6" t="n">
        <f aca="false">Sens!I7767+Sens!I7841*Sens!I7742+sbc_r*Sens!I7742</f>
        <v>28.8200590374814</v>
      </c>
      <c r="J7850" s="6" t="n">
        <f aca="false">Sens!J7767+Sens!J7841*Sens!J7742+sbc_r*Sens!J7742</f>
        <v>30.1498028150639</v>
      </c>
      <c r="K7850" s="6" t="n">
        <f aca="false">Sens!K7767+Sens!K7841*Sens!K7742+sbc_r*Sens!K7742</f>
        <v>31.6456273068072</v>
      </c>
    </row>
    <row r="7851" customFormat="false" ht="17.15" hidden="false" customHeight="false" outlineLevel="0" collapsed="false">
      <c r="A7851" s="0" t="s">
        <v>1066</v>
      </c>
      <c r="B7851" s="0" t="s">
        <v>98</v>
      </c>
      <c r="F7851" s="6" t="n">
        <f aca="false">(Sens!F7850-Sens!F7846)*Sens!F7738/(Sens!F7738+Sens!F7740)</f>
        <v>8.21471242134025</v>
      </c>
      <c r="G7851" s="6" t="n">
        <f aca="false">(Sens!G7850-Sens!G7846)*Sens!G7738/(Sens!G7738+Sens!G7740)</f>
        <v>7.82036756425093</v>
      </c>
      <c r="H7851" s="6" t="n">
        <f aca="false">(Sens!H7850-Sens!H7846)*Sens!H7738/(Sens!H7738+Sens!H7740)</f>
        <v>7.58871696504722</v>
      </c>
      <c r="I7851" s="6" t="n">
        <f aca="false">(Sens!I7850-Sens!I7846)*Sens!I7738/(Sens!I7738+Sens!I7740)</f>
        <v>7.50252373858673</v>
      </c>
      <c r="J7851" s="6" t="n">
        <f aca="false">(Sens!J7850-Sens!J7846)*Sens!J7738/(Sens!J7738+Sens!J7740)</f>
        <v>7.5499914524275</v>
      </c>
      <c r="K7851" s="6" t="n">
        <f aca="false">(Sens!K7850-Sens!K7846)*Sens!K7738/(Sens!K7738+Sens!K7740)</f>
        <v>7.72504504964212</v>
      </c>
    </row>
    <row r="7852" customFormat="false" ht="17.15" hidden="false" customHeight="false" outlineLevel="0" collapsed="false">
      <c r="A7852" s="0" t="s">
        <v>1067</v>
      </c>
      <c r="B7852" s="0" t="s">
        <v>98</v>
      </c>
      <c r="F7852" s="6" t="n">
        <f aca="false">Sens!F7850-Sens!F7846-Sens!F7851</f>
        <v>6.77043601822777</v>
      </c>
      <c r="G7852" s="6" t="n">
        <f aca="false">Sens!G7850-Sens!G7846-Sens!G7851</f>
        <v>6.70439889885951</v>
      </c>
      <c r="H7852" s="6" t="n">
        <f aca="false">Sens!H7850-Sens!H7846-Sens!H7851</f>
        <v>6.69880545650386</v>
      </c>
      <c r="I7852" s="6" t="n">
        <f aca="false">Sens!I7850-Sens!I7846-Sens!I7851</f>
        <v>6.7516922405528</v>
      </c>
      <c r="J7852" s="6" t="n">
        <f aca="false">Sens!J7850-Sens!J7846-Sens!J7851</f>
        <v>6.85956901973732</v>
      </c>
      <c r="K7852" s="6" t="n">
        <f aca="false">Sens!K7850-Sens!K7846-Sens!K7851</f>
        <v>7.01861452857176</v>
      </c>
    </row>
    <row r="7853" customFormat="false" ht="17.15" hidden="false" customHeight="false" outlineLevel="0" collapsed="false">
      <c r="A7853" s="0" t="s">
        <v>1068</v>
      </c>
      <c r="B7853" s="0" t="s">
        <v>98</v>
      </c>
      <c r="F7853" s="6" t="n">
        <f aca="false">Sens!F7847-tax_f*(Sens!F7847-Sens!F7716)-Sens!F7713</f>
        <v>-119.455575766112</v>
      </c>
      <c r="G7853" s="6" t="n">
        <f aca="false">Sens!G7847-tax_f*(Sens!G7847-Sens!G7716)-Sens!G7713</f>
        <v>-98.7471046193049</v>
      </c>
      <c r="H7853" s="6" t="n">
        <f aca="false">Sens!H7847-tax_f*(Sens!H7847-Sens!H7716)-Sens!H7713</f>
        <v>-65.2135509647339</v>
      </c>
      <c r="I7853" s="6" t="n">
        <f aca="false">Sens!I7847-tax_f*(Sens!I7847-Sens!I7716)-Sens!I7713</f>
        <v>-6.58792506427264</v>
      </c>
      <c r="J7853" s="6" t="n">
        <f aca="false">Sens!J7847-tax_f*(Sens!J7847-Sens!J7716)-Sens!J7713</f>
        <v>56.77630047318</v>
      </c>
      <c r="K7853" s="6" t="n">
        <f aca="false">Sens!K7847-tax_f*(Sens!K7847-Sens!K7716)-Sens!K7713</f>
        <v>81.2116463262265</v>
      </c>
    </row>
    <row r="7854" customFormat="false" ht="17.15" hidden="false" customHeight="false" outlineLevel="0" collapsed="false">
      <c r="A7854" s="0" t="s">
        <v>1069</v>
      </c>
      <c r="B7854" s="0" t="s">
        <v>98</v>
      </c>
      <c r="F7854" s="6" t="n">
        <f aca="false">Sens!F7853*Sens!F7827</f>
        <v>-113.74480768505</v>
      </c>
      <c r="G7854" s="6" t="n">
        <f aca="false">Sens!G7853*Sens!G7827</f>
        <v>-85.2510693007338</v>
      </c>
      <c r="H7854" s="6" t="n">
        <f aca="false">Sens!H7853*Sens!H7827</f>
        <v>-51.0462241351088</v>
      </c>
      <c r="I7854" s="6" t="n">
        <f aca="false">Sens!I7853*Sens!I7827</f>
        <v>-4.67546418497384</v>
      </c>
      <c r="J7854" s="6" t="n">
        <f aca="false">Sens!J7853*Sens!J7827</f>
        <v>36.5336853740434</v>
      </c>
      <c r="K7854" s="6" t="n">
        <f aca="false">Sens!K7853*Sens!K7827</f>
        <v>47.3799958182754</v>
      </c>
    </row>
    <row r="7855" customFormat="false" ht="17.15" hidden="false" customHeight="false" outlineLevel="0" collapsed="false">
      <c r="A7855" s="0" t="s">
        <v>1070</v>
      </c>
      <c r="B7855" s="0" t="s">
        <v>98</v>
      </c>
      <c r="C7855" s="6" t="n">
        <f aca="false">(Sens!K7847-Sens!K7716)*(1-tax_f)*(1+g_tv)*(1-g_tv/(wacc+ronic_prem))/(wacc-g_tv)/(1+wacc)^(Sens!K7826+mid_yr)</f>
        <v>314.131921865397</v>
      </c>
    </row>
    <row r="7856" customFormat="false" ht="17.15" hidden="false" customHeight="false" outlineLevel="0" collapsed="false">
      <c r="A7856" s="1" t="s">
        <v>1071</v>
      </c>
      <c r="B7856" s="0" t="s">
        <v>98</v>
      </c>
      <c r="C7856" s="6" t="n">
        <f aca="false">(SUM(Sens!F7854:K7854)+Sens!$C$7855)*(1+wacc)^t_roll</f>
        <v>163.212422243237</v>
      </c>
      <c r="L7856" s="11" t="s">
        <v>1072</v>
      </c>
    </row>
    <row r="7857" customFormat="false" ht="17.15" hidden="false" customHeight="false" outlineLevel="0" collapsed="false">
      <c r="A7857" s="1" t="s">
        <v>1073</v>
      </c>
      <c r="B7857" s="0" t="s">
        <v>98</v>
      </c>
      <c r="C7857" s="6" t="n">
        <f aca="false">(w_ntm28*Sens!G7705+(1-w_ntm28)*Sens!H7705)*m_ai</f>
        <v>454.922440830797</v>
      </c>
    </row>
    <row r="7858" customFormat="false" ht="17.15" hidden="false" customHeight="false" outlineLevel="0" collapsed="false">
      <c r="A7858" s="1" t="s">
        <v>1074</v>
      </c>
      <c r="B7858" s="0" t="s">
        <v>98</v>
      </c>
      <c r="C7858" s="6" t="n">
        <f aca="false">(w_ntm28*Sens!G7849+(1-w_ntm28)*Sens!H7849)*m_cloud</f>
        <v>1053.23283870105</v>
      </c>
    </row>
    <row r="7859" customFormat="false" ht="17.15" hidden="false" customHeight="false" outlineLevel="0" collapsed="false">
      <c r="A7859" s="1" t="s">
        <v>1075</v>
      </c>
      <c r="B7859" s="0" t="s">
        <v>98</v>
      </c>
      <c r="C7859" s="6" t="n">
        <f aca="false">(w_ntm28*Sens!G7842+(1-w_ntm28)*Sens!H7842)*m_sw</f>
        <v>1084.78547593746</v>
      </c>
    </row>
    <row r="7860" customFormat="false" ht="17.15" hidden="false" customHeight="false" outlineLevel="0" collapsed="false">
      <c r="A7860" s="1" t="s">
        <v>1076</v>
      </c>
      <c r="B7860" s="0" t="s">
        <v>98</v>
      </c>
      <c r="C7860" s="6" t="n">
        <f aca="false">(w_ntm28*Sens!G7843+(1-w_ntm28)*Sens!H7843)*m_sw</f>
        <v>379.526450779692</v>
      </c>
    </row>
    <row r="7861" customFormat="false" ht="17.15" hidden="false" customHeight="false" outlineLevel="0" collapsed="false">
      <c r="A7861" s="1" t="s">
        <v>1077</v>
      </c>
      <c r="B7861" s="0" t="s">
        <v>98</v>
      </c>
      <c r="C7861" s="6" t="n">
        <f aca="false">(w_ntm28*Sens!G7844+(1-w_ntm28)*Sens!H7844)*m_sw</f>
        <v>109.294824259856</v>
      </c>
    </row>
    <row r="7862" customFormat="false" ht="17.15" hidden="false" customHeight="false" outlineLevel="0" collapsed="false">
      <c r="A7862" s="1" t="s">
        <v>1078</v>
      </c>
      <c r="B7862" s="0" t="s">
        <v>98</v>
      </c>
      <c r="C7862" s="6" t="n">
        <f aca="false">(w_ntm28*Sens!G7845+(1-w_ntm28)*Sens!H7845)*m_sw</f>
        <v>41.6977924668599</v>
      </c>
    </row>
    <row r="7863" customFormat="false" ht="17.15" hidden="false" customHeight="false" outlineLevel="0" collapsed="false">
      <c r="A7863" s="1" t="s">
        <v>1079</v>
      </c>
      <c r="B7863" s="0" t="s">
        <v>98</v>
      </c>
      <c r="C7863" s="6" t="n">
        <f aca="false">(w_ntm28*Sens!G7846+(1-w_ntm28)*Sens!H7846)*m_ads</f>
        <v>115.211931704087</v>
      </c>
    </row>
    <row r="7864" customFormat="false" ht="17.15" hidden="false" customHeight="false" outlineLevel="0" collapsed="false">
      <c r="A7864" s="1" t="s">
        <v>1080</v>
      </c>
      <c r="B7864" s="0" t="s">
        <v>98</v>
      </c>
      <c r="C7864" s="6" t="n">
        <f aca="false">(w_ntm28*Sens!G7851+(1-w_ntm28)*Sens!H7851)*m_game</f>
        <v>97.8253843802776</v>
      </c>
    </row>
    <row r="7865" customFormat="false" ht="17.15" hidden="false" customHeight="false" outlineLevel="0" collapsed="false">
      <c r="A7865" s="1" t="s">
        <v>1081</v>
      </c>
      <c r="B7865" s="0" t="s">
        <v>98</v>
      </c>
      <c r="C7865" s="6" t="n">
        <f aca="false">(w_ntm28*Sens!G7852+(1-w_ntm28)*Sens!H7852)*m_pc</f>
        <v>96.9864860964023</v>
      </c>
    </row>
    <row r="7866" customFormat="false" ht="17.15" hidden="false" customHeight="false" outlineLevel="0" collapsed="false">
      <c r="A7866" s="1" t="s">
        <v>1082</v>
      </c>
      <c r="B7866" s="0" t="s">
        <v>98</v>
      </c>
      <c r="C7866" s="6" t="n">
        <f aca="false">Sens!$C$7856+Sens!$C$7858+Sens!$C$7859+Sens!$C$7860+Sens!$C$7861+Sens!$C$7862+Sens!$C$7863+Sens!$C$7864+Sens!$C$7865</f>
        <v>3141.77360656892</v>
      </c>
    </row>
    <row r="7867" customFormat="false" ht="17.15" hidden="false" customHeight="false" outlineLevel="0" collapsed="false">
      <c r="A7867" s="1" t="s">
        <v>1000</v>
      </c>
      <c r="B7867" s="0" t="s">
        <v>98</v>
      </c>
      <c r="C7867" s="6" t="n">
        <f aca="false">Sens!F7817+oai_v-Sens!F7806</f>
        <v>111.064665761182</v>
      </c>
      <c r="L7867" s="1" t="s">
        <v>1083</v>
      </c>
    </row>
    <row r="7868" customFormat="false" ht="15" hidden="false" customHeight="false" outlineLevel="0" collapsed="false">
      <c r="A7868" s="1" t="s">
        <v>1001</v>
      </c>
      <c r="B7868" s="0" t="s">
        <v>75</v>
      </c>
      <c r="C7868" s="5" t="n">
        <f aca="false">(Sens!$C$7866+Sens!$C$7867)/Sens!F7819</f>
        <v>435.337027881437</v>
      </c>
    </row>
    <row r="7869" customFormat="false" ht="17.15" hidden="false" customHeight="false" outlineLevel="0" collapsed="false">
      <c r="A7869" s="1" t="s">
        <v>1084</v>
      </c>
      <c r="B7869" s="0" t="s">
        <v>75</v>
      </c>
      <c r="C7869" s="5" t="n">
        <f aca="false">w_dcf*Sens!$C$7840+(1-w_dcf)*Sens!$C$7868</f>
        <v>386.259393679552</v>
      </c>
    </row>
    <row r="7870" customFormat="false" ht="17.15" hidden="false" customHeight="false" outlineLevel="0" collapsed="false">
      <c r="A7870" s="3" t="s">
        <v>1439</v>
      </c>
    </row>
    <row r="7871" customFormat="false" ht="15" hidden="false" customHeight="false" outlineLevel="0" collapsed="false">
      <c r="A7871" s="4" t="s">
        <v>43</v>
      </c>
      <c r="B7871" s="4" t="s">
        <v>65</v>
      </c>
      <c r="C7871" s="20" t="s">
        <v>788</v>
      </c>
      <c r="D7871" s="20" t="s">
        <v>789</v>
      </c>
      <c r="E7871" s="20" t="s">
        <v>790</v>
      </c>
      <c r="F7871" s="20" t="s">
        <v>791</v>
      </c>
      <c r="G7871" s="20" t="s">
        <v>792</v>
      </c>
      <c r="H7871" s="20" t="s">
        <v>793</v>
      </c>
      <c r="I7871" s="20" t="s">
        <v>794</v>
      </c>
      <c r="J7871" s="20" t="s">
        <v>795</v>
      </c>
      <c r="K7871" s="20" t="s">
        <v>796</v>
      </c>
      <c r="L7871" s="4" t="s">
        <v>47</v>
      </c>
    </row>
    <row r="7872" customFormat="false" ht="17.15" hidden="false" customHeight="false" outlineLevel="0" collapsed="false">
      <c r="A7872" s="1" t="s">
        <v>797</v>
      </c>
      <c r="B7872" s="1" t="s">
        <v>235</v>
      </c>
      <c r="C7872" s="28" t="n">
        <v>2024</v>
      </c>
      <c r="D7872" s="28" t="n">
        <v>2025</v>
      </c>
      <c r="E7872" s="28" t="n">
        <v>2026</v>
      </c>
      <c r="F7872" s="28" t="n">
        <v>2027</v>
      </c>
      <c r="G7872" s="28" t="n">
        <v>2028</v>
      </c>
      <c r="H7872" s="28" t="n">
        <v>2029</v>
      </c>
      <c r="I7872" s="28" t="n">
        <v>2030</v>
      </c>
      <c r="J7872" s="28" t="n">
        <v>2031</v>
      </c>
      <c r="K7872" s="28" t="n">
        <v>2032</v>
      </c>
    </row>
    <row r="7873" customFormat="false" ht="17.15" hidden="false" customHeight="false" outlineLevel="0" collapsed="false">
      <c r="A7873" s="1" t="s">
        <v>798</v>
      </c>
      <c r="B7873" s="0" t="s">
        <v>392</v>
      </c>
      <c r="F7873" s="29" t="n">
        <f aca="false">pace</f>
        <v>2527.2</v>
      </c>
      <c r="G7873" s="29" t="n">
        <f aca="false">pace</f>
        <v>2527.2</v>
      </c>
      <c r="H7873" s="29" t="n">
        <f aca="false">pace</f>
        <v>2527.2</v>
      </c>
      <c r="I7873" s="29" t="n">
        <f aca="false">pace+(g_tv*Sens!H7874-pace)*MIN(1,(Sens!I7872-pace_y0)/(pace_y1-pace_y0))</f>
        <v>1793.116</v>
      </c>
      <c r="J7873" s="29" t="n">
        <f aca="false">pace+(g_tv*Sens!H7874-pace)*MIN(1,(Sens!J7872-pace_y0)/(pace_y1-pace_y0))</f>
        <v>1059.032</v>
      </c>
      <c r="K7873" s="29" t="n">
        <f aca="false">pace+(g_tv*Sens!H7874-pace)*MIN(1,(Sens!K7872-pace_y0)/(pace_y1-pace_y0))</f>
        <v>324.948</v>
      </c>
      <c r="L7873" s="11" t="s">
        <v>799</v>
      </c>
    </row>
    <row r="7874" customFormat="false" ht="17.15" hidden="false" customHeight="false" outlineLevel="0" collapsed="false">
      <c r="A7874" s="1" t="s">
        <v>800</v>
      </c>
      <c r="B7874" s="0" t="s">
        <v>392</v>
      </c>
      <c r="C7874" s="29" t="n">
        <f aca="false">mw_ext_24</f>
        <v>640</v>
      </c>
      <c r="D7874" s="29" t="n">
        <f aca="false">mw_ext_25</f>
        <v>1630</v>
      </c>
      <c r="E7874" s="29" t="n">
        <f aca="false">mw_ext_26</f>
        <v>3250</v>
      </c>
      <c r="F7874" s="29" t="n">
        <f aca="false">Sens!E7874+Sens!F7873</f>
        <v>5777.2</v>
      </c>
      <c r="G7874" s="29" t="n">
        <f aca="false">Sens!F7874+Sens!G7873</f>
        <v>8304.4</v>
      </c>
      <c r="H7874" s="29" t="n">
        <f aca="false">Sens!G7874+Sens!H7873</f>
        <v>10831.6</v>
      </c>
      <c r="I7874" s="29" t="n">
        <f aca="false">Sens!H7874+Sens!I7873</f>
        <v>12624.716</v>
      </c>
      <c r="J7874" s="29" t="n">
        <f aca="false">Sens!I7874+Sens!J7873</f>
        <v>13683.748</v>
      </c>
      <c r="K7874" s="29" t="n">
        <f aca="false">Sens!J7874+Sens!K7873</f>
        <v>14008.696</v>
      </c>
      <c r="L7874" s="1" t="s">
        <v>801</v>
      </c>
    </row>
    <row r="7875" customFormat="false" ht="17.15" hidden="false" customHeight="false" outlineLevel="0" collapsed="false">
      <c r="A7875" s="1" t="s">
        <v>802</v>
      </c>
      <c r="B7875" s="0" t="s">
        <v>392</v>
      </c>
      <c r="C7875" s="29" t="n">
        <f aca="false">rent_ext_24</f>
        <v>150</v>
      </c>
      <c r="D7875" s="29" t="n">
        <f aca="false">rent_ext_25</f>
        <v>400</v>
      </c>
      <c r="E7875" s="29" t="n">
        <f aca="false">rent_ext_26</f>
        <v>550</v>
      </c>
      <c r="F7875" s="29" t="n">
        <f aca="false">rent_ext_f</f>
        <v>756</v>
      </c>
      <c r="G7875" s="29" t="n">
        <f aca="false">rent_ext_f</f>
        <v>756</v>
      </c>
      <c r="H7875" s="29" t="n">
        <f aca="false">rent_ext_f</f>
        <v>756</v>
      </c>
      <c r="I7875" s="29" t="n">
        <f aca="false">rent_ext_f</f>
        <v>756</v>
      </c>
      <c r="J7875" s="29" t="n">
        <f aca="false">rent_ext_f</f>
        <v>756</v>
      </c>
      <c r="K7875" s="29" t="n">
        <f aca="false">rent_ext_f</f>
        <v>756</v>
      </c>
      <c r="L7875" s="1" t="s">
        <v>803</v>
      </c>
    </row>
    <row r="7876" customFormat="false" ht="17.15" hidden="false" customHeight="false" outlineLevel="0" collapsed="false">
      <c r="A7876" s="1" t="s">
        <v>804</v>
      </c>
      <c r="B7876" s="0" t="s">
        <v>392</v>
      </c>
      <c r="C7876" s="29" t="n">
        <f aca="false">Sens!C7874-Sens!C7875</f>
        <v>490</v>
      </c>
      <c r="D7876" s="29" t="n">
        <f aca="false">Sens!D7874-Sens!D7875</f>
        <v>1230</v>
      </c>
      <c r="E7876" s="29" t="n">
        <f aca="false">Sens!E7874-Sens!E7875</f>
        <v>2700</v>
      </c>
      <c r="F7876" s="29" t="n">
        <f aca="false">Sens!F7874-Sens!F7875</f>
        <v>5021.2</v>
      </c>
      <c r="G7876" s="29" t="n">
        <f aca="false">Sens!G7874-Sens!G7875</f>
        <v>7548.4</v>
      </c>
      <c r="H7876" s="29" t="n">
        <f aca="false">Sens!H7874-Sens!H7875</f>
        <v>10075.6</v>
      </c>
      <c r="I7876" s="29" t="n">
        <f aca="false">Sens!I7874-Sens!I7875</f>
        <v>11868.716</v>
      </c>
      <c r="J7876" s="29" t="n">
        <f aca="false">Sens!J7874-Sens!J7875</f>
        <v>12927.748</v>
      </c>
      <c r="K7876" s="29" t="n">
        <f aca="false">Sens!K7874-Sens!K7875</f>
        <v>13252.696</v>
      </c>
    </row>
    <row r="7877" customFormat="false" ht="17.15" hidden="false" customHeight="false" outlineLevel="0" collapsed="false">
      <c r="A7877" s="1" t="s">
        <v>805</v>
      </c>
      <c r="B7877" s="0" t="s">
        <v>392</v>
      </c>
      <c r="C7877" s="29" t="n">
        <f aca="false">Sens!C7876/ext_sh</f>
        <v>816.666666666667</v>
      </c>
      <c r="D7877" s="29" t="n">
        <f aca="false">Sens!D7876/ext_sh</f>
        <v>2050</v>
      </c>
      <c r="E7877" s="29" t="n">
        <f aca="false">Sens!E7876/ext_sh</f>
        <v>4500</v>
      </c>
      <c r="F7877" s="29" t="n">
        <f aca="false">Sens!F7876/ext_sh</f>
        <v>8368.66666666667</v>
      </c>
      <c r="G7877" s="29" t="n">
        <f aca="false">Sens!G7876/ext_sh</f>
        <v>12580.6666666667</v>
      </c>
      <c r="H7877" s="29" t="n">
        <f aca="false">Sens!H7876/ext_sh</f>
        <v>16792.6666666667</v>
      </c>
      <c r="I7877" s="29" t="n">
        <f aca="false">Sens!I7876/ext_sh</f>
        <v>19781.1933333333</v>
      </c>
      <c r="J7877" s="29" t="n">
        <f aca="false">Sens!J7876/ext_sh</f>
        <v>21546.2466666667</v>
      </c>
      <c r="K7877" s="29" t="n">
        <f aca="false">Sens!K7876/ext_sh</f>
        <v>22087.8266666667</v>
      </c>
      <c r="L7877" s="1" t="s">
        <v>806</v>
      </c>
    </row>
    <row r="7878" customFormat="false" ht="17.15" hidden="false" customHeight="false" outlineLevel="0" collapsed="false">
      <c r="A7878" s="1" t="s">
        <v>807</v>
      </c>
      <c r="B7878" s="0" t="s">
        <v>392</v>
      </c>
      <c r="C7878" s="29" t="n">
        <f aca="false">Sens!C7877-Sens!C7876</f>
        <v>326.666666666667</v>
      </c>
      <c r="D7878" s="29" t="n">
        <f aca="false">Sens!D7877-Sens!D7876</f>
        <v>820</v>
      </c>
      <c r="E7878" s="29" t="n">
        <f aca="false">Sens!E7877-Sens!E7876</f>
        <v>1800</v>
      </c>
      <c r="F7878" s="29" t="n">
        <f aca="false">Sens!F7877-Sens!F7876</f>
        <v>3347.46666666667</v>
      </c>
      <c r="G7878" s="29" t="n">
        <f aca="false">Sens!G7877-Sens!G7876</f>
        <v>5032.26666666667</v>
      </c>
      <c r="H7878" s="29" t="n">
        <f aca="false">Sens!H7877-Sens!H7876</f>
        <v>6717.06666666667</v>
      </c>
      <c r="I7878" s="29" t="n">
        <f aca="false">Sens!I7877-Sens!I7876</f>
        <v>7912.47733333333</v>
      </c>
      <c r="J7878" s="29" t="n">
        <f aca="false">Sens!J7877-Sens!J7876</f>
        <v>8618.49866666667</v>
      </c>
      <c r="K7878" s="29" t="n">
        <f aca="false">Sens!K7877-Sens!K7876</f>
        <v>8835.13066666667</v>
      </c>
    </row>
    <row r="7879" customFormat="false" ht="17.15" hidden="false" customHeight="false" outlineLevel="0" collapsed="false">
      <c r="A7879" s="1" t="s">
        <v>808</v>
      </c>
      <c r="B7879" s="0" t="s">
        <v>392</v>
      </c>
      <c r="C7879" s="29" t="n">
        <f aca="false">Sens!C7877</f>
        <v>816.666666666667</v>
      </c>
      <c r="D7879" s="29" t="n">
        <f aca="false">Sens!D7877-Sens!C7877</f>
        <v>1233.33333333333</v>
      </c>
      <c r="E7879" s="29" t="n">
        <f aca="false">Sens!E7877-Sens!D7877</f>
        <v>2450</v>
      </c>
      <c r="F7879" s="29" t="n">
        <f aca="false">Sens!F7877-Sens!E7877</f>
        <v>3868.66666666667</v>
      </c>
      <c r="G7879" s="29" t="n">
        <f aca="false">Sens!G7877-Sens!F7877</f>
        <v>4212</v>
      </c>
      <c r="H7879" s="29" t="n">
        <f aca="false">Sens!H7877-Sens!G7877</f>
        <v>4212</v>
      </c>
      <c r="I7879" s="29" t="n">
        <f aca="false">Sens!I7877-Sens!H7877</f>
        <v>2988.52666666667</v>
      </c>
      <c r="J7879" s="29" t="n">
        <f aca="false">Sens!J7877-Sens!I7877</f>
        <v>1765.05333333333</v>
      </c>
      <c r="K7879" s="29" t="n">
        <f aca="false">Sens!K7877-Sens!J7877</f>
        <v>541.580000000002</v>
      </c>
    </row>
    <row r="7880" customFormat="false" ht="17.15" hidden="false" customHeight="false" outlineLevel="0" collapsed="false">
      <c r="A7880" s="1" t="s">
        <v>809</v>
      </c>
      <c r="B7880" s="0" t="s">
        <v>392</v>
      </c>
      <c r="D7880" s="29" t="n">
        <f aca="false">Sens!D7874-Sens!C7874</f>
        <v>990</v>
      </c>
      <c r="E7880" s="29" t="n">
        <f aca="false">Sens!E7874-Sens!D7874</f>
        <v>1620</v>
      </c>
      <c r="F7880" s="29" t="n">
        <f aca="false">Sens!F7874-Sens!E7874</f>
        <v>2527.2</v>
      </c>
      <c r="G7880" s="29" t="n">
        <f aca="false">Sens!G7874-Sens!F7874</f>
        <v>2527.2</v>
      </c>
      <c r="H7880" s="29" t="n">
        <f aca="false">Sens!H7874-Sens!G7874</f>
        <v>2527.2</v>
      </c>
      <c r="I7880" s="29" t="n">
        <f aca="false">Sens!I7874-Sens!H7874</f>
        <v>1793.116</v>
      </c>
      <c r="J7880" s="29" t="n">
        <f aca="false">Sens!J7874-Sens!I7874</f>
        <v>1059.032</v>
      </c>
      <c r="K7880" s="29" t="n">
        <f aca="false">Sens!K7874-Sens!J7874</f>
        <v>324.948</v>
      </c>
    </row>
    <row r="7881" customFormat="false" ht="17.15" hidden="false" customHeight="false" outlineLevel="0" collapsed="false">
      <c r="A7881" s="1" t="s">
        <v>810</v>
      </c>
      <c r="B7881" s="0" t="s">
        <v>392</v>
      </c>
      <c r="F7881" s="29" t="n">
        <f aca="false">Sens!F7898*ext_sh</f>
        <v>0</v>
      </c>
      <c r="G7881" s="29" t="n">
        <f aca="false">Sens!G7898*ext_sh</f>
        <v>0</v>
      </c>
      <c r="H7881" s="29" t="n">
        <f aca="false">Sens!H7898*ext_sh</f>
        <v>0</v>
      </c>
      <c r="I7881" s="29" t="n">
        <f aca="false">Sens!I7898*ext_sh</f>
        <v>490</v>
      </c>
      <c r="J7881" s="29" t="n">
        <f aca="false">Sens!J7898*ext_sh</f>
        <v>740</v>
      </c>
      <c r="K7881" s="29" t="n">
        <f aca="false">Sens!K7898*ext_sh</f>
        <v>1470</v>
      </c>
      <c r="L7881" s="1" t="s">
        <v>811</v>
      </c>
    </row>
    <row r="7882" customFormat="false" ht="17.15" hidden="false" customHeight="false" outlineLevel="0" collapsed="false">
      <c r="A7882" s="1" t="s">
        <v>812</v>
      </c>
      <c r="B7882" s="0" t="s">
        <v>392</v>
      </c>
      <c r="C7882" s="29" t="n">
        <f aca="false">mix_h*Sens!C7874</f>
        <v>128</v>
      </c>
      <c r="D7882" s="29" t="n">
        <f aca="false">mix_h*Sens!D7874</f>
        <v>326</v>
      </c>
      <c r="E7882" s="29" t="n">
        <f aca="false">mix_h*Sens!E7874</f>
        <v>650</v>
      </c>
      <c r="F7882" s="29" t="n">
        <f aca="false">Sens!E7882-Sens!F7881*mix_h</f>
        <v>650</v>
      </c>
      <c r="G7882" s="29" t="n">
        <f aca="false">Sens!F7882-Sens!G7881*mix_h</f>
        <v>650</v>
      </c>
      <c r="H7882" s="29" t="n">
        <f aca="false">Sens!G7882-Sens!H7881*mix_h</f>
        <v>650</v>
      </c>
      <c r="I7882" s="29" t="n">
        <f aca="false">Sens!H7882-Sens!I7881*mix_h</f>
        <v>552</v>
      </c>
      <c r="J7882" s="29" t="n">
        <f aca="false">Sens!I7882-Sens!J7881*mix_h</f>
        <v>404</v>
      </c>
      <c r="K7882" s="29" t="n">
        <f aca="false">Sens!J7882-Sens!K7881*mix_h</f>
        <v>110</v>
      </c>
    </row>
    <row r="7883" customFormat="false" ht="17.15" hidden="false" customHeight="false" outlineLevel="0" collapsed="false">
      <c r="A7883" s="1" t="s">
        <v>813</v>
      </c>
      <c r="B7883" s="0" t="s">
        <v>392</v>
      </c>
      <c r="C7883" s="29" t="n">
        <f aca="false">mix_g2*Sens!C7874</f>
        <v>288</v>
      </c>
      <c r="D7883" s="29" t="n">
        <f aca="false">mix_g2*Sens!D7874</f>
        <v>733.5</v>
      </c>
      <c r="E7883" s="29" t="n">
        <f aca="false">mix_g2*Sens!E7874</f>
        <v>1462.5</v>
      </c>
      <c r="F7883" s="29" t="n">
        <f aca="false">Sens!E7883-Sens!F7881*mix_g2</f>
        <v>1462.5</v>
      </c>
      <c r="G7883" s="29" t="n">
        <f aca="false">Sens!F7883-Sens!G7881*mix_g2</f>
        <v>1462.5</v>
      </c>
      <c r="H7883" s="29" t="n">
        <f aca="false">Sens!G7883-Sens!H7881*mix_g2</f>
        <v>1462.5</v>
      </c>
      <c r="I7883" s="29" t="n">
        <f aca="false">Sens!H7883-Sens!I7881*mix_g2</f>
        <v>1242</v>
      </c>
      <c r="J7883" s="29" t="n">
        <f aca="false">Sens!I7883-Sens!J7881*mix_g2</f>
        <v>909</v>
      </c>
      <c r="K7883" s="29" t="n">
        <f aca="false">Sens!J7883-Sens!K7881*mix_g2</f>
        <v>247.5</v>
      </c>
    </row>
    <row r="7884" customFormat="false" ht="17.15" hidden="false" customHeight="false" outlineLevel="0" collapsed="false">
      <c r="A7884" s="1" t="s">
        <v>814</v>
      </c>
      <c r="B7884" s="0" t="s">
        <v>392</v>
      </c>
      <c r="C7884" s="29" t="n">
        <f aca="false">mix_g3*Sens!C7874</f>
        <v>224</v>
      </c>
      <c r="D7884" s="29" t="n">
        <f aca="false">mix_g3*Sens!D7874</f>
        <v>570.5</v>
      </c>
      <c r="E7884" s="29" t="n">
        <f aca="false">mix_g3*Sens!E7874</f>
        <v>1137.5</v>
      </c>
      <c r="F7884" s="29" t="n">
        <f aca="false">Sens!E7884+(Sens!F7880+Sens!F7881)*a_g3_27-Sens!F7881*mix_g3</f>
        <v>2906.54</v>
      </c>
      <c r="G7884" s="29" t="n">
        <f aca="false">Sens!F7884+(Sens!G7880+Sens!G7881)*a_g3_28-Sens!G7881*mix_g3</f>
        <v>3664.7</v>
      </c>
      <c r="H7884" s="29" t="n">
        <f aca="false">Sens!G7884+(Sens!H7880+Sens!H7881)*a_g3_29-Sens!H7881*mix_g3</f>
        <v>3917.42</v>
      </c>
      <c r="I7884" s="29" t="n">
        <f aca="false">Sens!H7884+(Sens!I7880+Sens!I7881)*a_g3_29-Sens!I7881*mix_g3</f>
        <v>3974.2316</v>
      </c>
      <c r="J7884" s="29" t="n">
        <f aca="false">Sens!I7884+(Sens!J7880+Sens!J7881)*a_g3_29-Sens!J7881*mix_g3</f>
        <v>3895.1348</v>
      </c>
      <c r="K7884" s="29" t="n">
        <f aca="false">Sens!J7884+(Sens!K7880+Sens!K7881)*a_g3_29-Sens!K7881*mix_g3</f>
        <v>3560.1296</v>
      </c>
    </row>
    <row r="7885" customFormat="false" ht="17.15" hidden="false" customHeight="false" outlineLevel="0" collapsed="false">
      <c r="A7885" s="1" t="s">
        <v>815</v>
      </c>
      <c r="B7885" s="0" t="s">
        <v>392</v>
      </c>
      <c r="C7885" s="29" t="n">
        <v>0</v>
      </c>
      <c r="D7885" s="29" t="n">
        <v>0</v>
      </c>
      <c r="E7885" s="29" t="n">
        <v>0</v>
      </c>
      <c r="F7885" s="29" t="n">
        <f aca="false">Sens!E7885+(Sens!F7880+Sens!F7881)*(1-a_g3_27)</f>
        <v>758.16</v>
      </c>
      <c r="G7885" s="29" t="n">
        <f aca="false">Sens!F7885+(Sens!G7880+Sens!G7881)*(1-a_g3_28)</f>
        <v>2527.2</v>
      </c>
      <c r="H7885" s="29" t="n">
        <f aca="false">Sens!G7885+(Sens!H7880+Sens!H7881)*(1-a_g3_29)</f>
        <v>4801.68</v>
      </c>
      <c r="I7885" s="29" t="n">
        <f aca="false">Sens!H7885+(Sens!I7880+Sens!I7881)*(1-a_g3_29)</f>
        <v>6856.4844</v>
      </c>
      <c r="J7885" s="29" t="n">
        <f aca="false">Sens!I7885+(Sens!J7880+Sens!J7881)*(1-a_g3_29)</f>
        <v>8475.6132</v>
      </c>
      <c r="K7885" s="29" t="n">
        <f aca="false">Sens!J7885+(Sens!K7880+Sens!K7881)*(1-a_g3_29)</f>
        <v>10091.0664</v>
      </c>
    </row>
    <row r="7886" customFormat="false" ht="17.15" hidden="false" customHeight="false" outlineLevel="0" collapsed="false">
      <c r="A7886" s="1" t="s">
        <v>816</v>
      </c>
      <c r="B7886" s="0" t="s">
        <v>339</v>
      </c>
      <c r="C7886" s="14" t="n">
        <f aca="false">(Sens!C7882*tk_hold_h100+Sens!C7883*tk_hold_gb200+Sens!C7884*tk_hold_gb300+Sens!C7885*tk_hold_vr200)/Sens!C7874</f>
        <v>9.7235358126469</v>
      </c>
      <c r="D7886" s="14" t="n">
        <f aca="false">(Sens!D7882*tk_hold_h100+Sens!D7883*tk_hold_gb200+Sens!D7884*tk_hold_gb300+Sens!D7885*tk_hold_vr200)/Sens!D7874</f>
        <v>9.7235358126469</v>
      </c>
      <c r="E7886" s="14" t="n">
        <f aca="false">(Sens!E7882*tk_hold_h100+Sens!E7883*tk_hold_gb200+Sens!E7884*tk_hold_gb300+Sens!E7885*tk_hold_vr200)/Sens!E7874</f>
        <v>9.7235358126469</v>
      </c>
      <c r="F7886" s="14" t="n">
        <f aca="false">(Sens!F7882*tk_hold_h100+Sens!F7883*tk_hold_gb200+Sens!F7884*tk_hold_gb300+Sens!F7885*tk_hold_vr200)/Sens!F7874</f>
        <v>10.4079573161931</v>
      </c>
      <c r="G7886" s="14" t="n">
        <f aca="false">(Sens!G7882*tk_hold_h100+Sens!G7883*tk_hold_gb200+Sens!G7884*tk_hold_gb300+Sens!G7885*tk_hold_vr200)/Sens!G7874</f>
        <v>10.8388131109316</v>
      </c>
      <c r="H7886" s="14" t="n">
        <f aca="false">(Sens!H7882*tk_hold_h100+Sens!H7883*tk_hold_gb200+Sens!H7884*tk_hold_gb300+Sens!H7885*tk_hold_vr200)/Sens!H7874</f>
        <v>11.1311018388216</v>
      </c>
      <c r="I7886" s="14" t="n">
        <f aca="false">(Sens!I7882*tk_hold_h100+Sens!I7883*tk_hold_gb200+Sens!I7884*tk_hold_gb300+Sens!I7885*tk_hold_vr200)/Sens!I7874</f>
        <v>11.3594282560989</v>
      </c>
      <c r="J7886" s="14" t="n">
        <f aca="false">(Sens!J7882*tk_hold_h100+Sens!J7883*tk_hold_gb200+Sens!J7884*tk_hold_gb300+Sens!J7885*tk_hold_vr200)/Sens!J7874</f>
        <v>11.5441508808221</v>
      </c>
      <c r="K7886" s="14" t="n">
        <f aca="false">(Sens!K7882*tk_hold_h100+Sens!K7883*tk_hold_gb200+Sens!K7884*tk_hold_gb300+Sens!K7885*tk_hold_vr200)/Sens!K7874</f>
        <v>11.8053375063575</v>
      </c>
    </row>
    <row r="7887" customFormat="false" ht="17.15" hidden="false" customHeight="false" outlineLevel="0" collapsed="false">
      <c r="A7887" s="0" t="s">
        <v>817</v>
      </c>
      <c r="B7887" s="0" t="s">
        <v>185</v>
      </c>
      <c r="C7887" s="14" t="n">
        <f aca="false">k_B</f>
        <v>1.17213932619116</v>
      </c>
      <c r="D7887" s="14" t="n">
        <f aca="false">k_B</f>
        <v>1.17213932619116</v>
      </c>
      <c r="E7887" s="14" t="n">
        <f aca="false">k_B</f>
        <v>1.17213932619116</v>
      </c>
      <c r="F7887" s="14" t="n">
        <f aca="false">(k_B+((ls_C*k_long+(1-ls_C)*k_spot)-k_B)*MIN(1,(Sens!F7872-base_fy)/k_ramp))</f>
        <v>1.07843258004497</v>
      </c>
      <c r="G7887" s="14" t="n">
        <f aca="false">(k_B+((ls_C*k_long+(1-ls_C)*k_spot)-k_B)*MIN(1,(Sens!G7872-base_fy)/k_ramp))</f>
        <v>0.984725833898784</v>
      </c>
      <c r="H7887" s="14" t="n">
        <f aca="false">(k_B+((ls_C*k_long+(1-ls_C)*k_spot)-k_B)*MIN(1,(Sens!H7872-base_fy)/k_ramp))</f>
        <v>0.891019087752599</v>
      </c>
      <c r="I7887" s="14" t="n">
        <f aca="false">(k_B+((ls_C*k_long+(1-ls_C)*k_spot)-k_B)*MIN(1,(Sens!I7872-base_fy)/k_ramp))</f>
        <v>0.891019087752599</v>
      </c>
      <c r="J7887" s="14" t="n">
        <f aca="false">(k_B+((ls_C*k_long+(1-ls_C)*k_spot)-k_B)*MIN(1,(Sens!J7872-base_fy)/k_ramp))</f>
        <v>0.891019087752599</v>
      </c>
      <c r="K7887" s="14" t="n">
        <f aca="false">(k_B+((ls_C*k_long+(1-ls_C)*k_spot)-k_B)*MIN(1,(Sens!K7872-base_fy)/k_ramp))</f>
        <v>0.891019087752599</v>
      </c>
      <c r="L7887" s="1" t="s">
        <v>818</v>
      </c>
    </row>
    <row r="7888" customFormat="false" ht="17.15" hidden="false" customHeight="false" outlineLevel="0" collapsed="false">
      <c r="A7888" s="1" t="s">
        <v>819</v>
      </c>
      <c r="B7888" s="0" t="s">
        <v>339</v>
      </c>
      <c r="C7888" s="14" t="n">
        <f aca="false">Sens!C7886*Sens!C7887*chip_f</f>
        <v>11.3973387156315</v>
      </c>
      <c r="D7888" s="14" t="n">
        <f aca="false">Sens!D7886*Sens!D7887*chip_f</f>
        <v>11.3973387156315</v>
      </c>
      <c r="E7888" s="14" t="n">
        <f aca="false">Sens!E7886*Sens!E7887*chip_f</f>
        <v>11.3973387156315</v>
      </c>
      <c r="F7888" s="14" t="n">
        <f aca="false">Sens!F7886*Sens!F7887*chip_f</f>
        <v>11.2242802615</v>
      </c>
      <c r="G7888" s="14" t="n">
        <f aca="false">Sens!G7886*Sens!G7887*chip_f</f>
        <v>10.6732592791352</v>
      </c>
      <c r="H7888" s="14" t="n">
        <f aca="false">Sens!H7886*Sens!H7887*chip_f</f>
        <v>9.91802420610807</v>
      </c>
      <c r="I7888" s="14" t="n">
        <f aca="false">Sens!I7886*Sens!I7887*chip_f</f>
        <v>10.1214674021403</v>
      </c>
      <c r="J7888" s="14" t="n">
        <f aca="false">Sens!J7886*Sens!J7887*chip_f</f>
        <v>10.2860587867084</v>
      </c>
      <c r="K7888" s="14" t="n">
        <f aca="false">Sens!K7886*Sens!K7887*chip_f</f>
        <v>10.5187810555262</v>
      </c>
      <c r="L7888" s="1" t="s">
        <v>820</v>
      </c>
    </row>
    <row r="7889" customFormat="false" ht="17.15" hidden="false" customHeight="false" outlineLevel="0" collapsed="false">
      <c r="A7889" s="0" t="s">
        <v>821</v>
      </c>
      <c r="B7889" s="0" t="s">
        <v>98</v>
      </c>
      <c r="D7889" s="6" t="n">
        <f aca="false">(Sens!C7874+Sens!D7874)/2*Sens!D7888/1000</f>
        <v>12.9359794422418</v>
      </c>
      <c r="E7889" s="6" t="n">
        <f aca="false">(Sens!D7874+Sens!E7874)/2*Sens!E7888/1000</f>
        <v>27.8095064661409</v>
      </c>
      <c r="F7889" s="6" t="n">
        <f aca="false">(Sens!E7874+Sens!F7874)/2*Sens!F7888/1000</f>
        <v>50.6619113883066</v>
      </c>
      <c r="G7889" s="6" t="n">
        <f aca="false">(Sens!F7874+Sens!G7874)/2*Sens!G7888/1000</f>
        <v>75.1482839325348</v>
      </c>
      <c r="H7889" s="6" t="n">
        <f aca="false">(Sens!G7874+Sens!H7874)/2*Sens!H7888/1000</f>
        <v>94.895655604042</v>
      </c>
      <c r="I7889" s="6" t="n">
        <f aca="false">(Sens!H7874+Sens!I7874)/2*Sens!I7888/1000</f>
        <v>118.706168884151</v>
      </c>
      <c r="J7889" s="6" t="n">
        <f aca="false">(Sens!I7874+Sens!J7874)/2*Sens!J7888/1000</f>
        <v>135.305203646001</v>
      </c>
      <c r="K7889" s="6" t="n">
        <f aca="false">(Sens!J7874+Sens!K7874)/2*Sens!K7888/1000</f>
        <v>145.64537766421</v>
      </c>
      <c r="L7889" s="11" t="s">
        <v>822</v>
      </c>
    </row>
    <row r="7890" customFormat="false" ht="17.15" hidden="false" customHeight="false" outlineLevel="0" collapsed="false">
      <c r="A7890" s="1" t="s">
        <v>823</v>
      </c>
      <c r="B7890" s="0" t="s">
        <v>339</v>
      </c>
      <c r="C7890" s="14" t="n">
        <f aca="false">(Sens!C7882*tk_opex_h100+Sens!C7883*tk_opex_gb200+Sens!C7884*tk_opex_gb300+Sens!C7885*tk_opex_vr200)/Sens!C7874</f>
        <v>1.88636041306092</v>
      </c>
      <c r="D7890" s="14" t="n">
        <f aca="false">(Sens!D7882*tk_opex_h100+Sens!D7883*tk_opex_gb200+Sens!D7884*tk_opex_gb300+Sens!D7885*tk_opex_vr200)/Sens!D7874</f>
        <v>1.88636041306092</v>
      </c>
      <c r="E7890" s="14" t="n">
        <f aca="false">(Sens!E7882*tk_opex_h100+Sens!E7883*tk_opex_gb200+Sens!E7884*tk_opex_gb300+Sens!E7885*tk_opex_vr200)/Sens!E7874</f>
        <v>1.88636041306092</v>
      </c>
      <c r="F7890" s="14" t="n">
        <f aca="false">(Sens!F7882*tk_opex_h100+Sens!F7883*tk_opex_gb200+Sens!F7884*tk_opex_gb300+Sens!F7885*tk_opex_vr200)/Sens!F7874</f>
        <v>1.9430236476499</v>
      </c>
      <c r="G7890" s="14" t="n">
        <f aca="false">(Sens!G7882*tk_opex_h100+Sens!G7883*tk_opex_gb200+Sens!G7884*tk_opex_gb300+Sens!G7885*tk_opex_vr200)/Sens!G7874</f>
        <v>1.9786941852423</v>
      </c>
      <c r="H7890" s="14" t="n">
        <f aca="false">(Sens!H7882*tk_opex_h100+Sens!H7883*tk_opex_gb200+Sens!H7884*tk_opex_gb300+Sens!H7885*tk_opex_vr200)/Sens!H7874</f>
        <v>2.00289275976156</v>
      </c>
      <c r="I7890" s="14" t="n">
        <f aca="false">(Sens!I7882*tk_opex_h100+Sens!I7883*tk_opex_gb200+Sens!I7884*tk_opex_gb300+Sens!I7885*tk_opex_vr200)/Sens!I7874</f>
        <v>2.02179589661219</v>
      </c>
      <c r="J7890" s="14" t="n">
        <f aca="false">(Sens!J7882*tk_opex_h100+Sens!J7883*tk_opex_gb200+Sens!J7884*tk_opex_gb300+Sens!J7885*tk_opex_vr200)/Sens!J7874</f>
        <v>2.03708907685909</v>
      </c>
      <c r="K7890" s="14" t="n">
        <f aca="false">(Sens!K7882*tk_opex_h100+Sens!K7883*tk_opex_gb200+Sens!K7884*tk_opex_gb300+Sens!K7885*tk_opex_vr200)/Sens!K7874</f>
        <v>2.05871270931005</v>
      </c>
    </row>
    <row r="7891" customFormat="false" ht="17.15" hidden="false" customHeight="false" outlineLevel="0" collapsed="false">
      <c r="A7891" s="0" t="s">
        <v>824</v>
      </c>
      <c r="B7891" s="0" t="s">
        <v>98</v>
      </c>
      <c r="D7891" s="6" t="n">
        <f aca="false">(Sens!C7877+Sens!D7877)/2*Sens!D7890/1000</f>
        <v>2.70378325872065</v>
      </c>
      <c r="E7891" s="6" t="n">
        <f aca="false">(Sens!D7877+Sens!E7877)/2*Sens!E7890/1000</f>
        <v>6.17783035277451</v>
      </c>
      <c r="F7891" s="6" t="n">
        <f aca="false">(Sens!E7877+Sens!F7877)/2*Sens!F7890/1000</f>
        <v>12.5020618235287</v>
      </c>
      <c r="G7891" s="6" t="n">
        <f aca="false">(Sens!F7877+Sens!G7877)/2*Sens!G7890/1000</f>
        <v>20.7261620256847</v>
      </c>
      <c r="H7891" s="6" t="n">
        <f aca="false">(Sens!G7877+Sens!H7877)/2*Sens!H7890/1000</f>
        <v>29.4158183316982</v>
      </c>
      <c r="I7891" s="6" t="n">
        <f aca="false">(Sens!H7877+Sens!I7877)/2*Sens!I7890/1000</f>
        <v>36.9724400356344</v>
      </c>
      <c r="J7891" s="6" t="n">
        <f aca="false">(Sens!I7877+Sens!J7877)/2*Sens!J7890/1000</f>
        <v>42.0938382992747</v>
      </c>
      <c r="K7891" s="6" t="n">
        <f aca="false">(Sens!J7877+Sens!K7877)/2*Sens!K7890/1000</f>
        <v>44.9150106651501</v>
      </c>
    </row>
    <row r="7892" customFormat="false" ht="17.15" hidden="false" customHeight="false" outlineLevel="0" collapsed="false">
      <c r="A7892" s="0" t="s">
        <v>825</v>
      </c>
      <c r="B7892" s="0" t="s">
        <v>98</v>
      </c>
      <c r="D7892" s="6" t="n">
        <f aca="false">(Sens!C7875+Sens!D7875)/2*rent_mw/1000</f>
        <v>2.44475</v>
      </c>
      <c r="E7892" s="6" t="n">
        <f aca="false">(Sens!D7875+Sens!E7875)/2*rent_mw/1000</f>
        <v>4.22275</v>
      </c>
      <c r="F7892" s="6" t="n">
        <f aca="false">(Sens!E7875+Sens!F7875)/2*rent_mw/1000</f>
        <v>5.80517</v>
      </c>
      <c r="G7892" s="6" t="n">
        <f aca="false">(Sens!F7875+Sens!G7875)/2*rent_mw/1000</f>
        <v>6.72084</v>
      </c>
      <c r="H7892" s="6" t="n">
        <f aca="false">(Sens!G7875+Sens!H7875)/2*rent_mw/1000</f>
        <v>6.72084</v>
      </c>
      <c r="I7892" s="6" t="n">
        <f aca="false">(Sens!H7875+Sens!I7875)/2*rent_mw/1000</f>
        <v>6.72084</v>
      </c>
      <c r="J7892" s="6" t="n">
        <f aca="false">(Sens!I7875+Sens!J7875)/2*rent_mw/1000</f>
        <v>6.72084</v>
      </c>
      <c r="K7892" s="6" t="n">
        <f aca="false">(Sens!J7875+Sens!K7875)/2*rent_mw/1000</f>
        <v>6.72084</v>
      </c>
    </row>
    <row r="7893" customFormat="false" ht="17.15" hidden="false" customHeight="false" outlineLevel="0" collapsed="false">
      <c r="A7893" s="0" t="s">
        <v>826</v>
      </c>
      <c r="B7893" s="0" t="s">
        <v>98</v>
      </c>
      <c r="D7893" s="6" t="n">
        <f aca="false">(Sens!C7877+Sens!D7877)/2*(1-self_build)*fac_rent/1000</f>
        <v>0.853242375631075</v>
      </c>
      <c r="E7893" s="6" t="n">
        <f aca="false">(Sens!D7877+Sens!E7877)/2*(1-self_build)*fac_rent/1000</f>
        <v>1.94955961408728</v>
      </c>
      <c r="F7893" s="6" t="n">
        <f aca="false">(Sens!E7877+Sens!F7877)/2*(1-self_build)*fac_rent/1000</f>
        <v>3.83026455274573</v>
      </c>
      <c r="G7893" s="6" t="n">
        <f aca="false">(Sens!F7877+Sens!G7877)/2*(1-self_build)*fac_rent/1000</f>
        <v>6.23541590972812</v>
      </c>
      <c r="H7893" s="6" t="n">
        <f aca="false">(Sens!G7877+Sens!H7877)/2*(1-self_build)*fac_rent/1000</f>
        <v>8.74275792332679</v>
      </c>
      <c r="I7893" s="6" t="n">
        <f aca="false">(Sens!H7877+Sens!I7877)/2*(1-self_build)*fac_rent/1000</f>
        <v>10.8859420438599</v>
      </c>
      <c r="J7893" s="6" t="n">
        <f aca="false">(Sens!I7877+Sens!J7877)/2*(1-self_build)*fac_rent/1000</f>
        <v>12.3008103782619</v>
      </c>
      <c r="K7893" s="6" t="n">
        <f aca="false">(Sens!J7877+Sens!K7877)/2*(1-self_build)*fac_rent/1000</f>
        <v>12.9873629265328</v>
      </c>
      <c r="L7893" s="11" t="s">
        <v>827</v>
      </c>
    </row>
    <row r="7894" customFormat="false" ht="17.15" hidden="false" customHeight="false" outlineLevel="0" collapsed="false">
      <c r="A7894" s="1" t="s">
        <v>828</v>
      </c>
      <c r="B7894" s="0" t="s">
        <v>129</v>
      </c>
      <c r="D7894" s="7" t="n">
        <f aca="false">(Sens!C7876+Sens!D7876)/(Sens!C7877+Sens!D7877)</f>
        <v>0.6</v>
      </c>
      <c r="E7894" s="7" t="n">
        <f aca="false">(Sens!D7876+Sens!E7876)/(Sens!D7877+Sens!E7877)</f>
        <v>0.6</v>
      </c>
      <c r="F7894" s="7" t="n">
        <f aca="false">(Sens!E7876+Sens!F7876)/(Sens!E7877+Sens!F7877)</f>
        <v>0.6</v>
      </c>
      <c r="G7894" s="7" t="n">
        <f aca="false">(Sens!F7876+Sens!G7876)/(Sens!F7877+Sens!G7877)</f>
        <v>0.6</v>
      </c>
      <c r="H7894" s="7" t="n">
        <f aca="false">(Sens!G7876+Sens!H7876)/(Sens!G7877+Sens!H7877)</f>
        <v>0.6</v>
      </c>
      <c r="I7894" s="7" t="n">
        <f aca="false">(Sens!H7876+Sens!I7876)/(Sens!H7877+Sens!I7877)</f>
        <v>0.6</v>
      </c>
      <c r="J7894" s="7" t="n">
        <f aca="false">(Sens!I7876+Sens!J7876)/(Sens!I7877+Sens!J7877)</f>
        <v>0.6</v>
      </c>
      <c r="K7894" s="7" t="n">
        <f aca="false">(Sens!J7876+Sens!K7876)/(Sens!J7877+Sens!K7877)</f>
        <v>0.6</v>
      </c>
    </row>
    <row r="7895" customFormat="false" ht="17.15" hidden="false" customHeight="false" outlineLevel="0" collapsed="false">
      <c r="A7895" s="0" t="s">
        <v>829</v>
      </c>
      <c r="B7895" s="0" t="s">
        <v>98</v>
      </c>
      <c r="D7895" s="6" t="n">
        <f aca="false">Sens!D7889-Sens!D7894*(Sens!D7891+Sens!D7893)-Sens!D7892</f>
        <v>8.35701406163072</v>
      </c>
      <c r="E7895" s="6" t="n">
        <f aca="false">Sens!E7889-Sens!E7894*(Sens!E7891+Sens!E7893)-Sens!E7892</f>
        <v>18.7103224860238</v>
      </c>
      <c r="F7895" s="6" t="n">
        <f aca="false">Sens!F7889-Sens!F7894*(Sens!F7891+Sens!F7893)-Sens!F7892</f>
        <v>35.0573455625419</v>
      </c>
      <c r="G7895" s="6" t="n">
        <f aca="false">Sens!G7889-Sens!G7894*(Sens!G7891+Sens!G7893)-Sens!G7892</f>
        <v>52.2504971712871</v>
      </c>
      <c r="H7895" s="6" t="n">
        <f aca="false">Sens!H7889-Sens!H7894*(Sens!H7891+Sens!H7893)-Sens!H7892</f>
        <v>65.2796698510271</v>
      </c>
      <c r="I7895" s="6" t="n">
        <f aca="false">Sens!I7889-Sens!I7894*(Sens!I7891+Sens!I7893)-Sens!I7892</f>
        <v>83.2702996364549</v>
      </c>
      <c r="J7895" s="6" t="n">
        <f aca="false">Sens!J7889-Sens!J7894*(Sens!J7891+Sens!J7893)-Sens!J7892</f>
        <v>95.9475744394793</v>
      </c>
      <c r="K7895" s="6" t="n">
        <f aca="false">Sens!K7889-Sens!K7894*(Sens!K7891+Sens!K7893)-Sens!K7892</f>
        <v>104.1831135092</v>
      </c>
    </row>
    <row r="7896" customFormat="false" ht="17.15" hidden="false" customHeight="false" outlineLevel="0" collapsed="false">
      <c r="A7896" s="1" t="s">
        <v>830</v>
      </c>
      <c r="B7896" s="0" t="s">
        <v>98</v>
      </c>
      <c r="D7896" s="6" t="n">
        <f aca="false">(1-Sens!D7894)*(Sens!D7891+Sens!D7893)</f>
        <v>1.42281025374069</v>
      </c>
      <c r="E7896" s="6" t="n">
        <f aca="false">(1-Sens!E7894)*(Sens!E7891+Sens!E7893)</f>
        <v>3.25095598674472</v>
      </c>
      <c r="F7896" s="6" t="n">
        <f aca="false">(1-Sens!F7894)*(Sens!F7891+Sens!F7893)</f>
        <v>6.53293055050977</v>
      </c>
      <c r="G7896" s="6" t="n">
        <f aca="false">(1-Sens!G7894)*(Sens!G7891+Sens!G7893)</f>
        <v>10.7846311741651</v>
      </c>
      <c r="H7896" s="6" t="n">
        <f aca="false">(1-Sens!H7894)*(Sens!H7891+Sens!H7893)</f>
        <v>15.26343050201</v>
      </c>
      <c r="I7896" s="6" t="n">
        <f aca="false">(1-Sens!I7894)*(Sens!I7891+Sens!I7893)</f>
        <v>19.1433528317977</v>
      </c>
      <c r="J7896" s="6" t="n">
        <f aca="false">(1-Sens!J7894)*(Sens!J7891+Sens!J7893)</f>
        <v>21.7578594710146</v>
      </c>
      <c r="K7896" s="6" t="n">
        <f aca="false">(1-Sens!K7894)*(Sens!K7891+Sens!K7893)</f>
        <v>23.1609494366731</v>
      </c>
    </row>
    <row r="7897" customFormat="false" ht="17.15" hidden="false" customHeight="false" outlineLevel="0" collapsed="false">
      <c r="A7897" s="1" t="s">
        <v>831</v>
      </c>
      <c r="B7897" s="0" t="s">
        <v>350</v>
      </c>
      <c r="C7897" s="8" t="n">
        <f aca="false">cxit_open</f>
        <v>27.5918995</v>
      </c>
      <c r="D7897" s="8" t="n">
        <f aca="false">cxit_open</f>
        <v>27.5918995</v>
      </c>
      <c r="E7897" s="8" t="n">
        <f aca="false">cxit_open</f>
        <v>27.5918995</v>
      </c>
      <c r="F7897" s="8" t="n">
        <f aca="false">(a_g3_27*tk_cxit_gb300+(1-a_g3_27)*tk_cxit_vr200)</f>
        <v>33.8419624</v>
      </c>
      <c r="G7897" s="8" t="n">
        <f aca="false">(a_g3_28*tk_cxit_gb300+(1-a_g3_28)*tk_cxit_vr200)</f>
        <v>35.9816136</v>
      </c>
      <c r="H7897" s="8" t="n">
        <f aca="false">(a_g3_29*tk_cxit_gb300+(1-a_g3_29)*tk_cxit_vr200)</f>
        <v>37.0514392</v>
      </c>
      <c r="I7897" s="8" t="n">
        <f aca="false">(a_g3_29*tk_cxit_gb300+(1-a_g3_29)*tk_cxit_vr200)</f>
        <v>37.0514392</v>
      </c>
      <c r="J7897" s="8" t="n">
        <f aca="false">(a_g3_29*tk_cxit_gb300+(1-a_g3_29)*tk_cxit_vr200)</f>
        <v>37.0514392</v>
      </c>
      <c r="K7897" s="8" t="n">
        <f aca="false">(a_g3_29*tk_cxit_gb300+(1-a_g3_29)*tk_cxit_vr200)</f>
        <v>37.0514392</v>
      </c>
      <c r="L7897" s="11" t="s">
        <v>832</v>
      </c>
    </row>
    <row r="7898" customFormat="false" ht="17.15" hidden="false" customHeight="false" outlineLevel="0" collapsed="false">
      <c r="A7898" s="0" t="s">
        <v>833</v>
      </c>
      <c r="B7898" s="0" t="s">
        <v>392</v>
      </c>
      <c r="F7898" s="29" t="n">
        <f aca="false">Sens!C7879*IF(Sens!F7872-Sens!C7872=life_it,1,0)+Sens!D7879*IF(Sens!F7872-Sens!D7872=life_it,1,0)+Sens!E7879*IF(Sens!F7872-Sens!E7872=life_it,1,0)</f>
        <v>0</v>
      </c>
      <c r="G7898" s="29" t="n">
        <f aca="false">Sens!C7879*IF(Sens!G7872-Sens!C7872=life_it,1,0)+Sens!D7879*IF(Sens!G7872-Sens!D7872=life_it,1,0)+Sens!E7879*IF(Sens!G7872-Sens!E7872=life_it,1,0)+Sens!F7879*IF(Sens!G7872-Sens!F7872=life_it,1,0)</f>
        <v>0</v>
      </c>
      <c r="H7898" s="29" t="n">
        <f aca="false">Sens!C7879*IF(Sens!H7872-Sens!C7872=life_it,1,0)+Sens!D7879*IF(Sens!H7872-Sens!D7872=life_it,1,0)+Sens!E7879*IF(Sens!H7872-Sens!E7872=life_it,1,0)+Sens!F7879*IF(Sens!H7872-Sens!F7872=life_it,1,0)+Sens!G7879*IF(Sens!H7872-Sens!G7872=life_it,1,0)</f>
        <v>0</v>
      </c>
      <c r="I7898" s="29" t="n">
        <f aca="false">Sens!C7879*IF(Sens!I7872-Sens!C7872=life_it,1,0)+Sens!D7879*IF(Sens!I7872-Sens!D7872=life_it,1,0)+Sens!E7879*IF(Sens!I7872-Sens!E7872=life_it,1,0)+Sens!F7879*IF(Sens!I7872-Sens!F7872=life_it,1,0)+Sens!G7879*IF(Sens!I7872-Sens!G7872=life_it,1,0)+Sens!H7879*IF(Sens!I7872-Sens!H7872=life_it,1,0)</f>
        <v>816.666666666667</v>
      </c>
      <c r="J7898" s="29" t="n">
        <f aca="false">Sens!C7879*IF(Sens!J7872-Sens!C7872=life_it,1,0)+Sens!D7879*IF(Sens!J7872-Sens!D7872=life_it,1,0)+Sens!E7879*IF(Sens!J7872-Sens!E7872=life_it,1,0)+Sens!F7879*IF(Sens!J7872-Sens!F7872=life_it,1,0)+Sens!G7879*IF(Sens!J7872-Sens!G7872=life_it,1,0)+Sens!H7879*IF(Sens!J7872-Sens!H7872=life_it,1,0)+Sens!I7879*IF(Sens!J7872-Sens!I7872=life_it,1,0)</f>
        <v>1233.33333333333</v>
      </c>
      <c r="K7898" s="29" t="n">
        <f aca="false">Sens!C7879*IF(Sens!K7872-Sens!C7872=life_it,1,0)+Sens!D7879*IF(Sens!K7872-Sens!D7872=life_it,1,0)+Sens!E7879*IF(Sens!K7872-Sens!E7872=life_it,1,0)+Sens!F7879*IF(Sens!K7872-Sens!F7872=life_it,1,0)+Sens!G7879*IF(Sens!K7872-Sens!G7872=life_it,1,0)+Sens!H7879*IF(Sens!K7872-Sens!H7872=life_it,1,0)+Sens!I7879*IF(Sens!K7872-Sens!I7872=life_it,1,0)+Sens!J7879*IF(Sens!K7872-Sens!J7872=life_it,1,0)</f>
        <v>2450</v>
      </c>
      <c r="L7898" s="1" t="s">
        <v>834</v>
      </c>
    </row>
    <row r="7899" customFormat="false" ht="17.15" hidden="false" customHeight="false" outlineLevel="0" collapsed="false">
      <c r="A7899" s="0" t="s">
        <v>835</v>
      </c>
      <c r="B7899" s="0" t="s">
        <v>98</v>
      </c>
      <c r="C7899" s="6" t="n">
        <f aca="false">Sens!C7879*Sens!C7897/1000</f>
        <v>22.5333845916667</v>
      </c>
      <c r="D7899" s="6" t="n">
        <f aca="false">Sens!D7879*Sens!D7897/1000</f>
        <v>34.0300093833333</v>
      </c>
      <c r="E7899" s="6" t="n">
        <f aca="false">Sens!E7879*Sens!E7897/1000</f>
        <v>67.600153775</v>
      </c>
      <c r="F7899" s="6" t="n">
        <f aca="false">(Sens!F7879+Sens!F7898)*Sens!F7897/1000</f>
        <v>130.923271871467</v>
      </c>
      <c r="G7899" s="6" t="n">
        <f aca="false">(Sens!G7879+Sens!G7898)*Sens!G7897/1000</f>
        <v>151.5545564832</v>
      </c>
      <c r="H7899" s="6" t="n">
        <f aca="false">(Sens!H7879+Sens!H7898)*Sens!H7897/1000</f>
        <v>156.0606619104</v>
      </c>
      <c r="I7899" s="6" t="n">
        <f aca="false">(Sens!I7879+Sens!I7898)*Sens!I7897/1000</f>
        <v>140.987889434245</v>
      </c>
      <c r="J7899" s="6" t="n">
        <f aca="false">(Sens!J7879+Sens!J7898)*Sens!J7897/1000</f>
        <v>111.094541278091</v>
      </c>
      <c r="K7899" s="6" t="n">
        <f aca="false">(Sens!K7879+Sens!K7898)*Sens!K7897/1000</f>
        <v>110.842344481936</v>
      </c>
    </row>
    <row r="7900" customFormat="false" ht="17.15" hidden="false" customHeight="false" outlineLevel="0" collapsed="false">
      <c r="A7900" s="0" t="s">
        <v>836</v>
      </c>
      <c r="B7900" s="0" t="s">
        <v>98</v>
      </c>
      <c r="C7900" s="6" t="n">
        <f aca="false">Sens!C7879*self_build*tk_cxfac/1000</f>
        <v>6.2083</v>
      </c>
      <c r="D7900" s="6" t="n">
        <f aca="false">Sens!D7879*self_build*tk_cxfac/1000</f>
        <v>9.3758</v>
      </c>
      <c r="E7900" s="6" t="n">
        <f aca="false">Sens!E7879*self_build*tk_cxfac/1000</f>
        <v>18.6249</v>
      </c>
      <c r="F7900" s="6" t="n">
        <f aca="false">Sens!F7879*self_build*tk_cxfac/1000</f>
        <v>29.409604</v>
      </c>
      <c r="G7900" s="6" t="n">
        <f aca="false">Sens!G7879*self_build*tk_cxfac/1000</f>
        <v>32.019624</v>
      </c>
      <c r="H7900" s="6" t="n">
        <f aca="false">Sens!H7879*self_build*tk_cxfac/1000</f>
        <v>32.019624</v>
      </c>
      <c r="I7900" s="6" t="n">
        <f aca="false">Sens!I7879*self_build*tk_cxfac/1000</f>
        <v>22.71877972</v>
      </c>
      <c r="J7900" s="6" t="n">
        <f aca="false">Sens!J7879*self_build*tk_cxfac/1000</f>
        <v>13.41793544</v>
      </c>
      <c r="K7900" s="6" t="n">
        <f aca="false">Sens!K7879*self_build*tk_cxfac/1000</f>
        <v>4.11709116000001</v>
      </c>
    </row>
    <row r="7901" customFormat="false" ht="17.15" hidden="false" customHeight="false" outlineLevel="0" collapsed="false">
      <c r="A7901" s="0" t="s">
        <v>837</v>
      </c>
      <c r="B7901" s="0" t="s">
        <v>98</v>
      </c>
      <c r="F7901" s="6" t="n">
        <f aca="false">MAX(0,capex_floor27-Sens!F7899-Sens!F7900-Sens!F7994)</f>
        <v>8.51190539250474</v>
      </c>
      <c r="L7901" s="1" t="s">
        <v>838</v>
      </c>
    </row>
    <row r="7902" customFormat="false" ht="17.15" hidden="false" customHeight="false" outlineLevel="0" collapsed="false">
      <c r="A7902" s="0" t="s">
        <v>839</v>
      </c>
      <c r="B7902" s="0" t="s">
        <v>98</v>
      </c>
      <c r="C7902" s="6" t="n">
        <f aca="false">Sens!C7899</f>
        <v>22.5333845916667</v>
      </c>
      <c r="D7902" s="6" t="n">
        <f aca="false">Sens!D7899</f>
        <v>34.0300093833333</v>
      </c>
      <c r="E7902" s="6" t="n">
        <f aca="false">Sens!E7899</f>
        <v>67.600153775</v>
      </c>
      <c r="F7902" s="6" t="n">
        <f aca="false">Sens!F7899+Sens!F7901</f>
        <v>139.435177263971</v>
      </c>
      <c r="G7902" s="6" t="n">
        <f aca="false">Sens!G7899</f>
        <v>151.5545564832</v>
      </c>
      <c r="H7902" s="6" t="n">
        <f aca="false">Sens!H7899</f>
        <v>156.0606619104</v>
      </c>
      <c r="I7902" s="6" t="n">
        <f aca="false">Sens!I7899</f>
        <v>140.987889434245</v>
      </c>
      <c r="J7902" s="6" t="n">
        <f aca="false">Sens!J7899</f>
        <v>111.094541278091</v>
      </c>
      <c r="K7902" s="6" t="n">
        <f aca="false">Sens!K7899</f>
        <v>110.842344481936</v>
      </c>
    </row>
    <row r="7903" customFormat="false" ht="17.15" hidden="false" customHeight="false" outlineLevel="0" collapsed="false">
      <c r="A7903" s="0" t="s">
        <v>840</v>
      </c>
      <c r="B7903" s="0" t="s">
        <v>98</v>
      </c>
      <c r="C7903" s="6" t="n">
        <f aca="false">Sens!C7902+Sens!C7900</f>
        <v>28.7416845916667</v>
      </c>
      <c r="D7903" s="6" t="n">
        <f aca="false">Sens!D7902+Sens!D7900</f>
        <v>43.4058093833333</v>
      </c>
      <c r="E7903" s="6" t="n">
        <f aca="false">Sens!E7902+Sens!E7900</f>
        <v>86.225053775</v>
      </c>
      <c r="F7903" s="6" t="n">
        <f aca="false">Sens!F7902+Sens!F7900</f>
        <v>168.844781263971</v>
      </c>
      <c r="G7903" s="6" t="n">
        <f aca="false">Sens!G7902+Sens!G7900</f>
        <v>183.5741804832</v>
      </c>
      <c r="H7903" s="6" t="n">
        <f aca="false">Sens!H7902+Sens!H7900</f>
        <v>188.0802859104</v>
      </c>
      <c r="I7903" s="6" t="n">
        <f aca="false">Sens!I7902+Sens!I7900</f>
        <v>163.706669154245</v>
      </c>
      <c r="J7903" s="6" t="n">
        <f aca="false">Sens!J7902+Sens!J7900</f>
        <v>124.51247671809</v>
      </c>
      <c r="K7903" s="6" t="n">
        <f aca="false">Sens!K7902+Sens!K7900</f>
        <v>114.959435641936</v>
      </c>
      <c r="L7903" s="11" t="s">
        <v>841</v>
      </c>
    </row>
    <row r="7904" customFormat="false" ht="17.15" hidden="false" customHeight="false" outlineLevel="0" collapsed="false">
      <c r="A7904" s="0" t="s">
        <v>842</v>
      </c>
      <c r="B7904" s="0" t="s">
        <v>98</v>
      </c>
      <c r="E7904" s="6" t="n">
        <f aca="false">(Sens!C7902*IF(2&lt;life_it,1,IF(2=life_it,0.5,0))+Sens!D7902*IF(1&lt;life_it,1,IF(1=life_it,0.5,0))+Sens!E7902*0.5)/life_it</f>
        <v>15.0605784770833</v>
      </c>
      <c r="F7904" s="6" t="n">
        <f aca="false">(Sens!C7902*IF(3&lt;life_it,1,IF(3=life_it,0.5,0))+Sens!D7902*IF(2&lt;life_it,1,IF(2=life_it,0.5,0))+Sens!E7902*IF(1&lt;life_it,1,IF(1=life_it,0.5,0))+Sens!F7902*0.5)/life_it</f>
        <v>32.313522730331</v>
      </c>
      <c r="G7904" s="6" t="n">
        <f aca="false">(Sens!C7902*IF(4&lt;life_it,1,IF(4=life_it,0.5,0))+Sens!D7902*IF(3&lt;life_it,1,IF(3=life_it,0.5,0))+Sens!E7902*IF(2&lt;life_it,1,IF(2=life_it,0.5,0))+Sens!F7902*IF(1&lt;life_it,1,IF(1=life_it,0.5,0))+Sens!G7902*0.5)/life_it</f>
        <v>56.5626672092619</v>
      </c>
      <c r="H7904" s="6" t="n">
        <f aca="false">(Sens!C7902*IF(5&lt;life_it,1,IF(5=life_it,0.5,0))+Sens!D7902*IF(4&lt;life_it,1,IF(4=life_it,0.5,0))+Sens!E7902*IF(3&lt;life_it,1,IF(3=life_it,0.5,0))+Sens!F7902*IF(2&lt;life_it,1,IF(2=life_it,0.5,0))+Sens!G7902*IF(1&lt;life_it,1,IF(1=life_it,0.5,0))+Sens!H7902*0.5)/life_it</f>
        <v>82.1972687420619</v>
      </c>
      <c r="I7904" s="6" t="n">
        <f aca="false">(Sens!C7902*IF(6&lt;life_it,1,IF(6=life_it,0.5,0))+Sens!D7902*IF(5&lt;life_it,1,IF(5=life_it,0.5,0))+Sens!E7902*IF(4&lt;life_it,1,IF(4=life_it,0.5,0))+Sens!F7902*IF(3&lt;life_it,1,IF(3=life_it,0.5,0))+Sens!G7902*IF(2&lt;life_it,1,IF(2=life_it,0.5,0))+Sens!H7902*IF(1&lt;life_it,1,IF(1=life_it,0.5,0))+Sens!I7902*0.5)/life_it</f>
        <v>105.073532638143</v>
      </c>
      <c r="J7904" s="6" t="n">
        <f aca="false">(Sens!C7902*IF(7&lt;life_it,1,IF(7=life_it,0.5,0))+Sens!D7902*IF(6&lt;life_it,1,IF(6=life_it,0.5,0))+Sens!E7902*IF(5&lt;life_it,1,IF(5=life_it,0.5,0))+Sens!F7902*IF(4&lt;life_it,1,IF(4=life_it,0.5,0))+Sens!G7902*IF(3&lt;life_it,1,IF(3=life_it,0.5,0))+Sens!H7902*IF(2&lt;life_it,1,IF(2=life_it,0.5,0))+Sens!I7902*IF(1&lt;life_it,1,IF(1=life_it,0.5,0))+Sens!J7902*0.5)/life_it</f>
        <v>121.366785699588</v>
      </c>
      <c r="K7904" s="6" t="n">
        <f aca="false">(Sens!C7902*IF(8&lt;life_it,1,IF(8=life_it,0.5,0))+Sens!D7902*IF(7&lt;life_it,1,IF(7=life_it,0.5,0))+Sens!E7902*IF(6&lt;life_it,1,IF(6=life_it,0.5,0))+Sens!F7902*IF(5&lt;life_it,1,IF(5=life_it,0.5,0))+Sens!G7902*IF(4&lt;life_it,1,IF(4=life_it,0.5,0))+Sens!H7902*IF(3&lt;life_it,1,IF(3=life_it,0.5,0))+Sens!I7902*IF(2&lt;life_it,1,IF(2=life_it,0.5,0))+Sens!J7902*IF(1&lt;life_it,1,IF(1=life_it,0.5,0))+Sens!K7902*0.5)/life_it</f>
        <v>131.392345916396</v>
      </c>
    </row>
    <row r="7905" customFormat="false" ht="17.15" hidden="false" customHeight="false" outlineLevel="0" collapsed="false">
      <c r="A7905" s="0" t="s">
        <v>843</v>
      </c>
      <c r="B7905" s="0" t="s">
        <v>98</v>
      </c>
      <c r="E7905" s="6" t="n">
        <f aca="false">(Sens!C7900*IF(2&lt;life_fac,1,IF(2=life_fac,0.5,0))+Sens!D7900*IF(1&lt;life_fac,1,IF(1=life_fac,0.5,0))+Sens!E7900*0.5)/life_fac</f>
        <v>1.2448275</v>
      </c>
      <c r="F7905" s="6" t="n">
        <f aca="false">(Sens!C7900*IF(3&lt;life_fac,1,IF(3=life_fac,0.5,0))+Sens!D7900*IF(2&lt;life_fac,1,IF(2=life_fac,0.5,0))+Sens!E7900*IF(1&lt;life_fac,1,IF(1=life_fac,0.5,0))+Sens!F7900*0.5)/life_fac</f>
        <v>2.4456901</v>
      </c>
      <c r="G7905" s="6" t="n">
        <f aca="false">(Sens!C7900*IF(4&lt;life_fac,1,IF(4=life_fac,0.5,0))+Sens!D7900*IF(3&lt;life_fac,1,IF(3=life_fac,0.5,0))+Sens!E7900*IF(2&lt;life_fac,1,IF(2=life_fac,0.5,0))+Sens!F7900*IF(1&lt;life_fac,1,IF(1=life_fac,0.5,0))+Sens!G7900*0.5)/life_fac</f>
        <v>3.9814208</v>
      </c>
      <c r="H7905" s="6" t="n">
        <f aca="false">(Sens!C7900*IF(5&lt;life_fac,1,IF(5=life_fac,0.5,0))+Sens!D7900*IF(4&lt;life_fac,1,IF(4=life_fac,0.5,0))+Sens!E7900*IF(3&lt;life_fac,1,IF(3=life_fac,0.5,0))+Sens!F7900*IF(2&lt;life_fac,1,IF(2=life_fac,0.5,0))+Sens!G7900*IF(1&lt;life_fac,1,IF(1=life_fac,0.5,0))+Sens!H7900*0.5)/life_fac</f>
        <v>5.582402</v>
      </c>
      <c r="I7905" s="6" t="n">
        <f aca="false">(Sens!C7900*IF(6&lt;life_fac,1,IF(6=life_fac,0.5,0))+Sens!D7900*IF(5&lt;life_fac,1,IF(5=life_fac,0.5,0))+Sens!E7900*IF(4&lt;life_fac,1,IF(4=life_fac,0.5,0))+Sens!F7900*IF(3&lt;life_fac,1,IF(3=life_fac,0.5,0))+Sens!G7900*IF(2&lt;life_fac,1,IF(2=life_fac,0.5,0))+Sens!H7900*IF(1&lt;life_fac,1,IF(1=life_fac,0.5,0))+Sens!I7900*0.5)/life_fac</f>
        <v>6.950862093</v>
      </c>
      <c r="J7905" s="6" t="n">
        <f aca="false">(Sens!C7900*IF(7&lt;life_fac,1,IF(7=life_fac,0.5,0))+Sens!D7900*IF(6&lt;life_fac,1,IF(6=life_fac,0.5,0))+Sens!E7900*IF(5&lt;life_fac,1,IF(5=life_fac,0.5,0))+Sens!F7900*IF(4&lt;life_fac,1,IF(4=life_fac,0.5,0))+Sens!G7900*IF(3&lt;life_fac,1,IF(3=life_fac,0.5,0))+Sens!H7900*IF(2&lt;life_fac,1,IF(2=life_fac,0.5,0))+Sens!I7900*IF(1&lt;life_fac,1,IF(1=life_fac,0.5,0))+Sens!J7900*0.5)/life_fac</f>
        <v>7.854279972</v>
      </c>
      <c r="K7905" s="6" t="n">
        <f aca="false">(Sens!C7900*IF(8&lt;life_fac,1,IF(8=life_fac,0.5,0))+Sens!D7900*IF(7&lt;life_fac,1,IF(7=life_fac,0.5,0))+Sens!E7900*IF(6&lt;life_fac,1,IF(6=life_fac,0.5,0))+Sens!F7900*IF(5&lt;life_fac,1,IF(5=life_fac,0.5,0))+Sens!G7900*IF(4&lt;life_fac,1,IF(4=life_fac,0.5,0))+Sens!H7900*IF(3&lt;life_fac,1,IF(3=life_fac,0.5,0))+Sens!I7900*IF(2&lt;life_fac,1,IF(2=life_fac,0.5,0))+Sens!J7900*IF(1&lt;life_fac,1,IF(1=life_fac,0.5,0))+Sens!K7900*0.5)/life_fac</f>
        <v>8.292655637</v>
      </c>
    </row>
    <row r="7906" customFormat="false" ht="17.15" hidden="false" customHeight="false" outlineLevel="0" collapsed="false">
      <c r="A7906" s="0" t="s">
        <v>844</v>
      </c>
      <c r="B7906" s="0" t="s">
        <v>98</v>
      </c>
      <c r="E7906" s="6" t="n">
        <f aca="false">Sens!E7904+Sens!E7905</f>
        <v>16.3054059770833</v>
      </c>
      <c r="F7906" s="6" t="n">
        <f aca="false">Sens!F7904+Sens!F7905</f>
        <v>34.759212830331</v>
      </c>
      <c r="G7906" s="6" t="n">
        <f aca="false">Sens!G7904+Sens!G7905</f>
        <v>60.5440880092619</v>
      </c>
      <c r="H7906" s="6" t="n">
        <f aca="false">Sens!H7904+Sens!H7905</f>
        <v>87.7796707420619</v>
      </c>
      <c r="I7906" s="6" t="n">
        <f aca="false">Sens!I7904+Sens!I7905</f>
        <v>112.024394731143</v>
      </c>
      <c r="J7906" s="6" t="n">
        <f aca="false">Sens!J7904+Sens!J7905</f>
        <v>129.221065671588</v>
      </c>
      <c r="K7906" s="6" t="n">
        <f aca="false">Sens!K7904+Sens!K7905</f>
        <v>139.685001553396</v>
      </c>
    </row>
    <row r="7907" customFormat="false" ht="17.15" hidden="false" customHeight="false" outlineLevel="0" collapsed="false">
      <c r="A7907" s="0" t="s">
        <v>845</v>
      </c>
      <c r="B7907" s="0" t="s">
        <v>98</v>
      </c>
      <c r="E7907" s="6" t="n">
        <f aca="false">Sens!E7895-Sens!E7894*Sens!E7906</f>
        <v>8.92707889977379</v>
      </c>
      <c r="F7907" s="6" t="n">
        <f aca="false">Sens!F7895-Sens!F7894*Sens!F7906</f>
        <v>14.2018178643434</v>
      </c>
      <c r="G7907" s="6" t="n">
        <f aca="false">Sens!G7895-Sens!G7894*Sens!G7906</f>
        <v>15.92404436573</v>
      </c>
      <c r="H7907" s="6" t="n">
        <f aca="false">Sens!H7895-Sens!H7894*Sens!H7906</f>
        <v>12.6118674057899</v>
      </c>
      <c r="I7907" s="6" t="n">
        <f aca="false">Sens!I7895-Sens!I7894*Sens!I7906</f>
        <v>16.0556627977688</v>
      </c>
      <c r="J7907" s="6" t="n">
        <f aca="false">Sens!J7895-Sens!J7894*Sens!J7906</f>
        <v>18.4149350365264</v>
      </c>
      <c r="K7907" s="6" t="n">
        <f aca="false">Sens!K7895-Sens!K7894*Sens!K7906</f>
        <v>20.3721125771628</v>
      </c>
    </row>
    <row r="7908" customFormat="false" ht="17.15" hidden="false" customHeight="false" outlineLevel="0" collapsed="false">
      <c r="A7908" s="3" t="s">
        <v>1440</v>
      </c>
    </row>
    <row r="7909" customFormat="false" ht="15" hidden="false" customHeight="false" outlineLevel="0" collapsed="false">
      <c r="A7909" s="4" t="s">
        <v>43</v>
      </c>
      <c r="B7909" s="4" t="s">
        <v>65</v>
      </c>
      <c r="C7909" s="20" t="s">
        <v>788</v>
      </c>
      <c r="D7909" s="20" t="s">
        <v>789</v>
      </c>
      <c r="E7909" s="20" t="s">
        <v>790</v>
      </c>
      <c r="F7909" s="20" t="s">
        <v>791</v>
      </c>
      <c r="G7909" s="20" t="s">
        <v>792</v>
      </c>
      <c r="H7909" s="20" t="s">
        <v>793</v>
      </c>
      <c r="I7909" s="20" t="s">
        <v>794</v>
      </c>
      <c r="J7909" s="20" t="s">
        <v>795</v>
      </c>
      <c r="K7909" s="20" t="s">
        <v>796</v>
      </c>
      <c r="L7909" s="4" t="s">
        <v>47</v>
      </c>
    </row>
    <row r="7910" customFormat="false" ht="17.15" hidden="false" customHeight="false" outlineLevel="0" collapsed="false">
      <c r="A7910" s="0" t="s">
        <v>864</v>
      </c>
      <c r="B7910" s="0" t="s">
        <v>98</v>
      </c>
      <c r="D7910" s="6" t="n">
        <f aca="false">Sens!D7889</f>
        <v>12.9359794422418</v>
      </c>
      <c r="E7910" s="6" t="n">
        <f aca="false">Sens!E7889</f>
        <v>27.8095064661409</v>
      </c>
      <c r="F7910" s="6" t="n">
        <f aca="false">Sens!F7889</f>
        <v>50.6619113883066</v>
      </c>
      <c r="G7910" s="6" t="n">
        <f aca="false">Sens!G7889</f>
        <v>75.1482839325348</v>
      </c>
      <c r="H7910" s="6" t="n">
        <f aca="false">Sens!H7889</f>
        <v>94.895655604042</v>
      </c>
      <c r="I7910" s="6" t="n">
        <f aca="false">Sens!I7889</f>
        <v>118.706168884151</v>
      </c>
      <c r="J7910" s="6" t="n">
        <f aca="false">Sens!J7889</f>
        <v>135.305203646001</v>
      </c>
      <c r="K7910" s="6" t="n">
        <f aca="false">Sens!K7889</f>
        <v>145.64537766421</v>
      </c>
    </row>
    <row r="7911" customFormat="false" ht="17.15" hidden="false" customHeight="false" outlineLevel="0" collapsed="false">
      <c r="A7911" s="0" t="s">
        <v>865</v>
      </c>
      <c r="B7911" s="0" t="s">
        <v>98</v>
      </c>
      <c r="D7911" s="6" t="n">
        <f aca="false">Q!L6-Sens!D7910</f>
        <v>59.6740205577583</v>
      </c>
      <c r="E7911" s="6" t="n">
        <f aca="false">Q!M6-Sens!E7910</f>
        <v>74.1284935338591</v>
      </c>
      <c r="F7911" s="6" t="n">
        <f aca="false">Sens!E7911*(1+Sens!F7912)</f>
        <v>89.709307269697</v>
      </c>
      <c r="G7911" s="6" t="n">
        <f aca="false">Sens!F7911*(1+Sens!G7912)</f>
        <v>105.690953558647</v>
      </c>
      <c r="H7911" s="6" t="n">
        <f aca="false">Sens!G7911*(1+Sens!H7912)</f>
        <v>121.133663984194</v>
      </c>
      <c r="I7911" s="6" t="n">
        <f aca="false">Sens!H7911*(1+Sens!I7912)</f>
        <v>134.951941602699</v>
      </c>
      <c r="J7911" s="6" t="n">
        <f aca="false">Sens!I7911*(1+Sens!J7912)</f>
        <v>146.023036389274</v>
      </c>
      <c r="K7911" s="6" t="n">
        <f aca="false">Sens!J7911*(1+Sens!K7912)</f>
        <v>153.324188208738</v>
      </c>
    </row>
    <row r="7912" customFormat="false" ht="15" hidden="false" customHeight="false" outlineLevel="0" collapsed="false">
      <c r="A7912" s="1" t="s">
        <v>866</v>
      </c>
      <c r="B7912" s="0" t="s">
        <v>129</v>
      </c>
      <c r="E7912" s="7" t="n">
        <f aca="false">Sens!E7911/Sens!D7911-1</f>
        <v>0.242223883039864</v>
      </c>
      <c r="F7912" s="7" t="n">
        <f aca="false">Sens!$E$7912+(glt_azo_lo-Sens!$E$7912)*MIN(1,(Sens!F7872-base_fy)/n_conv)</f>
        <v>0.210186569199887</v>
      </c>
      <c r="G7912" s="7" t="n">
        <f aca="false">Sens!$E$7912+(glt_azo_lo-Sens!$E$7912)*MIN(1,(Sens!G7872-base_fy)/n_conv)</f>
        <v>0.17814925535991</v>
      </c>
      <c r="H7912" s="7" t="n">
        <f aca="false">Sens!$E$7912+(glt_azo_lo-Sens!$E$7912)*MIN(1,(Sens!H7872-base_fy)/n_conv)</f>
        <v>0.146111941519932</v>
      </c>
      <c r="I7912" s="7" t="n">
        <f aca="false">Sens!$E$7912+(glt_azo_lo-Sens!$E$7912)*MIN(1,(Sens!I7872-base_fy)/n_conv)</f>
        <v>0.114074627679955</v>
      </c>
      <c r="J7912" s="7" t="n">
        <f aca="false">Sens!$E$7912+(glt_azo_lo-Sens!$E$7912)*MIN(1,(Sens!J7872-base_fy)/n_conv)</f>
        <v>0.0820373138399774</v>
      </c>
      <c r="K7912" s="7" t="n">
        <f aca="false">Sens!$E$7912+(glt_azo_lo-Sens!$E$7912)*MIN(1,(Sens!K7872-base_fy)/n_conv)</f>
        <v>0.05</v>
      </c>
    </row>
    <row r="7913" customFormat="false" ht="15" hidden="false" customHeight="false" outlineLevel="0" collapsed="false">
      <c r="A7913" s="0" t="s">
        <v>867</v>
      </c>
      <c r="B7913" s="0" t="s">
        <v>98</v>
      </c>
      <c r="D7913" s="6" t="n">
        <f aca="false">Sens!D7910+Sens!D7911</f>
        <v>72.61</v>
      </c>
      <c r="E7913" s="6" t="n">
        <f aca="false">Sens!E7910+Sens!E7911</f>
        <v>101.938</v>
      </c>
      <c r="F7913" s="6" t="n">
        <f aca="false">Sens!F7910+Sens!F7911</f>
        <v>140.371218658004</v>
      </c>
      <c r="G7913" s="6" t="n">
        <f aca="false">Sens!G7910+Sens!G7911</f>
        <v>180.839237491182</v>
      </c>
      <c r="H7913" s="6" t="n">
        <f aca="false">Sens!H7910+Sens!H7911</f>
        <v>216.029319588236</v>
      </c>
      <c r="I7913" s="6" t="n">
        <f aca="false">Sens!I7910+Sens!I7911</f>
        <v>253.658110486851</v>
      </c>
      <c r="J7913" s="6" t="n">
        <f aca="false">Sens!J7910+Sens!J7911</f>
        <v>281.328240035276</v>
      </c>
      <c r="K7913" s="6" t="n">
        <f aca="false">Sens!K7910+Sens!K7911</f>
        <v>298.969565872948</v>
      </c>
    </row>
    <row r="7914" customFormat="false" ht="17.15" hidden="false" customHeight="false" outlineLevel="0" collapsed="false">
      <c r="A7914" s="0" t="s">
        <v>868</v>
      </c>
      <c r="B7914" s="1" t="s">
        <v>521</v>
      </c>
      <c r="C7914" s="29" t="n">
        <f aca="false">cop_s24</f>
        <v>1</v>
      </c>
      <c r="D7914" s="29" t="n">
        <f aca="false">cop_s25</f>
        <v>5</v>
      </c>
      <c r="E7914" s="29" t="n">
        <f aca="false">cop_s26</f>
        <v>30</v>
      </c>
      <c r="F7914" s="29" t="n">
        <f aca="false">Sens!E7914+cop_add_C</f>
        <v>40</v>
      </c>
      <c r="G7914" s="29" t="n">
        <f aca="false">Sens!F7914+cop_add_C</f>
        <v>50</v>
      </c>
      <c r="H7914" s="29" t="n">
        <f aca="false">Sens!G7914+cop_add_C</f>
        <v>60</v>
      </c>
      <c r="I7914" s="29" t="n">
        <f aca="false">Sens!H7914+cop_add_C*cop_tail</f>
        <v>65</v>
      </c>
      <c r="J7914" s="29" t="n">
        <f aca="false">Sens!I7914+cop_add_C*cop_tail</f>
        <v>70</v>
      </c>
      <c r="K7914" s="29" t="n">
        <f aca="false">Sens!J7914+cop_add_C*cop_tail</f>
        <v>75</v>
      </c>
      <c r="L7914" s="11" t="s">
        <v>869</v>
      </c>
    </row>
    <row r="7915" customFormat="false" ht="17.15" hidden="false" customHeight="false" outlineLevel="0" collapsed="false">
      <c r="A7915" s="0" t="s">
        <v>870</v>
      </c>
      <c r="B7915" s="0" t="s">
        <v>98</v>
      </c>
      <c r="D7915" s="6" t="n">
        <f aca="false">(Sens!C7914+Sens!D7914)/2*cop_px*12/1000</f>
        <v>0.9</v>
      </c>
      <c r="E7915" s="6" t="n">
        <f aca="false">(Sens!D7914+Sens!E7914)/2*cop_px*12/1000</f>
        <v>5.25</v>
      </c>
      <c r="F7915" s="6" t="n">
        <f aca="false">(Sens!E7914+Sens!F7914)/2*cop_px*12/1000</f>
        <v>10.5</v>
      </c>
      <c r="G7915" s="6" t="n">
        <f aca="false">(Sens!F7914+Sens!G7914)/2*cop_px*12/1000</f>
        <v>13.5</v>
      </c>
      <c r="H7915" s="6" t="n">
        <f aca="false">(Sens!G7914+Sens!H7914)/2*cop_px*12/1000</f>
        <v>16.5</v>
      </c>
      <c r="I7915" s="6" t="n">
        <f aca="false">(Sens!H7914+Sens!I7914)/2*cop_px*12/1000</f>
        <v>18.75</v>
      </c>
      <c r="J7915" s="6" t="n">
        <f aca="false">(Sens!I7914+Sens!J7914)/2*cop_px*12/1000</f>
        <v>20.25</v>
      </c>
      <c r="K7915" s="6" t="n">
        <f aca="false">(Sens!J7914+Sens!K7914)/2*cop_px*12/1000</f>
        <v>21.75</v>
      </c>
      <c r="L7915" s="1" t="s">
        <v>871</v>
      </c>
    </row>
    <row r="7916" customFormat="false" ht="17.15" hidden="false" customHeight="false" outlineLevel="0" collapsed="false">
      <c r="A7916" s="0" t="s">
        <v>872</v>
      </c>
      <c r="B7916" s="0" t="s">
        <v>98</v>
      </c>
      <c r="D7916" s="6" t="n">
        <f aca="false">Q!L7-Sens!D7915</f>
        <v>83.705</v>
      </c>
      <c r="E7916" s="6" t="n">
        <f aca="false">Q!M7-Sens!E7915</f>
        <v>95.049</v>
      </c>
      <c r="F7916" s="6" t="n">
        <f aca="false">Sens!E7916*(1+Sens!F7917)</f>
        <v>106.89238776686</v>
      </c>
      <c r="G7916" s="6" t="n">
        <f aca="false">Sens!F7916*(1+Sens!G7917)</f>
        <v>119.044168448684</v>
      </c>
      <c r="H7916" s="6" t="n">
        <f aca="false">Sens!G7916*(1+Sens!H7917)</f>
        <v>131.277359388781</v>
      </c>
      <c r="I7916" s="6" t="n">
        <f aca="false">Sens!H7916*(1+Sens!I7917)</f>
        <v>143.334028071957</v>
      </c>
      <c r="J7916" s="6" t="n">
        <f aca="false">Sens!I7916*(1+Sens!J7917)</f>
        <v>154.932702785465</v>
      </c>
      <c r="K7916" s="6" t="n">
        <f aca="false">Sens!J7916*(1+Sens!K7917)</f>
        <v>165.777991980448</v>
      </c>
    </row>
    <row r="7917" customFormat="false" ht="15" hidden="false" customHeight="false" outlineLevel="0" collapsed="false">
      <c r="A7917" s="1" t="s">
        <v>866</v>
      </c>
      <c r="B7917" s="0" t="s">
        <v>129</v>
      </c>
      <c r="E7917" s="7" t="n">
        <f aca="false">Sens!E7916/Sens!D7916-1</f>
        <v>0.135523564900544</v>
      </c>
      <c r="F7917" s="7" t="n">
        <f aca="false">Sens!$E$7917+(glt_m365b-Sens!$E$7917)*MIN(1,(Sens!F7872-base_fy)/n_conv)</f>
        <v>0.124602970750453</v>
      </c>
      <c r="G7917" s="7" t="n">
        <f aca="false">Sens!$E$7917+(glt_m365b-Sens!$E$7917)*MIN(1,(Sens!G7872-base_fy)/n_conv)</f>
        <v>0.113682376600363</v>
      </c>
      <c r="H7917" s="7" t="n">
        <f aca="false">Sens!$E$7917+(glt_m365b-Sens!$E$7917)*MIN(1,(Sens!H7872-base_fy)/n_conv)</f>
        <v>0.102761782450272</v>
      </c>
      <c r="I7917" s="7" t="n">
        <f aca="false">Sens!$E$7917+(glt_m365b-Sens!$E$7917)*MIN(1,(Sens!I7872-base_fy)/n_conv)</f>
        <v>0.0918411883001813</v>
      </c>
      <c r="J7917" s="7" t="n">
        <f aca="false">Sens!$E$7917+(glt_m365b-Sens!$E$7917)*MIN(1,(Sens!J7872-base_fy)/n_conv)</f>
        <v>0.0809205941500906</v>
      </c>
      <c r="K7917" s="7" t="n">
        <f aca="false">Sens!$E$7917+(glt_m365b-Sens!$E$7917)*MIN(1,(Sens!K7872-base_fy)/n_conv)</f>
        <v>0.07</v>
      </c>
    </row>
    <row r="7918" customFormat="false" ht="15" hidden="false" customHeight="false" outlineLevel="0" collapsed="false">
      <c r="A7918" s="0" t="s">
        <v>873</v>
      </c>
      <c r="B7918" s="0" t="s">
        <v>98</v>
      </c>
      <c r="D7918" s="6" t="n">
        <f aca="false">Sens!D7916+Sens!D7915</f>
        <v>84.605</v>
      </c>
      <c r="E7918" s="6" t="n">
        <f aca="false">Sens!E7916+Sens!E7915</f>
        <v>100.299</v>
      </c>
      <c r="F7918" s="6" t="n">
        <f aca="false">Sens!F7916+Sens!F7915</f>
        <v>117.39238776686</v>
      </c>
      <c r="G7918" s="6" t="n">
        <f aca="false">Sens!G7916+Sens!G7915</f>
        <v>132.544168448684</v>
      </c>
      <c r="H7918" s="6" t="n">
        <f aca="false">Sens!H7916+Sens!H7915</f>
        <v>147.777359388781</v>
      </c>
      <c r="I7918" s="6" t="n">
        <f aca="false">Sens!I7916+Sens!I7915</f>
        <v>162.084028071957</v>
      </c>
      <c r="J7918" s="6" t="n">
        <f aca="false">Sens!J7916+Sens!J7915</f>
        <v>175.182702785465</v>
      </c>
      <c r="K7918" s="6" t="n">
        <f aca="false">Sens!K7916+Sens!K7915</f>
        <v>187.527991980448</v>
      </c>
    </row>
    <row r="7919" customFormat="false" ht="15" hidden="false" customHeight="false" outlineLevel="0" collapsed="false">
      <c r="A7919" s="0" t="s">
        <v>874</v>
      </c>
      <c r="B7919" s="0" t="s">
        <v>98</v>
      </c>
      <c r="D7919" s="6" t="n">
        <f aca="false">Q!L8</f>
        <v>35.391</v>
      </c>
      <c r="E7919" s="6" t="n">
        <f aca="false">Q!M8</f>
        <v>37.285</v>
      </c>
      <c r="F7919" s="6" t="n">
        <f aca="false">Sens!E7919*(1+Sens!F7920)</f>
        <v>39.0720834331704</v>
      </c>
      <c r="G7919" s="6" t="n">
        <f aca="false">Sens!F7919*(1+Sens!G7920)</f>
        <v>40.726562953769</v>
      </c>
      <c r="H7919" s="6" t="n">
        <f aca="false">Sens!G7919*(1+Sens!H7920)</f>
        <v>42.2235987259198</v>
      </c>
      <c r="I7919" s="6" t="n">
        <f aca="false">Sens!H7919*(1+Sens!I7920)</f>
        <v>43.5397988077414</v>
      </c>
      <c r="J7919" s="6" t="n">
        <f aca="false">Sens!I7919*(1+Sens!J7920)</f>
        <v>44.653811225693</v>
      </c>
      <c r="K7919" s="6" t="n">
        <f aca="false">Sens!J7919*(1+Sens!K7920)</f>
        <v>45.5468874502068</v>
      </c>
    </row>
    <row r="7920" customFormat="false" ht="15" hidden="false" customHeight="false" outlineLevel="0" collapsed="false">
      <c r="A7920" s="1" t="s">
        <v>866</v>
      </c>
      <c r="B7920" s="0" t="s">
        <v>129</v>
      </c>
      <c r="E7920" s="7" t="n">
        <f aca="false">Sens!E7919/Sens!D7919-1</f>
        <v>0.0535164307309768</v>
      </c>
      <c r="F7920" s="7" t="n">
        <f aca="false">Sens!$E$7920+(glt_lic-Sens!$E$7920)*MIN(1,(Sens!F7872-base_fy)/n_conv)</f>
        <v>0.0479303589424807</v>
      </c>
      <c r="G7920" s="7" t="n">
        <f aca="false">Sens!$E$7920+(glt_lic-Sens!$E$7920)*MIN(1,(Sens!G7872-base_fy)/n_conv)</f>
        <v>0.0423442871539845</v>
      </c>
      <c r="H7920" s="7" t="n">
        <f aca="false">Sens!$E$7920+(glt_lic-Sens!$E$7920)*MIN(1,(Sens!H7872-base_fy)/n_conv)</f>
        <v>0.0367582153654884</v>
      </c>
      <c r="I7920" s="7" t="n">
        <f aca="false">Sens!$E$7920+(glt_lic-Sens!$E$7920)*MIN(1,(Sens!I7872-base_fy)/n_conv)</f>
        <v>0.0311721435769923</v>
      </c>
      <c r="J7920" s="7" t="n">
        <f aca="false">Sens!$E$7920+(glt_lic-Sens!$E$7920)*MIN(1,(Sens!J7872-base_fy)/n_conv)</f>
        <v>0.0255860717884961</v>
      </c>
      <c r="K7920" s="7" t="n">
        <f aca="false">Sens!$E$7920+(glt_lic-Sens!$E$7920)*MIN(1,(Sens!K7872-base_fy)/n_conv)</f>
        <v>0.02</v>
      </c>
    </row>
    <row r="7921" customFormat="false" ht="15" hidden="false" customHeight="false" outlineLevel="0" collapsed="false">
      <c r="A7921" s="0" t="s">
        <v>875</v>
      </c>
      <c r="B7921" s="0" t="s">
        <v>98</v>
      </c>
      <c r="D7921" s="6" t="n">
        <f aca="false">Q!L9</f>
        <v>18.417</v>
      </c>
      <c r="E7921" s="6" t="n">
        <f aca="false">Q!M9</f>
        <v>20.345</v>
      </c>
      <c r="F7921" s="6" t="n">
        <f aca="false">Sens!E7921*(1+Sens!F7922)</f>
        <v>22.3572203267814</v>
      </c>
      <c r="G7921" s="6" t="n">
        <f aca="false">Sens!F7921*(1+Sens!G7922)</f>
        <v>24.4392124437232</v>
      </c>
      <c r="H7921" s="6" t="n">
        <f aca="false">Sens!G7921*(1+Sens!H7922)</f>
        <v>26.5738052080665</v>
      </c>
      <c r="I7921" s="6" t="n">
        <f aca="false">Sens!H7921*(1+Sens!I7922)</f>
        <v>28.7412169166967</v>
      </c>
      <c r="J7921" s="6" t="n">
        <f aca="false">Sens!I7921*(1+Sens!J7922)</f>
        <v>30.9192545395413</v>
      </c>
      <c r="K7921" s="6" t="n">
        <f aca="false">Sens!J7921*(1+Sens!K7922)</f>
        <v>33.0836023573092</v>
      </c>
    </row>
    <row r="7922" customFormat="false" ht="15" hidden="false" customHeight="false" outlineLevel="0" collapsed="false">
      <c r="A7922" s="1" t="s">
        <v>866</v>
      </c>
      <c r="B7922" s="0" t="s">
        <v>129</v>
      </c>
      <c r="E7922" s="7" t="n">
        <f aca="false">Sens!E7921/Sens!D7921-1</f>
        <v>0.104685888038225</v>
      </c>
      <c r="F7922" s="7" t="n">
        <f aca="false">Sens!$E$7922+(glt_ind-Sens!$E$7922)*MIN(1,(Sens!F7872-base_fy)/n_conv)</f>
        <v>0.0989049066985211</v>
      </c>
      <c r="G7922" s="7" t="n">
        <f aca="false">Sens!$E$7922+(glt_ind-Sens!$E$7922)*MIN(1,(Sens!G7872-base_fy)/n_conv)</f>
        <v>0.0931239253588169</v>
      </c>
      <c r="H7922" s="7" t="n">
        <f aca="false">Sens!$E$7922+(glt_ind-Sens!$E$7922)*MIN(1,(Sens!H7872-base_fy)/n_conv)</f>
        <v>0.0873429440191127</v>
      </c>
      <c r="I7922" s="7" t="n">
        <f aca="false">Sens!$E$7922+(glt_ind-Sens!$E$7922)*MIN(1,(Sens!I7872-base_fy)/n_conv)</f>
        <v>0.0815619626794085</v>
      </c>
      <c r="J7922" s="7" t="n">
        <f aca="false">Sens!$E$7922+(glt_ind-Sens!$E$7922)*MIN(1,(Sens!J7872-base_fy)/n_conv)</f>
        <v>0.0757809813397042</v>
      </c>
      <c r="K7922" s="7" t="n">
        <f aca="false">Sens!$E$7922+(glt_ind-Sens!$E$7922)*MIN(1,(Sens!K7872-base_fy)/n_conv)</f>
        <v>0.07</v>
      </c>
    </row>
    <row r="7923" customFormat="false" ht="15" hidden="false" customHeight="false" outlineLevel="0" collapsed="false">
      <c r="A7923" s="0" t="s">
        <v>876</v>
      </c>
      <c r="B7923" s="0" t="s">
        <v>98</v>
      </c>
      <c r="D7923" s="6" t="n">
        <f aca="false">Q!L10</f>
        <v>7.76</v>
      </c>
      <c r="E7923" s="6" t="n">
        <f aca="false">Q!M10</f>
        <v>8.26</v>
      </c>
      <c r="F7923" s="6" t="n">
        <f aca="false">Sens!E7923*(1+Sens!F7924)</f>
        <v>8.79988041237113</v>
      </c>
      <c r="G7923" s="6" t="n">
        <f aca="false">Sens!F7923*(1+Sens!G7924)</f>
        <v>9.38321269125306</v>
      </c>
      <c r="H7923" s="6" t="n">
        <f aca="false">Sens!G7923*(1+Sens!H7924)</f>
        <v>10.0139193587476</v>
      </c>
      <c r="I7923" s="6" t="n">
        <f aca="false">Sens!H7923*(1+Sens!I7924)</f>
        <v>10.6963111830911</v>
      </c>
      <c r="J7923" s="6" t="n">
        <f aca="false">Sens!I7923*(1+Sens!J7924)</f>
        <v>11.4351285534696</v>
      </c>
      <c r="K7923" s="6" t="n">
        <f aca="false">Sens!J7923*(1+Sens!K7924)</f>
        <v>12.2355875522124</v>
      </c>
    </row>
    <row r="7924" customFormat="false" ht="15" hidden="false" customHeight="false" outlineLevel="0" collapsed="false">
      <c r="A7924" s="1" t="s">
        <v>866</v>
      </c>
      <c r="B7924" s="0" t="s">
        <v>129</v>
      </c>
      <c r="E7924" s="7" t="n">
        <f aca="false">Sens!E7923/Sens!D7923-1</f>
        <v>0.0644329896907216</v>
      </c>
      <c r="F7924" s="7" t="n">
        <f aca="false">Sens!$E$7924+(glt_fro-Sens!$E$7924)*MIN(1,(Sens!F7872-base_fy)/n_conv)</f>
        <v>0.065360824742268</v>
      </c>
      <c r="G7924" s="7" t="n">
        <f aca="false">Sens!$E$7924+(glt_fro-Sens!$E$7924)*MIN(1,(Sens!G7872-base_fy)/n_conv)</f>
        <v>0.0662886597938144</v>
      </c>
      <c r="H7924" s="7" t="n">
        <f aca="false">Sens!$E$7924+(glt_fro-Sens!$E$7924)*MIN(1,(Sens!H7872-base_fy)/n_conv)</f>
        <v>0.0672164948453608</v>
      </c>
      <c r="I7924" s="7" t="n">
        <f aca="false">Sens!$E$7924+(glt_fro-Sens!$E$7924)*MIN(1,(Sens!I7872-base_fy)/n_conv)</f>
        <v>0.0681443298969072</v>
      </c>
      <c r="J7924" s="7" t="n">
        <f aca="false">Sens!$E$7924+(glt_fro-Sens!$E$7924)*MIN(1,(Sens!J7872-base_fy)/n_conv)</f>
        <v>0.0690721649484536</v>
      </c>
      <c r="K7924" s="7" t="n">
        <f aca="false">Sens!$E$7924+(glt_fro-Sens!$E$7924)*MIN(1,(Sens!K7872-base_fy)/n_conv)</f>
        <v>0.07</v>
      </c>
    </row>
    <row r="7925" customFormat="false" ht="15" hidden="false" customHeight="false" outlineLevel="0" collapsed="false">
      <c r="A7925" s="0" t="s">
        <v>704</v>
      </c>
      <c r="B7925" s="0" t="s">
        <v>98</v>
      </c>
      <c r="D7925" s="6" t="n">
        <f aca="false">Sens!D7913+Sens!D7918+Sens!D7919+Sens!D7921+Sens!D7923</f>
        <v>218.783</v>
      </c>
      <c r="E7925" s="6" t="n">
        <f aca="false">Sens!E7913+Sens!E7918+Sens!E7919+Sens!E7921+Sens!E7923</f>
        <v>268.127</v>
      </c>
      <c r="F7925" s="6" t="n">
        <f aca="false">Sens!F7913+Sens!F7918+Sens!F7919+Sens!F7921+Sens!F7923</f>
        <v>327.992790597186</v>
      </c>
      <c r="G7925" s="6" t="n">
        <f aca="false">Sens!G7913+Sens!G7918+Sens!G7919+Sens!G7921+Sens!G7923</f>
        <v>387.932394028611</v>
      </c>
      <c r="H7925" s="6" t="n">
        <f aca="false">Sens!H7913+Sens!H7918+Sens!H7919+Sens!H7921+Sens!H7923</f>
        <v>442.618002269751</v>
      </c>
      <c r="I7925" s="6" t="n">
        <f aca="false">Sens!I7913+Sens!I7918+Sens!I7919+Sens!I7921+Sens!I7923</f>
        <v>498.719465466337</v>
      </c>
      <c r="J7925" s="6" t="n">
        <f aca="false">Sens!J7913+Sens!J7918+Sens!J7919+Sens!J7921+Sens!J7923</f>
        <v>543.519137139445</v>
      </c>
      <c r="K7925" s="6" t="n">
        <f aca="false">Sens!K7913+Sens!K7918+Sens!K7919+Sens!K7921+Sens!K7923</f>
        <v>577.363635213124</v>
      </c>
    </row>
    <row r="7926" customFormat="false" ht="15" hidden="false" customHeight="false" outlineLevel="0" collapsed="false">
      <c r="A7926" s="0" t="s">
        <v>877</v>
      </c>
      <c r="B7926" s="0" t="s">
        <v>98</v>
      </c>
      <c r="D7926" s="6" t="n">
        <f aca="false">Q!L13</f>
        <v>22.171</v>
      </c>
      <c r="E7926" s="6" t="n">
        <f aca="false">Q!M13</f>
        <v>24.835</v>
      </c>
      <c r="F7926" s="6" t="n">
        <f aca="false">Sens!E7926*(1+Sens!F7927)</f>
        <v>27.6114901218559</v>
      </c>
      <c r="G7926" s="6" t="n">
        <f aca="false">Sens!F7926*(1+Sens!G7927)</f>
        <v>30.4675667338515</v>
      </c>
      <c r="H7926" s="6" t="n">
        <f aca="false">Sens!G7926*(1+Sens!H7927)</f>
        <v>33.3643766955789</v>
      </c>
      <c r="I7926" s="6" t="n">
        <f aca="false">Sens!H7926*(1+Sens!I7927)</f>
        <v>36.2577016533691</v>
      </c>
      <c r="J7926" s="6" t="n">
        <f aca="false">Sens!I7926*(1+Sens!J7927)</f>
        <v>39.0988367952171</v>
      </c>
      <c r="K7926" s="6" t="n">
        <f aca="false">Sens!J7926*(1+Sens!K7927)</f>
        <v>41.8357553708823</v>
      </c>
    </row>
    <row r="7927" customFormat="false" ht="15" hidden="false" customHeight="false" outlineLevel="0" collapsed="false">
      <c r="A7927" s="1" t="s">
        <v>866</v>
      </c>
      <c r="B7927" s="0" t="s">
        <v>129</v>
      </c>
      <c r="E7927" s="7" t="n">
        <f aca="false">Sens!E7926/Sens!D7926-1</f>
        <v>0.120156961796942</v>
      </c>
      <c r="F7927" s="7" t="n">
        <f aca="false">Sens!$E$7927+(glt_srch-Sens!$E$7927)*MIN(1,(Sens!F7872-base_fy)/n_conv)</f>
        <v>0.111797468164118</v>
      </c>
      <c r="G7927" s="7" t="n">
        <f aca="false">Sens!$E$7927+(glt_srch-Sens!$E$7927)*MIN(1,(Sens!G7872-base_fy)/n_conv)</f>
        <v>0.103437974531295</v>
      </c>
      <c r="H7927" s="7" t="n">
        <f aca="false">Sens!$E$7927+(glt_srch-Sens!$E$7927)*MIN(1,(Sens!H7872-base_fy)/n_conv)</f>
        <v>0.095078480898471</v>
      </c>
      <c r="I7927" s="7" t="n">
        <f aca="false">Sens!$E$7927+(glt_srch-Sens!$E$7927)*MIN(1,(Sens!I7872-base_fy)/n_conv)</f>
        <v>0.0867189872656474</v>
      </c>
      <c r="J7927" s="7" t="n">
        <f aca="false">Sens!$E$7927+(glt_srch-Sens!$E$7927)*MIN(1,(Sens!J7872-base_fy)/n_conv)</f>
        <v>0.0783594936328237</v>
      </c>
      <c r="K7927" s="7" t="n">
        <f aca="false">Sens!$E$7927+(glt_srch-Sens!$E$7927)*MIN(1,(Sens!K7872-base_fy)/n_conv)</f>
        <v>0.07</v>
      </c>
    </row>
    <row r="7928" customFormat="false" ht="15" hidden="false" customHeight="false" outlineLevel="0" collapsed="false">
      <c r="A7928" s="0" t="s">
        <v>878</v>
      </c>
      <c r="B7928" s="0" t="s">
        <v>98</v>
      </c>
      <c r="D7928" s="6" t="n">
        <f aca="false">Q!L14</f>
        <v>23.455</v>
      </c>
      <c r="E7928" s="6" t="n">
        <f aca="false">Q!M14</f>
        <v>21.79</v>
      </c>
      <c r="F7928" s="6" t="n">
        <f aca="false">Sens!E7928*(1+Sens!F7929)</f>
        <v>20.5736277908051</v>
      </c>
      <c r="G7928" s="6" t="n">
        <f aca="false">Sens!F7928*(1+Sens!G7929)</f>
        <v>19.7371452817919</v>
      </c>
      <c r="H7928" s="6" t="n">
        <f aca="false">Sens!G7928*(1+Sens!H7929)</f>
        <v>19.2339764043138</v>
      </c>
      <c r="I7928" s="6" t="n">
        <f aca="false">Sens!H7928*(1+Sens!I7929)</f>
        <v>19.0353086852681</v>
      </c>
      <c r="J7928" s="6" t="n">
        <f aca="false">Sens!I7928*(1+Sens!J7929)</f>
        <v>19.1273539319129</v>
      </c>
      <c r="K7928" s="6" t="n">
        <f aca="false">Sens!J7928*(1+Sens!K7929)</f>
        <v>19.5099010105511</v>
      </c>
    </row>
    <row r="7929" customFormat="false" ht="15" hidden="false" customHeight="false" outlineLevel="0" collapsed="false">
      <c r="A7929" s="1" t="s">
        <v>866</v>
      </c>
      <c r="B7929" s="0" t="s">
        <v>129</v>
      </c>
      <c r="E7929" s="7" t="n">
        <f aca="false">Sens!E7928/Sens!D7928-1</f>
        <v>-0.0709869963760392</v>
      </c>
      <c r="F7929" s="7" t="n">
        <f aca="false">Sens!$E$7929+(glt_xbox-Sens!$E$7929)*MIN(1,(Sens!F7872-base_fy)/n_conv)</f>
        <v>-0.0558224969800327</v>
      </c>
      <c r="G7929" s="7" t="n">
        <f aca="false">Sens!$E$7929+(glt_xbox-Sens!$E$7929)*MIN(1,(Sens!G7872-base_fy)/n_conv)</f>
        <v>-0.0406579975840262</v>
      </c>
      <c r="H7929" s="7" t="n">
        <f aca="false">Sens!$E$7929+(glt_xbox-Sens!$E$7929)*MIN(1,(Sens!H7872-base_fy)/n_conv)</f>
        <v>-0.0254934981880196</v>
      </c>
      <c r="I7929" s="7" t="n">
        <f aca="false">Sens!$E$7929+(glt_xbox-Sens!$E$7929)*MIN(1,(Sens!I7872-base_fy)/n_conv)</f>
        <v>-0.0103289987920131</v>
      </c>
      <c r="J7929" s="7" t="n">
        <f aca="false">Sens!$E$7929+(glt_xbox-Sens!$E$7929)*MIN(1,(Sens!J7872-base_fy)/n_conv)</f>
        <v>0.00483550060399347</v>
      </c>
      <c r="K7929" s="7" t="n">
        <f aca="false">Sens!$E$7929+(glt_xbox-Sens!$E$7929)*MIN(1,(Sens!K7872-base_fy)/n_conv)</f>
        <v>0.02</v>
      </c>
    </row>
    <row r="7930" customFormat="false" ht="15" hidden="false" customHeight="false" outlineLevel="0" collapsed="false">
      <c r="A7930" s="0" t="s">
        <v>879</v>
      </c>
      <c r="B7930" s="0" t="s">
        <v>98</v>
      </c>
      <c r="D7930" s="6" t="n">
        <f aca="false">Q!L15</f>
        <v>17.315</v>
      </c>
      <c r="E7930" s="6" t="n">
        <f aca="false">Q!M15</f>
        <v>17.087</v>
      </c>
      <c r="F7930" s="6" t="n">
        <f aca="false">Sens!E7930*(1+Sens!F7931)</f>
        <v>16.9564585436519</v>
      </c>
      <c r="G7930" s="6" t="n">
        <f aca="false">Sens!F7930*(1+Sens!G7931)</f>
        <v>16.9206490624268</v>
      </c>
      <c r="H7930" s="6" t="n">
        <f aca="false">Sens!G7930*(1+Sens!H7931)</f>
        <v>16.9784519149849</v>
      </c>
      <c r="I7930" s="6" t="n">
        <f aca="false">Sens!H7930*(1+Sens!I7931)</f>
        <v>17.1303084701817</v>
      </c>
      <c r="J7930" s="6" t="n">
        <f aca="false">Sens!I7930*(1+Sens!J7931)</f>
        <v>17.3782189407267</v>
      </c>
      <c r="K7930" s="6" t="n">
        <f aca="false">Sens!J7930*(1+Sens!K7931)</f>
        <v>17.7257833195413</v>
      </c>
    </row>
    <row r="7931" customFormat="false" ht="15" hidden="false" customHeight="false" outlineLevel="0" collapsed="false">
      <c r="A7931" s="1" t="s">
        <v>866</v>
      </c>
      <c r="B7931" s="0" t="s">
        <v>129</v>
      </c>
      <c r="E7931" s="7" t="n">
        <f aca="false">Sens!E7930/Sens!D7930-1</f>
        <v>-0.0131677736066995</v>
      </c>
      <c r="F7931" s="7" t="n">
        <f aca="false">Sens!$E$7931+(glt_win-Sens!$E$7931)*MIN(1,(Sens!F7872-base_fy)/n_conv)</f>
        <v>-0.00763981133891627</v>
      </c>
      <c r="G7931" s="7" t="n">
        <f aca="false">Sens!$E$7931+(glt_win-Sens!$E$7931)*MIN(1,(Sens!G7872-base_fy)/n_conv)</f>
        <v>-0.00211184907113301</v>
      </c>
      <c r="H7931" s="7" t="n">
        <f aca="false">Sens!$E$7931+(glt_win-Sens!$E$7931)*MIN(1,(Sens!H7872-base_fy)/n_conv)</f>
        <v>0.00341611319665024</v>
      </c>
      <c r="I7931" s="7" t="n">
        <f aca="false">Sens!$E$7931+(glt_win-Sens!$E$7931)*MIN(1,(Sens!I7872-base_fy)/n_conv)</f>
        <v>0.00894407546443349</v>
      </c>
      <c r="J7931" s="7" t="n">
        <f aca="false">Sens!$E$7931+(glt_win-Sens!$E$7931)*MIN(1,(Sens!J7872-base_fy)/n_conv)</f>
        <v>0.0144720377322168</v>
      </c>
      <c r="K7931" s="7" t="n">
        <f aca="false">Sens!$E$7931+(glt_win-Sens!$E$7931)*MIN(1,(Sens!K7872-base_fy)/n_conv)</f>
        <v>0.02</v>
      </c>
    </row>
    <row r="7932" customFormat="false" ht="15" hidden="false" customHeight="false" outlineLevel="0" collapsed="false">
      <c r="A7932" s="0" t="s">
        <v>718</v>
      </c>
      <c r="B7932" s="0" t="s">
        <v>98</v>
      </c>
      <c r="D7932" s="6" t="n">
        <f aca="false">Sens!D7926+Sens!D7928+Sens!D7930</f>
        <v>62.941</v>
      </c>
      <c r="E7932" s="6" t="n">
        <f aca="false">Sens!E7926+Sens!E7928+Sens!E7930</f>
        <v>63.712</v>
      </c>
      <c r="F7932" s="6" t="n">
        <f aca="false">Sens!F7926+Sens!F7928+Sens!F7930</f>
        <v>65.1415764563129</v>
      </c>
      <c r="G7932" s="6" t="n">
        <f aca="false">Sens!G7926+Sens!G7928+Sens!G7930</f>
        <v>67.1253610780702</v>
      </c>
      <c r="H7932" s="6" t="n">
        <f aca="false">Sens!H7926+Sens!H7928+Sens!H7930</f>
        <v>69.5768050148776</v>
      </c>
      <c r="I7932" s="6" t="n">
        <f aca="false">Sens!I7926+Sens!I7928+Sens!I7930</f>
        <v>72.4233188088189</v>
      </c>
      <c r="J7932" s="6" t="n">
        <f aca="false">Sens!J7926+Sens!J7928+Sens!J7930</f>
        <v>75.6044096678567</v>
      </c>
      <c r="K7932" s="6" t="n">
        <f aca="false">Sens!K7926+Sens!K7928+Sens!K7930</f>
        <v>79.0714397009747</v>
      </c>
    </row>
    <row r="7933" customFormat="false" ht="15" hidden="false" customHeight="false" outlineLevel="0" collapsed="false">
      <c r="A7933" s="1" t="s">
        <v>880</v>
      </c>
      <c r="B7933" s="0" t="s">
        <v>98</v>
      </c>
      <c r="D7933" s="6" t="n">
        <f aca="false">Sens!D7925+Sens!D7932</f>
        <v>281.724</v>
      </c>
      <c r="E7933" s="6" t="n">
        <f aca="false">Sens!E7925+Sens!E7932</f>
        <v>331.839</v>
      </c>
      <c r="F7933" s="6" t="n">
        <f aca="false">Sens!F7925+Sens!F7932</f>
        <v>393.134367053499</v>
      </c>
      <c r="G7933" s="6" t="n">
        <f aca="false">Sens!G7925+Sens!G7932</f>
        <v>455.057755106681</v>
      </c>
      <c r="H7933" s="6" t="n">
        <f aca="false">Sens!H7925+Sens!H7932</f>
        <v>512.194807284628</v>
      </c>
      <c r="I7933" s="6" t="n">
        <f aca="false">Sens!I7925+Sens!I7932</f>
        <v>571.142784275156</v>
      </c>
      <c r="J7933" s="6" t="n">
        <f aca="false">Sens!J7925+Sens!J7932</f>
        <v>619.123546807301</v>
      </c>
      <c r="K7933" s="6" t="n">
        <f aca="false">Sens!K7925+Sens!K7932</f>
        <v>656.435074914099</v>
      </c>
    </row>
    <row r="7934" customFormat="false" ht="15" hidden="false" customHeight="false" outlineLevel="0" collapsed="false">
      <c r="A7934" s="23" t="s">
        <v>881</v>
      </c>
      <c r="B7934" s="30" t="s">
        <v>98</v>
      </c>
      <c r="C7934" s="30"/>
      <c r="D7934" s="24" t="n">
        <f aca="false">(Sens!D7913+Sens!D7918+Sens!D7919+Sens!D7921+Sens!D7923-Sens!D7925)+(Sens!D7926+Sens!D7928+Sens!D7930-Sens!D7932)+(Sens!D7925-Q!L5)+(Sens!D7932-Q!L12)+(Sens!D7913-Q!L6)+(Sens!D7918-Q!L7)</f>
        <v>0</v>
      </c>
      <c r="E7934" s="24" t="n">
        <f aca="false">(Sens!E7913+Sens!E7918+Sens!E7919+Sens!E7921+Sens!E7923-Sens!E7925)+(Sens!E7926+Sens!E7928+Sens!E7930-Sens!E7932)+(Sens!E7925-Q!M5)+(Sens!E7932-Q!M12)+(Sens!E7913-Q!M6)+(Sens!E7918-Q!M7)</f>
        <v>0</v>
      </c>
      <c r="F7934" s="24" t="n">
        <f aca="false">(Sens!F7913+Sens!F7918+Sens!F7919+Sens!F7921+Sens!F7923-Sens!F7925)+(Sens!F7926+Sens!F7928+Sens!F7930-Sens!F7932)</f>
        <v>0</v>
      </c>
      <c r="G7934" s="24" t="n">
        <f aca="false">(Sens!G7913+Sens!G7918+Sens!G7919+Sens!G7921+Sens!G7923-Sens!G7925)+(Sens!G7926+Sens!G7928+Sens!G7930-Sens!G7932)</f>
        <v>0</v>
      </c>
      <c r="H7934" s="24" t="n">
        <f aca="false">(Sens!H7913+Sens!H7918+Sens!H7919+Sens!H7921+Sens!H7923-Sens!H7925)+(Sens!H7926+Sens!H7928+Sens!H7930-Sens!H7932)</f>
        <v>0</v>
      </c>
      <c r="I7934" s="24" t="n">
        <f aca="false">(Sens!I7913+Sens!I7918+Sens!I7919+Sens!I7921+Sens!I7923-Sens!I7925)+(Sens!I7926+Sens!I7928+Sens!I7930-Sens!I7932)</f>
        <v>0</v>
      </c>
      <c r="J7934" s="24" t="n">
        <f aca="false">(Sens!J7913+Sens!J7918+Sens!J7919+Sens!J7921+Sens!J7923-Sens!J7925)+(Sens!J7926+Sens!J7928+Sens!J7930-Sens!J7932)</f>
        <v>0</v>
      </c>
      <c r="K7934" s="24" t="n">
        <f aca="false">(Sens!K7913+Sens!K7918+Sens!K7919+Sens!K7921+Sens!K7923-Sens!K7925)+(Sens!K7926+Sens!K7928+Sens!K7930-Sens!K7932)</f>
        <v>0</v>
      </c>
    </row>
    <row r="7935" customFormat="false" ht="17.15" hidden="false" customHeight="false" outlineLevel="0" collapsed="false">
      <c r="A7935" s="3" t="s">
        <v>1441</v>
      </c>
    </row>
    <row r="7936" customFormat="false" ht="15" hidden="false" customHeight="false" outlineLevel="0" collapsed="false">
      <c r="A7936" s="4" t="s">
        <v>43</v>
      </c>
      <c r="B7936" s="4" t="s">
        <v>65</v>
      </c>
      <c r="C7936" s="20" t="s">
        <v>788</v>
      </c>
      <c r="D7936" s="20" t="s">
        <v>789</v>
      </c>
      <c r="E7936" s="20" t="s">
        <v>790</v>
      </c>
      <c r="F7936" s="20" t="s">
        <v>791</v>
      </c>
      <c r="G7936" s="20" t="s">
        <v>792</v>
      </c>
      <c r="H7936" s="20" t="s">
        <v>793</v>
      </c>
      <c r="I7936" s="20" t="s">
        <v>794</v>
      </c>
      <c r="J7936" s="20" t="s">
        <v>795</v>
      </c>
      <c r="K7936" s="20" t="s">
        <v>796</v>
      </c>
      <c r="L7936" s="4" t="s">
        <v>47</v>
      </c>
    </row>
    <row r="7937" customFormat="false" ht="15" hidden="false" customHeight="false" outlineLevel="0" collapsed="false">
      <c r="A7937" s="0" t="s">
        <v>867</v>
      </c>
      <c r="B7937" s="0" t="s">
        <v>98</v>
      </c>
      <c r="D7937" s="6" t="n">
        <f aca="false">Sens!D7913</f>
        <v>72.61</v>
      </c>
      <c r="E7937" s="6" t="n">
        <f aca="false">Sens!E7913</f>
        <v>101.938</v>
      </c>
      <c r="F7937" s="6" t="n">
        <f aca="false">Sens!F7913</f>
        <v>140.371218658004</v>
      </c>
      <c r="G7937" s="6" t="n">
        <f aca="false">Sens!G7913</f>
        <v>180.839237491182</v>
      </c>
      <c r="H7937" s="6" t="n">
        <f aca="false">Sens!H7913</f>
        <v>216.029319588236</v>
      </c>
      <c r="I7937" s="6" t="n">
        <f aca="false">Sens!I7913</f>
        <v>253.658110486851</v>
      </c>
      <c r="J7937" s="6" t="n">
        <f aca="false">Sens!J7913</f>
        <v>281.328240035276</v>
      </c>
      <c r="K7937" s="6" t="n">
        <f aca="false">Sens!K7913</f>
        <v>298.969565872948</v>
      </c>
    </row>
    <row r="7938" customFormat="false" ht="17.15" hidden="false" customHeight="false" outlineLevel="0" collapsed="false">
      <c r="A7938" s="0" t="s">
        <v>864</v>
      </c>
      <c r="B7938" s="0" t="s">
        <v>98</v>
      </c>
      <c r="D7938" s="6" t="n">
        <f aca="false">Sens!D7910</f>
        <v>12.9359794422418</v>
      </c>
      <c r="E7938" s="6" t="n">
        <f aca="false">Sens!E7910</f>
        <v>27.8095064661409</v>
      </c>
      <c r="F7938" s="6" t="n">
        <f aca="false">Sens!F7910</f>
        <v>50.6619113883066</v>
      </c>
      <c r="G7938" s="6" t="n">
        <f aca="false">Sens!G7910</f>
        <v>75.1482839325348</v>
      </c>
      <c r="H7938" s="6" t="n">
        <f aca="false">Sens!H7910</f>
        <v>94.895655604042</v>
      </c>
      <c r="I7938" s="6" t="n">
        <f aca="false">Sens!I7910</f>
        <v>118.706168884151</v>
      </c>
      <c r="J7938" s="6" t="n">
        <f aca="false">Sens!J7910</f>
        <v>135.305203646001</v>
      </c>
      <c r="K7938" s="6" t="n">
        <f aca="false">Sens!K7910</f>
        <v>145.64537766421</v>
      </c>
    </row>
    <row r="7939" customFormat="false" ht="17.15" hidden="false" customHeight="false" outlineLevel="0" collapsed="false">
      <c r="A7939" s="0" t="s">
        <v>892</v>
      </c>
      <c r="B7939" s="0" t="s">
        <v>98</v>
      </c>
      <c r="D7939" s="6" t="n">
        <f aca="false">Sens!D7911</f>
        <v>59.6740205577583</v>
      </c>
      <c r="E7939" s="6" t="n">
        <f aca="false">Sens!E7911</f>
        <v>74.1284935338591</v>
      </c>
      <c r="F7939" s="6" t="n">
        <f aca="false">Sens!F7911</f>
        <v>89.709307269697</v>
      </c>
      <c r="G7939" s="6" t="n">
        <f aca="false">Sens!G7911</f>
        <v>105.690953558647</v>
      </c>
      <c r="H7939" s="6" t="n">
        <f aca="false">Sens!H7911</f>
        <v>121.133663984194</v>
      </c>
      <c r="I7939" s="6" t="n">
        <f aca="false">Sens!I7911</f>
        <v>134.951941602699</v>
      </c>
      <c r="J7939" s="6" t="n">
        <f aca="false">Sens!J7911</f>
        <v>146.023036389274</v>
      </c>
      <c r="K7939" s="6" t="n">
        <f aca="false">Sens!K7911</f>
        <v>153.324188208738</v>
      </c>
    </row>
    <row r="7940" customFormat="false" ht="15" hidden="false" customHeight="false" outlineLevel="0" collapsed="false">
      <c r="A7940" s="0" t="s">
        <v>873</v>
      </c>
      <c r="B7940" s="0" t="s">
        <v>98</v>
      </c>
      <c r="D7940" s="6" t="n">
        <f aca="false">Sens!D7918</f>
        <v>84.605</v>
      </c>
      <c r="E7940" s="6" t="n">
        <f aca="false">Sens!E7918</f>
        <v>100.299</v>
      </c>
      <c r="F7940" s="6" t="n">
        <f aca="false">Sens!F7918</f>
        <v>117.39238776686</v>
      </c>
      <c r="G7940" s="6" t="n">
        <f aca="false">Sens!G7918</f>
        <v>132.544168448684</v>
      </c>
      <c r="H7940" s="6" t="n">
        <f aca="false">Sens!H7918</f>
        <v>147.777359388781</v>
      </c>
      <c r="I7940" s="6" t="n">
        <f aca="false">Sens!I7918</f>
        <v>162.084028071957</v>
      </c>
      <c r="J7940" s="6" t="n">
        <f aca="false">Sens!J7918</f>
        <v>175.182702785465</v>
      </c>
      <c r="K7940" s="6" t="n">
        <f aca="false">Sens!K7918</f>
        <v>187.527991980448</v>
      </c>
    </row>
    <row r="7941" customFormat="false" ht="17.15" hidden="false" customHeight="false" outlineLevel="0" collapsed="false">
      <c r="A7941" s="0" t="s">
        <v>893</v>
      </c>
      <c r="B7941" s="0" t="s">
        <v>98</v>
      </c>
      <c r="D7941" s="6" t="n">
        <f aca="false">Sens!D7916</f>
        <v>83.705</v>
      </c>
      <c r="E7941" s="6" t="n">
        <f aca="false">Sens!E7916</f>
        <v>95.049</v>
      </c>
      <c r="F7941" s="6" t="n">
        <f aca="false">Sens!F7916</f>
        <v>106.89238776686</v>
      </c>
      <c r="G7941" s="6" t="n">
        <f aca="false">Sens!G7916</f>
        <v>119.044168448684</v>
      </c>
      <c r="H7941" s="6" t="n">
        <f aca="false">Sens!H7916</f>
        <v>131.277359388781</v>
      </c>
      <c r="I7941" s="6" t="n">
        <f aca="false">Sens!I7916</f>
        <v>143.334028071957</v>
      </c>
      <c r="J7941" s="6" t="n">
        <f aca="false">Sens!J7916</f>
        <v>154.932702785465</v>
      </c>
      <c r="K7941" s="6" t="n">
        <f aca="false">Sens!K7916</f>
        <v>165.777991980448</v>
      </c>
    </row>
    <row r="7942" customFormat="false" ht="17.15" hidden="false" customHeight="false" outlineLevel="0" collapsed="false">
      <c r="A7942" s="0" t="s">
        <v>894</v>
      </c>
      <c r="B7942" s="0" t="s">
        <v>98</v>
      </c>
      <c r="D7942" s="6" t="n">
        <f aca="false">Sens!D7915</f>
        <v>0.9</v>
      </c>
      <c r="E7942" s="6" t="n">
        <f aca="false">Sens!E7915</f>
        <v>5.25</v>
      </c>
      <c r="F7942" s="6" t="n">
        <f aca="false">Sens!F7915</f>
        <v>10.5</v>
      </c>
      <c r="G7942" s="6" t="n">
        <f aca="false">Sens!G7915</f>
        <v>13.5</v>
      </c>
      <c r="H7942" s="6" t="n">
        <f aca="false">Sens!H7915</f>
        <v>16.5</v>
      </c>
      <c r="I7942" s="6" t="n">
        <f aca="false">Sens!I7915</f>
        <v>18.75</v>
      </c>
      <c r="J7942" s="6" t="n">
        <f aca="false">Sens!J7915</f>
        <v>20.25</v>
      </c>
      <c r="K7942" s="6" t="n">
        <f aca="false">Sens!K7915</f>
        <v>21.75</v>
      </c>
    </row>
    <row r="7943" customFormat="false" ht="15" hidden="false" customHeight="false" outlineLevel="0" collapsed="false">
      <c r="A7943" s="0" t="s">
        <v>874</v>
      </c>
      <c r="B7943" s="0" t="s">
        <v>98</v>
      </c>
      <c r="D7943" s="6" t="n">
        <f aca="false">Sens!D7919</f>
        <v>35.391</v>
      </c>
      <c r="E7943" s="6" t="n">
        <f aca="false">Sens!E7919</f>
        <v>37.285</v>
      </c>
      <c r="F7943" s="6" t="n">
        <f aca="false">Sens!F7919</f>
        <v>39.0720834331704</v>
      </c>
      <c r="G7943" s="6" t="n">
        <f aca="false">Sens!G7919</f>
        <v>40.726562953769</v>
      </c>
      <c r="H7943" s="6" t="n">
        <f aca="false">Sens!H7919</f>
        <v>42.2235987259198</v>
      </c>
      <c r="I7943" s="6" t="n">
        <f aca="false">Sens!I7919</f>
        <v>43.5397988077414</v>
      </c>
      <c r="J7943" s="6" t="n">
        <f aca="false">Sens!J7919</f>
        <v>44.653811225693</v>
      </c>
      <c r="K7943" s="6" t="n">
        <f aca="false">Sens!K7919</f>
        <v>45.5468874502068</v>
      </c>
    </row>
    <row r="7944" customFormat="false" ht="15" hidden="false" customHeight="false" outlineLevel="0" collapsed="false">
      <c r="A7944" s="0" t="s">
        <v>875</v>
      </c>
      <c r="B7944" s="0" t="s">
        <v>98</v>
      </c>
      <c r="D7944" s="6" t="n">
        <f aca="false">Sens!D7921</f>
        <v>18.417</v>
      </c>
      <c r="E7944" s="6" t="n">
        <f aca="false">Sens!E7921</f>
        <v>20.345</v>
      </c>
      <c r="F7944" s="6" t="n">
        <f aca="false">Sens!F7921</f>
        <v>22.3572203267814</v>
      </c>
      <c r="G7944" s="6" t="n">
        <f aca="false">Sens!G7921</f>
        <v>24.4392124437232</v>
      </c>
      <c r="H7944" s="6" t="n">
        <f aca="false">Sens!H7921</f>
        <v>26.5738052080665</v>
      </c>
      <c r="I7944" s="6" t="n">
        <f aca="false">Sens!I7921</f>
        <v>28.7412169166967</v>
      </c>
      <c r="J7944" s="6" t="n">
        <f aca="false">Sens!J7921</f>
        <v>30.9192545395413</v>
      </c>
      <c r="K7944" s="6" t="n">
        <f aca="false">Sens!K7921</f>
        <v>33.0836023573092</v>
      </c>
    </row>
    <row r="7945" customFormat="false" ht="15" hidden="false" customHeight="false" outlineLevel="0" collapsed="false">
      <c r="A7945" s="0" t="s">
        <v>876</v>
      </c>
      <c r="B7945" s="0" t="s">
        <v>98</v>
      </c>
      <c r="D7945" s="6" t="n">
        <f aca="false">Sens!D7923</f>
        <v>7.76</v>
      </c>
      <c r="E7945" s="6" t="n">
        <f aca="false">Sens!E7923</f>
        <v>8.26</v>
      </c>
      <c r="F7945" s="6" t="n">
        <f aca="false">Sens!F7923</f>
        <v>8.79988041237113</v>
      </c>
      <c r="G7945" s="6" t="n">
        <f aca="false">Sens!G7923</f>
        <v>9.38321269125306</v>
      </c>
      <c r="H7945" s="6" t="n">
        <f aca="false">Sens!H7923</f>
        <v>10.0139193587476</v>
      </c>
      <c r="I7945" s="6" t="n">
        <f aca="false">Sens!I7923</f>
        <v>10.6963111830911</v>
      </c>
      <c r="J7945" s="6" t="n">
        <f aca="false">Sens!J7923</f>
        <v>11.4351285534696</v>
      </c>
      <c r="K7945" s="6" t="n">
        <f aca="false">Sens!K7923</f>
        <v>12.2355875522124</v>
      </c>
    </row>
    <row r="7946" customFormat="false" ht="15" hidden="false" customHeight="false" outlineLevel="0" collapsed="false">
      <c r="A7946" s="0" t="s">
        <v>704</v>
      </c>
      <c r="B7946" s="0" t="s">
        <v>98</v>
      </c>
      <c r="D7946" s="6" t="n">
        <f aca="false">Sens!D7925</f>
        <v>218.783</v>
      </c>
      <c r="E7946" s="6" t="n">
        <f aca="false">Sens!E7925</f>
        <v>268.127</v>
      </c>
      <c r="F7946" s="6" t="n">
        <f aca="false">Sens!F7925</f>
        <v>327.992790597186</v>
      </c>
      <c r="G7946" s="6" t="n">
        <f aca="false">Sens!G7925</f>
        <v>387.932394028611</v>
      </c>
      <c r="H7946" s="6" t="n">
        <f aca="false">Sens!H7925</f>
        <v>442.618002269751</v>
      </c>
      <c r="I7946" s="6" t="n">
        <f aca="false">Sens!I7925</f>
        <v>498.719465466337</v>
      </c>
      <c r="J7946" s="6" t="n">
        <f aca="false">Sens!J7925</f>
        <v>543.519137139445</v>
      </c>
      <c r="K7946" s="6" t="n">
        <f aca="false">Sens!K7925</f>
        <v>577.363635213124</v>
      </c>
    </row>
    <row r="7947" customFormat="false" ht="15" hidden="false" customHeight="false" outlineLevel="0" collapsed="false">
      <c r="A7947" s="0" t="s">
        <v>877</v>
      </c>
      <c r="B7947" s="0" t="s">
        <v>98</v>
      </c>
      <c r="D7947" s="6" t="n">
        <f aca="false">Sens!D7926</f>
        <v>22.171</v>
      </c>
      <c r="E7947" s="6" t="n">
        <f aca="false">Sens!E7926</f>
        <v>24.835</v>
      </c>
      <c r="F7947" s="6" t="n">
        <f aca="false">Sens!F7926</f>
        <v>27.6114901218559</v>
      </c>
      <c r="G7947" s="6" t="n">
        <f aca="false">Sens!G7926</f>
        <v>30.4675667338515</v>
      </c>
      <c r="H7947" s="6" t="n">
        <f aca="false">Sens!H7926</f>
        <v>33.3643766955789</v>
      </c>
      <c r="I7947" s="6" t="n">
        <f aca="false">Sens!I7926</f>
        <v>36.2577016533691</v>
      </c>
      <c r="J7947" s="6" t="n">
        <f aca="false">Sens!J7926</f>
        <v>39.0988367952171</v>
      </c>
      <c r="K7947" s="6" t="n">
        <f aca="false">Sens!K7926</f>
        <v>41.8357553708823</v>
      </c>
    </row>
    <row r="7948" customFormat="false" ht="15" hidden="false" customHeight="false" outlineLevel="0" collapsed="false">
      <c r="A7948" s="0" t="s">
        <v>878</v>
      </c>
      <c r="B7948" s="0" t="s">
        <v>98</v>
      </c>
      <c r="D7948" s="6" t="n">
        <f aca="false">Sens!D7928</f>
        <v>23.455</v>
      </c>
      <c r="E7948" s="6" t="n">
        <f aca="false">Sens!E7928</f>
        <v>21.79</v>
      </c>
      <c r="F7948" s="6" t="n">
        <f aca="false">Sens!F7928</f>
        <v>20.5736277908051</v>
      </c>
      <c r="G7948" s="6" t="n">
        <f aca="false">Sens!G7928</f>
        <v>19.7371452817919</v>
      </c>
      <c r="H7948" s="6" t="n">
        <f aca="false">Sens!H7928</f>
        <v>19.2339764043138</v>
      </c>
      <c r="I7948" s="6" t="n">
        <f aca="false">Sens!I7928</f>
        <v>19.0353086852681</v>
      </c>
      <c r="J7948" s="6" t="n">
        <f aca="false">Sens!J7928</f>
        <v>19.1273539319129</v>
      </c>
      <c r="K7948" s="6" t="n">
        <f aca="false">Sens!K7928</f>
        <v>19.5099010105511</v>
      </c>
    </row>
    <row r="7949" customFormat="false" ht="15" hidden="false" customHeight="false" outlineLevel="0" collapsed="false">
      <c r="A7949" s="0" t="s">
        <v>879</v>
      </c>
      <c r="B7949" s="0" t="s">
        <v>98</v>
      </c>
      <c r="D7949" s="6" t="n">
        <f aca="false">Sens!D7930</f>
        <v>17.315</v>
      </c>
      <c r="E7949" s="6" t="n">
        <f aca="false">Sens!E7930</f>
        <v>17.087</v>
      </c>
      <c r="F7949" s="6" t="n">
        <f aca="false">Sens!F7930</f>
        <v>16.9564585436519</v>
      </c>
      <c r="G7949" s="6" t="n">
        <f aca="false">Sens!G7930</f>
        <v>16.9206490624268</v>
      </c>
      <c r="H7949" s="6" t="n">
        <f aca="false">Sens!H7930</f>
        <v>16.9784519149849</v>
      </c>
      <c r="I7949" s="6" t="n">
        <f aca="false">Sens!I7930</f>
        <v>17.1303084701817</v>
      </c>
      <c r="J7949" s="6" t="n">
        <f aca="false">Sens!J7930</f>
        <v>17.3782189407267</v>
      </c>
      <c r="K7949" s="6" t="n">
        <f aca="false">Sens!K7930</f>
        <v>17.7257833195413</v>
      </c>
    </row>
    <row r="7950" customFormat="false" ht="15" hidden="false" customHeight="false" outlineLevel="0" collapsed="false">
      <c r="A7950" s="0" t="s">
        <v>718</v>
      </c>
      <c r="B7950" s="0" t="s">
        <v>98</v>
      </c>
      <c r="D7950" s="6" t="n">
        <f aca="false">Sens!D7932</f>
        <v>62.941</v>
      </c>
      <c r="E7950" s="6" t="n">
        <f aca="false">Sens!E7932</f>
        <v>63.712</v>
      </c>
      <c r="F7950" s="6" t="n">
        <f aca="false">Sens!F7932</f>
        <v>65.1415764563129</v>
      </c>
      <c r="G7950" s="6" t="n">
        <f aca="false">Sens!G7932</f>
        <v>67.1253610780702</v>
      </c>
      <c r="H7950" s="6" t="n">
        <f aca="false">Sens!H7932</f>
        <v>69.5768050148776</v>
      </c>
      <c r="I7950" s="6" t="n">
        <f aca="false">Sens!I7932</f>
        <v>72.4233188088189</v>
      </c>
      <c r="J7950" s="6" t="n">
        <f aca="false">Sens!J7932</f>
        <v>75.6044096678567</v>
      </c>
      <c r="K7950" s="6" t="n">
        <f aca="false">Sens!K7932</f>
        <v>79.0714397009747</v>
      </c>
    </row>
    <row r="7951" customFormat="false" ht="15" hidden="false" customHeight="false" outlineLevel="0" collapsed="false">
      <c r="A7951" s="1" t="s">
        <v>895</v>
      </c>
      <c r="B7951" s="0" t="s">
        <v>98</v>
      </c>
      <c r="D7951" s="6" t="n">
        <f aca="false">Sens!D7933</f>
        <v>281.724</v>
      </c>
      <c r="E7951" s="6" t="n">
        <f aca="false">Sens!E7933</f>
        <v>331.839</v>
      </c>
      <c r="F7951" s="6" t="n">
        <f aca="false">Sens!F7933</f>
        <v>393.134367053499</v>
      </c>
      <c r="G7951" s="6" t="n">
        <f aca="false">Sens!G7933</f>
        <v>455.057755106681</v>
      </c>
      <c r="H7951" s="6" t="n">
        <f aca="false">Sens!H7933</f>
        <v>512.194807284628</v>
      </c>
      <c r="I7951" s="6" t="n">
        <f aca="false">Sens!I7933</f>
        <v>571.142784275156</v>
      </c>
      <c r="J7951" s="6" t="n">
        <f aca="false">Sens!J7933</f>
        <v>619.123546807301</v>
      </c>
      <c r="K7951" s="6" t="n">
        <f aca="false">Sens!K7933</f>
        <v>656.435074914099</v>
      </c>
    </row>
    <row r="7952" customFormat="false" ht="15" hidden="false" customHeight="false" outlineLevel="0" collapsed="false">
      <c r="A7952" s="1" t="s">
        <v>896</v>
      </c>
      <c r="B7952" s="0" t="s">
        <v>129</v>
      </c>
      <c r="E7952" s="7" t="n">
        <f aca="false">Sens!E7951/Sens!D7951-1</f>
        <v>0.177886867998467</v>
      </c>
      <c r="F7952" s="7" t="n">
        <f aca="false">Sens!F7951/Sens!E7951-1</f>
        <v>0.184714174806154</v>
      </c>
      <c r="G7952" s="7" t="n">
        <f aca="false">Sens!G7951/Sens!F7951-1</f>
        <v>0.157512019407744</v>
      </c>
      <c r="H7952" s="7" t="n">
        <f aca="false">Sens!H7951/Sens!G7951-1</f>
        <v>0.125560000981749</v>
      </c>
      <c r="I7952" s="7" t="n">
        <f aca="false">Sens!I7951/Sens!H7951-1</f>
        <v>0.115088978162502</v>
      </c>
      <c r="J7952" s="7" t="n">
        <f aca="false">Sens!J7951/Sens!I7951-1</f>
        <v>0.0840083493185306</v>
      </c>
      <c r="K7952" s="7" t="n">
        <f aca="false">Sens!K7951/Sens!J7951-1</f>
        <v>0.0602650768157764</v>
      </c>
    </row>
    <row r="7953" customFormat="false" ht="17.15" hidden="false" customHeight="false" outlineLevel="0" collapsed="false">
      <c r="A7953" s="23" t="s">
        <v>897</v>
      </c>
      <c r="B7953" s="30" t="s">
        <v>98</v>
      </c>
      <c r="C7953" s="30"/>
      <c r="D7953" s="24" t="n">
        <f aca="false">(Sens!D7946+Sens!D7950-Sens!D7951)+(Sens!D7938+Sens!D7939-Sens!D7937)+(Sens!D7941+Sens!D7942-Sens!D7940)+(Sens!D7951-Q!L18)</f>
        <v>0</v>
      </c>
      <c r="E7953" s="24" t="n">
        <f aca="false">(Sens!E7946+Sens!E7950-Sens!E7951)+(Sens!E7938+Sens!E7939-Sens!E7937)+(Sens!E7941+Sens!E7942-Sens!E7940)+(Sens!E7951-Q!M18)</f>
        <v>0</v>
      </c>
      <c r="F7953" s="24" t="n">
        <f aca="false">(Sens!F7946+Sens!F7950-Sens!F7951)+(Sens!F7938+Sens!F7939-Sens!F7937)+(Sens!F7941+Sens!F7942-Sens!F7940)</f>
        <v>0</v>
      </c>
      <c r="G7953" s="24" t="n">
        <f aca="false">(Sens!G7946+Sens!G7950-Sens!G7951)+(Sens!G7938+Sens!G7939-Sens!G7937)+(Sens!G7941+Sens!G7942-Sens!G7940)</f>
        <v>0</v>
      </c>
      <c r="H7953" s="24" t="n">
        <f aca="false">(Sens!H7946+Sens!H7950-Sens!H7951)+(Sens!H7938+Sens!H7939-Sens!H7937)+(Sens!H7941+Sens!H7942-Sens!H7940)</f>
        <v>0</v>
      </c>
      <c r="I7953" s="24" t="n">
        <f aca="false">(Sens!I7946+Sens!I7950-Sens!I7951)+(Sens!I7938+Sens!I7939-Sens!I7937)+(Sens!I7941+Sens!I7942-Sens!I7940)</f>
        <v>0</v>
      </c>
      <c r="J7953" s="24" t="n">
        <f aca="false">(Sens!J7946+Sens!J7950-Sens!J7951)+(Sens!J7938+Sens!J7939-Sens!J7937)+(Sens!J7941+Sens!J7942-Sens!J7940)</f>
        <v>0</v>
      </c>
      <c r="K7953" s="24" t="n">
        <f aca="false">(Sens!K7946+Sens!K7950-Sens!K7951)+(Sens!K7938+Sens!K7939-Sens!K7937)+(Sens!K7941+Sens!K7942-Sens!K7940)</f>
        <v>0</v>
      </c>
    </row>
    <row r="7954" customFormat="false" ht="17.15" hidden="false" customHeight="false" outlineLevel="0" collapsed="false">
      <c r="A7954" s="0" t="s">
        <v>898</v>
      </c>
      <c r="B7954" s="0" t="s">
        <v>129</v>
      </c>
      <c r="E7954" s="7" t="n">
        <f aca="false">(Q!M21+Sens!E7891+Sens!E7892+Sens!E7893+Sens!E7906-Sens!E7889)/(Q!M5-Sens!E7889)</f>
        <v>0.570957350878296</v>
      </c>
      <c r="F7954" s="7" t="n">
        <f aca="false">Sens!$E$7954+dm_seg</f>
        <v>0.570957350878296</v>
      </c>
      <c r="G7954" s="7" t="n">
        <f aca="false">Sens!$E$7954+dm_seg</f>
        <v>0.570957350878296</v>
      </c>
      <c r="H7954" s="7" t="n">
        <f aca="false">Sens!$E$7954+dm_seg</f>
        <v>0.570957350878296</v>
      </c>
      <c r="I7954" s="7" t="n">
        <f aca="false">Sens!$E$7954+dm_seg</f>
        <v>0.570957350878296</v>
      </c>
      <c r="J7954" s="7" t="n">
        <f aca="false">Sens!$E$7954+dm_seg</f>
        <v>0.570957350878296</v>
      </c>
      <c r="K7954" s="7" t="n">
        <f aca="false">Sens!$E$7954+dm_seg</f>
        <v>0.570957350878296</v>
      </c>
      <c r="L7954" s="11" t="s">
        <v>899</v>
      </c>
    </row>
    <row r="7955" customFormat="false" ht="17.15" hidden="false" customHeight="false" outlineLevel="0" collapsed="false">
      <c r="A7955" s="0" t="s">
        <v>732</v>
      </c>
      <c r="B7955" s="0" t="s">
        <v>98</v>
      </c>
      <c r="D7955" s="6" t="n">
        <f aca="false">Q!L21</f>
        <v>110.814</v>
      </c>
      <c r="E7955" s="6" t="n">
        <f aca="false">Q!M21</f>
        <v>136.365</v>
      </c>
      <c r="F7955" s="6" t="n">
        <f aca="false">Sens!F7954*(Sens!F7925-Sens!F7889)+Sens!F7889-(Sens!F7891+Sens!F7892+Sens!F7893)-Sens!F7906</f>
        <v>152.109306291552</v>
      </c>
      <c r="G7955" s="6" t="n">
        <f aca="false">Sens!G7954*(Sens!G7925-Sens!G7889)+Sens!G7889-(Sens!G7891+Sens!G7892+Sens!G7893)-Sens!G7906</f>
        <v>159.508164885141</v>
      </c>
      <c r="H7955" s="6" t="n">
        <f aca="false">Sens!H7954*(Sens!H7925-Sens!H7889)+Sens!H7889-(Sens!H7891+Sens!H7892+Sens!H7893)-Sens!H7906</f>
        <v>160.771198500393</v>
      </c>
      <c r="I7955" s="6" t="n">
        <f aca="false">Sens!I7954*(Sens!I7925-Sens!I7889)+Sens!I7889-(Sens!I7891+Sens!I7892+Sens!I7893)-Sens!I7906</f>
        <v>169.073937188606</v>
      </c>
      <c r="J7955" s="6" t="n">
        <f aca="false">Sens!J7954*(Sens!J7925-Sens!J7889)+Sens!J7889-(Sens!J7891+Sens!J7892+Sens!J7893)-Sens!J7906</f>
        <v>178.041395355902</v>
      </c>
      <c r="K7955" s="6" t="n">
        <f aca="false">Sens!K7954*(Sens!K7925-Sens!K7889)+Sens!K7889-(Sens!K7891+Sens!K7892+Sens!K7893)-Sens!K7906</f>
        <v>187.829875175053</v>
      </c>
      <c r="L7955" s="1" t="s">
        <v>900</v>
      </c>
    </row>
    <row r="7956" customFormat="false" ht="17.15" hidden="false" customHeight="false" outlineLevel="0" collapsed="false">
      <c r="A7956" s="0" t="s">
        <v>901</v>
      </c>
      <c r="B7956" s="0" t="s">
        <v>129</v>
      </c>
      <c r="E7956" s="7" t="n">
        <f aca="false">Q!M22/Q!M12</f>
        <v>0.296207935710698</v>
      </c>
      <c r="F7956" s="7" t="n">
        <f aca="false">Sens!$E$7956+dm_seg</f>
        <v>0.296207935710698</v>
      </c>
      <c r="G7956" s="7" t="n">
        <f aca="false">Sens!$E$7956+dm_seg</f>
        <v>0.296207935710698</v>
      </c>
      <c r="H7956" s="7" t="n">
        <f aca="false">Sens!$E$7956+dm_seg</f>
        <v>0.296207935710698</v>
      </c>
      <c r="I7956" s="7" t="n">
        <f aca="false">Sens!$E$7956+dm_seg</f>
        <v>0.296207935710698</v>
      </c>
      <c r="J7956" s="7" t="n">
        <f aca="false">Sens!$E$7956+dm_seg</f>
        <v>0.296207935710698</v>
      </c>
      <c r="K7956" s="7" t="n">
        <f aca="false">Sens!$E$7956+dm_seg</f>
        <v>0.296207935710698</v>
      </c>
      <c r="L7956" s="11" t="s">
        <v>902</v>
      </c>
    </row>
    <row r="7957" customFormat="false" ht="17.15" hidden="false" customHeight="false" outlineLevel="0" collapsed="false">
      <c r="A7957" s="0" t="s">
        <v>734</v>
      </c>
      <c r="B7957" s="0" t="s">
        <v>98</v>
      </c>
      <c r="D7957" s="6" t="n">
        <f aca="false">Q!L22</f>
        <v>17.714</v>
      </c>
      <c r="E7957" s="6" t="n">
        <f aca="false">Q!M22</f>
        <v>18.872</v>
      </c>
      <c r="F7957" s="6" t="n">
        <f aca="false">Sens!F7932*Sens!F7956</f>
        <v>19.2954518910651</v>
      </c>
      <c r="G7957" s="6" t="n">
        <f aca="false">Sens!G7932*Sens!G7956</f>
        <v>19.8830646387704</v>
      </c>
      <c r="H7957" s="6" t="n">
        <f aca="false">Sens!H7932*Sens!H7956</f>
        <v>20.6092017868026</v>
      </c>
      <c r="I7957" s="6" t="n">
        <f aca="false">Sens!I7932*Sens!I7956</f>
        <v>21.452361761678</v>
      </c>
      <c r="J7957" s="6" t="n">
        <f aca="false">Sens!J7932*Sens!J7956</f>
        <v>22.3946261183418</v>
      </c>
      <c r="K7957" s="6" t="n">
        <f aca="false">Sens!K7932*Sens!K7956</f>
        <v>23.4215879274986</v>
      </c>
    </row>
    <row r="7958" customFormat="false" ht="15" hidden="false" customHeight="false" outlineLevel="0" collapsed="false">
      <c r="A7958" s="1" t="s">
        <v>903</v>
      </c>
      <c r="B7958" s="0" t="s">
        <v>98</v>
      </c>
      <c r="D7958" s="6" t="n">
        <f aca="false">Sens!D7955+Sens!D7957</f>
        <v>128.528</v>
      </c>
      <c r="E7958" s="6" t="n">
        <f aca="false">Sens!E7955+Sens!E7957</f>
        <v>155.237</v>
      </c>
      <c r="F7958" s="6" t="n">
        <f aca="false">Sens!F7955+Sens!F7957</f>
        <v>171.404758182617</v>
      </c>
      <c r="G7958" s="6" t="n">
        <f aca="false">Sens!G7955+Sens!G7957</f>
        <v>179.391229523911</v>
      </c>
      <c r="H7958" s="6" t="n">
        <f aca="false">Sens!H7955+Sens!H7957</f>
        <v>181.380400287195</v>
      </c>
      <c r="I7958" s="6" t="n">
        <f aca="false">Sens!I7955+Sens!I7957</f>
        <v>190.526298950284</v>
      </c>
      <c r="J7958" s="6" t="n">
        <f aca="false">Sens!J7955+Sens!J7957</f>
        <v>200.436021474244</v>
      </c>
      <c r="K7958" s="6" t="n">
        <f aca="false">Sens!K7955+Sens!K7957</f>
        <v>211.251463102552</v>
      </c>
    </row>
    <row r="7959" customFormat="false" ht="15" hidden="false" customHeight="false" outlineLevel="0" collapsed="false">
      <c r="A7959" s="23" t="s">
        <v>904</v>
      </c>
      <c r="B7959" s="30" t="s">
        <v>98</v>
      </c>
      <c r="C7959" s="30"/>
      <c r="D7959" s="24" t="n">
        <f aca="false">Sens!D7958-Q!L23</f>
        <v>0</v>
      </c>
      <c r="E7959" s="24" t="n">
        <f aca="false">Sens!E7958-Q!M23</f>
        <v>0</v>
      </c>
      <c r="F7959" s="30"/>
      <c r="G7959" s="30"/>
      <c r="H7959" s="30"/>
      <c r="I7959" s="30"/>
      <c r="J7959" s="30"/>
      <c r="K7959" s="30"/>
    </row>
    <row r="7960" customFormat="false" ht="15" hidden="false" customHeight="false" outlineLevel="0" collapsed="false">
      <c r="A7960" s="1" t="s">
        <v>905</v>
      </c>
      <c r="B7960" s="0" t="s">
        <v>129</v>
      </c>
      <c r="D7960" s="7" t="n">
        <f aca="false">Sens!D7958/Sens!D7951</f>
        <v>0.456219562408598</v>
      </c>
      <c r="E7960" s="7" t="n">
        <f aca="false">Sens!E7958/Sens!E7951</f>
        <v>0.467808184089272</v>
      </c>
      <c r="F7960" s="7" t="n">
        <f aca="false">Sens!F7958/Sens!F7951</f>
        <v>0.435995355652261</v>
      </c>
      <c r="G7960" s="7" t="n">
        <f aca="false">Sens!G7958/Sens!G7951</f>
        <v>0.394216398931287</v>
      </c>
      <c r="H7960" s="7" t="n">
        <f aca="false">Sens!H7958/Sens!H7951</f>
        <v>0.354123856211611</v>
      </c>
      <c r="I7960" s="7" t="n">
        <f aca="false">Sens!I7958/Sens!I7951</f>
        <v>0.333587859631429</v>
      </c>
      <c r="J7960" s="7" t="n">
        <f aca="false">Sens!J7958/Sens!J7951</f>
        <v>0.323741557735694</v>
      </c>
      <c r="K7960" s="7" t="n">
        <f aca="false">Sens!K7958/Sens!K7951</f>
        <v>0.321816233128914</v>
      </c>
    </row>
    <row r="7961" customFormat="false" ht="17.15" hidden="false" customHeight="false" outlineLevel="0" collapsed="false">
      <c r="A7961" s="1" t="s">
        <v>906</v>
      </c>
      <c r="B7961" s="0" t="s">
        <v>98</v>
      </c>
      <c r="F7961" s="6" t="n">
        <f aca="false">Sens!F7976</f>
        <v>20.7922544923746</v>
      </c>
      <c r="G7961" s="6" t="n">
        <f aca="false">Sens!G7976</f>
        <v>37.7052575228648</v>
      </c>
      <c r="H7961" s="6" t="n">
        <f aca="false">Sens!H7976</f>
        <v>55.9707166463052</v>
      </c>
      <c r="I7961" s="6" t="n">
        <f aca="false">Sens!I7976</f>
        <v>72.386177414753</v>
      </c>
      <c r="J7961" s="6" t="n">
        <f aca="false">Sens!J7976</f>
        <v>83.8561542203386</v>
      </c>
      <c r="K7961" s="6" t="n">
        <f aca="false">Sens!K7976</f>
        <v>90.6046701138278</v>
      </c>
      <c r="L7961" s="1" t="s">
        <v>907</v>
      </c>
    </row>
    <row r="7962" customFormat="false" ht="17.15" hidden="false" customHeight="false" outlineLevel="0" collapsed="false">
      <c r="A7962" s="1" t="s">
        <v>908</v>
      </c>
      <c r="B7962" s="0" t="s">
        <v>98</v>
      </c>
      <c r="D7962" s="6" t="n">
        <f aca="false">Sens!D7958</f>
        <v>128.528</v>
      </c>
      <c r="E7962" s="6" t="n">
        <f aca="false">Sens!E7958</f>
        <v>155.237</v>
      </c>
      <c r="F7962" s="6" t="n">
        <f aca="false">Sens!F7958+Sens!F7961</f>
        <v>192.197012674992</v>
      </c>
      <c r="G7962" s="6" t="n">
        <f aca="false">Sens!G7958+Sens!G7961</f>
        <v>217.096487046776</v>
      </c>
      <c r="H7962" s="6" t="n">
        <f aca="false">Sens!H7958+Sens!H7961</f>
        <v>237.351116933501</v>
      </c>
      <c r="I7962" s="6" t="n">
        <f aca="false">Sens!I7958+Sens!I7961</f>
        <v>262.912476365037</v>
      </c>
      <c r="J7962" s="6" t="n">
        <f aca="false">Sens!J7958+Sens!J7961</f>
        <v>284.292175694582</v>
      </c>
      <c r="K7962" s="6" t="n">
        <f aca="false">Sens!K7958+Sens!K7961</f>
        <v>301.85613321638</v>
      </c>
    </row>
    <row r="7963" customFormat="false" ht="17.15" hidden="false" customHeight="false" outlineLevel="0" collapsed="false">
      <c r="A7963" s="1" t="s">
        <v>909</v>
      </c>
      <c r="B7963" s="0" t="s">
        <v>98</v>
      </c>
      <c r="E7963" s="6" t="n">
        <f aca="false">Sens!E7906</f>
        <v>16.3054059770833</v>
      </c>
      <c r="F7963" s="6" t="n">
        <f aca="false">Sens!F7906</f>
        <v>34.759212830331</v>
      </c>
      <c r="G7963" s="6" t="n">
        <f aca="false">Sens!G7906</f>
        <v>60.5440880092619</v>
      </c>
      <c r="H7963" s="6" t="n">
        <f aca="false">Sens!H7906</f>
        <v>87.7796707420619</v>
      </c>
      <c r="I7963" s="6" t="n">
        <f aca="false">Sens!I7906</f>
        <v>112.024394731143</v>
      </c>
      <c r="J7963" s="6" t="n">
        <f aca="false">Sens!J7906</f>
        <v>129.221065671588</v>
      </c>
      <c r="K7963" s="6" t="n">
        <f aca="false">Sens!K7906</f>
        <v>139.685001553396</v>
      </c>
    </row>
    <row r="7964" customFormat="false" ht="17.15" hidden="false" customHeight="false" outlineLevel="0" collapsed="false">
      <c r="A7964" s="1" t="s">
        <v>910</v>
      </c>
      <c r="B7964" s="0" t="s">
        <v>98</v>
      </c>
      <c r="E7964" s="6" t="n">
        <f aca="false">Sens!E7988</f>
        <v>22.2285940229167</v>
      </c>
      <c r="F7964" s="6" t="n">
        <f aca="false">Sens!F7988</f>
        <v>23.5412564942279</v>
      </c>
      <c r="G7964" s="6" t="n">
        <f aca="false">Sens!G7988</f>
        <v>25.2306707689507</v>
      </c>
      <c r="H7964" s="6" t="n">
        <f aca="false">Sens!H7988</f>
        <v>27.2509886844358</v>
      </c>
      <c r="I7964" s="6" t="n">
        <f aca="false">Sens!I7988</f>
        <v>29.5285946315735</v>
      </c>
      <c r="J7964" s="6" t="n">
        <f aca="false">Sens!J7988</f>
        <v>31.9714098749524</v>
      </c>
      <c r="K7964" s="6" t="n">
        <f aca="false">Sens!K7988</f>
        <v>34.4801153918417</v>
      </c>
    </row>
    <row r="7965" customFormat="false" ht="17.15" hidden="false" customHeight="false" outlineLevel="0" collapsed="false">
      <c r="A7965" s="1" t="s">
        <v>911</v>
      </c>
      <c r="B7965" s="0" t="s">
        <v>98</v>
      </c>
      <c r="D7965" s="6" t="n">
        <f aca="false">Q!L27</f>
        <v>-4.901</v>
      </c>
      <c r="E7965" s="6" t="n">
        <f aca="false">Q!M27</f>
        <v>10.697</v>
      </c>
      <c r="F7965" s="6" t="n">
        <f aca="false">oie_f</f>
        <v>-0.4</v>
      </c>
      <c r="G7965" s="6" t="n">
        <f aca="false">oie_f</f>
        <v>-0.4</v>
      </c>
      <c r="H7965" s="6" t="n">
        <f aca="false">oie_f</f>
        <v>-0.4</v>
      </c>
      <c r="I7965" s="6" t="n">
        <f aca="false">oie_f</f>
        <v>-0.4</v>
      </c>
      <c r="J7965" s="6" t="n">
        <f aca="false">oie_f</f>
        <v>-0.4</v>
      </c>
      <c r="K7965" s="6" t="n">
        <f aca="false">oie_f</f>
        <v>-0.4</v>
      </c>
      <c r="L7965" s="11" t="s">
        <v>912</v>
      </c>
    </row>
    <row r="7966" customFormat="false" ht="15" hidden="false" customHeight="false" outlineLevel="0" collapsed="false">
      <c r="A7966" s="1" t="s">
        <v>913</v>
      </c>
      <c r="B7966" s="0" t="s">
        <v>98</v>
      </c>
      <c r="D7966" s="6" t="n">
        <f aca="false">Sens!D7958+Sens!D7965</f>
        <v>123.627</v>
      </c>
      <c r="E7966" s="6" t="n">
        <f aca="false">Sens!E7958+Sens!E7965</f>
        <v>165.934</v>
      </c>
      <c r="F7966" s="6" t="n">
        <f aca="false">Sens!F7958+Sens!F7965</f>
        <v>171.004758182617</v>
      </c>
      <c r="G7966" s="6" t="n">
        <f aca="false">Sens!G7958+Sens!G7965</f>
        <v>178.991229523911</v>
      </c>
      <c r="H7966" s="6" t="n">
        <f aca="false">Sens!H7958+Sens!H7965</f>
        <v>180.980400287195</v>
      </c>
      <c r="I7966" s="6" t="n">
        <f aca="false">Sens!I7958+Sens!I7965</f>
        <v>190.126298950284</v>
      </c>
      <c r="J7966" s="6" t="n">
        <f aca="false">Sens!J7958+Sens!J7965</f>
        <v>200.036021474244</v>
      </c>
      <c r="K7966" s="6" t="n">
        <f aca="false">Sens!K7958+Sens!K7965</f>
        <v>210.851463102552</v>
      </c>
    </row>
    <row r="7967" customFormat="false" ht="15" hidden="false" customHeight="false" outlineLevel="0" collapsed="false">
      <c r="A7967" s="1" t="s">
        <v>914</v>
      </c>
      <c r="B7967" s="0" t="s">
        <v>98</v>
      </c>
      <c r="D7967" s="6" t="n">
        <f aca="false">Q!L29</f>
        <v>21.795</v>
      </c>
      <c r="E7967" s="6" t="n">
        <f aca="false">Q!M29</f>
        <v>32.185</v>
      </c>
      <c r="F7967" s="6" t="n">
        <f aca="false">Sens!F7966*tax_f</f>
        <v>34.2009516365234</v>
      </c>
      <c r="G7967" s="6" t="n">
        <f aca="false">Sens!G7966*tax_f</f>
        <v>35.7982459047823</v>
      </c>
      <c r="H7967" s="6" t="n">
        <f aca="false">Sens!H7966*tax_f</f>
        <v>36.1960800574391</v>
      </c>
      <c r="I7967" s="6" t="n">
        <f aca="false">Sens!I7966*tax_f</f>
        <v>38.0252597900569</v>
      </c>
      <c r="J7967" s="6" t="n">
        <f aca="false">Sens!J7966*tax_f</f>
        <v>40.0072042948487</v>
      </c>
      <c r="K7967" s="6" t="n">
        <f aca="false">Sens!K7966*tax_f</f>
        <v>42.1702926205104</v>
      </c>
    </row>
    <row r="7968" customFormat="false" ht="15" hidden="false" customHeight="false" outlineLevel="0" collapsed="false">
      <c r="A7968" s="1" t="s">
        <v>915</v>
      </c>
      <c r="B7968" s="0" t="s">
        <v>98</v>
      </c>
      <c r="D7968" s="6" t="n">
        <f aca="false">Sens!D7966-Sens!D7967</f>
        <v>101.832</v>
      </c>
      <c r="E7968" s="6" t="n">
        <f aca="false">Sens!E7966-Sens!E7967</f>
        <v>133.749</v>
      </c>
      <c r="F7968" s="6" t="n">
        <f aca="false">Sens!F7966-Sens!F7967</f>
        <v>136.803806546094</v>
      </c>
      <c r="G7968" s="6" t="n">
        <f aca="false">Sens!G7966-Sens!G7967</f>
        <v>143.192983619129</v>
      </c>
      <c r="H7968" s="6" t="n">
        <f aca="false">Sens!H7966-Sens!H7967</f>
        <v>144.784320229756</v>
      </c>
      <c r="I7968" s="6" t="n">
        <f aca="false">Sens!I7966-Sens!I7967</f>
        <v>152.101039160228</v>
      </c>
      <c r="J7968" s="6" t="n">
        <f aca="false">Sens!J7966-Sens!J7967</f>
        <v>160.028817179395</v>
      </c>
      <c r="K7968" s="6" t="n">
        <f aca="false">Sens!K7966-Sens!K7967</f>
        <v>168.681170482042</v>
      </c>
    </row>
    <row r="7969" customFormat="false" ht="17.15" hidden="false" customHeight="false" outlineLevel="0" collapsed="false">
      <c r="A7969" s="1" t="s">
        <v>916</v>
      </c>
      <c r="B7969" s="1" t="s">
        <v>81</v>
      </c>
      <c r="D7969" s="14" t="n">
        <f aca="false">Q!L31</f>
        <v>7.465</v>
      </c>
      <c r="E7969" s="14" t="n">
        <f aca="false">Q!M31</f>
        <v>7.453</v>
      </c>
      <c r="F7969" s="14" t="n">
        <f aca="false">Sens!F8010</f>
        <v>7.4735</v>
      </c>
      <c r="G7969" s="14" t="n">
        <f aca="false">Sens!G8010</f>
        <v>7.5185</v>
      </c>
      <c r="H7969" s="14" t="n">
        <f aca="false">Sens!H8010</f>
        <v>7.55913792051976</v>
      </c>
      <c r="I7969" s="14" t="n">
        <f aca="false">Sens!I8010</f>
        <v>7.58380508719689</v>
      </c>
      <c r="J7969" s="14" t="n">
        <f aca="false">Sens!J8010</f>
        <v>7.59804659831477</v>
      </c>
      <c r="K7969" s="14" t="n">
        <f aca="false">Sens!K8010</f>
        <v>7.61456651601651</v>
      </c>
    </row>
    <row r="7970" customFormat="false" ht="17.15" hidden="false" customHeight="false" outlineLevel="0" collapsed="false">
      <c r="A7970" s="0" t="s">
        <v>917</v>
      </c>
      <c r="B7970" s="0" t="s">
        <v>75</v>
      </c>
      <c r="D7970" s="8" t="n">
        <f aca="false">Sens!D7968/Sens!D7969</f>
        <v>13.641259209645</v>
      </c>
      <c r="E7970" s="8" t="n">
        <f aca="false">Sens!E7968/Sens!E7969</f>
        <v>17.9456594659869</v>
      </c>
      <c r="F7970" s="8" t="n">
        <f aca="false">Sens!F7968/Sens!F7969</f>
        <v>18.3051858628613</v>
      </c>
      <c r="G7970" s="8" t="n">
        <f aca="false">Sens!G7968/Sens!G7969</f>
        <v>19.0454191153992</v>
      </c>
      <c r="H7970" s="8" t="n">
        <f aca="false">Sens!H7968/Sens!H7969</f>
        <v>19.1535492210997</v>
      </c>
      <c r="I7970" s="8" t="n">
        <f aca="false">Sens!I7968/Sens!I7969</f>
        <v>20.0560322175219</v>
      </c>
      <c r="J7970" s="8" t="n">
        <f aca="false">Sens!J7968/Sens!J7969</f>
        <v>21.0618367640558</v>
      </c>
      <c r="K7970" s="8" t="n">
        <f aca="false">Sens!K7968/Sens!K7969</f>
        <v>22.1524324631267</v>
      </c>
      <c r="L7970" s="1" t="s">
        <v>918</v>
      </c>
    </row>
    <row r="7971" customFormat="false" ht="17.15" hidden="false" customHeight="false" outlineLevel="0" collapsed="false">
      <c r="A7971" s="1" t="s">
        <v>919</v>
      </c>
      <c r="B7971" s="0" t="s">
        <v>98</v>
      </c>
      <c r="D7971" s="6" t="n">
        <f aca="false">Sens!D7968</f>
        <v>101.832</v>
      </c>
      <c r="E7971" s="6" t="n">
        <f aca="false">Sens!E7968</f>
        <v>133.749</v>
      </c>
      <c r="F7971" s="6" t="n">
        <f aca="false">Sens!F7968+Sens!F7961*(1-tax_f)</f>
        <v>153.437610139993</v>
      </c>
      <c r="G7971" s="6" t="n">
        <f aca="false">Sens!G7968+Sens!G7961*(1-tax_f)</f>
        <v>173.357189637421</v>
      </c>
      <c r="H7971" s="6" t="n">
        <f aca="false">Sens!H7968+Sens!H7961*(1-tax_f)</f>
        <v>189.560893546801</v>
      </c>
      <c r="I7971" s="6" t="n">
        <f aca="false">Sens!I7968+Sens!I7961*(1-tax_f)</f>
        <v>210.00998109203</v>
      </c>
      <c r="J7971" s="6" t="n">
        <f aca="false">Sens!J7968+Sens!J7961*(1-tax_f)</f>
        <v>227.113740555666</v>
      </c>
      <c r="K7971" s="6" t="n">
        <f aca="false">Sens!K7968+Sens!K7961*(1-tax_f)</f>
        <v>241.164906573104</v>
      </c>
    </row>
    <row r="7972" customFormat="false" ht="17.15" hidden="false" customHeight="false" outlineLevel="0" collapsed="false">
      <c r="A7972" s="0" t="s">
        <v>920</v>
      </c>
      <c r="B7972" s="0" t="s">
        <v>75</v>
      </c>
      <c r="D7972" s="8" t="n">
        <f aca="false">Sens!D7971/Sens!D7969</f>
        <v>13.641259209645</v>
      </c>
      <c r="E7972" s="8" t="n">
        <f aca="false">Sens!E7971/Sens!E7969</f>
        <v>17.9456594659869</v>
      </c>
      <c r="F7972" s="8" t="n">
        <f aca="false">Sens!F7971/Sens!F7969</f>
        <v>20.5308904984269</v>
      </c>
      <c r="G7972" s="8" t="n">
        <f aca="false">Sens!G7971/Sens!G7969</f>
        <v>23.0574169897481</v>
      </c>
      <c r="H7972" s="8" t="n">
        <f aca="false">Sens!H7971/Sens!H7969</f>
        <v>25.0770518463786</v>
      </c>
      <c r="I7972" s="8" t="n">
        <f aca="false">Sens!I7971/Sens!I7969</f>
        <v>27.6919011864601</v>
      </c>
      <c r="J7972" s="8" t="n">
        <f aca="false">Sens!J7971/Sens!J7969</f>
        <v>29.8910697133707</v>
      </c>
      <c r="K7972" s="8" t="n">
        <f aca="false">Sens!K7971/Sens!K7969</f>
        <v>31.6715214274951</v>
      </c>
      <c r="L7972" s="1" t="s">
        <v>921</v>
      </c>
    </row>
    <row r="7973" customFormat="false" ht="17.15" hidden="false" customHeight="false" outlineLevel="0" collapsed="false">
      <c r="A7973" s="0" t="s">
        <v>922</v>
      </c>
      <c r="B7973" s="0" t="s">
        <v>129</v>
      </c>
      <c r="E7973" s="7" t="n">
        <f aca="false">Sens!E7972/Sens!D7972-1</f>
        <v>0.315542736208578</v>
      </c>
      <c r="F7973" s="7" t="n">
        <f aca="false">Sens!F7972/Sens!E7972-1</f>
        <v>0.144058848176625</v>
      </c>
      <c r="G7973" s="7" t="n">
        <f aca="false">Sens!G7972/Sens!F7972-1</f>
        <v>0.123059761655969</v>
      </c>
      <c r="H7973" s="7" t="n">
        <f aca="false">Sens!H7972/Sens!G7972-1</f>
        <v>0.0875915484170879</v>
      </c>
      <c r="I7973" s="7" t="n">
        <f aca="false">Sens!I7972/Sens!H7972-1</f>
        <v>0.104272597755911</v>
      </c>
      <c r="J7973" s="7" t="n">
        <f aca="false">Sens!J7972/Sens!I7972-1</f>
        <v>0.0794155847986999</v>
      </c>
      <c r="K7973" s="7" t="n">
        <f aca="false">Sens!K7972/Sens!J7972-1</f>
        <v>0.0595646703579835</v>
      </c>
    </row>
    <row r="7974" customFormat="false" ht="17.15" hidden="false" customHeight="false" outlineLevel="0" collapsed="false">
      <c r="A7974" s="0" t="s">
        <v>846</v>
      </c>
      <c r="B7974" s="0" t="s">
        <v>98</v>
      </c>
      <c r="E7974" s="6" t="n">
        <f aca="false">Sens!E7915</f>
        <v>5.25</v>
      </c>
      <c r="F7974" s="6" t="n">
        <f aca="false">Sens!F7915</f>
        <v>10.5</v>
      </c>
      <c r="G7974" s="6" t="n">
        <f aca="false">Sens!G7915</f>
        <v>13.5</v>
      </c>
      <c r="H7974" s="6" t="n">
        <f aca="false">Sens!H7915</f>
        <v>16.5</v>
      </c>
      <c r="I7974" s="6" t="n">
        <f aca="false">Sens!I7915</f>
        <v>18.75</v>
      </c>
      <c r="J7974" s="6" t="n">
        <f aca="false">Sens!J7915</f>
        <v>20.25</v>
      </c>
      <c r="K7974" s="6" t="n">
        <f aca="false">Sens!K7915</f>
        <v>21.75</v>
      </c>
    </row>
    <row r="7975" customFormat="false" ht="17.15" hidden="false" customHeight="false" outlineLevel="0" collapsed="false">
      <c r="A7975" s="1" t="s">
        <v>847</v>
      </c>
      <c r="B7975" s="0" t="s">
        <v>98</v>
      </c>
      <c r="F7975" s="6" t="n">
        <f aca="false">MAX(0,(Sens!E7878+Sens!F7878)/2*Sens!F7886/1000-Sens!F7974*Sens!F7954)</f>
        <v>20.7922544923746</v>
      </c>
      <c r="G7975" s="6" t="n">
        <f aca="false">MAX(0,(Sens!F7878+Sens!G7878)/2*Sens!G7886/1000-Sens!G7974*Sens!G7954)</f>
        <v>37.7052575228648</v>
      </c>
      <c r="H7975" s="6" t="n">
        <f aca="false">MAX(0,(Sens!G7878+Sens!H7878)/2*Sens!H7886/1000-Sens!H7974*Sens!H7954)</f>
        <v>55.9707166463052</v>
      </c>
      <c r="I7975" s="6" t="n">
        <f aca="false">MAX(0,(Sens!H7878+Sens!I7878)/2*Sens!I7886/1000-Sens!I7974*Sens!I7954)</f>
        <v>72.386177414753</v>
      </c>
      <c r="J7975" s="6" t="n">
        <f aca="false">MAX(0,(Sens!I7878+Sens!J7878)/2*Sens!J7886/1000-Sens!J7974*Sens!J7954)</f>
        <v>83.8561542203386</v>
      </c>
      <c r="K7975" s="6" t="n">
        <f aca="false">MAX(0,(Sens!J7878+Sens!K7878)/2*Sens!K7886/1000-Sens!K7974*Sens!K7954)</f>
        <v>90.6046701138278</v>
      </c>
      <c r="L7975" s="1" t="s">
        <v>848</v>
      </c>
    </row>
    <row r="7976" customFormat="false" ht="17.15" hidden="false" customHeight="false" outlineLevel="0" collapsed="false">
      <c r="A7976" s="1" t="s">
        <v>849</v>
      </c>
      <c r="B7976" s="0" t="s">
        <v>98</v>
      </c>
      <c r="F7976" s="6" t="n">
        <f aca="false">IF(internal_ai_reading=2,1,0)*Sens!F7975</f>
        <v>20.7922544923746</v>
      </c>
      <c r="G7976" s="6" t="n">
        <f aca="false">IF(internal_ai_reading=2,1,0)*Sens!G7975</f>
        <v>37.7052575228648</v>
      </c>
      <c r="H7976" s="6" t="n">
        <f aca="false">IF(internal_ai_reading=2,1,0)*Sens!H7975</f>
        <v>55.9707166463052</v>
      </c>
      <c r="I7976" s="6" t="n">
        <f aca="false">IF(internal_ai_reading=2,1,0)*Sens!I7975</f>
        <v>72.386177414753</v>
      </c>
      <c r="J7976" s="6" t="n">
        <f aca="false">IF(internal_ai_reading=2,1,0)*Sens!J7975</f>
        <v>83.8561542203386</v>
      </c>
      <c r="K7976" s="6" t="n">
        <f aca="false">IF(internal_ai_reading=2,1,0)*Sens!K7975</f>
        <v>90.6046701138278</v>
      </c>
    </row>
    <row r="7977" customFormat="false" ht="17.15" hidden="false" customHeight="false" outlineLevel="0" collapsed="false">
      <c r="A7977" s="0" t="s">
        <v>850</v>
      </c>
      <c r="B7977" s="0" t="s">
        <v>98</v>
      </c>
      <c r="F7977" s="6" t="n">
        <f aca="false">Sens!F7895+Sens!F7974*Sens!F7954+Sens!F7976-Sens!F7896-Sens!F7906</f>
        <v>20.5525088582979</v>
      </c>
      <c r="G7977" s="6" t="n">
        <f aca="false">Sens!G7895+Sens!G7974*Sens!G7954+Sens!G7976-Sens!G7896-Sens!G7906</f>
        <v>26.3349597475818</v>
      </c>
      <c r="H7977" s="6" t="n">
        <f aca="false">Sens!H7895+Sens!H7974*Sens!H7954+Sens!H7976-Sens!H7896-Sens!H7906</f>
        <v>27.6280815427523</v>
      </c>
      <c r="I7977" s="6" t="n">
        <f aca="false">Sens!I7895+Sens!I7974*Sens!I7954+Sens!I7976-Sens!I7896-Sens!I7906</f>
        <v>35.1941798172347</v>
      </c>
      <c r="J7977" s="6" t="n">
        <f aca="false">Sens!J7895+Sens!J7974*Sens!J7954+Sens!J7976-Sens!J7896-Sens!J7906</f>
        <v>40.3866898725007</v>
      </c>
      <c r="K7977" s="6" t="n">
        <f aca="false">Sens!K7895+Sens!K7974*Sens!K7954+Sens!K7976-Sens!K7896-Sens!K7906</f>
        <v>44.360155014562</v>
      </c>
    </row>
    <row r="7978" customFormat="false" ht="17.15" hidden="false" customHeight="false" outlineLevel="0" collapsed="false">
      <c r="A7978" s="0" t="s">
        <v>851</v>
      </c>
      <c r="B7978" s="0" t="s">
        <v>98</v>
      </c>
      <c r="E7978" s="6" t="n">
        <f aca="false">Sens!E7877*(cxit_open+self_build*tk_cxfac)/1000*ai_net_open</f>
        <v>126.6980382</v>
      </c>
      <c r="F7978" s="6" t="n">
        <f aca="false">Sens!E7978+Sens!F7903-Sens!F7906</f>
        <v>260.78360663364</v>
      </c>
      <c r="G7978" s="6" t="n">
        <f aca="false">Sens!F7978+Sens!G7903-Sens!G7906</f>
        <v>383.813699107579</v>
      </c>
      <c r="H7978" s="6" t="n">
        <f aca="false">Sens!G7978+Sens!H7903-Sens!H7906</f>
        <v>484.114314275917</v>
      </c>
      <c r="I7978" s="6" t="n">
        <f aca="false">Sens!H7978+Sens!I7903-Sens!I7906</f>
        <v>535.796588699019</v>
      </c>
      <c r="J7978" s="6" t="n">
        <f aca="false">Sens!I7978+Sens!J7903-Sens!J7906</f>
        <v>531.087999745521</v>
      </c>
      <c r="K7978" s="6" t="n">
        <f aca="false">Sens!J7978+Sens!K7903-Sens!K7906</f>
        <v>506.362433834061</v>
      </c>
      <c r="L7978" s="1" t="s">
        <v>852</v>
      </c>
    </row>
    <row r="7979" customFormat="false" ht="17.15" hidden="false" customHeight="false" outlineLevel="0" collapsed="false">
      <c r="A7979" s="0" t="s">
        <v>853</v>
      </c>
      <c r="B7979" s="0" t="s">
        <v>129</v>
      </c>
      <c r="F7979" s="7" t="n">
        <f aca="false">Sens!F7977*(1-tax_f)/((Sens!E7978+Sens!F7978)/2)</f>
        <v>0.0848659920069116</v>
      </c>
      <c r="G7979" s="7" t="n">
        <f aca="false">Sens!G7977*(1-tax_f)/((Sens!F7978+Sens!G7978)/2)</f>
        <v>0.0653678431802923</v>
      </c>
      <c r="H7979" s="7" t="n">
        <f aca="false">Sens!H7977*(1-tax_f)/((Sens!G7978+Sens!H7978)/2)</f>
        <v>0.0509315632019722</v>
      </c>
      <c r="I7979" s="7" t="n">
        <f aca="false">Sens!I7977*(1-tax_f)/((Sens!H7978+Sens!I7978)/2)</f>
        <v>0.0552113792913923</v>
      </c>
      <c r="J7979" s="7" t="n">
        <f aca="false">Sens!J7977*(1-tax_f)/((Sens!I7978+Sens!J7978)/2)</f>
        <v>0.0605676607347114</v>
      </c>
      <c r="K7979" s="7" t="n">
        <f aca="false">Sens!K7977*(1-tax_f)/((Sens!J7978+Sens!K7978)/2)</f>
        <v>0.0684141099429737</v>
      </c>
    </row>
    <row r="7980" customFormat="false" ht="17.15" hidden="false" customHeight="false" outlineLevel="0" collapsed="false">
      <c r="A7980" s="1" t="s">
        <v>854</v>
      </c>
      <c r="B7980" s="0" t="s">
        <v>129</v>
      </c>
      <c r="F7980" s="7" t="n">
        <f aca="false">(Sens!F7977-Sens!F7976)*(1-tax_f)/((Sens!E7978+Sens!F7978)/2)</f>
        <v>-0.000989964349633604</v>
      </c>
      <c r="G7980" s="7" t="n">
        <f aca="false">(Sens!G7977-Sens!G7976)*(1-tax_f)/((Sens!F7978+Sens!G7978)/2)</f>
        <v>-0.0282230103638631</v>
      </c>
      <c r="H7980" s="7" t="n">
        <f aca="false">(Sens!H7977-Sens!H7976)*(1-tax_f)/((Sens!G7978+Sens!H7978)/2)</f>
        <v>-0.0522488218681882</v>
      </c>
      <c r="I7980" s="7" t="n">
        <f aca="false">(Sens!I7977-Sens!I7976)*(1-tax_f)/((Sens!H7978+Sens!I7978)/2)</f>
        <v>-0.058345484867801</v>
      </c>
      <c r="J7980" s="7" t="n">
        <f aca="false">(Sens!J7977-Sens!J7976)*(1-tax_f)/((Sens!I7978+Sens!J7978)/2)</f>
        <v>-0.0651908779167413</v>
      </c>
      <c r="K7980" s="7" t="n">
        <f aca="false">(Sens!K7977-Sens!K7976)*(1-tax_f)/((Sens!J7978+Sens!K7978)/2)</f>
        <v>-0.0713202498778939</v>
      </c>
    </row>
    <row r="7981" customFormat="false" ht="17.15" hidden="false" customHeight="false" outlineLevel="0" collapsed="false">
      <c r="A7981" s="1" t="s">
        <v>855</v>
      </c>
      <c r="B7981" s="0" t="s">
        <v>129</v>
      </c>
      <c r="F7981" s="7" t="n">
        <f aca="false">(Sens!F7977-Sens!F7976+Sens!F7975)*(1-tax_f)/((Sens!E7978+Sens!F7978)/2)</f>
        <v>0.0848659920069116</v>
      </c>
      <c r="G7981" s="7" t="n">
        <f aca="false">(Sens!G7977-Sens!G7976+Sens!G7975)*(1-tax_f)/((Sens!F7978+Sens!G7978)/2)</f>
        <v>0.0653678431802923</v>
      </c>
      <c r="H7981" s="7" t="n">
        <f aca="false">(Sens!H7977-Sens!H7976+Sens!H7975)*(1-tax_f)/((Sens!G7978+Sens!H7978)/2)</f>
        <v>0.0509315632019722</v>
      </c>
      <c r="I7981" s="7" t="n">
        <f aca="false">(Sens!I7977-Sens!I7976+Sens!I7975)*(1-tax_f)/((Sens!H7978+Sens!I7978)/2)</f>
        <v>0.0552113792913923</v>
      </c>
      <c r="J7981" s="7" t="n">
        <f aca="false">(Sens!J7977-Sens!J7976+Sens!J7975)*(1-tax_f)/((Sens!I7978+Sens!J7978)/2)</f>
        <v>0.0605676607347114</v>
      </c>
      <c r="K7981" s="7" t="n">
        <f aca="false">(Sens!K7977-Sens!K7976+Sens!K7975)*(1-tax_f)/((Sens!J7978+Sens!K7978)/2)</f>
        <v>0.0684141099429737</v>
      </c>
    </row>
    <row r="7982" customFormat="false" ht="17.15" hidden="false" customHeight="false" outlineLevel="0" collapsed="false">
      <c r="A7982" s="1" t="s">
        <v>856</v>
      </c>
      <c r="B7982" s="0" t="s">
        <v>129</v>
      </c>
      <c r="F7982" s="7" t="n">
        <f aca="false">Sens!F7907*(1-tax_f)/(Sens!F7894*(Sens!E7978+Sens!F7978)/2)</f>
        <v>0.0977375697916612</v>
      </c>
      <c r="G7982" s="7" t="n">
        <f aca="false">Sens!G7907*(1-tax_f)/(Sens!G7894*(Sens!F7978+Sens!G7978)/2)</f>
        <v>0.0658769714524078</v>
      </c>
      <c r="H7982" s="7" t="n">
        <f aca="false">Sens!H7907*(1-tax_f)/(Sens!H7894*(Sens!G7978+Sens!H7978)/2)</f>
        <v>0.0387493500576523</v>
      </c>
      <c r="I7982" s="7" t="n">
        <f aca="false">Sens!I7907*(1-tax_f)/(Sens!I7894*(Sens!H7978+Sens!I7978)/2)</f>
        <v>0.0419792559028093</v>
      </c>
      <c r="J7982" s="7" t="n">
        <f aca="false">Sens!J7907*(1-tax_f)/(Sens!J7894*(Sens!I7978+Sens!J7978)/2)</f>
        <v>0.046027934007681</v>
      </c>
      <c r="K7982" s="7" t="n">
        <f aca="false">Sens!K7907*(1-tax_f)/(Sens!K7894*(Sens!J7978+Sens!K7978)/2)</f>
        <v>0.0523645581328235</v>
      </c>
    </row>
    <row r="7983" customFormat="false" ht="17.15" hidden="false" customHeight="false" outlineLevel="0" collapsed="false">
      <c r="A7983" s="0" t="s">
        <v>857</v>
      </c>
      <c r="B7983" s="0" t="s">
        <v>209</v>
      </c>
      <c r="F7983" s="7" t="n">
        <f aca="false">Sens!F7979-wacc</f>
        <v>-0.0180684280859642</v>
      </c>
      <c r="G7983" s="7" t="n">
        <f aca="false">Sens!G7979-wacc</f>
        <v>-0.0375665769125834</v>
      </c>
      <c r="H7983" s="7" t="n">
        <f aca="false">Sens!H7979-wacc</f>
        <v>-0.0520028568909035</v>
      </c>
      <c r="I7983" s="7" t="n">
        <f aca="false">Sens!I7979-wacc</f>
        <v>-0.0477230408014834</v>
      </c>
      <c r="J7983" s="7" t="n">
        <f aca="false">Sens!J7979-wacc</f>
        <v>-0.0423667593581643</v>
      </c>
      <c r="K7983" s="7" t="n">
        <f aca="false">Sens!K7979-wacc</f>
        <v>-0.034520310149902</v>
      </c>
    </row>
    <row r="7984" customFormat="false" ht="17.15" hidden="false" customHeight="false" outlineLevel="0" collapsed="false">
      <c r="A7984" s="0" t="s">
        <v>858</v>
      </c>
      <c r="B7984" s="0" t="s">
        <v>98</v>
      </c>
      <c r="F7984" s="6" t="n">
        <f aca="false">Sens!F7977*(1-tax_f)-wacc*(Sens!E7978+Sens!F7978)/2</f>
        <v>-3.50059211715387</v>
      </c>
      <c r="G7984" s="6" t="n">
        <f aca="false">Sens!G7977*(1-tax_f)-wacc*(Sens!F7978+Sens!G7978)/2</f>
        <v>-12.1076571318858</v>
      </c>
      <c r="H7984" s="6" t="n">
        <f aca="false">Sens!H7977*(1-tax_f)-wacc*(Sens!G7978+Sens!H7978)/2</f>
        <v>-22.567368135794</v>
      </c>
      <c r="I7984" s="6" t="n">
        <f aca="false">Sens!I7977*(1-tax_f)-wacc*(Sens!H7978+Sens!I7978)/2</f>
        <v>-24.3366248182753</v>
      </c>
      <c r="J7984" s="6" t="n">
        <f aca="false">Sens!J7977*(1-tax_f)-wacc*(Sens!I7978+Sens!J7978)/2</f>
        <v>-22.600221310782</v>
      </c>
      <c r="K7984" s="6" t="n">
        <f aca="false">Sens!K7977*(1-tax_f)-wacc*(Sens!J7978+Sens!K7978)/2</f>
        <v>-17.9065553661588</v>
      </c>
    </row>
    <row r="7985" customFormat="false" ht="17.15" hidden="false" customHeight="false" outlineLevel="0" collapsed="false">
      <c r="A7985" s="3" t="s">
        <v>1442</v>
      </c>
    </row>
    <row r="7986" customFormat="false" ht="15" hidden="false" customHeight="false" outlineLevel="0" collapsed="false">
      <c r="A7986" s="4" t="s">
        <v>43</v>
      </c>
      <c r="B7986" s="4" t="s">
        <v>65</v>
      </c>
      <c r="C7986" s="20" t="s">
        <v>788</v>
      </c>
      <c r="D7986" s="20" t="s">
        <v>789</v>
      </c>
      <c r="E7986" s="20" t="s">
        <v>790</v>
      </c>
      <c r="F7986" s="20" t="s">
        <v>791</v>
      </c>
      <c r="G7986" s="20" t="s">
        <v>792</v>
      </c>
      <c r="H7986" s="20" t="s">
        <v>793</v>
      </c>
      <c r="I7986" s="20" t="s">
        <v>794</v>
      </c>
      <c r="J7986" s="20" t="s">
        <v>795</v>
      </c>
      <c r="K7986" s="20" t="s">
        <v>796</v>
      </c>
      <c r="L7986" s="4" t="s">
        <v>47</v>
      </c>
    </row>
    <row r="7987" customFormat="false" ht="15" hidden="false" customHeight="false" outlineLevel="0" collapsed="false">
      <c r="A7987" s="1" t="s">
        <v>915</v>
      </c>
      <c r="B7987" s="0" t="s">
        <v>98</v>
      </c>
      <c r="F7987" s="6" t="n">
        <f aca="false">Sens!F7968</f>
        <v>136.803806546094</v>
      </c>
      <c r="G7987" s="6" t="n">
        <f aca="false">Sens!G7968</f>
        <v>143.192983619129</v>
      </c>
      <c r="H7987" s="6" t="n">
        <f aca="false">Sens!H7968</f>
        <v>144.784320229756</v>
      </c>
      <c r="I7987" s="6" t="n">
        <f aca="false">Sens!I7968</f>
        <v>152.101039160228</v>
      </c>
      <c r="J7987" s="6" t="n">
        <f aca="false">Sens!J7968</f>
        <v>160.028817179395</v>
      </c>
      <c r="K7987" s="6" t="n">
        <f aca="false">Sens!K7968</f>
        <v>168.681170482042</v>
      </c>
    </row>
    <row r="7988" customFormat="false" ht="17.15" hidden="false" customHeight="false" outlineLevel="0" collapsed="false">
      <c r="A7988" s="1" t="s">
        <v>937</v>
      </c>
      <c r="B7988" s="0" t="s">
        <v>98</v>
      </c>
      <c r="E7988" s="6" t="n">
        <f aca="false">Q!M38-Sens!E7906</f>
        <v>22.2285940229167</v>
      </c>
      <c r="F7988" s="6" t="n">
        <f aca="false">Sens!E7988*(1-1/life_nonai)+Sens!F7994/life_nonai</f>
        <v>23.5412564942279</v>
      </c>
      <c r="G7988" s="6" t="n">
        <f aca="false">Sens!F7988*(1-1/life_nonai)+Sens!G7994/life_nonai</f>
        <v>25.2306707689507</v>
      </c>
      <c r="H7988" s="6" t="n">
        <f aca="false">Sens!G7988*(1-1/life_nonai)+Sens!H7994/life_nonai</f>
        <v>27.2509886844358</v>
      </c>
      <c r="I7988" s="6" t="n">
        <f aca="false">Sens!H7988*(1-1/life_nonai)+Sens!I7994/life_nonai</f>
        <v>29.5285946315735</v>
      </c>
      <c r="J7988" s="6" t="n">
        <f aca="false">Sens!I7988*(1-1/life_nonai)+Sens!J7994/life_nonai</f>
        <v>31.9714098749524</v>
      </c>
      <c r="K7988" s="6" t="n">
        <f aca="false">Sens!J7988*(1-1/life_nonai)+Sens!K7994/life_nonai</f>
        <v>34.4801153918417</v>
      </c>
      <c r="L7988" s="11" t="s">
        <v>938</v>
      </c>
    </row>
    <row r="7989" customFormat="false" ht="17.15" hidden="false" customHeight="false" outlineLevel="0" collapsed="false">
      <c r="A7989" s="1" t="s">
        <v>939</v>
      </c>
      <c r="B7989" s="0" t="s">
        <v>98</v>
      </c>
      <c r="E7989" s="6" t="n">
        <f aca="false">Sens!E7906+Sens!E7988</f>
        <v>38.534</v>
      </c>
      <c r="F7989" s="6" t="n">
        <f aca="false">Sens!F7906+Sens!F7988</f>
        <v>58.3004693245588</v>
      </c>
      <c r="G7989" s="6" t="n">
        <f aca="false">Sens!G7906+Sens!G7988</f>
        <v>85.7747587782126</v>
      </c>
      <c r="H7989" s="6" t="n">
        <f aca="false">Sens!H7906+Sens!H7988</f>
        <v>115.030659426498</v>
      </c>
      <c r="I7989" s="6" t="n">
        <f aca="false">Sens!I7906+Sens!I7988</f>
        <v>141.552989362717</v>
      </c>
      <c r="J7989" s="6" t="n">
        <f aca="false">Sens!J7906+Sens!J7988</f>
        <v>161.19247554654</v>
      </c>
      <c r="K7989" s="6" t="n">
        <f aca="false">Sens!K7906+Sens!K7988</f>
        <v>174.165116945238</v>
      </c>
    </row>
    <row r="7990" customFormat="false" ht="17.15" hidden="false" customHeight="false" outlineLevel="0" collapsed="false">
      <c r="A7990" s="1" t="s">
        <v>940</v>
      </c>
      <c r="B7990" s="0" t="s">
        <v>98</v>
      </c>
      <c r="F7990" s="6" t="n">
        <f aca="false">Sens!F7933*sbc_r</f>
        <v>14.6963793384703</v>
      </c>
      <c r="G7990" s="6" t="n">
        <f aca="false">Sens!G7933*sbc_r</f>
        <v>17.011235726055</v>
      </c>
      <c r="H7990" s="6" t="n">
        <f aca="false">Sens!H7933*sbc_r</f>
        <v>19.1471665005193</v>
      </c>
      <c r="I7990" s="6" t="n">
        <f aca="false">Sens!I7933*sbc_r</f>
        <v>21.3507943277713</v>
      </c>
      <c r="J7990" s="6" t="n">
        <f aca="false">Sens!J7933*sbc_r</f>
        <v>23.1444393158868</v>
      </c>
      <c r="K7990" s="6" t="n">
        <f aca="false">Sens!K7933*sbc_r</f>
        <v>24.5392407291168</v>
      </c>
    </row>
    <row r="7991" customFormat="false" ht="17.15" hidden="false" customHeight="false" outlineLevel="0" collapsed="false">
      <c r="A7991" s="1" t="s">
        <v>941</v>
      </c>
      <c r="B7991" s="0" t="s">
        <v>98</v>
      </c>
      <c r="F7991" s="6" t="n">
        <f aca="false">wc27</f>
        <v>-4.895</v>
      </c>
      <c r="G7991" s="6" t="n">
        <f aca="false">wc_f</f>
        <v>0</v>
      </c>
      <c r="H7991" s="6" t="n">
        <f aca="false">wc_f</f>
        <v>0</v>
      </c>
      <c r="I7991" s="6" t="n">
        <f aca="false">wc_f</f>
        <v>0</v>
      </c>
      <c r="J7991" s="6" t="n">
        <f aca="false">wc_f</f>
        <v>0</v>
      </c>
      <c r="K7991" s="6" t="n">
        <f aca="false">wc_f</f>
        <v>0</v>
      </c>
      <c r="L7991" s="11" t="s">
        <v>942</v>
      </c>
    </row>
    <row r="7992" customFormat="false" ht="15" hidden="false" customHeight="false" outlineLevel="0" collapsed="false">
      <c r="A7992" s="1" t="s">
        <v>756</v>
      </c>
      <c r="B7992" s="0" t="s">
        <v>98</v>
      </c>
      <c r="E7992" s="6" t="n">
        <f aca="false">Q!M35</f>
        <v>182.935</v>
      </c>
      <c r="F7992" s="6" t="n">
        <f aca="false">Sens!F7987+Sens!F7989+Sens!F7990+Sens!F7991</f>
        <v>204.905655209123</v>
      </c>
      <c r="G7992" s="6" t="n">
        <f aca="false">Sens!G7987+Sens!G7989+Sens!G7990+Sens!G7991</f>
        <v>245.978978123397</v>
      </c>
      <c r="H7992" s="6" t="n">
        <f aca="false">Sens!H7987+Sens!H7989+Sens!H7990+Sens!H7991</f>
        <v>278.962146156773</v>
      </c>
      <c r="I7992" s="6" t="n">
        <f aca="false">Sens!I7987+Sens!I7989+Sens!I7990+Sens!I7991</f>
        <v>315.004822850716</v>
      </c>
      <c r="J7992" s="6" t="n">
        <f aca="false">Sens!J7987+Sens!J7989+Sens!J7990+Sens!J7991</f>
        <v>344.365732041822</v>
      </c>
      <c r="K7992" s="6" t="n">
        <f aca="false">Sens!K7987+Sens!K7989+Sens!K7990+Sens!K7991</f>
        <v>367.385528156396</v>
      </c>
    </row>
    <row r="7993" customFormat="false" ht="17.15" hidden="false" customHeight="false" outlineLevel="0" collapsed="false">
      <c r="A7993" s="0" t="s">
        <v>943</v>
      </c>
      <c r="B7993" s="0" t="s">
        <v>98</v>
      </c>
      <c r="F7993" s="6" t="n">
        <f aca="false">Sens!F7903</f>
        <v>168.844781263971</v>
      </c>
      <c r="G7993" s="6" t="n">
        <f aca="false">Sens!G7903</f>
        <v>183.5741804832</v>
      </c>
      <c r="H7993" s="6" t="n">
        <f aca="false">Sens!H7903</f>
        <v>188.0802859104</v>
      </c>
      <c r="I7993" s="6" t="n">
        <f aca="false">Sens!I7903</f>
        <v>163.706669154245</v>
      </c>
      <c r="J7993" s="6" t="n">
        <f aca="false">Sens!J7903</f>
        <v>124.51247671809</v>
      </c>
      <c r="K7993" s="6" t="n">
        <f aca="false">Sens!K7903</f>
        <v>114.959435641936</v>
      </c>
    </row>
    <row r="7994" customFormat="false" ht="17.15" hidden="false" customHeight="false" outlineLevel="0" collapsed="false">
      <c r="A7994" s="1" t="s">
        <v>944</v>
      </c>
      <c r="B7994" s="0" t="s">
        <v>98</v>
      </c>
      <c r="E7994" s="6" t="n">
        <f aca="false">Sens!E7911*cx_azo+Sens!E7918*cx_m365+Sens!E7919*cx_lic+(Sens!E7921+Sens!E7923)*cx_ind+Sens!E7926*cx_srch+(Sens!E7928+Sens!E7930)*cx_dev</f>
        <v>30.1846587067718</v>
      </c>
      <c r="F7994" s="6" t="n">
        <f aca="false">Sens!F7911*cx_azo+Sens!F7918*cx_m365+Sens!F7919*cx_lic+(Sens!F7921+Sens!F7923)*cx_ind+Sens!F7926*cx_srch+(Sens!F7928+Sens!F7930)*cx_dev</f>
        <v>35.3552187360286</v>
      </c>
      <c r="G7994" s="6" t="n">
        <f aca="false">Sens!G7911*cx_azo+Sens!G7918*cx_m365+Sens!G7919*cx_lic+(Sens!G7921+Sens!G7923)*cx_ind+Sens!G7926*cx_srch+(Sens!G7928+Sens!G7930)*cx_dev</f>
        <v>40.4353992414566</v>
      </c>
      <c r="H7994" s="6" t="n">
        <f aca="false">Sens!H7911*cx_azo+Sens!H7918*cx_m365+Sens!H7919*cx_lic+(Sens!H7921+Sens!H7923)*cx_ind+Sens!H7926*cx_srch+(Sens!H7928+Sens!H7930)*cx_dev</f>
        <v>45.4338499238012</v>
      </c>
      <c r="I7994" s="6" t="n">
        <f aca="false">Sens!I7911*cx_azo+Sens!I7918*cx_m365+Sens!I7919*cx_lic+(Sens!I7921+Sens!I7923)*cx_ind+Sens!I7926*cx_srch+(Sens!I7928+Sens!I7930)*cx_dev</f>
        <v>50.0270481558128</v>
      </c>
      <c r="J7994" s="6" t="n">
        <f aca="false">Sens!J7911*cx_azo+Sens!J7918*cx_m365+Sens!J7919*cx_lic+(Sens!J7921+Sens!J7923)*cx_ind+Sens!J7926*cx_srch+(Sens!J7928+Sens!J7930)*cx_dev</f>
        <v>53.9567470653624</v>
      </c>
      <c r="K7994" s="6" t="n">
        <f aca="false">Sens!K7911*cx_azo+Sens!K7918*cx_m365+Sens!K7919*cx_lic+(Sens!K7921+Sens!K7923)*cx_ind+Sens!K7926*cx_srch+(Sens!K7928+Sens!K7930)*cx_dev</f>
        <v>57.058465043846</v>
      </c>
    </row>
    <row r="7995" customFormat="false" ht="17.15" hidden="false" customHeight="false" outlineLevel="0" collapsed="false">
      <c r="A7995" s="1" t="s">
        <v>945</v>
      </c>
      <c r="B7995" s="0" t="s">
        <v>98</v>
      </c>
      <c r="E7995" s="6" t="n">
        <f aca="false">Q!M42</f>
        <v>145.3</v>
      </c>
      <c r="F7995" s="6" t="n">
        <f aca="false">Sens!F7993+Sens!F7994</f>
        <v>204.2</v>
      </c>
      <c r="G7995" s="6" t="n">
        <f aca="false">Sens!G7993+Sens!G7994</f>
        <v>224.009579724657</v>
      </c>
      <c r="H7995" s="6" t="n">
        <f aca="false">Sens!H7993+Sens!H7994</f>
        <v>233.514135834201</v>
      </c>
      <c r="I7995" s="6" t="n">
        <f aca="false">Sens!I7993+Sens!I7994</f>
        <v>213.733717310058</v>
      </c>
      <c r="J7995" s="6" t="n">
        <f aca="false">Sens!J7993+Sens!J7994</f>
        <v>178.469223783453</v>
      </c>
      <c r="K7995" s="6" t="n">
        <f aca="false">Sens!K7993+Sens!K7994</f>
        <v>172.017900685782</v>
      </c>
      <c r="L7995" s="1" t="s">
        <v>946</v>
      </c>
    </row>
    <row r="7996" customFormat="false" ht="15" hidden="false" customHeight="false" outlineLevel="0" collapsed="false">
      <c r="A7996" s="1" t="s">
        <v>947</v>
      </c>
      <c r="B7996" s="0" t="s">
        <v>98</v>
      </c>
      <c r="E7996" s="6" t="n">
        <f aca="false">fl_liab</f>
        <v>66.594</v>
      </c>
      <c r="F7996" s="6" t="n">
        <f aca="false">Sens!E7996-Sens!F7997</f>
        <v>62.46973</v>
      </c>
      <c r="G7996" s="6" t="n">
        <f aca="false">Sens!F7996-Sens!G7997</f>
        <v>57.98686785</v>
      </c>
      <c r="H7996" s="6" t="n">
        <f aca="false">Sens!G7996-Sens!H7997</f>
        <v>53.92827690325</v>
      </c>
      <c r="I7996" s="6" t="n">
        <f aca="false">Sens!H7996-Sens!I7997</f>
        <v>49.7850493638962</v>
      </c>
      <c r="J7996" s="6" t="n">
        <f aca="false">Sens!I7996-Sens!J7997</f>
        <v>45.4823765852716</v>
      </c>
      <c r="K7996" s="6" t="n">
        <f aca="false">Sens!J7996-Sens!K7997</f>
        <v>40.9860835316088</v>
      </c>
    </row>
    <row r="7997" customFormat="false" ht="15" hidden="false" customHeight="false" outlineLevel="0" collapsed="false">
      <c r="A7997" s="1" t="s">
        <v>948</v>
      </c>
      <c r="B7997" s="0" t="s">
        <v>98</v>
      </c>
      <c r="F7997" s="6" t="n">
        <f aca="false">fl_pay_27-Sens!E7996*fl_rate</f>
        <v>4.12427</v>
      </c>
      <c r="G7997" s="6" t="n">
        <f aca="false">fl_pay_28-Sens!F7996*fl_rate</f>
        <v>4.48286215</v>
      </c>
      <c r="H7997" s="6" t="n">
        <f aca="false">fl_pay_29-Sens!G7996*fl_rate</f>
        <v>4.05859094675</v>
      </c>
      <c r="I7997" s="6" t="n">
        <f aca="false">fl_pay_30-Sens!H7996*fl_rate</f>
        <v>4.14322753935375</v>
      </c>
      <c r="J7997" s="6" t="n">
        <f aca="false">fl_pay_31-Sens!I7996*fl_rate</f>
        <v>4.30267277862467</v>
      </c>
      <c r="K7997" s="6" t="n">
        <f aca="false">fl_pay_32-Sens!J7996*fl_rate</f>
        <v>4.49629305366278</v>
      </c>
    </row>
    <row r="7998" customFormat="false" ht="17.15" hidden="false" customHeight="false" outlineLevel="0" collapsed="false">
      <c r="A7998" s="1" t="s">
        <v>949</v>
      </c>
      <c r="B7998" s="0" t="s">
        <v>98</v>
      </c>
      <c r="E7998" s="6" t="n">
        <f aca="false">Q!M35-Q!M36-Q!M43</f>
        <v>63.886</v>
      </c>
      <c r="F7998" s="6" t="n">
        <f aca="false">Sens!F7992-Sens!F7995-Sens!F7997</f>
        <v>-3.41861479087732</v>
      </c>
      <c r="G7998" s="6" t="n">
        <f aca="false">Sens!G7992-Sens!G7995-Sens!G7997</f>
        <v>17.4865362487402</v>
      </c>
      <c r="H7998" s="6" t="n">
        <f aca="false">Sens!H7992-Sens!H7995-Sens!H7997</f>
        <v>41.3894193758222</v>
      </c>
      <c r="I7998" s="6" t="n">
        <f aca="false">Sens!I7992-Sens!I7995-Sens!I7997</f>
        <v>97.1278780013039</v>
      </c>
      <c r="J7998" s="6" t="n">
        <f aca="false">Sens!J7992-Sens!J7995-Sens!J7997</f>
        <v>161.593835479745</v>
      </c>
      <c r="K7998" s="6" t="n">
        <f aca="false">Sens!K7992-Sens!K7995-Sens!K7997</f>
        <v>190.871334416951</v>
      </c>
      <c r="L7998" s="11" t="s">
        <v>950</v>
      </c>
    </row>
    <row r="7999" customFormat="false" ht="15" hidden="false" customHeight="false" outlineLevel="0" collapsed="false">
      <c r="A7999" s="1" t="s">
        <v>951</v>
      </c>
      <c r="B7999" s="0" t="s">
        <v>75</v>
      </c>
      <c r="F7999" s="8" t="n">
        <f aca="false">dps_27</f>
        <v>3.85</v>
      </c>
      <c r="G7999" s="8" t="n">
        <f aca="false">Sens!F7999*(1+dps_g)</f>
        <v>4.158</v>
      </c>
      <c r="H7999" s="8" t="n">
        <f aca="false">Sens!G7999*(1+dps_g)</f>
        <v>4.49064</v>
      </c>
      <c r="I7999" s="8" t="n">
        <f aca="false">Sens!H7999*(1+dps_g)</f>
        <v>4.8498912</v>
      </c>
      <c r="J7999" s="8" t="n">
        <f aca="false">Sens!I7999*(1+dps_g)</f>
        <v>5.237882496</v>
      </c>
      <c r="K7999" s="8" t="n">
        <f aca="false">Sens!J7999*(1+dps_g)</f>
        <v>5.65691309568</v>
      </c>
    </row>
    <row r="8000" customFormat="false" ht="17.15" hidden="false" customHeight="false" outlineLevel="0" collapsed="false">
      <c r="A8000" s="1" t="s">
        <v>952</v>
      </c>
      <c r="B8000" s="0" t="s">
        <v>98</v>
      </c>
      <c r="E8000" s="6" t="n">
        <f aca="false">Q!M41</f>
        <v>26.445</v>
      </c>
      <c r="F8000" s="6" t="n">
        <f aca="false">Sens!F7999*Sens!E8009</f>
        <v>28.59395</v>
      </c>
      <c r="G8000" s="6" t="n">
        <f aca="false">Sens!G7999*Sens!F8009</f>
        <v>31.068576</v>
      </c>
      <c r="H8000" s="6" t="n">
        <f aca="false">Sens!H7999*Sens!G8009</f>
        <v>33.75614088</v>
      </c>
      <c r="I8000" s="6" t="n">
        <f aca="false">Sens!I7999*Sens!H8009</f>
        <v>36.6325660326302</v>
      </c>
      <c r="J8000" s="6" t="n">
        <f aca="false">Sens!J7999*Sens!I8009</f>
        <v>39.6315701635601</v>
      </c>
      <c r="K8000" s="6" t="n">
        <f aca="false">Sens!K7999*Sens!J8009</f>
        <v>42.8893510019499</v>
      </c>
      <c r="L8000" s="1" t="s">
        <v>953</v>
      </c>
    </row>
    <row r="8001" customFormat="false" ht="15" hidden="false" customHeight="false" outlineLevel="0" collapsed="false">
      <c r="A8001" s="1" t="s">
        <v>954</v>
      </c>
      <c r="B8001" s="0" t="s">
        <v>98</v>
      </c>
      <c r="E8001" s="6" t="n">
        <f aca="false">Sens!E7998-Sens!E8000</f>
        <v>37.441</v>
      </c>
      <c r="F8001" s="6" t="n">
        <f aca="false">Sens!F7998-Sens!F8000</f>
        <v>-32.0125647908773</v>
      </c>
      <c r="G8001" s="6" t="n">
        <f aca="false">Sens!G7998-Sens!G8000</f>
        <v>-13.5820397512598</v>
      </c>
      <c r="H8001" s="6" t="n">
        <f aca="false">Sens!H7998-Sens!H8000</f>
        <v>7.63327849582217</v>
      </c>
      <c r="I8001" s="6" t="n">
        <f aca="false">Sens!I7998-Sens!I8000</f>
        <v>60.4953119686737</v>
      </c>
      <c r="J8001" s="6" t="n">
        <f aca="false">Sens!J7998-Sens!J8000</f>
        <v>121.962265316185</v>
      </c>
      <c r="K8001" s="6" t="n">
        <f aca="false">Sens!K7998-Sens!K8000</f>
        <v>147.981983415001</v>
      </c>
    </row>
    <row r="8002" customFormat="false" ht="15" hidden="false" customHeight="false" outlineLevel="0" collapsed="false">
      <c r="A8002" s="1" t="s">
        <v>955</v>
      </c>
      <c r="B8002" s="0" t="s">
        <v>98</v>
      </c>
      <c r="F8002" s="6" t="n">
        <f aca="false">debt_mat_27</f>
        <v>9.25</v>
      </c>
      <c r="G8002" s="6" t="n">
        <f aca="false">debt_mat_28</f>
        <v>0</v>
      </c>
      <c r="H8002" s="6" t="n">
        <f aca="false">debt_mat_29</f>
        <v>2.001</v>
      </c>
      <c r="I8002" s="6" t="n">
        <f aca="false">debt_mat_30</f>
        <v>0</v>
      </c>
      <c r="J8002" s="6" t="n">
        <f aca="false">debt_mat_31</f>
        <v>0.5</v>
      </c>
      <c r="K8002" s="6" t="n">
        <f aca="false">debt_mat_32</f>
        <v>0</v>
      </c>
    </row>
    <row r="8003" customFormat="false" ht="15" hidden="false" customHeight="false" outlineLevel="0" collapsed="false">
      <c r="A8003" s="1" t="s">
        <v>956</v>
      </c>
      <c r="B8003" s="0" t="s">
        <v>98</v>
      </c>
      <c r="E8003" s="6" t="n">
        <f aca="false">Q!M40</f>
        <v>22.271</v>
      </c>
      <c r="F8003" s="6" t="n">
        <f aca="false">MAX(0,MIN(bb_target,Sens!E8005+Sens!F8001-Sens!F8002-min_cash))</f>
        <v>0</v>
      </c>
      <c r="G8003" s="6" t="n">
        <f aca="false">MAX(0,MIN(bb_target,Sens!F8005+Sens!G8001-Sens!G8002-min_cash))</f>
        <v>0</v>
      </c>
      <c r="H8003" s="6" t="n">
        <f aca="false">MAX(0,MIN(bb_target,Sens!G8005+Sens!H8001-Sens!H8002-min_cash))</f>
        <v>5.63227849582217</v>
      </c>
      <c r="I8003" s="6" t="n">
        <f aca="false">MAX(0,MIN(bb_target,Sens!H8005+Sens!I8001-Sens!I8002-min_cash))</f>
        <v>22.271</v>
      </c>
      <c r="J8003" s="6" t="n">
        <f aca="false">MAX(0,MIN(bb_target,Sens!I8005+Sens!J8001-Sens!J8002-min_cash))</f>
        <v>22.271</v>
      </c>
      <c r="K8003" s="6" t="n">
        <f aca="false">MAX(0,MIN(bb_target,Sens!J8005+Sens!K8001-Sens!K8002-min_cash))</f>
        <v>22.271</v>
      </c>
    </row>
    <row r="8004" customFormat="false" ht="15" hidden="false" customHeight="false" outlineLevel="0" collapsed="false">
      <c r="A8004" s="1" t="s">
        <v>957</v>
      </c>
      <c r="B8004" s="0" t="s">
        <v>98</v>
      </c>
      <c r="F8004" s="6" t="n">
        <f aca="false">MAX(0,min_cash-(Sens!E8005+Sens!F8001-Sens!F8002-Sens!F8003))</f>
        <v>14.4195647908773</v>
      </c>
      <c r="G8004" s="6" t="n">
        <f aca="false">MAX(0,min_cash-(Sens!F8005+Sens!G8001-Sens!G8002-Sens!G8003))</f>
        <v>13.5820397512598</v>
      </c>
      <c r="H8004" s="6" t="n">
        <f aca="false">MAX(0,min_cash-(Sens!G8005+Sens!H8001-Sens!H8002-Sens!H8003))</f>
        <v>0</v>
      </c>
      <c r="I8004" s="6" t="n">
        <f aca="false">MAX(0,min_cash-(Sens!H8005+Sens!I8001-Sens!I8002-Sens!I8003))</f>
        <v>0</v>
      </c>
      <c r="J8004" s="6" t="n">
        <f aca="false">MAX(0,min_cash-(Sens!I8005+Sens!J8001-Sens!J8002-Sens!J8003))</f>
        <v>0</v>
      </c>
      <c r="K8004" s="6" t="n">
        <f aca="false">MAX(0,min_cash-(Sens!J8005+Sens!K8001-Sens!K8002-Sens!K8003))</f>
        <v>0</v>
      </c>
    </row>
    <row r="8005" customFormat="false" ht="15" hidden="false" customHeight="false" outlineLevel="0" collapsed="false">
      <c r="A8005" s="1" t="s">
        <v>958</v>
      </c>
      <c r="B8005" s="0" t="s">
        <v>98</v>
      </c>
      <c r="E8005" s="6" t="n">
        <f aca="false">cash_open</f>
        <v>76.843</v>
      </c>
      <c r="F8005" s="6" t="n">
        <f aca="false">Sens!E8005+Sens!F8001-Sens!F8002-Sens!F8003+Sens!F8004</f>
        <v>50</v>
      </c>
      <c r="G8005" s="6" t="n">
        <f aca="false">Sens!F8005+Sens!G8001-Sens!G8002-Sens!G8003+Sens!G8004</f>
        <v>50</v>
      </c>
      <c r="H8005" s="6" t="n">
        <f aca="false">Sens!G8005+Sens!H8001-Sens!H8002-Sens!H8003+Sens!H8004</f>
        <v>50</v>
      </c>
      <c r="I8005" s="6" t="n">
        <f aca="false">Sens!H8005+Sens!I8001-Sens!I8002-Sens!I8003+Sens!I8004</f>
        <v>88.2243119686737</v>
      </c>
      <c r="J8005" s="6" t="n">
        <f aca="false">Sens!I8005+Sens!J8001-Sens!J8002-Sens!J8003+Sens!J8004</f>
        <v>187.415577284858</v>
      </c>
      <c r="K8005" s="6" t="n">
        <f aca="false">Sens!J8005+Sens!K8001-Sens!K8002-Sens!K8003+Sens!K8004</f>
        <v>313.12656069986</v>
      </c>
    </row>
    <row r="8006" customFormat="false" ht="15" hidden="false" customHeight="false" outlineLevel="0" collapsed="false">
      <c r="A8006" s="1" t="s">
        <v>959</v>
      </c>
      <c r="B8006" s="0" t="s">
        <v>98</v>
      </c>
      <c r="E8006" s="6" t="n">
        <f aca="false">debt_face</f>
        <v>46.136</v>
      </c>
      <c r="F8006" s="6" t="n">
        <f aca="false">Sens!E8006-Sens!F8002+Sens!F8004</f>
        <v>51.3055647908773</v>
      </c>
      <c r="G8006" s="6" t="n">
        <f aca="false">Sens!F8006-Sens!G8002+Sens!G8004</f>
        <v>64.8876045421372</v>
      </c>
      <c r="H8006" s="6" t="n">
        <f aca="false">Sens!G8006-Sens!H8002+Sens!H8004</f>
        <v>62.8866045421372</v>
      </c>
      <c r="I8006" s="6" t="n">
        <f aca="false">Sens!H8006-Sens!I8002+Sens!I8004</f>
        <v>62.8866045421372</v>
      </c>
      <c r="J8006" s="6" t="n">
        <f aca="false">Sens!I8006-Sens!J8002+Sens!J8004</f>
        <v>62.3866045421372</v>
      </c>
      <c r="K8006" s="6" t="n">
        <f aca="false">Sens!J8006-Sens!K8002+Sens!K8004</f>
        <v>62.3866045421372</v>
      </c>
    </row>
    <row r="8007" customFormat="false" ht="15" hidden="false" customHeight="false" outlineLevel="0" collapsed="false">
      <c r="A8007" s="1" t="s">
        <v>960</v>
      </c>
      <c r="B8007" s="0" t="s">
        <v>98</v>
      </c>
      <c r="E8007" s="6" t="n">
        <f aca="false">Sens!E8005-Sens!E8006</f>
        <v>30.707</v>
      </c>
      <c r="F8007" s="6" t="n">
        <f aca="false">Sens!F8005-Sens!F8006</f>
        <v>-1.30556479087732</v>
      </c>
      <c r="G8007" s="6" t="n">
        <f aca="false">Sens!G8005-Sens!G8006</f>
        <v>-14.8876045421372</v>
      </c>
      <c r="H8007" s="6" t="n">
        <f aca="false">Sens!H8005-Sens!H8006</f>
        <v>-12.8866045421372</v>
      </c>
      <c r="I8007" s="6" t="n">
        <f aca="false">Sens!I8005-Sens!I8006</f>
        <v>25.3377074265365</v>
      </c>
      <c r="J8007" s="6" t="n">
        <f aca="false">Sens!J8005-Sens!J8006</f>
        <v>125.028972742721</v>
      </c>
      <c r="K8007" s="6" t="n">
        <f aca="false">Sens!K8005-Sens!K8006</f>
        <v>250.739956157723</v>
      </c>
    </row>
    <row r="8008" customFormat="false" ht="15" hidden="false" customHeight="false" outlineLevel="0" collapsed="false">
      <c r="A8008" s="1" t="s">
        <v>961</v>
      </c>
      <c r="B8008" s="0" t="s">
        <v>75</v>
      </c>
      <c r="F8008" s="29" t="n">
        <f aca="false">px*(1+bb_g)^(Sens!F7872-base_fy-mid_yr)</f>
        <v>553.494156066711</v>
      </c>
      <c r="G8008" s="29" t="n">
        <f aca="false">px*(1+bb_g)^(Sens!G7872-base_fy-mid_yr)</f>
        <v>597.773688552047</v>
      </c>
      <c r="H8008" s="29" t="n">
        <f aca="false">px*(1+bb_g)^(Sens!H7872-base_fy-mid_yr)</f>
        <v>645.595583636211</v>
      </c>
      <c r="I8008" s="29" t="n">
        <f aca="false">px*(1+bb_g)^(Sens!I7872-base_fy-mid_yr)</f>
        <v>697.243230327108</v>
      </c>
      <c r="J8008" s="29" t="n">
        <f aca="false">px*(1+bb_g)^(Sens!J7872-base_fy-mid_yr)</f>
        <v>753.022688753277</v>
      </c>
      <c r="K8008" s="29" t="n">
        <f aca="false">px*(1+bb_g)^(Sens!K7872-base_fy-mid_yr)</f>
        <v>813.264503853539</v>
      </c>
    </row>
    <row r="8009" customFormat="false" ht="15" hidden="false" customHeight="false" outlineLevel="0" collapsed="false">
      <c r="A8009" s="1" t="s">
        <v>962</v>
      </c>
      <c r="B8009" s="1" t="s">
        <v>81</v>
      </c>
      <c r="E8009" s="14" t="n">
        <f aca="false">sh_out26</f>
        <v>7.427</v>
      </c>
      <c r="F8009" s="14" t="n">
        <f aca="false">Sens!E8009+sh_iss-Sens!F8003/Sens!F8008</f>
        <v>7.472</v>
      </c>
      <c r="G8009" s="14" t="n">
        <f aca="false">Sens!F8009+sh_iss-Sens!G8003/Sens!G8008</f>
        <v>7.517</v>
      </c>
      <c r="H8009" s="14" t="n">
        <f aca="false">Sens!G8009+sh_iss-Sens!H8003/Sens!H8008</f>
        <v>7.55327584103953</v>
      </c>
      <c r="I8009" s="14" t="n">
        <f aca="false">Sens!H8009+sh_iss-Sens!I8003/Sens!I8008</f>
        <v>7.56633433335425</v>
      </c>
      <c r="J8009" s="14" t="n">
        <f aca="false">Sens!I8009+sh_iss-Sens!J8003/Sens!J8008</f>
        <v>7.58175886327529</v>
      </c>
      <c r="K8009" s="14" t="n">
        <f aca="false">Sens!J8009+sh_iss-Sens!K8003/Sens!K8008</f>
        <v>7.59937416875774</v>
      </c>
    </row>
    <row r="8010" customFormat="false" ht="15" hidden="false" customHeight="false" outlineLevel="0" collapsed="false">
      <c r="A8010" s="1" t="s">
        <v>963</v>
      </c>
      <c r="B8010" s="1" t="s">
        <v>81</v>
      </c>
      <c r="E8010" s="14" t="n">
        <f aca="false">sh_dil26</f>
        <v>7.453</v>
      </c>
      <c r="F8010" s="14" t="n">
        <f aca="false">(Sens!E8009+Sens!F8009)/2+dil_gap</f>
        <v>7.4735</v>
      </c>
      <c r="G8010" s="14" t="n">
        <f aca="false">(Sens!F8009+Sens!G8009)/2+dil_gap</f>
        <v>7.5185</v>
      </c>
      <c r="H8010" s="14" t="n">
        <f aca="false">(Sens!G8009+Sens!H8009)/2+dil_gap</f>
        <v>7.55913792051976</v>
      </c>
      <c r="I8010" s="14" t="n">
        <f aca="false">(Sens!H8009+Sens!I8009)/2+dil_gap</f>
        <v>7.58380508719689</v>
      </c>
      <c r="J8010" s="14" t="n">
        <f aca="false">(Sens!I8009+Sens!J8009)/2+dil_gap</f>
        <v>7.59804659831477</v>
      </c>
      <c r="K8010" s="14" t="n">
        <f aca="false">(Sens!J8009+Sens!K8009)/2+dil_gap</f>
        <v>7.61456651601651</v>
      </c>
    </row>
    <row r="8011" customFormat="false" ht="17.15" hidden="false" customHeight="false" outlineLevel="0" collapsed="false">
      <c r="A8011" s="1" t="s">
        <v>964</v>
      </c>
      <c r="B8011" s="0" t="s">
        <v>98</v>
      </c>
      <c r="C8011" s="6" t="n">
        <f aca="false">SUM(Sens!F8001:J8001)</f>
        <v>144.496251238543</v>
      </c>
    </row>
    <row r="8012" customFormat="false" ht="15" hidden="false" customHeight="false" outlineLevel="0" collapsed="false">
      <c r="A8012" s="23" t="s">
        <v>935</v>
      </c>
      <c r="B8012" s="30" t="s">
        <v>98</v>
      </c>
      <c r="C8012" s="24" t="n">
        <f aca="false">Sens!$C$8011-(Sens!F8001+Sens!G8001+Sens!H8001+Sens!I8001+Sens!J8001)</f>
        <v>0</v>
      </c>
      <c r="D8012" s="30"/>
      <c r="E8012" s="30"/>
      <c r="F8012" s="30"/>
      <c r="G8012" s="30"/>
      <c r="H8012" s="30"/>
      <c r="I8012" s="30"/>
      <c r="J8012" s="30"/>
      <c r="K8012" s="30"/>
    </row>
    <row r="8013" customFormat="false" ht="17.15" hidden="false" customHeight="false" outlineLevel="0" collapsed="false">
      <c r="A8013" s="1" t="s">
        <v>929</v>
      </c>
      <c r="B8013" s="1" t="s">
        <v>965</v>
      </c>
      <c r="C8013" s="32" t="str">
        <f aca="false">IF(SUM(Sens!F8004:J8004)&gt;0.05,"需要舉債 "&amp;TEXT(SUM(Sens!F8004:J8004),"0.0")&amp;" 十億美元","不需舉債")&amp;"；"&amp;IF(SUM(Sens!F8003:J8003)&lt;COUNT(Sens!F8003:J8003)*bb_target-0.05,"回購較每年 "&amp;TEXT(bb_target,"0.0")&amp;" 的目標少 "&amp;TEXT(COUNT(Sens!F8003:J8003)*bb_target-SUM(Sens!F8003:J8003),"0.0")&amp;" 十億美元（"&amp;TEXT(COUNTIF(Sens!F8003:J8003,"&lt;"&amp;(bb_target-0.05)),"0")&amp;" 年減少）","回購不減")</f>
        <v>需要舉債 28.0 十億美元；回購較每年 22.3 的目標少 61.2 十億美元（3 年減少）</v>
      </c>
    </row>
    <row r="8014" customFormat="false" ht="17.15" hidden="false" customHeight="false" outlineLevel="0" collapsed="false">
      <c r="A8014" s="3" t="s">
        <v>1443</v>
      </c>
    </row>
    <row r="8015" customFormat="false" ht="15" hidden="false" customHeight="false" outlineLevel="0" collapsed="false">
      <c r="A8015" s="4" t="s">
        <v>43</v>
      </c>
      <c r="B8015" s="4" t="s">
        <v>65</v>
      </c>
      <c r="C8015" s="20" t="s">
        <v>788</v>
      </c>
      <c r="D8015" s="20" t="s">
        <v>789</v>
      </c>
      <c r="E8015" s="20" t="s">
        <v>790</v>
      </c>
      <c r="F8015" s="20" t="s">
        <v>791</v>
      </c>
      <c r="G8015" s="20" t="s">
        <v>792</v>
      </c>
      <c r="H8015" s="20" t="s">
        <v>793</v>
      </c>
      <c r="I8015" s="20" t="s">
        <v>794</v>
      </c>
      <c r="J8015" s="20" t="s">
        <v>795</v>
      </c>
      <c r="K8015" s="20" t="s">
        <v>796</v>
      </c>
      <c r="L8015" s="4" t="s">
        <v>47</v>
      </c>
    </row>
    <row r="8016" customFormat="false" ht="15" hidden="false" customHeight="false" outlineLevel="0" collapsed="false">
      <c r="A8016" s="1" t="s">
        <v>1042</v>
      </c>
      <c r="B8016" s="1" t="s">
        <v>235</v>
      </c>
      <c r="F8016" s="36" t="n">
        <f aca="false">Sens!F7872-base_fy-mid_yr</f>
        <v>0.5</v>
      </c>
      <c r="G8016" s="36" t="n">
        <f aca="false">Sens!G7872-base_fy-mid_yr</f>
        <v>1.5</v>
      </c>
      <c r="H8016" s="36" t="n">
        <f aca="false">Sens!H7872-base_fy-mid_yr</f>
        <v>2.5</v>
      </c>
      <c r="I8016" s="36" t="n">
        <f aca="false">Sens!I7872-base_fy-mid_yr</f>
        <v>3.5</v>
      </c>
      <c r="J8016" s="36" t="n">
        <f aca="false">Sens!J7872-base_fy-mid_yr</f>
        <v>4.5</v>
      </c>
      <c r="K8016" s="36" t="n">
        <f aca="false">Sens!K7872-base_fy-mid_yr</f>
        <v>5.5</v>
      </c>
    </row>
    <row r="8017" customFormat="false" ht="15" hidden="false" customHeight="false" outlineLevel="0" collapsed="false">
      <c r="A8017" s="1" t="s">
        <v>1043</v>
      </c>
      <c r="B8017" s="0" t="s">
        <v>185</v>
      </c>
      <c r="F8017" s="14" t="n">
        <f aca="false">1/(1+wacc)^Sens!F8016</f>
        <v>0.952193373608246</v>
      </c>
      <c r="G8017" s="14" t="n">
        <f aca="false">1/(1+wacc)^Sens!G8016</f>
        <v>0.863327280626589</v>
      </c>
      <c r="H8017" s="14" t="n">
        <f aca="false">1/(1+wacc)^Sens!H8016</f>
        <v>0.782754862754115</v>
      </c>
      <c r="I8017" s="14" t="n">
        <f aca="false">1/(1+wacc)^Sens!I8016</f>
        <v>0.709702089711011</v>
      </c>
      <c r="J8017" s="14" t="n">
        <f aca="false">1/(1+wacc)^Sens!J8016</f>
        <v>0.643467169744551</v>
      </c>
      <c r="K8017" s="14" t="n">
        <f aca="false">1/(1+wacc)^Sens!K8016</f>
        <v>0.583413807767797</v>
      </c>
    </row>
    <row r="8018" customFormat="false" ht="17.15" hidden="false" customHeight="false" outlineLevel="0" collapsed="false">
      <c r="A8018" s="1" t="s">
        <v>1044</v>
      </c>
      <c r="B8018" s="0" t="s">
        <v>98</v>
      </c>
      <c r="F8018" s="6" t="n">
        <f aca="false">Sens!F7992-Sens!F7990-Sens!F7995+Sens!F7976*(1-tax_f)</f>
        <v>2.64307946455203</v>
      </c>
      <c r="G8018" s="6" t="n">
        <f aca="false">Sens!G7992-Sens!G7990-Sens!G7995+Sens!G7976*(1-tax_f)</f>
        <v>35.1223686909769</v>
      </c>
      <c r="H8018" s="6" t="n">
        <f aca="false">Sens!H7992-Sens!H7990-Sens!H7995+Sens!H7976*(1-tax_f)</f>
        <v>71.0774171390971</v>
      </c>
      <c r="I8018" s="6" t="n">
        <f aca="false">Sens!I7992-Sens!I7990-Sens!I7995+Sens!I7976*(1-tax_f)</f>
        <v>137.829253144689</v>
      </c>
      <c r="J8018" s="6" t="n">
        <f aca="false">Sens!J7992-Sens!J7990-Sens!J7995+Sens!J7976*(1-tax_f)</f>
        <v>209.836992318753</v>
      </c>
      <c r="K8018" s="6" t="n">
        <f aca="false">Sens!K7992-Sens!K7990-Sens!K7995+Sens!K7976*(1-tax_f)</f>
        <v>243.312122832559</v>
      </c>
      <c r="L8018" s="1" t="s">
        <v>1045</v>
      </c>
    </row>
    <row r="8019" customFormat="false" ht="15" hidden="false" customHeight="false" outlineLevel="0" collapsed="false">
      <c r="A8019" s="1" t="s">
        <v>1046</v>
      </c>
      <c r="B8019" s="0" t="s">
        <v>98</v>
      </c>
      <c r="F8019" s="6" t="n">
        <f aca="false">Sens!F8018*Sens!F8017</f>
        <v>2.51672275206647</v>
      </c>
      <c r="G8019" s="6" t="n">
        <f aca="false">Sens!G8018*Sens!G8017</f>
        <v>30.3220990511456</v>
      </c>
      <c r="H8019" s="6" t="n">
        <f aca="false">Sens!H8018*Sens!H8017</f>
        <v>55.6361938976309</v>
      </c>
      <c r="I8019" s="6" t="n">
        <f aca="false">Sens!I8018*Sens!I8017</f>
        <v>97.8177089800934</v>
      </c>
      <c r="J8019" s="6" t="n">
        <f aca="false">Sens!J8018*Sens!J8017</f>
        <v>135.023215555057</v>
      </c>
      <c r="K8019" s="6" t="n">
        <f aca="false">Sens!K8018*Sens!K8017</f>
        <v>141.951652057809</v>
      </c>
    </row>
    <row r="8020" customFormat="false" ht="17.15" hidden="false" customHeight="false" outlineLevel="0" collapsed="false">
      <c r="A8020" s="1" t="s">
        <v>1047</v>
      </c>
      <c r="B8020" s="0" t="s">
        <v>98</v>
      </c>
      <c r="C8020" s="6" t="n">
        <f aca="false">SUM(Sens!F8019:K8019)</f>
        <v>463.267592293803</v>
      </c>
    </row>
    <row r="8021" customFormat="false" ht="17.15" hidden="false" customHeight="false" outlineLevel="0" collapsed="false">
      <c r="A8021" s="1" t="s">
        <v>1048</v>
      </c>
      <c r="B8021" s="0" t="s">
        <v>98</v>
      </c>
      <c r="C8021" s="6" t="n">
        <f aca="false">Sens!K7962*(1+g_tv)*(1-tax_f)</f>
        <v>248.729453770297</v>
      </c>
    </row>
    <row r="8022" customFormat="false" ht="17.15" hidden="false" customHeight="false" outlineLevel="0" collapsed="false">
      <c r="A8022" s="1" t="s">
        <v>1049</v>
      </c>
      <c r="B8022" s="0" t="s">
        <v>98</v>
      </c>
      <c r="C8022" s="6" t="n">
        <f aca="false">Sens!$C$8021*(1-g_tv/(wacc+ronic_prem))</f>
        <v>176.237826515039</v>
      </c>
    </row>
    <row r="8023" customFormat="false" ht="17.15" hidden="false" customHeight="false" outlineLevel="0" collapsed="false">
      <c r="A8023" s="1" t="s">
        <v>1050</v>
      </c>
      <c r="B8023" s="0" t="s">
        <v>98</v>
      </c>
      <c r="C8023" s="6" t="n">
        <f aca="false">Sens!$C$8022/(wacc-g_tv)</f>
        <v>2416.38757517527</v>
      </c>
    </row>
    <row r="8024" customFormat="false" ht="15" hidden="false" customHeight="false" outlineLevel="0" collapsed="false">
      <c r="A8024" s="1" t="s">
        <v>1051</v>
      </c>
      <c r="B8024" s="0" t="s">
        <v>98</v>
      </c>
      <c r="C8024" s="6" t="n">
        <f aca="false">Sens!$C$8023/(1+wacc)^(Sens!K8016+mid_yr)</f>
        <v>1342.35829940836</v>
      </c>
    </row>
    <row r="8025" customFormat="false" ht="17.15" hidden="false" customHeight="false" outlineLevel="0" collapsed="false">
      <c r="A8025" s="0" t="s">
        <v>972</v>
      </c>
      <c r="B8025" s="0" t="s">
        <v>98</v>
      </c>
      <c r="C8025" s="6" t="n">
        <f aca="false">Sens!$C$8020+Sens!$C$8024</f>
        <v>1805.62589170216</v>
      </c>
    </row>
    <row r="8026" customFormat="false" ht="15" hidden="false" customHeight="false" outlineLevel="0" collapsed="false">
      <c r="A8026" s="1" t="s">
        <v>973</v>
      </c>
      <c r="B8026" s="0" t="s">
        <v>129</v>
      </c>
      <c r="C8026" s="7" t="n">
        <f aca="false">Sens!$C$8024/Sens!$C$8025</f>
        <v>0.743431020554827</v>
      </c>
    </row>
    <row r="8027" customFormat="false" ht="17.15" hidden="false" customHeight="false" outlineLevel="0" collapsed="false">
      <c r="A8027" s="1" t="s">
        <v>1052</v>
      </c>
      <c r="B8027" s="0" t="s">
        <v>98</v>
      </c>
      <c r="C8027" s="6" t="n">
        <f aca="false">Sens!$C$8025+Sens!E8007-Sens!E7996+oai_v</f>
        <v>1940.13889170216</v>
      </c>
    </row>
    <row r="8028" customFormat="false" ht="17.15" hidden="false" customHeight="false" outlineLevel="0" collapsed="false">
      <c r="A8028" s="0" t="s">
        <v>980</v>
      </c>
      <c r="B8028" s="0" t="s">
        <v>75</v>
      </c>
      <c r="C8028" s="5" t="n">
        <f aca="false">Sens!$C$8027/sh_dil26</f>
        <v>260.316502308085</v>
      </c>
    </row>
    <row r="8029" customFormat="false" ht="15" hidden="false" customHeight="false" outlineLevel="0" collapsed="false">
      <c r="A8029" s="1" t="s">
        <v>1053</v>
      </c>
      <c r="B8029" s="0" t="s">
        <v>75</v>
      </c>
      <c r="C8029" s="8" t="n">
        <f aca="false">dps_27+Sens!G7999*roll_div_q/q_per_yr</f>
        <v>4.8895</v>
      </c>
    </row>
    <row r="8030" customFormat="false" ht="17.15" hidden="false" customHeight="false" outlineLevel="0" collapsed="false">
      <c r="A8030" s="0" t="s">
        <v>1054</v>
      </c>
      <c r="B8030" s="0" t="s">
        <v>75</v>
      </c>
      <c r="C8030" s="5" t="n">
        <f aca="false">Sens!$C$8028*(1+wacc)^t_roll-Sens!$C$8029</f>
        <v>291.541593022772</v>
      </c>
    </row>
    <row r="8031" customFormat="false" ht="17.15" hidden="false" customHeight="false" outlineLevel="0" collapsed="false">
      <c r="A8031" s="1" t="s">
        <v>1055</v>
      </c>
      <c r="B8031" s="0" t="s">
        <v>129</v>
      </c>
      <c r="F8031" s="7" t="n">
        <f aca="false">Sens!F7988/(Sens!F7933-Sens!F7889)</f>
        <v>0.068739123701213</v>
      </c>
      <c r="G8031" s="7" t="n">
        <f aca="false">Sens!G7988/(Sens!G7933-Sens!G7889)</f>
        <v>0.0664123236806204</v>
      </c>
      <c r="H8031" s="7" t="n">
        <f aca="false">Sens!H7988/(Sens!H7933-Sens!H7889)</f>
        <v>0.065303244865675</v>
      </c>
      <c r="I8031" s="7" t="n">
        <f aca="false">Sens!I7988/(Sens!I7933-Sens!I7889)</f>
        <v>0.0652657049121772</v>
      </c>
      <c r="J8031" s="7" t="n">
        <f aca="false">Sens!J7988/(Sens!J7933-Sens!J7889)</f>
        <v>0.0660814339242476</v>
      </c>
      <c r="K8031" s="7" t="n">
        <f aca="false">Sens!K7988/(Sens!K7933-Sens!K7889)</f>
        <v>0.0675035451526998</v>
      </c>
    </row>
    <row r="8032" customFormat="false" ht="17.15" hidden="false" customHeight="false" outlineLevel="0" collapsed="false">
      <c r="A8032" s="0" t="s">
        <v>1056</v>
      </c>
      <c r="B8032" s="0" t="s">
        <v>98</v>
      </c>
      <c r="F8032" s="6" t="n">
        <f aca="false">Sens!F7918*(al_m365+Sens!F8031+sbc_r)</f>
        <v>82.8933135715308</v>
      </c>
      <c r="G8032" s="6" t="n">
        <f aca="false">Sens!G7918*(al_m365+Sens!G8031+sbc_r)</f>
        <v>93.2839110797473</v>
      </c>
      <c r="H8032" s="6" t="n">
        <f aca="false">Sens!H7918*(al_m365+Sens!H8031+sbc_r)</f>
        <v>103.84105658499</v>
      </c>
      <c r="I8032" s="6" t="n">
        <f aca="false">Sens!I7918*(al_m365+Sens!I8031+sbc_r)</f>
        <v>113.888065330582</v>
      </c>
      <c r="J8032" s="6" t="n">
        <f aca="false">Sens!J7918*(al_m365+Sens!J8031+sbc_r)</f>
        <v>123.234728346069</v>
      </c>
      <c r="K8032" s="6" t="n">
        <f aca="false">Sens!K7918*(al_m365+Sens!K8031+sbc_r)</f>
        <v>132.185880774993</v>
      </c>
      <c r="L8032" s="11" t="s">
        <v>1057</v>
      </c>
    </row>
    <row r="8033" customFormat="false" ht="17.15" hidden="false" customHeight="false" outlineLevel="0" collapsed="false">
      <c r="A8033" s="0" t="s">
        <v>1058</v>
      </c>
      <c r="B8033" s="0" t="s">
        <v>98</v>
      </c>
      <c r="F8033" s="6" t="n">
        <f aca="false">Sens!F7919*(al_lic+Sens!F8031+sbc_r)</f>
        <v>33.4504588756157</v>
      </c>
      <c r="G8033" s="6" t="n">
        <f aca="false">Sens!G7919*(al_lic+Sens!G8031+sbc_r)</f>
        <v>34.7721321441579</v>
      </c>
      <c r="H8033" s="6" t="n">
        <f aca="false">Sens!H7919*(al_lic+Sens!H8031+sbc_r)</f>
        <v>36.0034643673924</v>
      </c>
      <c r="I8033" s="6" t="n">
        <f aca="false">Sens!I7919*(al_lic+Sens!I8031+sbc_r)</f>
        <v>37.1241350458993</v>
      </c>
      <c r="J8033" s="6" t="n">
        <f aca="false">Sens!J7919*(al_lic+Sens!J8031+sbc_r)</f>
        <v>38.1104212395858</v>
      </c>
      <c r="K8033" s="6" t="n">
        <f aca="false">Sens!K7919*(al_lic+Sens!K8031+sbc_r)</f>
        <v>38.9374024044415</v>
      </c>
    </row>
    <row r="8034" customFormat="false" ht="17.15" hidden="false" customHeight="false" outlineLevel="0" collapsed="false">
      <c r="A8034" s="0" t="s">
        <v>1059</v>
      </c>
      <c r="B8034" s="0" t="s">
        <v>98</v>
      </c>
      <c r="F8034" s="6" t="n">
        <f aca="false">Sens!F7921*(al_ind+Sens!F8031+sbc_r)</f>
        <v>9.07975254626693</v>
      </c>
      <c r="G8034" s="6" t="n">
        <f aca="false">Sens!G7921*(al_ind+Sens!G8031+sbc_r)</f>
        <v>9.8684295846447</v>
      </c>
      <c r="H8034" s="6" t="n">
        <f aca="false">Sens!H7921*(al_ind+Sens!H8031+sbc_r)</f>
        <v>10.7008948330241</v>
      </c>
      <c r="I8034" s="6" t="n">
        <f aca="false">Sens!I7921*(al_ind+Sens!I8031+sbc_r)</f>
        <v>11.572601874085</v>
      </c>
      <c r="J8034" s="6" t="n">
        <f aca="false">Sens!J7921*(al_ind+Sens!J8031+sbc_r)</f>
        <v>12.4748067337163</v>
      </c>
      <c r="K8034" s="6" t="n">
        <f aca="false">Sens!K7921*(al_ind+Sens!K8031+sbc_r)</f>
        <v>13.3950917674665</v>
      </c>
    </row>
    <row r="8035" customFormat="false" ht="17.15" hidden="false" customHeight="false" outlineLevel="0" collapsed="false">
      <c r="A8035" s="0" t="s">
        <v>1060</v>
      </c>
      <c r="B8035" s="0" t="s">
        <v>98</v>
      </c>
      <c r="F8035" s="6" t="n">
        <f aca="false">Sens!F7923*(al_fro+Sens!F8031+sbc_r)</f>
        <v>3.57382247941437</v>
      </c>
      <c r="G8035" s="6" t="n">
        <f aca="false">Sens!G7923*(al_fro+Sens!G8031+sbc_r)</f>
        <v>3.78889352243252</v>
      </c>
      <c r="H8035" s="6" t="n">
        <f aca="false">Sens!H7923*(al_fro+Sens!H8031+sbc_r)</f>
        <v>4.03246343853737</v>
      </c>
      <c r="I8035" s="6" t="n">
        <f aca="false">Sens!I7923*(al_fro+Sens!I8031+sbc_r)</f>
        <v>4.30685141836587</v>
      </c>
      <c r="J8035" s="6" t="n">
        <f aca="false">Sens!J7923*(al_fro+Sens!J8031+sbc_r)</f>
        <v>4.61366293606154</v>
      </c>
      <c r="K8035" s="6" t="n">
        <f aca="false">Sens!K7923*(al_fro+Sens!K8031+sbc_r)</f>
        <v>4.95401970803056</v>
      </c>
    </row>
    <row r="8036" customFormat="false" ht="17.15" hidden="false" customHeight="false" outlineLevel="0" collapsed="false">
      <c r="A8036" s="0" t="s">
        <v>1061</v>
      </c>
      <c r="B8036" s="0" t="s">
        <v>98</v>
      </c>
      <c r="F8036" s="6" t="n">
        <f aca="false">Sens!F7926*(al_srch+Sens!F8031+sbc_r)</f>
        <v>11.2136255793762</v>
      </c>
      <c r="G8036" s="6" t="n">
        <f aca="false">Sens!G7926*(al_srch+Sens!G8031+sbc_r)</f>
        <v>12.3026483615554</v>
      </c>
      <c r="H8036" s="6" t="n">
        <f aca="false">Sens!H7926*(al_srch+Sens!H8031+sbc_r)</f>
        <v>13.4353617554333</v>
      </c>
      <c r="I8036" s="6" t="n">
        <f aca="false">Sens!I7926*(al_srch+Sens!I8031+sbc_r)</f>
        <v>14.599101607978</v>
      </c>
      <c r="J8036" s="6" t="n">
        <f aca="false">Sens!J7926*(al_srch+Sens!J8031+sbc_r)</f>
        <v>15.7749738729854</v>
      </c>
      <c r="K8036" s="6" t="n">
        <f aca="false">Sens!K7926*(al_srch+Sens!K8031+sbc_r)</f>
        <v>16.9387171415581</v>
      </c>
    </row>
    <row r="8037" customFormat="false" ht="17.15" hidden="false" customHeight="false" outlineLevel="0" collapsed="false">
      <c r="A8037" s="0" t="s">
        <v>1062</v>
      </c>
      <c r="B8037" s="0" t="s">
        <v>98</v>
      </c>
      <c r="F8037" s="6" t="n">
        <f aca="false">Sens!F7895-Sens!F7896+Sens!F7976</f>
        <v>49.3166695044068</v>
      </c>
      <c r="G8037" s="6" t="n">
        <f aca="false">Sens!G7895-Sens!G7896+Sens!G7976</f>
        <v>79.1711235199867</v>
      </c>
      <c r="H8037" s="6" t="n">
        <f aca="false">Sens!H7895-Sens!H7896+Sens!H7976</f>
        <v>105.986955995322</v>
      </c>
      <c r="I8037" s="6" t="n">
        <f aca="false">Sens!I7895-Sens!I7896+Sens!I7976</f>
        <v>136.51312421941</v>
      </c>
      <c r="J8037" s="6" t="n">
        <f aca="false">Sens!J7895-Sens!J7896+Sens!J7976</f>
        <v>158.045869188803</v>
      </c>
      <c r="K8037" s="6" t="n">
        <f aca="false">Sens!K7895-Sens!K7896+Sens!K7976</f>
        <v>171.626834186355</v>
      </c>
    </row>
    <row r="8038" customFormat="false" ht="17.15" hidden="false" customHeight="false" outlineLevel="0" collapsed="false">
      <c r="A8038" s="0" t="s">
        <v>1063</v>
      </c>
      <c r="B8038" s="0" t="s">
        <v>98</v>
      </c>
      <c r="F8038" s="6" t="n">
        <f aca="false">Sens!F7955+Sens!F7976+Sens!F7906+Sens!F8031*(Sens!F7925-Sens!F7889)+sbc_r*Sens!F7925</f>
        <v>238.985473972074</v>
      </c>
      <c r="G8038" s="6" t="n">
        <f aca="false">Sens!G7955+Sens!G7976+Sens!G7906+Sens!G8031*(Sens!G7925-Sens!G7889)+sbc_r*Sens!G7925</f>
        <v>293.032146112926</v>
      </c>
      <c r="H8038" s="6" t="n">
        <f aca="false">Sens!H7955+Sens!H7976+Sens!H7906+Sens!H8031*(Sens!H7925-Sens!H7889)+sbc_r*Sens!H7925</f>
        <v>343.775189032485</v>
      </c>
      <c r="I8038" s="6" t="n">
        <f aca="false">Sens!I7955+Sens!I7976+Sens!I7906+Sens!I8031*(Sens!I7925-Sens!I7889)+sbc_r*Sens!I7925</f>
        <v>396.929768386256</v>
      </c>
      <c r="J8038" s="6" t="n">
        <f aca="false">Sens!J7955+Sens!J7976+Sens!J7906+Sens!J8031*(Sens!J7925-Sens!J7889)+sbc_r*Sens!J7925</f>
        <v>438.412128280328</v>
      </c>
      <c r="K8038" s="6" t="n">
        <f aca="false">Sens!K7955+Sens!K7976+Sens!K7906+Sens!K8031*(Sens!K7925-Sens!K7889)+sbc_r*Sens!K7925</f>
        <v>468.84540555776</v>
      </c>
    </row>
    <row r="8039" customFormat="false" ht="17.15" hidden="false" customHeight="false" outlineLevel="0" collapsed="false">
      <c r="A8039" s="0" t="s">
        <v>1064</v>
      </c>
      <c r="B8039" s="0" t="s">
        <v>98</v>
      </c>
      <c r="F8039" s="6" t="n">
        <f aca="false">Sens!F8038-Sens!F8032-Sens!F8033-Sens!F8034-Sens!F8035-Sens!F8037</f>
        <v>60.6714569948395</v>
      </c>
      <c r="G8039" s="6" t="n">
        <f aca="false">Sens!G8038-Sens!G8032-Sens!G8033-Sens!G8034-Sens!G8035-Sens!G8037</f>
        <v>72.1476562619566</v>
      </c>
      <c r="H8039" s="6" t="n">
        <f aca="false">Sens!H8038-Sens!H8032-Sens!H8033-Sens!H8034-Sens!H8035-Sens!H8037</f>
        <v>83.2103538132193</v>
      </c>
      <c r="I8039" s="6" t="n">
        <f aca="false">Sens!I8038-Sens!I8032-Sens!I8033-Sens!I8034-Sens!I8035-Sens!I8037</f>
        <v>93.5249904979137</v>
      </c>
      <c r="J8039" s="6" t="n">
        <f aca="false">Sens!J8038-Sens!J8032-Sens!J8033-Sens!J8034-Sens!J8035-Sens!J8037</f>
        <v>101.932639836092</v>
      </c>
      <c r="K8039" s="6" t="n">
        <f aca="false">Sens!K8038-Sens!K8032-Sens!K8033-Sens!K8034-Sens!K8035-Sens!K8037</f>
        <v>107.746176716473</v>
      </c>
    </row>
    <row r="8040" customFormat="false" ht="17.15" hidden="false" customHeight="false" outlineLevel="0" collapsed="false">
      <c r="A8040" s="0" t="s">
        <v>1065</v>
      </c>
      <c r="B8040" s="0" t="s">
        <v>98</v>
      </c>
      <c r="F8040" s="6" t="n">
        <f aca="false">Sens!F7957+Sens!F8031*Sens!F7932+sbc_r*Sens!F7932</f>
        <v>26.2083873659466</v>
      </c>
      <c r="G8040" s="6" t="n">
        <f aca="false">Sens!G7957+Sens!G8031*Sens!G7932+sbc_r*Sens!G7932</f>
        <v>26.8503354381182</v>
      </c>
      <c r="H8040" s="6" t="n">
        <f aca="false">Sens!H7957+Sens!H8031*Sens!H7932+sbc_r*Sens!H7932</f>
        <v>27.7537538280325</v>
      </c>
      <c r="I8040" s="6" t="n">
        <f aca="false">Sens!I7957+Sens!I8031*Sens!I7932+sbc_r*Sens!I7932</f>
        <v>28.8864916692694</v>
      </c>
      <c r="J8040" s="6" t="n">
        <f aca="false">Sens!J7957+Sens!J8031*Sens!J7932+sbc_r*Sens!J7932</f>
        <v>30.2169622766814</v>
      </c>
      <c r="K8040" s="6" t="n">
        <f aca="false">Sens!K7957+Sens!K8031*Sens!K7932+sbc_r*Sens!K7932</f>
        <v>31.7150853329747</v>
      </c>
    </row>
    <row r="8041" customFormat="false" ht="17.15" hidden="false" customHeight="false" outlineLevel="0" collapsed="false">
      <c r="A8041" s="0" t="s">
        <v>1066</v>
      </c>
      <c r="B8041" s="0" t="s">
        <v>98</v>
      </c>
      <c r="F8041" s="6" t="n">
        <f aca="false">(Sens!F8040-Sens!F8036)*Sens!F7928/(Sens!F7928+Sens!F7930)</f>
        <v>8.21998236453432</v>
      </c>
      <c r="G8041" s="6" t="n">
        <f aca="false">(Sens!G8040-Sens!G8036)*Sens!G7928/(Sens!G7928+Sens!G7930)</f>
        <v>7.83270839069041</v>
      </c>
      <c r="H8041" s="6" t="n">
        <f aca="false">(Sens!H8040-Sens!H8036)*Sens!H7928/(Sens!H7928+Sens!H7930)</f>
        <v>7.60511316291148</v>
      </c>
      <c r="I8041" s="6" t="n">
        <f aca="false">(Sens!I8040-Sens!I8036)*Sens!I7928/(Sens!I7928+Sens!I7930)</f>
        <v>7.51998449119595</v>
      </c>
      <c r="J8041" s="6" t="n">
        <f aca="false">(Sens!J8040-Sens!J8036)*Sens!J7928/(Sens!J7928+Sens!J7930)</f>
        <v>7.56698229724566</v>
      </c>
      <c r="K8041" s="6" t="n">
        <f aca="false">(Sens!K8040-Sens!K8036)*Sens!K7928/(Sens!K7928+Sens!K7930)</f>
        <v>7.74218295961367</v>
      </c>
    </row>
    <row r="8042" customFormat="false" ht="17.15" hidden="false" customHeight="false" outlineLevel="0" collapsed="false">
      <c r="A8042" s="0" t="s">
        <v>1067</v>
      </c>
      <c r="B8042" s="0" t="s">
        <v>98</v>
      </c>
      <c r="F8042" s="6" t="n">
        <f aca="false">Sens!F8040-Sens!F8036-Sens!F8041</f>
        <v>6.7747794220361</v>
      </c>
      <c r="G8042" s="6" t="n">
        <f aca="false">Sens!G8040-Sens!G8036-Sens!G8041</f>
        <v>6.71497868587234</v>
      </c>
      <c r="H8042" s="6" t="n">
        <f aca="false">Sens!H8040-Sens!H8036-Sens!H8041</f>
        <v>6.7132789096877</v>
      </c>
      <c r="I8042" s="6" t="n">
        <f aca="false">Sens!I8040-Sens!I8036-Sens!I8041</f>
        <v>6.76740557009545</v>
      </c>
      <c r="J8042" s="6" t="n">
        <f aca="false">Sens!J8040-Sens!J8036-Sens!J8041</f>
        <v>6.87500610645035</v>
      </c>
      <c r="K8042" s="6" t="n">
        <f aca="false">Sens!K8040-Sens!K8036-Sens!K8041</f>
        <v>7.03418523180297</v>
      </c>
    </row>
    <row r="8043" customFormat="false" ht="17.15" hidden="false" customHeight="false" outlineLevel="0" collapsed="false">
      <c r="A8043" s="0" t="s">
        <v>1068</v>
      </c>
      <c r="B8043" s="0" t="s">
        <v>98</v>
      </c>
      <c r="F8043" s="6" t="n">
        <f aca="false">Sens!F8037-tax_f*(Sens!F8037-Sens!F7906)-Sens!F7903</f>
        <v>-122.43960309438</v>
      </c>
      <c r="G8043" s="6" t="n">
        <f aca="false">Sens!G8037-tax_f*(Sens!G8037-Sens!G7906)-Sens!G7903</f>
        <v>-108.128464065358</v>
      </c>
      <c r="H8043" s="6" t="n">
        <f aca="false">Sens!H8037-tax_f*(Sens!H8037-Sens!H7906)-Sens!H7903</f>
        <v>-85.7347869657297</v>
      </c>
      <c r="I8043" s="6" t="n">
        <f aca="false">Sens!I8037-tax_f*(Sens!I8037-Sens!I7906)-Sens!I7903</f>
        <v>-32.0912908324886</v>
      </c>
      <c r="J8043" s="6" t="n">
        <f aca="false">Sens!J8037-tax_f*(Sens!J8037-Sens!J7906)-Sens!J7903</f>
        <v>27.7684317672698</v>
      </c>
      <c r="K8043" s="6" t="n">
        <f aca="false">Sens!K8037-tax_f*(Sens!K8037-Sens!K7906)-Sens!K7903</f>
        <v>50.2790320178271</v>
      </c>
    </row>
    <row r="8044" customFormat="false" ht="17.15" hidden="false" customHeight="false" outlineLevel="0" collapsed="false">
      <c r="A8044" s="0" t="s">
        <v>1069</v>
      </c>
      <c r="B8044" s="0" t="s">
        <v>98</v>
      </c>
      <c r="F8044" s="6" t="n">
        <f aca="false">Sens!F8043*Sens!F8017</f>
        <v>-116.586178733692</v>
      </c>
      <c r="G8044" s="6" t="n">
        <f aca="false">Sens!G8043*Sens!G8017</f>
        <v>-93.3502528398756</v>
      </c>
      <c r="H8044" s="6" t="n">
        <f aca="false">Sens!H8043*Sens!H8017</f>
        <v>-67.1093214046131</v>
      </c>
      <c r="I8044" s="6" t="n">
        <f aca="false">Sens!I8043*Sens!I8017</f>
        <v>-22.775256165341</v>
      </c>
      <c r="J8044" s="6" t="n">
        <f aca="false">Sens!J8043*Sens!J8017</f>
        <v>17.8680741975298</v>
      </c>
      <c r="K8044" s="6" t="n">
        <f aca="false">Sens!K8043*Sens!K8017</f>
        <v>29.3334815203995</v>
      </c>
    </row>
    <row r="8045" customFormat="false" ht="17.15" hidden="false" customHeight="false" outlineLevel="0" collapsed="false">
      <c r="A8045" s="0" t="s">
        <v>1070</v>
      </c>
      <c r="B8045" s="0" t="s">
        <v>98</v>
      </c>
      <c r="C8045" s="6" t="n">
        <f aca="false">(Sens!K8037-Sens!K7906)*(1-tax_f)*(1+g_tv)*(1-g_tv/(wacc+ronic_prem))/(wacc-g_tv)/(1+wacc)^(Sens!K8016+mid_yr)</f>
        <v>142.045760926877</v>
      </c>
    </row>
    <row r="8046" customFormat="false" ht="17.15" hidden="false" customHeight="false" outlineLevel="0" collapsed="false">
      <c r="A8046" s="1" t="s">
        <v>1071</v>
      </c>
      <c r="B8046" s="0" t="s">
        <v>98</v>
      </c>
      <c r="C8046" s="6" t="n">
        <f aca="false">(SUM(Sens!F8044:K8044)+Sens!$C$8045)*(1+wacc)^t_roll</f>
        <v>-125.91395565144</v>
      </c>
      <c r="L8046" s="11" t="s">
        <v>1072</v>
      </c>
    </row>
    <row r="8047" customFormat="false" ht="17.15" hidden="false" customHeight="false" outlineLevel="0" collapsed="false">
      <c r="A8047" s="1" t="s">
        <v>1073</v>
      </c>
      <c r="B8047" s="0" t="s">
        <v>98</v>
      </c>
      <c r="C8047" s="6" t="n">
        <f aca="false">(w_ntm28*Sens!G7895+(1-w_ntm28)*Sens!H7895)*m_ai</f>
        <v>338.776008390068</v>
      </c>
    </row>
    <row r="8048" customFormat="false" ht="17.15" hidden="false" customHeight="false" outlineLevel="0" collapsed="false">
      <c r="A8048" s="1" t="s">
        <v>1074</v>
      </c>
      <c r="B8048" s="0" t="s">
        <v>98</v>
      </c>
      <c r="C8048" s="6" t="n">
        <f aca="false">(w_ntm28*Sens!G8039+(1-w_ntm28)*Sens!H8039)*m_cloud</f>
        <v>1046.50692367366</v>
      </c>
    </row>
    <row r="8049" customFormat="false" ht="17.15" hidden="false" customHeight="false" outlineLevel="0" collapsed="false">
      <c r="A8049" s="1" t="s">
        <v>1075</v>
      </c>
      <c r="B8049" s="0" t="s">
        <v>98</v>
      </c>
      <c r="C8049" s="6" t="n">
        <f aca="false">(w_ntm28*Sens!G8032+(1-w_ntm28)*Sens!H8032)*m_sw</f>
        <v>1044.32658550204</v>
      </c>
    </row>
    <row r="8050" customFormat="false" ht="17.15" hidden="false" customHeight="false" outlineLevel="0" collapsed="false">
      <c r="A8050" s="1" t="s">
        <v>1076</v>
      </c>
      <c r="B8050" s="0" t="s">
        <v>98</v>
      </c>
      <c r="C8050" s="6" t="n">
        <f aca="false">(w_ntm28*Sens!G8033+(1-w_ntm28)*Sens!H8033)*m_sw</f>
        <v>379.838232048111</v>
      </c>
    </row>
    <row r="8051" customFormat="false" ht="17.15" hidden="false" customHeight="false" outlineLevel="0" collapsed="false">
      <c r="A8051" s="1" t="s">
        <v>1077</v>
      </c>
      <c r="B8051" s="0" t="s">
        <v>98</v>
      </c>
      <c r="C8051" s="6" t="n">
        <f aca="false">(w_ntm28*Sens!G8034+(1-w_ntm28)*Sens!H8034)*m_sw</f>
        <v>109.485597630696</v>
      </c>
    </row>
    <row r="8052" customFormat="false" ht="17.15" hidden="false" customHeight="false" outlineLevel="0" collapsed="false">
      <c r="A8052" s="1" t="s">
        <v>1078</v>
      </c>
      <c r="B8052" s="0" t="s">
        <v>98</v>
      </c>
      <c r="C8052" s="6" t="n">
        <f aca="false">(w_ntm28*Sens!G8035+(1-w_ntm28)*Sens!H8035)*m_sw</f>
        <v>41.7704760726384</v>
      </c>
    </row>
    <row r="8053" customFormat="false" ht="17.15" hidden="false" customHeight="false" outlineLevel="0" collapsed="false">
      <c r="A8053" s="1" t="s">
        <v>1079</v>
      </c>
      <c r="B8053" s="0" t="s">
        <v>98</v>
      </c>
      <c r="C8053" s="6" t="n">
        <f aca="false">(w_ntm28*Sens!G8036+(1-w_ntm28)*Sens!H8036)*m_ads</f>
        <v>115.41313820158</v>
      </c>
    </row>
    <row r="8054" customFormat="false" ht="17.15" hidden="false" customHeight="false" outlineLevel="0" collapsed="false">
      <c r="A8054" s="1" t="s">
        <v>1080</v>
      </c>
      <c r="B8054" s="0" t="s">
        <v>98</v>
      </c>
      <c r="C8054" s="6" t="n">
        <f aca="false">(w_ntm28*Sens!G8041+(1-w_ntm28)*Sens!H8041)*m_game</f>
        <v>97.9978075997129</v>
      </c>
    </row>
    <row r="8055" customFormat="false" ht="17.15" hidden="false" customHeight="false" outlineLevel="0" collapsed="false">
      <c r="A8055" s="1" t="s">
        <v>1081</v>
      </c>
      <c r="B8055" s="0" t="s">
        <v>98</v>
      </c>
      <c r="C8055" s="6" t="n">
        <f aca="false">(w_ntm28*Sens!G8042+(1-w_ntm28)*Sens!H8042)*m_pc</f>
        <v>97.1577900781502</v>
      </c>
    </row>
    <row r="8056" customFormat="false" ht="17.15" hidden="false" customHeight="false" outlineLevel="0" collapsed="false">
      <c r="A8056" s="1" t="s">
        <v>1082</v>
      </c>
      <c r="B8056" s="0" t="s">
        <v>98</v>
      </c>
      <c r="C8056" s="6" t="n">
        <f aca="false">Sens!$C$8046+Sens!$C$8048+Sens!$C$8049+Sens!$C$8050+Sens!$C$8051+Sens!$C$8052+Sens!$C$8053+Sens!$C$8054+Sens!$C$8055</f>
        <v>2806.58259515515</v>
      </c>
    </row>
    <row r="8057" customFormat="false" ht="17.15" hidden="false" customHeight="false" outlineLevel="0" collapsed="false">
      <c r="A8057" s="1" t="s">
        <v>1000</v>
      </c>
      <c r="B8057" s="0" t="s">
        <v>98</v>
      </c>
      <c r="C8057" s="6" t="n">
        <f aca="false">Sens!F8007+oai_v-Sens!F7996</f>
        <v>106.624705209123</v>
      </c>
      <c r="L8057" s="1" t="s">
        <v>1083</v>
      </c>
    </row>
    <row r="8058" customFormat="false" ht="15" hidden="false" customHeight="false" outlineLevel="0" collapsed="false">
      <c r="A8058" s="1" t="s">
        <v>1001</v>
      </c>
      <c r="B8058" s="0" t="s">
        <v>75</v>
      </c>
      <c r="C8058" s="5" t="n">
        <f aca="false">(Sens!$C$8056+Sens!$C$8057)/Sens!F8009</f>
        <v>389.883204010207</v>
      </c>
    </row>
    <row r="8059" customFormat="false" ht="17.15" hidden="false" customHeight="false" outlineLevel="0" collapsed="false">
      <c r="A8059" s="1" t="s">
        <v>1084</v>
      </c>
      <c r="B8059" s="0" t="s">
        <v>75</v>
      </c>
      <c r="C8059" s="5" t="n">
        <f aca="false">w_dcf*Sens!$C$8030+(1-w_dcf)*Sens!$C$8058</f>
        <v>340.712398516489</v>
      </c>
    </row>
    <row r="8060" customFormat="false" ht="17.15" hidden="false" customHeight="false" outlineLevel="0" collapsed="false">
      <c r="A8060" s="3" t="s">
        <v>1444</v>
      </c>
    </row>
    <row r="8061" customFormat="false" ht="15" hidden="false" customHeight="false" outlineLevel="0" collapsed="false">
      <c r="A8061" s="4" t="s">
        <v>43</v>
      </c>
      <c r="B8061" s="4" t="s">
        <v>65</v>
      </c>
      <c r="C8061" s="20" t="s">
        <v>788</v>
      </c>
      <c r="D8061" s="20" t="s">
        <v>789</v>
      </c>
      <c r="E8061" s="20" t="s">
        <v>790</v>
      </c>
      <c r="F8061" s="20" t="s">
        <v>791</v>
      </c>
      <c r="G8061" s="20" t="s">
        <v>792</v>
      </c>
      <c r="H8061" s="20" t="s">
        <v>793</v>
      </c>
      <c r="I8061" s="20" t="s">
        <v>794</v>
      </c>
      <c r="J8061" s="20" t="s">
        <v>795</v>
      </c>
      <c r="K8061" s="20" t="s">
        <v>796</v>
      </c>
      <c r="L8061" s="4" t="s">
        <v>47</v>
      </c>
    </row>
    <row r="8062" customFormat="false" ht="17.15" hidden="false" customHeight="false" outlineLevel="0" collapsed="false">
      <c r="A8062" s="1" t="s">
        <v>797</v>
      </c>
      <c r="B8062" s="1" t="s">
        <v>235</v>
      </c>
      <c r="C8062" s="28" t="n">
        <v>2024</v>
      </c>
      <c r="D8062" s="28" t="n">
        <v>2025</v>
      </c>
      <c r="E8062" s="28" t="n">
        <v>2026</v>
      </c>
      <c r="F8062" s="28" t="n">
        <v>2027</v>
      </c>
      <c r="G8062" s="28" t="n">
        <v>2028</v>
      </c>
      <c r="H8062" s="28" t="n">
        <v>2029</v>
      </c>
      <c r="I8062" s="28" t="n">
        <v>2030</v>
      </c>
      <c r="J8062" s="28" t="n">
        <v>2031</v>
      </c>
      <c r="K8062" s="28" t="n">
        <v>2032</v>
      </c>
    </row>
    <row r="8063" customFormat="false" ht="17.15" hidden="false" customHeight="false" outlineLevel="0" collapsed="false">
      <c r="A8063" s="1" t="s">
        <v>798</v>
      </c>
      <c r="B8063" s="0" t="s">
        <v>392</v>
      </c>
      <c r="F8063" s="29" t="n">
        <f aca="false">pace</f>
        <v>2527.2</v>
      </c>
      <c r="G8063" s="29" t="n">
        <f aca="false">pace</f>
        <v>2527.2</v>
      </c>
      <c r="H8063" s="29" t="n">
        <f aca="false">pace</f>
        <v>2527.2</v>
      </c>
      <c r="I8063" s="29" t="n">
        <f aca="false">pace+(g_tv*Sens!H8064-pace)*MIN(1,(Sens!I8062-pace_y0)/(pace_y1-pace_y0))</f>
        <v>1793.116</v>
      </c>
      <c r="J8063" s="29" t="n">
        <f aca="false">pace+(g_tv*Sens!H8064-pace)*MIN(1,(Sens!J8062-pace_y0)/(pace_y1-pace_y0))</f>
        <v>1059.032</v>
      </c>
      <c r="K8063" s="29" t="n">
        <f aca="false">pace+(g_tv*Sens!H8064-pace)*MIN(1,(Sens!K8062-pace_y0)/(pace_y1-pace_y0))</f>
        <v>324.948</v>
      </c>
      <c r="L8063" s="11" t="s">
        <v>799</v>
      </c>
    </row>
    <row r="8064" customFormat="false" ht="17.15" hidden="false" customHeight="false" outlineLevel="0" collapsed="false">
      <c r="A8064" s="1" t="s">
        <v>800</v>
      </c>
      <c r="B8064" s="0" t="s">
        <v>392</v>
      </c>
      <c r="C8064" s="29" t="n">
        <f aca="false">mw_ext_24</f>
        <v>640</v>
      </c>
      <c r="D8064" s="29" t="n">
        <f aca="false">mw_ext_25</f>
        <v>1630</v>
      </c>
      <c r="E8064" s="29" t="n">
        <f aca="false">mw_ext_26</f>
        <v>3250</v>
      </c>
      <c r="F8064" s="29" t="n">
        <f aca="false">Sens!E8064+Sens!F8063</f>
        <v>5777.2</v>
      </c>
      <c r="G8064" s="29" t="n">
        <f aca="false">Sens!F8064+Sens!G8063</f>
        <v>8304.4</v>
      </c>
      <c r="H8064" s="29" t="n">
        <f aca="false">Sens!G8064+Sens!H8063</f>
        <v>10831.6</v>
      </c>
      <c r="I8064" s="29" t="n">
        <f aca="false">Sens!H8064+Sens!I8063</f>
        <v>12624.716</v>
      </c>
      <c r="J8064" s="29" t="n">
        <f aca="false">Sens!I8064+Sens!J8063</f>
        <v>13683.748</v>
      </c>
      <c r="K8064" s="29" t="n">
        <f aca="false">Sens!J8064+Sens!K8063</f>
        <v>14008.696</v>
      </c>
      <c r="L8064" s="1" t="s">
        <v>801</v>
      </c>
    </row>
    <row r="8065" customFormat="false" ht="17.15" hidden="false" customHeight="false" outlineLevel="0" collapsed="false">
      <c r="A8065" s="1" t="s">
        <v>802</v>
      </c>
      <c r="B8065" s="0" t="s">
        <v>392</v>
      </c>
      <c r="C8065" s="29" t="n">
        <f aca="false">rent_ext_24</f>
        <v>150</v>
      </c>
      <c r="D8065" s="29" t="n">
        <f aca="false">rent_ext_25</f>
        <v>400</v>
      </c>
      <c r="E8065" s="29" t="n">
        <f aca="false">rent_ext_26</f>
        <v>550</v>
      </c>
      <c r="F8065" s="29" t="n">
        <f aca="false">rent_ext_f</f>
        <v>756</v>
      </c>
      <c r="G8065" s="29" t="n">
        <f aca="false">rent_ext_f</f>
        <v>756</v>
      </c>
      <c r="H8065" s="29" t="n">
        <f aca="false">rent_ext_f</f>
        <v>756</v>
      </c>
      <c r="I8065" s="29" t="n">
        <f aca="false">rent_ext_f</f>
        <v>756</v>
      </c>
      <c r="J8065" s="29" t="n">
        <f aca="false">rent_ext_f</f>
        <v>756</v>
      </c>
      <c r="K8065" s="29" t="n">
        <f aca="false">rent_ext_f</f>
        <v>756</v>
      </c>
      <c r="L8065" s="1" t="s">
        <v>803</v>
      </c>
    </row>
    <row r="8066" customFormat="false" ht="17.15" hidden="false" customHeight="false" outlineLevel="0" collapsed="false">
      <c r="A8066" s="1" t="s">
        <v>804</v>
      </c>
      <c r="B8066" s="0" t="s">
        <v>392</v>
      </c>
      <c r="C8066" s="29" t="n">
        <f aca="false">Sens!C8064-Sens!C8065</f>
        <v>490</v>
      </c>
      <c r="D8066" s="29" t="n">
        <f aca="false">Sens!D8064-Sens!D8065</f>
        <v>1230</v>
      </c>
      <c r="E8066" s="29" t="n">
        <f aca="false">Sens!E8064-Sens!E8065</f>
        <v>2700</v>
      </c>
      <c r="F8066" s="29" t="n">
        <f aca="false">Sens!F8064-Sens!F8065</f>
        <v>5021.2</v>
      </c>
      <c r="G8066" s="29" t="n">
        <f aca="false">Sens!G8064-Sens!G8065</f>
        <v>7548.4</v>
      </c>
      <c r="H8066" s="29" t="n">
        <f aca="false">Sens!H8064-Sens!H8065</f>
        <v>10075.6</v>
      </c>
      <c r="I8066" s="29" t="n">
        <f aca="false">Sens!I8064-Sens!I8065</f>
        <v>11868.716</v>
      </c>
      <c r="J8066" s="29" t="n">
        <f aca="false">Sens!J8064-Sens!J8065</f>
        <v>12927.748</v>
      </c>
      <c r="K8066" s="29" t="n">
        <f aca="false">Sens!K8064-Sens!K8065</f>
        <v>13252.696</v>
      </c>
    </row>
    <row r="8067" customFormat="false" ht="17.15" hidden="false" customHeight="false" outlineLevel="0" collapsed="false">
      <c r="A8067" s="1" t="s">
        <v>805</v>
      </c>
      <c r="B8067" s="0" t="s">
        <v>392</v>
      </c>
      <c r="C8067" s="29" t="n">
        <f aca="false">Sens!C8066/ext_sh</f>
        <v>816.666666666667</v>
      </c>
      <c r="D8067" s="29" t="n">
        <f aca="false">Sens!D8066/ext_sh</f>
        <v>2050</v>
      </c>
      <c r="E8067" s="29" t="n">
        <f aca="false">Sens!E8066/ext_sh</f>
        <v>4500</v>
      </c>
      <c r="F8067" s="29" t="n">
        <f aca="false">Sens!F8066/ext_sh</f>
        <v>8368.66666666667</v>
      </c>
      <c r="G8067" s="29" t="n">
        <f aca="false">Sens!G8066/ext_sh</f>
        <v>12580.6666666667</v>
      </c>
      <c r="H8067" s="29" t="n">
        <f aca="false">Sens!H8066/ext_sh</f>
        <v>16792.6666666667</v>
      </c>
      <c r="I8067" s="29" t="n">
        <f aca="false">Sens!I8066/ext_sh</f>
        <v>19781.1933333333</v>
      </c>
      <c r="J8067" s="29" t="n">
        <f aca="false">Sens!J8066/ext_sh</f>
        <v>21546.2466666667</v>
      </c>
      <c r="K8067" s="29" t="n">
        <f aca="false">Sens!K8066/ext_sh</f>
        <v>22087.8266666667</v>
      </c>
      <c r="L8067" s="1" t="s">
        <v>806</v>
      </c>
    </row>
    <row r="8068" customFormat="false" ht="17.15" hidden="false" customHeight="false" outlineLevel="0" collapsed="false">
      <c r="A8068" s="1" t="s">
        <v>807</v>
      </c>
      <c r="B8068" s="0" t="s">
        <v>392</v>
      </c>
      <c r="C8068" s="29" t="n">
        <f aca="false">Sens!C8067-Sens!C8066</f>
        <v>326.666666666667</v>
      </c>
      <c r="D8068" s="29" t="n">
        <f aca="false">Sens!D8067-Sens!D8066</f>
        <v>820</v>
      </c>
      <c r="E8068" s="29" t="n">
        <f aca="false">Sens!E8067-Sens!E8066</f>
        <v>1800</v>
      </c>
      <c r="F8068" s="29" t="n">
        <f aca="false">Sens!F8067-Sens!F8066</f>
        <v>3347.46666666667</v>
      </c>
      <c r="G8068" s="29" t="n">
        <f aca="false">Sens!G8067-Sens!G8066</f>
        <v>5032.26666666667</v>
      </c>
      <c r="H8068" s="29" t="n">
        <f aca="false">Sens!H8067-Sens!H8066</f>
        <v>6717.06666666667</v>
      </c>
      <c r="I8068" s="29" t="n">
        <f aca="false">Sens!I8067-Sens!I8066</f>
        <v>7912.47733333333</v>
      </c>
      <c r="J8068" s="29" t="n">
        <f aca="false">Sens!J8067-Sens!J8066</f>
        <v>8618.49866666667</v>
      </c>
      <c r="K8068" s="29" t="n">
        <f aca="false">Sens!K8067-Sens!K8066</f>
        <v>8835.13066666667</v>
      </c>
    </row>
    <row r="8069" customFormat="false" ht="17.15" hidden="false" customHeight="false" outlineLevel="0" collapsed="false">
      <c r="A8069" s="1" t="s">
        <v>808</v>
      </c>
      <c r="B8069" s="0" t="s">
        <v>392</v>
      </c>
      <c r="C8069" s="29" t="n">
        <f aca="false">Sens!C8067</f>
        <v>816.666666666667</v>
      </c>
      <c r="D8069" s="29" t="n">
        <f aca="false">Sens!D8067-Sens!C8067</f>
        <v>1233.33333333333</v>
      </c>
      <c r="E8069" s="29" t="n">
        <f aca="false">Sens!E8067-Sens!D8067</f>
        <v>2450</v>
      </c>
      <c r="F8069" s="29" t="n">
        <f aca="false">Sens!F8067-Sens!E8067</f>
        <v>3868.66666666667</v>
      </c>
      <c r="G8069" s="29" t="n">
        <f aca="false">Sens!G8067-Sens!F8067</f>
        <v>4212</v>
      </c>
      <c r="H8069" s="29" t="n">
        <f aca="false">Sens!H8067-Sens!G8067</f>
        <v>4212</v>
      </c>
      <c r="I8069" s="29" t="n">
        <f aca="false">Sens!I8067-Sens!H8067</f>
        <v>2988.52666666667</v>
      </c>
      <c r="J8069" s="29" t="n">
        <f aca="false">Sens!J8067-Sens!I8067</f>
        <v>1765.05333333333</v>
      </c>
      <c r="K8069" s="29" t="n">
        <f aca="false">Sens!K8067-Sens!J8067</f>
        <v>541.580000000002</v>
      </c>
    </row>
    <row r="8070" customFormat="false" ht="17.15" hidden="false" customHeight="false" outlineLevel="0" collapsed="false">
      <c r="A8070" s="1" t="s">
        <v>809</v>
      </c>
      <c r="B8070" s="0" t="s">
        <v>392</v>
      </c>
      <c r="D8070" s="29" t="n">
        <f aca="false">Sens!D8064-Sens!C8064</f>
        <v>990</v>
      </c>
      <c r="E8070" s="29" t="n">
        <f aca="false">Sens!E8064-Sens!D8064</f>
        <v>1620</v>
      </c>
      <c r="F8070" s="29" t="n">
        <f aca="false">Sens!F8064-Sens!E8064</f>
        <v>2527.2</v>
      </c>
      <c r="G8070" s="29" t="n">
        <f aca="false">Sens!G8064-Sens!F8064</f>
        <v>2527.2</v>
      </c>
      <c r="H8070" s="29" t="n">
        <f aca="false">Sens!H8064-Sens!G8064</f>
        <v>2527.2</v>
      </c>
      <c r="I8070" s="29" t="n">
        <f aca="false">Sens!I8064-Sens!H8064</f>
        <v>1793.116</v>
      </c>
      <c r="J8070" s="29" t="n">
        <f aca="false">Sens!J8064-Sens!I8064</f>
        <v>1059.032</v>
      </c>
      <c r="K8070" s="29" t="n">
        <f aca="false">Sens!K8064-Sens!J8064</f>
        <v>324.948</v>
      </c>
    </row>
    <row r="8071" customFormat="false" ht="17.15" hidden="false" customHeight="false" outlineLevel="0" collapsed="false">
      <c r="A8071" s="1" t="s">
        <v>810</v>
      </c>
      <c r="B8071" s="0" t="s">
        <v>392</v>
      </c>
      <c r="F8071" s="29" t="n">
        <f aca="false">Sens!F8088*ext_sh</f>
        <v>0</v>
      </c>
      <c r="G8071" s="29" t="n">
        <f aca="false">Sens!G8088*ext_sh</f>
        <v>0</v>
      </c>
      <c r="H8071" s="29" t="n">
        <f aca="false">Sens!H8088*ext_sh</f>
        <v>0</v>
      </c>
      <c r="I8071" s="29" t="n">
        <f aca="false">Sens!I8088*ext_sh</f>
        <v>490</v>
      </c>
      <c r="J8071" s="29" t="n">
        <f aca="false">Sens!J8088*ext_sh</f>
        <v>740</v>
      </c>
      <c r="K8071" s="29" t="n">
        <f aca="false">Sens!K8088*ext_sh</f>
        <v>1470</v>
      </c>
      <c r="L8071" s="1" t="s">
        <v>811</v>
      </c>
    </row>
    <row r="8072" customFormat="false" ht="17.15" hidden="false" customHeight="false" outlineLevel="0" collapsed="false">
      <c r="A8072" s="1" t="s">
        <v>812</v>
      </c>
      <c r="B8072" s="0" t="s">
        <v>392</v>
      </c>
      <c r="C8072" s="29" t="n">
        <f aca="false">mix_h*Sens!C8064</f>
        <v>128</v>
      </c>
      <c r="D8072" s="29" t="n">
        <f aca="false">mix_h*Sens!D8064</f>
        <v>326</v>
      </c>
      <c r="E8072" s="29" t="n">
        <f aca="false">mix_h*Sens!E8064</f>
        <v>650</v>
      </c>
      <c r="F8072" s="29" t="n">
        <f aca="false">Sens!E8072-Sens!F8071*mix_h</f>
        <v>650</v>
      </c>
      <c r="G8072" s="29" t="n">
        <f aca="false">Sens!F8072-Sens!G8071*mix_h</f>
        <v>650</v>
      </c>
      <c r="H8072" s="29" t="n">
        <f aca="false">Sens!G8072-Sens!H8071*mix_h</f>
        <v>650</v>
      </c>
      <c r="I8072" s="29" t="n">
        <f aca="false">Sens!H8072-Sens!I8071*mix_h</f>
        <v>552</v>
      </c>
      <c r="J8072" s="29" t="n">
        <f aca="false">Sens!I8072-Sens!J8071*mix_h</f>
        <v>404</v>
      </c>
      <c r="K8072" s="29" t="n">
        <f aca="false">Sens!J8072-Sens!K8071*mix_h</f>
        <v>110</v>
      </c>
    </row>
    <row r="8073" customFormat="false" ht="17.15" hidden="false" customHeight="false" outlineLevel="0" collapsed="false">
      <c r="A8073" s="1" t="s">
        <v>813</v>
      </c>
      <c r="B8073" s="0" t="s">
        <v>392</v>
      </c>
      <c r="C8073" s="29" t="n">
        <f aca="false">mix_g2*Sens!C8064</f>
        <v>288</v>
      </c>
      <c r="D8073" s="29" t="n">
        <f aca="false">mix_g2*Sens!D8064</f>
        <v>733.5</v>
      </c>
      <c r="E8073" s="29" t="n">
        <f aca="false">mix_g2*Sens!E8064</f>
        <v>1462.5</v>
      </c>
      <c r="F8073" s="29" t="n">
        <f aca="false">Sens!E8073-Sens!F8071*mix_g2</f>
        <v>1462.5</v>
      </c>
      <c r="G8073" s="29" t="n">
        <f aca="false">Sens!F8073-Sens!G8071*mix_g2</f>
        <v>1462.5</v>
      </c>
      <c r="H8073" s="29" t="n">
        <f aca="false">Sens!G8073-Sens!H8071*mix_g2</f>
        <v>1462.5</v>
      </c>
      <c r="I8073" s="29" t="n">
        <f aca="false">Sens!H8073-Sens!I8071*mix_g2</f>
        <v>1242</v>
      </c>
      <c r="J8073" s="29" t="n">
        <f aca="false">Sens!I8073-Sens!J8071*mix_g2</f>
        <v>909</v>
      </c>
      <c r="K8073" s="29" t="n">
        <f aca="false">Sens!J8073-Sens!K8071*mix_g2</f>
        <v>247.5</v>
      </c>
    </row>
    <row r="8074" customFormat="false" ht="17.15" hidden="false" customHeight="false" outlineLevel="0" collapsed="false">
      <c r="A8074" s="1" t="s">
        <v>814</v>
      </c>
      <c r="B8074" s="0" t="s">
        <v>392</v>
      </c>
      <c r="C8074" s="29" t="n">
        <f aca="false">mix_g3*Sens!C8064</f>
        <v>224</v>
      </c>
      <c r="D8074" s="29" t="n">
        <f aca="false">mix_g3*Sens!D8064</f>
        <v>570.5</v>
      </c>
      <c r="E8074" s="29" t="n">
        <f aca="false">mix_g3*Sens!E8064</f>
        <v>1137.5</v>
      </c>
      <c r="F8074" s="29" t="n">
        <f aca="false">Sens!E8074+(Sens!F8070+Sens!F8071)*a_g3_27-Sens!F8071*mix_g3</f>
        <v>2906.54</v>
      </c>
      <c r="G8074" s="29" t="n">
        <f aca="false">Sens!F8074+(Sens!G8070+Sens!G8071)*a_g3_28-Sens!G8071*mix_g3</f>
        <v>3664.7</v>
      </c>
      <c r="H8074" s="29" t="n">
        <f aca="false">Sens!G8074+(Sens!H8070+Sens!H8071)*a_g3_29-Sens!H8071*mix_g3</f>
        <v>3917.42</v>
      </c>
      <c r="I8074" s="29" t="n">
        <f aca="false">Sens!H8074+(Sens!I8070+Sens!I8071)*a_g3_29-Sens!I8071*mix_g3</f>
        <v>3974.2316</v>
      </c>
      <c r="J8074" s="29" t="n">
        <f aca="false">Sens!I8074+(Sens!J8070+Sens!J8071)*a_g3_29-Sens!J8071*mix_g3</f>
        <v>3895.1348</v>
      </c>
      <c r="K8074" s="29" t="n">
        <f aca="false">Sens!J8074+(Sens!K8070+Sens!K8071)*a_g3_29-Sens!K8071*mix_g3</f>
        <v>3560.1296</v>
      </c>
    </row>
    <row r="8075" customFormat="false" ht="17.15" hidden="false" customHeight="false" outlineLevel="0" collapsed="false">
      <c r="A8075" s="1" t="s">
        <v>815</v>
      </c>
      <c r="B8075" s="0" t="s">
        <v>392</v>
      </c>
      <c r="C8075" s="29" t="n">
        <v>0</v>
      </c>
      <c r="D8075" s="29" t="n">
        <v>0</v>
      </c>
      <c r="E8075" s="29" t="n">
        <v>0</v>
      </c>
      <c r="F8075" s="29" t="n">
        <f aca="false">Sens!E8075+(Sens!F8070+Sens!F8071)*(1-a_g3_27)</f>
        <v>758.16</v>
      </c>
      <c r="G8075" s="29" t="n">
        <f aca="false">Sens!F8075+(Sens!G8070+Sens!G8071)*(1-a_g3_28)</f>
        <v>2527.2</v>
      </c>
      <c r="H8075" s="29" t="n">
        <f aca="false">Sens!G8075+(Sens!H8070+Sens!H8071)*(1-a_g3_29)</f>
        <v>4801.68</v>
      </c>
      <c r="I8075" s="29" t="n">
        <f aca="false">Sens!H8075+(Sens!I8070+Sens!I8071)*(1-a_g3_29)</f>
        <v>6856.4844</v>
      </c>
      <c r="J8075" s="29" t="n">
        <f aca="false">Sens!I8075+(Sens!J8070+Sens!J8071)*(1-a_g3_29)</f>
        <v>8475.6132</v>
      </c>
      <c r="K8075" s="29" t="n">
        <f aca="false">Sens!J8075+(Sens!K8070+Sens!K8071)*(1-a_g3_29)</f>
        <v>10091.0664</v>
      </c>
    </row>
    <row r="8076" customFormat="false" ht="17.15" hidden="false" customHeight="false" outlineLevel="0" collapsed="false">
      <c r="A8076" s="1" t="s">
        <v>816</v>
      </c>
      <c r="B8076" s="0" t="s">
        <v>339</v>
      </c>
      <c r="C8076" s="14" t="n">
        <f aca="false">(Sens!C8072*tk_hold_h100+Sens!C8073*tk_hold_gb200+Sens!C8074*tk_hold_gb300+Sens!C8075*tk_hold_vr200)/Sens!C8064</f>
        <v>9.7235358126469</v>
      </c>
      <c r="D8076" s="14" t="n">
        <f aca="false">(Sens!D8072*tk_hold_h100+Sens!D8073*tk_hold_gb200+Sens!D8074*tk_hold_gb300+Sens!D8075*tk_hold_vr200)/Sens!D8064</f>
        <v>9.7235358126469</v>
      </c>
      <c r="E8076" s="14" t="n">
        <f aca="false">(Sens!E8072*tk_hold_h100+Sens!E8073*tk_hold_gb200+Sens!E8074*tk_hold_gb300+Sens!E8075*tk_hold_vr200)/Sens!E8064</f>
        <v>9.7235358126469</v>
      </c>
      <c r="F8076" s="14" t="n">
        <f aca="false">(Sens!F8072*tk_hold_h100+Sens!F8073*tk_hold_gb200+Sens!F8074*tk_hold_gb300+Sens!F8075*tk_hold_vr200)/Sens!F8064</f>
        <v>10.4079573161931</v>
      </c>
      <c r="G8076" s="14" t="n">
        <f aca="false">(Sens!G8072*tk_hold_h100+Sens!G8073*tk_hold_gb200+Sens!G8074*tk_hold_gb300+Sens!G8075*tk_hold_vr200)/Sens!G8064</f>
        <v>10.8388131109316</v>
      </c>
      <c r="H8076" s="14" t="n">
        <f aca="false">(Sens!H8072*tk_hold_h100+Sens!H8073*tk_hold_gb200+Sens!H8074*tk_hold_gb300+Sens!H8075*tk_hold_vr200)/Sens!H8064</f>
        <v>11.1311018388216</v>
      </c>
      <c r="I8076" s="14" t="n">
        <f aca="false">(Sens!I8072*tk_hold_h100+Sens!I8073*tk_hold_gb200+Sens!I8074*tk_hold_gb300+Sens!I8075*tk_hold_vr200)/Sens!I8064</f>
        <v>11.3594282560989</v>
      </c>
      <c r="J8076" s="14" t="n">
        <f aca="false">(Sens!J8072*tk_hold_h100+Sens!J8073*tk_hold_gb200+Sens!J8074*tk_hold_gb300+Sens!J8075*tk_hold_vr200)/Sens!J8064</f>
        <v>11.5441508808221</v>
      </c>
      <c r="K8076" s="14" t="n">
        <f aca="false">(Sens!K8072*tk_hold_h100+Sens!K8073*tk_hold_gb200+Sens!K8074*tk_hold_gb300+Sens!K8075*tk_hold_vr200)/Sens!K8064</f>
        <v>11.8053375063575</v>
      </c>
    </row>
    <row r="8077" customFormat="false" ht="17.15" hidden="false" customHeight="false" outlineLevel="0" collapsed="false">
      <c r="A8077" s="0" t="s">
        <v>817</v>
      </c>
      <c r="B8077" s="0" t="s">
        <v>185</v>
      </c>
      <c r="C8077" s="14" t="n">
        <f aca="false">k_B</f>
        <v>1.17213932619116</v>
      </c>
      <c r="D8077" s="14" t="n">
        <f aca="false">k_B</f>
        <v>1.17213932619116</v>
      </c>
      <c r="E8077" s="14" t="n">
        <f aca="false">k_B</f>
        <v>1.17213932619116</v>
      </c>
      <c r="F8077" s="14" t="n">
        <f aca="false">(k_B+((ls_A*k_long+(1-ls_A)*k_spot)-k_B)*MIN(1,(Sens!F8062-base_fy)/k_ramp))</f>
        <v>1.25022828131298</v>
      </c>
      <c r="G8077" s="14" t="n">
        <f aca="false">(k_B+((ls_A*k_long+(1-ls_A)*k_spot)-k_B)*MIN(1,(Sens!G8062-base_fy)/k_ramp))</f>
        <v>1.3283172364348</v>
      </c>
      <c r="H8077" s="14" t="n">
        <f aca="false">(k_B+((ls_A*k_long+(1-ls_A)*k_spot)-k_B)*MIN(1,(Sens!H8062-base_fy)/k_ramp))</f>
        <v>1.40640619155662</v>
      </c>
      <c r="I8077" s="14" t="n">
        <f aca="false">(k_B+((ls_A*k_long+(1-ls_A)*k_spot)-k_B)*MIN(1,(Sens!I8062-base_fy)/k_ramp))</f>
        <v>1.40640619155662</v>
      </c>
      <c r="J8077" s="14" t="n">
        <f aca="false">(k_B+((ls_A*k_long+(1-ls_A)*k_spot)-k_B)*MIN(1,(Sens!J8062-base_fy)/k_ramp))</f>
        <v>1.40640619155662</v>
      </c>
      <c r="K8077" s="14" t="n">
        <f aca="false">(k_B+((ls_A*k_long+(1-ls_A)*k_spot)-k_B)*MIN(1,(Sens!K8062-base_fy)/k_ramp))</f>
        <v>1.40640619155662</v>
      </c>
      <c r="L8077" s="1" t="s">
        <v>818</v>
      </c>
    </row>
    <row r="8078" customFormat="false" ht="17.15" hidden="false" customHeight="false" outlineLevel="0" collapsed="false">
      <c r="A8078" s="1" t="s">
        <v>819</v>
      </c>
      <c r="B8078" s="0" t="s">
        <v>339</v>
      </c>
      <c r="C8078" s="14" t="n">
        <f aca="false">Sens!C8076*Sens!C8077*chip_f</f>
        <v>11.3973387156315</v>
      </c>
      <c r="D8078" s="14" t="n">
        <f aca="false">Sens!D8076*Sens!D8077*chip_f</f>
        <v>11.3973387156315</v>
      </c>
      <c r="E8078" s="14" t="n">
        <f aca="false">Sens!E8076*Sens!E8077*chip_f</f>
        <v>11.3973387156315</v>
      </c>
      <c r="F8078" s="14" t="n">
        <f aca="false">Sens!F8076*Sens!F8077*chip_f</f>
        <v>13.0123225874029</v>
      </c>
      <c r="G8078" s="14" t="n">
        <f aca="false">Sens!G8076*Sens!G8077*chip_f</f>
        <v>14.3973822777458</v>
      </c>
      <c r="H8078" s="14" t="n">
        <f aca="false">Sens!H8076*Sens!H8077*chip_f</f>
        <v>15.6548505449659</v>
      </c>
      <c r="I8078" s="14" t="n">
        <f aca="false">Sens!I8076*Sens!I8077*chip_f</f>
        <v>15.9759702319207</v>
      </c>
      <c r="J8078" s="14" t="n">
        <f aca="false">Sens!J8076*Sens!J8077*chip_f</f>
        <v>16.2357652750519</v>
      </c>
      <c r="K8078" s="14" t="n">
        <f aca="false">Sens!K8076*Sens!K8077*chip_f</f>
        <v>16.6030997623568</v>
      </c>
      <c r="L8078" s="1" t="s">
        <v>820</v>
      </c>
    </row>
    <row r="8079" customFormat="false" ht="17.15" hidden="false" customHeight="false" outlineLevel="0" collapsed="false">
      <c r="A8079" s="0" t="s">
        <v>821</v>
      </c>
      <c r="B8079" s="0" t="s">
        <v>98</v>
      </c>
      <c r="D8079" s="6" t="n">
        <f aca="false">(Sens!C8064+Sens!D8064)/2*Sens!D8078/1000</f>
        <v>12.9359794422418</v>
      </c>
      <c r="E8079" s="6" t="n">
        <f aca="false">(Sens!D8064+Sens!E8064)/2*Sens!E8078/1000</f>
        <v>27.8095064661409</v>
      </c>
      <c r="F8079" s="6" t="n">
        <f aca="false">(Sens!E8064+Sens!F8064)/2*Sens!F8078/1000</f>
        <v>58.7324192305018</v>
      </c>
      <c r="G8079" s="6" t="n">
        <f aca="false">(Sens!F8064+Sens!G8064)/2*Sens!G8078/1000</f>
        <v>101.369089141153</v>
      </c>
      <c r="H8079" s="6" t="n">
        <f aca="false">(Sens!G8064+Sens!H8064)/2*Sens!H8078/1000</f>
        <v>149.785610014234</v>
      </c>
      <c r="I8079" s="6" t="n">
        <f aca="false">(Sens!H8064+Sens!I8064)/2*Sens!I8078/1000</f>
        <v>187.368703083263</v>
      </c>
      <c r="J8079" s="6" t="n">
        <f aca="false">(Sens!I8064+Sens!J8064)/2*Sens!J8078/1000</f>
        <v>213.569023125577</v>
      </c>
      <c r="K8079" s="6" t="n">
        <f aca="false">(Sens!J8064+Sens!K8064)/2*Sens!K8078/1000</f>
        <v>229.890205197739</v>
      </c>
      <c r="L8079" s="11" t="s">
        <v>822</v>
      </c>
    </row>
    <row r="8080" customFormat="false" ht="17.15" hidden="false" customHeight="false" outlineLevel="0" collapsed="false">
      <c r="A8080" s="1" t="s">
        <v>823</v>
      </c>
      <c r="B8080" s="0" t="s">
        <v>339</v>
      </c>
      <c r="C8080" s="14" t="n">
        <f aca="false">(Sens!C8072*tk_opex_h100+Sens!C8073*tk_opex_gb200+Sens!C8074*tk_opex_gb300+Sens!C8075*tk_opex_vr200)/Sens!C8064</f>
        <v>1.88636041306092</v>
      </c>
      <c r="D8080" s="14" t="n">
        <f aca="false">(Sens!D8072*tk_opex_h100+Sens!D8073*tk_opex_gb200+Sens!D8074*tk_opex_gb300+Sens!D8075*tk_opex_vr200)/Sens!D8064</f>
        <v>1.88636041306092</v>
      </c>
      <c r="E8080" s="14" t="n">
        <f aca="false">(Sens!E8072*tk_opex_h100+Sens!E8073*tk_opex_gb200+Sens!E8074*tk_opex_gb300+Sens!E8075*tk_opex_vr200)/Sens!E8064</f>
        <v>1.88636041306092</v>
      </c>
      <c r="F8080" s="14" t="n">
        <f aca="false">(Sens!F8072*tk_opex_h100+Sens!F8073*tk_opex_gb200+Sens!F8074*tk_opex_gb300+Sens!F8075*tk_opex_vr200)/Sens!F8064</f>
        <v>1.9430236476499</v>
      </c>
      <c r="G8080" s="14" t="n">
        <f aca="false">(Sens!G8072*tk_opex_h100+Sens!G8073*tk_opex_gb200+Sens!G8074*tk_opex_gb300+Sens!G8075*tk_opex_vr200)/Sens!G8064</f>
        <v>1.9786941852423</v>
      </c>
      <c r="H8080" s="14" t="n">
        <f aca="false">(Sens!H8072*tk_opex_h100+Sens!H8073*tk_opex_gb200+Sens!H8074*tk_opex_gb300+Sens!H8075*tk_opex_vr200)/Sens!H8064</f>
        <v>2.00289275976156</v>
      </c>
      <c r="I8080" s="14" t="n">
        <f aca="false">(Sens!I8072*tk_opex_h100+Sens!I8073*tk_opex_gb200+Sens!I8074*tk_opex_gb300+Sens!I8075*tk_opex_vr200)/Sens!I8064</f>
        <v>2.02179589661219</v>
      </c>
      <c r="J8080" s="14" t="n">
        <f aca="false">(Sens!J8072*tk_opex_h100+Sens!J8073*tk_opex_gb200+Sens!J8074*tk_opex_gb300+Sens!J8075*tk_opex_vr200)/Sens!J8064</f>
        <v>2.03708907685909</v>
      </c>
      <c r="K8080" s="14" t="n">
        <f aca="false">(Sens!K8072*tk_opex_h100+Sens!K8073*tk_opex_gb200+Sens!K8074*tk_opex_gb300+Sens!K8075*tk_opex_vr200)/Sens!K8064</f>
        <v>2.05871270931005</v>
      </c>
    </row>
    <row r="8081" customFormat="false" ht="17.15" hidden="false" customHeight="false" outlineLevel="0" collapsed="false">
      <c r="A8081" s="0" t="s">
        <v>824</v>
      </c>
      <c r="B8081" s="0" t="s">
        <v>98</v>
      </c>
      <c r="D8081" s="6" t="n">
        <f aca="false">(Sens!C8067+Sens!D8067)/2*Sens!D8080/1000</f>
        <v>2.70378325872065</v>
      </c>
      <c r="E8081" s="6" t="n">
        <f aca="false">(Sens!D8067+Sens!E8067)/2*Sens!E8080/1000</f>
        <v>6.17783035277451</v>
      </c>
      <c r="F8081" s="6" t="n">
        <f aca="false">(Sens!E8067+Sens!F8067)/2*Sens!F8080/1000</f>
        <v>12.5020618235287</v>
      </c>
      <c r="G8081" s="6" t="n">
        <f aca="false">(Sens!F8067+Sens!G8067)/2*Sens!G8080/1000</f>
        <v>20.7261620256847</v>
      </c>
      <c r="H8081" s="6" t="n">
        <f aca="false">(Sens!G8067+Sens!H8067)/2*Sens!H8080/1000</f>
        <v>29.4158183316982</v>
      </c>
      <c r="I8081" s="6" t="n">
        <f aca="false">(Sens!H8067+Sens!I8067)/2*Sens!I8080/1000</f>
        <v>36.9724400356344</v>
      </c>
      <c r="J8081" s="6" t="n">
        <f aca="false">(Sens!I8067+Sens!J8067)/2*Sens!J8080/1000</f>
        <v>42.0938382992747</v>
      </c>
      <c r="K8081" s="6" t="n">
        <f aca="false">(Sens!J8067+Sens!K8067)/2*Sens!K8080/1000</f>
        <v>44.9150106651501</v>
      </c>
    </row>
    <row r="8082" customFormat="false" ht="17.15" hidden="false" customHeight="false" outlineLevel="0" collapsed="false">
      <c r="A8082" s="0" t="s">
        <v>825</v>
      </c>
      <c r="B8082" s="0" t="s">
        <v>98</v>
      </c>
      <c r="D8082" s="6" t="n">
        <f aca="false">(Sens!C8065+Sens!D8065)/2*rent_mw/1000</f>
        <v>2.44475</v>
      </c>
      <c r="E8082" s="6" t="n">
        <f aca="false">(Sens!D8065+Sens!E8065)/2*rent_mw/1000</f>
        <v>4.22275</v>
      </c>
      <c r="F8082" s="6" t="n">
        <f aca="false">(Sens!E8065+Sens!F8065)/2*rent_mw/1000</f>
        <v>5.80517</v>
      </c>
      <c r="G8082" s="6" t="n">
        <f aca="false">(Sens!F8065+Sens!G8065)/2*rent_mw/1000</f>
        <v>6.72084</v>
      </c>
      <c r="H8082" s="6" t="n">
        <f aca="false">(Sens!G8065+Sens!H8065)/2*rent_mw/1000</f>
        <v>6.72084</v>
      </c>
      <c r="I8082" s="6" t="n">
        <f aca="false">(Sens!H8065+Sens!I8065)/2*rent_mw/1000</f>
        <v>6.72084</v>
      </c>
      <c r="J8082" s="6" t="n">
        <f aca="false">(Sens!I8065+Sens!J8065)/2*rent_mw/1000</f>
        <v>6.72084</v>
      </c>
      <c r="K8082" s="6" t="n">
        <f aca="false">(Sens!J8065+Sens!K8065)/2*rent_mw/1000</f>
        <v>6.72084</v>
      </c>
    </row>
    <row r="8083" customFormat="false" ht="17.15" hidden="false" customHeight="false" outlineLevel="0" collapsed="false">
      <c r="A8083" s="0" t="s">
        <v>826</v>
      </c>
      <c r="B8083" s="0" t="s">
        <v>98</v>
      </c>
      <c r="D8083" s="6" t="n">
        <f aca="false">(Sens!C8067+Sens!D8067)/2*(1-self_build)*fac_rent/1000</f>
        <v>0.853242375631075</v>
      </c>
      <c r="E8083" s="6" t="n">
        <f aca="false">(Sens!D8067+Sens!E8067)/2*(1-self_build)*fac_rent/1000</f>
        <v>1.94955961408728</v>
      </c>
      <c r="F8083" s="6" t="n">
        <f aca="false">(Sens!E8067+Sens!F8067)/2*(1-self_build)*fac_rent/1000</f>
        <v>3.83026455274573</v>
      </c>
      <c r="G8083" s="6" t="n">
        <f aca="false">(Sens!F8067+Sens!G8067)/2*(1-self_build)*fac_rent/1000</f>
        <v>6.23541590972812</v>
      </c>
      <c r="H8083" s="6" t="n">
        <f aca="false">(Sens!G8067+Sens!H8067)/2*(1-self_build)*fac_rent/1000</f>
        <v>8.74275792332679</v>
      </c>
      <c r="I8083" s="6" t="n">
        <f aca="false">(Sens!H8067+Sens!I8067)/2*(1-self_build)*fac_rent/1000</f>
        <v>10.8859420438599</v>
      </c>
      <c r="J8083" s="6" t="n">
        <f aca="false">(Sens!I8067+Sens!J8067)/2*(1-self_build)*fac_rent/1000</f>
        <v>12.3008103782619</v>
      </c>
      <c r="K8083" s="6" t="n">
        <f aca="false">(Sens!J8067+Sens!K8067)/2*(1-self_build)*fac_rent/1000</f>
        <v>12.9873629265328</v>
      </c>
      <c r="L8083" s="11" t="s">
        <v>827</v>
      </c>
    </row>
    <row r="8084" customFormat="false" ht="17.15" hidden="false" customHeight="false" outlineLevel="0" collapsed="false">
      <c r="A8084" s="1" t="s">
        <v>828</v>
      </c>
      <c r="B8084" s="0" t="s">
        <v>129</v>
      </c>
      <c r="D8084" s="7" t="n">
        <f aca="false">(Sens!C8066+Sens!D8066)/(Sens!C8067+Sens!D8067)</f>
        <v>0.6</v>
      </c>
      <c r="E8084" s="7" t="n">
        <f aca="false">(Sens!D8066+Sens!E8066)/(Sens!D8067+Sens!E8067)</f>
        <v>0.6</v>
      </c>
      <c r="F8084" s="7" t="n">
        <f aca="false">(Sens!E8066+Sens!F8066)/(Sens!E8067+Sens!F8067)</f>
        <v>0.6</v>
      </c>
      <c r="G8084" s="7" t="n">
        <f aca="false">(Sens!F8066+Sens!G8066)/(Sens!F8067+Sens!G8067)</f>
        <v>0.6</v>
      </c>
      <c r="H8084" s="7" t="n">
        <f aca="false">(Sens!G8066+Sens!H8066)/(Sens!G8067+Sens!H8067)</f>
        <v>0.6</v>
      </c>
      <c r="I8084" s="7" t="n">
        <f aca="false">(Sens!H8066+Sens!I8066)/(Sens!H8067+Sens!I8067)</f>
        <v>0.6</v>
      </c>
      <c r="J8084" s="7" t="n">
        <f aca="false">(Sens!I8066+Sens!J8066)/(Sens!I8067+Sens!J8067)</f>
        <v>0.6</v>
      </c>
      <c r="K8084" s="7" t="n">
        <f aca="false">(Sens!J8066+Sens!K8066)/(Sens!J8067+Sens!K8067)</f>
        <v>0.6</v>
      </c>
    </row>
    <row r="8085" customFormat="false" ht="17.15" hidden="false" customHeight="false" outlineLevel="0" collapsed="false">
      <c r="A8085" s="0" t="s">
        <v>829</v>
      </c>
      <c r="B8085" s="0" t="s">
        <v>98</v>
      </c>
      <c r="D8085" s="6" t="n">
        <f aca="false">Sens!D8079-Sens!D8084*(Sens!D8081+Sens!D8083)-Sens!D8082</f>
        <v>8.35701406163072</v>
      </c>
      <c r="E8085" s="6" t="n">
        <f aca="false">Sens!E8079-Sens!E8084*(Sens!E8081+Sens!E8083)-Sens!E8082</f>
        <v>18.7103224860238</v>
      </c>
      <c r="F8085" s="6" t="n">
        <f aca="false">Sens!F8079-Sens!F8084*(Sens!F8081+Sens!F8083)-Sens!F8082</f>
        <v>43.1278534047371</v>
      </c>
      <c r="G8085" s="6" t="n">
        <f aca="false">Sens!G8079-Sens!G8084*(Sens!G8081+Sens!G8083)-Sens!G8082</f>
        <v>78.4713023799053</v>
      </c>
      <c r="H8085" s="6" t="n">
        <f aca="false">Sens!H8079-Sens!H8084*(Sens!H8081+Sens!H8083)-Sens!H8082</f>
        <v>120.169624261219</v>
      </c>
      <c r="I8085" s="6" t="n">
        <f aca="false">Sens!I8079-Sens!I8084*(Sens!I8081+Sens!I8083)-Sens!I8082</f>
        <v>151.932833835566</v>
      </c>
      <c r="J8085" s="6" t="n">
        <f aca="false">Sens!J8079-Sens!J8084*(Sens!J8081+Sens!J8083)-Sens!J8082</f>
        <v>174.211393919055</v>
      </c>
      <c r="K8085" s="6" t="n">
        <f aca="false">Sens!K8079-Sens!K8084*(Sens!K8081+Sens!K8083)-Sens!K8082</f>
        <v>188.427941042729</v>
      </c>
    </row>
    <row r="8086" customFormat="false" ht="17.15" hidden="false" customHeight="false" outlineLevel="0" collapsed="false">
      <c r="A8086" s="1" t="s">
        <v>830</v>
      </c>
      <c r="B8086" s="0" t="s">
        <v>98</v>
      </c>
      <c r="D8086" s="6" t="n">
        <f aca="false">(1-Sens!D8084)*(Sens!D8081+Sens!D8083)</f>
        <v>1.42281025374069</v>
      </c>
      <c r="E8086" s="6" t="n">
        <f aca="false">(1-Sens!E8084)*(Sens!E8081+Sens!E8083)</f>
        <v>3.25095598674472</v>
      </c>
      <c r="F8086" s="6" t="n">
        <f aca="false">(1-Sens!F8084)*(Sens!F8081+Sens!F8083)</f>
        <v>6.53293055050977</v>
      </c>
      <c r="G8086" s="6" t="n">
        <f aca="false">(1-Sens!G8084)*(Sens!G8081+Sens!G8083)</f>
        <v>10.7846311741651</v>
      </c>
      <c r="H8086" s="6" t="n">
        <f aca="false">(1-Sens!H8084)*(Sens!H8081+Sens!H8083)</f>
        <v>15.26343050201</v>
      </c>
      <c r="I8086" s="6" t="n">
        <f aca="false">(1-Sens!I8084)*(Sens!I8081+Sens!I8083)</f>
        <v>19.1433528317977</v>
      </c>
      <c r="J8086" s="6" t="n">
        <f aca="false">(1-Sens!J8084)*(Sens!J8081+Sens!J8083)</f>
        <v>21.7578594710146</v>
      </c>
      <c r="K8086" s="6" t="n">
        <f aca="false">(1-Sens!K8084)*(Sens!K8081+Sens!K8083)</f>
        <v>23.1609494366731</v>
      </c>
    </row>
    <row r="8087" customFormat="false" ht="17.15" hidden="false" customHeight="false" outlineLevel="0" collapsed="false">
      <c r="A8087" s="1" t="s">
        <v>831</v>
      </c>
      <c r="B8087" s="0" t="s">
        <v>350</v>
      </c>
      <c r="C8087" s="8" t="n">
        <f aca="false">cxit_open</f>
        <v>27.5918995</v>
      </c>
      <c r="D8087" s="8" t="n">
        <f aca="false">cxit_open</f>
        <v>27.5918995</v>
      </c>
      <c r="E8087" s="8" t="n">
        <f aca="false">cxit_open</f>
        <v>27.5918995</v>
      </c>
      <c r="F8087" s="8" t="n">
        <f aca="false">(a_g3_27*tk_cxit_gb300+(1-a_g3_27)*tk_cxit_vr200)</f>
        <v>33.8419624</v>
      </c>
      <c r="G8087" s="8" t="n">
        <f aca="false">(a_g3_28*tk_cxit_gb300+(1-a_g3_28)*tk_cxit_vr200)</f>
        <v>35.9816136</v>
      </c>
      <c r="H8087" s="8" t="n">
        <f aca="false">(a_g3_29*tk_cxit_gb300+(1-a_g3_29)*tk_cxit_vr200)</f>
        <v>37.0514392</v>
      </c>
      <c r="I8087" s="8" t="n">
        <f aca="false">(a_g3_29*tk_cxit_gb300+(1-a_g3_29)*tk_cxit_vr200)</f>
        <v>37.0514392</v>
      </c>
      <c r="J8087" s="8" t="n">
        <f aca="false">(a_g3_29*tk_cxit_gb300+(1-a_g3_29)*tk_cxit_vr200)</f>
        <v>37.0514392</v>
      </c>
      <c r="K8087" s="8" t="n">
        <f aca="false">(a_g3_29*tk_cxit_gb300+(1-a_g3_29)*tk_cxit_vr200)</f>
        <v>37.0514392</v>
      </c>
      <c r="L8087" s="11" t="s">
        <v>832</v>
      </c>
    </row>
    <row r="8088" customFormat="false" ht="17.15" hidden="false" customHeight="false" outlineLevel="0" collapsed="false">
      <c r="A8088" s="0" t="s">
        <v>833</v>
      </c>
      <c r="B8088" s="0" t="s">
        <v>392</v>
      </c>
      <c r="F8088" s="29" t="n">
        <f aca="false">Sens!C8069*IF(Sens!F8062-Sens!C8062=life_it,1,0)+Sens!D8069*IF(Sens!F8062-Sens!D8062=life_it,1,0)+Sens!E8069*IF(Sens!F8062-Sens!E8062=life_it,1,0)</f>
        <v>0</v>
      </c>
      <c r="G8088" s="29" t="n">
        <f aca="false">Sens!C8069*IF(Sens!G8062-Sens!C8062=life_it,1,0)+Sens!D8069*IF(Sens!G8062-Sens!D8062=life_it,1,0)+Sens!E8069*IF(Sens!G8062-Sens!E8062=life_it,1,0)+Sens!F8069*IF(Sens!G8062-Sens!F8062=life_it,1,0)</f>
        <v>0</v>
      </c>
      <c r="H8088" s="29" t="n">
        <f aca="false">Sens!C8069*IF(Sens!H8062-Sens!C8062=life_it,1,0)+Sens!D8069*IF(Sens!H8062-Sens!D8062=life_it,1,0)+Sens!E8069*IF(Sens!H8062-Sens!E8062=life_it,1,0)+Sens!F8069*IF(Sens!H8062-Sens!F8062=life_it,1,0)+Sens!G8069*IF(Sens!H8062-Sens!G8062=life_it,1,0)</f>
        <v>0</v>
      </c>
      <c r="I8088" s="29" t="n">
        <f aca="false">Sens!C8069*IF(Sens!I8062-Sens!C8062=life_it,1,0)+Sens!D8069*IF(Sens!I8062-Sens!D8062=life_it,1,0)+Sens!E8069*IF(Sens!I8062-Sens!E8062=life_it,1,0)+Sens!F8069*IF(Sens!I8062-Sens!F8062=life_it,1,0)+Sens!G8069*IF(Sens!I8062-Sens!G8062=life_it,1,0)+Sens!H8069*IF(Sens!I8062-Sens!H8062=life_it,1,0)</f>
        <v>816.666666666667</v>
      </c>
      <c r="J8088" s="29" t="n">
        <f aca="false">Sens!C8069*IF(Sens!J8062-Sens!C8062=life_it,1,0)+Sens!D8069*IF(Sens!J8062-Sens!D8062=life_it,1,0)+Sens!E8069*IF(Sens!J8062-Sens!E8062=life_it,1,0)+Sens!F8069*IF(Sens!J8062-Sens!F8062=life_it,1,0)+Sens!G8069*IF(Sens!J8062-Sens!G8062=life_it,1,0)+Sens!H8069*IF(Sens!J8062-Sens!H8062=life_it,1,0)+Sens!I8069*IF(Sens!J8062-Sens!I8062=life_it,1,0)</f>
        <v>1233.33333333333</v>
      </c>
      <c r="K8088" s="29" t="n">
        <f aca="false">Sens!C8069*IF(Sens!K8062-Sens!C8062=life_it,1,0)+Sens!D8069*IF(Sens!K8062-Sens!D8062=life_it,1,0)+Sens!E8069*IF(Sens!K8062-Sens!E8062=life_it,1,0)+Sens!F8069*IF(Sens!K8062-Sens!F8062=life_it,1,0)+Sens!G8069*IF(Sens!K8062-Sens!G8062=life_it,1,0)+Sens!H8069*IF(Sens!K8062-Sens!H8062=life_it,1,0)+Sens!I8069*IF(Sens!K8062-Sens!I8062=life_it,1,0)+Sens!J8069*IF(Sens!K8062-Sens!J8062=life_it,1,0)</f>
        <v>2450</v>
      </c>
      <c r="L8088" s="1" t="s">
        <v>834</v>
      </c>
    </row>
    <row r="8089" customFormat="false" ht="17.15" hidden="false" customHeight="false" outlineLevel="0" collapsed="false">
      <c r="A8089" s="0" t="s">
        <v>835</v>
      </c>
      <c r="B8089" s="0" t="s">
        <v>98</v>
      </c>
      <c r="C8089" s="6" t="n">
        <f aca="false">Sens!C8069*Sens!C8087/1000</f>
        <v>22.5333845916667</v>
      </c>
      <c r="D8089" s="6" t="n">
        <f aca="false">Sens!D8069*Sens!D8087/1000</f>
        <v>34.0300093833333</v>
      </c>
      <c r="E8089" s="6" t="n">
        <f aca="false">Sens!E8069*Sens!E8087/1000</f>
        <v>67.600153775</v>
      </c>
      <c r="F8089" s="6" t="n">
        <f aca="false">(Sens!F8069+Sens!F8088)*Sens!F8087/1000</f>
        <v>130.923271871467</v>
      </c>
      <c r="G8089" s="6" t="n">
        <f aca="false">(Sens!G8069+Sens!G8088)*Sens!G8087/1000</f>
        <v>151.5545564832</v>
      </c>
      <c r="H8089" s="6" t="n">
        <f aca="false">(Sens!H8069+Sens!H8088)*Sens!H8087/1000</f>
        <v>156.0606619104</v>
      </c>
      <c r="I8089" s="6" t="n">
        <f aca="false">(Sens!I8069+Sens!I8088)*Sens!I8087/1000</f>
        <v>140.987889434245</v>
      </c>
      <c r="J8089" s="6" t="n">
        <f aca="false">(Sens!J8069+Sens!J8088)*Sens!J8087/1000</f>
        <v>111.094541278091</v>
      </c>
      <c r="K8089" s="6" t="n">
        <f aca="false">(Sens!K8069+Sens!K8088)*Sens!K8087/1000</f>
        <v>110.842344481936</v>
      </c>
    </row>
    <row r="8090" customFormat="false" ht="17.15" hidden="false" customHeight="false" outlineLevel="0" collapsed="false">
      <c r="A8090" s="0" t="s">
        <v>836</v>
      </c>
      <c r="B8090" s="0" t="s">
        <v>98</v>
      </c>
      <c r="C8090" s="6" t="n">
        <f aca="false">Sens!C8069*self_build*tk_cxfac/1000</f>
        <v>6.2083</v>
      </c>
      <c r="D8090" s="6" t="n">
        <f aca="false">Sens!D8069*self_build*tk_cxfac/1000</f>
        <v>9.3758</v>
      </c>
      <c r="E8090" s="6" t="n">
        <f aca="false">Sens!E8069*self_build*tk_cxfac/1000</f>
        <v>18.6249</v>
      </c>
      <c r="F8090" s="6" t="n">
        <f aca="false">Sens!F8069*self_build*tk_cxfac/1000</f>
        <v>29.409604</v>
      </c>
      <c r="G8090" s="6" t="n">
        <f aca="false">Sens!G8069*self_build*tk_cxfac/1000</f>
        <v>32.019624</v>
      </c>
      <c r="H8090" s="6" t="n">
        <f aca="false">Sens!H8069*self_build*tk_cxfac/1000</f>
        <v>32.019624</v>
      </c>
      <c r="I8090" s="6" t="n">
        <f aca="false">Sens!I8069*self_build*tk_cxfac/1000</f>
        <v>22.71877972</v>
      </c>
      <c r="J8090" s="6" t="n">
        <f aca="false">Sens!J8069*self_build*tk_cxfac/1000</f>
        <v>13.41793544</v>
      </c>
      <c r="K8090" s="6" t="n">
        <f aca="false">Sens!K8069*self_build*tk_cxfac/1000</f>
        <v>4.11709116000001</v>
      </c>
    </row>
    <row r="8091" customFormat="false" ht="17.15" hidden="false" customHeight="false" outlineLevel="0" collapsed="false">
      <c r="A8091" s="0" t="s">
        <v>837</v>
      </c>
      <c r="B8091" s="0" t="s">
        <v>98</v>
      </c>
      <c r="F8091" s="6" t="n">
        <f aca="false">MAX(0,capex_floor27-Sens!F8089-Sens!F8090-Sens!F8184)</f>
        <v>8.0389389075924</v>
      </c>
      <c r="L8091" s="1" t="s">
        <v>838</v>
      </c>
    </row>
    <row r="8092" customFormat="false" ht="17.15" hidden="false" customHeight="false" outlineLevel="0" collapsed="false">
      <c r="A8092" s="0" t="s">
        <v>839</v>
      </c>
      <c r="B8092" s="0" t="s">
        <v>98</v>
      </c>
      <c r="C8092" s="6" t="n">
        <f aca="false">Sens!C8089</f>
        <v>22.5333845916667</v>
      </c>
      <c r="D8092" s="6" t="n">
        <f aca="false">Sens!D8089</f>
        <v>34.0300093833333</v>
      </c>
      <c r="E8092" s="6" t="n">
        <f aca="false">Sens!E8089</f>
        <v>67.600153775</v>
      </c>
      <c r="F8092" s="6" t="n">
        <f aca="false">Sens!F8089+Sens!F8091</f>
        <v>138.962210779059</v>
      </c>
      <c r="G8092" s="6" t="n">
        <f aca="false">Sens!G8089</f>
        <v>151.5545564832</v>
      </c>
      <c r="H8092" s="6" t="n">
        <f aca="false">Sens!H8089</f>
        <v>156.0606619104</v>
      </c>
      <c r="I8092" s="6" t="n">
        <f aca="false">Sens!I8089</f>
        <v>140.987889434245</v>
      </c>
      <c r="J8092" s="6" t="n">
        <f aca="false">Sens!J8089</f>
        <v>111.094541278091</v>
      </c>
      <c r="K8092" s="6" t="n">
        <f aca="false">Sens!K8089</f>
        <v>110.842344481936</v>
      </c>
    </row>
    <row r="8093" customFormat="false" ht="17.15" hidden="false" customHeight="false" outlineLevel="0" collapsed="false">
      <c r="A8093" s="0" t="s">
        <v>840</v>
      </c>
      <c r="B8093" s="0" t="s">
        <v>98</v>
      </c>
      <c r="C8093" s="6" t="n">
        <f aca="false">Sens!C8092+Sens!C8090</f>
        <v>28.7416845916667</v>
      </c>
      <c r="D8093" s="6" t="n">
        <f aca="false">Sens!D8092+Sens!D8090</f>
        <v>43.4058093833333</v>
      </c>
      <c r="E8093" s="6" t="n">
        <f aca="false">Sens!E8092+Sens!E8090</f>
        <v>86.225053775</v>
      </c>
      <c r="F8093" s="6" t="n">
        <f aca="false">Sens!F8092+Sens!F8090</f>
        <v>168.371814779059</v>
      </c>
      <c r="G8093" s="6" t="n">
        <f aca="false">Sens!G8092+Sens!G8090</f>
        <v>183.5741804832</v>
      </c>
      <c r="H8093" s="6" t="n">
        <f aca="false">Sens!H8092+Sens!H8090</f>
        <v>188.0802859104</v>
      </c>
      <c r="I8093" s="6" t="n">
        <f aca="false">Sens!I8092+Sens!I8090</f>
        <v>163.706669154245</v>
      </c>
      <c r="J8093" s="6" t="n">
        <f aca="false">Sens!J8092+Sens!J8090</f>
        <v>124.51247671809</v>
      </c>
      <c r="K8093" s="6" t="n">
        <f aca="false">Sens!K8092+Sens!K8090</f>
        <v>114.959435641936</v>
      </c>
      <c r="L8093" s="11" t="s">
        <v>841</v>
      </c>
    </row>
    <row r="8094" customFormat="false" ht="17.15" hidden="false" customHeight="false" outlineLevel="0" collapsed="false">
      <c r="A8094" s="0" t="s">
        <v>842</v>
      </c>
      <c r="B8094" s="0" t="s">
        <v>98</v>
      </c>
      <c r="E8094" s="6" t="n">
        <f aca="false">(Sens!C8092*IF(2&lt;life_it,1,IF(2=life_it,0.5,0))+Sens!D8092*IF(1&lt;life_it,1,IF(1=life_it,0.5,0))+Sens!E8092*0.5)/life_it</f>
        <v>15.0605784770833</v>
      </c>
      <c r="F8094" s="6" t="n">
        <f aca="false">(Sens!C8092*IF(3&lt;life_it,1,IF(3=life_it,0.5,0))+Sens!D8092*IF(2&lt;life_it,1,IF(2=life_it,0.5,0))+Sens!E8092*IF(1&lt;life_it,1,IF(1=life_it,0.5,0))+Sens!F8092*0.5)/life_it</f>
        <v>32.2741088565883</v>
      </c>
      <c r="G8094" s="6" t="n">
        <f aca="false">(Sens!C8092*IF(4&lt;life_it,1,IF(4=life_it,0.5,0))+Sens!D8092*IF(3&lt;life_it,1,IF(3=life_it,0.5,0))+Sens!E8092*IF(2&lt;life_it,1,IF(2=life_it,0.5,0))+Sens!F8092*IF(1&lt;life_it,1,IF(1=life_it,0.5,0))+Sens!G8092*0.5)/life_it</f>
        <v>56.4838394617765</v>
      </c>
      <c r="H8094" s="6" t="n">
        <f aca="false">(Sens!C8092*IF(5&lt;life_it,1,IF(5=life_it,0.5,0))+Sens!D8092*IF(4&lt;life_it,1,IF(4=life_it,0.5,0))+Sens!E8092*IF(3&lt;life_it,1,IF(3=life_it,0.5,0))+Sens!F8092*IF(2&lt;life_it,1,IF(2=life_it,0.5,0))+Sens!G8092*IF(1&lt;life_it,1,IF(1=life_it,0.5,0))+Sens!H8092*0.5)/life_it</f>
        <v>82.1184409945765</v>
      </c>
      <c r="I8094" s="6" t="n">
        <f aca="false">(Sens!C8092*IF(6&lt;life_it,1,IF(6=life_it,0.5,0))+Sens!D8092*IF(5&lt;life_it,1,IF(5=life_it,0.5,0))+Sens!E8092*IF(4&lt;life_it,1,IF(4=life_it,0.5,0))+Sens!F8092*IF(3&lt;life_it,1,IF(3=life_it,0.5,0))+Sens!G8092*IF(2&lt;life_it,1,IF(2=life_it,0.5,0))+Sens!H8092*IF(1&lt;life_it,1,IF(1=life_it,0.5,0))+Sens!I8092*0.5)/life_it</f>
        <v>104.994704890658</v>
      </c>
      <c r="J8094" s="6" t="n">
        <f aca="false">(Sens!C8092*IF(7&lt;life_it,1,IF(7=life_it,0.5,0))+Sens!D8092*IF(6&lt;life_it,1,IF(6=life_it,0.5,0))+Sens!E8092*IF(5&lt;life_it,1,IF(5=life_it,0.5,0))+Sens!F8092*IF(4&lt;life_it,1,IF(4=life_it,0.5,0))+Sens!G8092*IF(3&lt;life_it,1,IF(3=life_it,0.5,0))+Sens!H8092*IF(2&lt;life_it,1,IF(2=life_it,0.5,0))+Sens!I8092*IF(1&lt;life_it,1,IF(1=life_it,0.5,0))+Sens!J8092*0.5)/life_it</f>
        <v>121.287957952103</v>
      </c>
      <c r="K8094" s="6" t="n">
        <f aca="false">(Sens!C8092*IF(8&lt;life_it,1,IF(8=life_it,0.5,0))+Sens!D8092*IF(7&lt;life_it,1,IF(7=life_it,0.5,0))+Sens!E8092*IF(6&lt;life_it,1,IF(6=life_it,0.5,0))+Sens!F8092*IF(5&lt;life_it,1,IF(5=life_it,0.5,0))+Sens!G8092*IF(4&lt;life_it,1,IF(4=life_it,0.5,0))+Sens!H8092*IF(3&lt;life_it,1,IF(3=life_it,0.5,0))+Sens!I8092*IF(2&lt;life_it,1,IF(2=life_it,0.5,0))+Sens!J8092*IF(1&lt;life_it,1,IF(1=life_it,0.5,0))+Sens!K8092*0.5)/life_it</f>
        <v>131.313518168911</v>
      </c>
    </row>
    <row r="8095" customFormat="false" ht="17.15" hidden="false" customHeight="false" outlineLevel="0" collapsed="false">
      <c r="A8095" s="0" t="s">
        <v>843</v>
      </c>
      <c r="B8095" s="0" t="s">
        <v>98</v>
      </c>
      <c r="E8095" s="6" t="n">
        <f aca="false">(Sens!C8090*IF(2&lt;life_fac,1,IF(2=life_fac,0.5,0))+Sens!D8090*IF(1&lt;life_fac,1,IF(1=life_fac,0.5,0))+Sens!E8090*0.5)/life_fac</f>
        <v>1.2448275</v>
      </c>
      <c r="F8095" s="6" t="n">
        <f aca="false">(Sens!C8090*IF(3&lt;life_fac,1,IF(3=life_fac,0.5,0))+Sens!D8090*IF(2&lt;life_fac,1,IF(2=life_fac,0.5,0))+Sens!E8090*IF(1&lt;life_fac,1,IF(1=life_fac,0.5,0))+Sens!F8090*0.5)/life_fac</f>
        <v>2.4456901</v>
      </c>
      <c r="G8095" s="6" t="n">
        <f aca="false">(Sens!C8090*IF(4&lt;life_fac,1,IF(4=life_fac,0.5,0))+Sens!D8090*IF(3&lt;life_fac,1,IF(3=life_fac,0.5,0))+Sens!E8090*IF(2&lt;life_fac,1,IF(2=life_fac,0.5,0))+Sens!F8090*IF(1&lt;life_fac,1,IF(1=life_fac,0.5,0))+Sens!G8090*0.5)/life_fac</f>
        <v>3.9814208</v>
      </c>
      <c r="H8095" s="6" t="n">
        <f aca="false">(Sens!C8090*IF(5&lt;life_fac,1,IF(5=life_fac,0.5,0))+Sens!D8090*IF(4&lt;life_fac,1,IF(4=life_fac,0.5,0))+Sens!E8090*IF(3&lt;life_fac,1,IF(3=life_fac,0.5,0))+Sens!F8090*IF(2&lt;life_fac,1,IF(2=life_fac,0.5,0))+Sens!G8090*IF(1&lt;life_fac,1,IF(1=life_fac,0.5,0))+Sens!H8090*0.5)/life_fac</f>
        <v>5.582402</v>
      </c>
      <c r="I8095" s="6" t="n">
        <f aca="false">(Sens!C8090*IF(6&lt;life_fac,1,IF(6=life_fac,0.5,0))+Sens!D8090*IF(5&lt;life_fac,1,IF(5=life_fac,0.5,0))+Sens!E8090*IF(4&lt;life_fac,1,IF(4=life_fac,0.5,0))+Sens!F8090*IF(3&lt;life_fac,1,IF(3=life_fac,0.5,0))+Sens!G8090*IF(2&lt;life_fac,1,IF(2=life_fac,0.5,0))+Sens!H8090*IF(1&lt;life_fac,1,IF(1=life_fac,0.5,0))+Sens!I8090*0.5)/life_fac</f>
        <v>6.950862093</v>
      </c>
      <c r="J8095" s="6" t="n">
        <f aca="false">(Sens!C8090*IF(7&lt;life_fac,1,IF(7=life_fac,0.5,0))+Sens!D8090*IF(6&lt;life_fac,1,IF(6=life_fac,0.5,0))+Sens!E8090*IF(5&lt;life_fac,1,IF(5=life_fac,0.5,0))+Sens!F8090*IF(4&lt;life_fac,1,IF(4=life_fac,0.5,0))+Sens!G8090*IF(3&lt;life_fac,1,IF(3=life_fac,0.5,0))+Sens!H8090*IF(2&lt;life_fac,1,IF(2=life_fac,0.5,0))+Sens!I8090*IF(1&lt;life_fac,1,IF(1=life_fac,0.5,0))+Sens!J8090*0.5)/life_fac</f>
        <v>7.854279972</v>
      </c>
      <c r="K8095" s="6" t="n">
        <f aca="false">(Sens!C8090*IF(8&lt;life_fac,1,IF(8=life_fac,0.5,0))+Sens!D8090*IF(7&lt;life_fac,1,IF(7=life_fac,0.5,0))+Sens!E8090*IF(6&lt;life_fac,1,IF(6=life_fac,0.5,0))+Sens!F8090*IF(5&lt;life_fac,1,IF(5=life_fac,0.5,0))+Sens!G8090*IF(4&lt;life_fac,1,IF(4=life_fac,0.5,0))+Sens!H8090*IF(3&lt;life_fac,1,IF(3=life_fac,0.5,0))+Sens!I8090*IF(2&lt;life_fac,1,IF(2=life_fac,0.5,0))+Sens!J8090*IF(1&lt;life_fac,1,IF(1=life_fac,0.5,0))+Sens!K8090*0.5)/life_fac</f>
        <v>8.292655637</v>
      </c>
    </row>
    <row r="8096" customFormat="false" ht="17.15" hidden="false" customHeight="false" outlineLevel="0" collapsed="false">
      <c r="A8096" s="0" t="s">
        <v>844</v>
      </c>
      <c r="B8096" s="0" t="s">
        <v>98</v>
      </c>
      <c r="E8096" s="6" t="n">
        <f aca="false">Sens!E8094+Sens!E8095</f>
        <v>16.3054059770833</v>
      </c>
      <c r="F8096" s="6" t="n">
        <f aca="false">Sens!F8094+Sens!F8095</f>
        <v>34.7197989565883</v>
      </c>
      <c r="G8096" s="6" t="n">
        <f aca="false">Sens!G8094+Sens!G8095</f>
        <v>60.4652602617765</v>
      </c>
      <c r="H8096" s="6" t="n">
        <f aca="false">Sens!H8094+Sens!H8095</f>
        <v>87.7008429945765</v>
      </c>
      <c r="I8096" s="6" t="n">
        <f aca="false">Sens!I8094+Sens!I8095</f>
        <v>111.945566983658</v>
      </c>
      <c r="J8096" s="6" t="n">
        <f aca="false">Sens!J8094+Sens!J8095</f>
        <v>129.142237924103</v>
      </c>
      <c r="K8096" s="6" t="n">
        <f aca="false">Sens!K8094+Sens!K8095</f>
        <v>139.606173805911</v>
      </c>
    </row>
    <row r="8097" customFormat="false" ht="17.15" hidden="false" customHeight="false" outlineLevel="0" collapsed="false">
      <c r="A8097" s="0" t="s">
        <v>845</v>
      </c>
      <c r="B8097" s="0" t="s">
        <v>98</v>
      </c>
      <c r="E8097" s="6" t="n">
        <f aca="false">Sens!E8085-Sens!E8084*Sens!E8096</f>
        <v>8.92707889977379</v>
      </c>
      <c r="F8097" s="6" t="n">
        <f aca="false">Sens!F8085-Sens!F8084*Sens!F8096</f>
        <v>22.2959740307842</v>
      </c>
      <c r="G8097" s="6" t="n">
        <f aca="false">Sens!G8085-Sens!G8084*Sens!G8096</f>
        <v>42.1921462228394</v>
      </c>
      <c r="H8097" s="6" t="n">
        <f aca="false">Sens!H8085-Sens!H8084*Sens!H8096</f>
        <v>67.549118464473</v>
      </c>
      <c r="I8097" s="6" t="n">
        <f aca="false">Sens!I8085-Sens!I8084*Sens!I8096</f>
        <v>84.7654936453711</v>
      </c>
      <c r="J8097" s="6" t="n">
        <f aca="false">Sens!J8085-Sens!J8084*Sens!J8096</f>
        <v>96.7260511645933</v>
      </c>
      <c r="K8097" s="6" t="n">
        <f aca="false">Sens!K8085-Sens!K8084*Sens!K8096</f>
        <v>104.664236759183</v>
      </c>
    </row>
    <row r="8098" customFormat="false" ht="17.15" hidden="false" customHeight="false" outlineLevel="0" collapsed="false">
      <c r="A8098" s="3" t="s">
        <v>1445</v>
      </c>
    </row>
    <row r="8099" customFormat="false" ht="15" hidden="false" customHeight="false" outlineLevel="0" collapsed="false">
      <c r="A8099" s="4" t="s">
        <v>43</v>
      </c>
      <c r="B8099" s="4" t="s">
        <v>65</v>
      </c>
      <c r="C8099" s="20" t="s">
        <v>788</v>
      </c>
      <c r="D8099" s="20" t="s">
        <v>789</v>
      </c>
      <c r="E8099" s="20" t="s">
        <v>790</v>
      </c>
      <c r="F8099" s="20" t="s">
        <v>791</v>
      </c>
      <c r="G8099" s="20" t="s">
        <v>792</v>
      </c>
      <c r="H8099" s="20" t="s">
        <v>793</v>
      </c>
      <c r="I8099" s="20" t="s">
        <v>794</v>
      </c>
      <c r="J8099" s="20" t="s">
        <v>795</v>
      </c>
      <c r="K8099" s="20" t="s">
        <v>796</v>
      </c>
      <c r="L8099" s="4" t="s">
        <v>47</v>
      </c>
    </row>
    <row r="8100" customFormat="false" ht="17.15" hidden="false" customHeight="false" outlineLevel="0" collapsed="false">
      <c r="A8100" s="0" t="s">
        <v>864</v>
      </c>
      <c r="B8100" s="0" t="s">
        <v>98</v>
      </c>
      <c r="D8100" s="6" t="n">
        <f aca="false">Sens!D8079</f>
        <v>12.9359794422418</v>
      </c>
      <c r="E8100" s="6" t="n">
        <f aca="false">Sens!E8079</f>
        <v>27.8095064661409</v>
      </c>
      <c r="F8100" s="6" t="n">
        <f aca="false">Sens!F8079</f>
        <v>58.7324192305018</v>
      </c>
      <c r="G8100" s="6" t="n">
        <f aca="false">Sens!G8079</f>
        <v>101.369089141153</v>
      </c>
      <c r="H8100" s="6" t="n">
        <f aca="false">Sens!H8079</f>
        <v>149.785610014234</v>
      </c>
      <c r="I8100" s="6" t="n">
        <f aca="false">Sens!I8079</f>
        <v>187.368703083263</v>
      </c>
      <c r="J8100" s="6" t="n">
        <f aca="false">Sens!J8079</f>
        <v>213.569023125577</v>
      </c>
      <c r="K8100" s="6" t="n">
        <f aca="false">Sens!K8079</f>
        <v>229.890205197739</v>
      </c>
    </row>
    <row r="8101" customFormat="false" ht="17.15" hidden="false" customHeight="false" outlineLevel="0" collapsed="false">
      <c r="A8101" s="0" t="s">
        <v>865</v>
      </c>
      <c r="B8101" s="0" t="s">
        <v>98</v>
      </c>
      <c r="D8101" s="6" t="n">
        <f aca="false">Q!L6-Sens!D8100</f>
        <v>59.6740205577583</v>
      </c>
      <c r="E8101" s="6" t="n">
        <f aca="false">Q!M6-Sens!E8100</f>
        <v>74.1284935338591</v>
      </c>
      <c r="F8101" s="6" t="n">
        <f aca="false">Sens!E8101*(1+Sens!F8102)</f>
        <v>90.5741396942587</v>
      </c>
      <c r="G8101" s="6" t="n">
        <f aca="false">Sens!F8101*(1+Sens!G8102)</f>
        <v>108.823251828521</v>
      </c>
      <c r="H8101" s="6" t="n">
        <f aca="false">Sens!G8101*(1+Sens!H8102)</f>
        <v>128.532442249697</v>
      </c>
      <c r="I8101" s="6" t="n">
        <f aca="false">Sens!H8101*(1+Sens!I8102)</f>
        <v>149.192913382446</v>
      </c>
      <c r="J8101" s="6" t="n">
        <f aca="false">Sens!I8101*(1+Sens!J8102)</f>
        <v>170.135219187612</v>
      </c>
      <c r="K8101" s="6" t="n">
        <f aca="false">Sens!J8101*(1+Sens!K8102)</f>
        <v>190.551445490125</v>
      </c>
    </row>
    <row r="8102" customFormat="false" ht="15" hidden="false" customHeight="false" outlineLevel="0" collapsed="false">
      <c r="A8102" s="1" t="s">
        <v>866</v>
      </c>
      <c r="B8102" s="0" t="s">
        <v>129</v>
      </c>
      <c r="E8102" s="7" t="n">
        <f aca="false">Sens!E8101/Sens!D8101-1</f>
        <v>0.242223883039864</v>
      </c>
      <c r="F8102" s="7" t="n">
        <f aca="false">Sens!$E$8102+(glt_azo_hi-Sens!$E$8102)*MIN(1,(Sens!F8062-base_fy)/n_conv)</f>
        <v>0.221853235866554</v>
      </c>
      <c r="G8102" s="7" t="n">
        <f aca="false">Sens!$E$8102+(glt_azo_hi-Sens!$E$8102)*MIN(1,(Sens!G8062-base_fy)/n_conv)</f>
        <v>0.201482588693243</v>
      </c>
      <c r="H8102" s="7" t="n">
        <f aca="false">Sens!$E$8102+(glt_azo_hi-Sens!$E$8102)*MIN(1,(Sens!H8062-base_fy)/n_conv)</f>
        <v>0.181111941519932</v>
      </c>
      <c r="I8102" s="7" t="n">
        <f aca="false">Sens!$E$8102+(glt_azo_hi-Sens!$E$8102)*MIN(1,(Sens!I8062-base_fy)/n_conv)</f>
        <v>0.160741294346622</v>
      </c>
      <c r="J8102" s="7" t="n">
        <f aca="false">Sens!$E$8102+(glt_azo_hi-Sens!$E$8102)*MIN(1,(Sens!J8062-base_fy)/n_conv)</f>
        <v>0.140370647173311</v>
      </c>
      <c r="K8102" s="7" t="n">
        <f aca="false">Sens!$E$8102+(glt_azo_hi-Sens!$E$8102)*MIN(1,(Sens!K8062-base_fy)/n_conv)</f>
        <v>0.12</v>
      </c>
    </row>
    <row r="8103" customFormat="false" ht="15" hidden="false" customHeight="false" outlineLevel="0" collapsed="false">
      <c r="A8103" s="0" t="s">
        <v>867</v>
      </c>
      <c r="B8103" s="0" t="s">
        <v>98</v>
      </c>
      <c r="D8103" s="6" t="n">
        <f aca="false">Sens!D8100+Sens!D8101</f>
        <v>72.61</v>
      </c>
      <c r="E8103" s="6" t="n">
        <f aca="false">Sens!E8100+Sens!E8101</f>
        <v>101.938</v>
      </c>
      <c r="F8103" s="6" t="n">
        <f aca="false">Sens!F8100+Sens!F8101</f>
        <v>149.30655892476</v>
      </c>
      <c r="G8103" s="6" t="n">
        <f aca="false">Sens!G8100+Sens!G8101</f>
        <v>210.192340969674</v>
      </c>
      <c r="H8103" s="6" t="n">
        <f aca="false">Sens!H8100+Sens!H8101</f>
        <v>278.318052263931</v>
      </c>
      <c r="I8103" s="6" t="n">
        <f aca="false">Sens!I8100+Sens!I8101</f>
        <v>336.561616465709</v>
      </c>
      <c r="J8103" s="6" t="n">
        <f aca="false">Sens!J8100+Sens!J8101</f>
        <v>383.704242313189</v>
      </c>
      <c r="K8103" s="6" t="n">
        <f aca="false">Sens!K8100+Sens!K8101</f>
        <v>420.441650687864</v>
      </c>
    </row>
    <row r="8104" customFormat="false" ht="17.15" hidden="false" customHeight="false" outlineLevel="0" collapsed="false">
      <c r="A8104" s="0" t="s">
        <v>868</v>
      </c>
      <c r="B8104" s="1" t="s">
        <v>521</v>
      </c>
      <c r="C8104" s="29" t="n">
        <f aca="false">cop_s24</f>
        <v>1</v>
      </c>
      <c r="D8104" s="29" t="n">
        <f aca="false">cop_s25</f>
        <v>5</v>
      </c>
      <c r="E8104" s="29" t="n">
        <f aca="false">cop_s26</f>
        <v>30</v>
      </c>
      <c r="F8104" s="29" t="n">
        <f aca="false">Sens!E8104+cop_add_A</f>
        <v>60</v>
      </c>
      <c r="G8104" s="29" t="n">
        <f aca="false">Sens!F8104+cop_add_A</f>
        <v>90</v>
      </c>
      <c r="H8104" s="29" t="n">
        <f aca="false">Sens!G8104+cop_add_A</f>
        <v>120</v>
      </c>
      <c r="I8104" s="29" t="n">
        <f aca="false">Sens!H8104+cop_add_A*cop_tail</f>
        <v>135</v>
      </c>
      <c r="J8104" s="29" t="n">
        <f aca="false">Sens!I8104+cop_add_A*cop_tail</f>
        <v>150</v>
      </c>
      <c r="K8104" s="29" t="n">
        <f aca="false">Sens!J8104+cop_add_A*cop_tail</f>
        <v>165</v>
      </c>
      <c r="L8104" s="11" t="s">
        <v>869</v>
      </c>
    </row>
    <row r="8105" customFormat="false" ht="17.15" hidden="false" customHeight="false" outlineLevel="0" collapsed="false">
      <c r="A8105" s="0" t="s">
        <v>870</v>
      </c>
      <c r="B8105" s="0" t="s">
        <v>98</v>
      </c>
      <c r="D8105" s="6" t="n">
        <f aca="false">(Sens!C8104+Sens!D8104)/2*cop_px*12/1000</f>
        <v>0.9</v>
      </c>
      <c r="E8105" s="6" t="n">
        <f aca="false">(Sens!D8104+Sens!E8104)/2*cop_px*12/1000</f>
        <v>5.25</v>
      </c>
      <c r="F8105" s="6" t="n">
        <f aca="false">(Sens!E8104+Sens!F8104)/2*cop_px*12/1000</f>
        <v>13.5</v>
      </c>
      <c r="G8105" s="6" t="n">
        <f aca="false">(Sens!F8104+Sens!G8104)/2*cop_px*12/1000</f>
        <v>22.5</v>
      </c>
      <c r="H8105" s="6" t="n">
        <f aca="false">(Sens!G8104+Sens!H8104)/2*cop_px*12/1000</f>
        <v>31.5</v>
      </c>
      <c r="I8105" s="6" t="n">
        <f aca="false">(Sens!H8104+Sens!I8104)/2*cop_px*12/1000</f>
        <v>38.25</v>
      </c>
      <c r="J8105" s="6" t="n">
        <f aca="false">(Sens!I8104+Sens!J8104)/2*cop_px*12/1000</f>
        <v>42.75</v>
      </c>
      <c r="K8105" s="6" t="n">
        <f aca="false">(Sens!J8104+Sens!K8104)/2*cop_px*12/1000</f>
        <v>47.25</v>
      </c>
      <c r="L8105" s="1" t="s">
        <v>871</v>
      </c>
    </row>
    <row r="8106" customFormat="false" ht="17.15" hidden="false" customHeight="false" outlineLevel="0" collapsed="false">
      <c r="A8106" s="0" t="s">
        <v>872</v>
      </c>
      <c r="B8106" s="0" t="s">
        <v>98</v>
      </c>
      <c r="D8106" s="6" t="n">
        <f aca="false">Q!L7-Sens!D8105</f>
        <v>83.705</v>
      </c>
      <c r="E8106" s="6" t="n">
        <f aca="false">Q!M7-Sens!E8105</f>
        <v>95.049</v>
      </c>
      <c r="F8106" s="6" t="n">
        <f aca="false">Sens!E8106*(1+Sens!F8107)</f>
        <v>106.89238776686</v>
      </c>
      <c r="G8106" s="6" t="n">
        <f aca="false">Sens!F8106*(1+Sens!G8107)</f>
        <v>119.044168448684</v>
      </c>
      <c r="H8106" s="6" t="n">
        <f aca="false">Sens!G8106*(1+Sens!H8107)</f>
        <v>131.277359388781</v>
      </c>
      <c r="I8106" s="6" t="n">
        <f aca="false">Sens!H8106*(1+Sens!I8107)</f>
        <v>143.334028071957</v>
      </c>
      <c r="J8106" s="6" t="n">
        <f aca="false">Sens!I8106*(1+Sens!J8107)</f>
        <v>154.932702785465</v>
      </c>
      <c r="K8106" s="6" t="n">
        <f aca="false">Sens!J8106*(1+Sens!K8107)</f>
        <v>165.777991980448</v>
      </c>
    </row>
    <row r="8107" customFormat="false" ht="15" hidden="false" customHeight="false" outlineLevel="0" collapsed="false">
      <c r="A8107" s="1" t="s">
        <v>866</v>
      </c>
      <c r="B8107" s="0" t="s">
        <v>129</v>
      </c>
      <c r="E8107" s="7" t="n">
        <f aca="false">Sens!E8106/Sens!D8106-1</f>
        <v>0.135523564900544</v>
      </c>
      <c r="F8107" s="7" t="n">
        <f aca="false">Sens!$E$8107+(glt_m365b-Sens!$E$8107)*MIN(1,(Sens!F8062-base_fy)/n_conv)</f>
        <v>0.124602970750453</v>
      </c>
      <c r="G8107" s="7" t="n">
        <f aca="false">Sens!$E$8107+(glt_m365b-Sens!$E$8107)*MIN(1,(Sens!G8062-base_fy)/n_conv)</f>
        <v>0.113682376600363</v>
      </c>
      <c r="H8107" s="7" t="n">
        <f aca="false">Sens!$E$8107+(glt_m365b-Sens!$E$8107)*MIN(1,(Sens!H8062-base_fy)/n_conv)</f>
        <v>0.102761782450272</v>
      </c>
      <c r="I8107" s="7" t="n">
        <f aca="false">Sens!$E$8107+(glt_m365b-Sens!$E$8107)*MIN(1,(Sens!I8062-base_fy)/n_conv)</f>
        <v>0.0918411883001813</v>
      </c>
      <c r="J8107" s="7" t="n">
        <f aca="false">Sens!$E$8107+(glt_m365b-Sens!$E$8107)*MIN(1,(Sens!J8062-base_fy)/n_conv)</f>
        <v>0.0809205941500906</v>
      </c>
      <c r="K8107" s="7" t="n">
        <f aca="false">Sens!$E$8107+(glt_m365b-Sens!$E$8107)*MIN(1,(Sens!K8062-base_fy)/n_conv)</f>
        <v>0.07</v>
      </c>
    </row>
    <row r="8108" customFormat="false" ht="15" hidden="false" customHeight="false" outlineLevel="0" collapsed="false">
      <c r="A8108" s="0" t="s">
        <v>873</v>
      </c>
      <c r="B8108" s="0" t="s">
        <v>98</v>
      </c>
      <c r="D8108" s="6" t="n">
        <f aca="false">Sens!D8106+Sens!D8105</f>
        <v>84.605</v>
      </c>
      <c r="E8108" s="6" t="n">
        <f aca="false">Sens!E8106+Sens!E8105</f>
        <v>100.299</v>
      </c>
      <c r="F8108" s="6" t="n">
        <f aca="false">Sens!F8106+Sens!F8105</f>
        <v>120.39238776686</v>
      </c>
      <c r="G8108" s="6" t="n">
        <f aca="false">Sens!G8106+Sens!G8105</f>
        <v>141.544168448684</v>
      </c>
      <c r="H8108" s="6" t="n">
        <f aca="false">Sens!H8106+Sens!H8105</f>
        <v>162.777359388781</v>
      </c>
      <c r="I8108" s="6" t="n">
        <f aca="false">Sens!I8106+Sens!I8105</f>
        <v>181.584028071957</v>
      </c>
      <c r="J8108" s="6" t="n">
        <f aca="false">Sens!J8106+Sens!J8105</f>
        <v>197.682702785465</v>
      </c>
      <c r="K8108" s="6" t="n">
        <f aca="false">Sens!K8106+Sens!K8105</f>
        <v>213.027991980448</v>
      </c>
    </row>
    <row r="8109" customFormat="false" ht="15" hidden="false" customHeight="false" outlineLevel="0" collapsed="false">
      <c r="A8109" s="0" t="s">
        <v>874</v>
      </c>
      <c r="B8109" s="0" t="s">
        <v>98</v>
      </c>
      <c r="D8109" s="6" t="n">
        <f aca="false">Q!L8</f>
        <v>35.391</v>
      </c>
      <c r="E8109" s="6" t="n">
        <f aca="false">Q!M8</f>
        <v>37.285</v>
      </c>
      <c r="F8109" s="6" t="n">
        <f aca="false">Sens!E8109*(1+Sens!F8110)</f>
        <v>39.0720834331704</v>
      </c>
      <c r="G8109" s="6" t="n">
        <f aca="false">Sens!F8109*(1+Sens!G8110)</f>
        <v>40.726562953769</v>
      </c>
      <c r="H8109" s="6" t="n">
        <f aca="false">Sens!G8109*(1+Sens!H8110)</f>
        <v>42.2235987259198</v>
      </c>
      <c r="I8109" s="6" t="n">
        <f aca="false">Sens!H8109*(1+Sens!I8110)</f>
        <v>43.5397988077414</v>
      </c>
      <c r="J8109" s="6" t="n">
        <f aca="false">Sens!I8109*(1+Sens!J8110)</f>
        <v>44.653811225693</v>
      </c>
      <c r="K8109" s="6" t="n">
        <f aca="false">Sens!J8109*(1+Sens!K8110)</f>
        <v>45.5468874502068</v>
      </c>
    </row>
    <row r="8110" customFormat="false" ht="15" hidden="false" customHeight="false" outlineLevel="0" collapsed="false">
      <c r="A8110" s="1" t="s">
        <v>866</v>
      </c>
      <c r="B8110" s="0" t="s">
        <v>129</v>
      </c>
      <c r="E8110" s="7" t="n">
        <f aca="false">Sens!E8109/Sens!D8109-1</f>
        <v>0.0535164307309768</v>
      </c>
      <c r="F8110" s="7" t="n">
        <f aca="false">Sens!$E$8110+(glt_lic-Sens!$E$8110)*MIN(1,(Sens!F8062-base_fy)/n_conv)</f>
        <v>0.0479303589424807</v>
      </c>
      <c r="G8110" s="7" t="n">
        <f aca="false">Sens!$E$8110+(glt_lic-Sens!$E$8110)*MIN(1,(Sens!G8062-base_fy)/n_conv)</f>
        <v>0.0423442871539845</v>
      </c>
      <c r="H8110" s="7" t="n">
        <f aca="false">Sens!$E$8110+(glt_lic-Sens!$E$8110)*MIN(1,(Sens!H8062-base_fy)/n_conv)</f>
        <v>0.0367582153654884</v>
      </c>
      <c r="I8110" s="7" t="n">
        <f aca="false">Sens!$E$8110+(glt_lic-Sens!$E$8110)*MIN(1,(Sens!I8062-base_fy)/n_conv)</f>
        <v>0.0311721435769923</v>
      </c>
      <c r="J8110" s="7" t="n">
        <f aca="false">Sens!$E$8110+(glt_lic-Sens!$E$8110)*MIN(1,(Sens!J8062-base_fy)/n_conv)</f>
        <v>0.0255860717884961</v>
      </c>
      <c r="K8110" s="7" t="n">
        <f aca="false">Sens!$E$8110+(glt_lic-Sens!$E$8110)*MIN(1,(Sens!K8062-base_fy)/n_conv)</f>
        <v>0.02</v>
      </c>
    </row>
    <row r="8111" customFormat="false" ht="15" hidden="false" customHeight="false" outlineLevel="0" collapsed="false">
      <c r="A8111" s="0" t="s">
        <v>875</v>
      </c>
      <c r="B8111" s="0" t="s">
        <v>98</v>
      </c>
      <c r="D8111" s="6" t="n">
        <f aca="false">Q!L9</f>
        <v>18.417</v>
      </c>
      <c r="E8111" s="6" t="n">
        <f aca="false">Q!M9</f>
        <v>20.345</v>
      </c>
      <c r="F8111" s="6" t="n">
        <f aca="false">Sens!E8111*(1+Sens!F8112)</f>
        <v>22.3572203267814</v>
      </c>
      <c r="G8111" s="6" t="n">
        <f aca="false">Sens!F8111*(1+Sens!G8112)</f>
        <v>24.4392124437232</v>
      </c>
      <c r="H8111" s="6" t="n">
        <f aca="false">Sens!G8111*(1+Sens!H8112)</f>
        <v>26.5738052080665</v>
      </c>
      <c r="I8111" s="6" t="n">
        <f aca="false">Sens!H8111*(1+Sens!I8112)</f>
        <v>28.7412169166967</v>
      </c>
      <c r="J8111" s="6" t="n">
        <f aca="false">Sens!I8111*(1+Sens!J8112)</f>
        <v>30.9192545395413</v>
      </c>
      <c r="K8111" s="6" t="n">
        <f aca="false">Sens!J8111*(1+Sens!K8112)</f>
        <v>33.0836023573092</v>
      </c>
    </row>
    <row r="8112" customFormat="false" ht="15" hidden="false" customHeight="false" outlineLevel="0" collapsed="false">
      <c r="A8112" s="1" t="s">
        <v>866</v>
      </c>
      <c r="B8112" s="0" t="s">
        <v>129</v>
      </c>
      <c r="E8112" s="7" t="n">
        <f aca="false">Sens!E8111/Sens!D8111-1</f>
        <v>0.104685888038225</v>
      </c>
      <c r="F8112" s="7" t="n">
        <f aca="false">Sens!$E$8112+(glt_ind-Sens!$E$8112)*MIN(1,(Sens!F8062-base_fy)/n_conv)</f>
        <v>0.0989049066985211</v>
      </c>
      <c r="G8112" s="7" t="n">
        <f aca="false">Sens!$E$8112+(glt_ind-Sens!$E$8112)*MIN(1,(Sens!G8062-base_fy)/n_conv)</f>
        <v>0.0931239253588169</v>
      </c>
      <c r="H8112" s="7" t="n">
        <f aca="false">Sens!$E$8112+(glt_ind-Sens!$E$8112)*MIN(1,(Sens!H8062-base_fy)/n_conv)</f>
        <v>0.0873429440191127</v>
      </c>
      <c r="I8112" s="7" t="n">
        <f aca="false">Sens!$E$8112+(glt_ind-Sens!$E$8112)*MIN(1,(Sens!I8062-base_fy)/n_conv)</f>
        <v>0.0815619626794085</v>
      </c>
      <c r="J8112" s="7" t="n">
        <f aca="false">Sens!$E$8112+(glt_ind-Sens!$E$8112)*MIN(1,(Sens!J8062-base_fy)/n_conv)</f>
        <v>0.0757809813397042</v>
      </c>
      <c r="K8112" s="7" t="n">
        <f aca="false">Sens!$E$8112+(glt_ind-Sens!$E$8112)*MIN(1,(Sens!K8062-base_fy)/n_conv)</f>
        <v>0.07</v>
      </c>
    </row>
    <row r="8113" customFormat="false" ht="15" hidden="false" customHeight="false" outlineLevel="0" collapsed="false">
      <c r="A8113" s="0" t="s">
        <v>876</v>
      </c>
      <c r="B8113" s="0" t="s">
        <v>98</v>
      </c>
      <c r="D8113" s="6" t="n">
        <f aca="false">Q!L10</f>
        <v>7.76</v>
      </c>
      <c r="E8113" s="6" t="n">
        <f aca="false">Q!M10</f>
        <v>8.26</v>
      </c>
      <c r="F8113" s="6" t="n">
        <f aca="false">Sens!E8113*(1+Sens!F8114)</f>
        <v>8.79988041237113</v>
      </c>
      <c r="G8113" s="6" t="n">
        <f aca="false">Sens!F8113*(1+Sens!G8114)</f>
        <v>9.38321269125306</v>
      </c>
      <c r="H8113" s="6" t="n">
        <f aca="false">Sens!G8113*(1+Sens!H8114)</f>
        <v>10.0139193587476</v>
      </c>
      <c r="I8113" s="6" t="n">
        <f aca="false">Sens!H8113*(1+Sens!I8114)</f>
        <v>10.6963111830911</v>
      </c>
      <c r="J8113" s="6" t="n">
        <f aca="false">Sens!I8113*(1+Sens!J8114)</f>
        <v>11.4351285534696</v>
      </c>
      <c r="K8113" s="6" t="n">
        <f aca="false">Sens!J8113*(1+Sens!K8114)</f>
        <v>12.2355875522124</v>
      </c>
    </row>
    <row r="8114" customFormat="false" ht="15" hidden="false" customHeight="false" outlineLevel="0" collapsed="false">
      <c r="A8114" s="1" t="s">
        <v>866</v>
      </c>
      <c r="B8114" s="0" t="s">
        <v>129</v>
      </c>
      <c r="E8114" s="7" t="n">
        <f aca="false">Sens!E8113/Sens!D8113-1</f>
        <v>0.0644329896907216</v>
      </c>
      <c r="F8114" s="7" t="n">
        <f aca="false">Sens!$E$8114+(glt_fro-Sens!$E$8114)*MIN(1,(Sens!F8062-base_fy)/n_conv)</f>
        <v>0.065360824742268</v>
      </c>
      <c r="G8114" s="7" t="n">
        <f aca="false">Sens!$E$8114+(glt_fro-Sens!$E$8114)*MIN(1,(Sens!G8062-base_fy)/n_conv)</f>
        <v>0.0662886597938144</v>
      </c>
      <c r="H8114" s="7" t="n">
        <f aca="false">Sens!$E$8114+(glt_fro-Sens!$E$8114)*MIN(1,(Sens!H8062-base_fy)/n_conv)</f>
        <v>0.0672164948453608</v>
      </c>
      <c r="I8114" s="7" t="n">
        <f aca="false">Sens!$E$8114+(glt_fro-Sens!$E$8114)*MIN(1,(Sens!I8062-base_fy)/n_conv)</f>
        <v>0.0681443298969072</v>
      </c>
      <c r="J8114" s="7" t="n">
        <f aca="false">Sens!$E$8114+(glt_fro-Sens!$E$8114)*MIN(1,(Sens!J8062-base_fy)/n_conv)</f>
        <v>0.0690721649484536</v>
      </c>
      <c r="K8114" s="7" t="n">
        <f aca="false">Sens!$E$8114+(glt_fro-Sens!$E$8114)*MIN(1,(Sens!K8062-base_fy)/n_conv)</f>
        <v>0.07</v>
      </c>
    </row>
    <row r="8115" customFormat="false" ht="15" hidden="false" customHeight="false" outlineLevel="0" collapsed="false">
      <c r="A8115" s="0" t="s">
        <v>704</v>
      </c>
      <c r="B8115" s="0" t="s">
        <v>98</v>
      </c>
      <c r="D8115" s="6" t="n">
        <f aca="false">Sens!D8103+Sens!D8108+Sens!D8109+Sens!D8111+Sens!D8113</f>
        <v>218.783</v>
      </c>
      <c r="E8115" s="6" t="n">
        <f aca="false">Sens!E8103+Sens!E8108+Sens!E8109+Sens!E8111+Sens!E8113</f>
        <v>268.127</v>
      </c>
      <c r="F8115" s="6" t="n">
        <f aca="false">Sens!F8103+Sens!F8108+Sens!F8109+Sens!F8111+Sens!F8113</f>
        <v>339.928130863943</v>
      </c>
      <c r="G8115" s="6" t="n">
        <f aca="false">Sens!G8103+Sens!G8108+Sens!G8109+Sens!G8111+Sens!G8113</f>
        <v>426.285497507103</v>
      </c>
      <c r="H8115" s="6" t="n">
        <f aca="false">Sens!H8103+Sens!H8108+Sens!H8109+Sens!H8111+Sens!H8113</f>
        <v>519.906734945446</v>
      </c>
      <c r="I8115" s="6" t="n">
        <f aca="false">Sens!I8103+Sens!I8108+Sens!I8109+Sens!I8111+Sens!I8113</f>
        <v>601.122971445195</v>
      </c>
      <c r="J8115" s="6" t="n">
        <f aca="false">Sens!J8103+Sens!J8108+Sens!J8109+Sens!J8111+Sens!J8113</f>
        <v>668.395139417358</v>
      </c>
      <c r="K8115" s="6" t="n">
        <f aca="false">Sens!K8103+Sens!K8108+Sens!K8109+Sens!K8111+Sens!K8113</f>
        <v>724.33572002804</v>
      </c>
    </row>
    <row r="8116" customFormat="false" ht="15" hidden="false" customHeight="false" outlineLevel="0" collapsed="false">
      <c r="A8116" s="0" t="s">
        <v>877</v>
      </c>
      <c r="B8116" s="0" t="s">
        <v>98</v>
      </c>
      <c r="D8116" s="6" t="n">
        <f aca="false">Q!L13</f>
        <v>22.171</v>
      </c>
      <c r="E8116" s="6" t="n">
        <f aca="false">Q!M13</f>
        <v>24.835</v>
      </c>
      <c r="F8116" s="6" t="n">
        <f aca="false">Sens!E8116*(1+Sens!F8117)</f>
        <v>27.6114901218559</v>
      </c>
      <c r="G8116" s="6" t="n">
        <f aca="false">Sens!F8116*(1+Sens!G8117)</f>
        <v>30.4675667338515</v>
      </c>
      <c r="H8116" s="6" t="n">
        <f aca="false">Sens!G8116*(1+Sens!H8117)</f>
        <v>33.3643766955789</v>
      </c>
      <c r="I8116" s="6" t="n">
        <f aca="false">Sens!H8116*(1+Sens!I8117)</f>
        <v>36.2577016533691</v>
      </c>
      <c r="J8116" s="6" t="n">
        <f aca="false">Sens!I8116*(1+Sens!J8117)</f>
        <v>39.0988367952171</v>
      </c>
      <c r="K8116" s="6" t="n">
        <f aca="false">Sens!J8116*(1+Sens!K8117)</f>
        <v>41.8357553708823</v>
      </c>
    </row>
    <row r="8117" customFormat="false" ht="15" hidden="false" customHeight="false" outlineLevel="0" collapsed="false">
      <c r="A8117" s="1" t="s">
        <v>866</v>
      </c>
      <c r="B8117" s="0" t="s">
        <v>129</v>
      </c>
      <c r="E8117" s="7" t="n">
        <f aca="false">Sens!E8116/Sens!D8116-1</f>
        <v>0.120156961796942</v>
      </c>
      <c r="F8117" s="7" t="n">
        <f aca="false">Sens!$E$8117+(glt_srch-Sens!$E$8117)*MIN(1,(Sens!F8062-base_fy)/n_conv)</f>
        <v>0.111797468164118</v>
      </c>
      <c r="G8117" s="7" t="n">
        <f aca="false">Sens!$E$8117+(glt_srch-Sens!$E$8117)*MIN(1,(Sens!G8062-base_fy)/n_conv)</f>
        <v>0.103437974531295</v>
      </c>
      <c r="H8117" s="7" t="n">
        <f aca="false">Sens!$E$8117+(glt_srch-Sens!$E$8117)*MIN(1,(Sens!H8062-base_fy)/n_conv)</f>
        <v>0.095078480898471</v>
      </c>
      <c r="I8117" s="7" t="n">
        <f aca="false">Sens!$E$8117+(glt_srch-Sens!$E$8117)*MIN(1,(Sens!I8062-base_fy)/n_conv)</f>
        <v>0.0867189872656474</v>
      </c>
      <c r="J8117" s="7" t="n">
        <f aca="false">Sens!$E$8117+(glt_srch-Sens!$E$8117)*MIN(1,(Sens!J8062-base_fy)/n_conv)</f>
        <v>0.0783594936328237</v>
      </c>
      <c r="K8117" s="7" t="n">
        <f aca="false">Sens!$E$8117+(glt_srch-Sens!$E$8117)*MIN(1,(Sens!K8062-base_fy)/n_conv)</f>
        <v>0.07</v>
      </c>
    </row>
    <row r="8118" customFormat="false" ht="15" hidden="false" customHeight="false" outlineLevel="0" collapsed="false">
      <c r="A8118" s="0" t="s">
        <v>878</v>
      </c>
      <c r="B8118" s="0" t="s">
        <v>98</v>
      </c>
      <c r="D8118" s="6" t="n">
        <f aca="false">Q!L14</f>
        <v>23.455</v>
      </c>
      <c r="E8118" s="6" t="n">
        <f aca="false">Q!M14</f>
        <v>21.79</v>
      </c>
      <c r="F8118" s="6" t="n">
        <f aca="false">Sens!E8118*(1+Sens!F8119)</f>
        <v>20.5736277908051</v>
      </c>
      <c r="G8118" s="6" t="n">
        <f aca="false">Sens!F8118*(1+Sens!G8119)</f>
        <v>19.7371452817919</v>
      </c>
      <c r="H8118" s="6" t="n">
        <f aca="false">Sens!G8118*(1+Sens!H8119)</f>
        <v>19.2339764043138</v>
      </c>
      <c r="I8118" s="6" t="n">
        <f aca="false">Sens!H8118*(1+Sens!I8119)</f>
        <v>19.0353086852681</v>
      </c>
      <c r="J8118" s="6" t="n">
        <f aca="false">Sens!I8118*(1+Sens!J8119)</f>
        <v>19.1273539319129</v>
      </c>
      <c r="K8118" s="6" t="n">
        <f aca="false">Sens!J8118*(1+Sens!K8119)</f>
        <v>19.5099010105511</v>
      </c>
    </row>
    <row r="8119" customFormat="false" ht="15" hidden="false" customHeight="false" outlineLevel="0" collapsed="false">
      <c r="A8119" s="1" t="s">
        <v>866</v>
      </c>
      <c r="B8119" s="0" t="s">
        <v>129</v>
      </c>
      <c r="E8119" s="7" t="n">
        <f aca="false">Sens!E8118/Sens!D8118-1</f>
        <v>-0.0709869963760392</v>
      </c>
      <c r="F8119" s="7" t="n">
        <f aca="false">Sens!$E$8119+(glt_xbox-Sens!$E$8119)*MIN(1,(Sens!F8062-base_fy)/n_conv)</f>
        <v>-0.0558224969800327</v>
      </c>
      <c r="G8119" s="7" t="n">
        <f aca="false">Sens!$E$8119+(glt_xbox-Sens!$E$8119)*MIN(1,(Sens!G8062-base_fy)/n_conv)</f>
        <v>-0.0406579975840262</v>
      </c>
      <c r="H8119" s="7" t="n">
        <f aca="false">Sens!$E$8119+(glt_xbox-Sens!$E$8119)*MIN(1,(Sens!H8062-base_fy)/n_conv)</f>
        <v>-0.0254934981880196</v>
      </c>
      <c r="I8119" s="7" t="n">
        <f aca="false">Sens!$E$8119+(glt_xbox-Sens!$E$8119)*MIN(1,(Sens!I8062-base_fy)/n_conv)</f>
        <v>-0.0103289987920131</v>
      </c>
      <c r="J8119" s="7" t="n">
        <f aca="false">Sens!$E$8119+(glt_xbox-Sens!$E$8119)*MIN(1,(Sens!J8062-base_fy)/n_conv)</f>
        <v>0.00483550060399347</v>
      </c>
      <c r="K8119" s="7" t="n">
        <f aca="false">Sens!$E$8119+(glt_xbox-Sens!$E$8119)*MIN(1,(Sens!K8062-base_fy)/n_conv)</f>
        <v>0.02</v>
      </c>
    </row>
    <row r="8120" customFormat="false" ht="15" hidden="false" customHeight="false" outlineLevel="0" collapsed="false">
      <c r="A8120" s="0" t="s">
        <v>879</v>
      </c>
      <c r="B8120" s="0" t="s">
        <v>98</v>
      </c>
      <c r="D8120" s="6" t="n">
        <f aca="false">Q!L15</f>
        <v>17.315</v>
      </c>
      <c r="E8120" s="6" t="n">
        <f aca="false">Q!M15</f>
        <v>17.087</v>
      </c>
      <c r="F8120" s="6" t="n">
        <f aca="false">Sens!E8120*(1+Sens!F8121)</f>
        <v>16.9564585436519</v>
      </c>
      <c r="G8120" s="6" t="n">
        <f aca="false">Sens!F8120*(1+Sens!G8121)</f>
        <v>16.9206490624268</v>
      </c>
      <c r="H8120" s="6" t="n">
        <f aca="false">Sens!G8120*(1+Sens!H8121)</f>
        <v>16.9784519149849</v>
      </c>
      <c r="I8120" s="6" t="n">
        <f aca="false">Sens!H8120*(1+Sens!I8121)</f>
        <v>17.1303084701817</v>
      </c>
      <c r="J8120" s="6" t="n">
        <f aca="false">Sens!I8120*(1+Sens!J8121)</f>
        <v>17.3782189407267</v>
      </c>
      <c r="K8120" s="6" t="n">
        <f aca="false">Sens!J8120*(1+Sens!K8121)</f>
        <v>17.7257833195413</v>
      </c>
    </row>
    <row r="8121" customFormat="false" ht="15" hidden="false" customHeight="false" outlineLevel="0" collapsed="false">
      <c r="A8121" s="1" t="s">
        <v>866</v>
      </c>
      <c r="B8121" s="0" t="s">
        <v>129</v>
      </c>
      <c r="E8121" s="7" t="n">
        <f aca="false">Sens!E8120/Sens!D8120-1</f>
        <v>-0.0131677736066995</v>
      </c>
      <c r="F8121" s="7" t="n">
        <f aca="false">Sens!$E$8121+(glt_win-Sens!$E$8121)*MIN(1,(Sens!F8062-base_fy)/n_conv)</f>
        <v>-0.00763981133891627</v>
      </c>
      <c r="G8121" s="7" t="n">
        <f aca="false">Sens!$E$8121+(glt_win-Sens!$E$8121)*MIN(1,(Sens!G8062-base_fy)/n_conv)</f>
        <v>-0.00211184907113301</v>
      </c>
      <c r="H8121" s="7" t="n">
        <f aca="false">Sens!$E$8121+(glt_win-Sens!$E$8121)*MIN(1,(Sens!H8062-base_fy)/n_conv)</f>
        <v>0.00341611319665024</v>
      </c>
      <c r="I8121" s="7" t="n">
        <f aca="false">Sens!$E$8121+(glt_win-Sens!$E$8121)*MIN(1,(Sens!I8062-base_fy)/n_conv)</f>
        <v>0.00894407546443349</v>
      </c>
      <c r="J8121" s="7" t="n">
        <f aca="false">Sens!$E$8121+(glt_win-Sens!$E$8121)*MIN(1,(Sens!J8062-base_fy)/n_conv)</f>
        <v>0.0144720377322168</v>
      </c>
      <c r="K8121" s="7" t="n">
        <f aca="false">Sens!$E$8121+(glt_win-Sens!$E$8121)*MIN(1,(Sens!K8062-base_fy)/n_conv)</f>
        <v>0.02</v>
      </c>
    </row>
    <row r="8122" customFormat="false" ht="15" hidden="false" customHeight="false" outlineLevel="0" collapsed="false">
      <c r="A8122" s="0" t="s">
        <v>718</v>
      </c>
      <c r="B8122" s="0" t="s">
        <v>98</v>
      </c>
      <c r="D8122" s="6" t="n">
        <f aca="false">Sens!D8116+Sens!D8118+Sens!D8120</f>
        <v>62.941</v>
      </c>
      <c r="E8122" s="6" t="n">
        <f aca="false">Sens!E8116+Sens!E8118+Sens!E8120</f>
        <v>63.712</v>
      </c>
      <c r="F8122" s="6" t="n">
        <f aca="false">Sens!F8116+Sens!F8118+Sens!F8120</f>
        <v>65.1415764563129</v>
      </c>
      <c r="G8122" s="6" t="n">
        <f aca="false">Sens!G8116+Sens!G8118+Sens!G8120</f>
        <v>67.1253610780702</v>
      </c>
      <c r="H8122" s="6" t="n">
        <f aca="false">Sens!H8116+Sens!H8118+Sens!H8120</f>
        <v>69.5768050148776</v>
      </c>
      <c r="I8122" s="6" t="n">
        <f aca="false">Sens!I8116+Sens!I8118+Sens!I8120</f>
        <v>72.4233188088189</v>
      </c>
      <c r="J8122" s="6" t="n">
        <f aca="false">Sens!J8116+Sens!J8118+Sens!J8120</f>
        <v>75.6044096678567</v>
      </c>
      <c r="K8122" s="6" t="n">
        <f aca="false">Sens!K8116+Sens!K8118+Sens!K8120</f>
        <v>79.0714397009747</v>
      </c>
    </row>
    <row r="8123" customFormat="false" ht="15" hidden="false" customHeight="false" outlineLevel="0" collapsed="false">
      <c r="A8123" s="1" t="s">
        <v>880</v>
      </c>
      <c r="B8123" s="0" t="s">
        <v>98</v>
      </c>
      <c r="D8123" s="6" t="n">
        <f aca="false">Sens!D8115+Sens!D8122</f>
        <v>281.724</v>
      </c>
      <c r="E8123" s="6" t="n">
        <f aca="false">Sens!E8115+Sens!E8122</f>
        <v>331.839</v>
      </c>
      <c r="F8123" s="6" t="n">
        <f aca="false">Sens!F8115+Sens!F8122</f>
        <v>405.069707320256</v>
      </c>
      <c r="G8123" s="6" t="n">
        <f aca="false">Sens!G8115+Sens!G8122</f>
        <v>493.410858585174</v>
      </c>
      <c r="H8123" s="6" t="n">
        <f aca="false">Sens!H8115+Sens!H8122</f>
        <v>589.483539960324</v>
      </c>
      <c r="I8123" s="6" t="n">
        <f aca="false">Sens!I8115+Sens!I8122</f>
        <v>673.546290254014</v>
      </c>
      <c r="J8123" s="6" t="n">
        <f aca="false">Sens!J8115+Sens!J8122</f>
        <v>743.999549085214</v>
      </c>
      <c r="K8123" s="6" t="n">
        <f aca="false">Sens!K8115+Sens!K8122</f>
        <v>803.407159729015</v>
      </c>
    </row>
    <row r="8124" customFormat="false" ht="15" hidden="false" customHeight="false" outlineLevel="0" collapsed="false">
      <c r="A8124" s="23" t="s">
        <v>881</v>
      </c>
      <c r="B8124" s="30" t="s">
        <v>98</v>
      </c>
      <c r="C8124" s="30"/>
      <c r="D8124" s="24" t="n">
        <f aca="false">(Sens!D8103+Sens!D8108+Sens!D8109+Sens!D8111+Sens!D8113-Sens!D8115)+(Sens!D8116+Sens!D8118+Sens!D8120-Sens!D8122)+(Sens!D8115-Q!L5)+(Sens!D8122-Q!L12)+(Sens!D8103-Q!L6)+(Sens!D8108-Q!L7)</f>
        <v>0</v>
      </c>
      <c r="E8124" s="24" t="n">
        <f aca="false">(Sens!E8103+Sens!E8108+Sens!E8109+Sens!E8111+Sens!E8113-Sens!E8115)+(Sens!E8116+Sens!E8118+Sens!E8120-Sens!E8122)+(Sens!E8115-Q!M5)+(Sens!E8122-Q!M12)+(Sens!E8103-Q!M6)+(Sens!E8108-Q!M7)</f>
        <v>0</v>
      </c>
      <c r="F8124" s="24" t="n">
        <f aca="false">(Sens!F8103+Sens!F8108+Sens!F8109+Sens!F8111+Sens!F8113-Sens!F8115)+(Sens!F8116+Sens!F8118+Sens!F8120-Sens!F8122)</f>
        <v>0</v>
      </c>
      <c r="G8124" s="24" t="n">
        <f aca="false">(Sens!G8103+Sens!G8108+Sens!G8109+Sens!G8111+Sens!G8113-Sens!G8115)+(Sens!G8116+Sens!G8118+Sens!G8120-Sens!G8122)</f>
        <v>0</v>
      </c>
      <c r="H8124" s="24" t="n">
        <f aca="false">(Sens!H8103+Sens!H8108+Sens!H8109+Sens!H8111+Sens!H8113-Sens!H8115)+(Sens!H8116+Sens!H8118+Sens!H8120-Sens!H8122)</f>
        <v>0</v>
      </c>
      <c r="I8124" s="24" t="n">
        <f aca="false">(Sens!I8103+Sens!I8108+Sens!I8109+Sens!I8111+Sens!I8113-Sens!I8115)+(Sens!I8116+Sens!I8118+Sens!I8120-Sens!I8122)</f>
        <v>0</v>
      </c>
      <c r="J8124" s="24" t="n">
        <f aca="false">(Sens!J8103+Sens!J8108+Sens!J8109+Sens!J8111+Sens!J8113-Sens!J8115)+(Sens!J8116+Sens!J8118+Sens!J8120-Sens!J8122)</f>
        <v>0</v>
      </c>
      <c r="K8124" s="24" t="n">
        <f aca="false">(Sens!K8103+Sens!K8108+Sens!K8109+Sens!K8111+Sens!K8113-Sens!K8115)+(Sens!K8116+Sens!K8118+Sens!K8120-Sens!K8122)</f>
        <v>0</v>
      </c>
    </row>
    <row r="8125" customFormat="false" ht="17.15" hidden="false" customHeight="false" outlineLevel="0" collapsed="false">
      <c r="A8125" s="3" t="s">
        <v>1446</v>
      </c>
    </row>
    <row r="8126" customFormat="false" ht="15" hidden="false" customHeight="false" outlineLevel="0" collapsed="false">
      <c r="A8126" s="4" t="s">
        <v>43</v>
      </c>
      <c r="B8126" s="4" t="s">
        <v>65</v>
      </c>
      <c r="C8126" s="20" t="s">
        <v>788</v>
      </c>
      <c r="D8126" s="20" t="s">
        <v>789</v>
      </c>
      <c r="E8126" s="20" t="s">
        <v>790</v>
      </c>
      <c r="F8126" s="20" t="s">
        <v>791</v>
      </c>
      <c r="G8126" s="20" t="s">
        <v>792</v>
      </c>
      <c r="H8126" s="20" t="s">
        <v>793</v>
      </c>
      <c r="I8126" s="20" t="s">
        <v>794</v>
      </c>
      <c r="J8126" s="20" t="s">
        <v>795</v>
      </c>
      <c r="K8126" s="20" t="s">
        <v>796</v>
      </c>
      <c r="L8126" s="4" t="s">
        <v>47</v>
      </c>
    </row>
    <row r="8127" customFormat="false" ht="15" hidden="false" customHeight="false" outlineLevel="0" collapsed="false">
      <c r="A8127" s="0" t="s">
        <v>867</v>
      </c>
      <c r="B8127" s="0" t="s">
        <v>98</v>
      </c>
      <c r="D8127" s="6" t="n">
        <f aca="false">Sens!D8103</f>
        <v>72.61</v>
      </c>
      <c r="E8127" s="6" t="n">
        <f aca="false">Sens!E8103</f>
        <v>101.938</v>
      </c>
      <c r="F8127" s="6" t="n">
        <f aca="false">Sens!F8103</f>
        <v>149.30655892476</v>
      </c>
      <c r="G8127" s="6" t="n">
        <f aca="false">Sens!G8103</f>
        <v>210.192340969674</v>
      </c>
      <c r="H8127" s="6" t="n">
        <f aca="false">Sens!H8103</f>
        <v>278.318052263931</v>
      </c>
      <c r="I8127" s="6" t="n">
        <f aca="false">Sens!I8103</f>
        <v>336.561616465709</v>
      </c>
      <c r="J8127" s="6" t="n">
        <f aca="false">Sens!J8103</f>
        <v>383.704242313189</v>
      </c>
      <c r="K8127" s="6" t="n">
        <f aca="false">Sens!K8103</f>
        <v>420.441650687864</v>
      </c>
    </row>
    <row r="8128" customFormat="false" ht="17.15" hidden="false" customHeight="false" outlineLevel="0" collapsed="false">
      <c r="A8128" s="0" t="s">
        <v>864</v>
      </c>
      <c r="B8128" s="0" t="s">
        <v>98</v>
      </c>
      <c r="D8128" s="6" t="n">
        <f aca="false">Sens!D8100</f>
        <v>12.9359794422418</v>
      </c>
      <c r="E8128" s="6" t="n">
        <f aca="false">Sens!E8100</f>
        <v>27.8095064661409</v>
      </c>
      <c r="F8128" s="6" t="n">
        <f aca="false">Sens!F8100</f>
        <v>58.7324192305018</v>
      </c>
      <c r="G8128" s="6" t="n">
        <f aca="false">Sens!G8100</f>
        <v>101.369089141153</v>
      </c>
      <c r="H8128" s="6" t="n">
        <f aca="false">Sens!H8100</f>
        <v>149.785610014234</v>
      </c>
      <c r="I8128" s="6" t="n">
        <f aca="false">Sens!I8100</f>
        <v>187.368703083263</v>
      </c>
      <c r="J8128" s="6" t="n">
        <f aca="false">Sens!J8100</f>
        <v>213.569023125577</v>
      </c>
      <c r="K8128" s="6" t="n">
        <f aca="false">Sens!K8100</f>
        <v>229.890205197739</v>
      </c>
    </row>
    <row r="8129" customFormat="false" ht="17.15" hidden="false" customHeight="false" outlineLevel="0" collapsed="false">
      <c r="A8129" s="0" t="s">
        <v>892</v>
      </c>
      <c r="B8129" s="0" t="s">
        <v>98</v>
      </c>
      <c r="D8129" s="6" t="n">
        <f aca="false">Sens!D8101</f>
        <v>59.6740205577583</v>
      </c>
      <c r="E8129" s="6" t="n">
        <f aca="false">Sens!E8101</f>
        <v>74.1284935338591</v>
      </c>
      <c r="F8129" s="6" t="n">
        <f aca="false">Sens!F8101</f>
        <v>90.5741396942587</v>
      </c>
      <c r="G8129" s="6" t="n">
        <f aca="false">Sens!G8101</f>
        <v>108.823251828521</v>
      </c>
      <c r="H8129" s="6" t="n">
        <f aca="false">Sens!H8101</f>
        <v>128.532442249697</v>
      </c>
      <c r="I8129" s="6" t="n">
        <f aca="false">Sens!I8101</f>
        <v>149.192913382446</v>
      </c>
      <c r="J8129" s="6" t="n">
        <f aca="false">Sens!J8101</f>
        <v>170.135219187612</v>
      </c>
      <c r="K8129" s="6" t="n">
        <f aca="false">Sens!K8101</f>
        <v>190.551445490125</v>
      </c>
    </row>
    <row r="8130" customFormat="false" ht="15" hidden="false" customHeight="false" outlineLevel="0" collapsed="false">
      <c r="A8130" s="0" t="s">
        <v>873</v>
      </c>
      <c r="B8130" s="0" t="s">
        <v>98</v>
      </c>
      <c r="D8130" s="6" t="n">
        <f aca="false">Sens!D8108</f>
        <v>84.605</v>
      </c>
      <c r="E8130" s="6" t="n">
        <f aca="false">Sens!E8108</f>
        <v>100.299</v>
      </c>
      <c r="F8130" s="6" t="n">
        <f aca="false">Sens!F8108</f>
        <v>120.39238776686</v>
      </c>
      <c r="G8130" s="6" t="n">
        <f aca="false">Sens!G8108</f>
        <v>141.544168448684</v>
      </c>
      <c r="H8130" s="6" t="n">
        <f aca="false">Sens!H8108</f>
        <v>162.777359388781</v>
      </c>
      <c r="I8130" s="6" t="n">
        <f aca="false">Sens!I8108</f>
        <v>181.584028071957</v>
      </c>
      <c r="J8130" s="6" t="n">
        <f aca="false">Sens!J8108</f>
        <v>197.682702785465</v>
      </c>
      <c r="K8130" s="6" t="n">
        <f aca="false">Sens!K8108</f>
        <v>213.027991980448</v>
      </c>
    </row>
    <row r="8131" customFormat="false" ht="17.15" hidden="false" customHeight="false" outlineLevel="0" collapsed="false">
      <c r="A8131" s="0" t="s">
        <v>893</v>
      </c>
      <c r="B8131" s="0" t="s">
        <v>98</v>
      </c>
      <c r="D8131" s="6" t="n">
        <f aca="false">Sens!D8106</f>
        <v>83.705</v>
      </c>
      <c r="E8131" s="6" t="n">
        <f aca="false">Sens!E8106</f>
        <v>95.049</v>
      </c>
      <c r="F8131" s="6" t="n">
        <f aca="false">Sens!F8106</f>
        <v>106.89238776686</v>
      </c>
      <c r="G8131" s="6" t="n">
        <f aca="false">Sens!G8106</f>
        <v>119.044168448684</v>
      </c>
      <c r="H8131" s="6" t="n">
        <f aca="false">Sens!H8106</f>
        <v>131.277359388781</v>
      </c>
      <c r="I8131" s="6" t="n">
        <f aca="false">Sens!I8106</f>
        <v>143.334028071957</v>
      </c>
      <c r="J8131" s="6" t="n">
        <f aca="false">Sens!J8106</f>
        <v>154.932702785465</v>
      </c>
      <c r="K8131" s="6" t="n">
        <f aca="false">Sens!K8106</f>
        <v>165.777991980448</v>
      </c>
    </row>
    <row r="8132" customFormat="false" ht="17.15" hidden="false" customHeight="false" outlineLevel="0" collapsed="false">
      <c r="A8132" s="0" t="s">
        <v>894</v>
      </c>
      <c r="B8132" s="0" t="s">
        <v>98</v>
      </c>
      <c r="D8132" s="6" t="n">
        <f aca="false">Sens!D8105</f>
        <v>0.9</v>
      </c>
      <c r="E8132" s="6" t="n">
        <f aca="false">Sens!E8105</f>
        <v>5.25</v>
      </c>
      <c r="F8132" s="6" t="n">
        <f aca="false">Sens!F8105</f>
        <v>13.5</v>
      </c>
      <c r="G8132" s="6" t="n">
        <f aca="false">Sens!G8105</f>
        <v>22.5</v>
      </c>
      <c r="H8132" s="6" t="n">
        <f aca="false">Sens!H8105</f>
        <v>31.5</v>
      </c>
      <c r="I8132" s="6" t="n">
        <f aca="false">Sens!I8105</f>
        <v>38.25</v>
      </c>
      <c r="J8132" s="6" t="n">
        <f aca="false">Sens!J8105</f>
        <v>42.75</v>
      </c>
      <c r="K8132" s="6" t="n">
        <f aca="false">Sens!K8105</f>
        <v>47.25</v>
      </c>
    </row>
    <row r="8133" customFormat="false" ht="15" hidden="false" customHeight="false" outlineLevel="0" collapsed="false">
      <c r="A8133" s="0" t="s">
        <v>874</v>
      </c>
      <c r="B8133" s="0" t="s">
        <v>98</v>
      </c>
      <c r="D8133" s="6" t="n">
        <f aca="false">Sens!D8109</f>
        <v>35.391</v>
      </c>
      <c r="E8133" s="6" t="n">
        <f aca="false">Sens!E8109</f>
        <v>37.285</v>
      </c>
      <c r="F8133" s="6" t="n">
        <f aca="false">Sens!F8109</f>
        <v>39.0720834331704</v>
      </c>
      <c r="G8133" s="6" t="n">
        <f aca="false">Sens!G8109</f>
        <v>40.726562953769</v>
      </c>
      <c r="H8133" s="6" t="n">
        <f aca="false">Sens!H8109</f>
        <v>42.2235987259198</v>
      </c>
      <c r="I8133" s="6" t="n">
        <f aca="false">Sens!I8109</f>
        <v>43.5397988077414</v>
      </c>
      <c r="J8133" s="6" t="n">
        <f aca="false">Sens!J8109</f>
        <v>44.653811225693</v>
      </c>
      <c r="K8133" s="6" t="n">
        <f aca="false">Sens!K8109</f>
        <v>45.5468874502068</v>
      </c>
    </row>
    <row r="8134" customFormat="false" ht="15" hidden="false" customHeight="false" outlineLevel="0" collapsed="false">
      <c r="A8134" s="0" t="s">
        <v>875</v>
      </c>
      <c r="B8134" s="0" t="s">
        <v>98</v>
      </c>
      <c r="D8134" s="6" t="n">
        <f aca="false">Sens!D8111</f>
        <v>18.417</v>
      </c>
      <c r="E8134" s="6" t="n">
        <f aca="false">Sens!E8111</f>
        <v>20.345</v>
      </c>
      <c r="F8134" s="6" t="n">
        <f aca="false">Sens!F8111</f>
        <v>22.3572203267814</v>
      </c>
      <c r="G8134" s="6" t="n">
        <f aca="false">Sens!G8111</f>
        <v>24.4392124437232</v>
      </c>
      <c r="H8134" s="6" t="n">
        <f aca="false">Sens!H8111</f>
        <v>26.5738052080665</v>
      </c>
      <c r="I8134" s="6" t="n">
        <f aca="false">Sens!I8111</f>
        <v>28.7412169166967</v>
      </c>
      <c r="J8134" s="6" t="n">
        <f aca="false">Sens!J8111</f>
        <v>30.9192545395413</v>
      </c>
      <c r="K8134" s="6" t="n">
        <f aca="false">Sens!K8111</f>
        <v>33.0836023573092</v>
      </c>
    </row>
    <row r="8135" customFormat="false" ht="15" hidden="false" customHeight="false" outlineLevel="0" collapsed="false">
      <c r="A8135" s="0" t="s">
        <v>876</v>
      </c>
      <c r="B8135" s="0" t="s">
        <v>98</v>
      </c>
      <c r="D8135" s="6" t="n">
        <f aca="false">Sens!D8113</f>
        <v>7.76</v>
      </c>
      <c r="E8135" s="6" t="n">
        <f aca="false">Sens!E8113</f>
        <v>8.26</v>
      </c>
      <c r="F8135" s="6" t="n">
        <f aca="false">Sens!F8113</f>
        <v>8.79988041237113</v>
      </c>
      <c r="G8135" s="6" t="n">
        <f aca="false">Sens!G8113</f>
        <v>9.38321269125306</v>
      </c>
      <c r="H8135" s="6" t="n">
        <f aca="false">Sens!H8113</f>
        <v>10.0139193587476</v>
      </c>
      <c r="I8135" s="6" t="n">
        <f aca="false">Sens!I8113</f>
        <v>10.6963111830911</v>
      </c>
      <c r="J8135" s="6" t="n">
        <f aca="false">Sens!J8113</f>
        <v>11.4351285534696</v>
      </c>
      <c r="K8135" s="6" t="n">
        <f aca="false">Sens!K8113</f>
        <v>12.2355875522124</v>
      </c>
    </row>
    <row r="8136" customFormat="false" ht="15" hidden="false" customHeight="false" outlineLevel="0" collapsed="false">
      <c r="A8136" s="0" t="s">
        <v>704</v>
      </c>
      <c r="B8136" s="0" t="s">
        <v>98</v>
      </c>
      <c r="D8136" s="6" t="n">
        <f aca="false">Sens!D8115</f>
        <v>218.783</v>
      </c>
      <c r="E8136" s="6" t="n">
        <f aca="false">Sens!E8115</f>
        <v>268.127</v>
      </c>
      <c r="F8136" s="6" t="n">
        <f aca="false">Sens!F8115</f>
        <v>339.928130863943</v>
      </c>
      <c r="G8136" s="6" t="n">
        <f aca="false">Sens!G8115</f>
        <v>426.285497507103</v>
      </c>
      <c r="H8136" s="6" t="n">
        <f aca="false">Sens!H8115</f>
        <v>519.906734945446</v>
      </c>
      <c r="I8136" s="6" t="n">
        <f aca="false">Sens!I8115</f>
        <v>601.122971445195</v>
      </c>
      <c r="J8136" s="6" t="n">
        <f aca="false">Sens!J8115</f>
        <v>668.395139417358</v>
      </c>
      <c r="K8136" s="6" t="n">
        <f aca="false">Sens!K8115</f>
        <v>724.33572002804</v>
      </c>
    </row>
    <row r="8137" customFormat="false" ht="15" hidden="false" customHeight="false" outlineLevel="0" collapsed="false">
      <c r="A8137" s="0" t="s">
        <v>877</v>
      </c>
      <c r="B8137" s="0" t="s">
        <v>98</v>
      </c>
      <c r="D8137" s="6" t="n">
        <f aca="false">Sens!D8116</f>
        <v>22.171</v>
      </c>
      <c r="E8137" s="6" t="n">
        <f aca="false">Sens!E8116</f>
        <v>24.835</v>
      </c>
      <c r="F8137" s="6" t="n">
        <f aca="false">Sens!F8116</f>
        <v>27.6114901218559</v>
      </c>
      <c r="G8137" s="6" t="n">
        <f aca="false">Sens!G8116</f>
        <v>30.4675667338515</v>
      </c>
      <c r="H8137" s="6" t="n">
        <f aca="false">Sens!H8116</f>
        <v>33.3643766955789</v>
      </c>
      <c r="I8137" s="6" t="n">
        <f aca="false">Sens!I8116</f>
        <v>36.2577016533691</v>
      </c>
      <c r="J8137" s="6" t="n">
        <f aca="false">Sens!J8116</f>
        <v>39.0988367952171</v>
      </c>
      <c r="K8137" s="6" t="n">
        <f aca="false">Sens!K8116</f>
        <v>41.8357553708823</v>
      </c>
    </row>
    <row r="8138" customFormat="false" ht="15" hidden="false" customHeight="false" outlineLevel="0" collapsed="false">
      <c r="A8138" s="0" t="s">
        <v>878</v>
      </c>
      <c r="B8138" s="0" t="s">
        <v>98</v>
      </c>
      <c r="D8138" s="6" t="n">
        <f aca="false">Sens!D8118</f>
        <v>23.455</v>
      </c>
      <c r="E8138" s="6" t="n">
        <f aca="false">Sens!E8118</f>
        <v>21.79</v>
      </c>
      <c r="F8138" s="6" t="n">
        <f aca="false">Sens!F8118</f>
        <v>20.5736277908051</v>
      </c>
      <c r="G8138" s="6" t="n">
        <f aca="false">Sens!G8118</f>
        <v>19.7371452817919</v>
      </c>
      <c r="H8138" s="6" t="n">
        <f aca="false">Sens!H8118</f>
        <v>19.2339764043138</v>
      </c>
      <c r="I8138" s="6" t="n">
        <f aca="false">Sens!I8118</f>
        <v>19.0353086852681</v>
      </c>
      <c r="J8138" s="6" t="n">
        <f aca="false">Sens!J8118</f>
        <v>19.1273539319129</v>
      </c>
      <c r="K8138" s="6" t="n">
        <f aca="false">Sens!K8118</f>
        <v>19.5099010105511</v>
      </c>
    </row>
    <row r="8139" customFormat="false" ht="15" hidden="false" customHeight="false" outlineLevel="0" collapsed="false">
      <c r="A8139" s="0" t="s">
        <v>879</v>
      </c>
      <c r="B8139" s="0" t="s">
        <v>98</v>
      </c>
      <c r="D8139" s="6" t="n">
        <f aca="false">Sens!D8120</f>
        <v>17.315</v>
      </c>
      <c r="E8139" s="6" t="n">
        <f aca="false">Sens!E8120</f>
        <v>17.087</v>
      </c>
      <c r="F8139" s="6" t="n">
        <f aca="false">Sens!F8120</f>
        <v>16.9564585436519</v>
      </c>
      <c r="G8139" s="6" t="n">
        <f aca="false">Sens!G8120</f>
        <v>16.9206490624268</v>
      </c>
      <c r="H8139" s="6" t="n">
        <f aca="false">Sens!H8120</f>
        <v>16.9784519149849</v>
      </c>
      <c r="I8139" s="6" t="n">
        <f aca="false">Sens!I8120</f>
        <v>17.1303084701817</v>
      </c>
      <c r="J8139" s="6" t="n">
        <f aca="false">Sens!J8120</f>
        <v>17.3782189407267</v>
      </c>
      <c r="K8139" s="6" t="n">
        <f aca="false">Sens!K8120</f>
        <v>17.7257833195413</v>
      </c>
    </row>
    <row r="8140" customFormat="false" ht="15" hidden="false" customHeight="false" outlineLevel="0" collapsed="false">
      <c r="A8140" s="0" t="s">
        <v>718</v>
      </c>
      <c r="B8140" s="0" t="s">
        <v>98</v>
      </c>
      <c r="D8140" s="6" t="n">
        <f aca="false">Sens!D8122</f>
        <v>62.941</v>
      </c>
      <c r="E8140" s="6" t="n">
        <f aca="false">Sens!E8122</f>
        <v>63.712</v>
      </c>
      <c r="F8140" s="6" t="n">
        <f aca="false">Sens!F8122</f>
        <v>65.1415764563129</v>
      </c>
      <c r="G8140" s="6" t="n">
        <f aca="false">Sens!G8122</f>
        <v>67.1253610780702</v>
      </c>
      <c r="H8140" s="6" t="n">
        <f aca="false">Sens!H8122</f>
        <v>69.5768050148776</v>
      </c>
      <c r="I8140" s="6" t="n">
        <f aca="false">Sens!I8122</f>
        <v>72.4233188088189</v>
      </c>
      <c r="J8140" s="6" t="n">
        <f aca="false">Sens!J8122</f>
        <v>75.6044096678567</v>
      </c>
      <c r="K8140" s="6" t="n">
        <f aca="false">Sens!K8122</f>
        <v>79.0714397009747</v>
      </c>
    </row>
    <row r="8141" customFormat="false" ht="15" hidden="false" customHeight="false" outlineLevel="0" collapsed="false">
      <c r="A8141" s="1" t="s">
        <v>895</v>
      </c>
      <c r="B8141" s="0" t="s">
        <v>98</v>
      </c>
      <c r="D8141" s="6" t="n">
        <f aca="false">Sens!D8123</f>
        <v>281.724</v>
      </c>
      <c r="E8141" s="6" t="n">
        <f aca="false">Sens!E8123</f>
        <v>331.839</v>
      </c>
      <c r="F8141" s="6" t="n">
        <f aca="false">Sens!F8123</f>
        <v>405.069707320256</v>
      </c>
      <c r="G8141" s="6" t="n">
        <f aca="false">Sens!G8123</f>
        <v>493.410858585174</v>
      </c>
      <c r="H8141" s="6" t="n">
        <f aca="false">Sens!H8123</f>
        <v>589.483539960324</v>
      </c>
      <c r="I8141" s="6" t="n">
        <f aca="false">Sens!I8123</f>
        <v>673.546290254014</v>
      </c>
      <c r="J8141" s="6" t="n">
        <f aca="false">Sens!J8123</f>
        <v>743.999549085214</v>
      </c>
      <c r="K8141" s="6" t="n">
        <f aca="false">Sens!K8123</f>
        <v>803.407159729015</v>
      </c>
    </row>
    <row r="8142" customFormat="false" ht="15" hidden="false" customHeight="false" outlineLevel="0" collapsed="false">
      <c r="A8142" s="1" t="s">
        <v>896</v>
      </c>
      <c r="B8142" s="0" t="s">
        <v>129</v>
      </c>
      <c r="E8142" s="7" t="n">
        <f aca="false">Sens!E8141/Sens!D8141-1</f>
        <v>0.177886867998467</v>
      </c>
      <c r="F8142" s="7" t="n">
        <f aca="false">Sens!F8141/Sens!E8141-1</f>
        <v>0.220681436842132</v>
      </c>
      <c r="G8142" s="7" t="n">
        <f aca="false">Sens!G8141/Sens!F8141-1</f>
        <v>0.218088762670849</v>
      </c>
      <c r="H8142" s="7" t="n">
        <f aca="false">Sens!H8141/Sens!G8141-1</f>
        <v>0.194711323643409</v>
      </c>
      <c r="I8142" s="7" t="n">
        <f aca="false">Sens!I8141/Sens!H8141-1</f>
        <v>0.142604067111607</v>
      </c>
      <c r="J8142" s="7" t="n">
        <f aca="false">Sens!J8141/Sens!I8141-1</f>
        <v>0.104600470451156</v>
      </c>
      <c r="K8142" s="7" t="n">
        <f aca="false">Sens!K8141/Sens!J8141-1</f>
        <v>0.0798489874313035</v>
      </c>
    </row>
    <row r="8143" customFormat="false" ht="17.15" hidden="false" customHeight="false" outlineLevel="0" collapsed="false">
      <c r="A8143" s="23" t="s">
        <v>897</v>
      </c>
      <c r="B8143" s="30" t="s">
        <v>98</v>
      </c>
      <c r="C8143" s="30"/>
      <c r="D8143" s="24" t="n">
        <f aca="false">(Sens!D8136+Sens!D8140-Sens!D8141)+(Sens!D8128+Sens!D8129-Sens!D8127)+(Sens!D8131+Sens!D8132-Sens!D8130)+(Sens!D8141-Q!L18)</f>
        <v>0</v>
      </c>
      <c r="E8143" s="24" t="n">
        <f aca="false">(Sens!E8136+Sens!E8140-Sens!E8141)+(Sens!E8128+Sens!E8129-Sens!E8127)+(Sens!E8131+Sens!E8132-Sens!E8130)+(Sens!E8141-Q!M18)</f>
        <v>0</v>
      </c>
      <c r="F8143" s="24" t="n">
        <f aca="false">(Sens!F8136+Sens!F8140-Sens!F8141)+(Sens!F8128+Sens!F8129-Sens!F8127)+(Sens!F8131+Sens!F8132-Sens!F8130)</f>
        <v>0</v>
      </c>
      <c r="G8143" s="24" t="n">
        <f aca="false">(Sens!G8136+Sens!G8140-Sens!G8141)+(Sens!G8128+Sens!G8129-Sens!G8127)+(Sens!G8131+Sens!G8132-Sens!G8130)</f>
        <v>0</v>
      </c>
      <c r="H8143" s="24" t="n">
        <f aca="false">(Sens!H8136+Sens!H8140-Sens!H8141)+(Sens!H8128+Sens!H8129-Sens!H8127)+(Sens!H8131+Sens!H8132-Sens!H8130)</f>
        <v>0</v>
      </c>
      <c r="I8143" s="24" t="n">
        <f aca="false">(Sens!I8136+Sens!I8140-Sens!I8141)+(Sens!I8128+Sens!I8129-Sens!I8127)+(Sens!I8131+Sens!I8132-Sens!I8130)</f>
        <v>0</v>
      </c>
      <c r="J8143" s="24" t="n">
        <f aca="false">(Sens!J8136+Sens!J8140-Sens!J8141)+(Sens!J8128+Sens!J8129-Sens!J8127)+(Sens!J8131+Sens!J8132-Sens!J8130)</f>
        <v>0</v>
      </c>
      <c r="K8143" s="24" t="n">
        <f aca="false">(Sens!K8136+Sens!K8140-Sens!K8141)+(Sens!K8128+Sens!K8129-Sens!K8127)+(Sens!K8131+Sens!K8132-Sens!K8130)</f>
        <v>0</v>
      </c>
    </row>
    <row r="8144" customFormat="false" ht="17.15" hidden="false" customHeight="false" outlineLevel="0" collapsed="false">
      <c r="A8144" s="0" t="s">
        <v>898</v>
      </c>
      <c r="B8144" s="0" t="s">
        <v>129</v>
      </c>
      <c r="E8144" s="7" t="n">
        <f aca="false">(Q!M21+Sens!E8081+Sens!E8082+Sens!E8083+Sens!E8096-Sens!E8079)/(Q!M5-Sens!E8079)</f>
        <v>0.570957350878296</v>
      </c>
      <c r="F8144" s="7" t="n">
        <f aca="false">Sens!$E$8144+dm_seg</f>
        <v>0.570957350878296</v>
      </c>
      <c r="G8144" s="7" t="n">
        <f aca="false">Sens!$E$8144+dm_seg</f>
        <v>0.570957350878296</v>
      </c>
      <c r="H8144" s="7" t="n">
        <f aca="false">Sens!$E$8144+dm_seg</f>
        <v>0.570957350878296</v>
      </c>
      <c r="I8144" s="7" t="n">
        <f aca="false">Sens!$E$8144+dm_seg</f>
        <v>0.570957350878296</v>
      </c>
      <c r="J8144" s="7" t="n">
        <f aca="false">Sens!$E$8144+dm_seg</f>
        <v>0.570957350878296</v>
      </c>
      <c r="K8144" s="7" t="n">
        <f aca="false">Sens!$E$8144+dm_seg</f>
        <v>0.570957350878296</v>
      </c>
      <c r="L8144" s="11" t="s">
        <v>899</v>
      </c>
    </row>
    <row r="8145" customFormat="false" ht="17.15" hidden="false" customHeight="false" outlineLevel="0" collapsed="false">
      <c r="A8145" s="0" t="s">
        <v>732</v>
      </c>
      <c r="B8145" s="0" t="s">
        <v>98</v>
      </c>
      <c r="D8145" s="6" t="n">
        <f aca="false">Q!L21</f>
        <v>110.814</v>
      </c>
      <c r="E8145" s="6" t="n">
        <f aca="false">Q!M21</f>
        <v>136.365</v>
      </c>
      <c r="F8145" s="6" t="n">
        <f aca="false">Sens!F8144*(Sens!F8115-Sens!F8079)+Sens!F8079-(Sens!F8081+Sens!F8082+Sens!F8083)-Sens!F8096</f>
        <v>162.425882490206</v>
      </c>
      <c r="G8145" s="6" t="n">
        <f aca="false">Sens!G8144*(Sens!G8115-Sens!G8079)+Sens!G8079-(Sens!G8081+Sens!G8082+Sens!G8083)-Sens!G8096</f>
        <v>192.734822721477</v>
      </c>
      <c r="H8145" s="6" t="n">
        <f aca="false">Sens!H8144*(Sens!H8115-Sens!H8079)+Sens!H8079-(Sens!H8081+Sens!H8082+Sens!H8083)-Sens!H8096</f>
        <v>228.528727759452</v>
      </c>
      <c r="I8145" s="6" t="n">
        <f aca="false">Sens!I8144*(Sens!I8115-Sens!I8079)+Sens!I8079-(Sens!I8081+Sens!I8082+Sens!I8083)-Sens!I8096</f>
        <v>257.079954998627</v>
      </c>
      <c r="J8145" s="6" t="n">
        <f aca="false">Sens!J8144*(Sens!J8115-Sens!J8079)+Sens!J8079-(Sens!J8081+Sens!J8082+Sens!J8083)-Sens!J8096</f>
        <v>282.997610992157</v>
      </c>
      <c r="K8145" s="6" t="n">
        <f aca="false">Sens!K8144*(Sens!K8115-Sens!K8079)+Sens!K8079-(Sens!K8081+Sens!K8082+Sens!K8083)-Sens!K8096</f>
        <v>307.96811910131</v>
      </c>
      <c r="L8145" s="1" t="s">
        <v>900</v>
      </c>
    </row>
    <row r="8146" customFormat="false" ht="17.15" hidden="false" customHeight="false" outlineLevel="0" collapsed="false">
      <c r="A8146" s="0" t="s">
        <v>901</v>
      </c>
      <c r="B8146" s="0" t="s">
        <v>129</v>
      </c>
      <c r="E8146" s="7" t="n">
        <f aca="false">Q!M22/Q!M12</f>
        <v>0.296207935710698</v>
      </c>
      <c r="F8146" s="7" t="n">
        <f aca="false">Sens!$E$8146+dm_seg</f>
        <v>0.296207935710698</v>
      </c>
      <c r="G8146" s="7" t="n">
        <f aca="false">Sens!$E$8146+dm_seg</f>
        <v>0.296207935710698</v>
      </c>
      <c r="H8146" s="7" t="n">
        <f aca="false">Sens!$E$8146+dm_seg</f>
        <v>0.296207935710698</v>
      </c>
      <c r="I8146" s="7" t="n">
        <f aca="false">Sens!$E$8146+dm_seg</f>
        <v>0.296207935710698</v>
      </c>
      <c r="J8146" s="7" t="n">
        <f aca="false">Sens!$E$8146+dm_seg</f>
        <v>0.296207935710698</v>
      </c>
      <c r="K8146" s="7" t="n">
        <f aca="false">Sens!$E$8146+dm_seg</f>
        <v>0.296207935710698</v>
      </c>
      <c r="L8146" s="11" t="s">
        <v>902</v>
      </c>
    </row>
    <row r="8147" customFormat="false" ht="17.15" hidden="false" customHeight="false" outlineLevel="0" collapsed="false">
      <c r="A8147" s="0" t="s">
        <v>734</v>
      </c>
      <c r="B8147" s="0" t="s">
        <v>98</v>
      </c>
      <c r="D8147" s="6" t="n">
        <f aca="false">Q!L22</f>
        <v>17.714</v>
      </c>
      <c r="E8147" s="6" t="n">
        <f aca="false">Q!M22</f>
        <v>18.872</v>
      </c>
      <c r="F8147" s="6" t="n">
        <f aca="false">Sens!F8122*Sens!F8146</f>
        <v>19.2954518910651</v>
      </c>
      <c r="G8147" s="6" t="n">
        <f aca="false">Sens!G8122*Sens!G8146</f>
        <v>19.8830646387704</v>
      </c>
      <c r="H8147" s="6" t="n">
        <f aca="false">Sens!H8122*Sens!H8146</f>
        <v>20.6092017868026</v>
      </c>
      <c r="I8147" s="6" t="n">
        <f aca="false">Sens!I8122*Sens!I8146</f>
        <v>21.452361761678</v>
      </c>
      <c r="J8147" s="6" t="n">
        <f aca="false">Sens!J8122*Sens!J8146</f>
        <v>22.3946261183418</v>
      </c>
      <c r="K8147" s="6" t="n">
        <f aca="false">Sens!K8122*Sens!K8146</f>
        <v>23.4215879274986</v>
      </c>
    </row>
    <row r="8148" customFormat="false" ht="15" hidden="false" customHeight="false" outlineLevel="0" collapsed="false">
      <c r="A8148" s="1" t="s">
        <v>903</v>
      </c>
      <c r="B8148" s="0" t="s">
        <v>98</v>
      </c>
      <c r="D8148" s="6" t="n">
        <f aca="false">Sens!D8145+Sens!D8147</f>
        <v>128.528</v>
      </c>
      <c r="E8148" s="6" t="n">
        <f aca="false">Sens!E8145+Sens!E8147</f>
        <v>155.237</v>
      </c>
      <c r="F8148" s="6" t="n">
        <f aca="false">Sens!F8145+Sens!F8147</f>
        <v>181.721334381271</v>
      </c>
      <c r="G8148" s="6" t="n">
        <f aca="false">Sens!G8145+Sens!G8147</f>
        <v>212.617887360248</v>
      </c>
      <c r="H8148" s="6" t="n">
        <f aca="false">Sens!H8145+Sens!H8147</f>
        <v>249.137929546255</v>
      </c>
      <c r="I8148" s="6" t="n">
        <f aca="false">Sens!I8145+Sens!I8147</f>
        <v>278.532316760304</v>
      </c>
      <c r="J8148" s="6" t="n">
        <f aca="false">Sens!J8145+Sens!J8147</f>
        <v>305.392237110498</v>
      </c>
      <c r="K8148" s="6" t="n">
        <f aca="false">Sens!K8145+Sens!K8147</f>
        <v>331.389707028808</v>
      </c>
    </row>
    <row r="8149" customFormat="false" ht="15" hidden="false" customHeight="false" outlineLevel="0" collapsed="false">
      <c r="A8149" s="23" t="s">
        <v>904</v>
      </c>
      <c r="B8149" s="30" t="s">
        <v>98</v>
      </c>
      <c r="C8149" s="30"/>
      <c r="D8149" s="24" t="n">
        <f aca="false">Sens!D8148-Q!L23</f>
        <v>0</v>
      </c>
      <c r="E8149" s="24" t="n">
        <f aca="false">Sens!E8148-Q!M23</f>
        <v>0</v>
      </c>
      <c r="F8149" s="30"/>
      <c r="G8149" s="30"/>
      <c r="H8149" s="30"/>
      <c r="I8149" s="30"/>
      <c r="J8149" s="30"/>
      <c r="K8149" s="30"/>
    </row>
    <row r="8150" customFormat="false" ht="15" hidden="false" customHeight="false" outlineLevel="0" collapsed="false">
      <c r="A8150" s="1" t="s">
        <v>905</v>
      </c>
      <c r="B8150" s="0" t="s">
        <v>129</v>
      </c>
      <c r="D8150" s="7" t="n">
        <f aca="false">Sens!D8148/Sens!D8141</f>
        <v>0.456219562408598</v>
      </c>
      <c r="E8150" s="7" t="n">
        <f aca="false">Sens!E8148/Sens!E8141</f>
        <v>0.467808184089272</v>
      </c>
      <c r="F8150" s="7" t="n">
        <f aca="false">Sens!F8148/Sens!F8141</f>
        <v>0.448617438177372</v>
      </c>
      <c r="G8150" s="7" t="n">
        <f aca="false">Sens!G8148/Sens!G8141</f>
        <v>0.430914487714999</v>
      </c>
      <c r="H8150" s="7" t="n">
        <f aca="false">Sens!H8148/Sens!H8141</f>
        <v>0.422637635586947</v>
      </c>
      <c r="I8150" s="7" t="n">
        <f aca="false">Sens!I8148/Sens!I8141</f>
        <v>0.413531068006123</v>
      </c>
      <c r="J8150" s="7" t="n">
        <f aca="false">Sens!J8148/Sens!J8141</f>
        <v>0.410473685751549</v>
      </c>
      <c r="K8150" s="7" t="n">
        <f aca="false">Sens!K8148/Sens!K8141</f>
        <v>0.412480400523919</v>
      </c>
    </row>
    <row r="8151" customFormat="false" ht="17.15" hidden="false" customHeight="false" outlineLevel="0" collapsed="false">
      <c r="A8151" s="1" t="s">
        <v>906</v>
      </c>
      <c r="B8151" s="0" t="s">
        <v>98</v>
      </c>
      <c r="F8151" s="6" t="n">
        <f aca="false">Sens!F8166</f>
        <v>19.0793824397397</v>
      </c>
      <c r="G8151" s="6" t="n">
        <f aca="false">Sens!G8166</f>
        <v>32.5666413649601</v>
      </c>
      <c r="H8151" s="6" t="n">
        <f aca="false">Sens!H8166</f>
        <v>47.4063563831308</v>
      </c>
      <c r="I8151" s="6" t="n">
        <f aca="false">Sens!I8166</f>
        <v>61.2525090726263</v>
      </c>
      <c r="J8151" s="6" t="n">
        <f aca="false">Sens!J8166</f>
        <v>71.009613825577</v>
      </c>
      <c r="K8151" s="6" t="n">
        <f aca="false">Sens!K8166</f>
        <v>76.0452576664312</v>
      </c>
      <c r="L8151" s="1" t="s">
        <v>907</v>
      </c>
    </row>
    <row r="8152" customFormat="false" ht="17.15" hidden="false" customHeight="false" outlineLevel="0" collapsed="false">
      <c r="A8152" s="1" t="s">
        <v>908</v>
      </c>
      <c r="B8152" s="0" t="s">
        <v>98</v>
      </c>
      <c r="D8152" s="6" t="n">
        <f aca="false">Sens!D8148</f>
        <v>128.528</v>
      </c>
      <c r="E8152" s="6" t="n">
        <f aca="false">Sens!E8148</f>
        <v>155.237</v>
      </c>
      <c r="F8152" s="6" t="n">
        <f aca="false">Sens!F8148+Sens!F8151</f>
        <v>200.800716821011</v>
      </c>
      <c r="G8152" s="6" t="n">
        <f aca="false">Sens!G8148+Sens!G8151</f>
        <v>245.184528725208</v>
      </c>
      <c r="H8152" s="6" t="n">
        <f aca="false">Sens!H8148+Sens!H8151</f>
        <v>296.544285929386</v>
      </c>
      <c r="I8152" s="6" t="n">
        <f aca="false">Sens!I8148+Sens!I8151</f>
        <v>339.784825832931</v>
      </c>
      <c r="J8152" s="6" t="n">
        <f aca="false">Sens!J8148+Sens!J8151</f>
        <v>376.401850936075</v>
      </c>
      <c r="K8152" s="6" t="n">
        <f aca="false">Sens!K8148+Sens!K8151</f>
        <v>407.43496469524</v>
      </c>
    </row>
    <row r="8153" customFormat="false" ht="17.15" hidden="false" customHeight="false" outlineLevel="0" collapsed="false">
      <c r="A8153" s="1" t="s">
        <v>909</v>
      </c>
      <c r="B8153" s="0" t="s">
        <v>98</v>
      </c>
      <c r="E8153" s="6" t="n">
        <f aca="false">Sens!E8096</f>
        <v>16.3054059770833</v>
      </c>
      <c r="F8153" s="6" t="n">
        <f aca="false">Sens!F8096</f>
        <v>34.7197989565883</v>
      </c>
      <c r="G8153" s="6" t="n">
        <f aca="false">Sens!G8096</f>
        <v>60.4652602617765</v>
      </c>
      <c r="H8153" s="6" t="n">
        <f aca="false">Sens!H8096</f>
        <v>87.7008429945765</v>
      </c>
      <c r="I8153" s="6" t="n">
        <f aca="false">Sens!I8096</f>
        <v>111.945566983658</v>
      </c>
      <c r="J8153" s="6" t="n">
        <f aca="false">Sens!J8096</f>
        <v>129.142237924103</v>
      </c>
      <c r="K8153" s="6" t="n">
        <f aca="false">Sens!K8096</f>
        <v>139.606173805911</v>
      </c>
    </row>
    <row r="8154" customFormat="false" ht="17.15" hidden="false" customHeight="false" outlineLevel="0" collapsed="false">
      <c r="A8154" s="1" t="s">
        <v>910</v>
      </c>
      <c r="B8154" s="0" t="s">
        <v>98</v>
      </c>
      <c r="E8154" s="6" t="n">
        <f aca="false">Sens!E8178</f>
        <v>22.2285940229167</v>
      </c>
      <c r="F8154" s="6" t="n">
        <f aca="false">Sens!F8178</f>
        <v>23.5885531427191</v>
      </c>
      <c r="G8154" s="6" t="n">
        <f aca="false">Sens!G8178</f>
        <v>25.4258837179903</v>
      </c>
      <c r="H8154" s="6" t="n">
        <f aca="false">Sens!H8178</f>
        <v>27.7246559038815</v>
      </c>
      <c r="I8154" s="6" t="n">
        <f aca="false">Sens!I8178</f>
        <v>30.4347145646696</v>
      </c>
      <c r="J8154" s="6" t="n">
        <f aca="false">Sens!J8178</f>
        <v>33.4941614707056</v>
      </c>
      <c r="K8154" s="6" t="n">
        <f aca="false">Sens!K8178</f>
        <v>36.8501369736474</v>
      </c>
    </row>
    <row r="8155" customFormat="false" ht="17.15" hidden="false" customHeight="false" outlineLevel="0" collapsed="false">
      <c r="A8155" s="1" t="s">
        <v>911</v>
      </c>
      <c r="B8155" s="0" t="s">
        <v>98</v>
      </c>
      <c r="D8155" s="6" t="n">
        <f aca="false">Q!L27</f>
        <v>-4.901</v>
      </c>
      <c r="E8155" s="6" t="n">
        <f aca="false">Q!M27</f>
        <v>10.697</v>
      </c>
      <c r="F8155" s="6" t="n">
        <f aca="false">oie_f</f>
        <v>-0.4</v>
      </c>
      <c r="G8155" s="6" t="n">
        <f aca="false">oie_f</f>
        <v>-0.4</v>
      </c>
      <c r="H8155" s="6" t="n">
        <f aca="false">oie_f</f>
        <v>-0.4</v>
      </c>
      <c r="I8155" s="6" t="n">
        <f aca="false">oie_f</f>
        <v>-0.4</v>
      </c>
      <c r="J8155" s="6" t="n">
        <f aca="false">oie_f</f>
        <v>-0.4</v>
      </c>
      <c r="K8155" s="6" t="n">
        <f aca="false">oie_f</f>
        <v>-0.4</v>
      </c>
      <c r="L8155" s="11" t="s">
        <v>912</v>
      </c>
    </row>
    <row r="8156" customFormat="false" ht="15" hidden="false" customHeight="false" outlineLevel="0" collapsed="false">
      <c r="A8156" s="1" t="s">
        <v>913</v>
      </c>
      <c r="B8156" s="0" t="s">
        <v>98</v>
      </c>
      <c r="D8156" s="6" t="n">
        <f aca="false">Sens!D8148+Sens!D8155</f>
        <v>123.627</v>
      </c>
      <c r="E8156" s="6" t="n">
        <f aca="false">Sens!E8148+Sens!E8155</f>
        <v>165.934</v>
      </c>
      <c r="F8156" s="6" t="n">
        <f aca="false">Sens!F8148+Sens!F8155</f>
        <v>181.321334381271</v>
      </c>
      <c r="G8156" s="6" t="n">
        <f aca="false">Sens!G8148+Sens!G8155</f>
        <v>212.217887360248</v>
      </c>
      <c r="H8156" s="6" t="n">
        <f aca="false">Sens!H8148+Sens!H8155</f>
        <v>248.737929546255</v>
      </c>
      <c r="I8156" s="6" t="n">
        <f aca="false">Sens!I8148+Sens!I8155</f>
        <v>278.132316760305</v>
      </c>
      <c r="J8156" s="6" t="n">
        <f aca="false">Sens!J8148+Sens!J8155</f>
        <v>304.992237110498</v>
      </c>
      <c r="K8156" s="6" t="n">
        <f aca="false">Sens!K8148+Sens!K8155</f>
        <v>330.989707028808</v>
      </c>
    </row>
    <row r="8157" customFormat="false" ht="15" hidden="false" customHeight="false" outlineLevel="0" collapsed="false">
      <c r="A8157" s="1" t="s">
        <v>914</v>
      </c>
      <c r="B8157" s="0" t="s">
        <v>98</v>
      </c>
      <c r="D8157" s="6" t="n">
        <f aca="false">Q!L29</f>
        <v>21.795</v>
      </c>
      <c r="E8157" s="6" t="n">
        <f aca="false">Q!M29</f>
        <v>32.185</v>
      </c>
      <c r="F8157" s="6" t="n">
        <f aca="false">Sens!F8156*tax_f</f>
        <v>36.2642668762542</v>
      </c>
      <c r="G8157" s="6" t="n">
        <f aca="false">Sens!G8156*tax_f</f>
        <v>42.4435774720496</v>
      </c>
      <c r="H8157" s="6" t="n">
        <f aca="false">Sens!H8156*tax_f</f>
        <v>49.747585909251</v>
      </c>
      <c r="I8157" s="6" t="n">
        <f aca="false">Sens!I8156*tax_f</f>
        <v>55.6264633520609</v>
      </c>
      <c r="J8157" s="6" t="n">
        <f aca="false">Sens!J8156*tax_f</f>
        <v>60.9984474220997</v>
      </c>
      <c r="K8157" s="6" t="n">
        <f aca="false">Sens!K8156*tax_f</f>
        <v>66.1979414057617</v>
      </c>
    </row>
    <row r="8158" customFormat="false" ht="15" hidden="false" customHeight="false" outlineLevel="0" collapsed="false">
      <c r="A8158" s="1" t="s">
        <v>915</v>
      </c>
      <c r="B8158" s="0" t="s">
        <v>98</v>
      </c>
      <c r="D8158" s="6" t="n">
        <f aca="false">Sens!D8156-Sens!D8157</f>
        <v>101.832</v>
      </c>
      <c r="E8158" s="6" t="n">
        <f aca="false">Sens!E8156-Sens!E8157</f>
        <v>133.749</v>
      </c>
      <c r="F8158" s="6" t="n">
        <f aca="false">Sens!F8156-Sens!F8157</f>
        <v>145.057067505017</v>
      </c>
      <c r="G8158" s="6" t="n">
        <f aca="false">Sens!G8156-Sens!G8157</f>
        <v>169.774309888198</v>
      </c>
      <c r="H8158" s="6" t="n">
        <f aca="false">Sens!H8156-Sens!H8157</f>
        <v>198.990343637004</v>
      </c>
      <c r="I8158" s="6" t="n">
        <f aca="false">Sens!I8156-Sens!I8157</f>
        <v>222.505853408244</v>
      </c>
      <c r="J8158" s="6" t="n">
        <f aca="false">Sens!J8156-Sens!J8157</f>
        <v>243.993789688399</v>
      </c>
      <c r="K8158" s="6" t="n">
        <f aca="false">Sens!K8156-Sens!K8157</f>
        <v>264.791765623047</v>
      </c>
    </row>
    <row r="8159" customFormat="false" ht="17.15" hidden="false" customHeight="false" outlineLevel="0" collapsed="false">
      <c r="A8159" s="1" t="s">
        <v>916</v>
      </c>
      <c r="B8159" s="1" t="s">
        <v>81</v>
      </c>
      <c r="D8159" s="14" t="n">
        <f aca="false">Q!L31</f>
        <v>7.465</v>
      </c>
      <c r="E8159" s="14" t="n">
        <f aca="false">Q!M31</f>
        <v>7.453</v>
      </c>
      <c r="F8159" s="14" t="n">
        <f aca="false">Sens!F8200</f>
        <v>7.4735</v>
      </c>
      <c r="G8159" s="14" t="n">
        <f aca="false">Sens!G8200</f>
        <v>7.50760712322316</v>
      </c>
      <c r="H8159" s="14" t="n">
        <f aca="false">Sens!H8200</f>
        <v>7.52446583229628</v>
      </c>
      <c r="I8159" s="14" t="n">
        <f aca="false">Sens!I8200</f>
        <v>7.53624666430359</v>
      </c>
      <c r="J8159" s="14" t="n">
        <f aca="false">Sens!J8200</f>
        <v>7.55048817542147</v>
      </c>
      <c r="K8159" s="14" t="n">
        <f aca="false">Sens!K8200</f>
        <v>7.56700809312321</v>
      </c>
    </row>
    <row r="8160" customFormat="false" ht="17.15" hidden="false" customHeight="false" outlineLevel="0" collapsed="false">
      <c r="A8160" s="0" t="s">
        <v>917</v>
      </c>
      <c r="B8160" s="0" t="s">
        <v>75</v>
      </c>
      <c r="D8160" s="8" t="n">
        <f aca="false">Sens!D8158/Sens!D8159</f>
        <v>13.641259209645</v>
      </c>
      <c r="E8160" s="8" t="n">
        <f aca="false">Sens!E8158/Sens!E8159</f>
        <v>17.9456594659869</v>
      </c>
      <c r="F8160" s="8" t="n">
        <f aca="false">Sens!F8158/Sens!F8159</f>
        <v>19.4095226473562</v>
      </c>
      <c r="G8160" s="8" t="n">
        <f aca="false">Sens!G8158/Sens!G8159</f>
        <v>22.6136380209665</v>
      </c>
      <c r="H8160" s="8" t="n">
        <f aca="false">Sens!H8158/Sens!H8159</f>
        <v>26.4457767597141</v>
      </c>
      <c r="I8160" s="8" t="n">
        <f aca="false">Sens!I8158/Sens!I8159</f>
        <v>29.5247572590971</v>
      </c>
      <c r="J8160" s="8" t="n">
        <f aca="false">Sens!J8158/Sens!J8159</f>
        <v>32.3149687834295</v>
      </c>
      <c r="K8160" s="8" t="n">
        <f aca="false">Sens!K8158/Sens!K8159</f>
        <v>34.9929275037628</v>
      </c>
      <c r="L8160" s="1" t="s">
        <v>918</v>
      </c>
    </row>
    <row r="8161" customFormat="false" ht="17.15" hidden="false" customHeight="false" outlineLevel="0" collapsed="false">
      <c r="A8161" s="1" t="s">
        <v>919</v>
      </c>
      <c r="B8161" s="0" t="s">
        <v>98</v>
      </c>
      <c r="D8161" s="6" t="n">
        <f aca="false">Sens!D8158</f>
        <v>101.832</v>
      </c>
      <c r="E8161" s="6" t="n">
        <f aca="false">Sens!E8158</f>
        <v>133.749</v>
      </c>
      <c r="F8161" s="6" t="n">
        <f aca="false">Sens!F8158+Sens!F8151*(1-tax_f)</f>
        <v>160.320573456809</v>
      </c>
      <c r="G8161" s="6" t="n">
        <f aca="false">Sens!G8158+Sens!G8151*(1-tax_f)</f>
        <v>195.827622980166</v>
      </c>
      <c r="H8161" s="6" t="n">
        <f aca="false">Sens!H8158+Sens!H8151*(1-tax_f)</f>
        <v>236.915428743509</v>
      </c>
      <c r="I8161" s="6" t="n">
        <f aca="false">Sens!I8158+Sens!I8151*(1-tax_f)</f>
        <v>271.507860666345</v>
      </c>
      <c r="J8161" s="6" t="n">
        <f aca="false">Sens!J8158+Sens!J8151*(1-tax_f)</f>
        <v>300.80148074886</v>
      </c>
      <c r="K8161" s="6" t="n">
        <f aca="false">Sens!K8158+Sens!K8151*(1-tax_f)</f>
        <v>325.627971756192</v>
      </c>
    </row>
    <row r="8162" customFormat="false" ht="17.15" hidden="false" customHeight="false" outlineLevel="0" collapsed="false">
      <c r="A8162" s="0" t="s">
        <v>920</v>
      </c>
      <c r="B8162" s="0" t="s">
        <v>75</v>
      </c>
      <c r="D8162" s="8" t="n">
        <f aca="false">Sens!D8161/Sens!D8159</f>
        <v>13.641259209645</v>
      </c>
      <c r="E8162" s="8" t="n">
        <f aca="false">Sens!E8161/Sens!E8159</f>
        <v>17.9456594659869</v>
      </c>
      <c r="F8162" s="8" t="n">
        <f aca="false">Sens!F8161/Sens!F8159</f>
        <v>21.4518730791207</v>
      </c>
      <c r="G8162" s="8" t="n">
        <f aca="false">Sens!G8161/Sens!G8159</f>
        <v>26.0838932786474</v>
      </c>
      <c r="H8162" s="8" t="n">
        <f aca="false">Sens!H8161/Sens!H8159</f>
        <v>31.4860129640868</v>
      </c>
      <c r="I8162" s="8" t="n">
        <f aca="false">Sens!I8161/Sens!I8159</f>
        <v>36.0269339314989</v>
      </c>
      <c r="J8162" s="8" t="n">
        <f aca="false">Sens!J8161/Sens!J8159</f>
        <v>39.8386797992793</v>
      </c>
      <c r="K8162" s="8" t="n">
        <f aca="false">Sens!K8161/Sens!K8159</f>
        <v>43.0325919767573</v>
      </c>
      <c r="L8162" s="1" t="s">
        <v>921</v>
      </c>
    </row>
    <row r="8163" customFormat="false" ht="17.15" hidden="false" customHeight="false" outlineLevel="0" collapsed="false">
      <c r="A8163" s="0" t="s">
        <v>922</v>
      </c>
      <c r="B8163" s="0" t="s">
        <v>129</v>
      </c>
      <c r="E8163" s="7" t="n">
        <f aca="false">Sens!E8162/Sens!D8162-1</f>
        <v>0.315542736208578</v>
      </c>
      <c r="F8163" s="7" t="n">
        <f aca="false">Sens!F8162/Sens!E8162-1</f>
        <v>0.195379479911526</v>
      </c>
      <c r="G8163" s="7" t="n">
        <f aca="false">Sens!G8162/Sens!F8162-1</f>
        <v>0.215926142320649</v>
      </c>
      <c r="H8163" s="7" t="n">
        <f aca="false">Sens!H8162/Sens!G8162-1</f>
        <v>0.207105573839377</v>
      </c>
      <c r="I8163" s="7" t="n">
        <f aca="false">Sens!I8162/Sens!H8162-1</f>
        <v>0.144220259725852</v>
      </c>
      <c r="J8163" s="7" t="n">
        <f aca="false">Sens!J8162/Sens!I8162-1</f>
        <v>0.10580267182958</v>
      </c>
      <c r="K8163" s="7" t="n">
        <f aca="false">Sens!K8162/Sens!J8162-1</f>
        <v>0.0801711350268146</v>
      </c>
    </row>
    <row r="8164" customFormat="false" ht="17.15" hidden="false" customHeight="false" outlineLevel="0" collapsed="false">
      <c r="A8164" s="0" t="s">
        <v>846</v>
      </c>
      <c r="B8164" s="0" t="s">
        <v>98</v>
      </c>
      <c r="E8164" s="6" t="n">
        <f aca="false">Sens!E8105</f>
        <v>5.25</v>
      </c>
      <c r="F8164" s="6" t="n">
        <f aca="false">Sens!F8105</f>
        <v>13.5</v>
      </c>
      <c r="G8164" s="6" t="n">
        <f aca="false">Sens!G8105</f>
        <v>22.5</v>
      </c>
      <c r="H8164" s="6" t="n">
        <f aca="false">Sens!H8105</f>
        <v>31.5</v>
      </c>
      <c r="I8164" s="6" t="n">
        <f aca="false">Sens!I8105</f>
        <v>38.25</v>
      </c>
      <c r="J8164" s="6" t="n">
        <f aca="false">Sens!J8105</f>
        <v>42.75</v>
      </c>
      <c r="K8164" s="6" t="n">
        <f aca="false">Sens!K8105</f>
        <v>47.25</v>
      </c>
    </row>
    <row r="8165" customFormat="false" ht="17.15" hidden="false" customHeight="false" outlineLevel="0" collapsed="false">
      <c r="A8165" s="1" t="s">
        <v>847</v>
      </c>
      <c r="B8165" s="0" t="s">
        <v>98</v>
      </c>
      <c r="F8165" s="6" t="n">
        <f aca="false">MAX(0,(Sens!E8068+Sens!F8068)/2*Sens!F8076/1000-Sens!F8164*Sens!F8144)</f>
        <v>19.0793824397397</v>
      </c>
      <c r="G8165" s="6" t="n">
        <f aca="false">MAX(0,(Sens!F8068+Sens!G8068)/2*Sens!G8076/1000-Sens!G8164*Sens!G8144)</f>
        <v>32.5666413649601</v>
      </c>
      <c r="H8165" s="6" t="n">
        <f aca="false">MAX(0,(Sens!G8068+Sens!H8068)/2*Sens!H8076/1000-Sens!H8164*Sens!H8144)</f>
        <v>47.4063563831308</v>
      </c>
      <c r="I8165" s="6" t="n">
        <f aca="false">MAX(0,(Sens!H8068+Sens!I8068)/2*Sens!I8076/1000-Sens!I8164*Sens!I8144)</f>
        <v>61.2525090726263</v>
      </c>
      <c r="J8165" s="6" t="n">
        <f aca="false">MAX(0,(Sens!I8068+Sens!J8068)/2*Sens!J8076/1000-Sens!J8164*Sens!J8144)</f>
        <v>71.009613825577</v>
      </c>
      <c r="K8165" s="6" t="n">
        <f aca="false">MAX(0,(Sens!J8068+Sens!K8068)/2*Sens!K8076/1000-Sens!K8164*Sens!K8144)</f>
        <v>76.0452576664312</v>
      </c>
      <c r="L8165" s="1" t="s">
        <v>848</v>
      </c>
    </row>
    <row r="8166" customFormat="false" ht="17.15" hidden="false" customHeight="false" outlineLevel="0" collapsed="false">
      <c r="A8166" s="1" t="s">
        <v>849</v>
      </c>
      <c r="B8166" s="0" t="s">
        <v>98</v>
      </c>
      <c r="F8166" s="6" t="n">
        <f aca="false">IF(internal_ai_reading=2,1,0)*Sens!F8165</f>
        <v>19.0793824397397</v>
      </c>
      <c r="G8166" s="6" t="n">
        <f aca="false">IF(internal_ai_reading=2,1,0)*Sens!G8165</f>
        <v>32.5666413649601</v>
      </c>
      <c r="H8166" s="6" t="n">
        <f aca="false">IF(internal_ai_reading=2,1,0)*Sens!H8165</f>
        <v>47.4063563831308</v>
      </c>
      <c r="I8166" s="6" t="n">
        <f aca="false">IF(internal_ai_reading=2,1,0)*Sens!I8165</f>
        <v>61.2525090726263</v>
      </c>
      <c r="J8166" s="6" t="n">
        <f aca="false">IF(internal_ai_reading=2,1,0)*Sens!J8165</f>
        <v>71.009613825577</v>
      </c>
      <c r="K8166" s="6" t="n">
        <f aca="false">IF(internal_ai_reading=2,1,0)*Sens!K8165</f>
        <v>76.0452576664312</v>
      </c>
    </row>
    <row r="8167" customFormat="false" ht="17.15" hidden="false" customHeight="false" outlineLevel="0" collapsed="false">
      <c r="A8167" s="0" t="s">
        <v>850</v>
      </c>
      <c r="B8167" s="0" t="s">
        <v>98</v>
      </c>
      <c r="F8167" s="6" t="n">
        <f aca="false">Sens!F8085+Sens!F8164*Sens!F8144+Sens!F8166-Sens!F8086-Sens!F8096</f>
        <v>28.6624305742358</v>
      </c>
      <c r="G8167" s="6" t="n">
        <f aca="false">Sens!G8085+Sens!G8164*Sens!G8144+Sens!G8166-Sens!G8086-Sens!G8096</f>
        <v>52.6345927036854</v>
      </c>
      <c r="H8167" s="6" t="n">
        <f aca="false">Sens!H8085+Sens!H8164*Sens!H8144+Sens!H8166-Sens!H8086-Sens!H8096</f>
        <v>82.5968637004295</v>
      </c>
      <c r="I8167" s="6" t="n">
        <f aca="false">Sens!I8085+Sens!I8164*Sens!I8144+Sens!I8166-Sens!I8086-Sens!I8096</f>
        <v>103.935541763831</v>
      </c>
      <c r="J8167" s="6" t="n">
        <f aca="false">Sens!J8085+Sens!J8164*Sens!J8144+Sens!J8166-Sens!J8086-Sens!J8096</f>
        <v>118.729337099562</v>
      </c>
      <c r="K8167" s="6" t="n">
        <f aca="false">Sens!K8085+Sens!K8164*Sens!K8144+Sens!K8166-Sens!K8086-Sens!K8096</f>
        <v>128.683810295576</v>
      </c>
    </row>
    <row r="8168" customFormat="false" ht="17.15" hidden="false" customHeight="false" outlineLevel="0" collapsed="false">
      <c r="A8168" s="0" t="s">
        <v>851</v>
      </c>
      <c r="B8168" s="0" t="s">
        <v>98</v>
      </c>
      <c r="E8168" s="6" t="n">
        <f aca="false">Sens!E8067*(cxit_open+self_build*tk_cxfac)/1000*ai_net_open</f>
        <v>126.6980382</v>
      </c>
      <c r="F8168" s="6" t="n">
        <f aca="false">Sens!E8168+Sens!F8093-Sens!F8096</f>
        <v>260.350054022471</v>
      </c>
      <c r="G8168" s="6" t="n">
        <f aca="false">Sens!F8168+Sens!G8093-Sens!G8096</f>
        <v>383.458974243894</v>
      </c>
      <c r="H8168" s="6" t="n">
        <f aca="false">Sens!G8168+Sens!H8093-Sens!H8096</f>
        <v>483.838417159718</v>
      </c>
      <c r="I8168" s="6" t="n">
        <f aca="false">Sens!H8168+Sens!I8093-Sens!I8096</f>
        <v>535.599519330305</v>
      </c>
      <c r="J8168" s="6" t="n">
        <f aca="false">Sens!I8168+Sens!J8093-Sens!J8096</f>
        <v>530.969758124293</v>
      </c>
      <c r="K8168" s="6" t="n">
        <f aca="false">Sens!J8168+Sens!K8093-Sens!K8096</f>
        <v>506.323019960319</v>
      </c>
      <c r="L8168" s="1" t="s">
        <v>852</v>
      </c>
    </row>
    <row r="8169" customFormat="false" ht="17.15" hidden="false" customHeight="false" outlineLevel="0" collapsed="false">
      <c r="A8169" s="0" t="s">
        <v>853</v>
      </c>
      <c r="B8169" s="0" t="s">
        <v>129</v>
      </c>
      <c r="F8169" s="7" t="n">
        <f aca="false">Sens!F8167*(1-tax_f)/((Sens!E8168+Sens!F8168)/2)</f>
        <v>0.11848628074988</v>
      </c>
      <c r="G8169" s="7" t="n">
        <f aca="false">Sens!G8167*(1-tax_f)/((Sens!F8168+Sens!G8168)/2)</f>
        <v>0.130807964207445</v>
      </c>
      <c r="H8169" s="7" t="n">
        <f aca="false">Sens!H8167*(1-tax_f)/((Sens!G8168+Sens!H8168)/2)</f>
        <v>0.152375624820929</v>
      </c>
      <c r="I8169" s="7" t="n">
        <f aca="false">Sens!I8167*(1-tax_f)/((Sens!H8168+Sens!I8168)/2)</f>
        <v>0.163126033346079</v>
      </c>
      <c r="J8169" s="7" t="n">
        <f aca="false">Sens!J8167*(1-tax_f)/((Sens!I8168+Sens!J8168)/2)</f>
        <v>0.178110267541796</v>
      </c>
      <c r="K8169" s="7" t="n">
        <f aca="false">Sens!K8167*(1-tax_f)/((Sens!J8168+Sens!K8168)/2)</f>
        <v>0.198491786333566</v>
      </c>
    </row>
    <row r="8170" customFormat="false" ht="17.15" hidden="false" customHeight="false" outlineLevel="0" collapsed="false">
      <c r="A8170" s="1" t="s">
        <v>854</v>
      </c>
      <c r="B8170" s="0" t="s">
        <v>129</v>
      </c>
      <c r="F8170" s="7" t="n">
        <f aca="false">(Sens!F8167-Sens!F8166)*(1-tax_f)/((Sens!E8168+Sens!F8168)/2)</f>
        <v>0.0396149143305442</v>
      </c>
      <c r="G8170" s="7" t="n">
        <f aca="false">(Sens!G8167-Sens!G8166)*(1-tax_f)/((Sens!F8168+Sens!G8168)/2)</f>
        <v>0.0498730535488484</v>
      </c>
      <c r="H8170" s="7" t="n">
        <f aca="false">(Sens!H8167-Sens!H8166)*(1-tax_f)/((Sens!G8168+Sens!H8168)/2)</f>
        <v>0.0649198444106418</v>
      </c>
      <c r="I8170" s="7" t="n">
        <f aca="false">(Sens!I8167-Sens!I8166)*(1-tax_f)/((Sens!H8168+Sens!I8168)/2)</f>
        <v>0.0669906914991448</v>
      </c>
      <c r="J8170" s="7" t="n">
        <f aca="false">(Sens!J8167-Sens!J8166)*(1-tax_f)/((Sens!I8168+Sens!J8168)/2)</f>
        <v>0.0715861208946418</v>
      </c>
      <c r="K8170" s="7" t="n">
        <f aca="false">(Sens!K8167-Sens!K8166)*(1-tax_f)/((Sens!J8168+Sens!K8168)/2)</f>
        <v>0.0811937439323056</v>
      </c>
    </row>
    <row r="8171" customFormat="false" ht="17.15" hidden="false" customHeight="false" outlineLevel="0" collapsed="false">
      <c r="A8171" s="1" t="s">
        <v>855</v>
      </c>
      <c r="B8171" s="0" t="s">
        <v>129</v>
      </c>
      <c r="F8171" s="7" t="n">
        <f aca="false">(Sens!F8167-Sens!F8166+Sens!F8165)*(1-tax_f)/((Sens!E8168+Sens!F8168)/2)</f>
        <v>0.11848628074988</v>
      </c>
      <c r="G8171" s="7" t="n">
        <f aca="false">(Sens!G8167-Sens!G8166+Sens!G8165)*(1-tax_f)/((Sens!F8168+Sens!G8168)/2)</f>
        <v>0.130807964207445</v>
      </c>
      <c r="H8171" s="7" t="n">
        <f aca="false">(Sens!H8167-Sens!H8166+Sens!H8165)*(1-tax_f)/((Sens!G8168+Sens!H8168)/2)</f>
        <v>0.152375624820929</v>
      </c>
      <c r="I8171" s="7" t="n">
        <f aca="false">(Sens!I8167-Sens!I8166+Sens!I8165)*(1-tax_f)/((Sens!H8168+Sens!I8168)/2)</f>
        <v>0.163126033346079</v>
      </c>
      <c r="J8171" s="7" t="n">
        <f aca="false">(Sens!J8167-Sens!J8166+Sens!J8165)*(1-tax_f)/((Sens!I8168+Sens!J8168)/2)</f>
        <v>0.178110267541796</v>
      </c>
      <c r="K8171" s="7" t="n">
        <f aca="false">(Sens!K8167-Sens!K8166+Sens!K8165)*(1-tax_f)/((Sens!J8168+Sens!K8168)/2)</f>
        <v>0.198491786333566</v>
      </c>
    </row>
    <row r="8172" customFormat="false" ht="17.15" hidden="false" customHeight="false" outlineLevel="0" collapsed="false">
      <c r="A8172" s="1" t="s">
        <v>856</v>
      </c>
      <c r="B8172" s="0" t="s">
        <v>129</v>
      </c>
      <c r="F8172" s="7" t="n">
        <f aca="false">Sens!F8097*(1-tax_f)/(Sens!F8084*(Sens!E8168+Sens!F8168)/2)</f>
        <v>0.153613806510079</v>
      </c>
      <c r="G8172" s="7" t="n">
        <f aca="false">Sens!G8097*(1-tax_f)/(Sens!G8084*(Sens!F8168+Sens!G8168)/2)</f>
        <v>0.174760503484306</v>
      </c>
      <c r="H8172" s="7" t="n">
        <f aca="false">Sens!H8097*(1-tax_f)/(Sens!H8084*(Sens!G8168+Sens!H8168)/2)</f>
        <v>0.207692291430058</v>
      </c>
      <c r="I8172" s="7" t="n">
        <f aca="false">Sens!I8097*(1-tax_f)/(Sens!I8084*(Sens!H8168+Sens!I8168)/2)</f>
        <v>0.221731317127483</v>
      </c>
      <c r="J8172" s="7" t="n">
        <f aca="false">Sens!J8097*(1-tax_f)/(Sens!J8084*(Sens!I8168+Sens!J8168)/2)</f>
        <v>0.241837208225694</v>
      </c>
      <c r="K8172" s="7" t="n">
        <f aca="false">Sens!K8097*(1-tax_f)/(Sens!K8084*(Sens!J8168+Sens!K8168)/2)</f>
        <v>0.269070254083129</v>
      </c>
    </row>
    <row r="8173" customFormat="false" ht="17.15" hidden="false" customHeight="false" outlineLevel="0" collapsed="false">
      <c r="A8173" s="0" t="s">
        <v>857</v>
      </c>
      <c r="B8173" s="0" t="s">
        <v>209</v>
      </c>
      <c r="F8173" s="7" t="n">
        <f aca="false">Sens!F8169-wacc</f>
        <v>0.0155518606570047</v>
      </c>
      <c r="G8173" s="7" t="n">
        <f aca="false">Sens!G8169-wacc</f>
        <v>0.0278735441145692</v>
      </c>
      <c r="H8173" s="7" t="n">
        <f aca="false">Sens!H8169-wacc</f>
        <v>0.0494412047280533</v>
      </c>
      <c r="I8173" s="7" t="n">
        <f aca="false">Sens!I8169-wacc</f>
        <v>0.0601916132532037</v>
      </c>
      <c r="J8173" s="7" t="n">
        <f aca="false">Sens!J8169-wacc</f>
        <v>0.0751758474489205</v>
      </c>
      <c r="K8173" s="7" t="n">
        <f aca="false">Sens!K8169-wacc</f>
        <v>0.0955573662406903</v>
      </c>
    </row>
    <row r="8174" customFormat="false" ht="17.15" hidden="false" customHeight="false" outlineLevel="0" collapsed="false">
      <c r="A8174" s="0" t="s">
        <v>858</v>
      </c>
      <c r="B8174" s="0" t="s">
        <v>98</v>
      </c>
      <c r="F8174" s="6" t="n">
        <f aca="false">Sens!F8167*(1-tax_f)-wacc*(Sens!E8168+Sens!F8168)/2</f>
        <v>3.00965899890169</v>
      </c>
      <c r="G8174" s="6" t="n">
        <f aca="false">Sens!G8167*(1-tax_f)-wacc*(Sens!F8168+Sens!G8168)/2</f>
        <v>8.97261967537024</v>
      </c>
      <c r="H8174" s="6" t="n">
        <f aca="false">Sens!H8167*(1-tax_f)-wacc*(Sens!G8168+Sens!H8168)/2</f>
        <v>21.4401139442463</v>
      </c>
      <c r="I8174" s="6" t="n">
        <f aca="false">Sens!I8167*(1-tax_f)-wacc*(Sens!H8168+Sens!I8168)/2</f>
        <v>30.6808070044258</v>
      </c>
      <c r="J8174" s="6" t="n">
        <f aca="false">Sens!J8167*(1-tax_f)-wacc*(Sens!I8168+Sens!J8168)/2</f>
        <v>40.0901246478161</v>
      </c>
      <c r="K8174" s="6" t="n">
        <f aca="false">Sens!K8167*(1-tax_f)-wacc*(Sens!J8168+Sens!K8168)/2</f>
        <v>49.5604829471271</v>
      </c>
    </row>
    <row r="8175" customFormat="false" ht="17.15" hidden="false" customHeight="false" outlineLevel="0" collapsed="false">
      <c r="A8175" s="3" t="s">
        <v>1447</v>
      </c>
    </row>
    <row r="8176" customFormat="false" ht="15" hidden="false" customHeight="false" outlineLevel="0" collapsed="false">
      <c r="A8176" s="4" t="s">
        <v>43</v>
      </c>
      <c r="B8176" s="4" t="s">
        <v>65</v>
      </c>
      <c r="C8176" s="20" t="s">
        <v>788</v>
      </c>
      <c r="D8176" s="20" t="s">
        <v>789</v>
      </c>
      <c r="E8176" s="20" t="s">
        <v>790</v>
      </c>
      <c r="F8176" s="20" t="s">
        <v>791</v>
      </c>
      <c r="G8176" s="20" t="s">
        <v>792</v>
      </c>
      <c r="H8176" s="20" t="s">
        <v>793</v>
      </c>
      <c r="I8176" s="20" t="s">
        <v>794</v>
      </c>
      <c r="J8176" s="20" t="s">
        <v>795</v>
      </c>
      <c r="K8176" s="20" t="s">
        <v>796</v>
      </c>
      <c r="L8176" s="4" t="s">
        <v>47</v>
      </c>
    </row>
    <row r="8177" customFormat="false" ht="15" hidden="false" customHeight="false" outlineLevel="0" collapsed="false">
      <c r="A8177" s="1" t="s">
        <v>915</v>
      </c>
      <c r="B8177" s="0" t="s">
        <v>98</v>
      </c>
      <c r="F8177" s="6" t="n">
        <f aca="false">Sens!F8158</f>
        <v>145.057067505017</v>
      </c>
      <c r="G8177" s="6" t="n">
        <f aca="false">Sens!G8158</f>
        <v>169.774309888198</v>
      </c>
      <c r="H8177" s="6" t="n">
        <f aca="false">Sens!H8158</f>
        <v>198.990343637004</v>
      </c>
      <c r="I8177" s="6" t="n">
        <f aca="false">Sens!I8158</f>
        <v>222.505853408244</v>
      </c>
      <c r="J8177" s="6" t="n">
        <f aca="false">Sens!J8158</f>
        <v>243.993789688399</v>
      </c>
      <c r="K8177" s="6" t="n">
        <f aca="false">Sens!K8158</f>
        <v>264.791765623047</v>
      </c>
    </row>
    <row r="8178" customFormat="false" ht="17.15" hidden="false" customHeight="false" outlineLevel="0" collapsed="false">
      <c r="A8178" s="1" t="s">
        <v>937</v>
      </c>
      <c r="B8178" s="0" t="s">
        <v>98</v>
      </c>
      <c r="E8178" s="6" t="n">
        <f aca="false">Q!M38-Sens!E8096</f>
        <v>22.2285940229167</v>
      </c>
      <c r="F8178" s="6" t="n">
        <f aca="false">Sens!E8178*(1-1/life_nonai)+Sens!F8184/life_nonai</f>
        <v>23.5885531427191</v>
      </c>
      <c r="G8178" s="6" t="n">
        <f aca="false">Sens!F8178*(1-1/life_nonai)+Sens!G8184/life_nonai</f>
        <v>25.4258837179903</v>
      </c>
      <c r="H8178" s="6" t="n">
        <f aca="false">Sens!G8178*(1-1/life_nonai)+Sens!H8184/life_nonai</f>
        <v>27.7246559038815</v>
      </c>
      <c r="I8178" s="6" t="n">
        <f aca="false">Sens!H8178*(1-1/life_nonai)+Sens!I8184/life_nonai</f>
        <v>30.4347145646696</v>
      </c>
      <c r="J8178" s="6" t="n">
        <f aca="false">Sens!I8178*(1-1/life_nonai)+Sens!J8184/life_nonai</f>
        <v>33.4941614707056</v>
      </c>
      <c r="K8178" s="6" t="n">
        <f aca="false">Sens!J8178*(1-1/life_nonai)+Sens!K8184/life_nonai</f>
        <v>36.8501369736474</v>
      </c>
      <c r="L8178" s="11" t="s">
        <v>938</v>
      </c>
    </row>
    <row r="8179" customFormat="false" ht="17.15" hidden="false" customHeight="false" outlineLevel="0" collapsed="false">
      <c r="A8179" s="1" t="s">
        <v>939</v>
      </c>
      <c r="B8179" s="0" t="s">
        <v>98</v>
      </c>
      <c r="E8179" s="6" t="n">
        <f aca="false">Sens!E8096+Sens!E8178</f>
        <v>38.534</v>
      </c>
      <c r="F8179" s="6" t="n">
        <f aca="false">Sens!F8096+Sens!F8178</f>
        <v>58.3083520993073</v>
      </c>
      <c r="G8179" s="6" t="n">
        <f aca="false">Sens!G8096+Sens!G8178</f>
        <v>85.8911439797669</v>
      </c>
      <c r="H8179" s="6" t="n">
        <f aca="false">Sens!H8096+Sens!H8178</f>
        <v>115.425498898458</v>
      </c>
      <c r="I8179" s="6" t="n">
        <f aca="false">Sens!I8096+Sens!I8178</f>
        <v>142.380281548328</v>
      </c>
      <c r="J8179" s="6" t="n">
        <f aca="false">Sens!J8096+Sens!J8178</f>
        <v>162.636399394808</v>
      </c>
      <c r="K8179" s="6" t="n">
        <f aca="false">Sens!K8096+Sens!K8178</f>
        <v>176.456310779558</v>
      </c>
    </row>
    <row r="8180" customFormat="false" ht="17.15" hidden="false" customHeight="false" outlineLevel="0" collapsed="false">
      <c r="A8180" s="1" t="s">
        <v>940</v>
      </c>
      <c r="B8180" s="0" t="s">
        <v>98</v>
      </c>
      <c r="F8180" s="6" t="n">
        <f aca="false">Sens!F8123*sbc_r</f>
        <v>15.1425532240266</v>
      </c>
      <c r="G8180" s="6" t="n">
        <f aca="false">Sens!G8123*sbc_r</f>
        <v>18.4449739203321</v>
      </c>
      <c r="H8180" s="6" t="n">
        <f aca="false">Sens!H8123*sbc_r</f>
        <v>22.0364192069281</v>
      </c>
      <c r="I8180" s="6" t="n">
        <f aca="false">Sens!I8123*sbc_r</f>
        <v>25.1789022104124</v>
      </c>
      <c r="J8180" s="6" t="n">
        <f aca="false">Sens!J8123*sbc_r</f>
        <v>27.8126272270652</v>
      </c>
      <c r="K8180" s="6" t="n">
        <f aca="false">Sens!K8123*sbc_r</f>
        <v>30.0334373489506</v>
      </c>
    </row>
    <row r="8181" customFormat="false" ht="17.15" hidden="false" customHeight="false" outlineLevel="0" collapsed="false">
      <c r="A8181" s="1" t="s">
        <v>941</v>
      </c>
      <c r="B8181" s="0" t="s">
        <v>98</v>
      </c>
      <c r="F8181" s="6" t="n">
        <f aca="false">wc27</f>
        <v>-4.895</v>
      </c>
      <c r="G8181" s="6" t="n">
        <f aca="false">wc_f</f>
        <v>0</v>
      </c>
      <c r="H8181" s="6" t="n">
        <f aca="false">wc_f</f>
        <v>0</v>
      </c>
      <c r="I8181" s="6" t="n">
        <f aca="false">wc_f</f>
        <v>0</v>
      </c>
      <c r="J8181" s="6" t="n">
        <f aca="false">wc_f</f>
        <v>0</v>
      </c>
      <c r="K8181" s="6" t="n">
        <f aca="false">wc_f</f>
        <v>0</v>
      </c>
      <c r="L8181" s="11" t="s">
        <v>942</v>
      </c>
    </row>
    <row r="8182" customFormat="false" ht="15" hidden="false" customHeight="false" outlineLevel="0" collapsed="false">
      <c r="A8182" s="1" t="s">
        <v>756</v>
      </c>
      <c r="B8182" s="0" t="s">
        <v>98</v>
      </c>
      <c r="E8182" s="6" t="n">
        <f aca="false">Q!M35</f>
        <v>182.935</v>
      </c>
      <c r="F8182" s="6" t="n">
        <f aca="false">Sens!F8177+Sens!F8179+Sens!F8180+Sens!F8181</f>
        <v>213.612972828351</v>
      </c>
      <c r="G8182" s="6" t="n">
        <f aca="false">Sens!G8177+Sens!G8179+Sens!G8180+Sens!G8181</f>
        <v>274.110427788297</v>
      </c>
      <c r="H8182" s="6" t="n">
        <f aca="false">Sens!H8177+Sens!H8179+Sens!H8180+Sens!H8181</f>
        <v>336.45226174239</v>
      </c>
      <c r="I8182" s="6" t="n">
        <f aca="false">Sens!I8177+Sens!I8179+Sens!I8180+Sens!I8181</f>
        <v>390.065037166984</v>
      </c>
      <c r="J8182" s="6" t="n">
        <f aca="false">Sens!J8177+Sens!J8179+Sens!J8180+Sens!J8181</f>
        <v>434.442816310272</v>
      </c>
      <c r="K8182" s="6" t="n">
        <f aca="false">Sens!K8177+Sens!K8179+Sens!K8180+Sens!K8181</f>
        <v>471.281513751555</v>
      </c>
    </row>
    <row r="8183" customFormat="false" ht="17.15" hidden="false" customHeight="false" outlineLevel="0" collapsed="false">
      <c r="A8183" s="0" t="s">
        <v>943</v>
      </c>
      <c r="B8183" s="0" t="s">
        <v>98</v>
      </c>
      <c r="F8183" s="6" t="n">
        <f aca="false">Sens!F8093</f>
        <v>168.371814779059</v>
      </c>
      <c r="G8183" s="6" t="n">
        <f aca="false">Sens!G8093</f>
        <v>183.5741804832</v>
      </c>
      <c r="H8183" s="6" t="n">
        <f aca="false">Sens!H8093</f>
        <v>188.0802859104</v>
      </c>
      <c r="I8183" s="6" t="n">
        <f aca="false">Sens!I8093</f>
        <v>163.706669154245</v>
      </c>
      <c r="J8183" s="6" t="n">
        <f aca="false">Sens!J8093</f>
        <v>124.51247671809</v>
      </c>
      <c r="K8183" s="6" t="n">
        <f aca="false">Sens!K8093</f>
        <v>114.959435641936</v>
      </c>
    </row>
    <row r="8184" customFormat="false" ht="17.15" hidden="false" customHeight="false" outlineLevel="0" collapsed="false">
      <c r="A8184" s="1" t="s">
        <v>944</v>
      </c>
      <c r="B8184" s="0" t="s">
        <v>98</v>
      </c>
      <c r="E8184" s="6" t="n">
        <f aca="false">Sens!E8101*cx_azo+Sens!E8108*cx_m365+Sens!E8109*cx_lic+(Sens!E8111+Sens!E8113)*cx_ind+Sens!E8116*cx_srch+(Sens!E8118+Sens!E8120)*cx_dev</f>
        <v>30.1846587067718</v>
      </c>
      <c r="F8184" s="6" t="n">
        <f aca="false">Sens!F8101*cx_azo+Sens!F8108*cx_m365+Sens!F8109*cx_lic+(Sens!F8111+Sens!F8113)*cx_ind+Sens!F8116*cx_srch+(Sens!F8118+Sens!F8120)*cx_dev</f>
        <v>35.8281852209409</v>
      </c>
      <c r="G8184" s="6" t="n">
        <f aca="false">Sens!G8101*cx_azo+Sens!G8108*cx_m365+Sens!G8109*cx_lic+(Sens!G8111+Sens!G8113)*cx_ind+Sens!G8116*cx_srch+(Sens!G8118+Sens!G8120)*cx_dev</f>
        <v>41.9618588954315</v>
      </c>
      <c r="H8184" s="6" t="n">
        <f aca="false">Sens!H8101*cx_azo+Sens!H8108*cx_m365+Sens!H8109*cx_lic+(Sens!H8111+Sens!H8113)*cx_ind+Sens!H8116*cx_srch+(Sens!H8118+Sens!H8120)*cx_dev</f>
        <v>48.413605576902</v>
      </c>
      <c r="I8184" s="6" t="n">
        <f aca="false">Sens!I8101*cx_azo+Sens!I8108*cx_m365+Sens!I8109*cx_lic+(Sens!I8111+Sens!I8113)*cx_ind+Sens!I8116*cx_srch+(Sens!I8118+Sens!I8120)*cx_dev</f>
        <v>54.8252425117621</v>
      </c>
      <c r="J8184" s="6" t="n">
        <f aca="false">Sens!J8101*cx_azo+Sens!J8108*cx_m365+Sens!J8109*cx_lic+(Sens!J8111+Sens!J8113)*cx_ind+Sens!J8116*cx_srch+(Sens!J8118+Sens!J8120)*cx_dev</f>
        <v>61.0291836250298</v>
      </c>
      <c r="K8184" s="6" t="n">
        <f aca="false">Sens!K8101*cx_azo+Sens!K8108*cx_m365+Sens!K8109*cx_lic+(Sens!K8111+Sens!K8113)*cx_ind+Sens!K8116*cx_srch+(Sens!K8118+Sens!K8120)*cx_dev</f>
        <v>67.0539165001234</v>
      </c>
    </row>
    <row r="8185" customFormat="false" ht="17.15" hidden="false" customHeight="false" outlineLevel="0" collapsed="false">
      <c r="A8185" s="1" t="s">
        <v>945</v>
      </c>
      <c r="B8185" s="0" t="s">
        <v>98</v>
      </c>
      <c r="E8185" s="6" t="n">
        <f aca="false">Q!M42</f>
        <v>145.3</v>
      </c>
      <c r="F8185" s="6" t="n">
        <f aca="false">Sens!F8183+Sens!F8184</f>
        <v>204.2</v>
      </c>
      <c r="G8185" s="6" t="n">
        <f aca="false">Sens!G8183+Sens!G8184</f>
        <v>225.536039378632</v>
      </c>
      <c r="H8185" s="6" t="n">
        <f aca="false">Sens!H8183+Sens!H8184</f>
        <v>236.493891487302</v>
      </c>
      <c r="I8185" s="6" t="n">
        <f aca="false">Sens!I8183+Sens!I8184</f>
        <v>218.531911666008</v>
      </c>
      <c r="J8185" s="6" t="n">
        <f aca="false">Sens!J8183+Sens!J8184</f>
        <v>185.54166034312</v>
      </c>
      <c r="K8185" s="6" t="n">
        <f aca="false">Sens!K8183+Sens!K8184</f>
        <v>182.013352142059</v>
      </c>
      <c r="L8185" s="1" t="s">
        <v>946</v>
      </c>
    </row>
    <row r="8186" customFormat="false" ht="15" hidden="false" customHeight="false" outlineLevel="0" collapsed="false">
      <c r="A8186" s="1" t="s">
        <v>947</v>
      </c>
      <c r="B8186" s="0" t="s">
        <v>98</v>
      </c>
      <c r="E8186" s="6" t="n">
        <f aca="false">fl_liab</f>
        <v>66.594</v>
      </c>
      <c r="F8186" s="6" t="n">
        <f aca="false">Sens!E8186-Sens!F8187</f>
        <v>62.46973</v>
      </c>
      <c r="G8186" s="6" t="n">
        <f aca="false">Sens!F8186-Sens!G8187</f>
        <v>57.98686785</v>
      </c>
      <c r="H8186" s="6" t="n">
        <f aca="false">Sens!G8186-Sens!H8187</f>
        <v>53.92827690325</v>
      </c>
      <c r="I8186" s="6" t="n">
        <f aca="false">Sens!H8186-Sens!I8187</f>
        <v>49.7850493638962</v>
      </c>
      <c r="J8186" s="6" t="n">
        <f aca="false">Sens!I8186-Sens!J8187</f>
        <v>45.4823765852716</v>
      </c>
      <c r="K8186" s="6" t="n">
        <f aca="false">Sens!J8186-Sens!K8187</f>
        <v>40.9860835316088</v>
      </c>
    </row>
    <row r="8187" customFormat="false" ht="15" hidden="false" customHeight="false" outlineLevel="0" collapsed="false">
      <c r="A8187" s="1" t="s">
        <v>948</v>
      </c>
      <c r="B8187" s="0" t="s">
        <v>98</v>
      </c>
      <c r="F8187" s="6" t="n">
        <f aca="false">fl_pay_27-Sens!E8186*fl_rate</f>
        <v>4.12427</v>
      </c>
      <c r="G8187" s="6" t="n">
        <f aca="false">fl_pay_28-Sens!F8186*fl_rate</f>
        <v>4.48286215</v>
      </c>
      <c r="H8187" s="6" t="n">
        <f aca="false">fl_pay_29-Sens!G8186*fl_rate</f>
        <v>4.05859094675</v>
      </c>
      <c r="I8187" s="6" t="n">
        <f aca="false">fl_pay_30-Sens!H8186*fl_rate</f>
        <v>4.14322753935375</v>
      </c>
      <c r="J8187" s="6" t="n">
        <f aca="false">fl_pay_31-Sens!I8186*fl_rate</f>
        <v>4.30267277862467</v>
      </c>
      <c r="K8187" s="6" t="n">
        <f aca="false">fl_pay_32-Sens!J8186*fl_rate</f>
        <v>4.49629305366278</v>
      </c>
    </row>
    <row r="8188" customFormat="false" ht="17.15" hidden="false" customHeight="false" outlineLevel="0" collapsed="false">
      <c r="A8188" s="1" t="s">
        <v>949</v>
      </c>
      <c r="B8188" s="0" t="s">
        <v>98</v>
      </c>
      <c r="E8188" s="6" t="n">
        <f aca="false">Q!M35-Q!M36-Q!M43</f>
        <v>63.886</v>
      </c>
      <c r="F8188" s="6" t="n">
        <f aca="false">Sens!F8182-Sens!F8185-Sens!F8187</f>
        <v>5.28870282835086</v>
      </c>
      <c r="G8188" s="6" t="n">
        <f aca="false">Sens!G8182-Sens!G8185-Sens!G8187</f>
        <v>44.0915262596656</v>
      </c>
      <c r="H8188" s="6" t="n">
        <f aca="false">Sens!H8182-Sens!H8185-Sens!H8187</f>
        <v>95.8997793083382</v>
      </c>
      <c r="I8188" s="6" t="n">
        <f aca="false">Sens!I8182-Sens!I8185-Sens!I8187</f>
        <v>167.389897961622</v>
      </c>
      <c r="J8188" s="6" t="n">
        <f aca="false">Sens!J8182-Sens!J8185-Sens!J8187</f>
        <v>244.598483188527</v>
      </c>
      <c r="K8188" s="6" t="n">
        <f aca="false">Sens!K8182-Sens!K8185-Sens!K8187</f>
        <v>284.771868555833</v>
      </c>
      <c r="L8188" s="11" t="s">
        <v>950</v>
      </c>
    </row>
    <row r="8189" customFormat="false" ht="15" hidden="false" customHeight="false" outlineLevel="0" collapsed="false">
      <c r="A8189" s="1" t="s">
        <v>951</v>
      </c>
      <c r="B8189" s="0" t="s">
        <v>75</v>
      </c>
      <c r="F8189" s="8" t="n">
        <f aca="false">dps_27</f>
        <v>3.85</v>
      </c>
      <c r="G8189" s="8" t="n">
        <f aca="false">Sens!F8189*(1+dps_g)</f>
        <v>4.158</v>
      </c>
      <c r="H8189" s="8" t="n">
        <f aca="false">Sens!G8189*(1+dps_g)</f>
        <v>4.49064</v>
      </c>
      <c r="I8189" s="8" t="n">
        <f aca="false">Sens!H8189*(1+dps_g)</f>
        <v>4.8498912</v>
      </c>
      <c r="J8189" s="8" t="n">
        <f aca="false">Sens!I8189*(1+dps_g)</f>
        <v>5.237882496</v>
      </c>
      <c r="K8189" s="8" t="n">
        <f aca="false">Sens!J8189*(1+dps_g)</f>
        <v>5.65691309568</v>
      </c>
    </row>
    <row r="8190" customFormat="false" ht="17.15" hidden="false" customHeight="false" outlineLevel="0" collapsed="false">
      <c r="A8190" s="1" t="s">
        <v>952</v>
      </c>
      <c r="B8190" s="0" t="s">
        <v>98</v>
      </c>
      <c r="E8190" s="6" t="n">
        <f aca="false">Q!M41</f>
        <v>26.445</v>
      </c>
      <c r="F8190" s="6" t="n">
        <f aca="false">Sens!F8189*Sens!E8199</f>
        <v>28.59395</v>
      </c>
      <c r="G8190" s="6" t="n">
        <f aca="false">Sens!G8189*Sens!F8199</f>
        <v>31.068576</v>
      </c>
      <c r="H8190" s="6" t="n">
        <f aca="false">Sens!H8189*Sens!G8199</f>
        <v>33.6583089036617</v>
      </c>
      <c r="I8190" s="6" t="n">
        <f aca="false">Sens!I8189*Sens!H8199</f>
        <v>36.4019128559541</v>
      </c>
      <c r="J8190" s="6" t="n">
        <f aca="false">Sens!J8189*Sens!I8199</f>
        <v>39.3824647327499</v>
      </c>
      <c r="K8190" s="6" t="n">
        <f aca="false">Sens!K8189*Sens!J8199</f>
        <v>42.6203171366749</v>
      </c>
      <c r="L8190" s="1" t="s">
        <v>953</v>
      </c>
    </row>
    <row r="8191" customFormat="false" ht="15" hidden="false" customHeight="false" outlineLevel="0" collapsed="false">
      <c r="A8191" s="1" t="s">
        <v>954</v>
      </c>
      <c r="B8191" s="0" t="s">
        <v>98</v>
      </c>
      <c r="E8191" s="6" t="n">
        <f aca="false">Sens!E8188-Sens!E8190</f>
        <v>37.441</v>
      </c>
      <c r="F8191" s="6" t="n">
        <f aca="false">Sens!F8188-Sens!F8190</f>
        <v>-23.3052471716491</v>
      </c>
      <c r="G8191" s="6" t="n">
        <f aca="false">Sens!G8188-Sens!G8190</f>
        <v>13.0229502596656</v>
      </c>
      <c r="H8191" s="6" t="n">
        <f aca="false">Sens!H8188-Sens!H8190</f>
        <v>62.2414704046765</v>
      </c>
      <c r="I8191" s="6" t="n">
        <f aca="false">Sens!I8188-Sens!I8190</f>
        <v>130.987985105668</v>
      </c>
      <c r="J8191" s="6" t="n">
        <f aca="false">Sens!J8188-Sens!J8190</f>
        <v>205.216018455777</v>
      </c>
      <c r="K8191" s="6" t="n">
        <f aca="false">Sens!K8188-Sens!K8190</f>
        <v>242.151551419158</v>
      </c>
    </row>
    <row r="8192" customFormat="false" ht="15" hidden="false" customHeight="false" outlineLevel="0" collapsed="false">
      <c r="A8192" s="1" t="s">
        <v>955</v>
      </c>
      <c r="B8192" s="0" t="s">
        <v>98</v>
      </c>
      <c r="F8192" s="6" t="n">
        <f aca="false">debt_mat_27</f>
        <v>9.25</v>
      </c>
      <c r="G8192" s="6" t="n">
        <f aca="false">debt_mat_28</f>
        <v>0</v>
      </c>
      <c r="H8192" s="6" t="n">
        <f aca="false">debt_mat_29</f>
        <v>2.001</v>
      </c>
      <c r="I8192" s="6" t="n">
        <f aca="false">debt_mat_30</f>
        <v>0</v>
      </c>
      <c r="J8192" s="6" t="n">
        <f aca="false">debt_mat_31</f>
        <v>0.5</v>
      </c>
      <c r="K8192" s="6" t="n">
        <f aca="false">debt_mat_32</f>
        <v>0</v>
      </c>
    </row>
    <row r="8193" customFormat="false" ht="15" hidden="false" customHeight="false" outlineLevel="0" collapsed="false">
      <c r="A8193" s="1" t="s">
        <v>956</v>
      </c>
      <c r="B8193" s="0" t="s">
        <v>98</v>
      </c>
      <c r="E8193" s="6" t="n">
        <f aca="false">Q!M40</f>
        <v>22.271</v>
      </c>
      <c r="F8193" s="6" t="n">
        <f aca="false">MAX(0,MIN(bb_target,Sens!E8195+Sens!F8191-Sens!F8192-min_cash))</f>
        <v>0</v>
      </c>
      <c r="G8193" s="6" t="n">
        <f aca="false">MAX(0,MIN(bb_target,Sens!F8195+Sens!G8191-Sens!G8192-min_cash))</f>
        <v>13.0229502596656</v>
      </c>
      <c r="H8193" s="6" t="n">
        <f aca="false">MAX(0,MIN(bb_target,Sens!G8195+Sens!H8191-Sens!H8192-min_cash))</f>
        <v>22.271</v>
      </c>
      <c r="I8193" s="6" t="n">
        <f aca="false">MAX(0,MIN(bb_target,Sens!H8195+Sens!I8191-Sens!I8192-min_cash))</f>
        <v>22.271</v>
      </c>
      <c r="J8193" s="6" t="n">
        <f aca="false">MAX(0,MIN(bb_target,Sens!I8195+Sens!J8191-Sens!J8192-min_cash))</f>
        <v>22.271</v>
      </c>
      <c r="K8193" s="6" t="n">
        <f aca="false">MAX(0,MIN(bb_target,Sens!J8195+Sens!K8191-Sens!K8192-min_cash))</f>
        <v>22.271</v>
      </c>
    </row>
    <row r="8194" customFormat="false" ht="15" hidden="false" customHeight="false" outlineLevel="0" collapsed="false">
      <c r="A8194" s="1" t="s">
        <v>957</v>
      </c>
      <c r="B8194" s="0" t="s">
        <v>98</v>
      </c>
      <c r="F8194" s="6" t="n">
        <f aca="false">MAX(0,min_cash-(Sens!E8195+Sens!F8191-Sens!F8192-Sens!F8193))</f>
        <v>5.71224717164914</v>
      </c>
      <c r="G8194" s="6" t="n">
        <f aca="false">MAX(0,min_cash-(Sens!F8195+Sens!G8191-Sens!G8192-Sens!G8193))</f>
        <v>0</v>
      </c>
      <c r="H8194" s="6" t="n">
        <f aca="false">MAX(0,min_cash-(Sens!G8195+Sens!H8191-Sens!H8192-Sens!H8193))</f>
        <v>0</v>
      </c>
      <c r="I8194" s="6" t="n">
        <f aca="false">MAX(0,min_cash-(Sens!H8195+Sens!I8191-Sens!I8192-Sens!I8193))</f>
        <v>0</v>
      </c>
      <c r="J8194" s="6" t="n">
        <f aca="false">MAX(0,min_cash-(Sens!I8195+Sens!J8191-Sens!J8192-Sens!J8193))</f>
        <v>0</v>
      </c>
      <c r="K8194" s="6" t="n">
        <f aca="false">MAX(0,min_cash-(Sens!J8195+Sens!K8191-Sens!K8192-Sens!K8193))</f>
        <v>0</v>
      </c>
    </row>
    <row r="8195" customFormat="false" ht="15" hidden="false" customHeight="false" outlineLevel="0" collapsed="false">
      <c r="A8195" s="1" t="s">
        <v>958</v>
      </c>
      <c r="B8195" s="0" t="s">
        <v>98</v>
      </c>
      <c r="E8195" s="6" t="n">
        <f aca="false">cash_open</f>
        <v>76.843</v>
      </c>
      <c r="F8195" s="6" t="n">
        <f aca="false">Sens!E8195+Sens!F8191-Sens!F8192-Sens!F8193+Sens!F8194</f>
        <v>50</v>
      </c>
      <c r="G8195" s="6" t="n">
        <f aca="false">Sens!F8195+Sens!G8191-Sens!G8192-Sens!G8193+Sens!G8194</f>
        <v>50</v>
      </c>
      <c r="H8195" s="6" t="n">
        <f aca="false">Sens!G8195+Sens!H8191-Sens!H8192-Sens!H8193+Sens!H8194</f>
        <v>87.9694704046765</v>
      </c>
      <c r="I8195" s="6" t="n">
        <f aca="false">Sens!H8195+Sens!I8191-Sens!I8192-Sens!I8193+Sens!I8194</f>
        <v>196.686455510345</v>
      </c>
      <c r="J8195" s="6" t="n">
        <f aca="false">Sens!I8195+Sens!J8191-Sens!J8192-Sens!J8193+Sens!J8194</f>
        <v>379.131473966122</v>
      </c>
      <c r="K8195" s="6" t="n">
        <f aca="false">Sens!J8195+Sens!K8191-Sens!K8192-Sens!K8193+Sens!K8194</f>
        <v>599.01202538528</v>
      </c>
    </row>
    <row r="8196" customFormat="false" ht="15" hidden="false" customHeight="false" outlineLevel="0" collapsed="false">
      <c r="A8196" s="1" t="s">
        <v>959</v>
      </c>
      <c r="B8196" s="0" t="s">
        <v>98</v>
      </c>
      <c r="E8196" s="6" t="n">
        <f aca="false">debt_face</f>
        <v>46.136</v>
      </c>
      <c r="F8196" s="6" t="n">
        <f aca="false">Sens!E8196-Sens!F8192+Sens!F8194</f>
        <v>42.5982471716491</v>
      </c>
      <c r="G8196" s="6" t="n">
        <f aca="false">Sens!F8196-Sens!G8192+Sens!G8194</f>
        <v>42.5982471716491</v>
      </c>
      <c r="H8196" s="6" t="n">
        <f aca="false">Sens!G8196-Sens!H8192+Sens!H8194</f>
        <v>40.5972471716491</v>
      </c>
      <c r="I8196" s="6" t="n">
        <f aca="false">Sens!H8196-Sens!I8192+Sens!I8194</f>
        <v>40.5972471716491</v>
      </c>
      <c r="J8196" s="6" t="n">
        <f aca="false">Sens!I8196-Sens!J8192+Sens!J8194</f>
        <v>40.0972471716491</v>
      </c>
      <c r="K8196" s="6" t="n">
        <f aca="false">Sens!J8196-Sens!K8192+Sens!K8194</f>
        <v>40.0972471716491</v>
      </c>
    </row>
    <row r="8197" customFormat="false" ht="15" hidden="false" customHeight="false" outlineLevel="0" collapsed="false">
      <c r="A8197" s="1" t="s">
        <v>960</v>
      </c>
      <c r="B8197" s="0" t="s">
        <v>98</v>
      </c>
      <c r="E8197" s="6" t="n">
        <f aca="false">Sens!E8195-Sens!E8196</f>
        <v>30.707</v>
      </c>
      <c r="F8197" s="6" t="n">
        <f aca="false">Sens!F8195-Sens!F8196</f>
        <v>7.40175282835086</v>
      </c>
      <c r="G8197" s="6" t="n">
        <f aca="false">Sens!G8195-Sens!G8196</f>
        <v>7.40175282835086</v>
      </c>
      <c r="H8197" s="6" t="n">
        <f aca="false">Sens!H8195-Sens!H8196</f>
        <v>47.3722232330273</v>
      </c>
      <c r="I8197" s="6" t="n">
        <f aca="false">Sens!I8195-Sens!I8196</f>
        <v>156.089208338695</v>
      </c>
      <c r="J8197" s="6" t="n">
        <f aca="false">Sens!J8195-Sens!J8196</f>
        <v>339.034226794473</v>
      </c>
      <c r="K8197" s="6" t="n">
        <f aca="false">Sens!K8195-Sens!K8196</f>
        <v>558.914778213631</v>
      </c>
    </row>
    <row r="8198" customFormat="false" ht="15" hidden="false" customHeight="false" outlineLevel="0" collapsed="false">
      <c r="A8198" s="1" t="s">
        <v>961</v>
      </c>
      <c r="B8198" s="0" t="s">
        <v>75</v>
      </c>
      <c r="F8198" s="29" t="n">
        <f aca="false">px*(1+bb_g)^(Sens!F8062-base_fy-mid_yr)</f>
        <v>553.494156066711</v>
      </c>
      <c r="G8198" s="29" t="n">
        <f aca="false">px*(1+bb_g)^(Sens!G8062-base_fy-mid_yr)</f>
        <v>597.773688552047</v>
      </c>
      <c r="H8198" s="29" t="n">
        <f aca="false">px*(1+bb_g)^(Sens!H8062-base_fy-mid_yr)</f>
        <v>645.595583636211</v>
      </c>
      <c r="I8198" s="29" t="n">
        <f aca="false">px*(1+bb_g)^(Sens!I8062-base_fy-mid_yr)</f>
        <v>697.243230327108</v>
      </c>
      <c r="J8198" s="29" t="n">
        <f aca="false">px*(1+bb_g)^(Sens!J8062-base_fy-mid_yr)</f>
        <v>753.022688753277</v>
      </c>
      <c r="K8198" s="29" t="n">
        <f aca="false">px*(1+bb_g)^(Sens!K8062-base_fy-mid_yr)</f>
        <v>813.264503853539</v>
      </c>
    </row>
    <row r="8199" customFormat="false" ht="15" hidden="false" customHeight="false" outlineLevel="0" collapsed="false">
      <c r="A8199" s="1" t="s">
        <v>962</v>
      </c>
      <c r="B8199" s="1" t="s">
        <v>81</v>
      </c>
      <c r="E8199" s="14" t="n">
        <f aca="false">sh_out26</f>
        <v>7.427</v>
      </c>
      <c r="F8199" s="14" t="n">
        <f aca="false">Sens!E8199+sh_iss-Sens!F8193/Sens!F8198</f>
        <v>7.472</v>
      </c>
      <c r="G8199" s="14" t="n">
        <f aca="false">Sens!F8199+sh_iss-Sens!G8193/Sens!G8198</f>
        <v>7.49521424644633</v>
      </c>
      <c r="H8199" s="14" t="n">
        <f aca="false">Sens!G8199+sh_iss-Sens!H8193/Sens!H8198</f>
        <v>7.50571741814623</v>
      </c>
      <c r="I8199" s="14" t="n">
        <f aca="false">Sens!H8199+sh_iss-Sens!I8193/Sens!I8198</f>
        <v>7.51877591046095</v>
      </c>
      <c r="J8199" s="14" t="n">
        <f aca="false">Sens!I8199+sh_iss-Sens!J8193/Sens!J8198</f>
        <v>7.53420044038199</v>
      </c>
      <c r="K8199" s="14" t="n">
        <f aca="false">Sens!J8199+sh_iss-Sens!K8193/Sens!K8198</f>
        <v>7.55181574586444</v>
      </c>
    </row>
    <row r="8200" customFormat="false" ht="15" hidden="false" customHeight="false" outlineLevel="0" collapsed="false">
      <c r="A8200" s="1" t="s">
        <v>963</v>
      </c>
      <c r="B8200" s="1" t="s">
        <v>81</v>
      </c>
      <c r="E8200" s="14" t="n">
        <f aca="false">sh_dil26</f>
        <v>7.453</v>
      </c>
      <c r="F8200" s="14" t="n">
        <f aca="false">(Sens!E8199+Sens!F8199)/2+dil_gap</f>
        <v>7.4735</v>
      </c>
      <c r="G8200" s="14" t="n">
        <f aca="false">(Sens!F8199+Sens!G8199)/2+dil_gap</f>
        <v>7.50760712322316</v>
      </c>
      <c r="H8200" s="14" t="n">
        <f aca="false">(Sens!G8199+Sens!H8199)/2+dil_gap</f>
        <v>7.52446583229628</v>
      </c>
      <c r="I8200" s="14" t="n">
        <f aca="false">(Sens!H8199+Sens!I8199)/2+dil_gap</f>
        <v>7.53624666430359</v>
      </c>
      <c r="J8200" s="14" t="n">
        <f aca="false">(Sens!I8199+Sens!J8199)/2+dil_gap</f>
        <v>7.55048817542147</v>
      </c>
      <c r="K8200" s="14" t="n">
        <f aca="false">(Sens!J8199+Sens!K8199)/2+dil_gap</f>
        <v>7.56700809312321</v>
      </c>
    </row>
    <row r="8201" customFormat="false" ht="17.15" hidden="false" customHeight="false" outlineLevel="0" collapsed="false">
      <c r="A8201" s="1" t="s">
        <v>964</v>
      </c>
      <c r="B8201" s="0" t="s">
        <v>98</v>
      </c>
      <c r="C8201" s="6" t="n">
        <f aca="false">SUM(Sens!F8191:J8191)</f>
        <v>388.163177054138</v>
      </c>
    </row>
    <row r="8202" customFormat="false" ht="15" hidden="false" customHeight="false" outlineLevel="0" collapsed="false">
      <c r="A8202" s="23" t="s">
        <v>935</v>
      </c>
      <c r="B8202" s="30" t="s">
        <v>98</v>
      </c>
      <c r="C8202" s="24" t="n">
        <f aca="false">Sens!$C$8201-(Sens!F8191+Sens!G8191+Sens!H8191+Sens!I8191+Sens!J8191)</f>
        <v>0</v>
      </c>
      <c r="D8202" s="30"/>
      <c r="E8202" s="30"/>
      <c r="F8202" s="30"/>
      <c r="G8202" s="30"/>
      <c r="H8202" s="30"/>
      <c r="I8202" s="30"/>
      <c r="J8202" s="30"/>
      <c r="K8202" s="30"/>
    </row>
    <row r="8203" customFormat="false" ht="17.15" hidden="false" customHeight="false" outlineLevel="0" collapsed="false">
      <c r="A8203" s="1" t="s">
        <v>929</v>
      </c>
      <c r="B8203" s="1" t="s">
        <v>965</v>
      </c>
      <c r="C8203" s="32" t="str">
        <f aca="false">IF(SUM(Sens!F8194:J8194)&gt;0.05,"需要舉債 "&amp;TEXT(SUM(Sens!F8194:J8194),"0.0")&amp;" 十億美元","不需舉債")&amp;"；"&amp;IF(SUM(Sens!F8193:J8193)&lt;COUNT(Sens!F8193:J8193)*bb_target-0.05,"回購較每年 "&amp;TEXT(bb_target,"0.0")&amp;" 的目標少 "&amp;TEXT(COUNT(Sens!F8193:J8193)*bb_target-SUM(Sens!F8193:J8193),"0.0")&amp;" 十億美元（"&amp;TEXT(COUNTIF(Sens!F8193:J8193,"&lt;"&amp;(bb_target-0.05)),"0")&amp;" 年減少）","回購不減")</f>
        <v>需要舉債 5.7 十億美元；回購較每年 22.3 的目標少 31.5 十億美元（2 年減少）</v>
      </c>
    </row>
    <row r="8204" customFormat="false" ht="17.15" hidden="false" customHeight="false" outlineLevel="0" collapsed="false">
      <c r="A8204" s="3" t="s">
        <v>1448</v>
      </c>
    </row>
    <row r="8205" customFormat="false" ht="15" hidden="false" customHeight="false" outlineLevel="0" collapsed="false">
      <c r="A8205" s="4" t="s">
        <v>43</v>
      </c>
      <c r="B8205" s="4" t="s">
        <v>65</v>
      </c>
      <c r="C8205" s="20" t="s">
        <v>788</v>
      </c>
      <c r="D8205" s="20" t="s">
        <v>789</v>
      </c>
      <c r="E8205" s="20" t="s">
        <v>790</v>
      </c>
      <c r="F8205" s="20" t="s">
        <v>791</v>
      </c>
      <c r="G8205" s="20" t="s">
        <v>792</v>
      </c>
      <c r="H8205" s="20" t="s">
        <v>793</v>
      </c>
      <c r="I8205" s="20" t="s">
        <v>794</v>
      </c>
      <c r="J8205" s="20" t="s">
        <v>795</v>
      </c>
      <c r="K8205" s="20" t="s">
        <v>796</v>
      </c>
      <c r="L8205" s="4" t="s">
        <v>47</v>
      </c>
    </row>
    <row r="8206" customFormat="false" ht="15" hidden="false" customHeight="false" outlineLevel="0" collapsed="false">
      <c r="A8206" s="1" t="s">
        <v>1042</v>
      </c>
      <c r="B8206" s="1" t="s">
        <v>235</v>
      </c>
      <c r="F8206" s="36" t="n">
        <f aca="false">Sens!F8062-base_fy-mid_yr</f>
        <v>0.5</v>
      </c>
      <c r="G8206" s="36" t="n">
        <f aca="false">Sens!G8062-base_fy-mid_yr</f>
        <v>1.5</v>
      </c>
      <c r="H8206" s="36" t="n">
        <f aca="false">Sens!H8062-base_fy-mid_yr</f>
        <v>2.5</v>
      </c>
      <c r="I8206" s="36" t="n">
        <f aca="false">Sens!I8062-base_fy-mid_yr</f>
        <v>3.5</v>
      </c>
      <c r="J8206" s="36" t="n">
        <f aca="false">Sens!J8062-base_fy-mid_yr</f>
        <v>4.5</v>
      </c>
      <c r="K8206" s="36" t="n">
        <f aca="false">Sens!K8062-base_fy-mid_yr</f>
        <v>5.5</v>
      </c>
    </row>
    <row r="8207" customFormat="false" ht="15" hidden="false" customHeight="false" outlineLevel="0" collapsed="false">
      <c r="A8207" s="1" t="s">
        <v>1043</v>
      </c>
      <c r="B8207" s="0" t="s">
        <v>185</v>
      </c>
      <c r="F8207" s="14" t="n">
        <f aca="false">1/(1+wacc)^Sens!F8206</f>
        <v>0.952193373608246</v>
      </c>
      <c r="G8207" s="14" t="n">
        <f aca="false">1/(1+wacc)^Sens!G8206</f>
        <v>0.863327280626589</v>
      </c>
      <c r="H8207" s="14" t="n">
        <f aca="false">1/(1+wacc)^Sens!H8206</f>
        <v>0.782754862754115</v>
      </c>
      <c r="I8207" s="14" t="n">
        <f aca="false">1/(1+wacc)^Sens!I8206</f>
        <v>0.709702089711011</v>
      </c>
      <c r="J8207" s="14" t="n">
        <f aca="false">1/(1+wacc)^Sens!J8206</f>
        <v>0.643467169744551</v>
      </c>
      <c r="K8207" s="14" t="n">
        <f aca="false">1/(1+wacc)^Sens!K8206</f>
        <v>0.583413807767797</v>
      </c>
    </row>
    <row r="8208" customFormat="false" ht="17.15" hidden="false" customHeight="false" outlineLevel="0" collapsed="false">
      <c r="A8208" s="1" t="s">
        <v>1044</v>
      </c>
      <c r="B8208" s="0" t="s">
        <v>98</v>
      </c>
      <c r="F8208" s="6" t="n">
        <f aca="false">Sens!F8182-Sens!F8180-Sens!F8185+Sens!F8166*(1-tax_f)</f>
        <v>9.53392555611599</v>
      </c>
      <c r="G8208" s="6" t="n">
        <f aca="false">Sens!G8182-Sens!G8180-Sens!G8185+Sens!G8166*(1-tax_f)</f>
        <v>56.1827275813016</v>
      </c>
      <c r="H8208" s="6" t="n">
        <f aca="false">Sens!H8182-Sens!H8180-Sens!H8185+Sens!H8166*(1-tax_f)</f>
        <v>115.847036154665</v>
      </c>
      <c r="I8208" s="6" t="n">
        <f aca="false">Sens!I8182-Sens!I8180-Sens!I8185+Sens!I8166*(1-tax_f)</f>
        <v>195.356230548665</v>
      </c>
      <c r="J8208" s="6" t="n">
        <f aca="false">Sens!J8182-Sens!J8180-Sens!J8185+Sens!J8166*(1-tax_f)</f>
        <v>277.896219800548</v>
      </c>
      <c r="K8208" s="6" t="n">
        <f aca="false">Sens!K8182-Sens!K8180-Sens!K8185+Sens!K8166*(1-tax_f)</f>
        <v>320.07093039369</v>
      </c>
      <c r="L8208" s="1" t="s">
        <v>1045</v>
      </c>
    </row>
    <row r="8209" customFormat="false" ht="15" hidden="false" customHeight="false" outlineLevel="0" collapsed="false">
      <c r="A8209" s="1" t="s">
        <v>1046</v>
      </c>
      <c r="B8209" s="0" t="s">
        <v>98</v>
      </c>
      <c r="F8209" s="6" t="n">
        <f aca="false">Sens!F8208*Sens!F8207</f>
        <v>9.07814073900796</v>
      </c>
      <c r="G8209" s="6" t="n">
        <f aca="false">Sens!G8208*Sens!G8207</f>
        <v>48.5040814209496</v>
      </c>
      <c r="H8209" s="6" t="n">
        <f aca="false">Sens!H8208*Sens!H8207</f>
        <v>90.6798308857156</v>
      </c>
      <c r="I8209" s="6" t="n">
        <f aca="false">Sens!I8208*Sens!I8207</f>
        <v>138.644725058453</v>
      </c>
      <c r="J8209" s="6" t="n">
        <f aca="false">Sens!J8208*Sens!J8207</f>
        <v>178.817094037769</v>
      </c>
      <c r="K8209" s="6" t="n">
        <f aca="false">Sens!K8208*Sens!K8207</f>
        <v>186.733800256764</v>
      </c>
    </row>
    <row r="8210" customFormat="false" ht="17.15" hidden="false" customHeight="false" outlineLevel="0" collapsed="false">
      <c r="A8210" s="1" t="s">
        <v>1047</v>
      </c>
      <c r="B8210" s="0" t="s">
        <v>98</v>
      </c>
      <c r="C8210" s="6" t="n">
        <f aca="false">SUM(Sens!F8209:K8209)</f>
        <v>652.457672398659</v>
      </c>
    </row>
    <row r="8211" customFormat="false" ht="17.15" hidden="false" customHeight="false" outlineLevel="0" collapsed="false">
      <c r="A8211" s="1" t="s">
        <v>1048</v>
      </c>
      <c r="B8211" s="0" t="s">
        <v>98</v>
      </c>
      <c r="C8211" s="6" t="n">
        <f aca="false">Sens!K8152*(1+g_tv)*(1-tax_f)</f>
        <v>335.726410908877</v>
      </c>
    </row>
    <row r="8212" customFormat="false" ht="17.15" hidden="false" customHeight="false" outlineLevel="0" collapsed="false">
      <c r="A8212" s="1" t="s">
        <v>1049</v>
      </c>
      <c r="B8212" s="0" t="s">
        <v>98</v>
      </c>
      <c r="C8212" s="6" t="n">
        <f aca="false">Sens!$C$8211*(1-g_tv/(wacc+ronic_prem))</f>
        <v>237.879720577512</v>
      </c>
    </row>
    <row r="8213" customFormat="false" ht="17.15" hidden="false" customHeight="false" outlineLevel="0" collapsed="false">
      <c r="A8213" s="1" t="s">
        <v>1050</v>
      </c>
      <c r="B8213" s="0" t="s">
        <v>98</v>
      </c>
      <c r="C8213" s="6" t="n">
        <f aca="false">Sens!$C$8212/(wacc-g_tv)</f>
        <v>3261.55634437886</v>
      </c>
    </row>
    <row r="8214" customFormat="false" ht="15" hidden="false" customHeight="false" outlineLevel="0" collapsed="false">
      <c r="A8214" s="1" t="s">
        <v>1051</v>
      </c>
      <c r="B8214" s="0" t="s">
        <v>98</v>
      </c>
      <c r="C8214" s="6" t="n">
        <f aca="false">Sens!$C$8213/(1+wacc)^(Sens!K8206+mid_yr)</f>
        <v>1811.86878828715</v>
      </c>
    </row>
    <row r="8215" customFormat="false" ht="17.15" hidden="false" customHeight="false" outlineLevel="0" collapsed="false">
      <c r="A8215" s="0" t="s">
        <v>972</v>
      </c>
      <c r="B8215" s="0" t="s">
        <v>98</v>
      </c>
      <c r="C8215" s="6" t="n">
        <f aca="false">Sens!$C$8210+Sens!$C$8214</f>
        <v>2464.3264606858</v>
      </c>
    </row>
    <row r="8216" customFormat="false" ht="15" hidden="false" customHeight="false" outlineLevel="0" collapsed="false">
      <c r="A8216" s="1" t="s">
        <v>973</v>
      </c>
      <c r="B8216" s="0" t="s">
        <v>129</v>
      </c>
      <c r="C8216" s="7" t="n">
        <f aca="false">Sens!$C$8214/Sens!$C$8215</f>
        <v>0.735238945485703</v>
      </c>
    </row>
    <row r="8217" customFormat="false" ht="17.15" hidden="false" customHeight="false" outlineLevel="0" collapsed="false">
      <c r="A8217" s="1" t="s">
        <v>1052</v>
      </c>
      <c r="B8217" s="0" t="s">
        <v>98</v>
      </c>
      <c r="C8217" s="6" t="n">
        <f aca="false">Sens!$C$8215+Sens!E8197-Sens!E8186+oai_v</f>
        <v>2598.8394606858</v>
      </c>
    </row>
    <row r="8218" customFormat="false" ht="17.15" hidden="false" customHeight="false" outlineLevel="0" collapsed="false">
      <c r="A8218" s="0" t="s">
        <v>980</v>
      </c>
      <c r="B8218" s="0" t="s">
        <v>75</v>
      </c>
      <c r="C8218" s="5" t="n">
        <f aca="false">Sens!$C$8217/sh_dil26</f>
        <v>348.697096563237</v>
      </c>
    </row>
    <row r="8219" customFormat="false" ht="15" hidden="false" customHeight="false" outlineLevel="0" collapsed="false">
      <c r="A8219" s="1" t="s">
        <v>1053</v>
      </c>
      <c r="B8219" s="0" t="s">
        <v>75</v>
      </c>
      <c r="C8219" s="8" t="n">
        <f aca="false">dps_27+Sens!G8189*roll_div_q/q_per_yr</f>
        <v>4.8895</v>
      </c>
    </row>
    <row r="8220" customFormat="false" ht="17.15" hidden="false" customHeight="false" outlineLevel="0" collapsed="false">
      <c r="A8220" s="0" t="s">
        <v>1054</v>
      </c>
      <c r="B8220" s="0" t="s">
        <v>75</v>
      </c>
      <c r="C8220" s="5" t="n">
        <f aca="false">Sens!$C$8218*(1+wacc)^t_roll-Sens!$C$8219</f>
        <v>392.18352668724</v>
      </c>
    </row>
    <row r="8221" customFormat="false" ht="17.15" hidden="false" customHeight="false" outlineLevel="0" collapsed="false">
      <c r="A8221" s="1" t="s">
        <v>1055</v>
      </c>
      <c r="B8221" s="0" t="s">
        <v>129</v>
      </c>
      <c r="F8221" s="7" t="n">
        <f aca="false">Sens!F8178/(Sens!F8123-Sens!F8079)</f>
        <v>0.0681086153697838</v>
      </c>
      <c r="G8221" s="7" t="n">
        <f aca="false">Sens!G8178/(Sens!G8123-Sens!G8079)</f>
        <v>0.0648550376508309</v>
      </c>
      <c r="H8221" s="7" t="n">
        <f aca="false">Sens!H8178/(Sens!H8123-Sens!H8079)</f>
        <v>0.0630538695219255</v>
      </c>
      <c r="I8221" s="7" t="n">
        <f aca="false">Sens!I8178/(Sens!I8123-Sens!I8079)</f>
        <v>0.0625999950795357</v>
      </c>
      <c r="J8221" s="7" t="n">
        <f aca="false">Sens!J8178/(Sens!J8123-Sens!J8079)</f>
        <v>0.0631452373713015</v>
      </c>
      <c r="K8221" s="7" t="n">
        <f aca="false">Sens!K8178/(Sens!K8123-Sens!K8079)</f>
        <v>0.0642529164700357</v>
      </c>
    </row>
    <row r="8222" customFormat="false" ht="17.15" hidden="false" customHeight="false" outlineLevel="0" collapsed="false">
      <c r="A8222" s="0" t="s">
        <v>1056</v>
      </c>
      <c r="B8222" s="0" t="s">
        <v>98</v>
      </c>
      <c r="F8222" s="6" t="n">
        <f aca="false">Sens!F8108*(al_m365+Sens!F8221+sbc_r)</f>
        <v>84.9357702975077</v>
      </c>
      <c r="G8222" s="6" t="n">
        <f aca="false">Sens!G8108*(al_m365+Sens!G8221+sbc_r)</f>
        <v>99.3976405119523</v>
      </c>
      <c r="H8222" s="6" t="n">
        <f aca="false">Sens!H8108*(al_m365+Sens!H8221+sbc_r)</f>
        <v>114.01519667125</v>
      </c>
      <c r="I8222" s="6" t="n">
        <f aca="false">Sens!I8108*(al_m365+Sens!I8221+sbc_r)</f>
        <v>127.105656676894</v>
      </c>
      <c r="J8222" s="6" t="n">
        <f aca="false">Sens!J8108*(al_m365+Sens!J8221+sbc_r)</f>
        <v>138.482233526876</v>
      </c>
      <c r="K8222" s="6" t="n">
        <f aca="false">Sens!K8108*(al_m365+Sens!K8221+sbc_r)</f>
        <v>149.468002221853</v>
      </c>
      <c r="L8222" s="11" t="s">
        <v>1057</v>
      </c>
    </row>
    <row r="8223" customFormat="false" ht="17.15" hidden="false" customHeight="false" outlineLevel="0" collapsed="false">
      <c r="A8223" s="0" t="s">
        <v>1058</v>
      </c>
      <c r="B8223" s="0" t="s">
        <v>98</v>
      </c>
      <c r="F8223" s="6" t="n">
        <f aca="false">Sens!F8109*(al_lic+Sens!F8221+sbc_r)</f>
        <v>33.4258236014848</v>
      </c>
      <c r="G8223" s="6" t="n">
        <f aca="false">Sens!G8109*(al_lic+Sens!G8221+sbc_r)</f>
        <v>34.7087092366286</v>
      </c>
      <c r="H8223" s="6" t="n">
        <f aca="false">Sens!H8109*(al_lic+Sens!H8221+sbc_r)</f>
        <v>35.9084876454939</v>
      </c>
      <c r="I8223" s="6" t="n">
        <f aca="false">Sens!I8109*(al_lic+Sens!I8221+sbc_r)</f>
        <v>37.0080705761063</v>
      </c>
      <c r="J8223" s="6" t="n">
        <f aca="false">Sens!J8109*(al_lic+Sens!J8221+sbc_r)</f>
        <v>37.979308872989</v>
      </c>
      <c r="K8223" s="6" t="n">
        <f aca="false">Sens!K8109*(al_lic+Sens!K8221+sbc_r)</f>
        <v>38.7893463856898</v>
      </c>
    </row>
    <row r="8224" customFormat="false" ht="17.15" hidden="false" customHeight="false" outlineLevel="0" collapsed="false">
      <c r="A8224" s="0" t="s">
        <v>1059</v>
      </c>
      <c r="B8224" s="0" t="s">
        <v>98</v>
      </c>
      <c r="F8224" s="6" t="n">
        <f aca="false">Sens!F8111*(al_ind+Sens!F8221+sbc_r)</f>
        <v>9.0656561325833</v>
      </c>
      <c r="G8224" s="6" t="n">
        <f aca="false">Sens!G8111*(al_ind+Sens!G8221+sbc_r)</f>
        <v>9.83037074052703</v>
      </c>
      <c r="H8224" s="6" t="n">
        <f aca="false">Sens!H8111*(al_ind+Sens!H8221+sbc_r)</f>
        <v>10.6411203707995</v>
      </c>
      <c r="I8224" s="6" t="n">
        <f aca="false">Sens!I8111*(al_ind+Sens!I8221+sbc_r)</f>
        <v>11.4959861295481</v>
      </c>
      <c r="J8224" s="6" t="n">
        <f aca="false">Sens!J8111*(al_ind+Sens!J8221+sbc_r)</f>
        <v>12.3840217251177</v>
      </c>
      <c r="K8224" s="6" t="n">
        <f aca="false">Sens!K8111*(al_ind+Sens!K8221+sbc_r)</f>
        <v>13.2875492607179</v>
      </c>
    </row>
    <row r="8225" customFormat="false" ht="17.15" hidden="false" customHeight="false" outlineLevel="0" collapsed="false">
      <c r="A8225" s="0" t="s">
        <v>1060</v>
      </c>
      <c r="B8225" s="0" t="s">
        <v>98</v>
      </c>
      <c r="F8225" s="6" t="n">
        <f aca="false">Sens!F8113*(al_fro+Sens!F8221+sbc_r)</f>
        <v>3.56827408149879</v>
      </c>
      <c r="G8225" s="6" t="n">
        <f aca="false">Sens!G8113*(al_fro+Sens!G8221+sbc_r)</f>
        <v>3.77428117639389</v>
      </c>
      <c r="H8225" s="6" t="n">
        <f aca="false">Sens!H8113*(al_fro+Sens!H8221+sbc_r)</f>
        <v>4.00993837523751</v>
      </c>
      <c r="I8225" s="6" t="n">
        <f aca="false">Sens!I8113*(al_fro+Sens!I8221+sbc_r)</f>
        <v>4.27833815647211</v>
      </c>
      <c r="J8225" s="6" t="n">
        <f aca="false">Sens!J8113*(al_fro+Sens!J8221+sbc_r)</f>
        <v>4.58008715102034</v>
      </c>
      <c r="K8225" s="6" t="n">
        <f aca="false">Sens!K8113*(al_fro+Sens!K8221+sbc_r)</f>
        <v>4.91424635618409</v>
      </c>
    </row>
    <row r="8226" customFormat="false" ht="17.15" hidden="false" customHeight="false" outlineLevel="0" collapsed="false">
      <c r="A8226" s="0" t="s">
        <v>1061</v>
      </c>
      <c r="B8226" s="0" t="s">
        <v>98</v>
      </c>
      <c r="F8226" s="6" t="n">
        <f aca="false">Sens!F8116*(al_srch+Sens!F8221+sbc_r)</f>
        <v>11.1962163048112</v>
      </c>
      <c r="G8226" s="6" t="n">
        <f aca="false">Sens!G8116*(al_srch+Sens!G8221+sbc_r)</f>
        <v>12.2552016455191</v>
      </c>
      <c r="H8226" s="6" t="n">
        <f aca="false">Sens!H8116*(al_srch+Sens!H8221+sbc_r)</f>
        <v>13.3603127491347</v>
      </c>
      <c r="I8226" s="6" t="n">
        <f aca="false">Sens!I8116*(al_srch+Sens!I8221+sbc_r)</f>
        <v>14.5024490961717</v>
      </c>
      <c r="J8226" s="6" t="n">
        <f aca="false">Sens!J8116*(al_srch+Sens!J8221+sbc_r)</f>
        <v>15.6601720031631</v>
      </c>
      <c r="K8226" s="6" t="n">
        <f aca="false">Sens!K8116*(al_srch+Sens!K8221+sbc_r)</f>
        <v>16.8027246351886</v>
      </c>
    </row>
    <row r="8227" customFormat="false" ht="17.15" hidden="false" customHeight="false" outlineLevel="0" collapsed="false">
      <c r="A8227" s="0" t="s">
        <v>1062</v>
      </c>
      <c r="B8227" s="0" t="s">
        <v>98</v>
      </c>
      <c r="F8227" s="6" t="n">
        <f aca="false">Sens!F8085-Sens!F8086+Sens!F8166</f>
        <v>55.6743052939671</v>
      </c>
      <c r="G8227" s="6" t="n">
        <f aca="false">Sens!G8085-Sens!G8086+Sens!G8166</f>
        <v>100.2533125707</v>
      </c>
      <c r="H8227" s="6" t="n">
        <f aca="false">Sens!H8085-Sens!H8086+Sens!H8166</f>
        <v>152.31255014234</v>
      </c>
      <c r="I8227" s="6" t="n">
        <f aca="false">Sens!I8085-Sens!I8086+Sens!I8166</f>
        <v>194.041990076394</v>
      </c>
      <c r="J8227" s="6" t="n">
        <f aca="false">Sens!J8085-Sens!J8086+Sens!J8166</f>
        <v>223.463148273617</v>
      </c>
      <c r="K8227" s="6" t="n">
        <f aca="false">Sens!K8085-Sens!K8086+Sens!K8166</f>
        <v>241.312249272487</v>
      </c>
    </row>
    <row r="8228" customFormat="false" ht="17.15" hidden="false" customHeight="false" outlineLevel="0" collapsed="false">
      <c r="A8228" s="0" t="s">
        <v>1063</v>
      </c>
      <c r="B8228" s="0" t="s">
        <v>98</v>
      </c>
      <c r="F8228" s="6" t="n">
        <f aca="false">Sens!F8145+Sens!F8166+Sens!F8096+Sens!F8221*(Sens!F8115-Sens!F8079)+sbc_r*Sens!F8115</f>
        <v>248.084307085076</v>
      </c>
      <c r="G8228" s="6" t="n">
        <f aca="false">Sens!G8145+Sens!G8166+Sens!G8096+Sens!G8221*(Sens!G8115-Sens!G8079)+sbc_r*Sens!G8115</f>
        <v>322.77484457424</v>
      </c>
      <c r="H8228" s="6" t="n">
        <f aca="false">Sens!H8145+Sens!H8166+Sens!H8096+Sens!H8221*(Sens!H8115-Sens!H8079)+sbc_r*Sens!H8115</f>
        <v>406.408954556437</v>
      </c>
      <c r="I8228" s="6" t="n">
        <f aca="false">Sens!I8145+Sens!I8166+Sens!I8096+Sens!I8221*(Sens!I8115-Sens!I8079)+sbc_r*Sens!I8115</f>
        <v>478.650577475463</v>
      </c>
      <c r="J8228" s="6" t="n">
        <f aca="false">Sens!J8145+Sens!J8166+Sens!J8096+Sens!J8221*(Sens!J8115-Sens!J8079)+sbc_r*Sens!J8115</f>
        <v>536.855904688322</v>
      </c>
      <c r="K8228" s="6" t="n">
        <f aca="false">Sens!K8145+Sens!K8166+Sens!K8096+Sens!K8221*(Sens!K8115-Sens!K8079)+sbc_r*Sens!K8115</f>
        <v>582.466659380645</v>
      </c>
    </row>
    <row r="8229" customFormat="false" ht="17.15" hidden="false" customHeight="false" outlineLevel="0" collapsed="false">
      <c r="A8229" s="0" t="s">
        <v>1064</v>
      </c>
      <c r="B8229" s="0" t="s">
        <v>98</v>
      </c>
      <c r="F8229" s="6" t="n">
        <f aca="false">Sens!F8228-Sens!F8222-Sens!F8223-Sens!F8224-Sens!F8225-Sens!F8227</f>
        <v>61.4144776780347</v>
      </c>
      <c r="G8229" s="6" t="n">
        <f aca="false">Sens!G8228-Sens!G8222-Sens!G8223-Sens!G8224-Sens!G8225-Sens!G8227</f>
        <v>74.8105303380381</v>
      </c>
      <c r="H8229" s="6" t="n">
        <f aca="false">Sens!H8228-Sens!H8222-Sens!H8223-Sens!H8224-Sens!H8225-Sens!H8227</f>
        <v>89.5216613513166</v>
      </c>
      <c r="I8229" s="6" t="n">
        <f aca="false">Sens!I8228-Sens!I8222-Sens!I8223-Sens!I8224-Sens!I8225-Sens!I8227</f>
        <v>104.720535860048</v>
      </c>
      <c r="J8229" s="6" t="n">
        <f aca="false">Sens!J8228-Sens!J8222-Sens!J8223-Sens!J8224-Sens!J8225-Sens!J8227</f>
        <v>119.967105138702</v>
      </c>
      <c r="K8229" s="6" t="n">
        <f aca="false">Sens!K8228-Sens!K8222-Sens!K8223-Sens!K8224-Sens!K8225-Sens!K8227</f>
        <v>134.695265883713</v>
      </c>
    </row>
    <row r="8230" customFormat="false" ht="17.15" hidden="false" customHeight="false" outlineLevel="0" collapsed="false">
      <c r="A8230" s="0" t="s">
        <v>1065</v>
      </c>
      <c r="B8230" s="0" t="s">
        <v>98</v>
      </c>
      <c r="F8230" s="6" t="n">
        <f aca="false">Sens!F8147+Sens!F8221*Sens!F8122+sbc_r*Sens!F8122</f>
        <v>26.1673150592685</v>
      </c>
      <c r="G8230" s="6" t="n">
        <f aca="false">Sens!G8147+Sens!G8221*Sens!G8122+sbc_r*Sens!G8122</f>
        <v>26.7458020510667</v>
      </c>
      <c r="H8230" s="6" t="n">
        <f aca="false">Sens!H8147+Sens!H8221*Sens!H8122+sbc_r*Sens!H8122</f>
        <v>27.5972494783351</v>
      </c>
      <c r="I8230" s="6" t="n">
        <f aca="false">Sens!I8147+Sens!I8221*Sens!I8122+sbc_r*Sens!I8122</f>
        <v>28.6934321162083</v>
      </c>
      <c r="J8230" s="6" t="n">
        <f aca="false">Sens!J8147+Sens!J8221*Sens!J8122+sbc_r*Sens!J8122</f>
        <v>29.9949728696271</v>
      </c>
      <c r="K8230" s="6" t="n">
        <f aca="false">Sens!K8147+Sens!K8221*Sens!K8122+sbc_r*Sens!K8122</f>
        <v>31.4580534431032</v>
      </c>
    </row>
    <row r="8231" customFormat="false" ht="17.15" hidden="false" customHeight="false" outlineLevel="0" collapsed="false">
      <c r="A8231" s="0" t="s">
        <v>1066</v>
      </c>
      <c r="B8231" s="0" t="s">
        <v>98</v>
      </c>
      <c r="F8231" s="6" t="n">
        <f aca="false">(Sens!F8230-Sens!F8226)*Sens!F8118/(Sens!F8118+Sens!F8120)</f>
        <v>8.2070105208045</v>
      </c>
      <c r="G8231" s="6" t="n">
        <f aca="false">(Sens!G8230-Sens!G8226)*Sens!G8118/(Sens!G8118+Sens!G8120)</f>
        <v>7.80197201007515</v>
      </c>
      <c r="H8231" s="6" t="n">
        <f aca="false">(Sens!H8230-Sens!H8226)*Sens!H8118/(Sens!H8118+Sens!H8120)</f>
        <v>7.56184873062536</v>
      </c>
      <c r="I8231" s="6" t="n">
        <f aca="false">(Sens!I8230-Sens!I8226)*Sens!I8118/(Sens!I8118+Sens!I8120)</f>
        <v>7.46924188166627</v>
      </c>
      <c r="J8231" s="6" t="n">
        <f aca="false">(Sens!J8230-Sens!J8226)*Sens!J8118/(Sens!J8118+Sens!J8120)</f>
        <v>7.5108206265638</v>
      </c>
      <c r="K8231" s="6" t="n">
        <f aca="false">(Sens!K8230-Sens!K8226)*Sens!K8118/(Sens!K8118+Sens!K8120)</f>
        <v>7.67876351579284</v>
      </c>
    </row>
    <row r="8232" customFormat="false" ht="17.15" hidden="false" customHeight="false" outlineLevel="0" collapsed="false">
      <c r="A8232" s="0" t="s">
        <v>1067</v>
      </c>
      <c r="B8232" s="0" t="s">
        <v>98</v>
      </c>
      <c r="F8232" s="6" t="n">
        <f aca="false">Sens!F8230-Sens!F8226-Sens!F8231</f>
        <v>6.76408823365279</v>
      </c>
      <c r="G8232" s="6" t="n">
        <f aca="false">Sens!G8230-Sens!G8226-Sens!G8231</f>
        <v>6.68862839547245</v>
      </c>
      <c r="H8232" s="6" t="n">
        <f aca="false">Sens!H8230-Sens!H8226-Sens!H8231</f>
        <v>6.6750879985751</v>
      </c>
      <c r="I8232" s="6" t="n">
        <f aca="false">Sens!I8230-Sens!I8226-Sens!I8231</f>
        <v>6.7217411383703</v>
      </c>
      <c r="J8232" s="6" t="n">
        <f aca="false">Sens!J8230-Sens!J8226-Sens!J8231</f>
        <v>6.82398023990025</v>
      </c>
      <c r="K8232" s="6" t="n">
        <f aca="false">Sens!K8230-Sens!K8226-Sens!K8231</f>
        <v>6.97656529212178</v>
      </c>
    </row>
    <row r="8233" customFormat="false" ht="17.15" hidden="false" customHeight="false" outlineLevel="0" collapsed="false">
      <c r="A8233" s="0" t="s">
        <v>1068</v>
      </c>
      <c r="B8233" s="0" t="s">
        <v>98</v>
      </c>
      <c r="F8233" s="6" t="n">
        <f aca="false">Sens!F8227-tax_f*(Sens!F8227-Sens!F8096)-Sens!F8093</f>
        <v>-116.888410752568</v>
      </c>
      <c r="G8233" s="6" t="n">
        <f aca="false">Sens!G8227-tax_f*(Sens!G8227-Sens!G8096)-Sens!G8093</f>
        <v>-91.2784783742845</v>
      </c>
      <c r="H8233" s="6" t="n">
        <f aca="false">Sens!H8227-tax_f*(Sens!H8227-Sens!H8096)-Sens!H8093</f>
        <v>-48.6900771976129</v>
      </c>
      <c r="I8233" s="6" t="n">
        <f aca="false">Sens!I8227-tax_f*(Sens!I8227-Sens!I8096)-Sens!I8093</f>
        <v>13.9160363036017</v>
      </c>
      <c r="J8233" s="6" t="n">
        <f aca="false">Sens!J8227-tax_f*(Sens!J8227-Sens!J8096)-Sens!J8093</f>
        <v>80.0864894856239</v>
      </c>
      <c r="K8233" s="6" t="n">
        <f aca="false">Sens!K8227-tax_f*(Sens!K8227-Sens!K8096)-Sens!K8093</f>
        <v>106.011598537236</v>
      </c>
    </row>
    <row r="8234" customFormat="false" ht="17.15" hidden="false" customHeight="false" outlineLevel="0" collapsed="false">
      <c r="A8234" s="0" t="s">
        <v>1069</v>
      </c>
      <c r="B8234" s="0" t="s">
        <v>98</v>
      </c>
      <c r="F8234" s="6" t="n">
        <f aca="false">Sens!F8233*Sens!F8207</f>
        <v>-111.300370170194</v>
      </c>
      <c r="G8234" s="6" t="n">
        <f aca="false">Sens!G8233*Sens!G8207</f>
        <v>-78.8032005146039</v>
      </c>
      <c r="H8234" s="6" t="n">
        <f aca="false">Sens!H8233*Sens!H8207</f>
        <v>-38.1123946943048</v>
      </c>
      <c r="I8234" s="6" t="n">
        <f aca="false">Sens!I8233*Sens!I8207</f>
        <v>9.87624004516044</v>
      </c>
      <c r="J8234" s="6" t="n">
        <f aca="false">Sens!J8233*Sens!J8207</f>
        <v>51.5330267240912</v>
      </c>
      <c r="K8234" s="6" t="n">
        <f aca="false">Sens!K8233*Sens!K8207</f>
        <v>61.8486303701597</v>
      </c>
    </row>
    <row r="8235" customFormat="false" ht="17.15" hidden="false" customHeight="false" outlineLevel="0" collapsed="false">
      <c r="A8235" s="0" t="s">
        <v>1070</v>
      </c>
      <c r="B8235" s="0" t="s">
        <v>98</v>
      </c>
      <c r="C8235" s="6" t="n">
        <f aca="false">(Sens!K8227-Sens!K8096)*(1-tax_f)*(1+g_tv)*(1-g_tv/(wacc+ronic_prem))/(wacc-g_tv)/(1+wacc)^(Sens!K8206+mid_yr)</f>
        <v>452.288290610765</v>
      </c>
    </row>
    <row r="8236" customFormat="false" ht="17.15" hidden="false" customHeight="false" outlineLevel="0" collapsed="false">
      <c r="A8236" s="1" t="s">
        <v>1071</v>
      </c>
      <c r="B8236" s="0" t="s">
        <v>98</v>
      </c>
      <c r="C8236" s="6" t="n">
        <f aca="false">(SUM(Sens!F8234:K8234)+Sens!$C$8235)*(1+wacc)^t_roll</f>
        <v>395.516521405342</v>
      </c>
      <c r="L8236" s="11" t="s">
        <v>1072</v>
      </c>
    </row>
    <row r="8237" customFormat="false" ht="17.15" hidden="false" customHeight="false" outlineLevel="0" collapsed="false">
      <c r="A8237" s="1" t="s">
        <v>1073</v>
      </c>
      <c r="B8237" s="0" t="s">
        <v>98</v>
      </c>
      <c r="C8237" s="6" t="n">
        <f aca="false">(w_ntm28*Sens!G8085+(1-w_ntm28)*Sens!H8085)*m_ai</f>
        <v>551.711134531404</v>
      </c>
    </row>
    <row r="8238" customFormat="false" ht="17.15" hidden="false" customHeight="false" outlineLevel="0" collapsed="false">
      <c r="A8238" s="1" t="s">
        <v>1074</v>
      </c>
      <c r="B8238" s="0" t="s">
        <v>98</v>
      </c>
      <c r="C8238" s="6" t="n">
        <f aca="false">(w_ntm28*Sens!G8229+(1-w_ntm28)*Sens!H8229)*m_cloud</f>
        <v>1099.6084443709</v>
      </c>
    </row>
    <row r="8239" customFormat="false" ht="17.15" hidden="false" customHeight="false" outlineLevel="0" collapsed="false">
      <c r="A8239" s="1" t="s">
        <v>1075</v>
      </c>
      <c r="B8239" s="0" t="s">
        <v>98</v>
      </c>
      <c r="C8239" s="6" t="n">
        <f aca="false">(w_ntm28*Sens!G8222+(1-w_ntm28)*Sens!H8222)*m_sw</f>
        <v>1124.53181497952</v>
      </c>
    </row>
    <row r="8240" customFormat="false" ht="17.15" hidden="false" customHeight="false" outlineLevel="0" collapsed="false">
      <c r="A8240" s="1" t="s">
        <v>1076</v>
      </c>
      <c r="B8240" s="0" t="s">
        <v>98</v>
      </c>
      <c r="C8240" s="6" t="n">
        <f aca="false">(w_ntm28*Sens!G8223+(1-w_ntm28)*Sens!H8223)*m_sw</f>
        <v>379.043094287803</v>
      </c>
    </row>
    <row r="8241" customFormat="false" ht="17.15" hidden="false" customHeight="false" outlineLevel="0" collapsed="false">
      <c r="A8241" s="1" t="s">
        <v>1077</v>
      </c>
      <c r="B8241" s="0" t="s">
        <v>98</v>
      </c>
      <c r="C8241" s="6" t="n">
        <f aca="false">(w_ntm28*Sens!G8224+(1-w_ntm28)*Sens!H8224)*m_sw</f>
        <v>108.998741884868</v>
      </c>
    </row>
    <row r="8242" customFormat="false" ht="17.15" hidden="false" customHeight="false" outlineLevel="0" collapsed="false">
      <c r="A8242" s="1" t="s">
        <v>1078</v>
      </c>
      <c r="B8242" s="0" t="s">
        <v>98</v>
      </c>
      <c r="C8242" s="6" t="n">
        <f aca="false">(w_ntm28*Sens!G8225+(1-w_ntm28)*Sens!H8225)*m_sw</f>
        <v>41.5850354289069</v>
      </c>
    </row>
    <row r="8243" customFormat="false" ht="17.15" hidden="false" customHeight="false" outlineLevel="0" collapsed="false">
      <c r="A8243" s="1" t="s">
        <v>1079</v>
      </c>
      <c r="B8243" s="0" t="s">
        <v>98</v>
      </c>
      <c r="C8243" s="6" t="n">
        <f aca="false">(w_ntm28*Sens!G8226+(1-w_ntm28)*Sens!H8226)*m_ads</f>
        <v>114.899605714418</v>
      </c>
    </row>
    <row r="8244" customFormat="false" ht="17.15" hidden="false" customHeight="false" outlineLevel="0" collapsed="false">
      <c r="A8244" s="1" t="s">
        <v>1080</v>
      </c>
      <c r="B8244" s="0" t="s">
        <v>98</v>
      </c>
      <c r="C8244" s="6" t="n">
        <f aca="false">(w_ntm28*Sens!G8231+(1-w_ntm28)*Sens!H8231)*m_game</f>
        <v>97.5584535330157</v>
      </c>
    </row>
    <row r="8245" customFormat="false" ht="17.15" hidden="false" customHeight="false" outlineLevel="0" collapsed="false">
      <c r="A8245" s="1" t="s">
        <v>1081</v>
      </c>
      <c r="B8245" s="0" t="s">
        <v>98</v>
      </c>
      <c r="C8245" s="6" t="n">
        <f aca="false">(w_ntm28*Sens!G8232+(1-w_ntm28)*Sens!H8232)*m_pc</f>
        <v>96.7211112767703</v>
      </c>
    </row>
    <row r="8246" customFormat="false" ht="17.15" hidden="false" customHeight="false" outlineLevel="0" collapsed="false">
      <c r="A8246" s="1" t="s">
        <v>1082</v>
      </c>
      <c r="B8246" s="0" t="s">
        <v>98</v>
      </c>
      <c r="C8246" s="6" t="n">
        <f aca="false">Sens!$C$8236+Sens!$C$8238+Sens!$C$8239+Sens!$C$8240+Sens!$C$8241+Sens!$C$8242+Sens!$C$8243+Sens!$C$8244+Sens!$C$8245</f>
        <v>3458.46282288155</v>
      </c>
    </row>
    <row r="8247" customFormat="false" ht="17.15" hidden="false" customHeight="false" outlineLevel="0" collapsed="false">
      <c r="A8247" s="1" t="s">
        <v>1000</v>
      </c>
      <c r="B8247" s="0" t="s">
        <v>98</v>
      </c>
      <c r="C8247" s="6" t="n">
        <f aca="false">Sens!F8197+oai_v-Sens!F8186</f>
        <v>115.332022828351</v>
      </c>
      <c r="L8247" s="1" t="s">
        <v>1083</v>
      </c>
    </row>
    <row r="8248" customFormat="false" ht="15" hidden="false" customHeight="false" outlineLevel="0" collapsed="false">
      <c r="A8248" s="1" t="s">
        <v>1001</v>
      </c>
      <c r="B8248" s="0" t="s">
        <v>75</v>
      </c>
      <c r="C8248" s="5" t="n">
        <f aca="false">(Sens!$C$8246+Sens!$C$8247)/Sens!F8199</f>
        <v>478.291601406571</v>
      </c>
    </row>
    <row r="8249" customFormat="false" ht="17.15" hidden="false" customHeight="false" outlineLevel="0" collapsed="false">
      <c r="A8249" s="1" t="s">
        <v>1084</v>
      </c>
      <c r="B8249" s="0" t="s">
        <v>75</v>
      </c>
      <c r="C8249" s="5" t="n">
        <f aca="false">w_dcf*Sens!$C$8220+(1-w_dcf)*Sens!$C$8248</f>
        <v>435.237564046905</v>
      </c>
    </row>
    <row r="8250" customFormat="false" ht="17.15" hidden="false" customHeight="false" outlineLevel="0" collapsed="false">
      <c r="A8250" s="3" t="s">
        <v>1449</v>
      </c>
    </row>
    <row r="8251" customFormat="false" ht="15" hidden="false" customHeight="false" outlineLevel="0" collapsed="false">
      <c r="A8251" s="4" t="s">
        <v>43</v>
      </c>
      <c r="B8251" s="4" t="s">
        <v>65</v>
      </c>
      <c r="C8251" s="20" t="s">
        <v>788</v>
      </c>
      <c r="D8251" s="20" t="s">
        <v>789</v>
      </c>
      <c r="E8251" s="20" t="s">
        <v>790</v>
      </c>
      <c r="F8251" s="20" t="s">
        <v>791</v>
      </c>
      <c r="G8251" s="20" t="s">
        <v>792</v>
      </c>
      <c r="H8251" s="20" t="s">
        <v>793</v>
      </c>
      <c r="I8251" s="20" t="s">
        <v>794</v>
      </c>
      <c r="J8251" s="20" t="s">
        <v>795</v>
      </c>
      <c r="K8251" s="20" t="s">
        <v>796</v>
      </c>
      <c r="L8251" s="4" t="s">
        <v>47</v>
      </c>
    </row>
    <row r="8252" customFormat="false" ht="17.15" hidden="false" customHeight="false" outlineLevel="0" collapsed="false">
      <c r="A8252" s="1" t="s">
        <v>797</v>
      </c>
      <c r="B8252" s="1" t="s">
        <v>235</v>
      </c>
      <c r="C8252" s="28" t="n">
        <v>2024</v>
      </c>
      <c r="D8252" s="28" t="n">
        <v>2025</v>
      </c>
      <c r="E8252" s="28" t="n">
        <v>2026</v>
      </c>
      <c r="F8252" s="28" t="n">
        <v>2027</v>
      </c>
      <c r="G8252" s="28" t="n">
        <v>2028</v>
      </c>
      <c r="H8252" s="28" t="n">
        <v>2029</v>
      </c>
      <c r="I8252" s="28" t="n">
        <v>2030</v>
      </c>
      <c r="J8252" s="28" t="n">
        <v>2031</v>
      </c>
      <c r="K8252" s="28" t="n">
        <v>2032</v>
      </c>
    </row>
    <row r="8253" customFormat="false" ht="17.15" hidden="false" customHeight="false" outlineLevel="0" collapsed="false">
      <c r="A8253" s="1" t="s">
        <v>798</v>
      </c>
      <c r="B8253" s="0" t="s">
        <v>392</v>
      </c>
      <c r="F8253" s="29" t="n">
        <f aca="false">pace</f>
        <v>2527.2</v>
      </c>
      <c r="G8253" s="29" t="n">
        <f aca="false">pace</f>
        <v>2527.2</v>
      </c>
      <c r="H8253" s="29" t="n">
        <f aca="false">pace</f>
        <v>2527.2</v>
      </c>
      <c r="I8253" s="29" t="n">
        <f aca="false">pace+(g_tv*Sens!H8254-pace)*MIN(1,(Sens!I8252-pace_y0)/(pace_y1-pace_y0))</f>
        <v>1793.116</v>
      </c>
      <c r="J8253" s="29" t="n">
        <f aca="false">pace+(g_tv*Sens!H8254-pace)*MIN(1,(Sens!J8252-pace_y0)/(pace_y1-pace_y0))</f>
        <v>1059.032</v>
      </c>
      <c r="K8253" s="29" t="n">
        <f aca="false">pace+(g_tv*Sens!H8254-pace)*MIN(1,(Sens!K8252-pace_y0)/(pace_y1-pace_y0))</f>
        <v>324.948</v>
      </c>
      <c r="L8253" s="11" t="s">
        <v>799</v>
      </c>
    </row>
    <row r="8254" customFormat="false" ht="17.15" hidden="false" customHeight="false" outlineLevel="0" collapsed="false">
      <c r="A8254" s="1" t="s">
        <v>800</v>
      </c>
      <c r="B8254" s="0" t="s">
        <v>392</v>
      </c>
      <c r="C8254" s="29" t="n">
        <f aca="false">mw_ext_24</f>
        <v>640</v>
      </c>
      <c r="D8254" s="29" t="n">
        <f aca="false">mw_ext_25</f>
        <v>1630</v>
      </c>
      <c r="E8254" s="29" t="n">
        <f aca="false">mw_ext_26</f>
        <v>3250</v>
      </c>
      <c r="F8254" s="29" t="n">
        <f aca="false">Sens!E8254+Sens!F8253</f>
        <v>5777.2</v>
      </c>
      <c r="G8254" s="29" t="n">
        <f aca="false">Sens!F8254+Sens!G8253</f>
        <v>8304.4</v>
      </c>
      <c r="H8254" s="29" t="n">
        <f aca="false">Sens!G8254+Sens!H8253</f>
        <v>10831.6</v>
      </c>
      <c r="I8254" s="29" t="n">
        <f aca="false">Sens!H8254+Sens!I8253</f>
        <v>12624.716</v>
      </c>
      <c r="J8254" s="29" t="n">
        <f aca="false">Sens!I8254+Sens!J8253</f>
        <v>13683.748</v>
      </c>
      <c r="K8254" s="29" t="n">
        <f aca="false">Sens!J8254+Sens!K8253</f>
        <v>14008.696</v>
      </c>
      <c r="L8254" s="1" t="s">
        <v>801</v>
      </c>
    </row>
    <row r="8255" customFormat="false" ht="17.15" hidden="false" customHeight="false" outlineLevel="0" collapsed="false">
      <c r="A8255" s="1" t="s">
        <v>802</v>
      </c>
      <c r="B8255" s="0" t="s">
        <v>392</v>
      </c>
      <c r="C8255" s="29" t="n">
        <f aca="false">rent_ext_24</f>
        <v>150</v>
      </c>
      <c r="D8255" s="29" t="n">
        <f aca="false">rent_ext_25</f>
        <v>400</v>
      </c>
      <c r="E8255" s="29" t="n">
        <f aca="false">rent_ext_26</f>
        <v>550</v>
      </c>
      <c r="F8255" s="29" t="n">
        <f aca="false">rent_ext_f</f>
        <v>756</v>
      </c>
      <c r="G8255" s="29" t="n">
        <f aca="false">rent_ext_f</f>
        <v>756</v>
      </c>
      <c r="H8255" s="29" t="n">
        <f aca="false">rent_ext_f</f>
        <v>756</v>
      </c>
      <c r="I8255" s="29" t="n">
        <f aca="false">rent_ext_f</f>
        <v>756</v>
      </c>
      <c r="J8255" s="29" t="n">
        <f aca="false">rent_ext_f</f>
        <v>756</v>
      </c>
      <c r="K8255" s="29" t="n">
        <f aca="false">rent_ext_f</f>
        <v>756</v>
      </c>
      <c r="L8255" s="1" t="s">
        <v>803</v>
      </c>
    </row>
    <row r="8256" customFormat="false" ht="17.15" hidden="false" customHeight="false" outlineLevel="0" collapsed="false">
      <c r="A8256" s="1" t="s">
        <v>804</v>
      </c>
      <c r="B8256" s="0" t="s">
        <v>392</v>
      </c>
      <c r="C8256" s="29" t="n">
        <f aca="false">Sens!C8254-Sens!C8255</f>
        <v>490</v>
      </c>
      <c r="D8256" s="29" t="n">
        <f aca="false">Sens!D8254-Sens!D8255</f>
        <v>1230</v>
      </c>
      <c r="E8256" s="29" t="n">
        <f aca="false">Sens!E8254-Sens!E8255</f>
        <v>2700</v>
      </c>
      <c r="F8256" s="29" t="n">
        <f aca="false">Sens!F8254-Sens!F8255</f>
        <v>5021.2</v>
      </c>
      <c r="G8256" s="29" t="n">
        <f aca="false">Sens!G8254-Sens!G8255</f>
        <v>7548.4</v>
      </c>
      <c r="H8256" s="29" t="n">
        <f aca="false">Sens!H8254-Sens!H8255</f>
        <v>10075.6</v>
      </c>
      <c r="I8256" s="29" t="n">
        <f aca="false">Sens!I8254-Sens!I8255</f>
        <v>11868.716</v>
      </c>
      <c r="J8256" s="29" t="n">
        <f aca="false">Sens!J8254-Sens!J8255</f>
        <v>12927.748</v>
      </c>
      <c r="K8256" s="29" t="n">
        <f aca="false">Sens!K8254-Sens!K8255</f>
        <v>13252.696</v>
      </c>
    </row>
    <row r="8257" customFormat="false" ht="17.15" hidden="false" customHeight="false" outlineLevel="0" collapsed="false">
      <c r="A8257" s="1" t="s">
        <v>805</v>
      </c>
      <c r="B8257" s="0" t="s">
        <v>392</v>
      </c>
      <c r="C8257" s="29" t="n">
        <f aca="false">Sens!C8256/ext_sh</f>
        <v>816.666666666667</v>
      </c>
      <c r="D8257" s="29" t="n">
        <f aca="false">Sens!D8256/ext_sh</f>
        <v>2050</v>
      </c>
      <c r="E8257" s="29" t="n">
        <f aca="false">Sens!E8256/ext_sh</f>
        <v>4500</v>
      </c>
      <c r="F8257" s="29" t="n">
        <f aca="false">Sens!F8256/ext_sh</f>
        <v>8368.66666666667</v>
      </c>
      <c r="G8257" s="29" t="n">
        <f aca="false">Sens!G8256/ext_sh</f>
        <v>12580.6666666667</v>
      </c>
      <c r="H8257" s="29" t="n">
        <f aca="false">Sens!H8256/ext_sh</f>
        <v>16792.6666666667</v>
      </c>
      <c r="I8257" s="29" t="n">
        <f aca="false">Sens!I8256/ext_sh</f>
        <v>19781.1933333333</v>
      </c>
      <c r="J8257" s="29" t="n">
        <f aca="false">Sens!J8256/ext_sh</f>
        <v>21546.2466666667</v>
      </c>
      <c r="K8257" s="29" t="n">
        <f aca="false">Sens!K8256/ext_sh</f>
        <v>22087.8266666667</v>
      </c>
      <c r="L8257" s="1" t="s">
        <v>806</v>
      </c>
    </row>
    <row r="8258" customFormat="false" ht="17.15" hidden="false" customHeight="false" outlineLevel="0" collapsed="false">
      <c r="A8258" s="1" t="s">
        <v>807</v>
      </c>
      <c r="B8258" s="0" t="s">
        <v>392</v>
      </c>
      <c r="C8258" s="29" t="n">
        <f aca="false">Sens!C8257-Sens!C8256</f>
        <v>326.666666666667</v>
      </c>
      <c r="D8258" s="29" t="n">
        <f aca="false">Sens!D8257-Sens!D8256</f>
        <v>820</v>
      </c>
      <c r="E8258" s="29" t="n">
        <f aca="false">Sens!E8257-Sens!E8256</f>
        <v>1800</v>
      </c>
      <c r="F8258" s="29" t="n">
        <f aca="false">Sens!F8257-Sens!F8256</f>
        <v>3347.46666666667</v>
      </c>
      <c r="G8258" s="29" t="n">
        <f aca="false">Sens!G8257-Sens!G8256</f>
        <v>5032.26666666667</v>
      </c>
      <c r="H8258" s="29" t="n">
        <f aca="false">Sens!H8257-Sens!H8256</f>
        <v>6717.06666666667</v>
      </c>
      <c r="I8258" s="29" t="n">
        <f aca="false">Sens!I8257-Sens!I8256</f>
        <v>7912.47733333333</v>
      </c>
      <c r="J8258" s="29" t="n">
        <f aca="false">Sens!J8257-Sens!J8256</f>
        <v>8618.49866666667</v>
      </c>
      <c r="K8258" s="29" t="n">
        <f aca="false">Sens!K8257-Sens!K8256</f>
        <v>8835.13066666667</v>
      </c>
    </row>
    <row r="8259" customFormat="false" ht="17.15" hidden="false" customHeight="false" outlineLevel="0" collapsed="false">
      <c r="A8259" s="1" t="s">
        <v>808</v>
      </c>
      <c r="B8259" s="0" t="s">
        <v>392</v>
      </c>
      <c r="C8259" s="29" t="n">
        <f aca="false">Sens!C8257</f>
        <v>816.666666666667</v>
      </c>
      <c r="D8259" s="29" t="n">
        <f aca="false">Sens!D8257-Sens!C8257</f>
        <v>1233.33333333333</v>
      </c>
      <c r="E8259" s="29" t="n">
        <f aca="false">Sens!E8257-Sens!D8257</f>
        <v>2450</v>
      </c>
      <c r="F8259" s="29" t="n">
        <f aca="false">Sens!F8257-Sens!E8257</f>
        <v>3868.66666666667</v>
      </c>
      <c r="G8259" s="29" t="n">
        <f aca="false">Sens!G8257-Sens!F8257</f>
        <v>4212</v>
      </c>
      <c r="H8259" s="29" t="n">
        <f aca="false">Sens!H8257-Sens!G8257</f>
        <v>4212</v>
      </c>
      <c r="I8259" s="29" t="n">
        <f aca="false">Sens!I8257-Sens!H8257</f>
        <v>2988.52666666667</v>
      </c>
      <c r="J8259" s="29" t="n">
        <f aca="false">Sens!J8257-Sens!I8257</f>
        <v>1765.05333333333</v>
      </c>
      <c r="K8259" s="29" t="n">
        <f aca="false">Sens!K8257-Sens!J8257</f>
        <v>541.580000000002</v>
      </c>
    </row>
    <row r="8260" customFormat="false" ht="17.15" hidden="false" customHeight="false" outlineLevel="0" collapsed="false">
      <c r="A8260" s="1" t="s">
        <v>809</v>
      </c>
      <c r="B8260" s="0" t="s">
        <v>392</v>
      </c>
      <c r="D8260" s="29" t="n">
        <f aca="false">Sens!D8254-Sens!C8254</f>
        <v>990</v>
      </c>
      <c r="E8260" s="29" t="n">
        <f aca="false">Sens!E8254-Sens!D8254</f>
        <v>1620</v>
      </c>
      <c r="F8260" s="29" t="n">
        <f aca="false">Sens!F8254-Sens!E8254</f>
        <v>2527.2</v>
      </c>
      <c r="G8260" s="29" t="n">
        <f aca="false">Sens!G8254-Sens!F8254</f>
        <v>2527.2</v>
      </c>
      <c r="H8260" s="29" t="n">
        <f aca="false">Sens!H8254-Sens!G8254</f>
        <v>2527.2</v>
      </c>
      <c r="I8260" s="29" t="n">
        <f aca="false">Sens!I8254-Sens!H8254</f>
        <v>1793.116</v>
      </c>
      <c r="J8260" s="29" t="n">
        <f aca="false">Sens!J8254-Sens!I8254</f>
        <v>1059.032</v>
      </c>
      <c r="K8260" s="29" t="n">
        <f aca="false">Sens!K8254-Sens!J8254</f>
        <v>324.948</v>
      </c>
    </row>
    <row r="8261" customFormat="false" ht="17.15" hidden="false" customHeight="false" outlineLevel="0" collapsed="false">
      <c r="A8261" s="1" t="s">
        <v>810</v>
      </c>
      <c r="B8261" s="0" t="s">
        <v>392</v>
      </c>
      <c r="F8261" s="29" t="n">
        <f aca="false">Sens!F8278*ext_sh</f>
        <v>0</v>
      </c>
      <c r="G8261" s="29" t="n">
        <f aca="false">Sens!G8278*ext_sh</f>
        <v>0</v>
      </c>
      <c r="H8261" s="29" t="n">
        <f aca="false">Sens!H8278*ext_sh</f>
        <v>0</v>
      </c>
      <c r="I8261" s="29" t="n">
        <f aca="false">Sens!I8278*ext_sh</f>
        <v>490</v>
      </c>
      <c r="J8261" s="29" t="n">
        <f aca="false">Sens!J8278*ext_sh</f>
        <v>740</v>
      </c>
      <c r="K8261" s="29" t="n">
        <f aca="false">Sens!K8278*ext_sh</f>
        <v>1470</v>
      </c>
      <c r="L8261" s="1" t="s">
        <v>811</v>
      </c>
    </row>
    <row r="8262" customFormat="false" ht="17.15" hidden="false" customHeight="false" outlineLevel="0" collapsed="false">
      <c r="A8262" s="1" t="s">
        <v>812</v>
      </c>
      <c r="B8262" s="0" t="s">
        <v>392</v>
      </c>
      <c r="C8262" s="29" t="n">
        <f aca="false">mix_h*Sens!C8254</f>
        <v>128</v>
      </c>
      <c r="D8262" s="29" t="n">
        <f aca="false">mix_h*Sens!D8254</f>
        <v>326</v>
      </c>
      <c r="E8262" s="29" t="n">
        <f aca="false">mix_h*Sens!E8254</f>
        <v>650</v>
      </c>
      <c r="F8262" s="29" t="n">
        <f aca="false">Sens!E8262-Sens!F8261*mix_h</f>
        <v>650</v>
      </c>
      <c r="G8262" s="29" t="n">
        <f aca="false">Sens!F8262-Sens!G8261*mix_h</f>
        <v>650</v>
      </c>
      <c r="H8262" s="29" t="n">
        <f aca="false">Sens!G8262-Sens!H8261*mix_h</f>
        <v>650</v>
      </c>
      <c r="I8262" s="29" t="n">
        <f aca="false">Sens!H8262-Sens!I8261*mix_h</f>
        <v>552</v>
      </c>
      <c r="J8262" s="29" t="n">
        <f aca="false">Sens!I8262-Sens!J8261*mix_h</f>
        <v>404</v>
      </c>
      <c r="K8262" s="29" t="n">
        <f aca="false">Sens!J8262-Sens!K8261*mix_h</f>
        <v>110</v>
      </c>
    </row>
    <row r="8263" customFormat="false" ht="17.15" hidden="false" customHeight="false" outlineLevel="0" collapsed="false">
      <c r="A8263" s="1" t="s">
        <v>813</v>
      </c>
      <c r="B8263" s="0" t="s">
        <v>392</v>
      </c>
      <c r="C8263" s="29" t="n">
        <f aca="false">mix_g2*Sens!C8254</f>
        <v>288</v>
      </c>
      <c r="D8263" s="29" t="n">
        <f aca="false">mix_g2*Sens!D8254</f>
        <v>733.5</v>
      </c>
      <c r="E8263" s="29" t="n">
        <f aca="false">mix_g2*Sens!E8254</f>
        <v>1462.5</v>
      </c>
      <c r="F8263" s="29" t="n">
        <f aca="false">Sens!E8263-Sens!F8261*mix_g2</f>
        <v>1462.5</v>
      </c>
      <c r="G8263" s="29" t="n">
        <f aca="false">Sens!F8263-Sens!G8261*mix_g2</f>
        <v>1462.5</v>
      </c>
      <c r="H8263" s="29" t="n">
        <f aca="false">Sens!G8263-Sens!H8261*mix_g2</f>
        <v>1462.5</v>
      </c>
      <c r="I8263" s="29" t="n">
        <f aca="false">Sens!H8263-Sens!I8261*mix_g2</f>
        <v>1242</v>
      </c>
      <c r="J8263" s="29" t="n">
        <f aca="false">Sens!I8263-Sens!J8261*mix_g2</f>
        <v>909</v>
      </c>
      <c r="K8263" s="29" t="n">
        <f aca="false">Sens!J8263-Sens!K8261*mix_g2</f>
        <v>247.5</v>
      </c>
    </row>
    <row r="8264" customFormat="false" ht="17.15" hidden="false" customHeight="false" outlineLevel="0" collapsed="false">
      <c r="A8264" s="1" t="s">
        <v>814</v>
      </c>
      <c r="B8264" s="0" t="s">
        <v>392</v>
      </c>
      <c r="C8264" s="29" t="n">
        <f aca="false">mix_g3*Sens!C8254</f>
        <v>224</v>
      </c>
      <c r="D8264" s="29" t="n">
        <f aca="false">mix_g3*Sens!D8254</f>
        <v>570.5</v>
      </c>
      <c r="E8264" s="29" t="n">
        <f aca="false">mix_g3*Sens!E8254</f>
        <v>1137.5</v>
      </c>
      <c r="F8264" s="29" t="n">
        <f aca="false">Sens!E8264+(Sens!F8260+Sens!F8261)*a_g3_27-Sens!F8261*mix_g3</f>
        <v>2906.54</v>
      </c>
      <c r="G8264" s="29" t="n">
        <f aca="false">Sens!F8264+(Sens!G8260+Sens!G8261)*a_g3_28-Sens!G8261*mix_g3</f>
        <v>3664.7</v>
      </c>
      <c r="H8264" s="29" t="n">
        <f aca="false">Sens!G8264+(Sens!H8260+Sens!H8261)*a_g3_29-Sens!H8261*mix_g3</f>
        <v>3917.42</v>
      </c>
      <c r="I8264" s="29" t="n">
        <f aca="false">Sens!H8264+(Sens!I8260+Sens!I8261)*a_g3_29-Sens!I8261*mix_g3</f>
        <v>3974.2316</v>
      </c>
      <c r="J8264" s="29" t="n">
        <f aca="false">Sens!I8264+(Sens!J8260+Sens!J8261)*a_g3_29-Sens!J8261*mix_g3</f>
        <v>3895.1348</v>
      </c>
      <c r="K8264" s="29" t="n">
        <f aca="false">Sens!J8264+(Sens!K8260+Sens!K8261)*a_g3_29-Sens!K8261*mix_g3</f>
        <v>3560.1296</v>
      </c>
    </row>
    <row r="8265" customFormat="false" ht="17.15" hidden="false" customHeight="false" outlineLevel="0" collapsed="false">
      <c r="A8265" s="1" t="s">
        <v>815</v>
      </c>
      <c r="B8265" s="0" t="s">
        <v>392</v>
      </c>
      <c r="C8265" s="29" t="n">
        <v>0</v>
      </c>
      <c r="D8265" s="29" t="n">
        <v>0</v>
      </c>
      <c r="E8265" s="29" t="n">
        <v>0</v>
      </c>
      <c r="F8265" s="29" t="n">
        <f aca="false">Sens!E8265+(Sens!F8260+Sens!F8261)*(1-a_g3_27)</f>
        <v>758.16</v>
      </c>
      <c r="G8265" s="29" t="n">
        <f aca="false">Sens!F8265+(Sens!G8260+Sens!G8261)*(1-a_g3_28)</f>
        <v>2527.2</v>
      </c>
      <c r="H8265" s="29" t="n">
        <f aca="false">Sens!G8265+(Sens!H8260+Sens!H8261)*(1-a_g3_29)</f>
        <v>4801.68</v>
      </c>
      <c r="I8265" s="29" t="n">
        <f aca="false">Sens!H8265+(Sens!I8260+Sens!I8261)*(1-a_g3_29)</f>
        <v>6856.4844</v>
      </c>
      <c r="J8265" s="29" t="n">
        <f aca="false">Sens!I8265+(Sens!J8260+Sens!J8261)*(1-a_g3_29)</f>
        <v>8475.6132</v>
      </c>
      <c r="K8265" s="29" t="n">
        <f aca="false">Sens!J8265+(Sens!K8260+Sens!K8261)*(1-a_g3_29)</f>
        <v>10091.0664</v>
      </c>
    </row>
    <row r="8266" customFormat="false" ht="17.15" hidden="false" customHeight="false" outlineLevel="0" collapsed="false">
      <c r="A8266" s="1" t="s">
        <v>816</v>
      </c>
      <c r="B8266" s="0" t="s">
        <v>339</v>
      </c>
      <c r="C8266" s="14" t="n">
        <f aca="false">(Sens!C8262*tk_hold_h100+Sens!C8263*tk_hold_gb200+Sens!C8264*tk_hold_gb300+Sens!C8265*tk_hold_vr200)/Sens!C8254</f>
        <v>9.7235358126469</v>
      </c>
      <c r="D8266" s="14" t="n">
        <f aca="false">(Sens!D8262*tk_hold_h100+Sens!D8263*tk_hold_gb200+Sens!D8264*tk_hold_gb300+Sens!D8265*tk_hold_vr200)/Sens!D8254</f>
        <v>9.7235358126469</v>
      </c>
      <c r="E8266" s="14" t="n">
        <f aca="false">(Sens!E8262*tk_hold_h100+Sens!E8263*tk_hold_gb200+Sens!E8264*tk_hold_gb300+Sens!E8265*tk_hold_vr200)/Sens!E8254</f>
        <v>9.7235358126469</v>
      </c>
      <c r="F8266" s="14" t="n">
        <f aca="false">(Sens!F8262*tk_hold_h100+Sens!F8263*tk_hold_gb200+Sens!F8264*tk_hold_gb300+Sens!F8265*tk_hold_vr200)/Sens!F8254</f>
        <v>10.4079573161931</v>
      </c>
      <c r="G8266" s="14" t="n">
        <f aca="false">(Sens!G8262*tk_hold_h100+Sens!G8263*tk_hold_gb200+Sens!G8264*tk_hold_gb300+Sens!G8265*tk_hold_vr200)/Sens!G8254</f>
        <v>10.8388131109316</v>
      </c>
      <c r="H8266" s="14" t="n">
        <f aca="false">(Sens!H8262*tk_hold_h100+Sens!H8263*tk_hold_gb200+Sens!H8264*tk_hold_gb300+Sens!H8265*tk_hold_vr200)/Sens!H8254</f>
        <v>11.1311018388216</v>
      </c>
      <c r="I8266" s="14" t="n">
        <f aca="false">(Sens!I8262*tk_hold_h100+Sens!I8263*tk_hold_gb200+Sens!I8264*tk_hold_gb300+Sens!I8265*tk_hold_vr200)/Sens!I8254</f>
        <v>11.3594282560989</v>
      </c>
      <c r="J8266" s="14" t="n">
        <f aca="false">(Sens!J8262*tk_hold_h100+Sens!J8263*tk_hold_gb200+Sens!J8264*tk_hold_gb300+Sens!J8265*tk_hold_vr200)/Sens!J8254</f>
        <v>11.5441508808221</v>
      </c>
      <c r="K8266" s="14" t="n">
        <f aca="false">(Sens!K8262*tk_hold_h100+Sens!K8263*tk_hold_gb200+Sens!K8264*tk_hold_gb300+Sens!K8265*tk_hold_vr200)/Sens!K8254</f>
        <v>11.8053375063575</v>
      </c>
    </row>
    <row r="8267" customFormat="false" ht="17.15" hidden="false" customHeight="false" outlineLevel="0" collapsed="false">
      <c r="A8267" s="0" t="s">
        <v>817</v>
      </c>
      <c r="B8267" s="0" t="s">
        <v>185</v>
      </c>
      <c r="C8267" s="14" t="n">
        <f aca="false">k_B</f>
        <v>1.17213932619116</v>
      </c>
      <c r="D8267" s="14" t="n">
        <f aca="false">k_B</f>
        <v>1.17213932619116</v>
      </c>
      <c r="E8267" s="14" t="n">
        <f aca="false">k_B</f>
        <v>1.17213932619116</v>
      </c>
      <c r="F8267" s="14" t="n">
        <f aca="false">(k_B+((ls_B*k_long+(1-ls_B)*k_spot)-k_B)*MIN(1,(Sens!F8252-base_fy)/k_ramp))</f>
        <v>1.17213932619116</v>
      </c>
      <c r="G8267" s="14" t="n">
        <f aca="false">(k_B+((ls_B*k_long+(1-ls_B)*k_spot)-k_B)*MIN(1,(Sens!G8252-base_fy)/k_ramp))</f>
        <v>1.17213932619116</v>
      </c>
      <c r="H8267" s="14" t="n">
        <f aca="false">(k_B+((ls_B*k_long+(1-ls_B)*k_spot)-k_B)*MIN(1,(Sens!H8252-base_fy)/k_ramp))</f>
        <v>1.17213932619116</v>
      </c>
      <c r="I8267" s="14" t="n">
        <f aca="false">(k_B+((ls_B*k_long+(1-ls_B)*k_spot)-k_B)*MIN(1,(Sens!I8252-base_fy)/k_ramp))</f>
        <v>1.17213932619116</v>
      </c>
      <c r="J8267" s="14" t="n">
        <f aca="false">(k_B+((ls_B*k_long+(1-ls_B)*k_spot)-k_B)*MIN(1,(Sens!J8252-base_fy)/k_ramp))</f>
        <v>1.17213932619116</v>
      </c>
      <c r="K8267" s="14" t="n">
        <f aca="false">(k_B+((ls_B*k_long+(1-ls_B)*k_spot)-k_B)*MIN(1,(Sens!K8252-base_fy)/k_ramp))</f>
        <v>1.17213932619116</v>
      </c>
      <c r="L8267" s="1" t="s">
        <v>818</v>
      </c>
    </row>
    <row r="8268" customFormat="false" ht="17.15" hidden="false" customHeight="false" outlineLevel="0" collapsed="false">
      <c r="A8268" s="1" t="s">
        <v>819</v>
      </c>
      <c r="B8268" s="0" t="s">
        <v>339</v>
      </c>
      <c r="C8268" s="14" t="n">
        <f aca="false">Sens!C8266*Sens!C8267*chip_f</f>
        <v>11.3973387156315</v>
      </c>
      <c r="D8268" s="14" t="n">
        <f aca="false">Sens!D8266*Sens!D8267*chip_f</f>
        <v>11.3973387156315</v>
      </c>
      <c r="E8268" s="14" t="n">
        <f aca="false">Sens!E8266*Sens!E8267*chip_f</f>
        <v>11.3973387156315</v>
      </c>
      <c r="F8268" s="14" t="n">
        <f aca="false">Sens!F8266*Sens!F8267*chip_f</f>
        <v>12.1995760756289</v>
      </c>
      <c r="G8268" s="14" t="n">
        <f aca="false">Sens!G8266*Sens!G8267*chip_f</f>
        <v>12.7045990965592</v>
      </c>
      <c r="H8268" s="14" t="n">
        <f aca="false">Sens!H8266*Sens!H8267*chip_f</f>
        <v>13.0472022091214</v>
      </c>
      <c r="I8268" s="14" t="n">
        <f aca="false">Sens!I8266*Sens!I8267*chip_f</f>
        <v>13.3148325820205</v>
      </c>
      <c r="J8268" s="14" t="n">
        <f aca="false">Sens!J8266*Sens!J8267*chip_f</f>
        <v>13.5313532348958</v>
      </c>
      <c r="K8268" s="14" t="n">
        <f aca="false">Sens!K8266*Sens!K8267*chip_f</f>
        <v>13.8375003501611</v>
      </c>
      <c r="L8268" s="1" t="s">
        <v>820</v>
      </c>
    </row>
    <row r="8269" customFormat="false" ht="17.15" hidden="false" customHeight="false" outlineLevel="0" collapsed="false">
      <c r="A8269" s="0" t="s">
        <v>821</v>
      </c>
      <c r="B8269" s="0" t="s">
        <v>98</v>
      </c>
      <c r="D8269" s="6" t="n">
        <f aca="false">(Sens!C8254+Sens!D8254)/2*Sens!D8268/1000</f>
        <v>12.9359794422418</v>
      </c>
      <c r="E8269" s="6" t="n">
        <f aca="false">(Sens!D8254+Sens!E8254)/2*Sens!E8268/1000</f>
        <v>27.8095064661409</v>
      </c>
      <c r="F8269" s="6" t="n">
        <f aca="false">(Sens!E8254+Sens!F8254)/2*Sens!F8268/1000</f>
        <v>55.0640065749585</v>
      </c>
      <c r="G8269" s="6" t="n">
        <f aca="false">(Sens!F8254+Sens!G8254)/2*Sens!G8268/1000</f>
        <v>89.4505413190538</v>
      </c>
      <c r="H8269" s="6" t="n">
        <f aca="false">(Sens!G8254+Sens!H8254)/2*Sens!H8268/1000</f>
        <v>124.835630736874</v>
      </c>
      <c r="I8269" s="6" t="n">
        <f aca="false">(Sens!H8254+Sens!I8254)/2*Sens!I8268/1000</f>
        <v>156.158460265485</v>
      </c>
      <c r="J8269" s="6" t="n">
        <f aca="false">(Sens!I8254+Sens!J8254)/2*Sens!J8268/1000</f>
        <v>177.99455972577</v>
      </c>
      <c r="K8269" s="6" t="n">
        <f aca="false">(Sens!J8254+Sens!K8254)/2*Sens!K8268/1000</f>
        <v>191.597101773408</v>
      </c>
      <c r="L8269" s="11" t="s">
        <v>822</v>
      </c>
    </row>
    <row r="8270" customFormat="false" ht="17.15" hidden="false" customHeight="false" outlineLevel="0" collapsed="false">
      <c r="A8270" s="1" t="s">
        <v>823</v>
      </c>
      <c r="B8270" s="0" t="s">
        <v>339</v>
      </c>
      <c r="C8270" s="14" t="n">
        <f aca="false">(Sens!C8262*tk_opex_h100+Sens!C8263*tk_opex_gb200+Sens!C8264*tk_opex_gb300+Sens!C8265*tk_opex_vr200)/Sens!C8254</f>
        <v>1.88636041306092</v>
      </c>
      <c r="D8270" s="14" t="n">
        <f aca="false">(Sens!D8262*tk_opex_h100+Sens!D8263*tk_opex_gb200+Sens!D8264*tk_opex_gb300+Sens!D8265*tk_opex_vr200)/Sens!D8254</f>
        <v>1.88636041306092</v>
      </c>
      <c r="E8270" s="14" t="n">
        <f aca="false">(Sens!E8262*tk_opex_h100+Sens!E8263*tk_opex_gb200+Sens!E8264*tk_opex_gb300+Sens!E8265*tk_opex_vr200)/Sens!E8254</f>
        <v>1.88636041306092</v>
      </c>
      <c r="F8270" s="14" t="n">
        <f aca="false">(Sens!F8262*tk_opex_h100+Sens!F8263*tk_opex_gb200+Sens!F8264*tk_opex_gb300+Sens!F8265*tk_opex_vr200)/Sens!F8254</f>
        <v>1.9430236476499</v>
      </c>
      <c r="G8270" s="14" t="n">
        <f aca="false">(Sens!G8262*tk_opex_h100+Sens!G8263*tk_opex_gb200+Sens!G8264*tk_opex_gb300+Sens!G8265*tk_opex_vr200)/Sens!G8254</f>
        <v>1.9786941852423</v>
      </c>
      <c r="H8270" s="14" t="n">
        <f aca="false">(Sens!H8262*tk_opex_h100+Sens!H8263*tk_opex_gb200+Sens!H8264*tk_opex_gb300+Sens!H8265*tk_opex_vr200)/Sens!H8254</f>
        <v>2.00289275976156</v>
      </c>
      <c r="I8270" s="14" t="n">
        <f aca="false">(Sens!I8262*tk_opex_h100+Sens!I8263*tk_opex_gb200+Sens!I8264*tk_opex_gb300+Sens!I8265*tk_opex_vr200)/Sens!I8254</f>
        <v>2.02179589661219</v>
      </c>
      <c r="J8270" s="14" t="n">
        <f aca="false">(Sens!J8262*tk_opex_h100+Sens!J8263*tk_opex_gb200+Sens!J8264*tk_opex_gb300+Sens!J8265*tk_opex_vr200)/Sens!J8254</f>
        <v>2.03708907685909</v>
      </c>
      <c r="K8270" s="14" t="n">
        <f aca="false">(Sens!K8262*tk_opex_h100+Sens!K8263*tk_opex_gb200+Sens!K8264*tk_opex_gb300+Sens!K8265*tk_opex_vr200)/Sens!K8254</f>
        <v>2.05871270931005</v>
      </c>
    </row>
    <row r="8271" customFormat="false" ht="17.15" hidden="false" customHeight="false" outlineLevel="0" collapsed="false">
      <c r="A8271" s="0" t="s">
        <v>824</v>
      </c>
      <c r="B8271" s="0" t="s">
        <v>98</v>
      </c>
      <c r="D8271" s="6" t="n">
        <f aca="false">(Sens!C8257+Sens!D8257)/2*Sens!D8270/1000</f>
        <v>2.70378325872065</v>
      </c>
      <c r="E8271" s="6" t="n">
        <f aca="false">(Sens!D8257+Sens!E8257)/2*Sens!E8270/1000</f>
        <v>6.17783035277451</v>
      </c>
      <c r="F8271" s="6" t="n">
        <f aca="false">(Sens!E8257+Sens!F8257)/2*Sens!F8270/1000</f>
        <v>12.5020618235287</v>
      </c>
      <c r="G8271" s="6" t="n">
        <f aca="false">(Sens!F8257+Sens!G8257)/2*Sens!G8270/1000</f>
        <v>20.7261620256847</v>
      </c>
      <c r="H8271" s="6" t="n">
        <f aca="false">(Sens!G8257+Sens!H8257)/2*Sens!H8270/1000</f>
        <v>29.4158183316982</v>
      </c>
      <c r="I8271" s="6" t="n">
        <f aca="false">(Sens!H8257+Sens!I8257)/2*Sens!I8270/1000</f>
        <v>36.9724400356344</v>
      </c>
      <c r="J8271" s="6" t="n">
        <f aca="false">(Sens!I8257+Sens!J8257)/2*Sens!J8270/1000</f>
        <v>42.0938382992747</v>
      </c>
      <c r="K8271" s="6" t="n">
        <f aca="false">(Sens!J8257+Sens!K8257)/2*Sens!K8270/1000</f>
        <v>44.9150106651501</v>
      </c>
    </row>
    <row r="8272" customFormat="false" ht="17.15" hidden="false" customHeight="false" outlineLevel="0" collapsed="false">
      <c r="A8272" s="0" t="s">
        <v>825</v>
      </c>
      <c r="B8272" s="0" t="s">
        <v>98</v>
      </c>
      <c r="D8272" s="6" t="n">
        <f aca="false">(Sens!C8255+Sens!D8255)/2*rent_mw/1000</f>
        <v>2.44475</v>
      </c>
      <c r="E8272" s="6" t="n">
        <f aca="false">(Sens!D8255+Sens!E8255)/2*rent_mw/1000</f>
        <v>4.22275</v>
      </c>
      <c r="F8272" s="6" t="n">
        <f aca="false">(Sens!E8255+Sens!F8255)/2*rent_mw/1000</f>
        <v>5.80517</v>
      </c>
      <c r="G8272" s="6" t="n">
        <f aca="false">(Sens!F8255+Sens!G8255)/2*rent_mw/1000</f>
        <v>6.72084</v>
      </c>
      <c r="H8272" s="6" t="n">
        <f aca="false">(Sens!G8255+Sens!H8255)/2*rent_mw/1000</f>
        <v>6.72084</v>
      </c>
      <c r="I8272" s="6" t="n">
        <f aca="false">(Sens!H8255+Sens!I8255)/2*rent_mw/1000</f>
        <v>6.72084</v>
      </c>
      <c r="J8272" s="6" t="n">
        <f aca="false">(Sens!I8255+Sens!J8255)/2*rent_mw/1000</f>
        <v>6.72084</v>
      </c>
      <c r="K8272" s="6" t="n">
        <f aca="false">(Sens!J8255+Sens!K8255)/2*rent_mw/1000</f>
        <v>6.72084</v>
      </c>
    </row>
    <row r="8273" customFormat="false" ht="17.15" hidden="false" customHeight="false" outlineLevel="0" collapsed="false">
      <c r="A8273" s="0" t="s">
        <v>826</v>
      </c>
      <c r="B8273" s="0" t="s">
        <v>98</v>
      </c>
      <c r="D8273" s="6" t="n">
        <f aca="false">(Sens!C8257+Sens!D8257)/2*(1-self_build)*fac_rent/1000</f>
        <v>0.853242375631075</v>
      </c>
      <c r="E8273" s="6" t="n">
        <f aca="false">(Sens!D8257+Sens!E8257)/2*(1-self_build)*fac_rent/1000</f>
        <v>1.94955961408728</v>
      </c>
      <c r="F8273" s="6" t="n">
        <f aca="false">(Sens!E8257+Sens!F8257)/2*(1-self_build)*fac_rent/1000</f>
        <v>3.83026455274573</v>
      </c>
      <c r="G8273" s="6" t="n">
        <f aca="false">(Sens!F8257+Sens!G8257)/2*(1-self_build)*fac_rent/1000</f>
        <v>6.23541590972812</v>
      </c>
      <c r="H8273" s="6" t="n">
        <f aca="false">(Sens!G8257+Sens!H8257)/2*(1-self_build)*fac_rent/1000</f>
        <v>8.74275792332679</v>
      </c>
      <c r="I8273" s="6" t="n">
        <f aca="false">(Sens!H8257+Sens!I8257)/2*(1-self_build)*fac_rent/1000</f>
        <v>10.8859420438599</v>
      </c>
      <c r="J8273" s="6" t="n">
        <f aca="false">(Sens!I8257+Sens!J8257)/2*(1-self_build)*fac_rent/1000</f>
        <v>12.3008103782619</v>
      </c>
      <c r="K8273" s="6" t="n">
        <f aca="false">(Sens!J8257+Sens!K8257)/2*(1-self_build)*fac_rent/1000</f>
        <v>12.9873629265328</v>
      </c>
      <c r="L8273" s="11" t="s">
        <v>827</v>
      </c>
    </row>
    <row r="8274" customFormat="false" ht="17.15" hidden="false" customHeight="false" outlineLevel="0" collapsed="false">
      <c r="A8274" s="1" t="s">
        <v>828</v>
      </c>
      <c r="B8274" s="0" t="s">
        <v>129</v>
      </c>
      <c r="D8274" s="7" t="n">
        <f aca="false">(Sens!C8256+Sens!D8256)/(Sens!C8257+Sens!D8257)</f>
        <v>0.6</v>
      </c>
      <c r="E8274" s="7" t="n">
        <f aca="false">(Sens!D8256+Sens!E8256)/(Sens!D8257+Sens!E8257)</f>
        <v>0.6</v>
      </c>
      <c r="F8274" s="7" t="n">
        <f aca="false">(Sens!E8256+Sens!F8256)/(Sens!E8257+Sens!F8257)</f>
        <v>0.6</v>
      </c>
      <c r="G8274" s="7" t="n">
        <f aca="false">(Sens!F8256+Sens!G8256)/(Sens!F8257+Sens!G8257)</f>
        <v>0.6</v>
      </c>
      <c r="H8274" s="7" t="n">
        <f aca="false">(Sens!G8256+Sens!H8256)/(Sens!G8257+Sens!H8257)</f>
        <v>0.6</v>
      </c>
      <c r="I8274" s="7" t="n">
        <f aca="false">(Sens!H8256+Sens!I8256)/(Sens!H8257+Sens!I8257)</f>
        <v>0.6</v>
      </c>
      <c r="J8274" s="7" t="n">
        <f aca="false">(Sens!I8256+Sens!J8256)/(Sens!I8257+Sens!J8257)</f>
        <v>0.6</v>
      </c>
      <c r="K8274" s="7" t="n">
        <f aca="false">(Sens!J8256+Sens!K8256)/(Sens!J8257+Sens!K8257)</f>
        <v>0.6</v>
      </c>
    </row>
    <row r="8275" customFormat="false" ht="17.15" hidden="false" customHeight="false" outlineLevel="0" collapsed="false">
      <c r="A8275" s="0" t="s">
        <v>829</v>
      </c>
      <c r="B8275" s="0" t="s">
        <v>98</v>
      </c>
      <c r="D8275" s="6" t="n">
        <f aca="false">Sens!D8269-Sens!D8274*(Sens!D8271+Sens!D8273)-Sens!D8272</f>
        <v>8.35701406163072</v>
      </c>
      <c r="E8275" s="6" t="n">
        <f aca="false">Sens!E8269-Sens!E8274*(Sens!E8271+Sens!E8273)-Sens!E8272</f>
        <v>18.7103224860238</v>
      </c>
      <c r="F8275" s="6" t="n">
        <f aca="false">Sens!F8269-Sens!F8274*(Sens!F8271+Sens!F8273)-Sens!F8272</f>
        <v>39.4594407491938</v>
      </c>
      <c r="G8275" s="6" t="n">
        <f aca="false">Sens!G8269-Sens!G8274*(Sens!G8271+Sens!G8273)-Sens!G8272</f>
        <v>66.5527545578061</v>
      </c>
      <c r="H8275" s="6" t="n">
        <f aca="false">Sens!H8269-Sens!H8274*(Sens!H8271+Sens!H8273)-Sens!H8272</f>
        <v>95.219644983859</v>
      </c>
      <c r="I8275" s="6" t="n">
        <f aca="false">Sens!I8269-Sens!I8274*(Sens!I8271+Sens!I8273)-Sens!I8272</f>
        <v>120.722591017788</v>
      </c>
      <c r="J8275" s="6" t="n">
        <f aca="false">Sens!J8269-Sens!J8274*(Sens!J8271+Sens!J8273)-Sens!J8272</f>
        <v>138.636930519248</v>
      </c>
      <c r="K8275" s="6" t="n">
        <f aca="false">Sens!K8269-Sens!K8274*(Sens!K8271+Sens!K8273)-Sens!K8272</f>
        <v>150.134837618398</v>
      </c>
    </row>
    <row r="8276" customFormat="false" ht="17.15" hidden="false" customHeight="false" outlineLevel="0" collapsed="false">
      <c r="A8276" s="1" t="s">
        <v>830</v>
      </c>
      <c r="B8276" s="0" t="s">
        <v>98</v>
      </c>
      <c r="D8276" s="6" t="n">
        <f aca="false">(1-Sens!D8274)*(Sens!D8271+Sens!D8273)</f>
        <v>1.42281025374069</v>
      </c>
      <c r="E8276" s="6" t="n">
        <f aca="false">(1-Sens!E8274)*(Sens!E8271+Sens!E8273)</f>
        <v>3.25095598674472</v>
      </c>
      <c r="F8276" s="6" t="n">
        <f aca="false">(1-Sens!F8274)*(Sens!F8271+Sens!F8273)</f>
        <v>6.53293055050977</v>
      </c>
      <c r="G8276" s="6" t="n">
        <f aca="false">(1-Sens!G8274)*(Sens!G8271+Sens!G8273)</f>
        <v>10.7846311741651</v>
      </c>
      <c r="H8276" s="6" t="n">
        <f aca="false">(1-Sens!H8274)*(Sens!H8271+Sens!H8273)</f>
        <v>15.26343050201</v>
      </c>
      <c r="I8276" s="6" t="n">
        <f aca="false">(1-Sens!I8274)*(Sens!I8271+Sens!I8273)</f>
        <v>19.1433528317977</v>
      </c>
      <c r="J8276" s="6" t="n">
        <f aca="false">(1-Sens!J8274)*(Sens!J8271+Sens!J8273)</f>
        <v>21.7578594710146</v>
      </c>
      <c r="K8276" s="6" t="n">
        <f aca="false">(1-Sens!K8274)*(Sens!K8271+Sens!K8273)</f>
        <v>23.1609494366731</v>
      </c>
    </row>
    <row r="8277" customFormat="false" ht="17.15" hidden="false" customHeight="false" outlineLevel="0" collapsed="false">
      <c r="A8277" s="1" t="s">
        <v>831</v>
      </c>
      <c r="B8277" s="0" t="s">
        <v>350</v>
      </c>
      <c r="C8277" s="8" t="n">
        <f aca="false">cxit_open</f>
        <v>27.5918995</v>
      </c>
      <c r="D8277" s="8" t="n">
        <f aca="false">cxit_open</f>
        <v>27.5918995</v>
      </c>
      <c r="E8277" s="8" t="n">
        <f aca="false">cxit_open</f>
        <v>27.5918995</v>
      </c>
      <c r="F8277" s="8" t="n">
        <f aca="false">(a_g3_27*tk_cxit_gb300+(1-a_g3_27)*tk_cxit_vr200)</f>
        <v>33.8419624</v>
      </c>
      <c r="G8277" s="8" t="n">
        <f aca="false">(a_g3_28*tk_cxit_gb300+(1-a_g3_28)*tk_cxit_vr200)</f>
        <v>35.9816136</v>
      </c>
      <c r="H8277" s="8" t="n">
        <f aca="false">(a_g3_29*tk_cxit_gb300+(1-a_g3_29)*tk_cxit_vr200)</f>
        <v>37.0514392</v>
      </c>
      <c r="I8277" s="8" t="n">
        <f aca="false">(a_g3_29*tk_cxit_gb300+(1-a_g3_29)*tk_cxit_vr200)</f>
        <v>37.0514392</v>
      </c>
      <c r="J8277" s="8" t="n">
        <f aca="false">(a_g3_29*tk_cxit_gb300+(1-a_g3_29)*tk_cxit_vr200)</f>
        <v>37.0514392</v>
      </c>
      <c r="K8277" s="8" t="n">
        <f aca="false">(a_g3_29*tk_cxit_gb300+(1-a_g3_29)*tk_cxit_vr200)</f>
        <v>37.0514392</v>
      </c>
      <c r="L8277" s="11" t="s">
        <v>832</v>
      </c>
    </row>
    <row r="8278" customFormat="false" ht="17.15" hidden="false" customHeight="false" outlineLevel="0" collapsed="false">
      <c r="A8278" s="0" t="s">
        <v>833</v>
      </c>
      <c r="B8278" s="0" t="s">
        <v>392</v>
      </c>
      <c r="F8278" s="29" t="n">
        <f aca="false">Sens!C8259*IF(Sens!F8252-Sens!C8252=life_it,1,0)+Sens!D8259*IF(Sens!F8252-Sens!D8252=life_it,1,0)+Sens!E8259*IF(Sens!F8252-Sens!E8252=life_it,1,0)</f>
        <v>0</v>
      </c>
      <c r="G8278" s="29" t="n">
        <f aca="false">Sens!C8259*IF(Sens!G8252-Sens!C8252=life_it,1,0)+Sens!D8259*IF(Sens!G8252-Sens!D8252=life_it,1,0)+Sens!E8259*IF(Sens!G8252-Sens!E8252=life_it,1,0)+Sens!F8259*IF(Sens!G8252-Sens!F8252=life_it,1,0)</f>
        <v>0</v>
      </c>
      <c r="H8278" s="29" t="n">
        <f aca="false">Sens!C8259*IF(Sens!H8252-Sens!C8252=life_it,1,0)+Sens!D8259*IF(Sens!H8252-Sens!D8252=life_it,1,0)+Sens!E8259*IF(Sens!H8252-Sens!E8252=life_it,1,0)+Sens!F8259*IF(Sens!H8252-Sens!F8252=life_it,1,0)+Sens!G8259*IF(Sens!H8252-Sens!G8252=life_it,1,0)</f>
        <v>0</v>
      </c>
      <c r="I8278" s="29" t="n">
        <f aca="false">Sens!C8259*IF(Sens!I8252-Sens!C8252=life_it,1,0)+Sens!D8259*IF(Sens!I8252-Sens!D8252=life_it,1,0)+Sens!E8259*IF(Sens!I8252-Sens!E8252=life_it,1,0)+Sens!F8259*IF(Sens!I8252-Sens!F8252=life_it,1,0)+Sens!G8259*IF(Sens!I8252-Sens!G8252=life_it,1,0)+Sens!H8259*IF(Sens!I8252-Sens!H8252=life_it,1,0)</f>
        <v>816.666666666667</v>
      </c>
      <c r="J8278" s="29" t="n">
        <f aca="false">Sens!C8259*IF(Sens!J8252-Sens!C8252=life_it,1,0)+Sens!D8259*IF(Sens!J8252-Sens!D8252=life_it,1,0)+Sens!E8259*IF(Sens!J8252-Sens!E8252=life_it,1,0)+Sens!F8259*IF(Sens!J8252-Sens!F8252=life_it,1,0)+Sens!G8259*IF(Sens!J8252-Sens!G8252=life_it,1,0)+Sens!H8259*IF(Sens!J8252-Sens!H8252=life_it,1,0)+Sens!I8259*IF(Sens!J8252-Sens!I8252=life_it,1,0)</f>
        <v>1233.33333333333</v>
      </c>
      <c r="K8278" s="29" t="n">
        <f aca="false">Sens!C8259*IF(Sens!K8252-Sens!C8252=life_it,1,0)+Sens!D8259*IF(Sens!K8252-Sens!D8252=life_it,1,0)+Sens!E8259*IF(Sens!K8252-Sens!E8252=life_it,1,0)+Sens!F8259*IF(Sens!K8252-Sens!F8252=life_it,1,0)+Sens!G8259*IF(Sens!K8252-Sens!G8252=life_it,1,0)+Sens!H8259*IF(Sens!K8252-Sens!H8252=life_it,1,0)+Sens!I8259*IF(Sens!K8252-Sens!I8252=life_it,1,0)+Sens!J8259*IF(Sens!K8252-Sens!J8252=life_it,1,0)</f>
        <v>2450</v>
      </c>
      <c r="L8278" s="1" t="s">
        <v>834</v>
      </c>
    </row>
    <row r="8279" customFormat="false" ht="17.15" hidden="false" customHeight="false" outlineLevel="0" collapsed="false">
      <c r="A8279" s="0" t="s">
        <v>835</v>
      </c>
      <c r="B8279" s="0" t="s">
        <v>98</v>
      </c>
      <c r="C8279" s="6" t="n">
        <f aca="false">Sens!C8259*Sens!C8277/1000</f>
        <v>22.5333845916667</v>
      </c>
      <c r="D8279" s="6" t="n">
        <f aca="false">Sens!D8259*Sens!D8277/1000</f>
        <v>34.0300093833333</v>
      </c>
      <c r="E8279" s="6" t="n">
        <f aca="false">Sens!E8259*Sens!E8277/1000</f>
        <v>67.600153775</v>
      </c>
      <c r="F8279" s="6" t="n">
        <f aca="false">(Sens!F8259+Sens!F8278)*Sens!F8277/1000</f>
        <v>130.923271871467</v>
      </c>
      <c r="G8279" s="6" t="n">
        <f aca="false">(Sens!G8259+Sens!G8278)*Sens!G8277/1000</f>
        <v>151.5545564832</v>
      </c>
      <c r="H8279" s="6" t="n">
        <f aca="false">(Sens!H8259+Sens!H8278)*Sens!H8277/1000</f>
        <v>156.0606619104</v>
      </c>
      <c r="I8279" s="6" t="n">
        <f aca="false">(Sens!I8259+Sens!I8278)*Sens!I8277/1000</f>
        <v>140.987889434245</v>
      </c>
      <c r="J8279" s="6" t="n">
        <f aca="false">(Sens!J8259+Sens!J8278)*Sens!J8277/1000</f>
        <v>111.094541278091</v>
      </c>
      <c r="K8279" s="6" t="n">
        <f aca="false">(Sens!K8259+Sens!K8278)*Sens!K8277/1000</f>
        <v>110.842344481936</v>
      </c>
    </row>
    <row r="8280" customFormat="false" ht="17.15" hidden="false" customHeight="false" outlineLevel="0" collapsed="false">
      <c r="A8280" s="0" t="s">
        <v>836</v>
      </c>
      <c r="B8280" s="0" t="s">
        <v>98</v>
      </c>
      <c r="C8280" s="6" t="n">
        <f aca="false">Sens!C8259*self_build*tk_cxfac/1000</f>
        <v>6.2083</v>
      </c>
      <c r="D8280" s="6" t="n">
        <f aca="false">Sens!D8259*self_build*tk_cxfac/1000</f>
        <v>9.3758</v>
      </c>
      <c r="E8280" s="6" t="n">
        <f aca="false">Sens!E8259*self_build*tk_cxfac/1000</f>
        <v>18.6249</v>
      </c>
      <c r="F8280" s="6" t="n">
        <f aca="false">Sens!F8259*self_build*tk_cxfac/1000</f>
        <v>29.409604</v>
      </c>
      <c r="G8280" s="6" t="n">
        <f aca="false">Sens!G8259*self_build*tk_cxfac/1000</f>
        <v>32.019624</v>
      </c>
      <c r="H8280" s="6" t="n">
        <f aca="false">Sens!H8259*self_build*tk_cxfac/1000</f>
        <v>32.019624</v>
      </c>
      <c r="I8280" s="6" t="n">
        <f aca="false">Sens!I8259*self_build*tk_cxfac/1000</f>
        <v>22.71877972</v>
      </c>
      <c r="J8280" s="6" t="n">
        <f aca="false">Sens!J8259*self_build*tk_cxfac/1000</f>
        <v>13.41793544</v>
      </c>
      <c r="K8280" s="6" t="n">
        <f aca="false">Sens!K8259*self_build*tk_cxfac/1000</f>
        <v>4.11709116000001</v>
      </c>
    </row>
    <row r="8281" customFormat="false" ht="17.15" hidden="false" customHeight="false" outlineLevel="0" collapsed="false">
      <c r="A8281" s="0" t="s">
        <v>837</v>
      </c>
      <c r="B8281" s="0" t="s">
        <v>98</v>
      </c>
      <c r="F8281" s="6" t="n">
        <f aca="false">MAX(0,capex_floor27-Sens!F8279-Sens!F8280-Sens!F8374)</f>
        <v>8.18893890759241</v>
      </c>
      <c r="L8281" s="1" t="s">
        <v>838</v>
      </c>
    </row>
    <row r="8282" customFormat="false" ht="17.15" hidden="false" customHeight="false" outlineLevel="0" collapsed="false">
      <c r="A8282" s="0" t="s">
        <v>839</v>
      </c>
      <c r="B8282" s="0" t="s">
        <v>98</v>
      </c>
      <c r="C8282" s="6" t="n">
        <f aca="false">Sens!C8279</f>
        <v>22.5333845916667</v>
      </c>
      <c r="D8282" s="6" t="n">
        <f aca="false">Sens!D8279</f>
        <v>34.0300093833333</v>
      </c>
      <c r="E8282" s="6" t="n">
        <f aca="false">Sens!E8279</f>
        <v>67.600153775</v>
      </c>
      <c r="F8282" s="6" t="n">
        <f aca="false">Sens!F8279+Sens!F8281</f>
        <v>139.112210779059</v>
      </c>
      <c r="G8282" s="6" t="n">
        <f aca="false">Sens!G8279</f>
        <v>151.5545564832</v>
      </c>
      <c r="H8282" s="6" t="n">
        <f aca="false">Sens!H8279</f>
        <v>156.0606619104</v>
      </c>
      <c r="I8282" s="6" t="n">
        <f aca="false">Sens!I8279</f>
        <v>140.987889434245</v>
      </c>
      <c r="J8282" s="6" t="n">
        <f aca="false">Sens!J8279</f>
        <v>111.094541278091</v>
      </c>
      <c r="K8282" s="6" t="n">
        <f aca="false">Sens!K8279</f>
        <v>110.842344481936</v>
      </c>
    </row>
    <row r="8283" customFormat="false" ht="17.15" hidden="false" customHeight="false" outlineLevel="0" collapsed="false">
      <c r="A8283" s="0" t="s">
        <v>840</v>
      </c>
      <c r="B8283" s="0" t="s">
        <v>98</v>
      </c>
      <c r="C8283" s="6" t="n">
        <f aca="false">Sens!C8282+Sens!C8280</f>
        <v>28.7416845916667</v>
      </c>
      <c r="D8283" s="6" t="n">
        <f aca="false">Sens!D8282+Sens!D8280</f>
        <v>43.4058093833333</v>
      </c>
      <c r="E8283" s="6" t="n">
        <f aca="false">Sens!E8282+Sens!E8280</f>
        <v>86.225053775</v>
      </c>
      <c r="F8283" s="6" t="n">
        <f aca="false">Sens!F8282+Sens!F8280</f>
        <v>168.521814779059</v>
      </c>
      <c r="G8283" s="6" t="n">
        <f aca="false">Sens!G8282+Sens!G8280</f>
        <v>183.5741804832</v>
      </c>
      <c r="H8283" s="6" t="n">
        <f aca="false">Sens!H8282+Sens!H8280</f>
        <v>188.0802859104</v>
      </c>
      <c r="I8283" s="6" t="n">
        <f aca="false">Sens!I8282+Sens!I8280</f>
        <v>163.706669154245</v>
      </c>
      <c r="J8283" s="6" t="n">
        <f aca="false">Sens!J8282+Sens!J8280</f>
        <v>124.51247671809</v>
      </c>
      <c r="K8283" s="6" t="n">
        <f aca="false">Sens!K8282+Sens!K8280</f>
        <v>114.959435641936</v>
      </c>
      <c r="L8283" s="11" t="s">
        <v>841</v>
      </c>
    </row>
    <row r="8284" customFormat="false" ht="17.15" hidden="false" customHeight="false" outlineLevel="0" collapsed="false">
      <c r="A8284" s="0" t="s">
        <v>842</v>
      </c>
      <c r="B8284" s="0" t="s">
        <v>98</v>
      </c>
      <c r="E8284" s="6" t="n">
        <f aca="false">(Sens!C8282*IF(2&lt;life_it,1,IF(2=life_it,0.5,0))+Sens!D8282*IF(1&lt;life_it,1,IF(1=life_it,0.5,0))+Sens!E8282*0.5)/life_it</f>
        <v>15.0605784770833</v>
      </c>
      <c r="F8284" s="6" t="n">
        <f aca="false">(Sens!C8282*IF(3&lt;life_it,1,IF(3=life_it,0.5,0))+Sens!D8282*IF(2&lt;life_it,1,IF(2=life_it,0.5,0))+Sens!E8282*IF(1&lt;life_it,1,IF(1=life_it,0.5,0))+Sens!F8282*0.5)/life_it</f>
        <v>32.2866088565883</v>
      </c>
      <c r="G8284" s="6" t="n">
        <f aca="false">(Sens!C8282*IF(4&lt;life_it,1,IF(4=life_it,0.5,0))+Sens!D8282*IF(3&lt;life_it,1,IF(3=life_it,0.5,0))+Sens!E8282*IF(2&lt;life_it,1,IF(2=life_it,0.5,0))+Sens!F8282*IF(1&lt;life_it,1,IF(1=life_it,0.5,0))+Sens!G8282*0.5)/life_it</f>
        <v>56.5088394617765</v>
      </c>
      <c r="H8284" s="6" t="n">
        <f aca="false">(Sens!C8282*IF(5&lt;life_it,1,IF(5=life_it,0.5,0))+Sens!D8282*IF(4&lt;life_it,1,IF(4=life_it,0.5,0))+Sens!E8282*IF(3&lt;life_it,1,IF(3=life_it,0.5,0))+Sens!F8282*IF(2&lt;life_it,1,IF(2=life_it,0.5,0))+Sens!G8282*IF(1&lt;life_it,1,IF(1=life_it,0.5,0))+Sens!H8282*0.5)/life_it</f>
        <v>82.1434409945765</v>
      </c>
      <c r="I8284" s="6" t="n">
        <f aca="false">(Sens!C8282*IF(6&lt;life_it,1,IF(6=life_it,0.5,0))+Sens!D8282*IF(5&lt;life_it,1,IF(5=life_it,0.5,0))+Sens!E8282*IF(4&lt;life_it,1,IF(4=life_it,0.5,0))+Sens!F8282*IF(3&lt;life_it,1,IF(3=life_it,0.5,0))+Sens!G8282*IF(2&lt;life_it,1,IF(2=life_it,0.5,0))+Sens!H8282*IF(1&lt;life_it,1,IF(1=life_it,0.5,0))+Sens!I8282*0.5)/life_it</f>
        <v>105.019704890658</v>
      </c>
      <c r="J8284" s="6" t="n">
        <f aca="false">(Sens!C8282*IF(7&lt;life_it,1,IF(7=life_it,0.5,0))+Sens!D8282*IF(6&lt;life_it,1,IF(6=life_it,0.5,0))+Sens!E8282*IF(5&lt;life_it,1,IF(5=life_it,0.5,0))+Sens!F8282*IF(4&lt;life_it,1,IF(4=life_it,0.5,0))+Sens!G8282*IF(3&lt;life_it,1,IF(3=life_it,0.5,0))+Sens!H8282*IF(2&lt;life_it,1,IF(2=life_it,0.5,0))+Sens!I8282*IF(1&lt;life_it,1,IF(1=life_it,0.5,0))+Sens!J8282*0.5)/life_it</f>
        <v>121.312957952103</v>
      </c>
      <c r="K8284" s="6" t="n">
        <f aca="false">(Sens!C8282*IF(8&lt;life_it,1,IF(8=life_it,0.5,0))+Sens!D8282*IF(7&lt;life_it,1,IF(7=life_it,0.5,0))+Sens!E8282*IF(6&lt;life_it,1,IF(6=life_it,0.5,0))+Sens!F8282*IF(5&lt;life_it,1,IF(5=life_it,0.5,0))+Sens!G8282*IF(4&lt;life_it,1,IF(4=life_it,0.5,0))+Sens!H8282*IF(3&lt;life_it,1,IF(3=life_it,0.5,0))+Sens!I8282*IF(2&lt;life_it,1,IF(2=life_it,0.5,0))+Sens!J8282*IF(1&lt;life_it,1,IF(1=life_it,0.5,0))+Sens!K8282*0.5)/life_it</f>
        <v>131.338518168911</v>
      </c>
    </row>
    <row r="8285" customFormat="false" ht="17.15" hidden="false" customHeight="false" outlineLevel="0" collapsed="false">
      <c r="A8285" s="0" t="s">
        <v>843</v>
      </c>
      <c r="B8285" s="0" t="s">
        <v>98</v>
      </c>
      <c r="E8285" s="6" t="n">
        <f aca="false">(Sens!C8280*IF(2&lt;life_fac,1,IF(2=life_fac,0.5,0))+Sens!D8280*IF(1&lt;life_fac,1,IF(1=life_fac,0.5,0))+Sens!E8280*0.5)/life_fac</f>
        <v>1.2448275</v>
      </c>
      <c r="F8285" s="6" t="n">
        <f aca="false">(Sens!C8280*IF(3&lt;life_fac,1,IF(3=life_fac,0.5,0))+Sens!D8280*IF(2&lt;life_fac,1,IF(2=life_fac,0.5,0))+Sens!E8280*IF(1&lt;life_fac,1,IF(1=life_fac,0.5,0))+Sens!F8280*0.5)/life_fac</f>
        <v>2.4456901</v>
      </c>
      <c r="G8285" s="6" t="n">
        <f aca="false">(Sens!C8280*IF(4&lt;life_fac,1,IF(4=life_fac,0.5,0))+Sens!D8280*IF(3&lt;life_fac,1,IF(3=life_fac,0.5,0))+Sens!E8280*IF(2&lt;life_fac,1,IF(2=life_fac,0.5,0))+Sens!F8280*IF(1&lt;life_fac,1,IF(1=life_fac,0.5,0))+Sens!G8280*0.5)/life_fac</f>
        <v>3.9814208</v>
      </c>
      <c r="H8285" s="6" t="n">
        <f aca="false">(Sens!C8280*IF(5&lt;life_fac,1,IF(5=life_fac,0.5,0))+Sens!D8280*IF(4&lt;life_fac,1,IF(4=life_fac,0.5,0))+Sens!E8280*IF(3&lt;life_fac,1,IF(3=life_fac,0.5,0))+Sens!F8280*IF(2&lt;life_fac,1,IF(2=life_fac,0.5,0))+Sens!G8280*IF(1&lt;life_fac,1,IF(1=life_fac,0.5,0))+Sens!H8280*0.5)/life_fac</f>
        <v>5.582402</v>
      </c>
      <c r="I8285" s="6" t="n">
        <f aca="false">(Sens!C8280*IF(6&lt;life_fac,1,IF(6=life_fac,0.5,0))+Sens!D8280*IF(5&lt;life_fac,1,IF(5=life_fac,0.5,0))+Sens!E8280*IF(4&lt;life_fac,1,IF(4=life_fac,0.5,0))+Sens!F8280*IF(3&lt;life_fac,1,IF(3=life_fac,0.5,0))+Sens!G8280*IF(2&lt;life_fac,1,IF(2=life_fac,0.5,0))+Sens!H8280*IF(1&lt;life_fac,1,IF(1=life_fac,0.5,0))+Sens!I8280*0.5)/life_fac</f>
        <v>6.950862093</v>
      </c>
      <c r="J8285" s="6" t="n">
        <f aca="false">(Sens!C8280*IF(7&lt;life_fac,1,IF(7=life_fac,0.5,0))+Sens!D8280*IF(6&lt;life_fac,1,IF(6=life_fac,0.5,0))+Sens!E8280*IF(5&lt;life_fac,1,IF(5=life_fac,0.5,0))+Sens!F8280*IF(4&lt;life_fac,1,IF(4=life_fac,0.5,0))+Sens!G8280*IF(3&lt;life_fac,1,IF(3=life_fac,0.5,0))+Sens!H8280*IF(2&lt;life_fac,1,IF(2=life_fac,0.5,0))+Sens!I8280*IF(1&lt;life_fac,1,IF(1=life_fac,0.5,0))+Sens!J8280*0.5)/life_fac</f>
        <v>7.854279972</v>
      </c>
      <c r="K8285" s="6" t="n">
        <f aca="false">(Sens!C8280*IF(8&lt;life_fac,1,IF(8=life_fac,0.5,0))+Sens!D8280*IF(7&lt;life_fac,1,IF(7=life_fac,0.5,0))+Sens!E8280*IF(6&lt;life_fac,1,IF(6=life_fac,0.5,0))+Sens!F8280*IF(5&lt;life_fac,1,IF(5=life_fac,0.5,0))+Sens!G8280*IF(4&lt;life_fac,1,IF(4=life_fac,0.5,0))+Sens!H8280*IF(3&lt;life_fac,1,IF(3=life_fac,0.5,0))+Sens!I8280*IF(2&lt;life_fac,1,IF(2=life_fac,0.5,0))+Sens!J8280*IF(1&lt;life_fac,1,IF(1=life_fac,0.5,0))+Sens!K8280*0.5)/life_fac</f>
        <v>8.292655637</v>
      </c>
    </row>
    <row r="8286" customFormat="false" ht="17.15" hidden="false" customHeight="false" outlineLevel="0" collapsed="false">
      <c r="A8286" s="0" t="s">
        <v>844</v>
      </c>
      <c r="B8286" s="0" t="s">
        <v>98</v>
      </c>
      <c r="E8286" s="6" t="n">
        <f aca="false">Sens!E8284+Sens!E8285</f>
        <v>16.3054059770833</v>
      </c>
      <c r="F8286" s="6" t="n">
        <f aca="false">Sens!F8284+Sens!F8285</f>
        <v>34.7322989565883</v>
      </c>
      <c r="G8286" s="6" t="n">
        <f aca="false">Sens!G8284+Sens!G8285</f>
        <v>60.4902602617765</v>
      </c>
      <c r="H8286" s="6" t="n">
        <f aca="false">Sens!H8284+Sens!H8285</f>
        <v>87.7258429945765</v>
      </c>
      <c r="I8286" s="6" t="n">
        <f aca="false">Sens!I8284+Sens!I8285</f>
        <v>111.970566983658</v>
      </c>
      <c r="J8286" s="6" t="n">
        <f aca="false">Sens!J8284+Sens!J8285</f>
        <v>129.167237924103</v>
      </c>
      <c r="K8286" s="6" t="n">
        <f aca="false">Sens!K8284+Sens!K8285</f>
        <v>139.631173805911</v>
      </c>
    </row>
    <row r="8287" customFormat="false" ht="17.15" hidden="false" customHeight="false" outlineLevel="0" collapsed="false">
      <c r="A8287" s="0" t="s">
        <v>845</v>
      </c>
      <c r="B8287" s="0" t="s">
        <v>98</v>
      </c>
      <c r="E8287" s="6" t="n">
        <f aca="false">Sens!E8275-Sens!E8274*Sens!E8286</f>
        <v>8.92707889977379</v>
      </c>
      <c r="F8287" s="6" t="n">
        <f aca="false">Sens!F8275-Sens!F8274*Sens!F8286</f>
        <v>18.6200613752409</v>
      </c>
      <c r="G8287" s="6" t="n">
        <f aca="false">Sens!G8275-Sens!G8274*Sens!G8286</f>
        <v>30.2585984007402</v>
      </c>
      <c r="H8287" s="6" t="n">
        <f aca="false">Sens!H8275-Sens!H8274*Sens!H8286</f>
        <v>42.584139187113</v>
      </c>
      <c r="I8287" s="6" t="n">
        <f aca="false">Sens!I8275-Sens!I8274*Sens!I8286</f>
        <v>53.5402508275934</v>
      </c>
      <c r="J8287" s="6" t="n">
        <f aca="false">Sens!J8275-Sens!J8274*Sens!J8286</f>
        <v>61.1365877647862</v>
      </c>
      <c r="K8287" s="6" t="n">
        <f aca="false">Sens!K8275-Sens!K8274*Sens!K8286</f>
        <v>66.3561333348516</v>
      </c>
    </row>
    <row r="8288" customFormat="false" ht="17.15" hidden="false" customHeight="false" outlineLevel="0" collapsed="false">
      <c r="A8288" s="3" t="s">
        <v>1450</v>
      </c>
    </row>
    <row r="8289" customFormat="false" ht="15" hidden="false" customHeight="false" outlineLevel="0" collapsed="false">
      <c r="A8289" s="4" t="s">
        <v>43</v>
      </c>
      <c r="B8289" s="4" t="s">
        <v>65</v>
      </c>
      <c r="C8289" s="20" t="s">
        <v>788</v>
      </c>
      <c r="D8289" s="20" t="s">
        <v>789</v>
      </c>
      <c r="E8289" s="20" t="s">
        <v>790</v>
      </c>
      <c r="F8289" s="20" t="s">
        <v>791</v>
      </c>
      <c r="G8289" s="20" t="s">
        <v>792</v>
      </c>
      <c r="H8289" s="20" t="s">
        <v>793</v>
      </c>
      <c r="I8289" s="20" t="s">
        <v>794</v>
      </c>
      <c r="J8289" s="20" t="s">
        <v>795</v>
      </c>
      <c r="K8289" s="20" t="s">
        <v>796</v>
      </c>
      <c r="L8289" s="4" t="s">
        <v>47</v>
      </c>
    </row>
    <row r="8290" customFormat="false" ht="17.15" hidden="false" customHeight="false" outlineLevel="0" collapsed="false">
      <c r="A8290" s="0" t="s">
        <v>864</v>
      </c>
      <c r="B8290" s="0" t="s">
        <v>98</v>
      </c>
      <c r="D8290" s="6" t="n">
        <f aca="false">Sens!D8269</f>
        <v>12.9359794422418</v>
      </c>
      <c r="E8290" s="6" t="n">
        <f aca="false">Sens!E8269</f>
        <v>27.8095064661409</v>
      </c>
      <c r="F8290" s="6" t="n">
        <f aca="false">Sens!F8269</f>
        <v>55.0640065749585</v>
      </c>
      <c r="G8290" s="6" t="n">
        <f aca="false">Sens!G8269</f>
        <v>89.4505413190538</v>
      </c>
      <c r="H8290" s="6" t="n">
        <f aca="false">Sens!H8269</f>
        <v>124.835630736874</v>
      </c>
      <c r="I8290" s="6" t="n">
        <f aca="false">Sens!I8269</f>
        <v>156.158460265485</v>
      </c>
      <c r="J8290" s="6" t="n">
        <f aca="false">Sens!J8269</f>
        <v>177.99455972577</v>
      </c>
      <c r="K8290" s="6" t="n">
        <f aca="false">Sens!K8269</f>
        <v>191.597101773408</v>
      </c>
    </row>
    <row r="8291" customFormat="false" ht="17.15" hidden="false" customHeight="false" outlineLevel="0" collapsed="false">
      <c r="A8291" s="0" t="s">
        <v>865</v>
      </c>
      <c r="B8291" s="0" t="s">
        <v>98</v>
      </c>
      <c r="D8291" s="6" t="n">
        <f aca="false">Q!L6-Sens!D8290</f>
        <v>59.6740205577583</v>
      </c>
      <c r="E8291" s="6" t="n">
        <f aca="false">Q!M6-Sens!E8290</f>
        <v>74.1284935338591</v>
      </c>
      <c r="F8291" s="6" t="n">
        <f aca="false">Sens!E8291*(1+Sens!F8292)</f>
        <v>90.5741396942587</v>
      </c>
      <c r="G8291" s="6" t="n">
        <f aca="false">Sens!F8291*(1+Sens!G8292)</f>
        <v>108.823251828521</v>
      </c>
      <c r="H8291" s="6" t="n">
        <f aca="false">Sens!G8291*(1+Sens!H8292)</f>
        <v>128.532442249697</v>
      </c>
      <c r="I8291" s="6" t="n">
        <f aca="false">Sens!H8291*(1+Sens!I8292)</f>
        <v>149.192913382446</v>
      </c>
      <c r="J8291" s="6" t="n">
        <f aca="false">Sens!I8291*(1+Sens!J8292)</f>
        <v>170.135219187612</v>
      </c>
      <c r="K8291" s="6" t="n">
        <f aca="false">Sens!J8291*(1+Sens!K8292)</f>
        <v>190.551445490125</v>
      </c>
    </row>
    <row r="8292" customFormat="false" ht="15" hidden="false" customHeight="false" outlineLevel="0" collapsed="false">
      <c r="A8292" s="1" t="s">
        <v>866</v>
      </c>
      <c r="B8292" s="0" t="s">
        <v>129</v>
      </c>
      <c r="E8292" s="7" t="n">
        <f aca="false">Sens!E8291/Sens!D8291-1</f>
        <v>0.242223883039864</v>
      </c>
      <c r="F8292" s="7" t="n">
        <f aca="false">Sens!$E$8292+(glt_azo_hi-Sens!$E$8292)*MIN(1,(Sens!F8252-base_fy)/n_conv)</f>
        <v>0.221853235866554</v>
      </c>
      <c r="G8292" s="7" t="n">
        <f aca="false">Sens!$E$8292+(glt_azo_hi-Sens!$E$8292)*MIN(1,(Sens!G8252-base_fy)/n_conv)</f>
        <v>0.201482588693243</v>
      </c>
      <c r="H8292" s="7" t="n">
        <f aca="false">Sens!$E$8292+(glt_azo_hi-Sens!$E$8292)*MIN(1,(Sens!H8252-base_fy)/n_conv)</f>
        <v>0.181111941519932</v>
      </c>
      <c r="I8292" s="7" t="n">
        <f aca="false">Sens!$E$8292+(glt_azo_hi-Sens!$E$8292)*MIN(1,(Sens!I8252-base_fy)/n_conv)</f>
        <v>0.160741294346622</v>
      </c>
      <c r="J8292" s="7" t="n">
        <f aca="false">Sens!$E$8292+(glt_azo_hi-Sens!$E$8292)*MIN(1,(Sens!J8252-base_fy)/n_conv)</f>
        <v>0.140370647173311</v>
      </c>
      <c r="K8292" s="7" t="n">
        <f aca="false">Sens!$E$8292+(glt_azo_hi-Sens!$E$8292)*MIN(1,(Sens!K8252-base_fy)/n_conv)</f>
        <v>0.12</v>
      </c>
    </row>
    <row r="8293" customFormat="false" ht="15" hidden="false" customHeight="false" outlineLevel="0" collapsed="false">
      <c r="A8293" s="0" t="s">
        <v>867</v>
      </c>
      <c r="B8293" s="0" t="s">
        <v>98</v>
      </c>
      <c r="D8293" s="6" t="n">
        <f aca="false">Sens!D8290+Sens!D8291</f>
        <v>72.61</v>
      </c>
      <c r="E8293" s="6" t="n">
        <f aca="false">Sens!E8290+Sens!E8291</f>
        <v>101.938</v>
      </c>
      <c r="F8293" s="6" t="n">
        <f aca="false">Sens!F8290+Sens!F8291</f>
        <v>145.638146269217</v>
      </c>
      <c r="G8293" s="6" t="n">
        <f aca="false">Sens!G8290+Sens!G8291</f>
        <v>198.273793147575</v>
      </c>
      <c r="H8293" s="6" t="n">
        <f aca="false">Sens!H8290+Sens!H8291</f>
        <v>253.368072986571</v>
      </c>
      <c r="I8293" s="6" t="n">
        <f aca="false">Sens!I8290+Sens!I8291</f>
        <v>305.351373647931</v>
      </c>
      <c r="J8293" s="6" t="n">
        <f aca="false">Sens!J8290+Sens!J8291</f>
        <v>348.129778913382</v>
      </c>
      <c r="K8293" s="6" t="n">
        <f aca="false">Sens!K8290+Sens!K8291</f>
        <v>382.148547263533</v>
      </c>
    </row>
    <row r="8294" customFormat="false" ht="17.15" hidden="false" customHeight="false" outlineLevel="0" collapsed="false">
      <c r="A8294" s="0" t="s">
        <v>868</v>
      </c>
      <c r="B8294" s="1" t="s">
        <v>521</v>
      </c>
      <c r="C8294" s="29" t="n">
        <f aca="false">cop_s24</f>
        <v>1</v>
      </c>
      <c r="D8294" s="29" t="n">
        <f aca="false">cop_s25</f>
        <v>5</v>
      </c>
      <c r="E8294" s="29" t="n">
        <f aca="false">cop_s26</f>
        <v>30</v>
      </c>
      <c r="F8294" s="29" t="n">
        <f aca="false">Sens!E8294+cop_add_B</f>
        <v>50</v>
      </c>
      <c r="G8294" s="29" t="n">
        <f aca="false">Sens!F8294+cop_add_B</f>
        <v>70</v>
      </c>
      <c r="H8294" s="29" t="n">
        <f aca="false">Sens!G8294+cop_add_B</f>
        <v>90</v>
      </c>
      <c r="I8294" s="29" t="n">
        <f aca="false">Sens!H8294+cop_add_B*cop_tail</f>
        <v>100</v>
      </c>
      <c r="J8294" s="29" t="n">
        <f aca="false">Sens!I8294+cop_add_B*cop_tail</f>
        <v>110</v>
      </c>
      <c r="K8294" s="29" t="n">
        <f aca="false">Sens!J8294+cop_add_B*cop_tail</f>
        <v>120</v>
      </c>
      <c r="L8294" s="11" t="s">
        <v>869</v>
      </c>
    </row>
    <row r="8295" customFormat="false" ht="17.15" hidden="false" customHeight="false" outlineLevel="0" collapsed="false">
      <c r="A8295" s="0" t="s">
        <v>870</v>
      </c>
      <c r="B8295" s="0" t="s">
        <v>98</v>
      </c>
      <c r="D8295" s="6" t="n">
        <f aca="false">(Sens!C8294+Sens!D8294)/2*cop_px*12/1000</f>
        <v>0.9</v>
      </c>
      <c r="E8295" s="6" t="n">
        <f aca="false">(Sens!D8294+Sens!E8294)/2*cop_px*12/1000</f>
        <v>5.25</v>
      </c>
      <c r="F8295" s="6" t="n">
        <f aca="false">(Sens!E8294+Sens!F8294)/2*cop_px*12/1000</f>
        <v>12</v>
      </c>
      <c r="G8295" s="6" t="n">
        <f aca="false">(Sens!F8294+Sens!G8294)/2*cop_px*12/1000</f>
        <v>18</v>
      </c>
      <c r="H8295" s="6" t="n">
        <f aca="false">(Sens!G8294+Sens!H8294)/2*cop_px*12/1000</f>
        <v>24</v>
      </c>
      <c r="I8295" s="6" t="n">
        <f aca="false">(Sens!H8294+Sens!I8294)/2*cop_px*12/1000</f>
        <v>28.5</v>
      </c>
      <c r="J8295" s="6" t="n">
        <f aca="false">(Sens!I8294+Sens!J8294)/2*cop_px*12/1000</f>
        <v>31.5</v>
      </c>
      <c r="K8295" s="6" t="n">
        <f aca="false">(Sens!J8294+Sens!K8294)/2*cop_px*12/1000</f>
        <v>34.5</v>
      </c>
      <c r="L8295" s="1" t="s">
        <v>871</v>
      </c>
    </row>
    <row r="8296" customFormat="false" ht="17.15" hidden="false" customHeight="false" outlineLevel="0" collapsed="false">
      <c r="A8296" s="0" t="s">
        <v>872</v>
      </c>
      <c r="B8296" s="0" t="s">
        <v>98</v>
      </c>
      <c r="D8296" s="6" t="n">
        <f aca="false">Q!L7-Sens!D8295</f>
        <v>83.705</v>
      </c>
      <c r="E8296" s="6" t="n">
        <f aca="false">Q!M7-Sens!E8295</f>
        <v>95.049</v>
      </c>
      <c r="F8296" s="6" t="n">
        <f aca="false">Sens!E8296*(1+Sens!F8297)</f>
        <v>106.89238776686</v>
      </c>
      <c r="G8296" s="6" t="n">
        <f aca="false">Sens!F8296*(1+Sens!G8297)</f>
        <v>119.044168448684</v>
      </c>
      <c r="H8296" s="6" t="n">
        <f aca="false">Sens!G8296*(1+Sens!H8297)</f>
        <v>131.277359388781</v>
      </c>
      <c r="I8296" s="6" t="n">
        <f aca="false">Sens!H8296*(1+Sens!I8297)</f>
        <v>143.334028071957</v>
      </c>
      <c r="J8296" s="6" t="n">
        <f aca="false">Sens!I8296*(1+Sens!J8297)</f>
        <v>154.932702785465</v>
      </c>
      <c r="K8296" s="6" t="n">
        <f aca="false">Sens!J8296*(1+Sens!K8297)</f>
        <v>165.777991980448</v>
      </c>
    </row>
    <row r="8297" customFormat="false" ht="15" hidden="false" customHeight="false" outlineLevel="0" collapsed="false">
      <c r="A8297" s="1" t="s">
        <v>866</v>
      </c>
      <c r="B8297" s="0" t="s">
        <v>129</v>
      </c>
      <c r="E8297" s="7" t="n">
        <f aca="false">Sens!E8296/Sens!D8296-1</f>
        <v>0.135523564900544</v>
      </c>
      <c r="F8297" s="7" t="n">
        <f aca="false">Sens!$E$8297+(glt_m365b-Sens!$E$8297)*MIN(1,(Sens!F8252-base_fy)/n_conv)</f>
        <v>0.124602970750453</v>
      </c>
      <c r="G8297" s="7" t="n">
        <f aca="false">Sens!$E$8297+(glt_m365b-Sens!$E$8297)*MIN(1,(Sens!G8252-base_fy)/n_conv)</f>
        <v>0.113682376600363</v>
      </c>
      <c r="H8297" s="7" t="n">
        <f aca="false">Sens!$E$8297+(glt_m365b-Sens!$E$8297)*MIN(1,(Sens!H8252-base_fy)/n_conv)</f>
        <v>0.102761782450272</v>
      </c>
      <c r="I8297" s="7" t="n">
        <f aca="false">Sens!$E$8297+(glt_m365b-Sens!$E$8297)*MIN(1,(Sens!I8252-base_fy)/n_conv)</f>
        <v>0.0918411883001813</v>
      </c>
      <c r="J8297" s="7" t="n">
        <f aca="false">Sens!$E$8297+(glt_m365b-Sens!$E$8297)*MIN(1,(Sens!J8252-base_fy)/n_conv)</f>
        <v>0.0809205941500906</v>
      </c>
      <c r="K8297" s="7" t="n">
        <f aca="false">Sens!$E$8297+(glt_m365b-Sens!$E$8297)*MIN(1,(Sens!K8252-base_fy)/n_conv)</f>
        <v>0.07</v>
      </c>
    </row>
    <row r="8298" customFormat="false" ht="15" hidden="false" customHeight="false" outlineLevel="0" collapsed="false">
      <c r="A8298" s="0" t="s">
        <v>873</v>
      </c>
      <c r="B8298" s="0" t="s">
        <v>98</v>
      </c>
      <c r="D8298" s="6" t="n">
        <f aca="false">Sens!D8296+Sens!D8295</f>
        <v>84.605</v>
      </c>
      <c r="E8298" s="6" t="n">
        <f aca="false">Sens!E8296+Sens!E8295</f>
        <v>100.299</v>
      </c>
      <c r="F8298" s="6" t="n">
        <f aca="false">Sens!F8296+Sens!F8295</f>
        <v>118.89238776686</v>
      </c>
      <c r="G8298" s="6" t="n">
        <f aca="false">Sens!G8296+Sens!G8295</f>
        <v>137.044168448684</v>
      </c>
      <c r="H8298" s="6" t="n">
        <f aca="false">Sens!H8296+Sens!H8295</f>
        <v>155.277359388781</v>
      </c>
      <c r="I8298" s="6" t="n">
        <f aca="false">Sens!I8296+Sens!I8295</f>
        <v>171.834028071957</v>
      </c>
      <c r="J8298" s="6" t="n">
        <f aca="false">Sens!J8296+Sens!J8295</f>
        <v>186.432702785465</v>
      </c>
      <c r="K8298" s="6" t="n">
        <f aca="false">Sens!K8296+Sens!K8295</f>
        <v>200.277991980448</v>
      </c>
    </row>
    <row r="8299" customFormat="false" ht="15" hidden="false" customHeight="false" outlineLevel="0" collapsed="false">
      <c r="A8299" s="0" t="s">
        <v>874</v>
      </c>
      <c r="B8299" s="0" t="s">
        <v>98</v>
      </c>
      <c r="D8299" s="6" t="n">
        <f aca="false">Q!L8</f>
        <v>35.391</v>
      </c>
      <c r="E8299" s="6" t="n">
        <f aca="false">Q!M8</f>
        <v>37.285</v>
      </c>
      <c r="F8299" s="6" t="n">
        <f aca="false">Sens!E8299*(1+Sens!F8300)</f>
        <v>39.0720834331704</v>
      </c>
      <c r="G8299" s="6" t="n">
        <f aca="false">Sens!F8299*(1+Sens!G8300)</f>
        <v>40.726562953769</v>
      </c>
      <c r="H8299" s="6" t="n">
        <f aca="false">Sens!G8299*(1+Sens!H8300)</f>
        <v>42.2235987259198</v>
      </c>
      <c r="I8299" s="6" t="n">
        <f aca="false">Sens!H8299*(1+Sens!I8300)</f>
        <v>43.5397988077414</v>
      </c>
      <c r="J8299" s="6" t="n">
        <f aca="false">Sens!I8299*(1+Sens!J8300)</f>
        <v>44.653811225693</v>
      </c>
      <c r="K8299" s="6" t="n">
        <f aca="false">Sens!J8299*(1+Sens!K8300)</f>
        <v>45.5468874502068</v>
      </c>
    </row>
    <row r="8300" customFormat="false" ht="15" hidden="false" customHeight="false" outlineLevel="0" collapsed="false">
      <c r="A8300" s="1" t="s">
        <v>866</v>
      </c>
      <c r="B8300" s="0" t="s">
        <v>129</v>
      </c>
      <c r="E8300" s="7" t="n">
        <f aca="false">Sens!E8299/Sens!D8299-1</f>
        <v>0.0535164307309768</v>
      </c>
      <c r="F8300" s="7" t="n">
        <f aca="false">Sens!$E$8300+(glt_lic-Sens!$E$8300)*MIN(1,(Sens!F8252-base_fy)/n_conv)</f>
        <v>0.0479303589424807</v>
      </c>
      <c r="G8300" s="7" t="n">
        <f aca="false">Sens!$E$8300+(glt_lic-Sens!$E$8300)*MIN(1,(Sens!G8252-base_fy)/n_conv)</f>
        <v>0.0423442871539845</v>
      </c>
      <c r="H8300" s="7" t="n">
        <f aca="false">Sens!$E$8300+(glt_lic-Sens!$E$8300)*MIN(1,(Sens!H8252-base_fy)/n_conv)</f>
        <v>0.0367582153654884</v>
      </c>
      <c r="I8300" s="7" t="n">
        <f aca="false">Sens!$E$8300+(glt_lic-Sens!$E$8300)*MIN(1,(Sens!I8252-base_fy)/n_conv)</f>
        <v>0.0311721435769923</v>
      </c>
      <c r="J8300" s="7" t="n">
        <f aca="false">Sens!$E$8300+(glt_lic-Sens!$E$8300)*MIN(1,(Sens!J8252-base_fy)/n_conv)</f>
        <v>0.0255860717884961</v>
      </c>
      <c r="K8300" s="7" t="n">
        <f aca="false">Sens!$E$8300+(glt_lic-Sens!$E$8300)*MIN(1,(Sens!K8252-base_fy)/n_conv)</f>
        <v>0.02</v>
      </c>
    </row>
    <row r="8301" customFormat="false" ht="15" hidden="false" customHeight="false" outlineLevel="0" collapsed="false">
      <c r="A8301" s="0" t="s">
        <v>875</v>
      </c>
      <c r="B8301" s="0" t="s">
        <v>98</v>
      </c>
      <c r="D8301" s="6" t="n">
        <f aca="false">Q!L9</f>
        <v>18.417</v>
      </c>
      <c r="E8301" s="6" t="n">
        <f aca="false">Q!M9</f>
        <v>20.345</v>
      </c>
      <c r="F8301" s="6" t="n">
        <f aca="false">Sens!E8301*(1+Sens!F8302)</f>
        <v>22.3572203267814</v>
      </c>
      <c r="G8301" s="6" t="n">
        <f aca="false">Sens!F8301*(1+Sens!G8302)</f>
        <v>24.4392124437232</v>
      </c>
      <c r="H8301" s="6" t="n">
        <f aca="false">Sens!G8301*(1+Sens!H8302)</f>
        <v>26.5738052080665</v>
      </c>
      <c r="I8301" s="6" t="n">
        <f aca="false">Sens!H8301*(1+Sens!I8302)</f>
        <v>28.7412169166967</v>
      </c>
      <c r="J8301" s="6" t="n">
        <f aca="false">Sens!I8301*(1+Sens!J8302)</f>
        <v>30.9192545395413</v>
      </c>
      <c r="K8301" s="6" t="n">
        <f aca="false">Sens!J8301*(1+Sens!K8302)</f>
        <v>33.0836023573092</v>
      </c>
    </row>
    <row r="8302" customFormat="false" ht="15" hidden="false" customHeight="false" outlineLevel="0" collapsed="false">
      <c r="A8302" s="1" t="s">
        <v>866</v>
      </c>
      <c r="B8302" s="0" t="s">
        <v>129</v>
      </c>
      <c r="E8302" s="7" t="n">
        <f aca="false">Sens!E8301/Sens!D8301-1</f>
        <v>0.104685888038225</v>
      </c>
      <c r="F8302" s="7" t="n">
        <f aca="false">Sens!$E$8302+(glt_ind-Sens!$E$8302)*MIN(1,(Sens!F8252-base_fy)/n_conv)</f>
        <v>0.0989049066985211</v>
      </c>
      <c r="G8302" s="7" t="n">
        <f aca="false">Sens!$E$8302+(glt_ind-Sens!$E$8302)*MIN(1,(Sens!G8252-base_fy)/n_conv)</f>
        <v>0.0931239253588169</v>
      </c>
      <c r="H8302" s="7" t="n">
        <f aca="false">Sens!$E$8302+(glt_ind-Sens!$E$8302)*MIN(1,(Sens!H8252-base_fy)/n_conv)</f>
        <v>0.0873429440191127</v>
      </c>
      <c r="I8302" s="7" t="n">
        <f aca="false">Sens!$E$8302+(glt_ind-Sens!$E$8302)*MIN(1,(Sens!I8252-base_fy)/n_conv)</f>
        <v>0.0815619626794085</v>
      </c>
      <c r="J8302" s="7" t="n">
        <f aca="false">Sens!$E$8302+(glt_ind-Sens!$E$8302)*MIN(1,(Sens!J8252-base_fy)/n_conv)</f>
        <v>0.0757809813397042</v>
      </c>
      <c r="K8302" s="7" t="n">
        <f aca="false">Sens!$E$8302+(glt_ind-Sens!$E$8302)*MIN(1,(Sens!K8252-base_fy)/n_conv)</f>
        <v>0.07</v>
      </c>
    </row>
    <row r="8303" customFormat="false" ht="15" hidden="false" customHeight="false" outlineLevel="0" collapsed="false">
      <c r="A8303" s="0" t="s">
        <v>876</v>
      </c>
      <c r="B8303" s="0" t="s">
        <v>98</v>
      </c>
      <c r="D8303" s="6" t="n">
        <f aca="false">Q!L10</f>
        <v>7.76</v>
      </c>
      <c r="E8303" s="6" t="n">
        <f aca="false">Q!M10</f>
        <v>8.26</v>
      </c>
      <c r="F8303" s="6" t="n">
        <f aca="false">Sens!E8303*(1+Sens!F8304)</f>
        <v>8.79988041237113</v>
      </c>
      <c r="G8303" s="6" t="n">
        <f aca="false">Sens!F8303*(1+Sens!G8304)</f>
        <v>9.38321269125306</v>
      </c>
      <c r="H8303" s="6" t="n">
        <f aca="false">Sens!G8303*(1+Sens!H8304)</f>
        <v>10.0139193587476</v>
      </c>
      <c r="I8303" s="6" t="n">
        <f aca="false">Sens!H8303*(1+Sens!I8304)</f>
        <v>10.6963111830911</v>
      </c>
      <c r="J8303" s="6" t="n">
        <f aca="false">Sens!I8303*(1+Sens!J8304)</f>
        <v>11.4351285534696</v>
      </c>
      <c r="K8303" s="6" t="n">
        <f aca="false">Sens!J8303*(1+Sens!K8304)</f>
        <v>12.2355875522124</v>
      </c>
    </row>
    <row r="8304" customFormat="false" ht="15" hidden="false" customHeight="false" outlineLevel="0" collapsed="false">
      <c r="A8304" s="1" t="s">
        <v>866</v>
      </c>
      <c r="B8304" s="0" t="s">
        <v>129</v>
      </c>
      <c r="E8304" s="7" t="n">
        <f aca="false">Sens!E8303/Sens!D8303-1</f>
        <v>0.0644329896907216</v>
      </c>
      <c r="F8304" s="7" t="n">
        <f aca="false">Sens!$E$8304+(glt_fro-Sens!$E$8304)*MIN(1,(Sens!F8252-base_fy)/n_conv)</f>
        <v>0.065360824742268</v>
      </c>
      <c r="G8304" s="7" t="n">
        <f aca="false">Sens!$E$8304+(glt_fro-Sens!$E$8304)*MIN(1,(Sens!G8252-base_fy)/n_conv)</f>
        <v>0.0662886597938144</v>
      </c>
      <c r="H8304" s="7" t="n">
        <f aca="false">Sens!$E$8304+(glt_fro-Sens!$E$8304)*MIN(1,(Sens!H8252-base_fy)/n_conv)</f>
        <v>0.0672164948453608</v>
      </c>
      <c r="I8304" s="7" t="n">
        <f aca="false">Sens!$E$8304+(glt_fro-Sens!$E$8304)*MIN(1,(Sens!I8252-base_fy)/n_conv)</f>
        <v>0.0681443298969072</v>
      </c>
      <c r="J8304" s="7" t="n">
        <f aca="false">Sens!$E$8304+(glt_fro-Sens!$E$8304)*MIN(1,(Sens!J8252-base_fy)/n_conv)</f>
        <v>0.0690721649484536</v>
      </c>
      <c r="K8304" s="7" t="n">
        <f aca="false">Sens!$E$8304+(glt_fro-Sens!$E$8304)*MIN(1,(Sens!K8252-base_fy)/n_conv)</f>
        <v>0.07</v>
      </c>
    </row>
    <row r="8305" customFormat="false" ht="15" hidden="false" customHeight="false" outlineLevel="0" collapsed="false">
      <c r="A8305" s="0" t="s">
        <v>704</v>
      </c>
      <c r="B8305" s="0" t="s">
        <v>98</v>
      </c>
      <c r="D8305" s="6" t="n">
        <f aca="false">Sens!D8293+Sens!D8298+Sens!D8299+Sens!D8301+Sens!D8303</f>
        <v>218.783</v>
      </c>
      <c r="E8305" s="6" t="n">
        <f aca="false">Sens!E8293+Sens!E8298+Sens!E8299+Sens!E8301+Sens!E8303</f>
        <v>268.127</v>
      </c>
      <c r="F8305" s="6" t="n">
        <f aca="false">Sens!F8293+Sens!F8298+Sens!F8299+Sens!F8301+Sens!F8303</f>
        <v>334.7597182084</v>
      </c>
      <c r="G8305" s="6" t="n">
        <f aca="false">Sens!G8293+Sens!G8298+Sens!G8299+Sens!G8301+Sens!G8303</f>
        <v>409.866949685004</v>
      </c>
      <c r="H8305" s="6" t="n">
        <f aca="false">Sens!H8293+Sens!H8298+Sens!H8299+Sens!H8301+Sens!H8303</f>
        <v>487.456755668086</v>
      </c>
      <c r="I8305" s="6" t="n">
        <f aca="false">Sens!I8293+Sens!I8298+Sens!I8299+Sens!I8301+Sens!I8303</f>
        <v>560.162728627417</v>
      </c>
      <c r="J8305" s="6" t="n">
        <f aca="false">Sens!J8293+Sens!J8298+Sens!J8299+Sens!J8301+Sens!J8303</f>
        <v>621.570676017551</v>
      </c>
      <c r="K8305" s="6" t="n">
        <f aca="false">Sens!K8293+Sens!K8298+Sens!K8299+Sens!K8301+Sens!K8303</f>
        <v>673.292616603709</v>
      </c>
    </row>
    <row r="8306" customFormat="false" ht="15" hidden="false" customHeight="false" outlineLevel="0" collapsed="false">
      <c r="A8306" s="0" t="s">
        <v>877</v>
      </c>
      <c r="B8306" s="0" t="s">
        <v>98</v>
      </c>
      <c r="D8306" s="6" t="n">
        <f aca="false">Q!L13</f>
        <v>22.171</v>
      </c>
      <c r="E8306" s="6" t="n">
        <f aca="false">Q!M13</f>
        <v>24.835</v>
      </c>
      <c r="F8306" s="6" t="n">
        <f aca="false">Sens!E8306*(1+Sens!F8307)</f>
        <v>27.6114901218559</v>
      </c>
      <c r="G8306" s="6" t="n">
        <f aca="false">Sens!F8306*(1+Sens!G8307)</f>
        <v>30.4675667338515</v>
      </c>
      <c r="H8306" s="6" t="n">
        <f aca="false">Sens!G8306*(1+Sens!H8307)</f>
        <v>33.3643766955789</v>
      </c>
      <c r="I8306" s="6" t="n">
        <f aca="false">Sens!H8306*(1+Sens!I8307)</f>
        <v>36.2577016533691</v>
      </c>
      <c r="J8306" s="6" t="n">
        <f aca="false">Sens!I8306*(1+Sens!J8307)</f>
        <v>39.0988367952171</v>
      </c>
      <c r="K8306" s="6" t="n">
        <f aca="false">Sens!J8306*(1+Sens!K8307)</f>
        <v>41.8357553708823</v>
      </c>
    </row>
    <row r="8307" customFormat="false" ht="15" hidden="false" customHeight="false" outlineLevel="0" collapsed="false">
      <c r="A8307" s="1" t="s">
        <v>866</v>
      </c>
      <c r="B8307" s="0" t="s">
        <v>129</v>
      </c>
      <c r="E8307" s="7" t="n">
        <f aca="false">Sens!E8306/Sens!D8306-1</f>
        <v>0.120156961796942</v>
      </c>
      <c r="F8307" s="7" t="n">
        <f aca="false">Sens!$E$8307+(glt_srch-Sens!$E$8307)*MIN(1,(Sens!F8252-base_fy)/n_conv)</f>
        <v>0.111797468164118</v>
      </c>
      <c r="G8307" s="7" t="n">
        <f aca="false">Sens!$E$8307+(glt_srch-Sens!$E$8307)*MIN(1,(Sens!G8252-base_fy)/n_conv)</f>
        <v>0.103437974531295</v>
      </c>
      <c r="H8307" s="7" t="n">
        <f aca="false">Sens!$E$8307+(glt_srch-Sens!$E$8307)*MIN(1,(Sens!H8252-base_fy)/n_conv)</f>
        <v>0.095078480898471</v>
      </c>
      <c r="I8307" s="7" t="n">
        <f aca="false">Sens!$E$8307+(glt_srch-Sens!$E$8307)*MIN(1,(Sens!I8252-base_fy)/n_conv)</f>
        <v>0.0867189872656474</v>
      </c>
      <c r="J8307" s="7" t="n">
        <f aca="false">Sens!$E$8307+(glt_srch-Sens!$E$8307)*MIN(1,(Sens!J8252-base_fy)/n_conv)</f>
        <v>0.0783594936328237</v>
      </c>
      <c r="K8307" s="7" t="n">
        <f aca="false">Sens!$E$8307+(glt_srch-Sens!$E$8307)*MIN(1,(Sens!K8252-base_fy)/n_conv)</f>
        <v>0.07</v>
      </c>
    </row>
    <row r="8308" customFormat="false" ht="15" hidden="false" customHeight="false" outlineLevel="0" collapsed="false">
      <c r="A8308" s="0" t="s">
        <v>878</v>
      </c>
      <c r="B8308" s="0" t="s">
        <v>98</v>
      </c>
      <c r="D8308" s="6" t="n">
        <f aca="false">Q!L14</f>
        <v>23.455</v>
      </c>
      <c r="E8308" s="6" t="n">
        <f aca="false">Q!M14</f>
        <v>21.79</v>
      </c>
      <c r="F8308" s="6" t="n">
        <f aca="false">Sens!E8308*(1+Sens!F8309)</f>
        <v>20.5736277908051</v>
      </c>
      <c r="G8308" s="6" t="n">
        <f aca="false">Sens!F8308*(1+Sens!G8309)</f>
        <v>19.7371452817919</v>
      </c>
      <c r="H8308" s="6" t="n">
        <f aca="false">Sens!G8308*(1+Sens!H8309)</f>
        <v>19.2339764043138</v>
      </c>
      <c r="I8308" s="6" t="n">
        <f aca="false">Sens!H8308*(1+Sens!I8309)</f>
        <v>19.0353086852681</v>
      </c>
      <c r="J8308" s="6" t="n">
        <f aca="false">Sens!I8308*(1+Sens!J8309)</f>
        <v>19.1273539319129</v>
      </c>
      <c r="K8308" s="6" t="n">
        <f aca="false">Sens!J8308*(1+Sens!K8309)</f>
        <v>19.5099010105511</v>
      </c>
    </row>
    <row r="8309" customFormat="false" ht="15" hidden="false" customHeight="false" outlineLevel="0" collapsed="false">
      <c r="A8309" s="1" t="s">
        <v>866</v>
      </c>
      <c r="B8309" s="0" t="s">
        <v>129</v>
      </c>
      <c r="E8309" s="7" t="n">
        <f aca="false">Sens!E8308/Sens!D8308-1</f>
        <v>-0.0709869963760392</v>
      </c>
      <c r="F8309" s="7" t="n">
        <f aca="false">Sens!$E$8309+(glt_xbox-Sens!$E$8309)*MIN(1,(Sens!F8252-base_fy)/n_conv)</f>
        <v>-0.0558224969800327</v>
      </c>
      <c r="G8309" s="7" t="n">
        <f aca="false">Sens!$E$8309+(glt_xbox-Sens!$E$8309)*MIN(1,(Sens!G8252-base_fy)/n_conv)</f>
        <v>-0.0406579975840262</v>
      </c>
      <c r="H8309" s="7" t="n">
        <f aca="false">Sens!$E$8309+(glt_xbox-Sens!$E$8309)*MIN(1,(Sens!H8252-base_fy)/n_conv)</f>
        <v>-0.0254934981880196</v>
      </c>
      <c r="I8309" s="7" t="n">
        <f aca="false">Sens!$E$8309+(glt_xbox-Sens!$E$8309)*MIN(1,(Sens!I8252-base_fy)/n_conv)</f>
        <v>-0.0103289987920131</v>
      </c>
      <c r="J8309" s="7" t="n">
        <f aca="false">Sens!$E$8309+(glt_xbox-Sens!$E$8309)*MIN(1,(Sens!J8252-base_fy)/n_conv)</f>
        <v>0.00483550060399347</v>
      </c>
      <c r="K8309" s="7" t="n">
        <f aca="false">Sens!$E$8309+(glt_xbox-Sens!$E$8309)*MIN(1,(Sens!K8252-base_fy)/n_conv)</f>
        <v>0.02</v>
      </c>
    </row>
    <row r="8310" customFormat="false" ht="15" hidden="false" customHeight="false" outlineLevel="0" collapsed="false">
      <c r="A8310" s="0" t="s">
        <v>879</v>
      </c>
      <c r="B8310" s="0" t="s">
        <v>98</v>
      </c>
      <c r="D8310" s="6" t="n">
        <f aca="false">Q!L15</f>
        <v>17.315</v>
      </c>
      <c r="E8310" s="6" t="n">
        <f aca="false">Q!M15</f>
        <v>17.087</v>
      </c>
      <c r="F8310" s="6" t="n">
        <f aca="false">Sens!E8310*(1+Sens!F8311)</f>
        <v>16.9564585436519</v>
      </c>
      <c r="G8310" s="6" t="n">
        <f aca="false">Sens!F8310*(1+Sens!G8311)</f>
        <v>16.9206490624268</v>
      </c>
      <c r="H8310" s="6" t="n">
        <f aca="false">Sens!G8310*(1+Sens!H8311)</f>
        <v>16.9784519149849</v>
      </c>
      <c r="I8310" s="6" t="n">
        <f aca="false">Sens!H8310*(1+Sens!I8311)</f>
        <v>17.1303084701817</v>
      </c>
      <c r="J8310" s="6" t="n">
        <f aca="false">Sens!I8310*(1+Sens!J8311)</f>
        <v>17.3782189407267</v>
      </c>
      <c r="K8310" s="6" t="n">
        <f aca="false">Sens!J8310*(1+Sens!K8311)</f>
        <v>17.7257833195413</v>
      </c>
    </row>
    <row r="8311" customFormat="false" ht="15" hidden="false" customHeight="false" outlineLevel="0" collapsed="false">
      <c r="A8311" s="1" t="s">
        <v>866</v>
      </c>
      <c r="B8311" s="0" t="s">
        <v>129</v>
      </c>
      <c r="E8311" s="7" t="n">
        <f aca="false">Sens!E8310/Sens!D8310-1</f>
        <v>-0.0131677736066995</v>
      </c>
      <c r="F8311" s="7" t="n">
        <f aca="false">Sens!$E$8311+(glt_win-Sens!$E$8311)*MIN(1,(Sens!F8252-base_fy)/n_conv)</f>
        <v>-0.00763981133891627</v>
      </c>
      <c r="G8311" s="7" t="n">
        <f aca="false">Sens!$E$8311+(glt_win-Sens!$E$8311)*MIN(1,(Sens!G8252-base_fy)/n_conv)</f>
        <v>-0.00211184907113301</v>
      </c>
      <c r="H8311" s="7" t="n">
        <f aca="false">Sens!$E$8311+(glt_win-Sens!$E$8311)*MIN(1,(Sens!H8252-base_fy)/n_conv)</f>
        <v>0.00341611319665024</v>
      </c>
      <c r="I8311" s="7" t="n">
        <f aca="false">Sens!$E$8311+(glt_win-Sens!$E$8311)*MIN(1,(Sens!I8252-base_fy)/n_conv)</f>
        <v>0.00894407546443349</v>
      </c>
      <c r="J8311" s="7" t="n">
        <f aca="false">Sens!$E$8311+(glt_win-Sens!$E$8311)*MIN(1,(Sens!J8252-base_fy)/n_conv)</f>
        <v>0.0144720377322168</v>
      </c>
      <c r="K8311" s="7" t="n">
        <f aca="false">Sens!$E$8311+(glt_win-Sens!$E$8311)*MIN(1,(Sens!K8252-base_fy)/n_conv)</f>
        <v>0.02</v>
      </c>
    </row>
    <row r="8312" customFormat="false" ht="15" hidden="false" customHeight="false" outlineLevel="0" collapsed="false">
      <c r="A8312" s="0" t="s">
        <v>718</v>
      </c>
      <c r="B8312" s="0" t="s">
        <v>98</v>
      </c>
      <c r="D8312" s="6" t="n">
        <f aca="false">Sens!D8306+Sens!D8308+Sens!D8310</f>
        <v>62.941</v>
      </c>
      <c r="E8312" s="6" t="n">
        <f aca="false">Sens!E8306+Sens!E8308+Sens!E8310</f>
        <v>63.712</v>
      </c>
      <c r="F8312" s="6" t="n">
        <f aca="false">Sens!F8306+Sens!F8308+Sens!F8310</f>
        <v>65.1415764563129</v>
      </c>
      <c r="G8312" s="6" t="n">
        <f aca="false">Sens!G8306+Sens!G8308+Sens!G8310</f>
        <v>67.1253610780702</v>
      </c>
      <c r="H8312" s="6" t="n">
        <f aca="false">Sens!H8306+Sens!H8308+Sens!H8310</f>
        <v>69.5768050148776</v>
      </c>
      <c r="I8312" s="6" t="n">
        <f aca="false">Sens!I8306+Sens!I8308+Sens!I8310</f>
        <v>72.4233188088189</v>
      </c>
      <c r="J8312" s="6" t="n">
        <f aca="false">Sens!J8306+Sens!J8308+Sens!J8310</f>
        <v>75.6044096678567</v>
      </c>
      <c r="K8312" s="6" t="n">
        <f aca="false">Sens!K8306+Sens!K8308+Sens!K8310</f>
        <v>79.0714397009747</v>
      </c>
    </row>
    <row r="8313" customFormat="false" ht="15" hidden="false" customHeight="false" outlineLevel="0" collapsed="false">
      <c r="A8313" s="1" t="s">
        <v>880</v>
      </c>
      <c r="B8313" s="0" t="s">
        <v>98</v>
      </c>
      <c r="D8313" s="6" t="n">
        <f aca="false">Sens!D8305+Sens!D8312</f>
        <v>281.724</v>
      </c>
      <c r="E8313" s="6" t="n">
        <f aca="false">Sens!E8305+Sens!E8312</f>
        <v>331.839</v>
      </c>
      <c r="F8313" s="6" t="n">
        <f aca="false">Sens!F8305+Sens!F8312</f>
        <v>399.901294664713</v>
      </c>
      <c r="G8313" s="6" t="n">
        <f aca="false">Sens!G8305+Sens!G8312</f>
        <v>476.992310763075</v>
      </c>
      <c r="H8313" s="6" t="n">
        <f aca="false">Sens!H8305+Sens!H8312</f>
        <v>557.033560682964</v>
      </c>
      <c r="I8313" s="6" t="n">
        <f aca="false">Sens!I8305+Sens!I8312</f>
        <v>632.586047436236</v>
      </c>
      <c r="J8313" s="6" t="n">
        <f aca="false">Sens!J8305+Sens!J8312</f>
        <v>697.175085685407</v>
      </c>
      <c r="K8313" s="6" t="n">
        <f aca="false">Sens!K8305+Sens!K8312</f>
        <v>752.364056304684</v>
      </c>
    </row>
    <row r="8314" customFormat="false" ht="15" hidden="false" customHeight="false" outlineLevel="0" collapsed="false">
      <c r="A8314" s="23" t="s">
        <v>881</v>
      </c>
      <c r="B8314" s="30" t="s">
        <v>98</v>
      </c>
      <c r="C8314" s="30"/>
      <c r="D8314" s="24" t="n">
        <f aca="false">(Sens!D8293+Sens!D8298+Sens!D8299+Sens!D8301+Sens!D8303-Sens!D8305)+(Sens!D8306+Sens!D8308+Sens!D8310-Sens!D8312)+(Sens!D8305-Q!L5)+(Sens!D8312-Q!L12)+(Sens!D8293-Q!L6)+(Sens!D8298-Q!L7)</f>
        <v>0</v>
      </c>
      <c r="E8314" s="24" t="n">
        <f aca="false">(Sens!E8293+Sens!E8298+Sens!E8299+Sens!E8301+Sens!E8303-Sens!E8305)+(Sens!E8306+Sens!E8308+Sens!E8310-Sens!E8312)+(Sens!E8305-Q!M5)+(Sens!E8312-Q!M12)+(Sens!E8293-Q!M6)+(Sens!E8298-Q!M7)</f>
        <v>0</v>
      </c>
      <c r="F8314" s="24" t="n">
        <f aca="false">(Sens!F8293+Sens!F8298+Sens!F8299+Sens!F8301+Sens!F8303-Sens!F8305)+(Sens!F8306+Sens!F8308+Sens!F8310-Sens!F8312)</f>
        <v>0</v>
      </c>
      <c r="G8314" s="24" t="n">
        <f aca="false">(Sens!G8293+Sens!G8298+Sens!G8299+Sens!G8301+Sens!G8303-Sens!G8305)+(Sens!G8306+Sens!G8308+Sens!G8310-Sens!G8312)</f>
        <v>0</v>
      </c>
      <c r="H8314" s="24" t="n">
        <f aca="false">(Sens!H8293+Sens!H8298+Sens!H8299+Sens!H8301+Sens!H8303-Sens!H8305)+(Sens!H8306+Sens!H8308+Sens!H8310-Sens!H8312)</f>
        <v>0</v>
      </c>
      <c r="I8314" s="24" t="n">
        <f aca="false">(Sens!I8293+Sens!I8298+Sens!I8299+Sens!I8301+Sens!I8303-Sens!I8305)+(Sens!I8306+Sens!I8308+Sens!I8310-Sens!I8312)</f>
        <v>0</v>
      </c>
      <c r="J8314" s="24" t="n">
        <f aca="false">(Sens!J8293+Sens!J8298+Sens!J8299+Sens!J8301+Sens!J8303-Sens!J8305)+(Sens!J8306+Sens!J8308+Sens!J8310-Sens!J8312)</f>
        <v>0</v>
      </c>
      <c r="K8314" s="24" t="n">
        <f aca="false">(Sens!K8293+Sens!K8298+Sens!K8299+Sens!K8301+Sens!K8303-Sens!K8305)+(Sens!K8306+Sens!K8308+Sens!K8310-Sens!K8312)</f>
        <v>0</v>
      </c>
    </row>
    <row r="8315" customFormat="false" ht="17.15" hidden="false" customHeight="false" outlineLevel="0" collapsed="false">
      <c r="A8315" s="3" t="s">
        <v>1451</v>
      </c>
    </row>
    <row r="8316" customFormat="false" ht="15" hidden="false" customHeight="false" outlineLevel="0" collapsed="false">
      <c r="A8316" s="4" t="s">
        <v>43</v>
      </c>
      <c r="B8316" s="4" t="s">
        <v>65</v>
      </c>
      <c r="C8316" s="20" t="s">
        <v>788</v>
      </c>
      <c r="D8316" s="20" t="s">
        <v>789</v>
      </c>
      <c r="E8316" s="20" t="s">
        <v>790</v>
      </c>
      <c r="F8316" s="20" t="s">
        <v>791</v>
      </c>
      <c r="G8316" s="20" t="s">
        <v>792</v>
      </c>
      <c r="H8316" s="20" t="s">
        <v>793</v>
      </c>
      <c r="I8316" s="20" t="s">
        <v>794</v>
      </c>
      <c r="J8316" s="20" t="s">
        <v>795</v>
      </c>
      <c r="K8316" s="20" t="s">
        <v>796</v>
      </c>
      <c r="L8316" s="4" t="s">
        <v>47</v>
      </c>
    </row>
    <row r="8317" customFormat="false" ht="15" hidden="false" customHeight="false" outlineLevel="0" collapsed="false">
      <c r="A8317" s="0" t="s">
        <v>867</v>
      </c>
      <c r="B8317" s="0" t="s">
        <v>98</v>
      </c>
      <c r="D8317" s="6" t="n">
        <f aca="false">Sens!D8293</f>
        <v>72.61</v>
      </c>
      <c r="E8317" s="6" t="n">
        <f aca="false">Sens!E8293</f>
        <v>101.938</v>
      </c>
      <c r="F8317" s="6" t="n">
        <f aca="false">Sens!F8293</f>
        <v>145.638146269217</v>
      </c>
      <c r="G8317" s="6" t="n">
        <f aca="false">Sens!G8293</f>
        <v>198.273793147575</v>
      </c>
      <c r="H8317" s="6" t="n">
        <f aca="false">Sens!H8293</f>
        <v>253.368072986571</v>
      </c>
      <c r="I8317" s="6" t="n">
        <f aca="false">Sens!I8293</f>
        <v>305.351373647931</v>
      </c>
      <c r="J8317" s="6" t="n">
        <f aca="false">Sens!J8293</f>
        <v>348.129778913382</v>
      </c>
      <c r="K8317" s="6" t="n">
        <f aca="false">Sens!K8293</f>
        <v>382.148547263533</v>
      </c>
    </row>
    <row r="8318" customFormat="false" ht="17.15" hidden="false" customHeight="false" outlineLevel="0" collapsed="false">
      <c r="A8318" s="0" t="s">
        <v>864</v>
      </c>
      <c r="B8318" s="0" t="s">
        <v>98</v>
      </c>
      <c r="D8318" s="6" t="n">
        <f aca="false">Sens!D8290</f>
        <v>12.9359794422418</v>
      </c>
      <c r="E8318" s="6" t="n">
        <f aca="false">Sens!E8290</f>
        <v>27.8095064661409</v>
      </c>
      <c r="F8318" s="6" t="n">
        <f aca="false">Sens!F8290</f>
        <v>55.0640065749585</v>
      </c>
      <c r="G8318" s="6" t="n">
        <f aca="false">Sens!G8290</f>
        <v>89.4505413190538</v>
      </c>
      <c r="H8318" s="6" t="n">
        <f aca="false">Sens!H8290</f>
        <v>124.835630736874</v>
      </c>
      <c r="I8318" s="6" t="n">
        <f aca="false">Sens!I8290</f>
        <v>156.158460265485</v>
      </c>
      <c r="J8318" s="6" t="n">
        <f aca="false">Sens!J8290</f>
        <v>177.99455972577</v>
      </c>
      <c r="K8318" s="6" t="n">
        <f aca="false">Sens!K8290</f>
        <v>191.597101773408</v>
      </c>
    </row>
    <row r="8319" customFormat="false" ht="17.15" hidden="false" customHeight="false" outlineLevel="0" collapsed="false">
      <c r="A8319" s="0" t="s">
        <v>892</v>
      </c>
      <c r="B8319" s="0" t="s">
        <v>98</v>
      </c>
      <c r="D8319" s="6" t="n">
        <f aca="false">Sens!D8291</f>
        <v>59.6740205577583</v>
      </c>
      <c r="E8319" s="6" t="n">
        <f aca="false">Sens!E8291</f>
        <v>74.1284935338591</v>
      </c>
      <c r="F8319" s="6" t="n">
        <f aca="false">Sens!F8291</f>
        <v>90.5741396942587</v>
      </c>
      <c r="G8319" s="6" t="n">
        <f aca="false">Sens!G8291</f>
        <v>108.823251828521</v>
      </c>
      <c r="H8319" s="6" t="n">
        <f aca="false">Sens!H8291</f>
        <v>128.532442249697</v>
      </c>
      <c r="I8319" s="6" t="n">
        <f aca="false">Sens!I8291</f>
        <v>149.192913382446</v>
      </c>
      <c r="J8319" s="6" t="n">
        <f aca="false">Sens!J8291</f>
        <v>170.135219187612</v>
      </c>
      <c r="K8319" s="6" t="n">
        <f aca="false">Sens!K8291</f>
        <v>190.551445490125</v>
      </c>
    </row>
    <row r="8320" customFormat="false" ht="15" hidden="false" customHeight="false" outlineLevel="0" collapsed="false">
      <c r="A8320" s="0" t="s">
        <v>873</v>
      </c>
      <c r="B8320" s="0" t="s">
        <v>98</v>
      </c>
      <c r="D8320" s="6" t="n">
        <f aca="false">Sens!D8298</f>
        <v>84.605</v>
      </c>
      <c r="E8320" s="6" t="n">
        <f aca="false">Sens!E8298</f>
        <v>100.299</v>
      </c>
      <c r="F8320" s="6" t="n">
        <f aca="false">Sens!F8298</f>
        <v>118.89238776686</v>
      </c>
      <c r="G8320" s="6" t="n">
        <f aca="false">Sens!G8298</f>
        <v>137.044168448684</v>
      </c>
      <c r="H8320" s="6" t="n">
        <f aca="false">Sens!H8298</f>
        <v>155.277359388781</v>
      </c>
      <c r="I8320" s="6" t="n">
        <f aca="false">Sens!I8298</f>
        <v>171.834028071957</v>
      </c>
      <c r="J8320" s="6" t="n">
        <f aca="false">Sens!J8298</f>
        <v>186.432702785465</v>
      </c>
      <c r="K8320" s="6" t="n">
        <f aca="false">Sens!K8298</f>
        <v>200.277991980448</v>
      </c>
    </row>
    <row r="8321" customFormat="false" ht="17.15" hidden="false" customHeight="false" outlineLevel="0" collapsed="false">
      <c r="A8321" s="0" t="s">
        <v>893</v>
      </c>
      <c r="B8321" s="0" t="s">
        <v>98</v>
      </c>
      <c r="D8321" s="6" t="n">
        <f aca="false">Sens!D8296</f>
        <v>83.705</v>
      </c>
      <c r="E8321" s="6" t="n">
        <f aca="false">Sens!E8296</f>
        <v>95.049</v>
      </c>
      <c r="F8321" s="6" t="n">
        <f aca="false">Sens!F8296</f>
        <v>106.89238776686</v>
      </c>
      <c r="G8321" s="6" t="n">
        <f aca="false">Sens!G8296</f>
        <v>119.044168448684</v>
      </c>
      <c r="H8321" s="6" t="n">
        <f aca="false">Sens!H8296</f>
        <v>131.277359388781</v>
      </c>
      <c r="I8321" s="6" t="n">
        <f aca="false">Sens!I8296</f>
        <v>143.334028071957</v>
      </c>
      <c r="J8321" s="6" t="n">
        <f aca="false">Sens!J8296</f>
        <v>154.932702785465</v>
      </c>
      <c r="K8321" s="6" t="n">
        <f aca="false">Sens!K8296</f>
        <v>165.777991980448</v>
      </c>
    </row>
    <row r="8322" customFormat="false" ht="17.15" hidden="false" customHeight="false" outlineLevel="0" collapsed="false">
      <c r="A8322" s="0" t="s">
        <v>894</v>
      </c>
      <c r="B8322" s="0" t="s">
        <v>98</v>
      </c>
      <c r="D8322" s="6" t="n">
        <f aca="false">Sens!D8295</f>
        <v>0.9</v>
      </c>
      <c r="E8322" s="6" t="n">
        <f aca="false">Sens!E8295</f>
        <v>5.25</v>
      </c>
      <c r="F8322" s="6" t="n">
        <f aca="false">Sens!F8295</f>
        <v>12</v>
      </c>
      <c r="G8322" s="6" t="n">
        <f aca="false">Sens!G8295</f>
        <v>18</v>
      </c>
      <c r="H8322" s="6" t="n">
        <f aca="false">Sens!H8295</f>
        <v>24</v>
      </c>
      <c r="I8322" s="6" t="n">
        <f aca="false">Sens!I8295</f>
        <v>28.5</v>
      </c>
      <c r="J8322" s="6" t="n">
        <f aca="false">Sens!J8295</f>
        <v>31.5</v>
      </c>
      <c r="K8322" s="6" t="n">
        <f aca="false">Sens!K8295</f>
        <v>34.5</v>
      </c>
    </row>
    <row r="8323" customFormat="false" ht="15" hidden="false" customHeight="false" outlineLevel="0" collapsed="false">
      <c r="A8323" s="0" t="s">
        <v>874</v>
      </c>
      <c r="B8323" s="0" t="s">
        <v>98</v>
      </c>
      <c r="D8323" s="6" t="n">
        <f aca="false">Sens!D8299</f>
        <v>35.391</v>
      </c>
      <c r="E8323" s="6" t="n">
        <f aca="false">Sens!E8299</f>
        <v>37.285</v>
      </c>
      <c r="F8323" s="6" t="n">
        <f aca="false">Sens!F8299</f>
        <v>39.0720834331704</v>
      </c>
      <c r="G8323" s="6" t="n">
        <f aca="false">Sens!G8299</f>
        <v>40.726562953769</v>
      </c>
      <c r="H8323" s="6" t="n">
        <f aca="false">Sens!H8299</f>
        <v>42.2235987259198</v>
      </c>
      <c r="I8323" s="6" t="n">
        <f aca="false">Sens!I8299</f>
        <v>43.5397988077414</v>
      </c>
      <c r="J8323" s="6" t="n">
        <f aca="false">Sens!J8299</f>
        <v>44.653811225693</v>
      </c>
      <c r="K8323" s="6" t="n">
        <f aca="false">Sens!K8299</f>
        <v>45.5468874502068</v>
      </c>
    </row>
    <row r="8324" customFormat="false" ht="15" hidden="false" customHeight="false" outlineLevel="0" collapsed="false">
      <c r="A8324" s="0" t="s">
        <v>875</v>
      </c>
      <c r="B8324" s="0" t="s">
        <v>98</v>
      </c>
      <c r="D8324" s="6" t="n">
        <f aca="false">Sens!D8301</f>
        <v>18.417</v>
      </c>
      <c r="E8324" s="6" t="n">
        <f aca="false">Sens!E8301</f>
        <v>20.345</v>
      </c>
      <c r="F8324" s="6" t="n">
        <f aca="false">Sens!F8301</f>
        <v>22.3572203267814</v>
      </c>
      <c r="G8324" s="6" t="n">
        <f aca="false">Sens!G8301</f>
        <v>24.4392124437232</v>
      </c>
      <c r="H8324" s="6" t="n">
        <f aca="false">Sens!H8301</f>
        <v>26.5738052080665</v>
      </c>
      <c r="I8324" s="6" t="n">
        <f aca="false">Sens!I8301</f>
        <v>28.7412169166967</v>
      </c>
      <c r="J8324" s="6" t="n">
        <f aca="false">Sens!J8301</f>
        <v>30.9192545395413</v>
      </c>
      <c r="K8324" s="6" t="n">
        <f aca="false">Sens!K8301</f>
        <v>33.0836023573092</v>
      </c>
    </row>
    <row r="8325" customFormat="false" ht="15" hidden="false" customHeight="false" outlineLevel="0" collapsed="false">
      <c r="A8325" s="0" t="s">
        <v>876</v>
      </c>
      <c r="B8325" s="0" t="s">
        <v>98</v>
      </c>
      <c r="D8325" s="6" t="n">
        <f aca="false">Sens!D8303</f>
        <v>7.76</v>
      </c>
      <c r="E8325" s="6" t="n">
        <f aca="false">Sens!E8303</f>
        <v>8.26</v>
      </c>
      <c r="F8325" s="6" t="n">
        <f aca="false">Sens!F8303</f>
        <v>8.79988041237113</v>
      </c>
      <c r="G8325" s="6" t="n">
        <f aca="false">Sens!G8303</f>
        <v>9.38321269125306</v>
      </c>
      <c r="H8325" s="6" t="n">
        <f aca="false">Sens!H8303</f>
        <v>10.0139193587476</v>
      </c>
      <c r="I8325" s="6" t="n">
        <f aca="false">Sens!I8303</f>
        <v>10.6963111830911</v>
      </c>
      <c r="J8325" s="6" t="n">
        <f aca="false">Sens!J8303</f>
        <v>11.4351285534696</v>
      </c>
      <c r="K8325" s="6" t="n">
        <f aca="false">Sens!K8303</f>
        <v>12.2355875522124</v>
      </c>
    </row>
    <row r="8326" customFormat="false" ht="15" hidden="false" customHeight="false" outlineLevel="0" collapsed="false">
      <c r="A8326" s="0" t="s">
        <v>704</v>
      </c>
      <c r="B8326" s="0" t="s">
        <v>98</v>
      </c>
      <c r="D8326" s="6" t="n">
        <f aca="false">Sens!D8305</f>
        <v>218.783</v>
      </c>
      <c r="E8326" s="6" t="n">
        <f aca="false">Sens!E8305</f>
        <v>268.127</v>
      </c>
      <c r="F8326" s="6" t="n">
        <f aca="false">Sens!F8305</f>
        <v>334.7597182084</v>
      </c>
      <c r="G8326" s="6" t="n">
        <f aca="false">Sens!G8305</f>
        <v>409.866949685004</v>
      </c>
      <c r="H8326" s="6" t="n">
        <f aca="false">Sens!H8305</f>
        <v>487.456755668086</v>
      </c>
      <c r="I8326" s="6" t="n">
        <f aca="false">Sens!I8305</f>
        <v>560.162728627417</v>
      </c>
      <c r="J8326" s="6" t="n">
        <f aca="false">Sens!J8305</f>
        <v>621.570676017551</v>
      </c>
      <c r="K8326" s="6" t="n">
        <f aca="false">Sens!K8305</f>
        <v>673.292616603709</v>
      </c>
    </row>
    <row r="8327" customFormat="false" ht="15" hidden="false" customHeight="false" outlineLevel="0" collapsed="false">
      <c r="A8327" s="0" t="s">
        <v>877</v>
      </c>
      <c r="B8327" s="0" t="s">
        <v>98</v>
      </c>
      <c r="D8327" s="6" t="n">
        <f aca="false">Sens!D8306</f>
        <v>22.171</v>
      </c>
      <c r="E8327" s="6" t="n">
        <f aca="false">Sens!E8306</f>
        <v>24.835</v>
      </c>
      <c r="F8327" s="6" t="n">
        <f aca="false">Sens!F8306</f>
        <v>27.6114901218559</v>
      </c>
      <c r="G8327" s="6" t="n">
        <f aca="false">Sens!G8306</f>
        <v>30.4675667338515</v>
      </c>
      <c r="H8327" s="6" t="n">
        <f aca="false">Sens!H8306</f>
        <v>33.3643766955789</v>
      </c>
      <c r="I8327" s="6" t="n">
        <f aca="false">Sens!I8306</f>
        <v>36.2577016533691</v>
      </c>
      <c r="J8327" s="6" t="n">
        <f aca="false">Sens!J8306</f>
        <v>39.0988367952171</v>
      </c>
      <c r="K8327" s="6" t="n">
        <f aca="false">Sens!K8306</f>
        <v>41.8357553708823</v>
      </c>
    </row>
    <row r="8328" customFormat="false" ht="15" hidden="false" customHeight="false" outlineLevel="0" collapsed="false">
      <c r="A8328" s="0" t="s">
        <v>878</v>
      </c>
      <c r="B8328" s="0" t="s">
        <v>98</v>
      </c>
      <c r="D8328" s="6" t="n">
        <f aca="false">Sens!D8308</f>
        <v>23.455</v>
      </c>
      <c r="E8328" s="6" t="n">
        <f aca="false">Sens!E8308</f>
        <v>21.79</v>
      </c>
      <c r="F8328" s="6" t="n">
        <f aca="false">Sens!F8308</f>
        <v>20.5736277908051</v>
      </c>
      <c r="G8328" s="6" t="n">
        <f aca="false">Sens!G8308</f>
        <v>19.7371452817919</v>
      </c>
      <c r="H8328" s="6" t="n">
        <f aca="false">Sens!H8308</f>
        <v>19.2339764043138</v>
      </c>
      <c r="I8328" s="6" t="n">
        <f aca="false">Sens!I8308</f>
        <v>19.0353086852681</v>
      </c>
      <c r="J8328" s="6" t="n">
        <f aca="false">Sens!J8308</f>
        <v>19.1273539319129</v>
      </c>
      <c r="K8328" s="6" t="n">
        <f aca="false">Sens!K8308</f>
        <v>19.5099010105511</v>
      </c>
    </row>
    <row r="8329" customFormat="false" ht="15" hidden="false" customHeight="false" outlineLevel="0" collapsed="false">
      <c r="A8329" s="0" t="s">
        <v>879</v>
      </c>
      <c r="B8329" s="0" t="s">
        <v>98</v>
      </c>
      <c r="D8329" s="6" t="n">
        <f aca="false">Sens!D8310</f>
        <v>17.315</v>
      </c>
      <c r="E8329" s="6" t="n">
        <f aca="false">Sens!E8310</f>
        <v>17.087</v>
      </c>
      <c r="F8329" s="6" t="n">
        <f aca="false">Sens!F8310</f>
        <v>16.9564585436519</v>
      </c>
      <c r="G8329" s="6" t="n">
        <f aca="false">Sens!G8310</f>
        <v>16.9206490624268</v>
      </c>
      <c r="H8329" s="6" t="n">
        <f aca="false">Sens!H8310</f>
        <v>16.9784519149849</v>
      </c>
      <c r="I8329" s="6" t="n">
        <f aca="false">Sens!I8310</f>
        <v>17.1303084701817</v>
      </c>
      <c r="J8329" s="6" t="n">
        <f aca="false">Sens!J8310</f>
        <v>17.3782189407267</v>
      </c>
      <c r="K8329" s="6" t="n">
        <f aca="false">Sens!K8310</f>
        <v>17.7257833195413</v>
      </c>
    </row>
    <row r="8330" customFormat="false" ht="15" hidden="false" customHeight="false" outlineLevel="0" collapsed="false">
      <c r="A8330" s="0" t="s">
        <v>718</v>
      </c>
      <c r="B8330" s="0" t="s">
        <v>98</v>
      </c>
      <c r="D8330" s="6" t="n">
        <f aca="false">Sens!D8312</f>
        <v>62.941</v>
      </c>
      <c r="E8330" s="6" t="n">
        <f aca="false">Sens!E8312</f>
        <v>63.712</v>
      </c>
      <c r="F8330" s="6" t="n">
        <f aca="false">Sens!F8312</f>
        <v>65.1415764563129</v>
      </c>
      <c r="G8330" s="6" t="n">
        <f aca="false">Sens!G8312</f>
        <v>67.1253610780702</v>
      </c>
      <c r="H8330" s="6" t="n">
        <f aca="false">Sens!H8312</f>
        <v>69.5768050148776</v>
      </c>
      <c r="I8330" s="6" t="n">
        <f aca="false">Sens!I8312</f>
        <v>72.4233188088189</v>
      </c>
      <c r="J8330" s="6" t="n">
        <f aca="false">Sens!J8312</f>
        <v>75.6044096678567</v>
      </c>
      <c r="K8330" s="6" t="n">
        <f aca="false">Sens!K8312</f>
        <v>79.0714397009747</v>
      </c>
    </row>
    <row r="8331" customFormat="false" ht="15" hidden="false" customHeight="false" outlineLevel="0" collapsed="false">
      <c r="A8331" s="1" t="s">
        <v>895</v>
      </c>
      <c r="B8331" s="0" t="s">
        <v>98</v>
      </c>
      <c r="D8331" s="6" t="n">
        <f aca="false">Sens!D8313</f>
        <v>281.724</v>
      </c>
      <c r="E8331" s="6" t="n">
        <f aca="false">Sens!E8313</f>
        <v>331.839</v>
      </c>
      <c r="F8331" s="6" t="n">
        <f aca="false">Sens!F8313</f>
        <v>399.901294664713</v>
      </c>
      <c r="G8331" s="6" t="n">
        <f aca="false">Sens!G8313</f>
        <v>476.992310763075</v>
      </c>
      <c r="H8331" s="6" t="n">
        <f aca="false">Sens!H8313</f>
        <v>557.033560682964</v>
      </c>
      <c r="I8331" s="6" t="n">
        <f aca="false">Sens!I8313</f>
        <v>632.586047436236</v>
      </c>
      <c r="J8331" s="6" t="n">
        <f aca="false">Sens!J8313</f>
        <v>697.175085685407</v>
      </c>
      <c r="K8331" s="6" t="n">
        <f aca="false">Sens!K8313</f>
        <v>752.364056304684</v>
      </c>
    </row>
    <row r="8332" customFormat="false" ht="15" hidden="false" customHeight="false" outlineLevel="0" collapsed="false">
      <c r="A8332" s="1" t="s">
        <v>896</v>
      </c>
      <c r="B8332" s="0" t="s">
        <v>129</v>
      </c>
      <c r="E8332" s="7" t="n">
        <f aca="false">Sens!E8331/Sens!D8331-1</f>
        <v>0.177886867998467</v>
      </c>
      <c r="F8332" s="7" t="n">
        <f aca="false">Sens!F8331/Sens!E8331-1</f>
        <v>0.205106375877196</v>
      </c>
      <c r="G8332" s="7" t="n">
        <f aca="false">Sens!G8331/Sens!F8331-1</f>
        <v>0.192775110075592</v>
      </c>
      <c r="H8332" s="7" t="n">
        <f aca="false">Sens!H8331/Sens!G8331-1</f>
        <v>0.167804067515978</v>
      </c>
      <c r="I8332" s="7" t="n">
        <f aca="false">Sens!I8331/Sens!H8331-1</f>
        <v>0.135633635181045</v>
      </c>
      <c r="J8332" s="7" t="n">
        <f aca="false">Sens!J8331/Sens!I8331-1</f>
        <v>0.10210316606087</v>
      </c>
      <c r="K8332" s="7" t="n">
        <f aca="false">Sens!K8331/Sens!J8331-1</f>
        <v>0.0791608474720797</v>
      </c>
    </row>
    <row r="8333" customFormat="false" ht="17.15" hidden="false" customHeight="false" outlineLevel="0" collapsed="false">
      <c r="A8333" s="23" t="s">
        <v>897</v>
      </c>
      <c r="B8333" s="30" t="s">
        <v>98</v>
      </c>
      <c r="C8333" s="30"/>
      <c r="D8333" s="24" t="n">
        <f aca="false">(Sens!D8326+Sens!D8330-Sens!D8331)+(Sens!D8318+Sens!D8319-Sens!D8317)+(Sens!D8321+Sens!D8322-Sens!D8320)+(Sens!D8331-Q!L18)</f>
        <v>0</v>
      </c>
      <c r="E8333" s="24" t="n">
        <f aca="false">(Sens!E8326+Sens!E8330-Sens!E8331)+(Sens!E8318+Sens!E8319-Sens!E8317)+(Sens!E8321+Sens!E8322-Sens!E8320)+(Sens!E8331-Q!M18)</f>
        <v>0</v>
      </c>
      <c r="F8333" s="24" t="n">
        <f aca="false">(Sens!F8326+Sens!F8330-Sens!F8331)+(Sens!F8318+Sens!F8319-Sens!F8317)+(Sens!F8321+Sens!F8322-Sens!F8320)</f>
        <v>0</v>
      </c>
      <c r="G8333" s="24" t="n">
        <f aca="false">(Sens!G8326+Sens!G8330-Sens!G8331)+(Sens!G8318+Sens!G8319-Sens!G8317)+(Sens!G8321+Sens!G8322-Sens!G8320)</f>
        <v>0</v>
      </c>
      <c r="H8333" s="24" t="n">
        <f aca="false">(Sens!H8326+Sens!H8330-Sens!H8331)+(Sens!H8318+Sens!H8319-Sens!H8317)+(Sens!H8321+Sens!H8322-Sens!H8320)</f>
        <v>0</v>
      </c>
      <c r="I8333" s="24" t="n">
        <f aca="false">(Sens!I8326+Sens!I8330-Sens!I8331)+(Sens!I8318+Sens!I8319-Sens!I8317)+(Sens!I8321+Sens!I8322-Sens!I8320)</f>
        <v>0</v>
      </c>
      <c r="J8333" s="24" t="n">
        <f aca="false">(Sens!J8326+Sens!J8330-Sens!J8331)+(Sens!J8318+Sens!J8319-Sens!J8317)+(Sens!J8321+Sens!J8322-Sens!J8320)</f>
        <v>0</v>
      </c>
      <c r="K8333" s="24" t="n">
        <f aca="false">(Sens!K8326+Sens!K8330-Sens!K8331)+(Sens!K8318+Sens!K8319-Sens!K8317)+(Sens!K8321+Sens!K8322-Sens!K8320)</f>
        <v>0</v>
      </c>
    </row>
    <row r="8334" customFormat="false" ht="17.15" hidden="false" customHeight="false" outlineLevel="0" collapsed="false">
      <c r="A8334" s="0" t="s">
        <v>898</v>
      </c>
      <c r="B8334" s="0" t="s">
        <v>129</v>
      </c>
      <c r="E8334" s="7" t="n">
        <f aca="false">(Q!M21+Sens!E8271+Sens!E8272+Sens!E8273+Sens!E8286-Sens!E8269)/(Q!M5-Sens!E8269)</f>
        <v>0.570957350878296</v>
      </c>
      <c r="F8334" s="7" t="n">
        <f aca="false">Sens!$E$8334+dm_seg</f>
        <v>0.570957350878296</v>
      </c>
      <c r="G8334" s="7" t="n">
        <f aca="false">Sens!$E$8334+dm_seg</f>
        <v>0.570957350878296</v>
      </c>
      <c r="H8334" s="7" t="n">
        <f aca="false">Sens!$E$8334+dm_seg</f>
        <v>0.570957350878296</v>
      </c>
      <c r="I8334" s="7" t="n">
        <f aca="false">Sens!$E$8334+dm_seg</f>
        <v>0.570957350878296</v>
      </c>
      <c r="J8334" s="7" t="n">
        <f aca="false">Sens!$E$8334+dm_seg</f>
        <v>0.570957350878296</v>
      </c>
      <c r="K8334" s="7" t="n">
        <f aca="false">Sens!$E$8334+dm_seg</f>
        <v>0.570957350878296</v>
      </c>
      <c r="L8334" s="11" t="s">
        <v>899</v>
      </c>
    </row>
    <row r="8335" customFormat="false" ht="17.15" hidden="false" customHeight="false" outlineLevel="0" collapsed="false">
      <c r="A8335" s="0" t="s">
        <v>732</v>
      </c>
      <c r="B8335" s="0" t="s">
        <v>98</v>
      </c>
      <c r="D8335" s="6" t="n">
        <f aca="false">Q!L21</f>
        <v>110.814</v>
      </c>
      <c r="E8335" s="6" t="n">
        <f aca="false">Q!M21</f>
        <v>136.365</v>
      </c>
      <c r="F8335" s="6" t="n">
        <f aca="false">Sens!F8334*(Sens!F8305-Sens!F8269)+Sens!F8269-(Sens!F8271+Sens!F8272+Sens!F8273)-Sens!F8286</f>
        <v>157.888533808345</v>
      </c>
      <c r="G8335" s="6" t="n">
        <f aca="false">Sens!G8334*(Sens!G8305-Sens!G8269)+Sens!G8269-(Sens!G8271+Sens!G8272+Sens!G8273)-Sens!G8286</f>
        <v>178.221966820426</v>
      </c>
      <c r="H8335" s="6" t="n">
        <f aca="false">Sens!H8334*(Sens!H8305-Sens!H8269)+Sens!H8269-(Sens!H8271+Sens!H8272+Sens!H8273)-Sens!H8286</f>
        <v>199.271568350505</v>
      </c>
      <c r="I8335" s="6" t="n">
        <f aca="false">Sens!I8334*(Sens!I8305-Sens!I8269)+Sens!I8269-(Sens!I8271+Sens!I8272+Sens!I8273)-Sens!I8286</f>
        <v>220.277878009785</v>
      </c>
      <c r="J8335" s="6" t="n">
        <f aca="false">Sens!J8334*(Sens!J8305-Sens!J8269)+Sens!J8269-(Sens!J8271+Sens!J8272+Sens!J8273)-Sens!J8286</f>
        <v>240.974877394969</v>
      </c>
      <c r="K8335" s="6" t="n">
        <f aca="false">Sens!K8334*(Sens!K8305-Sens!K8269)+Sens!K8269-(Sens!K8271+Sens!K8272+Sens!K8273)-Sens!K8286</f>
        <v>262.37030945328</v>
      </c>
      <c r="L8335" s="1" t="s">
        <v>900</v>
      </c>
    </row>
    <row r="8336" customFormat="false" ht="17.15" hidden="false" customHeight="false" outlineLevel="0" collapsed="false">
      <c r="A8336" s="0" t="s">
        <v>901</v>
      </c>
      <c r="B8336" s="0" t="s">
        <v>129</v>
      </c>
      <c r="E8336" s="7" t="n">
        <f aca="false">Q!M22/Q!M12</f>
        <v>0.296207935710698</v>
      </c>
      <c r="F8336" s="7" t="n">
        <f aca="false">Sens!$E$8336+dm_seg</f>
        <v>0.296207935710698</v>
      </c>
      <c r="G8336" s="7" t="n">
        <f aca="false">Sens!$E$8336+dm_seg</f>
        <v>0.296207935710698</v>
      </c>
      <c r="H8336" s="7" t="n">
        <f aca="false">Sens!$E$8336+dm_seg</f>
        <v>0.296207935710698</v>
      </c>
      <c r="I8336" s="7" t="n">
        <f aca="false">Sens!$E$8336+dm_seg</f>
        <v>0.296207935710698</v>
      </c>
      <c r="J8336" s="7" t="n">
        <f aca="false">Sens!$E$8336+dm_seg</f>
        <v>0.296207935710698</v>
      </c>
      <c r="K8336" s="7" t="n">
        <f aca="false">Sens!$E$8336+dm_seg</f>
        <v>0.296207935710698</v>
      </c>
      <c r="L8336" s="11" t="s">
        <v>902</v>
      </c>
    </row>
    <row r="8337" customFormat="false" ht="17.15" hidden="false" customHeight="false" outlineLevel="0" collapsed="false">
      <c r="A8337" s="0" t="s">
        <v>734</v>
      </c>
      <c r="B8337" s="0" t="s">
        <v>98</v>
      </c>
      <c r="D8337" s="6" t="n">
        <f aca="false">Q!L22</f>
        <v>17.714</v>
      </c>
      <c r="E8337" s="6" t="n">
        <f aca="false">Q!M22</f>
        <v>18.872</v>
      </c>
      <c r="F8337" s="6" t="n">
        <f aca="false">Sens!F8312*Sens!F8336</f>
        <v>19.2954518910651</v>
      </c>
      <c r="G8337" s="6" t="n">
        <f aca="false">Sens!G8312*Sens!G8336</f>
        <v>19.8830646387704</v>
      </c>
      <c r="H8337" s="6" t="n">
        <f aca="false">Sens!H8312*Sens!H8336</f>
        <v>20.6092017868026</v>
      </c>
      <c r="I8337" s="6" t="n">
        <f aca="false">Sens!I8312*Sens!I8336</f>
        <v>21.452361761678</v>
      </c>
      <c r="J8337" s="6" t="n">
        <f aca="false">Sens!J8312*Sens!J8336</f>
        <v>22.3946261183418</v>
      </c>
      <c r="K8337" s="6" t="n">
        <f aca="false">Sens!K8312*Sens!K8336</f>
        <v>23.4215879274986</v>
      </c>
    </row>
    <row r="8338" customFormat="false" ht="15" hidden="false" customHeight="false" outlineLevel="0" collapsed="false">
      <c r="A8338" s="1" t="s">
        <v>903</v>
      </c>
      <c r="B8338" s="0" t="s">
        <v>98</v>
      </c>
      <c r="D8338" s="6" t="n">
        <f aca="false">Sens!D8335+Sens!D8337</f>
        <v>128.528</v>
      </c>
      <c r="E8338" s="6" t="n">
        <f aca="false">Sens!E8335+Sens!E8337</f>
        <v>155.237</v>
      </c>
      <c r="F8338" s="6" t="n">
        <f aca="false">Sens!F8335+Sens!F8337</f>
        <v>177.18398569941</v>
      </c>
      <c r="G8338" s="6" t="n">
        <f aca="false">Sens!G8335+Sens!G8337</f>
        <v>198.105031459196</v>
      </c>
      <c r="H8338" s="6" t="n">
        <f aca="false">Sens!H8335+Sens!H8337</f>
        <v>219.880770137308</v>
      </c>
      <c r="I8338" s="6" t="n">
        <f aca="false">Sens!I8335+Sens!I8337</f>
        <v>241.730239771463</v>
      </c>
      <c r="J8338" s="6" t="n">
        <f aca="false">Sens!J8335+Sens!J8337</f>
        <v>263.36950351331</v>
      </c>
      <c r="K8338" s="6" t="n">
        <f aca="false">Sens!K8335+Sens!K8337</f>
        <v>285.791897380779</v>
      </c>
    </row>
    <row r="8339" customFormat="false" ht="15" hidden="false" customHeight="false" outlineLevel="0" collapsed="false">
      <c r="A8339" s="23" t="s">
        <v>904</v>
      </c>
      <c r="B8339" s="30" t="s">
        <v>98</v>
      </c>
      <c r="C8339" s="30"/>
      <c r="D8339" s="24" t="n">
        <f aca="false">Sens!D8338-Q!L23</f>
        <v>0</v>
      </c>
      <c r="E8339" s="24" t="n">
        <f aca="false">Sens!E8338-Q!M23</f>
        <v>0</v>
      </c>
      <c r="F8339" s="30"/>
      <c r="G8339" s="30"/>
      <c r="H8339" s="30"/>
      <c r="I8339" s="30"/>
      <c r="J8339" s="30"/>
      <c r="K8339" s="30"/>
    </row>
    <row r="8340" customFormat="false" ht="15" hidden="false" customHeight="false" outlineLevel="0" collapsed="false">
      <c r="A8340" s="1" t="s">
        <v>905</v>
      </c>
      <c r="B8340" s="0" t="s">
        <v>129</v>
      </c>
      <c r="D8340" s="7" t="n">
        <f aca="false">Sens!D8338/Sens!D8331</f>
        <v>0.456219562408598</v>
      </c>
      <c r="E8340" s="7" t="n">
        <f aca="false">Sens!E8338/Sens!E8331</f>
        <v>0.467808184089272</v>
      </c>
      <c r="F8340" s="7" t="n">
        <f aca="false">Sens!F8338/Sens!F8331</f>
        <v>0.443069297507441</v>
      </c>
      <c r="G8340" s="7" t="n">
        <f aca="false">Sens!G8338/Sens!G8331</f>
        <v>0.41532122633649</v>
      </c>
      <c r="H8340" s="7" t="n">
        <f aca="false">Sens!H8338/Sens!H8331</f>
        <v>0.394735229000777</v>
      </c>
      <c r="I8340" s="7" t="n">
        <f aca="false">Sens!I8338/Sens!I8331</f>
        <v>0.382130210982609</v>
      </c>
      <c r="J8340" s="7" t="n">
        <f aca="false">Sens!J8338/Sens!J8331</f>
        <v>0.37776665994079</v>
      </c>
      <c r="K8340" s="7" t="n">
        <f aca="false">Sens!K8338/Sens!K8331</f>
        <v>0.379858520600354</v>
      </c>
    </row>
    <row r="8341" customFormat="false" ht="17.15" hidden="false" customHeight="false" outlineLevel="0" collapsed="false">
      <c r="A8341" s="1" t="s">
        <v>906</v>
      </c>
      <c r="B8341" s="0" t="s">
        <v>98</v>
      </c>
      <c r="F8341" s="6" t="n">
        <f aca="false">Sens!F8356</f>
        <v>19.9358184660572</v>
      </c>
      <c r="G8341" s="6" t="n">
        <f aca="false">Sens!G8356</f>
        <v>35.1359494439124</v>
      </c>
      <c r="H8341" s="6" t="n">
        <f aca="false">Sens!H8356</f>
        <v>51.688536514718</v>
      </c>
      <c r="I8341" s="6" t="n">
        <f aca="false">Sens!I8356</f>
        <v>66.8193432436896</v>
      </c>
      <c r="J8341" s="6" t="n">
        <f aca="false">Sens!J8356</f>
        <v>77.4328840229578</v>
      </c>
      <c r="K8341" s="6" t="n">
        <f aca="false">Sens!K8356</f>
        <v>83.3249638901295</v>
      </c>
      <c r="L8341" s="1" t="s">
        <v>907</v>
      </c>
    </row>
    <row r="8342" customFormat="false" ht="17.15" hidden="false" customHeight="false" outlineLevel="0" collapsed="false">
      <c r="A8342" s="1" t="s">
        <v>908</v>
      </c>
      <c r="B8342" s="0" t="s">
        <v>98</v>
      </c>
      <c r="D8342" s="6" t="n">
        <f aca="false">Sens!D8338</f>
        <v>128.528</v>
      </c>
      <c r="E8342" s="6" t="n">
        <f aca="false">Sens!E8338</f>
        <v>155.237</v>
      </c>
      <c r="F8342" s="6" t="n">
        <f aca="false">Sens!F8338+Sens!F8341</f>
        <v>197.119804165468</v>
      </c>
      <c r="G8342" s="6" t="n">
        <f aca="false">Sens!G8338+Sens!G8341</f>
        <v>233.240980903109</v>
      </c>
      <c r="H8342" s="6" t="n">
        <f aca="false">Sens!H8338+Sens!H8341</f>
        <v>271.569306652026</v>
      </c>
      <c r="I8342" s="6" t="n">
        <f aca="false">Sens!I8338+Sens!I8341</f>
        <v>308.549583015153</v>
      </c>
      <c r="J8342" s="6" t="n">
        <f aca="false">Sens!J8338+Sens!J8341</f>
        <v>340.802387536268</v>
      </c>
      <c r="K8342" s="6" t="n">
        <f aca="false">Sens!K8338+Sens!K8341</f>
        <v>369.116861270908</v>
      </c>
    </row>
    <row r="8343" customFormat="false" ht="17.15" hidden="false" customHeight="false" outlineLevel="0" collapsed="false">
      <c r="A8343" s="1" t="s">
        <v>909</v>
      </c>
      <c r="B8343" s="0" t="s">
        <v>98</v>
      </c>
      <c r="E8343" s="6" t="n">
        <f aca="false">Sens!E8286</f>
        <v>16.3054059770833</v>
      </c>
      <c r="F8343" s="6" t="n">
        <f aca="false">Sens!F8286</f>
        <v>34.7322989565883</v>
      </c>
      <c r="G8343" s="6" t="n">
        <f aca="false">Sens!G8286</f>
        <v>60.4902602617765</v>
      </c>
      <c r="H8343" s="6" t="n">
        <f aca="false">Sens!H8286</f>
        <v>87.7258429945765</v>
      </c>
      <c r="I8343" s="6" t="n">
        <f aca="false">Sens!I8286</f>
        <v>111.970566983658</v>
      </c>
      <c r="J8343" s="6" t="n">
        <f aca="false">Sens!J8286</f>
        <v>129.167237924103</v>
      </c>
      <c r="K8343" s="6" t="n">
        <f aca="false">Sens!K8286</f>
        <v>139.631173805911</v>
      </c>
    </row>
    <row r="8344" customFormat="false" ht="17.15" hidden="false" customHeight="false" outlineLevel="0" collapsed="false">
      <c r="A8344" s="1" t="s">
        <v>910</v>
      </c>
      <c r="B8344" s="0" t="s">
        <v>98</v>
      </c>
      <c r="E8344" s="6" t="n">
        <f aca="false">Sens!E8368</f>
        <v>22.2285940229167</v>
      </c>
      <c r="F8344" s="6" t="n">
        <f aca="false">Sens!F8368</f>
        <v>23.5735531427191</v>
      </c>
      <c r="G8344" s="6" t="n">
        <f aca="false">Sens!G8368</f>
        <v>25.3673837179903</v>
      </c>
      <c r="H8344" s="6" t="n">
        <f aca="false">Sens!H8368</f>
        <v>27.5970059038815</v>
      </c>
      <c r="I8344" s="6" t="n">
        <f aca="false">Sens!I8368</f>
        <v>30.2223295646696</v>
      </c>
      <c r="J8344" s="6" t="n">
        <f aca="false">Sens!J8368</f>
        <v>33.1905149707056</v>
      </c>
      <c r="K8344" s="6" t="n">
        <f aca="false">Sens!K8368</f>
        <v>36.4493551236474</v>
      </c>
    </row>
    <row r="8345" customFormat="false" ht="17.15" hidden="false" customHeight="false" outlineLevel="0" collapsed="false">
      <c r="A8345" s="1" t="s">
        <v>911</v>
      </c>
      <c r="B8345" s="0" t="s">
        <v>98</v>
      </c>
      <c r="D8345" s="6" t="n">
        <f aca="false">Q!L27</f>
        <v>-4.901</v>
      </c>
      <c r="E8345" s="6" t="n">
        <f aca="false">Q!M27</f>
        <v>10.697</v>
      </c>
      <c r="F8345" s="6" t="n">
        <f aca="false">oie_f</f>
        <v>-0.4</v>
      </c>
      <c r="G8345" s="6" t="n">
        <f aca="false">oie_f</f>
        <v>-0.4</v>
      </c>
      <c r="H8345" s="6" t="n">
        <f aca="false">oie_f</f>
        <v>-0.4</v>
      </c>
      <c r="I8345" s="6" t="n">
        <f aca="false">oie_f</f>
        <v>-0.4</v>
      </c>
      <c r="J8345" s="6" t="n">
        <f aca="false">oie_f</f>
        <v>-0.4</v>
      </c>
      <c r="K8345" s="6" t="n">
        <f aca="false">oie_f</f>
        <v>-0.4</v>
      </c>
      <c r="L8345" s="11" t="s">
        <v>912</v>
      </c>
    </row>
    <row r="8346" customFormat="false" ht="15" hidden="false" customHeight="false" outlineLevel="0" collapsed="false">
      <c r="A8346" s="1" t="s">
        <v>913</v>
      </c>
      <c r="B8346" s="0" t="s">
        <v>98</v>
      </c>
      <c r="D8346" s="6" t="n">
        <f aca="false">Sens!D8338+Sens!D8345</f>
        <v>123.627</v>
      </c>
      <c r="E8346" s="6" t="n">
        <f aca="false">Sens!E8338+Sens!E8345</f>
        <v>165.934</v>
      </c>
      <c r="F8346" s="6" t="n">
        <f aca="false">Sens!F8338+Sens!F8345</f>
        <v>176.78398569941</v>
      </c>
      <c r="G8346" s="6" t="n">
        <f aca="false">Sens!G8338+Sens!G8345</f>
        <v>197.705031459196</v>
      </c>
      <c r="H8346" s="6" t="n">
        <f aca="false">Sens!H8338+Sens!H8345</f>
        <v>219.480770137308</v>
      </c>
      <c r="I8346" s="6" t="n">
        <f aca="false">Sens!I8338+Sens!I8345</f>
        <v>241.330239771463</v>
      </c>
      <c r="J8346" s="6" t="n">
        <f aca="false">Sens!J8338+Sens!J8345</f>
        <v>262.969503513311</v>
      </c>
      <c r="K8346" s="6" t="n">
        <f aca="false">Sens!K8338+Sens!K8345</f>
        <v>285.391897380779</v>
      </c>
    </row>
    <row r="8347" customFormat="false" ht="15" hidden="false" customHeight="false" outlineLevel="0" collapsed="false">
      <c r="A8347" s="1" t="s">
        <v>914</v>
      </c>
      <c r="B8347" s="0" t="s">
        <v>98</v>
      </c>
      <c r="D8347" s="6" t="n">
        <f aca="false">Q!L29</f>
        <v>21.795</v>
      </c>
      <c r="E8347" s="6" t="n">
        <f aca="false">Q!M29</f>
        <v>32.185</v>
      </c>
      <c r="F8347" s="6" t="n">
        <f aca="false">Sens!F8346*tax_f</f>
        <v>35.3567971398821</v>
      </c>
      <c r="G8347" s="6" t="n">
        <f aca="false">Sens!G8346*tax_f</f>
        <v>39.5410062918393</v>
      </c>
      <c r="H8347" s="6" t="n">
        <f aca="false">Sens!H8346*tax_f</f>
        <v>43.8961540274616</v>
      </c>
      <c r="I8347" s="6" t="n">
        <f aca="false">Sens!I8346*tax_f</f>
        <v>48.2660479542927</v>
      </c>
      <c r="J8347" s="6" t="n">
        <f aca="false">Sens!J8346*tax_f</f>
        <v>52.5939007026621</v>
      </c>
      <c r="K8347" s="6" t="n">
        <f aca="false">Sens!K8346*tax_f</f>
        <v>57.0783794761558</v>
      </c>
    </row>
    <row r="8348" customFormat="false" ht="15" hidden="false" customHeight="false" outlineLevel="0" collapsed="false">
      <c r="A8348" s="1" t="s">
        <v>915</v>
      </c>
      <c r="B8348" s="0" t="s">
        <v>98</v>
      </c>
      <c r="D8348" s="6" t="n">
        <f aca="false">Sens!D8346-Sens!D8347</f>
        <v>101.832</v>
      </c>
      <c r="E8348" s="6" t="n">
        <f aca="false">Sens!E8346-Sens!E8347</f>
        <v>133.749</v>
      </c>
      <c r="F8348" s="6" t="n">
        <f aca="false">Sens!F8346-Sens!F8347</f>
        <v>141.427188559528</v>
      </c>
      <c r="G8348" s="6" t="n">
        <f aca="false">Sens!G8346-Sens!G8347</f>
        <v>158.164025167357</v>
      </c>
      <c r="H8348" s="6" t="n">
        <f aca="false">Sens!H8346-Sens!H8347</f>
        <v>175.584616109846</v>
      </c>
      <c r="I8348" s="6" t="n">
        <f aca="false">Sens!I8346-Sens!I8347</f>
        <v>193.064191817171</v>
      </c>
      <c r="J8348" s="6" t="n">
        <f aca="false">Sens!J8346-Sens!J8347</f>
        <v>210.375602810648</v>
      </c>
      <c r="K8348" s="6" t="n">
        <f aca="false">Sens!K8346-Sens!K8347</f>
        <v>228.313517904623</v>
      </c>
    </row>
    <row r="8349" customFormat="false" ht="17.15" hidden="false" customHeight="false" outlineLevel="0" collapsed="false">
      <c r="A8349" s="1" t="s">
        <v>916</v>
      </c>
      <c r="B8349" s="1" t="s">
        <v>81</v>
      </c>
      <c r="D8349" s="14" t="n">
        <f aca="false">Q!L31</f>
        <v>7.465</v>
      </c>
      <c r="E8349" s="14" t="n">
        <f aca="false">Q!M31</f>
        <v>7.453</v>
      </c>
      <c r="F8349" s="14" t="n">
        <f aca="false">Sens!F8390</f>
        <v>7.4735</v>
      </c>
      <c r="G8349" s="14" t="n">
        <f aca="false">Sens!G8390</f>
        <v>7.51748339640574</v>
      </c>
      <c r="H8349" s="14" t="n">
        <f aca="false">Sens!H8390</f>
        <v>7.54421837866143</v>
      </c>
      <c r="I8349" s="14" t="n">
        <f aca="false">Sens!I8390</f>
        <v>7.55599921066874</v>
      </c>
      <c r="J8349" s="14" t="n">
        <f aca="false">Sens!J8390</f>
        <v>7.57024072178662</v>
      </c>
      <c r="K8349" s="14" t="n">
        <f aca="false">Sens!K8390</f>
        <v>7.58676063948836</v>
      </c>
    </row>
    <row r="8350" customFormat="false" ht="17.15" hidden="false" customHeight="false" outlineLevel="0" collapsed="false">
      <c r="A8350" s="0" t="s">
        <v>917</v>
      </c>
      <c r="B8350" s="0" t="s">
        <v>75</v>
      </c>
      <c r="D8350" s="8" t="n">
        <f aca="false">Sens!D8348/Sens!D8349</f>
        <v>13.641259209645</v>
      </c>
      <c r="E8350" s="8" t="n">
        <f aca="false">Sens!E8348/Sens!E8349</f>
        <v>17.9456594659869</v>
      </c>
      <c r="F8350" s="8" t="n">
        <f aca="false">Sens!F8348/Sens!F8349</f>
        <v>18.9238226479599</v>
      </c>
      <c r="G8350" s="8" t="n">
        <f aca="false">Sens!G8348/Sens!G8349</f>
        <v>21.0394911205229</v>
      </c>
      <c r="H8350" s="8" t="n">
        <f aca="false">Sens!H8348/Sens!H8349</f>
        <v>23.2740633021019</v>
      </c>
      <c r="I8350" s="8" t="n">
        <f aca="false">Sens!I8348/Sens!I8349</f>
        <v>25.5511132855298</v>
      </c>
      <c r="J8350" s="8" t="n">
        <f aca="false">Sens!J8348/Sens!J8349</f>
        <v>27.7898168026813</v>
      </c>
      <c r="K8350" s="8" t="n">
        <f aca="false">Sens!K8348/Sens!K8349</f>
        <v>30.0936761753459</v>
      </c>
      <c r="L8350" s="1" t="s">
        <v>918</v>
      </c>
    </row>
    <row r="8351" customFormat="false" ht="17.15" hidden="false" customHeight="false" outlineLevel="0" collapsed="false">
      <c r="A8351" s="1" t="s">
        <v>919</v>
      </c>
      <c r="B8351" s="0" t="s">
        <v>98</v>
      </c>
      <c r="D8351" s="6" t="n">
        <f aca="false">Sens!D8348</f>
        <v>101.832</v>
      </c>
      <c r="E8351" s="6" t="n">
        <f aca="false">Sens!E8348</f>
        <v>133.749</v>
      </c>
      <c r="F8351" s="6" t="n">
        <f aca="false">Sens!F8348+Sens!F8341*(1-tax_f)</f>
        <v>157.375843332374</v>
      </c>
      <c r="G8351" s="6" t="n">
        <f aca="false">Sens!G8348+Sens!G8341*(1-tax_f)</f>
        <v>186.272784722487</v>
      </c>
      <c r="H8351" s="6" t="n">
        <f aca="false">Sens!H8348+Sens!H8341*(1-tax_f)</f>
        <v>216.935445321621</v>
      </c>
      <c r="I8351" s="6" t="n">
        <f aca="false">Sens!I8348+Sens!I8341*(1-tax_f)</f>
        <v>246.519666412122</v>
      </c>
      <c r="J8351" s="6" t="n">
        <f aca="false">Sens!J8348+Sens!J8341*(1-tax_f)</f>
        <v>272.321910029015</v>
      </c>
      <c r="K8351" s="6" t="n">
        <f aca="false">Sens!K8348+Sens!K8341*(1-tax_f)</f>
        <v>294.973489016727</v>
      </c>
    </row>
    <row r="8352" customFormat="false" ht="17.15" hidden="false" customHeight="false" outlineLevel="0" collapsed="false">
      <c r="A8352" s="0" t="s">
        <v>920</v>
      </c>
      <c r="B8352" s="0" t="s">
        <v>75</v>
      </c>
      <c r="D8352" s="8" t="n">
        <f aca="false">Sens!D8351/Sens!D8349</f>
        <v>13.641259209645</v>
      </c>
      <c r="E8352" s="8" t="n">
        <f aca="false">Sens!E8351/Sens!E8349</f>
        <v>17.9456594659869</v>
      </c>
      <c r="F8352" s="8" t="n">
        <f aca="false">Sens!F8351/Sens!F8349</f>
        <v>21.057850181625</v>
      </c>
      <c r="G8352" s="8" t="n">
        <f aca="false">Sens!G8351/Sens!G8349</f>
        <v>24.7786093962706</v>
      </c>
      <c r="H8352" s="8" t="n">
        <f aca="false">Sens!H8351/Sens!H8349</f>
        <v>28.7551916491728</v>
      </c>
      <c r="I8352" s="8" t="n">
        <f aca="false">Sens!I8351/Sens!I8349</f>
        <v>32.6256871578345</v>
      </c>
      <c r="J8352" s="8" t="n">
        <f aca="false">Sens!J8351/Sens!J8349</f>
        <v>35.9726883248628</v>
      </c>
      <c r="K8352" s="8" t="n">
        <f aca="false">Sens!K8351/Sens!K8349</f>
        <v>38.8800310215954</v>
      </c>
      <c r="L8352" s="1" t="s">
        <v>921</v>
      </c>
    </row>
    <row r="8353" customFormat="false" ht="17.15" hidden="false" customHeight="false" outlineLevel="0" collapsed="false">
      <c r="A8353" s="0" t="s">
        <v>922</v>
      </c>
      <c r="B8353" s="0" t="s">
        <v>129</v>
      </c>
      <c r="E8353" s="7" t="n">
        <f aca="false">Sens!E8352/Sens!D8352-1</f>
        <v>0.315542736208578</v>
      </c>
      <c r="F8353" s="7" t="n">
        <f aca="false">Sens!F8352/Sens!E8352-1</f>
        <v>0.173423034218205</v>
      </c>
      <c r="G8353" s="7" t="n">
        <f aca="false">Sens!G8352/Sens!F8352-1</f>
        <v>0.176692263576475</v>
      </c>
      <c r="H8353" s="7" t="n">
        <f aca="false">Sens!H8352/Sens!G8352-1</f>
        <v>0.160484480355896</v>
      </c>
      <c r="I8353" s="7" t="n">
        <f aca="false">Sens!I8352/Sens!H8352-1</f>
        <v>0.134601624495626</v>
      </c>
      <c r="J8353" s="7" t="n">
        <f aca="false">Sens!J8352/Sens!I8352-1</f>
        <v>0.102587913346819</v>
      </c>
      <c r="K8353" s="7" t="n">
        <f aca="false">Sens!K8352/Sens!J8352-1</f>
        <v>0.0808208346976163</v>
      </c>
    </row>
    <row r="8354" customFormat="false" ht="17.15" hidden="false" customHeight="false" outlineLevel="0" collapsed="false">
      <c r="A8354" s="0" t="s">
        <v>846</v>
      </c>
      <c r="B8354" s="0" t="s">
        <v>98</v>
      </c>
      <c r="E8354" s="6" t="n">
        <f aca="false">Sens!E8295</f>
        <v>5.25</v>
      </c>
      <c r="F8354" s="6" t="n">
        <f aca="false">Sens!F8295</f>
        <v>12</v>
      </c>
      <c r="G8354" s="6" t="n">
        <f aca="false">Sens!G8295</f>
        <v>18</v>
      </c>
      <c r="H8354" s="6" t="n">
        <f aca="false">Sens!H8295</f>
        <v>24</v>
      </c>
      <c r="I8354" s="6" t="n">
        <f aca="false">Sens!I8295</f>
        <v>28.5</v>
      </c>
      <c r="J8354" s="6" t="n">
        <f aca="false">Sens!J8295</f>
        <v>31.5</v>
      </c>
      <c r="K8354" s="6" t="n">
        <f aca="false">Sens!K8295</f>
        <v>34.5</v>
      </c>
    </row>
    <row r="8355" customFormat="false" ht="17.15" hidden="false" customHeight="false" outlineLevel="0" collapsed="false">
      <c r="A8355" s="1" t="s">
        <v>847</v>
      </c>
      <c r="B8355" s="0" t="s">
        <v>98</v>
      </c>
      <c r="F8355" s="6" t="n">
        <f aca="false">MAX(0,(Sens!E8258+Sens!F8258)/2*Sens!F8266/1000-Sens!F8354*Sens!F8334)</f>
        <v>19.9358184660572</v>
      </c>
      <c r="G8355" s="6" t="n">
        <f aca="false">MAX(0,(Sens!F8258+Sens!G8258)/2*Sens!G8266/1000-Sens!G8354*Sens!G8334)</f>
        <v>35.1359494439124</v>
      </c>
      <c r="H8355" s="6" t="n">
        <f aca="false">MAX(0,(Sens!G8258+Sens!H8258)/2*Sens!H8266/1000-Sens!H8354*Sens!H8334)</f>
        <v>51.688536514718</v>
      </c>
      <c r="I8355" s="6" t="n">
        <f aca="false">MAX(0,(Sens!H8258+Sens!I8258)/2*Sens!I8266/1000-Sens!I8354*Sens!I8334)</f>
        <v>66.8193432436896</v>
      </c>
      <c r="J8355" s="6" t="n">
        <f aca="false">MAX(0,(Sens!I8258+Sens!J8258)/2*Sens!J8266/1000-Sens!J8354*Sens!J8334)</f>
        <v>77.4328840229578</v>
      </c>
      <c r="K8355" s="6" t="n">
        <f aca="false">MAX(0,(Sens!J8258+Sens!K8258)/2*Sens!K8266/1000-Sens!K8354*Sens!K8334)</f>
        <v>83.3249638901295</v>
      </c>
      <c r="L8355" s="1" t="s">
        <v>848</v>
      </c>
    </row>
    <row r="8356" customFormat="false" ht="17.15" hidden="false" customHeight="false" outlineLevel="0" collapsed="false">
      <c r="A8356" s="1" t="s">
        <v>849</v>
      </c>
      <c r="B8356" s="0" t="s">
        <v>98</v>
      </c>
      <c r="F8356" s="6" t="n">
        <f aca="false">IF(internal_ai_reading=2,1,0)*Sens!F8355</f>
        <v>19.9358184660572</v>
      </c>
      <c r="G8356" s="6" t="n">
        <f aca="false">IF(internal_ai_reading=2,1,0)*Sens!G8355</f>
        <v>35.1359494439124</v>
      </c>
      <c r="H8356" s="6" t="n">
        <f aca="false">IF(internal_ai_reading=2,1,0)*Sens!H8355</f>
        <v>51.688536514718</v>
      </c>
      <c r="I8356" s="6" t="n">
        <f aca="false">IF(internal_ai_reading=2,1,0)*Sens!I8355</f>
        <v>66.8193432436896</v>
      </c>
      <c r="J8356" s="6" t="n">
        <f aca="false">IF(internal_ai_reading=2,1,0)*Sens!J8355</f>
        <v>77.4328840229578</v>
      </c>
      <c r="K8356" s="6" t="n">
        <f aca="false">IF(internal_ai_reading=2,1,0)*Sens!K8355</f>
        <v>83.3249638901295</v>
      </c>
    </row>
    <row r="8357" customFormat="false" ht="17.15" hidden="false" customHeight="false" outlineLevel="0" collapsed="false">
      <c r="A8357" s="0" t="s">
        <v>850</v>
      </c>
      <c r="B8357" s="0" t="s">
        <v>98</v>
      </c>
      <c r="F8357" s="6" t="n">
        <f aca="false">Sens!F8275+Sens!F8354*Sens!F8334+Sens!F8356-Sens!F8276-Sens!F8286</f>
        <v>24.9815179186925</v>
      </c>
      <c r="G8357" s="6" t="n">
        <f aca="false">Sens!G8275+Sens!G8354*Sens!G8334+Sens!G8356-Sens!G8276-Sens!G8286</f>
        <v>40.6910448815862</v>
      </c>
      <c r="H8357" s="6" t="n">
        <f aca="false">Sens!H8275+Sens!H8354*Sens!H8334+Sens!H8356-Sens!H8276-Sens!H8286</f>
        <v>57.6218844230696</v>
      </c>
      <c r="I8357" s="6" t="n">
        <f aca="false">Sens!I8275+Sens!I8354*Sens!I8334+Sens!I8356-Sens!I8276-Sens!I8286</f>
        <v>72.7002989460535</v>
      </c>
      <c r="J8357" s="6" t="n">
        <f aca="false">Sens!J8275+Sens!J8354*Sens!J8334+Sens!J8356-Sens!J8276-Sens!J8286</f>
        <v>83.1298736997547</v>
      </c>
      <c r="K8357" s="6" t="n">
        <f aca="false">Sens!K8275+Sens!K8354*Sens!K8334+Sens!K8356-Sens!K8276-Sens!K8286</f>
        <v>90.3657068712449</v>
      </c>
    </row>
    <row r="8358" customFormat="false" ht="17.15" hidden="false" customHeight="false" outlineLevel="0" collapsed="false">
      <c r="A8358" s="0" t="s">
        <v>851</v>
      </c>
      <c r="B8358" s="0" t="s">
        <v>98</v>
      </c>
      <c r="E8358" s="6" t="n">
        <f aca="false">Sens!E8257*(cxit_open+self_build*tk_cxfac)/1000*ai_net_open</f>
        <v>126.6980382</v>
      </c>
      <c r="F8358" s="6" t="n">
        <f aca="false">Sens!E8358+Sens!F8283-Sens!F8286</f>
        <v>260.487554022471</v>
      </c>
      <c r="G8358" s="6" t="n">
        <f aca="false">Sens!F8358+Sens!G8283-Sens!G8286</f>
        <v>383.571474243894</v>
      </c>
      <c r="H8358" s="6" t="n">
        <f aca="false">Sens!G8358+Sens!H8283-Sens!H8286</f>
        <v>483.925917159718</v>
      </c>
      <c r="I8358" s="6" t="n">
        <f aca="false">Sens!H8358+Sens!I8283-Sens!I8286</f>
        <v>535.662019330305</v>
      </c>
      <c r="J8358" s="6" t="n">
        <f aca="false">Sens!I8358+Sens!J8283-Sens!J8286</f>
        <v>531.007258124293</v>
      </c>
      <c r="K8358" s="6" t="n">
        <f aca="false">Sens!J8358+Sens!K8283-Sens!K8286</f>
        <v>506.335519960318</v>
      </c>
      <c r="L8358" s="1" t="s">
        <v>852</v>
      </c>
    </row>
    <row r="8359" customFormat="false" ht="17.15" hidden="false" customHeight="false" outlineLevel="0" collapsed="false">
      <c r="A8359" s="0" t="s">
        <v>853</v>
      </c>
      <c r="B8359" s="0" t="s">
        <v>129</v>
      </c>
      <c r="F8359" s="7" t="n">
        <f aca="false">Sens!F8357*(1-tax_f)/((Sens!E8358+Sens!F8358)/2)</f>
        <v>0.10323325421402</v>
      </c>
      <c r="G8359" s="7" t="n">
        <f aca="false">Sens!G8357*(1-tax_f)/((Sens!F8358+Sens!G8358)/2)</f>
        <v>0.101086498213968</v>
      </c>
      <c r="H8359" s="7" t="n">
        <f aca="false">Sens!H8357*(1-tax_f)/((Sens!G8358+Sens!H8358)/2)</f>
        <v>0.106276994018091</v>
      </c>
      <c r="I8359" s="7" t="n">
        <f aca="false">Sens!I8357*(1-tax_f)/((Sens!H8358+Sens!I8358)/2)</f>
        <v>0.114085773429337</v>
      </c>
      <c r="J8359" s="7" t="n">
        <f aca="false">Sens!J8357*(1-tax_f)/((Sens!I8358+Sens!J8358)/2)</f>
        <v>0.124694505345654</v>
      </c>
      <c r="K8359" s="7" t="n">
        <f aca="false">Sens!K8357*(1-tax_f)/((Sens!J8358+Sens!K8358)/2)</f>
        <v>0.139380283979958</v>
      </c>
    </row>
    <row r="8360" customFormat="false" ht="17.15" hidden="false" customHeight="false" outlineLevel="0" collapsed="false">
      <c r="A8360" s="1" t="s">
        <v>854</v>
      </c>
      <c r="B8360" s="0" t="s">
        <v>129</v>
      </c>
      <c r="F8360" s="7" t="n">
        <f aca="false">(Sens!F8357-Sens!F8356)*(1-tax_f)/((Sens!E8358+Sens!F8358)/2)</f>
        <v>0.0208507735989771</v>
      </c>
      <c r="G8360" s="7" t="n">
        <f aca="false">(Sens!G8357-Sens!G8356)*(1-tax_f)/((Sens!F8358+Sens!G8358)/2)</f>
        <v>0.0138002144371807</v>
      </c>
      <c r="H8360" s="7" t="n">
        <f aca="false">(Sens!H8357-Sens!H8356)*(1-tax_f)/((Sens!G8358+Sens!H8358)/2)</f>
        <v>0.010943383516119</v>
      </c>
      <c r="I8360" s="7" t="n">
        <f aca="false">(Sens!I8357-Sens!I8356)*(1-tax_f)/((Sens!H8358+Sens!I8358)/2)</f>
        <v>0.00922875682128497</v>
      </c>
      <c r="J8360" s="7" t="n">
        <f aca="false">(Sens!J8357-Sens!J8356)*(1-tax_f)/((Sens!I8358+Sens!J8358)/2)</f>
        <v>0.00854546359920162</v>
      </c>
      <c r="K8360" s="7" t="n">
        <f aca="false">(Sens!K8357-Sens!K8356)*(1-tax_f)/((Sens!J8358+Sens!K8358)/2)</f>
        <v>0.0108596589360608</v>
      </c>
    </row>
    <row r="8361" customFormat="false" ht="17.15" hidden="false" customHeight="false" outlineLevel="0" collapsed="false">
      <c r="A8361" s="1" t="s">
        <v>855</v>
      </c>
      <c r="B8361" s="0" t="s">
        <v>129</v>
      </c>
      <c r="F8361" s="7" t="n">
        <f aca="false">(Sens!F8357-Sens!F8356+Sens!F8355)*(1-tax_f)/((Sens!E8358+Sens!F8358)/2)</f>
        <v>0.10323325421402</v>
      </c>
      <c r="G8361" s="7" t="n">
        <f aca="false">(Sens!G8357-Sens!G8356+Sens!G8355)*(1-tax_f)/((Sens!F8358+Sens!G8358)/2)</f>
        <v>0.101086498213968</v>
      </c>
      <c r="H8361" s="7" t="n">
        <f aca="false">(Sens!H8357-Sens!H8356+Sens!H8355)*(1-tax_f)/((Sens!G8358+Sens!H8358)/2)</f>
        <v>0.106276994018091</v>
      </c>
      <c r="I8361" s="7" t="n">
        <f aca="false">(Sens!I8357-Sens!I8356+Sens!I8355)*(1-tax_f)/((Sens!H8358+Sens!I8358)/2)</f>
        <v>0.114085773429337</v>
      </c>
      <c r="J8361" s="7" t="n">
        <f aca="false">(Sens!J8357-Sens!J8356+Sens!J8355)*(1-tax_f)/((Sens!I8358+Sens!J8358)/2)</f>
        <v>0.124694505345654</v>
      </c>
      <c r="K8361" s="7" t="n">
        <f aca="false">(Sens!K8357-Sens!K8356+Sens!K8355)*(1-tax_f)/((Sens!J8358+Sens!K8358)/2)</f>
        <v>0.139380283979958</v>
      </c>
    </row>
    <row r="8362" customFormat="false" ht="17.15" hidden="false" customHeight="false" outlineLevel="0" collapsed="false">
      <c r="A8362" s="1" t="s">
        <v>856</v>
      </c>
      <c r="B8362" s="0" t="s">
        <v>129</v>
      </c>
      <c r="F8362" s="7" t="n">
        <f aca="false">Sens!F8287*(1-tax_f)/(Sens!F8274*(Sens!E8358+Sens!F8358)/2)</f>
        <v>0.128242109205635</v>
      </c>
      <c r="G8362" s="7" t="n">
        <f aca="false">Sens!G8287*(1-tax_f)/(Sens!G8274*(Sens!F8358+Sens!G8358)/2)</f>
        <v>0.125282920033746</v>
      </c>
      <c r="H8362" s="7" t="n">
        <f aca="false">Sens!H8287*(1-tax_f)/(Sens!H8274*(Sens!G8358+Sens!H8358)/2)</f>
        <v>0.13090264665261</v>
      </c>
      <c r="I8362" s="7" t="n">
        <f aca="false">Sens!I8287*(1-tax_f)/(Sens!I8274*(Sens!H8358+Sens!I8358)/2)</f>
        <v>0.140031082260959</v>
      </c>
      <c r="J8362" s="7" t="n">
        <f aca="false">Sens!J8287*(1-tax_f)/(Sens!J8274*(Sens!I8358+Sens!J8358)/2)</f>
        <v>0.152841095316009</v>
      </c>
      <c r="K8362" s="7" t="n">
        <f aca="false">Sens!K8287*(1-tax_f)/(Sens!K8274*(Sens!J8358+Sens!K8358)/2)</f>
        <v>0.170579766525838</v>
      </c>
    </row>
    <row r="8363" customFormat="false" ht="17.15" hidden="false" customHeight="false" outlineLevel="0" collapsed="false">
      <c r="A8363" s="0" t="s">
        <v>857</v>
      </c>
      <c r="B8363" s="0" t="s">
        <v>209</v>
      </c>
      <c r="F8363" s="7" t="n">
        <f aca="false">Sens!F8359-wacc</f>
        <v>0.000298834121143829</v>
      </c>
      <c r="G8363" s="7" t="n">
        <f aca="false">Sens!G8359-wacc</f>
        <v>-0.00184792187890759</v>
      </c>
      <c r="H8363" s="7" t="n">
        <f aca="false">Sens!H8359-wacc</f>
        <v>0.00334257392521538</v>
      </c>
      <c r="I8363" s="7" t="n">
        <f aca="false">Sens!I8359-wacc</f>
        <v>0.0111513533364609</v>
      </c>
      <c r="J8363" s="7" t="n">
        <f aca="false">Sens!J8359-wacc</f>
        <v>0.0217600852527785</v>
      </c>
      <c r="K8363" s="7" t="n">
        <f aca="false">Sens!K8359-wacc</f>
        <v>0.0364458638870824</v>
      </c>
    </row>
    <row r="8364" customFormat="false" ht="17.15" hidden="false" customHeight="false" outlineLevel="0" collapsed="false">
      <c r="A8364" s="0" t="s">
        <v>858</v>
      </c>
      <c r="B8364" s="0" t="s">
        <v>98</v>
      </c>
      <c r="F8364" s="6" t="n">
        <f aca="false">Sens!F8357*(1-tax_f)-wacc*(Sens!E8358+Sens!F8358)/2</f>
        <v>0.0578521330856781</v>
      </c>
      <c r="G8364" s="6" t="n">
        <f aca="false">Sens!G8357*(1-tax_f)-wacc*(Sens!F8358+Sens!G8358)/2</f>
        <v>-0.595085384820692</v>
      </c>
      <c r="H8364" s="6" t="n">
        <f aca="false">Sens!H8357*(1-tax_f)-wacc*(Sens!G8358+Sens!H8358)/2</f>
        <v>1.44983708034903</v>
      </c>
      <c r="I8364" s="6" t="n">
        <f aca="false">Sens!I8357*(1-tax_f)-wacc*(Sens!H8358+Sens!I8358)/2</f>
        <v>5.68489266869665</v>
      </c>
      <c r="J8364" s="6" t="n">
        <f aca="false">Sens!J8357*(1-tax_f)-wacc*(Sens!I8358+Sens!J8358)/2</f>
        <v>11.6054072069658</v>
      </c>
      <c r="K8364" s="6" t="n">
        <f aca="false">Sens!K8357*(1-tax_f)-wacc*(Sens!J8358+Sens!K8358)/2</f>
        <v>18.9034268471598</v>
      </c>
    </row>
    <row r="8365" customFormat="false" ht="17.15" hidden="false" customHeight="false" outlineLevel="0" collapsed="false">
      <c r="A8365" s="3" t="s">
        <v>1452</v>
      </c>
    </row>
    <row r="8366" customFormat="false" ht="15" hidden="false" customHeight="false" outlineLevel="0" collapsed="false">
      <c r="A8366" s="4" t="s">
        <v>43</v>
      </c>
      <c r="B8366" s="4" t="s">
        <v>65</v>
      </c>
      <c r="C8366" s="20" t="s">
        <v>788</v>
      </c>
      <c r="D8366" s="20" t="s">
        <v>789</v>
      </c>
      <c r="E8366" s="20" t="s">
        <v>790</v>
      </c>
      <c r="F8366" s="20" t="s">
        <v>791</v>
      </c>
      <c r="G8366" s="20" t="s">
        <v>792</v>
      </c>
      <c r="H8366" s="20" t="s">
        <v>793</v>
      </c>
      <c r="I8366" s="20" t="s">
        <v>794</v>
      </c>
      <c r="J8366" s="20" t="s">
        <v>795</v>
      </c>
      <c r="K8366" s="20" t="s">
        <v>796</v>
      </c>
      <c r="L8366" s="4" t="s">
        <v>47</v>
      </c>
    </row>
    <row r="8367" customFormat="false" ht="15" hidden="false" customHeight="false" outlineLevel="0" collapsed="false">
      <c r="A8367" s="1" t="s">
        <v>915</v>
      </c>
      <c r="B8367" s="0" t="s">
        <v>98</v>
      </c>
      <c r="F8367" s="6" t="n">
        <f aca="false">Sens!F8348</f>
        <v>141.427188559528</v>
      </c>
      <c r="G8367" s="6" t="n">
        <f aca="false">Sens!G8348</f>
        <v>158.164025167357</v>
      </c>
      <c r="H8367" s="6" t="n">
        <f aca="false">Sens!H8348</f>
        <v>175.584616109846</v>
      </c>
      <c r="I8367" s="6" t="n">
        <f aca="false">Sens!I8348</f>
        <v>193.064191817171</v>
      </c>
      <c r="J8367" s="6" t="n">
        <f aca="false">Sens!J8348</f>
        <v>210.375602810648</v>
      </c>
      <c r="K8367" s="6" t="n">
        <f aca="false">Sens!K8348</f>
        <v>228.313517904623</v>
      </c>
    </row>
    <row r="8368" customFormat="false" ht="17.15" hidden="false" customHeight="false" outlineLevel="0" collapsed="false">
      <c r="A8368" s="1" t="s">
        <v>937</v>
      </c>
      <c r="B8368" s="0" t="s">
        <v>98</v>
      </c>
      <c r="E8368" s="6" t="n">
        <f aca="false">Q!M38-Sens!E8286</f>
        <v>22.2285940229167</v>
      </c>
      <c r="F8368" s="6" t="n">
        <f aca="false">Sens!E8368*(1-1/life_nonai)+Sens!F8374/life_nonai</f>
        <v>23.5735531427191</v>
      </c>
      <c r="G8368" s="6" t="n">
        <f aca="false">Sens!F8368*(1-1/life_nonai)+Sens!G8374/life_nonai</f>
        <v>25.3673837179903</v>
      </c>
      <c r="H8368" s="6" t="n">
        <f aca="false">Sens!G8368*(1-1/life_nonai)+Sens!H8374/life_nonai</f>
        <v>27.5970059038815</v>
      </c>
      <c r="I8368" s="6" t="n">
        <f aca="false">Sens!H8368*(1-1/life_nonai)+Sens!I8374/life_nonai</f>
        <v>30.2223295646696</v>
      </c>
      <c r="J8368" s="6" t="n">
        <f aca="false">Sens!I8368*(1-1/life_nonai)+Sens!J8374/life_nonai</f>
        <v>33.1905149707056</v>
      </c>
      <c r="K8368" s="6" t="n">
        <f aca="false">Sens!J8368*(1-1/life_nonai)+Sens!K8374/life_nonai</f>
        <v>36.4493551236474</v>
      </c>
      <c r="L8368" s="11" t="s">
        <v>938</v>
      </c>
    </row>
    <row r="8369" customFormat="false" ht="17.15" hidden="false" customHeight="false" outlineLevel="0" collapsed="false">
      <c r="A8369" s="1" t="s">
        <v>939</v>
      </c>
      <c r="B8369" s="0" t="s">
        <v>98</v>
      </c>
      <c r="E8369" s="6" t="n">
        <f aca="false">Sens!E8286+Sens!E8368</f>
        <v>38.534</v>
      </c>
      <c r="F8369" s="6" t="n">
        <f aca="false">Sens!F8286+Sens!F8368</f>
        <v>58.3058520993073</v>
      </c>
      <c r="G8369" s="6" t="n">
        <f aca="false">Sens!G8286+Sens!G8368</f>
        <v>85.8576439797669</v>
      </c>
      <c r="H8369" s="6" t="n">
        <f aca="false">Sens!H8286+Sens!H8368</f>
        <v>115.322848898458</v>
      </c>
      <c r="I8369" s="6" t="n">
        <f aca="false">Sens!I8286+Sens!I8368</f>
        <v>142.192896548328</v>
      </c>
      <c r="J8369" s="6" t="n">
        <f aca="false">Sens!J8286+Sens!J8368</f>
        <v>162.357752894808</v>
      </c>
      <c r="K8369" s="6" t="n">
        <f aca="false">Sens!K8286+Sens!K8368</f>
        <v>176.080528929558</v>
      </c>
    </row>
    <row r="8370" customFormat="false" ht="17.15" hidden="false" customHeight="false" outlineLevel="0" collapsed="false">
      <c r="A8370" s="1" t="s">
        <v>940</v>
      </c>
      <c r="B8370" s="0" t="s">
        <v>98</v>
      </c>
      <c r="F8370" s="6" t="n">
        <f aca="false">Sens!F8313*sbc_r</f>
        <v>14.9493445927566</v>
      </c>
      <c r="G8370" s="6" t="n">
        <f aca="false">Sens!G8313*sbc_r</f>
        <v>17.8312061421832</v>
      </c>
      <c r="H8370" s="6" t="n">
        <f aca="false">Sens!H8313*sbc_r</f>
        <v>20.8233550615575</v>
      </c>
      <c r="I8370" s="6" t="n">
        <f aca="false">Sens!I8313*sbc_r</f>
        <v>23.6477024052221</v>
      </c>
      <c r="J8370" s="6" t="n">
        <f aca="false">Sens!J8313*sbc_r</f>
        <v>26.0622076908606</v>
      </c>
      <c r="K8370" s="6" t="n">
        <f aca="false">Sens!K8313*sbc_r</f>
        <v>28.1253141386624</v>
      </c>
    </row>
    <row r="8371" customFormat="false" ht="17.15" hidden="false" customHeight="false" outlineLevel="0" collapsed="false">
      <c r="A8371" s="1" t="s">
        <v>941</v>
      </c>
      <c r="B8371" s="0" t="s">
        <v>98</v>
      </c>
      <c r="F8371" s="6" t="n">
        <f aca="false">wc27</f>
        <v>-4.895</v>
      </c>
      <c r="G8371" s="6" t="n">
        <f aca="false">wc_f</f>
        <v>0</v>
      </c>
      <c r="H8371" s="6" t="n">
        <f aca="false">wc_f</f>
        <v>0</v>
      </c>
      <c r="I8371" s="6" t="n">
        <f aca="false">wc_f</f>
        <v>0</v>
      </c>
      <c r="J8371" s="6" t="n">
        <f aca="false">wc_f</f>
        <v>0</v>
      </c>
      <c r="K8371" s="6" t="n">
        <f aca="false">wc_f</f>
        <v>0</v>
      </c>
      <c r="L8371" s="11" t="s">
        <v>942</v>
      </c>
    </row>
    <row r="8372" customFormat="false" ht="15" hidden="false" customHeight="false" outlineLevel="0" collapsed="false">
      <c r="A8372" s="1" t="s">
        <v>756</v>
      </c>
      <c r="B8372" s="0" t="s">
        <v>98</v>
      </c>
      <c r="E8372" s="6" t="n">
        <f aca="false">Q!M35</f>
        <v>182.935</v>
      </c>
      <c r="F8372" s="6" t="n">
        <f aca="false">Sens!F8367+Sens!F8369+Sens!F8370+Sens!F8371</f>
        <v>209.787385251592</v>
      </c>
      <c r="G8372" s="6" t="n">
        <f aca="false">Sens!G8367+Sens!G8369+Sens!G8370+Sens!G8371</f>
        <v>261.852875289307</v>
      </c>
      <c r="H8372" s="6" t="n">
        <f aca="false">Sens!H8367+Sens!H8369+Sens!H8370+Sens!H8371</f>
        <v>311.730820069862</v>
      </c>
      <c r="I8372" s="6" t="n">
        <f aca="false">Sens!I8367+Sens!I8369+Sens!I8370+Sens!I8371</f>
        <v>358.90479077072</v>
      </c>
      <c r="J8372" s="6" t="n">
        <f aca="false">Sens!J8367+Sens!J8369+Sens!J8370+Sens!J8371</f>
        <v>398.795563396317</v>
      </c>
      <c r="K8372" s="6" t="n">
        <f aca="false">Sens!K8367+Sens!K8369+Sens!K8370+Sens!K8371</f>
        <v>432.519360972843</v>
      </c>
    </row>
    <row r="8373" customFormat="false" ht="17.15" hidden="false" customHeight="false" outlineLevel="0" collapsed="false">
      <c r="A8373" s="0" t="s">
        <v>943</v>
      </c>
      <c r="B8373" s="0" t="s">
        <v>98</v>
      </c>
      <c r="F8373" s="6" t="n">
        <f aca="false">Sens!F8283</f>
        <v>168.521814779059</v>
      </c>
      <c r="G8373" s="6" t="n">
        <f aca="false">Sens!G8283</f>
        <v>183.5741804832</v>
      </c>
      <c r="H8373" s="6" t="n">
        <f aca="false">Sens!H8283</f>
        <v>188.0802859104</v>
      </c>
      <c r="I8373" s="6" t="n">
        <f aca="false">Sens!I8283</f>
        <v>163.706669154245</v>
      </c>
      <c r="J8373" s="6" t="n">
        <f aca="false">Sens!J8283</f>
        <v>124.51247671809</v>
      </c>
      <c r="K8373" s="6" t="n">
        <f aca="false">Sens!K8283</f>
        <v>114.959435641936</v>
      </c>
    </row>
    <row r="8374" customFormat="false" ht="17.15" hidden="false" customHeight="false" outlineLevel="0" collapsed="false">
      <c r="A8374" s="1" t="s">
        <v>944</v>
      </c>
      <c r="B8374" s="0" t="s">
        <v>98</v>
      </c>
      <c r="E8374" s="6" t="n">
        <f aca="false">Sens!E8291*cx_azo+Sens!E8298*cx_m365+Sens!E8299*cx_lic+(Sens!E8301+Sens!E8303)*cx_ind+Sens!E8306*cx_srch+(Sens!E8308+Sens!E8310)*cx_dev</f>
        <v>30.1846587067718</v>
      </c>
      <c r="F8374" s="6" t="n">
        <f aca="false">Sens!F8291*cx_azo+Sens!F8298*cx_m365+Sens!F8299*cx_lic+(Sens!F8301+Sens!F8303)*cx_ind+Sens!F8306*cx_srch+(Sens!F8308+Sens!F8310)*cx_dev</f>
        <v>35.6781852209409</v>
      </c>
      <c r="G8374" s="6" t="n">
        <f aca="false">Sens!G8291*cx_azo+Sens!G8298*cx_m365+Sens!G8299*cx_lic+(Sens!G8301+Sens!G8303)*cx_ind+Sens!G8306*cx_srch+(Sens!G8308+Sens!G8310)*cx_dev</f>
        <v>41.5118588954315</v>
      </c>
      <c r="H8374" s="6" t="n">
        <f aca="false">Sens!H8291*cx_azo+Sens!H8298*cx_m365+Sens!H8299*cx_lic+(Sens!H8301+Sens!H8303)*cx_ind+Sens!H8306*cx_srch+(Sens!H8308+Sens!H8310)*cx_dev</f>
        <v>47.663605576902</v>
      </c>
      <c r="I8374" s="6" t="n">
        <f aca="false">Sens!I8291*cx_azo+Sens!I8298*cx_m365+Sens!I8299*cx_lic+(Sens!I8301+Sens!I8303)*cx_ind+Sens!I8306*cx_srch+(Sens!I8308+Sens!I8310)*cx_dev</f>
        <v>53.8502425117622</v>
      </c>
      <c r="J8374" s="6" t="n">
        <f aca="false">Sens!J8291*cx_azo+Sens!J8298*cx_m365+Sens!J8299*cx_lic+(Sens!J8301+Sens!J8303)*cx_ind+Sens!J8306*cx_srch+(Sens!J8308+Sens!J8310)*cx_dev</f>
        <v>59.9041836250298</v>
      </c>
      <c r="K8374" s="6" t="n">
        <f aca="false">Sens!K8291*cx_azo+Sens!K8298*cx_m365+Sens!K8299*cx_lic+(Sens!K8301+Sens!K8303)*cx_ind+Sens!K8306*cx_srch+(Sens!K8308+Sens!K8310)*cx_dev</f>
        <v>65.7789165001234</v>
      </c>
    </row>
    <row r="8375" customFormat="false" ht="17.15" hidden="false" customHeight="false" outlineLevel="0" collapsed="false">
      <c r="A8375" s="1" t="s">
        <v>945</v>
      </c>
      <c r="B8375" s="0" t="s">
        <v>98</v>
      </c>
      <c r="E8375" s="6" t="n">
        <f aca="false">Q!M42</f>
        <v>145.3</v>
      </c>
      <c r="F8375" s="6" t="n">
        <f aca="false">Sens!F8373+Sens!F8374</f>
        <v>204.2</v>
      </c>
      <c r="G8375" s="6" t="n">
        <f aca="false">Sens!G8373+Sens!G8374</f>
        <v>225.086039378632</v>
      </c>
      <c r="H8375" s="6" t="n">
        <f aca="false">Sens!H8373+Sens!H8374</f>
        <v>235.743891487302</v>
      </c>
      <c r="I8375" s="6" t="n">
        <f aca="false">Sens!I8373+Sens!I8374</f>
        <v>217.556911666008</v>
      </c>
      <c r="J8375" s="6" t="n">
        <f aca="false">Sens!J8373+Sens!J8374</f>
        <v>184.41666034312</v>
      </c>
      <c r="K8375" s="6" t="n">
        <f aca="false">Sens!K8373+Sens!K8374</f>
        <v>180.738352142059</v>
      </c>
      <c r="L8375" s="1" t="s">
        <v>946</v>
      </c>
    </row>
    <row r="8376" customFormat="false" ht="15" hidden="false" customHeight="false" outlineLevel="0" collapsed="false">
      <c r="A8376" s="1" t="s">
        <v>947</v>
      </c>
      <c r="B8376" s="0" t="s">
        <v>98</v>
      </c>
      <c r="E8376" s="6" t="n">
        <f aca="false">fl_liab</f>
        <v>66.594</v>
      </c>
      <c r="F8376" s="6" t="n">
        <f aca="false">Sens!E8376-Sens!F8377</f>
        <v>62.46973</v>
      </c>
      <c r="G8376" s="6" t="n">
        <f aca="false">Sens!F8376-Sens!G8377</f>
        <v>57.98686785</v>
      </c>
      <c r="H8376" s="6" t="n">
        <f aca="false">Sens!G8376-Sens!H8377</f>
        <v>53.92827690325</v>
      </c>
      <c r="I8376" s="6" t="n">
        <f aca="false">Sens!H8376-Sens!I8377</f>
        <v>49.7850493638962</v>
      </c>
      <c r="J8376" s="6" t="n">
        <f aca="false">Sens!I8376-Sens!J8377</f>
        <v>45.4823765852716</v>
      </c>
      <c r="K8376" s="6" t="n">
        <f aca="false">Sens!J8376-Sens!K8377</f>
        <v>40.9860835316088</v>
      </c>
    </row>
    <row r="8377" customFormat="false" ht="15" hidden="false" customHeight="false" outlineLevel="0" collapsed="false">
      <c r="A8377" s="1" t="s">
        <v>948</v>
      </c>
      <c r="B8377" s="0" t="s">
        <v>98</v>
      </c>
      <c r="F8377" s="6" t="n">
        <f aca="false">fl_pay_27-Sens!E8376*fl_rate</f>
        <v>4.12427</v>
      </c>
      <c r="G8377" s="6" t="n">
        <f aca="false">fl_pay_28-Sens!F8376*fl_rate</f>
        <v>4.48286215</v>
      </c>
      <c r="H8377" s="6" t="n">
        <f aca="false">fl_pay_29-Sens!G8376*fl_rate</f>
        <v>4.05859094675</v>
      </c>
      <c r="I8377" s="6" t="n">
        <f aca="false">fl_pay_30-Sens!H8376*fl_rate</f>
        <v>4.14322753935375</v>
      </c>
      <c r="J8377" s="6" t="n">
        <f aca="false">fl_pay_31-Sens!I8376*fl_rate</f>
        <v>4.30267277862467</v>
      </c>
      <c r="K8377" s="6" t="n">
        <f aca="false">fl_pay_32-Sens!J8376*fl_rate</f>
        <v>4.49629305366278</v>
      </c>
    </row>
    <row r="8378" customFormat="false" ht="17.15" hidden="false" customHeight="false" outlineLevel="0" collapsed="false">
      <c r="A8378" s="1" t="s">
        <v>949</v>
      </c>
      <c r="B8378" s="0" t="s">
        <v>98</v>
      </c>
      <c r="E8378" s="6" t="n">
        <f aca="false">Q!M35-Q!M36-Q!M43</f>
        <v>63.886</v>
      </c>
      <c r="F8378" s="6" t="n">
        <f aca="false">Sens!F8372-Sens!F8375-Sens!F8377</f>
        <v>1.46311525159231</v>
      </c>
      <c r="G8378" s="6" t="n">
        <f aca="false">Sens!G8372-Sens!G8375-Sens!G8377</f>
        <v>32.2839737606756</v>
      </c>
      <c r="H8378" s="6" t="n">
        <f aca="false">Sens!H8372-Sens!H8375-Sens!H8377</f>
        <v>71.9283376358098</v>
      </c>
      <c r="I8378" s="6" t="n">
        <f aca="false">Sens!I8372-Sens!I8375-Sens!I8377</f>
        <v>137.204651565359</v>
      </c>
      <c r="J8378" s="6" t="n">
        <f aca="false">Sens!J8372-Sens!J8375-Sens!J8377</f>
        <v>210.076230274572</v>
      </c>
      <c r="K8378" s="6" t="n">
        <f aca="false">Sens!K8372-Sens!K8375-Sens!K8377</f>
        <v>247.284715777121</v>
      </c>
      <c r="L8378" s="11" t="s">
        <v>950</v>
      </c>
    </row>
    <row r="8379" customFormat="false" ht="15" hidden="false" customHeight="false" outlineLevel="0" collapsed="false">
      <c r="A8379" s="1" t="s">
        <v>951</v>
      </c>
      <c r="B8379" s="0" t="s">
        <v>75</v>
      </c>
      <c r="F8379" s="8" t="n">
        <f aca="false">dps_27</f>
        <v>3.85</v>
      </c>
      <c r="G8379" s="8" t="n">
        <f aca="false">Sens!F8379*(1+dps_g)</f>
        <v>4.158</v>
      </c>
      <c r="H8379" s="8" t="n">
        <f aca="false">Sens!G8379*(1+dps_g)</f>
        <v>4.49064</v>
      </c>
      <c r="I8379" s="8" t="n">
        <f aca="false">Sens!H8379*(1+dps_g)</f>
        <v>4.8498912</v>
      </c>
      <c r="J8379" s="8" t="n">
        <f aca="false">Sens!I8379*(1+dps_g)</f>
        <v>5.237882496</v>
      </c>
      <c r="K8379" s="8" t="n">
        <f aca="false">Sens!J8379*(1+dps_g)</f>
        <v>5.65691309568</v>
      </c>
    </row>
    <row r="8380" customFormat="false" ht="17.15" hidden="false" customHeight="false" outlineLevel="0" collapsed="false">
      <c r="A8380" s="1" t="s">
        <v>952</v>
      </c>
      <c r="B8380" s="0" t="s">
        <v>98</v>
      </c>
      <c r="E8380" s="6" t="n">
        <f aca="false">Q!M41</f>
        <v>26.445</v>
      </c>
      <c r="F8380" s="6" t="n">
        <f aca="false">Sens!F8379*Sens!E8389</f>
        <v>28.59395</v>
      </c>
      <c r="G8380" s="6" t="n">
        <f aca="false">Sens!G8379*Sens!F8389</f>
        <v>31.068576</v>
      </c>
      <c r="H8380" s="6" t="n">
        <f aca="false">Sens!H8379*Sens!G8389</f>
        <v>33.7470104784709</v>
      </c>
      <c r="I8380" s="6" t="n">
        <f aca="false">Sens!I8379*Sens!H8389</f>
        <v>36.497710556748</v>
      </c>
      <c r="J8380" s="6" t="n">
        <f aca="false">Sens!J8379*Sens!I8389</f>
        <v>39.4859262496073</v>
      </c>
      <c r="K8380" s="6" t="n">
        <f aca="false">Sens!K8379*Sens!J8389</f>
        <v>42.732055574881</v>
      </c>
      <c r="L8380" s="1" t="s">
        <v>953</v>
      </c>
    </row>
    <row r="8381" customFormat="false" ht="15" hidden="false" customHeight="false" outlineLevel="0" collapsed="false">
      <c r="A8381" s="1" t="s">
        <v>954</v>
      </c>
      <c r="B8381" s="0" t="s">
        <v>98</v>
      </c>
      <c r="E8381" s="6" t="n">
        <f aca="false">Sens!E8378-Sens!E8380</f>
        <v>37.441</v>
      </c>
      <c r="F8381" s="6" t="n">
        <f aca="false">Sens!F8378-Sens!F8380</f>
        <v>-27.1308347484077</v>
      </c>
      <c r="G8381" s="6" t="n">
        <f aca="false">Sens!G8378-Sens!G8380</f>
        <v>1.21539776067564</v>
      </c>
      <c r="H8381" s="6" t="n">
        <f aca="false">Sens!H8378-Sens!H8380</f>
        <v>38.1813271573389</v>
      </c>
      <c r="I8381" s="6" t="n">
        <f aca="false">Sens!I8378-Sens!I8380</f>
        <v>100.706941008611</v>
      </c>
      <c r="J8381" s="6" t="n">
        <f aca="false">Sens!J8378-Sens!J8380</f>
        <v>170.590304024965</v>
      </c>
      <c r="K8381" s="6" t="n">
        <f aca="false">Sens!K8378-Sens!K8380</f>
        <v>204.55266020224</v>
      </c>
    </row>
    <row r="8382" customFormat="false" ht="15" hidden="false" customHeight="false" outlineLevel="0" collapsed="false">
      <c r="A8382" s="1" t="s">
        <v>955</v>
      </c>
      <c r="B8382" s="0" t="s">
        <v>98</v>
      </c>
      <c r="F8382" s="6" t="n">
        <f aca="false">debt_mat_27</f>
        <v>9.25</v>
      </c>
      <c r="G8382" s="6" t="n">
        <f aca="false">debt_mat_28</f>
        <v>0</v>
      </c>
      <c r="H8382" s="6" t="n">
        <f aca="false">debt_mat_29</f>
        <v>2.001</v>
      </c>
      <c r="I8382" s="6" t="n">
        <f aca="false">debt_mat_30</f>
        <v>0</v>
      </c>
      <c r="J8382" s="6" t="n">
        <f aca="false">debt_mat_31</f>
        <v>0.5</v>
      </c>
      <c r="K8382" s="6" t="n">
        <f aca="false">debt_mat_32</f>
        <v>0</v>
      </c>
    </row>
    <row r="8383" customFormat="false" ht="15" hidden="false" customHeight="false" outlineLevel="0" collapsed="false">
      <c r="A8383" s="1" t="s">
        <v>956</v>
      </c>
      <c r="B8383" s="0" t="s">
        <v>98</v>
      </c>
      <c r="E8383" s="6" t="n">
        <f aca="false">Q!M40</f>
        <v>22.271</v>
      </c>
      <c r="F8383" s="6" t="n">
        <f aca="false">MAX(0,MIN(bb_target,Sens!E8385+Sens!F8381-Sens!F8382-min_cash))</f>
        <v>0</v>
      </c>
      <c r="G8383" s="6" t="n">
        <f aca="false">MAX(0,MIN(bb_target,Sens!F8385+Sens!G8381-Sens!G8382-min_cash))</f>
        <v>1.21539776067564</v>
      </c>
      <c r="H8383" s="6" t="n">
        <f aca="false">MAX(0,MIN(bb_target,Sens!G8385+Sens!H8381-Sens!H8382-min_cash))</f>
        <v>22.271</v>
      </c>
      <c r="I8383" s="6" t="n">
        <f aca="false">MAX(0,MIN(bb_target,Sens!H8385+Sens!I8381-Sens!I8382-min_cash))</f>
        <v>22.271</v>
      </c>
      <c r="J8383" s="6" t="n">
        <f aca="false">MAX(0,MIN(bb_target,Sens!I8385+Sens!J8381-Sens!J8382-min_cash))</f>
        <v>22.271</v>
      </c>
      <c r="K8383" s="6" t="n">
        <f aca="false">MAX(0,MIN(bb_target,Sens!J8385+Sens!K8381-Sens!K8382-min_cash))</f>
        <v>22.271</v>
      </c>
    </row>
    <row r="8384" customFormat="false" ht="15" hidden="false" customHeight="false" outlineLevel="0" collapsed="false">
      <c r="A8384" s="1" t="s">
        <v>957</v>
      </c>
      <c r="B8384" s="0" t="s">
        <v>98</v>
      </c>
      <c r="F8384" s="6" t="n">
        <f aca="false">MAX(0,min_cash-(Sens!E8385+Sens!F8381-Sens!F8382-Sens!F8383))</f>
        <v>9.53783474840769</v>
      </c>
      <c r="G8384" s="6" t="n">
        <f aca="false">MAX(0,min_cash-(Sens!F8385+Sens!G8381-Sens!G8382-Sens!G8383))</f>
        <v>0</v>
      </c>
      <c r="H8384" s="6" t="n">
        <f aca="false">MAX(0,min_cash-(Sens!G8385+Sens!H8381-Sens!H8382-Sens!H8383))</f>
        <v>0</v>
      </c>
      <c r="I8384" s="6" t="n">
        <f aca="false">MAX(0,min_cash-(Sens!H8385+Sens!I8381-Sens!I8382-Sens!I8383))</f>
        <v>0</v>
      </c>
      <c r="J8384" s="6" t="n">
        <f aca="false">MAX(0,min_cash-(Sens!I8385+Sens!J8381-Sens!J8382-Sens!J8383))</f>
        <v>0</v>
      </c>
      <c r="K8384" s="6" t="n">
        <f aca="false">MAX(0,min_cash-(Sens!J8385+Sens!K8381-Sens!K8382-Sens!K8383))</f>
        <v>0</v>
      </c>
    </row>
    <row r="8385" customFormat="false" ht="15" hidden="false" customHeight="false" outlineLevel="0" collapsed="false">
      <c r="A8385" s="1" t="s">
        <v>958</v>
      </c>
      <c r="B8385" s="0" t="s">
        <v>98</v>
      </c>
      <c r="E8385" s="6" t="n">
        <f aca="false">cash_open</f>
        <v>76.843</v>
      </c>
      <c r="F8385" s="6" t="n">
        <f aca="false">Sens!E8385+Sens!F8381-Sens!F8382-Sens!F8383+Sens!F8384</f>
        <v>50</v>
      </c>
      <c r="G8385" s="6" t="n">
        <f aca="false">Sens!F8385+Sens!G8381-Sens!G8382-Sens!G8383+Sens!G8384</f>
        <v>50</v>
      </c>
      <c r="H8385" s="6" t="n">
        <f aca="false">Sens!G8385+Sens!H8381-Sens!H8382-Sens!H8383+Sens!H8384</f>
        <v>63.9093271573389</v>
      </c>
      <c r="I8385" s="6" t="n">
        <f aca="false">Sens!H8385+Sens!I8381-Sens!I8382-Sens!I8383+Sens!I8384</f>
        <v>142.34526816595</v>
      </c>
      <c r="J8385" s="6" t="n">
        <f aca="false">Sens!I8385+Sens!J8381-Sens!J8382-Sens!J8383+Sens!J8384</f>
        <v>290.164572190915</v>
      </c>
      <c r="K8385" s="6" t="n">
        <f aca="false">Sens!J8385+Sens!K8381-Sens!K8382-Sens!K8383+Sens!K8384</f>
        <v>472.446232393155</v>
      </c>
    </row>
    <row r="8386" customFormat="false" ht="15" hidden="false" customHeight="false" outlineLevel="0" collapsed="false">
      <c r="A8386" s="1" t="s">
        <v>959</v>
      </c>
      <c r="B8386" s="0" t="s">
        <v>98</v>
      </c>
      <c r="E8386" s="6" t="n">
        <f aca="false">debt_face</f>
        <v>46.136</v>
      </c>
      <c r="F8386" s="6" t="n">
        <f aca="false">Sens!E8386-Sens!F8382+Sens!F8384</f>
        <v>46.4238347484077</v>
      </c>
      <c r="G8386" s="6" t="n">
        <f aca="false">Sens!F8386-Sens!G8382+Sens!G8384</f>
        <v>46.4238347484077</v>
      </c>
      <c r="H8386" s="6" t="n">
        <f aca="false">Sens!G8386-Sens!H8382+Sens!H8384</f>
        <v>44.4228347484077</v>
      </c>
      <c r="I8386" s="6" t="n">
        <f aca="false">Sens!H8386-Sens!I8382+Sens!I8384</f>
        <v>44.4228347484077</v>
      </c>
      <c r="J8386" s="6" t="n">
        <f aca="false">Sens!I8386-Sens!J8382+Sens!J8384</f>
        <v>43.9228347484077</v>
      </c>
      <c r="K8386" s="6" t="n">
        <f aca="false">Sens!J8386-Sens!K8382+Sens!K8384</f>
        <v>43.9228347484077</v>
      </c>
    </row>
    <row r="8387" customFormat="false" ht="15" hidden="false" customHeight="false" outlineLevel="0" collapsed="false">
      <c r="A8387" s="1" t="s">
        <v>960</v>
      </c>
      <c r="B8387" s="0" t="s">
        <v>98</v>
      </c>
      <c r="E8387" s="6" t="n">
        <f aca="false">Sens!E8385-Sens!E8386</f>
        <v>30.707</v>
      </c>
      <c r="F8387" s="6" t="n">
        <f aca="false">Sens!F8385-Sens!F8386</f>
        <v>3.57616525159231</v>
      </c>
      <c r="G8387" s="6" t="n">
        <f aca="false">Sens!G8385-Sens!G8386</f>
        <v>3.57616525159231</v>
      </c>
      <c r="H8387" s="6" t="n">
        <f aca="false">Sens!H8385-Sens!H8386</f>
        <v>19.4864924089312</v>
      </c>
      <c r="I8387" s="6" t="n">
        <f aca="false">Sens!I8385-Sens!I8386</f>
        <v>97.9224334175422</v>
      </c>
      <c r="J8387" s="6" t="n">
        <f aca="false">Sens!J8385-Sens!J8386</f>
        <v>246.241737442507</v>
      </c>
      <c r="K8387" s="6" t="n">
        <f aca="false">Sens!K8385-Sens!K8386</f>
        <v>428.523397644747</v>
      </c>
    </row>
    <row r="8388" customFormat="false" ht="15" hidden="false" customHeight="false" outlineLevel="0" collapsed="false">
      <c r="A8388" s="1" t="s">
        <v>961</v>
      </c>
      <c r="B8388" s="0" t="s">
        <v>75</v>
      </c>
      <c r="F8388" s="29" t="n">
        <f aca="false">px*(1+bb_g)^(Sens!F8252-base_fy-mid_yr)</f>
        <v>553.494156066711</v>
      </c>
      <c r="G8388" s="29" t="n">
        <f aca="false">px*(1+bb_g)^(Sens!G8252-base_fy-mid_yr)</f>
        <v>597.773688552047</v>
      </c>
      <c r="H8388" s="29" t="n">
        <f aca="false">px*(1+bb_g)^(Sens!H8252-base_fy-mid_yr)</f>
        <v>645.595583636211</v>
      </c>
      <c r="I8388" s="29" t="n">
        <f aca="false">px*(1+bb_g)^(Sens!I8252-base_fy-mid_yr)</f>
        <v>697.243230327108</v>
      </c>
      <c r="J8388" s="29" t="n">
        <f aca="false">px*(1+bb_g)^(Sens!J8252-base_fy-mid_yr)</f>
        <v>753.022688753277</v>
      </c>
      <c r="K8388" s="29" t="n">
        <f aca="false">px*(1+bb_g)^(Sens!K8252-base_fy-mid_yr)</f>
        <v>813.264503853539</v>
      </c>
    </row>
    <row r="8389" customFormat="false" ht="15" hidden="false" customHeight="false" outlineLevel="0" collapsed="false">
      <c r="A8389" s="1" t="s">
        <v>962</v>
      </c>
      <c r="B8389" s="1" t="s">
        <v>81</v>
      </c>
      <c r="E8389" s="14" t="n">
        <f aca="false">sh_out26</f>
        <v>7.427</v>
      </c>
      <c r="F8389" s="14" t="n">
        <f aca="false">Sens!E8389+sh_iss-Sens!F8383/Sens!F8388</f>
        <v>7.472</v>
      </c>
      <c r="G8389" s="14" t="n">
        <f aca="false">Sens!F8389+sh_iss-Sens!G8383/Sens!G8388</f>
        <v>7.51496679281147</v>
      </c>
      <c r="H8389" s="14" t="n">
        <f aca="false">Sens!G8389+sh_iss-Sens!H8383/Sens!H8388</f>
        <v>7.52546996451138</v>
      </c>
      <c r="I8389" s="14" t="n">
        <f aca="false">Sens!H8389+sh_iss-Sens!I8383/Sens!I8388</f>
        <v>7.5385284568261</v>
      </c>
      <c r="J8389" s="14" t="n">
        <f aca="false">Sens!I8389+sh_iss-Sens!J8383/Sens!J8388</f>
        <v>7.55395298674714</v>
      </c>
      <c r="K8389" s="14" t="n">
        <f aca="false">Sens!J8389+sh_iss-Sens!K8383/Sens!K8388</f>
        <v>7.57156829222959</v>
      </c>
    </row>
    <row r="8390" customFormat="false" ht="15" hidden="false" customHeight="false" outlineLevel="0" collapsed="false">
      <c r="A8390" s="1" t="s">
        <v>963</v>
      </c>
      <c r="B8390" s="1" t="s">
        <v>81</v>
      </c>
      <c r="E8390" s="14" t="n">
        <f aca="false">sh_dil26</f>
        <v>7.453</v>
      </c>
      <c r="F8390" s="14" t="n">
        <f aca="false">(Sens!E8389+Sens!F8389)/2+dil_gap</f>
        <v>7.4735</v>
      </c>
      <c r="G8390" s="14" t="n">
        <f aca="false">(Sens!F8389+Sens!G8389)/2+dil_gap</f>
        <v>7.51748339640574</v>
      </c>
      <c r="H8390" s="14" t="n">
        <f aca="false">(Sens!G8389+Sens!H8389)/2+dil_gap</f>
        <v>7.54421837866143</v>
      </c>
      <c r="I8390" s="14" t="n">
        <f aca="false">(Sens!H8389+Sens!I8389)/2+dil_gap</f>
        <v>7.55599921066874</v>
      </c>
      <c r="J8390" s="14" t="n">
        <f aca="false">(Sens!I8389+Sens!J8389)/2+dil_gap</f>
        <v>7.57024072178662</v>
      </c>
      <c r="K8390" s="14" t="n">
        <f aca="false">(Sens!J8389+Sens!K8389)/2+dil_gap</f>
        <v>7.58676063948836</v>
      </c>
    </row>
    <row r="8391" customFormat="false" ht="17.15" hidden="false" customHeight="false" outlineLevel="0" collapsed="false">
      <c r="A8391" s="1" t="s">
        <v>964</v>
      </c>
      <c r="B8391" s="0" t="s">
        <v>98</v>
      </c>
      <c r="C8391" s="6" t="n">
        <f aca="false">SUM(Sens!F8381:J8381)</f>
        <v>283.563135203183</v>
      </c>
    </row>
    <row r="8392" customFormat="false" ht="15" hidden="false" customHeight="false" outlineLevel="0" collapsed="false">
      <c r="A8392" s="23" t="s">
        <v>935</v>
      </c>
      <c r="B8392" s="30" t="s">
        <v>98</v>
      </c>
      <c r="C8392" s="24" t="n">
        <f aca="false">Sens!$C$8391-(Sens!F8381+Sens!G8381+Sens!H8381+Sens!I8381+Sens!J8381)</f>
        <v>0</v>
      </c>
      <c r="D8392" s="30"/>
      <c r="E8392" s="30"/>
      <c r="F8392" s="30"/>
      <c r="G8392" s="30"/>
      <c r="H8392" s="30"/>
      <c r="I8392" s="30"/>
      <c r="J8392" s="30"/>
      <c r="K8392" s="30"/>
    </row>
    <row r="8393" customFormat="false" ht="17.15" hidden="false" customHeight="false" outlineLevel="0" collapsed="false">
      <c r="A8393" s="1" t="s">
        <v>929</v>
      </c>
      <c r="B8393" s="1" t="s">
        <v>965</v>
      </c>
      <c r="C8393" s="32" t="str">
        <f aca="false">IF(SUM(Sens!F8384:J8384)&gt;0.05,"需要舉債 "&amp;TEXT(SUM(Sens!F8384:J8384),"0.0")&amp;" 十億美元","不需舉債")&amp;"；"&amp;IF(SUM(Sens!F8383:J8383)&lt;COUNT(Sens!F8383:J8383)*bb_target-0.05,"回購較每年 "&amp;TEXT(bb_target,"0.0")&amp;" 的目標少 "&amp;TEXT(COUNT(Sens!F8383:J8383)*bb_target-SUM(Sens!F8383:J8383),"0.0")&amp;" 十億美元（"&amp;TEXT(COUNTIF(Sens!F8383:J8383,"&lt;"&amp;(bb_target-0.05)),"0")&amp;" 年減少）","回購不減")</f>
        <v>需要舉債 9.5 十億美元；回購較每年 22.3 的目標少 43.3 十億美元（2 年減少）</v>
      </c>
    </row>
    <row r="8394" customFormat="false" ht="17.15" hidden="false" customHeight="false" outlineLevel="0" collapsed="false">
      <c r="A8394" s="3" t="s">
        <v>1453</v>
      </c>
    </row>
    <row r="8395" customFormat="false" ht="15" hidden="false" customHeight="false" outlineLevel="0" collapsed="false">
      <c r="A8395" s="4" t="s">
        <v>43</v>
      </c>
      <c r="B8395" s="4" t="s">
        <v>65</v>
      </c>
      <c r="C8395" s="20" t="s">
        <v>788</v>
      </c>
      <c r="D8395" s="20" t="s">
        <v>789</v>
      </c>
      <c r="E8395" s="20" t="s">
        <v>790</v>
      </c>
      <c r="F8395" s="20" t="s">
        <v>791</v>
      </c>
      <c r="G8395" s="20" t="s">
        <v>792</v>
      </c>
      <c r="H8395" s="20" t="s">
        <v>793</v>
      </c>
      <c r="I8395" s="20" t="s">
        <v>794</v>
      </c>
      <c r="J8395" s="20" t="s">
        <v>795</v>
      </c>
      <c r="K8395" s="20" t="s">
        <v>796</v>
      </c>
      <c r="L8395" s="4" t="s">
        <v>47</v>
      </c>
    </row>
    <row r="8396" customFormat="false" ht="15" hidden="false" customHeight="false" outlineLevel="0" collapsed="false">
      <c r="A8396" s="1" t="s">
        <v>1042</v>
      </c>
      <c r="B8396" s="1" t="s">
        <v>235</v>
      </c>
      <c r="F8396" s="36" t="n">
        <f aca="false">Sens!F8252-base_fy-mid_yr</f>
        <v>0.5</v>
      </c>
      <c r="G8396" s="36" t="n">
        <f aca="false">Sens!G8252-base_fy-mid_yr</f>
        <v>1.5</v>
      </c>
      <c r="H8396" s="36" t="n">
        <f aca="false">Sens!H8252-base_fy-mid_yr</f>
        <v>2.5</v>
      </c>
      <c r="I8396" s="36" t="n">
        <f aca="false">Sens!I8252-base_fy-mid_yr</f>
        <v>3.5</v>
      </c>
      <c r="J8396" s="36" t="n">
        <f aca="false">Sens!J8252-base_fy-mid_yr</f>
        <v>4.5</v>
      </c>
      <c r="K8396" s="36" t="n">
        <f aca="false">Sens!K8252-base_fy-mid_yr</f>
        <v>5.5</v>
      </c>
    </row>
    <row r="8397" customFormat="false" ht="15" hidden="false" customHeight="false" outlineLevel="0" collapsed="false">
      <c r="A8397" s="1" t="s">
        <v>1043</v>
      </c>
      <c r="B8397" s="0" t="s">
        <v>185</v>
      </c>
      <c r="F8397" s="14" t="n">
        <f aca="false">1/(1+wacc)^Sens!F8396</f>
        <v>0.952193373608246</v>
      </c>
      <c r="G8397" s="14" t="n">
        <f aca="false">1/(1+wacc)^Sens!G8396</f>
        <v>0.863327280626589</v>
      </c>
      <c r="H8397" s="14" t="n">
        <f aca="false">1/(1+wacc)^Sens!H8396</f>
        <v>0.782754862754115</v>
      </c>
      <c r="I8397" s="14" t="n">
        <f aca="false">1/(1+wacc)^Sens!I8396</f>
        <v>0.709702089711011</v>
      </c>
      <c r="J8397" s="14" t="n">
        <f aca="false">1/(1+wacc)^Sens!J8396</f>
        <v>0.643467169744551</v>
      </c>
      <c r="K8397" s="14" t="n">
        <f aca="false">1/(1+wacc)^Sens!K8396</f>
        <v>0.583413807767797</v>
      </c>
    </row>
    <row r="8398" customFormat="false" ht="17.15" hidden="false" customHeight="false" outlineLevel="0" collapsed="false">
      <c r="A8398" s="1" t="s">
        <v>1044</v>
      </c>
      <c r="B8398" s="0" t="s">
        <v>98</v>
      </c>
      <c r="F8398" s="6" t="n">
        <f aca="false">Sens!F8372-Sens!F8370-Sens!F8375+Sens!F8356*(1-tax_f)</f>
        <v>6.58669543168143</v>
      </c>
      <c r="G8398" s="6" t="n">
        <f aca="false">Sens!G8372-Sens!G8370-Sens!G8375+Sens!G8356*(1-tax_f)</f>
        <v>47.0443893236224</v>
      </c>
      <c r="H8398" s="6" t="n">
        <f aca="false">Sens!H8372-Sens!H8370-Sens!H8375+Sens!H8356*(1-tax_f)</f>
        <v>96.5144027327768</v>
      </c>
      <c r="I8398" s="6" t="n">
        <f aca="false">Sens!I8372-Sens!I8370-Sens!I8375+Sens!I8356*(1-tax_f)</f>
        <v>171.155651294442</v>
      </c>
      <c r="J8398" s="6" t="n">
        <f aca="false">Sens!J8372-Sens!J8370-Sens!J8375+Sens!J8356*(1-tax_f)</f>
        <v>250.263002580703</v>
      </c>
      <c r="K8398" s="6" t="n">
        <f aca="false">Sens!K8372-Sens!K8370-Sens!K8375+Sens!K8356*(1-tax_f)</f>
        <v>290.315665804225</v>
      </c>
      <c r="L8398" s="1" t="s">
        <v>1045</v>
      </c>
    </row>
    <row r="8399" customFormat="false" ht="15" hidden="false" customHeight="false" outlineLevel="0" collapsed="false">
      <c r="A8399" s="1" t="s">
        <v>1046</v>
      </c>
      <c r="B8399" s="0" t="s">
        <v>98</v>
      </c>
      <c r="F8399" s="6" t="n">
        <f aca="false">Sens!F8398*Sens!F8397</f>
        <v>6.27180774402277</v>
      </c>
      <c r="G8399" s="6" t="n">
        <f aca="false">Sens!G8398*Sens!G8397</f>
        <v>40.6147047035014</v>
      </c>
      <c r="H8399" s="6" t="n">
        <f aca="false">Sens!H8398*Sens!H8397</f>
        <v>75.5471180648901</v>
      </c>
      <c r="I8399" s="6" t="n">
        <f aca="false">Sens!I8398*Sens!I8397</f>
        <v>121.469523389515</v>
      </c>
      <c r="J8399" s="6" t="n">
        <f aca="false">Sens!J8398*Sens!J8397</f>
        <v>161.036025962378</v>
      </c>
      <c r="K8399" s="6" t="n">
        <f aca="false">Sens!K8398*Sens!K8397</f>
        <v>169.374168041486</v>
      </c>
    </row>
    <row r="8400" customFormat="false" ht="17.15" hidden="false" customHeight="false" outlineLevel="0" collapsed="false">
      <c r="A8400" s="1" t="s">
        <v>1047</v>
      </c>
      <c r="B8400" s="0" t="s">
        <v>98</v>
      </c>
      <c r="C8400" s="6" t="n">
        <f aca="false">SUM(Sens!F8399:K8399)</f>
        <v>574.313347905793</v>
      </c>
    </row>
    <row r="8401" customFormat="false" ht="17.15" hidden="false" customHeight="false" outlineLevel="0" collapsed="false">
      <c r="A8401" s="1" t="s">
        <v>1048</v>
      </c>
      <c r="B8401" s="0" t="s">
        <v>98</v>
      </c>
      <c r="C8401" s="6" t="n">
        <f aca="false">Sens!K8342*(1+g_tv)*(1-tax_f)</f>
        <v>304.152293687229</v>
      </c>
    </row>
    <row r="8402" customFormat="false" ht="17.15" hidden="false" customHeight="false" outlineLevel="0" collapsed="false">
      <c r="A8402" s="1" t="s">
        <v>1049</v>
      </c>
      <c r="B8402" s="0" t="s">
        <v>98</v>
      </c>
      <c r="C8402" s="6" t="n">
        <f aca="false">Sens!$C$8401*(1-g_tv/(wacc+ronic_prem))</f>
        <v>215.50780720366</v>
      </c>
    </row>
    <row r="8403" customFormat="false" ht="17.15" hidden="false" customHeight="false" outlineLevel="0" collapsed="false">
      <c r="A8403" s="1" t="s">
        <v>1050</v>
      </c>
      <c r="B8403" s="0" t="s">
        <v>98</v>
      </c>
      <c r="C8403" s="6" t="n">
        <f aca="false">Sens!$C$8402/(wacc-g_tv)</f>
        <v>2954.81621611894</v>
      </c>
    </row>
    <row r="8404" customFormat="false" ht="15" hidden="false" customHeight="false" outlineLevel="0" collapsed="false">
      <c r="A8404" s="1" t="s">
        <v>1051</v>
      </c>
      <c r="B8404" s="0" t="s">
        <v>98</v>
      </c>
      <c r="C8404" s="6" t="n">
        <f aca="false">Sens!$C$8403/(1+wacc)^(Sens!K8396+mid_yr)</f>
        <v>1641.46766507271</v>
      </c>
    </row>
    <row r="8405" customFormat="false" ht="17.15" hidden="false" customHeight="false" outlineLevel="0" collapsed="false">
      <c r="A8405" s="0" t="s">
        <v>972</v>
      </c>
      <c r="B8405" s="0" t="s">
        <v>98</v>
      </c>
      <c r="C8405" s="6" t="n">
        <f aca="false">Sens!$C$8400+Sens!$C$8404</f>
        <v>2215.7810129785</v>
      </c>
    </row>
    <row r="8406" customFormat="false" ht="15" hidden="false" customHeight="false" outlineLevel="0" collapsed="false">
      <c r="A8406" s="1" t="s">
        <v>973</v>
      </c>
      <c r="B8406" s="0" t="s">
        <v>129</v>
      </c>
      <c r="C8406" s="7" t="n">
        <f aca="false">Sens!$C$8404/Sens!$C$8405</f>
        <v>0.74080771315312</v>
      </c>
    </row>
    <row r="8407" customFormat="false" ht="17.15" hidden="false" customHeight="false" outlineLevel="0" collapsed="false">
      <c r="A8407" s="1" t="s">
        <v>1052</v>
      </c>
      <c r="B8407" s="0" t="s">
        <v>98</v>
      </c>
      <c r="C8407" s="6" t="n">
        <f aca="false">Sens!$C$8405+Sens!E8387-Sens!E8376+oai_v</f>
        <v>2350.2940129785</v>
      </c>
    </row>
    <row r="8408" customFormat="false" ht="17.15" hidden="false" customHeight="false" outlineLevel="0" collapsed="false">
      <c r="A8408" s="0" t="s">
        <v>980</v>
      </c>
      <c r="B8408" s="0" t="s">
        <v>75</v>
      </c>
      <c r="C8408" s="5" t="n">
        <f aca="false">Sens!$C$8407/sh_dil26</f>
        <v>315.34872037817</v>
      </c>
    </row>
    <row r="8409" customFormat="false" ht="15" hidden="false" customHeight="false" outlineLevel="0" collapsed="false">
      <c r="A8409" s="1" t="s">
        <v>1053</v>
      </c>
      <c r="B8409" s="0" t="s">
        <v>75</v>
      </c>
      <c r="C8409" s="8" t="n">
        <f aca="false">dps_27+Sens!G8379*roll_div_q/q_per_yr</f>
        <v>4.8895</v>
      </c>
    </row>
    <row r="8410" customFormat="false" ht="17.15" hidden="false" customHeight="false" outlineLevel="0" collapsed="false">
      <c r="A8410" s="0" t="s">
        <v>1054</v>
      </c>
      <c r="B8410" s="0" t="s">
        <v>75</v>
      </c>
      <c r="C8410" s="5" t="n">
        <f aca="false">Sens!$C$8408*(1+wacc)^t_roll-Sens!$C$8409</f>
        <v>354.208617238839</v>
      </c>
    </row>
    <row r="8411" customFormat="false" ht="17.15" hidden="false" customHeight="false" outlineLevel="0" collapsed="false">
      <c r="A8411" s="1" t="s">
        <v>1055</v>
      </c>
      <c r="B8411" s="0" t="s">
        <v>129</v>
      </c>
      <c r="F8411" s="7" t="n">
        <f aca="false">Sens!F8368/(Sens!F8313-Sens!F8269)</f>
        <v>0.0683613807349725</v>
      </c>
      <c r="G8411" s="7" t="n">
        <f aca="false">Sens!G8368/(Sens!G8313-Sens!G8269)</f>
        <v>0.0654571602807696</v>
      </c>
      <c r="H8411" s="7" t="n">
        <f aca="false">Sens!H8368/(Sens!H8313-Sens!H8269)</f>
        <v>0.063852702643263</v>
      </c>
      <c r="I8411" s="7" t="n">
        <f aca="false">Sens!I8368/(Sens!I8313-Sens!I8269)</f>
        <v>0.0634353055500918</v>
      </c>
      <c r="J8411" s="7" t="n">
        <f aca="false">Sens!J8368/(Sens!J8313-Sens!J8269)</f>
        <v>0.0639286593220292</v>
      </c>
      <c r="K8411" s="7" t="n">
        <f aca="false">Sens!K8368/(Sens!K8313-Sens!K8269)</f>
        <v>0.0649991138549061</v>
      </c>
    </row>
    <row r="8412" customFormat="false" ht="17.15" hidden="false" customHeight="false" outlineLevel="0" collapsed="false">
      <c r="A8412" s="0" t="s">
        <v>1056</v>
      </c>
      <c r="B8412" s="0" t="s">
        <v>98</v>
      </c>
      <c r="F8412" s="6" t="n">
        <f aca="false">Sens!F8298*(al_m365+Sens!F8411+sbc_r)</f>
        <v>83.9075853730646</v>
      </c>
      <c r="G8412" s="6" t="n">
        <f aca="false">Sens!G8298*(al_m365+Sens!G8411+sbc_r)</f>
        <v>96.3200886000463</v>
      </c>
      <c r="H8412" s="6" t="n">
        <f aca="false">Sens!H8298*(al_m365+Sens!H8411+sbc_r)</f>
        <v>108.885963951506</v>
      </c>
      <c r="I8412" s="6" t="n">
        <f aca="false">Sens!I8298*(al_m365+Sens!I8411+sbc_r)</f>
        <v>120.424361272911</v>
      </c>
      <c r="J8412" s="6" t="n">
        <f aca="false">Sens!J8298*(al_m365+Sens!J8411+sbc_r)</f>
        <v>130.747350984141</v>
      </c>
      <c r="K8412" s="6" t="n">
        <f aca="false">Sens!K8298*(al_m365+Sens!K8411+sbc_r)</f>
        <v>140.671596477519</v>
      </c>
      <c r="L8412" s="11" t="s">
        <v>1057</v>
      </c>
    </row>
    <row r="8413" customFormat="false" ht="17.15" hidden="false" customHeight="false" outlineLevel="0" collapsed="false">
      <c r="A8413" s="0" t="s">
        <v>1058</v>
      </c>
      <c r="B8413" s="0" t="s">
        <v>98</v>
      </c>
      <c r="F8413" s="6" t="n">
        <f aca="false">Sens!F8299*(al_lic+Sens!F8411+sbc_r)</f>
        <v>33.4356996709225</v>
      </c>
      <c r="G8413" s="6" t="n">
        <f aca="false">Sens!G8299*(al_lic+Sens!G8411+sbc_r)</f>
        <v>34.7332316218227</v>
      </c>
      <c r="H8413" s="6" t="n">
        <f aca="false">Sens!H8299*(al_lic+Sens!H8411+sbc_r)</f>
        <v>35.9422172546583</v>
      </c>
      <c r="I8413" s="6" t="n">
        <f aca="false">Sens!I8299*(al_lic+Sens!I8411+sbc_r)</f>
        <v>37.0444398259363</v>
      </c>
      <c r="J8413" s="6" t="n">
        <f aca="false">Sens!J8299*(al_lic+Sens!J8411+sbc_r)</f>
        <v>38.0142916488869</v>
      </c>
      <c r="K8413" s="6" t="n">
        <f aca="false">Sens!K8299*(al_lic+Sens!K8411+sbc_r)</f>
        <v>38.8233333539942</v>
      </c>
    </row>
    <row r="8414" customFormat="false" ht="17.15" hidden="false" customHeight="false" outlineLevel="0" collapsed="false">
      <c r="A8414" s="0" t="s">
        <v>1059</v>
      </c>
      <c r="B8414" s="0" t="s">
        <v>98</v>
      </c>
      <c r="F8414" s="6" t="n">
        <f aca="false">Sens!F8301*(al_ind+Sens!F8411+sbc_r)</f>
        <v>9.0713072635438</v>
      </c>
      <c r="G8414" s="6" t="n">
        <f aca="false">Sens!G8301*(al_ind+Sens!G8411+sbc_r)</f>
        <v>9.84508614339728</v>
      </c>
      <c r="H8414" s="6" t="n">
        <f aca="false">Sens!H8301*(al_ind+Sens!H8411+sbc_r)</f>
        <v>10.6623484065597</v>
      </c>
      <c r="I8414" s="6" t="n">
        <f aca="false">Sens!I8301*(al_ind+Sens!I8411+sbc_r)</f>
        <v>11.5199939689751</v>
      </c>
      <c r="J8414" s="6" t="n">
        <f aca="false">Sens!J8301*(al_ind+Sens!J8411+sbc_r)</f>
        <v>12.4082445478241</v>
      </c>
      <c r="K8414" s="6" t="n">
        <f aca="false">Sens!K8301*(al_ind+Sens!K8411+sbc_r)</f>
        <v>13.3122361582791</v>
      </c>
    </row>
    <row r="8415" customFormat="false" ht="17.15" hidden="false" customHeight="false" outlineLevel="0" collapsed="false">
      <c r="A8415" s="0" t="s">
        <v>1060</v>
      </c>
      <c r="B8415" s="0" t="s">
        <v>98</v>
      </c>
      <c r="F8415" s="6" t="n">
        <f aca="false">Sens!F8303*(al_fro+Sens!F8411+sbc_r)</f>
        <v>3.57049838648484</v>
      </c>
      <c r="G8415" s="6" t="n">
        <f aca="false">Sens!G8303*(al_fro+Sens!G8411+sbc_r)</f>
        <v>3.77993102109682</v>
      </c>
      <c r="H8415" s="6" t="n">
        <f aca="false">Sens!H8303*(al_fro+Sens!H8411+sbc_r)</f>
        <v>4.01793782569568</v>
      </c>
      <c r="I8415" s="6" t="n">
        <f aca="false">Sens!I8303*(al_fro+Sens!I8411+sbc_r)</f>
        <v>4.28727289719967</v>
      </c>
      <c r="J8415" s="6" t="n">
        <f aca="false">Sens!J8303*(al_fro+Sens!J8411+sbc_r)</f>
        <v>4.58904568173853</v>
      </c>
      <c r="K8415" s="6" t="n">
        <f aca="false">Sens!K8303*(al_fro+Sens!K8411+sbc_r)</f>
        <v>4.9233765196179</v>
      </c>
    </row>
    <row r="8416" customFormat="false" ht="17.15" hidden="false" customHeight="false" outlineLevel="0" collapsed="false">
      <c r="A8416" s="0" t="s">
        <v>1061</v>
      </c>
      <c r="B8416" s="0" t="s">
        <v>98</v>
      </c>
      <c r="F8416" s="6" t="n">
        <f aca="false">Sens!F8306*(al_srch+Sens!F8411+sbc_r)</f>
        <v>11.2031955331952</v>
      </c>
      <c r="G8416" s="6" t="n">
        <f aca="false">Sens!G8306*(al_srch+Sens!G8411+sbc_r)</f>
        <v>12.2735468569288</v>
      </c>
      <c r="H8416" s="6" t="n">
        <f aca="false">Sens!H8306*(al_srch+Sens!H8411+sbc_r)</f>
        <v>13.3869653183119</v>
      </c>
      <c r="I8416" s="6" t="n">
        <f aca="false">Sens!I8306*(al_srch+Sens!I8411+sbc_r)</f>
        <v>14.532735534001</v>
      </c>
      <c r="J8416" s="6" t="n">
        <f aca="false">Sens!J8306*(al_srch+Sens!J8411+sbc_r)</f>
        <v>15.6908028901564</v>
      </c>
      <c r="K8416" s="6" t="n">
        <f aca="false">Sens!K8306*(al_srch+Sens!K8411+sbc_r)</f>
        <v>16.8339423664404</v>
      </c>
    </row>
    <row r="8417" customFormat="false" ht="17.15" hidden="false" customHeight="false" outlineLevel="0" collapsed="false">
      <c r="A8417" s="0" t="s">
        <v>1062</v>
      </c>
      <c r="B8417" s="0" t="s">
        <v>98</v>
      </c>
      <c r="F8417" s="6" t="n">
        <f aca="false">Sens!F8275-Sens!F8276+Sens!F8356</f>
        <v>52.8623286647412</v>
      </c>
      <c r="G8417" s="6" t="n">
        <f aca="false">Sens!G8275-Sens!G8276+Sens!G8356</f>
        <v>90.9040728275534</v>
      </c>
      <c r="H8417" s="6" t="n">
        <f aca="false">Sens!H8275-Sens!H8276+Sens!H8356</f>
        <v>131.644750996567</v>
      </c>
      <c r="I8417" s="6" t="n">
        <f aca="false">Sens!I8275-Sens!I8276+Sens!I8356</f>
        <v>168.39858142968</v>
      </c>
      <c r="J8417" s="6" t="n">
        <f aca="false">Sens!J8275-Sens!J8276+Sens!J8356</f>
        <v>194.311955071191</v>
      </c>
      <c r="K8417" s="6" t="n">
        <f aca="false">Sens!K8275-Sens!K8276+Sens!K8356</f>
        <v>210.298852071854</v>
      </c>
    </row>
    <row r="8418" customFormat="false" ht="17.15" hidden="false" customHeight="false" outlineLevel="0" collapsed="false">
      <c r="A8418" s="0" t="s">
        <v>1063</v>
      </c>
      <c r="B8418" s="0" t="s">
        <v>98</v>
      </c>
      <c r="F8418" s="6" t="n">
        <f aca="false">Sens!F8335+Sens!F8356+Sens!F8286+Sens!F8411*(Sens!F8305-Sens!F8269)+sbc_r*Sens!F8305</f>
        <v>244.191220263901</v>
      </c>
      <c r="G8418" s="6" t="n">
        <f aca="false">Sens!G8335+Sens!G8356+Sens!G8286+Sens!G8411*(Sens!G8305-Sens!G8269)+sbc_r*Sens!G8305</f>
        <v>310.143611275044</v>
      </c>
      <c r="H8418" s="6" t="n">
        <f aca="false">Sens!H8335+Sens!H8356+Sens!H8286+Sens!H8411*(Sens!H8305-Sens!H8269)+sbc_r*Sens!H8305</f>
        <v>380.062680877383</v>
      </c>
      <c r="I8418" s="6" t="n">
        <f aca="false">Sens!I8335+Sens!I8356+Sens!I8286+Sens!I8411*(Sens!I8305-Sens!I8269)+sbc_r*Sens!I8305</f>
        <v>445.636253895981</v>
      </c>
      <c r="J8418" s="6" t="n">
        <f aca="false">Sens!J8335+Sens!J8356+Sens!J8286+Sens!J8411*(Sens!J8305-Sens!J8269)+sbc_r*Sens!J8305</f>
        <v>499.168145098204</v>
      </c>
      <c r="K8418" s="6" t="n">
        <f aca="false">Sens!K8335+Sens!K8356+Sens!K8286+Sens!K8411*(Sens!K8305-Sens!K8269)+sbc_r*Sens!K8305</f>
        <v>541.805647994503</v>
      </c>
    </row>
    <row r="8419" customFormat="false" ht="17.15" hidden="false" customHeight="false" outlineLevel="0" collapsed="false">
      <c r="A8419" s="0" t="s">
        <v>1064</v>
      </c>
      <c r="B8419" s="0" t="s">
        <v>98</v>
      </c>
      <c r="F8419" s="6" t="n">
        <f aca="false">Sens!F8418-Sens!F8412-Sens!F8413-Sens!F8414-Sens!F8415-Sens!F8417</f>
        <v>61.3438009051442</v>
      </c>
      <c r="G8419" s="6" t="n">
        <f aca="false">Sens!G8418-Sens!G8412-Sens!G8413-Sens!G8414-Sens!G8415-Sens!G8417</f>
        <v>74.5612010611278</v>
      </c>
      <c r="H8419" s="6" t="n">
        <f aca="false">Sens!H8418-Sens!H8412-Sens!H8413-Sens!H8414-Sens!H8415-Sens!H8417</f>
        <v>88.9094624423965</v>
      </c>
      <c r="I8419" s="6" t="n">
        <f aca="false">Sens!I8418-Sens!I8412-Sens!I8413-Sens!I8414-Sens!I8415-Sens!I8417</f>
        <v>103.961604501279</v>
      </c>
      <c r="J8419" s="6" t="n">
        <f aca="false">Sens!J8418-Sens!J8412-Sens!J8413-Sens!J8414-Sens!J8415-Sens!J8417</f>
        <v>119.097257164423</v>
      </c>
      <c r="K8419" s="6" t="n">
        <f aca="false">Sens!K8418-Sens!K8412-Sens!K8413-Sens!K8414-Sens!K8415-Sens!K8417</f>
        <v>133.776253413239</v>
      </c>
    </row>
    <row r="8420" customFormat="false" ht="17.15" hidden="false" customHeight="false" outlineLevel="0" collapsed="false">
      <c r="A8420" s="0" t="s">
        <v>1065</v>
      </c>
      <c r="B8420" s="0" t="s">
        <v>98</v>
      </c>
      <c r="F8420" s="6" t="n">
        <f aca="false">Sens!F8337+Sens!F8411*Sens!F8312+sbc_r*Sens!F8312</f>
        <v>26.1837805936304</v>
      </c>
      <c r="G8420" s="6" t="n">
        <f aca="false">Sens!G8337+Sens!G8411*Sens!G8312+sbc_r*Sens!G8312</f>
        <v>26.7862197500146</v>
      </c>
      <c r="H8420" s="6" t="n">
        <f aca="false">Sens!H8337+Sens!H8411*Sens!H8312+sbc_r*Sens!H8312</f>
        <v>27.6528297346578</v>
      </c>
      <c r="I8420" s="6" t="n">
        <f aca="false">Sens!I8337+Sens!I8411*Sens!I8312+sbc_r*Sens!I8312</f>
        <v>28.7539280727217</v>
      </c>
      <c r="J8420" s="6" t="n">
        <f aca="false">Sens!J8337+Sens!J8411*Sens!J8312+sbc_r*Sens!J8312</f>
        <v>30.0542030237327</v>
      </c>
      <c r="K8420" s="6" t="n">
        <f aca="false">Sens!K8337+Sens!K8411*Sens!K8312+sbc_r*Sens!K8312</f>
        <v>31.517056344626</v>
      </c>
    </row>
    <row r="8421" customFormat="false" ht="17.15" hidden="false" customHeight="false" outlineLevel="0" collapsed="false">
      <c r="A8421" s="0" t="s">
        <v>1066</v>
      </c>
      <c r="B8421" s="0" t="s">
        <v>98</v>
      </c>
      <c r="F8421" s="6" t="n">
        <f aca="false">(Sens!F8420-Sens!F8416)*Sens!F8308/(Sens!F8308+Sens!F8310)</f>
        <v>8.21221082134629</v>
      </c>
      <c r="G8421" s="6" t="n">
        <f aca="false">(Sens!G8420-Sens!G8416)*Sens!G8308/(Sens!G8308+Sens!G8310)</f>
        <v>7.8138561918997</v>
      </c>
      <c r="H8421" s="6" t="n">
        <f aca="false">(Sens!H8420-Sens!H8416)*Sens!H8308/(Sens!H8308+Sens!H8310)</f>
        <v>7.57721346803215</v>
      </c>
      <c r="I8421" s="6" t="n">
        <f aca="false">(Sens!I8420-Sens!I8416)*Sens!I8308/(Sens!I8308+Sens!I8310)</f>
        <v>7.48514227432134</v>
      </c>
      <c r="J8421" s="6" t="n">
        <f aca="false">(Sens!J8420-Sens!J8416)*Sens!J8308/(Sens!J8308+Sens!J8310)</f>
        <v>7.52580541549339</v>
      </c>
      <c r="K8421" s="6" t="n">
        <f aca="false">(Sens!K8420-Sens!K8416)*Sens!K8308/(Sens!K8308+Sens!K8310)</f>
        <v>7.69332175290599</v>
      </c>
    </row>
    <row r="8422" customFormat="false" ht="17.15" hidden="false" customHeight="false" outlineLevel="0" collapsed="false">
      <c r="A8422" s="0" t="s">
        <v>1067</v>
      </c>
      <c r="B8422" s="0" t="s">
        <v>98</v>
      </c>
      <c r="F8422" s="6" t="n">
        <f aca="false">Sens!F8420-Sens!F8416-Sens!F8421</f>
        <v>6.76837423908888</v>
      </c>
      <c r="G8422" s="6" t="n">
        <f aca="false">Sens!G8420-Sens!G8416-Sens!G8421</f>
        <v>6.69881670118619</v>
      </c>
      <c r="H8422" s="6" t="n">
        <f aca="false">Sens!H8420-Sens!H8416-Sens!H8421</f>
        <v>6.68865094831382</v>
      </c>
      <c r="I8422" s="6" t="n">
        <f aca="false">Sens!I8420-Sens!I8416-Sens!I8421</f>
        <v>6.7360502643993</v>
      </c>
      <c r="J8422" s="6" t="n">
        <f aca="false">Sens!J8420-Sens!J8416-Sens!J8421</f>
        <v>6.83759471808297</v>
      </c>
      <c r="K8422" s="6" t="n">
        <f aca="false">Sens!K8420-Sens!K8416-Sens!K8421</f>
        <v>6.9897922252796</v>
      </c>
    </row>
    <row r="8423" customFormat="false" ht="17.15" hidden="false" customHeight="false" outlineLevel="0" collapsed="false">
      <c r="A8423" s="0" t="s">
        <v>1068</v>
      </c>
      <c r="B8423" s="0" t="s">
        <v>98</v>
      </c>
      <c r="F8423" s="6" t="n">
        <f aca="false">Sens!F8417-tax_f*(Sens!F8417-Sens!F8286)-Sens!F8283</f>
        <v>-119.285492055948</v>
      </c>
      <c r="G8423" s="6" t="n">
        <f aca="false">Sens!G8417-tax_f*(Sens!G8417-Sens!G8286)-Sens!G8283</f>
        <v>-98.752870168802</v>
      </c>
      <c r="H8423" s="6" t="n">
        <f aca="false">Sens!H8417-tax_f*(Sens!H8417-Sens!H8286)-Sens!H8283</f>
        <v>-65.219316514231</v>
      </c>
      <c r="I8423" s="6" t="n">
        <f aca="false">Sens!I8417-tax_f*(Sens!I8417-Sens!I8286)-Sens!I8283</f>
        <v>-6.59369061376972</v>
      </c>
      <c r="J8423" s="6" t="n">
        <f aca="false">Sens!J8417-tax_f*(Sens!J8417-Sens!J8286)-Sens!J8283</f>
        <v>56.7705349236829</v>
      </c>
      <c r="K8423" s="6" t="n">
        <f aca="false">Sens!K8417-tax_f*(Sens!K8417-Sens!K8286)-Sens!K8283</f>
        <v>81.2058807767294</v>
      </c>
    </row>
    <row r="8424" customFormat="false" ht="17.15" hidden="false" customHeight="false" outlineLevel="0" collapsed="false">
      <c r="A8424" s="0" t="s">
        <v>1069</v>
      </c>
      <c r="B8424" s="0" t="s">
        <v>98</v>
      </c>
      <c r="F8424" s="6" t="n">
        <f aca="false">Sens!F8423*Sens!F8397</f>
        <v>-113.582855103273</v>
      </c>
      <c r="G8424" s="6" t="n">
        <f aca="false">Sens!G8423*Sens!G8397</f>
        <v>-85.2560468569024</v>
      </c>
      <c r="H8424" s="6" t="n">
        <f aca="false">Sens!H8423*Sens!H8397</f>
        <v>-51.0507371470141</v>
      </c>
      <c r="I8424" s="6" t="n">
        <f aca="false">Sens!I8423*Sens!I8397</f>
        <v>-4.67955600750025</v>
      </c>
      <c r="J8424" s="6" t="n">
        <f aca="false">Sens!J8423*Sens!J8397</f>
        <v>36.5299754322264</v>
      </c>
      <c r="K8424" s="6" t="n">
        <f aca="false">Sens!K8423*Sens!K8397</f>
        <v>47.3766321170894</v>
      </c>
    </row>
    <row r="8425" customFormat="false" ht="17.15" hidden="false" customHeight="false" outlineLevel="0" collapsed="false">
      <c r="A8425" s="0" t="s">
        <v>1070</v>
      </c>
      <c r="B8425" s="0" t="s">
        <v>98</v>
      </c>
      <c r="C8425" s="6" t="n">
        <f aca="false">(Sens!K8417-Sens!K8286)*(1-tax_f)*(1+g_tv)*(1-g_tv/(wacc+ronic_prem))/(wacc-g_tv)/(1+wacc)^(Sens!K8396+mid_yr)</f>
        <v>314.260119247633</v>
      </c>
    </row>
    <row r="8426" customFormat="false" ht="17.15" hidden="false" customHeight="false" outlineLevel="0" collapsed="false">
      <c r="A8426" s="1" t="s">
        <v>1071</v>
      </c>
      <c r="B8426" s="0" t="s">
        <v>98</v>
      </c>
      <c r="C8426" s="6" t="n">
        <f aca="false">(SUM(Sens!F8424:K8424)+Sens!$C$8425)*(1+wacc)^t_roll</f>
        <v>163.519303980069</v>
      </c>
      <c r="L8426" s="11" t="s">
        <v>1072</v>
      </c>
    </row>
    <row r="8427" customFormat="false" ht="17.15" hidden="false" customHeight="false" outlineLevel="0" collapsed="false">
      <c r="A8427" s="1" t="s">
        <v>1073</v>
      </c>
      <c r="B8427" s="0" t="s">
        <v>98</v>
      </c>
      <c r="C8427" s="6" t="n">
        <f aca="false">(w_ntm28*Sens!G8275+(1-w_ntm28)*Sens!H8275)*m_ai</f>
        <v>454.922440830797</v>
      </c>
    </row>
    <row r="8428" customFormat="false" ht="17.15" hidden="false" customHeight="false" outlineLevel="0" collapsed="false">
      <c r="A8428" s="1" t="s">
        <v>1074</v>
      </c>
      <c r="B8428" s="0" t="s">
        <v>98</v>
      </c>
      <c r="C8428" s="6" t="n">
        <f aca="false">(w_ntm28*Sens!G8419+(1-w_ntm28)*Sens!H8419)*m_cloud</f>
        <v>1094.54147189799</v>
      </c>
    </row>
    <row r="8429" customFormat="false" ht="17.15" hidden="false" customHeight="false" outlineLevel="0" collapsed="false">
      <c r="A8429" s="1" t="s">
        <v>1075</v>
      </c>
      <c r="B8429" s="0" t="s">
        <v>98</v>
      </c>
      <c r="C8429" s="6" t="n">
        <f aca="false">(w_ntm28*Sens!G8412+(1-w_ntm28)*Sens!H8412)*m_sw</f>
        <v>1084.13079673776</v>
      </c>
    </row>
    <row r="8430" customFormat="false" ht="17.15" hidden="false" customHeight="false" outlineLevel="0" collapsed="false">
      <c r="A8430" s="1" t="s">
        <v>1076</v>
      </c>
      <c r="B8430" s="0" t="s">
        <v>98</v>
      </c>
      <c r="C8430" s="6" t="n">
        <f aca="false">(w_ntm28*Sens!G8413+(1-w_ntm28)*Sens!H8413)*m_sw</f>
        <v>379.340083133454</v>
      </c>
    </row>
    <row r="8431" customFormat="false" ht="17.15" hidden="false" customHeight="false" outlineLevel="0" collapsed="false">
      <c r="A8431" s="1" t="s">
        <v>1077</v>
      </c>
      <c r="B8431" s="0" t="s">
        <v>98</v>
      </c>
      <c r="C8431" s="6" t="n">
        <f aca="false">(w_ntm28*Sens!G8414+(1-w_ntm28)*Sens!H8414)*m_sw</f>
        <v>109.180407138209</v>
      </c>
    </row>
    <row r="8432" customFormat="false" ht="17.15" hidden="false" customHeight="false" outlineLevel="0" collapsed="false">
      <c r="A8432" s="1" t="s">
        <v>1078</v>
      </c>
      <c r="B8432" s="0" t="s">
        <v>98</v>
      </c>
      <c r="C8432" s="6" t="n">
        <f aca="false">(w_ntm28*Sens!G8415+(1-w_ntm28)*Sens!H8415)*m_sw</f>
        <v>41.6542574162862</v>
      </c>
    </row>
    <row r="8433" customFormat="false" ht="17.15" hidden="false" customHeight="false" outlineLevel="0" collapsed="false">
      <c r="A8433" s="1" t="s">
        <v>1079</v>
      </c>
      <c r="B8433" s="0" t="s">
        <v>98</v>
      </c>
      <c r="C8433" s="6" t="n">
        <f aca="false">(w_ntm28*Sens!G8416+(1-w_ntm28)*Sens!H8416)*m_ads</f>
        <v>115.091197010779</v>
      </c>
    </row>
    <row r="8434" customFormat="false" ht="17.15" hidden="false" customHeight="false" outlineLevel="0" collapsed="false">
      <c r="A8434" s="1" t="s">
        <v>1080</v>
      </c>
      <c r="B8434" s="0" t="s">
        <v>98</v>
      </c>
      <c r="C8434" s="6" t="n">
        <f aca="false">(w_ntm28*Sens!G8421+(1-w_ntm28)*Sens!H8421)*m_game</f>
        <v>97.7227622870117</v>
      </c>
    </row>
    <row r="8435" customFormat="false" ht="17.15" hidden="false" customHeight="false" outlineLevel="0" collapsed="false">
      <c r="A8435" s="1" t="s">
        <v>1081</v>
      </c>
      <c r="B8435" s="0" t="s">
        <v>98</v>
      </c>
      <c r="C8435" s="6" t="n">
        <f aca="false">(w_ntm28*Sens!G8422+(1-w_ntm28)*Sens!H8422)*m_pc</f>
        <v>96.884322552741</v>
      </c>
    </row>
    <row r="8436" customFormat="false" ht="17.15" hidden="false" customHeight="false" outlineLevel="0" collapsed="false">
      <c r="A8436" s="1" t="s">
        <v>1082</v>
      </c>
      <c r="B8436" s="0" t="s">
        <v>98</v>
      </c>
      <c r="C8436" s="6" t="n">
        <f aca="false">Sens!$C$8426+Sens!$C$8428+Sens!$C$8429+Sens!$C$8430+Sens!$C$8431+Sens!$C$8432+Sens!$C$8433+Sens!$C$8434+Sens!$C$8435</f>
        <v>3182.0646021543</v>
      </c>
    </row>
    <row r="8437" customFormat="false" ht="17.15" hidden="false" customHeight="false" outlineLevel="0" collapsed="false">
      <c r="A8437" s="1" t="s">
        <v>1000</v>
      </c>
      <c r="B8437" s="0" t="s">
        <v>98</v>
      </c>
      <c r="C8437" s="6" t="n">
        <f aca="false">Sens!F8387+oai_v-Sens!F8376</f>
        <v>111.506435251592</v>
      </c>
      <c r="L8437" s="1" t="s">
        <v>1083</v>
      </c>
    </row>
    <row r="8438" customFormat="false" ht="15" hidden="false" customHeight="false" outlineLevel="0" collapsed="false">
      <c r="A8438" s="1" t="s">
        <v>1001</v>
      </c>
      <c r="B8438" s="0" t="s">
        <v>75</v>
      </c>
      <c r="C8438" s="5" t="n">
        <f aca="false">(Sens!$C$8436+Sens!$C$8437)/Sens!F8389</f>
        <v>440.788415070382</v>
      </c>
    </row>
    <row r="8439" customFormat="false" ht="17.15" hidden="false" customHeight="false" outlineLevel="0" collapsed="false">
      <c r="A8439" s="1" t="s">
        <v>1084</v>
      </c>
      <c r="B8439" s="0" t="s">
        <v>75</v>
      </c>
      <c r="C8439" s="5" t="n">
        <f aca="false">w_dcf*Sens!$C$8410+(1-w_dcf)*Sens!$C$8438</f>
        <v>397.49851615461</v>
      </c>
    </row>
    <row r="8440" customFormat="false" ht="17.15" hidden="false" customHeight="false" outlineLevel="0" collapsed="false">
      <c r="A8440" s="3" t="s">
        <v>1454</v>
      </c>
    </row>
    <row r="8441" customFormat="false" ht="15" hidden="false" customHeight="false" outlineLevel="0" collapsed="false">
      <c r="A8441" s="4" t="s">
        <v>43</v>
      </c>
      <c r="B8441" s="4" t="s">
        <v>65</v>
      </c>
      <c r="C8441" s="20" t="s">
        <v>788</v>
      </c>
      <c r="D8441" s="20" t="s">
        <v>789</v>
      </c>
      <c r="E8441" s="20" t="s">
        <v>790</v>
      </c>
      <c r="F8441" s="20" t="s">
        <v>791</v>
      </c>
      <c r="G8441" s="20" t="s">
        <v>792</v>
      </c>
      <c r="H8441" s="20" t="s">
        <v>793</v>
      </c>
      <c r="I8441" s="20" t="s">
        <v>794</v>
      </c>
      <c r="J8441" s="20" t="s">
        <v>795</v>
      </c>
      <c r="K8441" s="20" t="s">
        <v>796</v>
      </c>
      <c r="L8441" s="4" t="s">
        <v>47</v>
      </c>
    </row>
    <row r="8442" customFormat="false" ht="17.15" hidden="false" customHeight="false" outlineLevel="0" collapsed="false">
      <c r="A8442" s="1" t="s">
        <v>797</v>
      </c>
      <c r="B8442" s="1" t="s">
        <v>235</v>
      </c>
      <c r="C8442" s="28" t="n">
        <v>2024</v>
      </c>
      <c r="D8442" s="28" t="n">
        <v>2025</v>
      </c>
      <c r="E8442" s="28" t="n">
        <v>2026</v>
      </c>
      <c r="F8442" s="28" t="n">
        <v>2027</v>
      </c>
      <c r="G8442" s="28" t="n">
        <v>2028</v>
      </c>
      <c r="H8442" s="28" t="n">
        <v>2029</v>
      </c>
      <c r="I8442" s="28" t="n">
        <v>2030</v>
      </c>
      <c r="J8442" s="28" t="n">
        <v>2031</v>
      </c>
      <c r="K8442" s="28" t="n">
        <v>2032</v>
      </c>
    </row>
    <row r="8443" customFormat="false" ht="17.15" hidden="false" customHeight="false" outlineLevel="0" collapsed="false">
      <c r="A8443" s="1" t="s">
        <v>798</v>
      </c>
      <c r="B8443" s="0" t="s">
        <v>392</v>
      </c>
      <c r="F8443" s="29" t="n">
        <f aca="false">pace</f>
        <v>2527.2</v>
      </c>
      <c r="G8443" s="29" t="n">
        <f aca="false">pace</f>
        <v>2527.2</v>
      </c>
      <c r="H8443" s="29" t="n">
        <f aca="false">pace</f>
        <v>2527.2</v>
      </c>
      <c r="I8443" s="29" t="n">
        <f aca="false">pace+(g_tv*Sens!H8444-pace)*MIN(1,(Sens!I8442-pace_y0)/(pace_y1-pace_y0))</f>
        <v>1793.116</v>
      </c>
      <c r="J8443" s="29" t="n">
        <f aca="false">pace+(g_tv*Sens!H8444-pace)*MIN(1,(Sens!J8442-pace_y0)/(pace_y1-pace_y0))</f>
        <v>1059.032</v>
      </c>
      <c r="K8443" s="29" t="n">
        <f aca="false">pace+(g_tv*Sens!H8444-pace)*MIN(1,(Sens!K8442-pace_y0)/(pace_y1-pace_y0))</f>
        <v>324.948</v>
      </c>
      <c r="L8443" s="11" t="s">
        <v>799</v>
      </c>
    </row>
    <row r="8444" customFormat="false" ht="17.15" hidden="false" customHeight="false" outlineLevel="0" collapsed="false">
      <c r="A8444" s="1" t="s">
        <v>800</v>
      </c>
      <c r="B8444" s="0" t="s">
        <v>392</v>
      </c>
      <c r="C8444" s="29" t="n">
        <f aca="false">mw_ext_24</f>
        <v>640</v>
      </c>
      <c r="D8444" s="29" t="n">
        <f aca="false">mw_ext_25</f>
        <v>1630</v>
      </c>
      <c r="E8444" s="29" t="n">
        <f aca="false">mw_ext_26</f>
        <v>3250</v>
      </c>
      <c r="F8444" s="29" t="n">
        <f aca="false">Sens!E8444+Sens!F8443</f>
        <v>5777.2</v>
      </c>
      <c r="G8444" s="29" t="n">
        <f aca="false">Sens!F8444+Sens!G8443</f>
        <v>8304.4</v>
      </c>
      <c r="H8444" s="29" t="n">
        <f aca="false">Sens!G8444+Sens!H8443</f>
        <v>10831.6</v>
      </c>
      <c r="I8444" s="29" t="n">
        <f aca="false">Sens!H8444+Sens!I8443</f>
        <v>12624.716</v>
      </c>
      <c r="J8444" s="29" t="n">
        <f aca="false">Sens!I8444+Sens!J8443</f>
        <v>13683.748</v>
      </c>
      <c r="K8444" s="29" t="n">
        <f aca="false">Sens!J8444+Sens!K8443</f>
        <v>14008.696</v>
      </c>
      <c r="L8444" s="1" t="s">
        <v>801</v>
      </c>
    </row>
    <row r="8445" customFormat="false" ht="17.15" hidden="false" customHeight="false" outlineLevel="0" collapsed="false">
      <c r="A8445" s="1" t="s">
        <v>802</v>
      </c>
      <c r="B8445" s="0" t="s">
        <v>392</v>
      </c>
      <c r="C8445" s="29" t="n">
        <f aca="false">rent_ext_24</f>
        <v>150</v>
      </c>
      <c r="D8445" s="29" t="n">
        <f aca="false">rent_ext_25</f>
        <v>400</v>
      </c>
      <c r="E8445" s="29" t="n">
        <f aca="false">rent_ext_26</f>
        <v>550</v>
      </c>
      <c r="F8445" s="29" t="n">
        <f aca="false">rent_ext_f</f>
        <v>756</v>
      </c>
      <c r="G8445" s="29" t="n">
        <f aca="false">rent_ext_f</f>
        <v>756</v>
      </c>
      <c r="H8445" s="29" t="n">
        <f aca="false">rent_ext_f</f>
        <v>756</v>
      </c>
      <c r="I8445" s="29" t="n">
        <f aca="false">rent_ext_f</f>
        <v>756</v>
      </c>
      <c r="J8445" s="29" t="n">
        <f aca="false">rent_ext_f</f>
        <v>756</v>
      </c>
      <c r="K8445" s="29" t="n">
        <f aca="false">rent_ext_f</f>
        <v>756</v>
      </c>
      <c r="L8445" s="1" t="s">
        <v>803</v>
      </c>
    </row>
    <row r="8446" customFormat="false" ht="17.15" hidden="false" customHeight="false" outlineLevel="0" collapsed="false">
      <c r="A8446" s="1" t="s">
        <v>804</v>
      </c>
      <c r="B8446" s="0" t="s">
        <v>392</v>
      </c>
      <c r="C8446" s="29" t="n">
        <f aca="false">Sens!C8444-Sens!C8445</f>
        <v>490</v>
      </c>
      <c r="D8446" s="29" t="n">
        <f aca="false">Sens!D8444-Sens!D8445</f>
        <v>1230</v>
      </c>
      <c r="E8446" s="29" t="n">
        <f aca="false">Sens!E8444-Sens!E8445</f>
        <v>2700</v>
      </c>
      <c r="F8446" s="29" t="n">
        <f aca="false">Sens!F8444-Sens!F8445</f>
        <v>5021.2</v>
      </c>
      <c r="G8446" s="29" t="n">
        <f aca="false">Sens!G8444-Sens!G8445</f>
        <v>7548.4</v>
      </c>
      <c r="H8446" s="29" t="n">
        <f aca="false">Sens!H8444-Sens!H8445</f>
        <v>10075.6</v>
      </c>
      <c r="I8446" s="29" t="n">
        <f aca="false">Sens!I8444-Sens!I8445</f>
        <v>11868.716</v>
      </c>
      <c r="J8446" s="29" t="n">
        <f aca="false">Sens!J8444-Sens!J8445</f>
        <v>12927.748</v>
      </c>
      <c r="K8446" s="29" t="n">
        <f aca="false">Sens!K8444-Sens!K8445</f>
        <v>13252.696</v>
      </c>
    </row>
    <row r="8447" customFormat="false" ht="17.15" hidden="false" customHeight="false" outlineLevel="0" collapsed="false">
      <c r="A8447" s="1" t="s">
        <v>805</v>
      </c>
      <c r="B8447" s="0" t="s">
        <v>392</v>
      </c>
      <c r="C8447" s="29" t="n">
        <f aca="false">Sens!C8446/ext_sh</f>
        <v>816.666666666667</v>
      </c>
      <c r="D8447" s="29" t="n">
        <f aca="false">Sens!D8446/ext_sh</f>
        <v>2050</v>
      </c>
      <c r="E8447" s="29" t="n">
        <f aca="false">Sens!E8446/ext_sh</f>
        <v>4500</v>
      </c>
      <c r="F8447" s="29" t="n">
        <f aca="false">Sens!F8446/ext_sh</f>
        <v>8368.66666666667</v>
      </c>
      <c r="G8447" s="29" t="n">
        <f aca="false">Sens!G8446/ext_sh</f>
        <v>12580.6666666667</v>
      </c>
      <c r="H8447" s="29" t="n">
        <f aca="false">Sens!H8446/ext_sh</f>
        <v>16792.6666666667</v>
      </c>
      <c r="I8447" s="29" t="n">
        <f aca="false">Sens!I8446/ext_sh</f>
        <v>19781.1933333333</v>
      </c>
      <c r="J8447" s="29" t="n">
        <f aca="false">Sens!J8446/ext_sh</f>
        <v>21546.2466666667</v>
      </c>
      <c r="K8447" s="29" t="n">
        <f aca="false">Sens!K8446/ext_sh</f>
        <v>22087.8266666667</v>
      </c>
      <c r="L8447" s="1" t="s">
        <v>806</v>
      </c>
    </row>
    <row r="8448" customFormat="false" ht="17.15" hidden="false" customHeight="false" outlineLevel="0" collapsed="false">
      <c r="A8448" s="1" t="s">
        <v>807</v>
      </c>
      <c r="B8448" s="0" t="s">
        <v>392</v>
      </c>
      <c r="C8448" s="29" t="n">
        <f aca="false">Sens!C8447-Sens!C8446</f>
        <v>326.666666666667</v>
      </c>
      <c r="D8448" s="29" t="n">
        <f aca="false">Sens!D8447-Sens!D8446</f>
        <v>820</v>
      </c>
      <c r="E8448" s="29" t="n">
        <f aca="false">Sens!E8447-Sens!E8446</f>
        <v>1800</v>
      </c>
      <c r="F8448" s="29" t="n">
        <f aca="false">Sens!F8447-Sens!F8446</f>
        <v>3347.46666666667</v>
      </c>
      <c r="G8448" s="29" t="n">
        <f aca="false">Sens!G8447-Sens!G8446</f>
        <v>5032.26666666667</v>
      </c>
      <c r="H8448" s="29" t="n">
        <f aca="false">Sens!H8447-Sens!H8446</f>
        <v>6717.06666666667</v>
      </c>
      <c r="I8448" s="29" t="n">
        <f aca="false">Sens!I8447-Sens!I8446</f>
        <v>7912.47733333333</v>
      </c>
      <c r="J8448" s="29" t="n">
        <f aca="false">Sens!J8447-Sens!J8446</f>
        <v>8618.49866666667</v>
      </c>
      <c r="K8448" s="29" t="n">
        <f aca="false">Sens!K8447-Sens!K8446</f>
        <v>8835.13066666667</v>
      </c>
    </row>
    <row r="8449" customFormat="false" ht="17.15" hidden="false" customHeight="false" outlineLevel="0" collapsed="false">
      <c r="A8449" s="1" t="s">
        <v>808</v>
      </c>
      <c r="B8449" s="0" t="s">
        <v>392</v>
      </c>
      <c r="C8449" s="29" t="n">
        <f aca="false">Sens!C8447</f>
        <v>816.666666666667</v>
      </c>
      <c r="D8449" s="29" t="n">
        <f aca="false">Sens!D8447-Sens!C8447</f>
        <v>1233.33333333333</v>
      </c>
      <c r="E8449" s="29" t="n">
        <f aca="false">Sens!E8447-Sens!D8447</f>
        <v>2450</v>
      </c>
      <c r="F8449" s="29" t="n">
        <f aca="false">Sens!F8447-Sens!E8447</f>
        <v>3868.66666666667</v>
      </c>
      <c r="G8449" s="29" t="n">
        <f aca="false">Sens!G8447-Sens!F8447</f>
        <v>4212</v>
      </c>
      <c r="H8449" s="29" t="n">
        <f aca="false">Sens!H8447-Sens!G8447</f>
        <v>4212</v>
      </c>
      <c r="I8449" s="29" t="n">
        <f aca="false">Sens!I8447-Sens!H8447</f>
        <v>2988.52666666667</v>
      </c>
      <c r="J8449" s="29" t="n">
        <f aca="false">Sens!J8447-Sens!I8447</f>
        <v>1765.05333333333</v>
      </c>
      <c r="K8449" s="29" t="n">
        <f aca="false">Sens!K8447-Sens!J8447</f>
        <v>541.580000000002</v>
      </c>
    </row>
    <row r="8450" customFormat="false" ht="17.15" hidden="false" customHeight="false" outlineLevel="0" collapsed="false">
      <c r="A8450" s="1" t="s">
        <v>809</v>
      </c>
      <c r="B8450" s="0" t="s">
        <v>392</v>
      </c>
      <c r="D8450" s="29" t="n">
        <f aca="false">Sens!D8444-Sens!C8444</f>
        <v>990</v>
      </c>
      <c r="E8450" s="29" t="n">
        <f aca="false">Sens!E8444-Sens!D8444</f>
        <v>1620</v>
      </c>
      <c r="F8450" s="29" t="n">
        <f aca="false">Sens!F8444-Sens!E8444</f>
        <v>2527.2</v>
      </c>
      <c r="G8450" s="29" t="n">
        <f aca="false">Sens!G8444-Sens!F8444</f>
        <v>2527.2</v>
      </c>
      <c r="H8450" s="29" t="n">
        <f aca="false">Sens!H8444-Sens!G8444</f>
        <v>2527.2</v>
      </c>
      <c r="I8450" s="29" t="n">
        <f aca="false">Sens!I8444-Sens!H8444</f>
        <v>1793.116</v>
      </c>
      <c r="J8450" s="29" t="n">
        <f aca="false">Sens!J8444-Sens!I8444</f>
        <v>1059.032</v>
      </c>
      <c r="K8450" s="29" t="n">
        <f aca="false">Sens!K8444-Sens!J8444</f>
        <v>324.948</v>
      </c>
    </row>
    <row r="8451" customFormat="false" ht="17.15" hidden="false" customHeight="false" outlineLevel="0" collapsed="false">
      <c r="A8451" s="1" t="s">
        <v>810</v>
      </c>
      <c r="B8451" s="0" t="s">
        <v>392</v>
      </c>
      <c r="F8451" s="29" t="n">
        <f aca="false">Sens!F8468*ext_sh</f>
        <v>0</v>
      </c>
      <c r="G8451" s="29" t="n">
        <f aca="false">Sens!G8468*ext_sh</f>
        <v>0</v>
      </c>
      <c r="H8451" s="29" t="n">
        <f aca="false">Sens!H8468*ext_sh</f>
        <v>0</v>
      </c>
      <c r="I8451" s="29" t="n">
        <f aca="false">Sens!I8468*ext_sh</f>
        <v>490</v>
      </c>
      <c r="J8451" s="29" t="n">
        <f aca="false">Sens!J8468*ext_sh</f>
        <v>740</v>
      </c>
      <c r="K8451" s="29" t="n">
        <f aca="false">Sens!K8468*ext_sh</f>
        <v>1470</v>
      </c>
      <c r="L8451" s="1" t="s">
        <v>811</v>
      </c>
    </row>
    <row r="8452" customFormat="false" ht="17.15" hidden="false" customHeight="false" outlineLevel="0" collapsed="false">
      <c r="A8452" s="1" t="s">
        <v>812</v>
      </c>
      <c r="B8452" s="0" t="s">
        <v>392</v>
      </c>
      <c r="C8452" s="29" t="n">
        <f aca="false">mix_h*Sens!C8444</f>
        <v>128</v>
      </c>
      <c r="D8452" s="29" t="n">
        <f aca="false">mix_h*Sens!D8444</f>
        <v>326</v>
      </c>
      <c r="E8452" s="29" t="n">
        <f aca="false">mix_h*Sens!E8444</f>
        <v>650</v>
      </c>
      <c r="F8452" s="29" t="n">
        <f aca="false">Sens!E8452-Sens!F8451*mix_h</f>
        <v>650</v>
      </c>
      <c r="G8452" s="29" t="n">
        <f aca="false">Sens!F8452-Sens!G8451*mix_h</f>
        <v>650</v>
      </c>
      <c r="H8452" s="29" t="n">
        <f aca="false">Sens!G8452-Sens!H8451*mix_h</f>
        <v>650</v>
      </c>
      <c r="I8452" s="29" t="n">
        <f aca="false">Sens!H8452-Sens!I8451*mix_h</f>
        <v>552</v>
      </c>
      <c r="J8452" s="29" t="n">
        <f aca="false">Sens!I8452-Sens!J8451*mix_h</f>
        <v>404</v>
      </c>
      <c r="K8452" s="29" t="n">
        <f aca="false">Sens!J8452-Sens!K8451*mix_h</f>
        <v>110</v>
      </c>
    </row>
    <row r="8453" customFormat="false" ht="17.15" hidden="false" customHeight="false" outlineLevel="0" collapsed="false">
      <c r="A8453" s="1" t="s">
        <v>813</v>
      </c>
      <c r="B8453" s="0" t="s">
        <v>392</v>
      </c>
      <c r="C8453" s="29" t="n">
        <f aca="false">mix_g2*Sens!C8444</f>
        <v>288</v>
      </c>
      <c r="D8453" s="29" t="n">
        <f aca="false">mix_g2*Sens!D8444</f>
        <v>733.5</v>
      </c>
      <c r="E8453" s="29" t="n">
        <f aca="false">mix_g2*Sens!E8444</f>
        <v>1462.5</v>
      </c>
      <c r="F8453" s="29" t="n">
        <f aca="false">Sens!E8453-Sens!F8451*mix_g2</f>
        <v>1462.5</v>
      </c>
      <c r="G8453" s="29" t="n">
        <f aca="false">Sens!F8453-Sens!G8451*mix_g2</f>
        <v>1462.5</v>
      </c>
      <c r="H8453" s="29" t="n">
        <f aca="false">Sens!G8453-Sens!H8451*mix_g2</f>
        <v>1462.5</v>
      </c>
      <c r="I8453" s="29" t="n">
        <f aca="false">Sens!H8453-Sens!I8451*mix_g2</f>
        <v>1242</v>
      </c>
      <c r="J8453" s="29" t="n">
        <f aca="false">Sens!I8453-Sens!J8451*mix_g2</f>
        <v>909</v>
      </c>
      <c r="K8453" s="29" t="n">
        <f aca="false">Sens!J8453-Sens!K8451*mix_g2</f>
        <v>247.5</v>
      </c>
    </row>
    <row r="8454" customFormat="false" ht="17.15" hidden="false" customHeight="false" outlineLevel="0" collapsed="false">
      <c r="A8454" s="1" t="s">
        <v>814</v>
      </c>
      <c r="B8454" s="0" t="s">
        <v>392</v>
      </c>
      <c r="C8454" s="29" t="n">
        <f aca="false">mix_g3*Sens!C8444</f>
        <v>224</v>
      </c>
      <c r="D8454" s="29" t="n">
        <f aca="false">mix_g3*Sens!D8444</f>
        <v>570.5</v>
      </c>
      <c r="E8454" s="29" t="n">
        <f aca="false">mix_g3*Sens!E8444</f>
        <v>1137.5</v>
      </c>
      <c r="F8454" s="29" t="n">
        <f aca="false">Sens!E8454+(Sens!F8450+Sens!F8451)*a_g3_27-Sens!F8451*mix_g3</f>
        <v>2906.54</v>
      </c>
      <c r="G8454" s="29" t="n">
        <f aca="false">Sens!F8454+(Sens!G8450+Sens!G8451)*a_g3_28-Sens!G8451*mix_g3</f>
        <v>3664.7</v>
      </c>
      <c r="H8454" s="29" t="n">
        <f aca="false">Sens!G8454+(Sens!H8450+Sens!H8451)*a_g3_29-Sens!H8451*mix_g3</f>
        <v>3917.42</v>
      </c>
      <c r="I8454" s="29" t="n">
        <f aca="false">Sens!H8454+(Sens!I8450+Sens!I8451)*a_g3_29-Sens!I8451*mix_g3</f>
        <v>3974.2316</v>
      </c>
      <c r="J8454" s="29" t="n">
        <f aca="false">Sens!I8454+(Sens!J8450+Sens!J8451)*a_g3_29-Sens!J8451*mix_g3</f>
        <v>3895.1348</v>
      </c>
      <c r="K8454" s="29" t="n">
        <f aca="false">Sens!J8454+(Sens!K8450+Sens!K8451)*a_g3_29-Sens!K8451*mix_g3</f>
        <v>3560.1296</v>
      </c>
    </row>
    <row r="8455" customFormat="false" ht="17.15" hidden="false" customHeight="false" outlineLevel="0" collapsed="false">
      <c r="A8455" s="1" t="s">
        <v>815</v>
      </c>
      <c r="B8455" s="0" t="s">
        <v>392</v>
      </c>
      <c r="C8455" s="29" t="n">
        <v>0</v>
      </c>
      <c r="D8455" s="29" t="n">
        <v>0</v>
      </c>
      <c r="E8455" s="29" t="n">
        <v>0</v>
      </c>
      <c r="F8455" s="29" t="n">
        <f aca="false">Sens!E8455+(Sens!F8450+Sens!F8451)*(1-a_g3_27)</f>
        <v>758.16</v>
      </c>
      <c r="G8455" s="29" t="n">
        <f aca="false">Sens!F8455+(Sens!G8450+Sens!G8451)*(1-a_g3_28)</f>
        <v>2527.2</v>
      </c>
      <c r="H8455" s="29" t="n">
        <f aca="false">Sens!G8455+(Sens!H8450+Sens!H8451)*(1-a_g3_29)</f>
        <v>4801.68</v>
      </c>
      <c r="I8455" s="29" t="n">
        <f aca="false">Sens!H8455+(Sens!I8450+Sens!I8451)*(1-a_g3_29)</f>
        <v>6856.4844</v>
      </c>
      <c r="J8455" s="29" t="n">
        <f aca="false">Sens!I8455+(Sens!J8450+Sens!J8451)*(1-a_g3_29)</f>
        <v>8475.6132</v>
      </c>
      <c r="K8455" s="29" t="n">
        <f aca="false">Sens!J8455+(Sens!K8450+Sens!K8451)*(1-a_g3_29)</f>
        <v>10091.0664</v>
      </c>
    </row>
    <row r="8456" customFormat="false" ht="17.15" hidden="false" customHeight="false" outlineLevel="0" collapsed="false">
      <c r="A8456" s="1" t="s">
        <v>816</v>
      </c>
      <c r="B8456" s="0" t="s">
        <v>339</v>
      </c>
      <c r="C8456" s="14" t="n">
        <f aca="false">(Sens!C8452*tk_hold_h100+Sens!C8453*tk_hold_gb200+Sens!C8454*tk_hold_gb300+Sens!C8455*tk_hold_vr200)/Sens!C8444</f>
        <v>9.7235358126469</v>
      </c>
      <c r="D8456" s="14" t="n">
        <f aca="false">(Sens!D8452*tk_hold_h100+Sens!D8453*tk_hold_gb200+Sens!D8454*tk_hold_gb300+Sens!D8455*tk_hold_vr200)/Sens!D8444</f>
        <v>9.7235358126469</v>
      </c>
      <c r="E8456" s="14" t="n">
        <f aca="false">(Sens!E8452*tk_hold_h100+Sens!E8453*tk_hold_gb200+Sens!E8454*tk_hold_gb300+Sens!E8455*tk_hold_vr200)/Sens!E8444</f>
        <v>9.7235358126469</v>
      </c>
      <c r="F8456" s="14" t="n">
        <f aca="false">(Sens!F8452*tk_hold_h100+Sens!F8453*tk_hold_gb200+Sens!F8454*tk_hold_gb300+Sens!F8455*tk_hold_vr200)/Sens!F8444</f>
        <v>10.4079573161931</v>
      </c>
      <c r="G8456" s="14" t="n">
        <f aca="false">(Sens!G8452*tk_hold_h100+Sens!G8453*tk_hold_gb200+Sens!G8454*tk_hold_gb300+Sens!G8455*tk_hold_vr200)/Sens!G8444</f>
        <v>10.8388131109316</v>
      </c>
      <c r="H8456" s="14" t="n">
        <f aca="false">(Sens!H8452*tk_hold_h100+Sens!H8453*tk_hold_gb200+Sens!H8454*tk_hold_gb300+Sens!H8455*tk_hold_vr200)/Sens!H8444</f>
        <v>11.1311018388216</v>
      </c>
      <c r="I8456" s="14" t="n">
        <f aca="false">(Sens!I8452*tk_hold_h100+Sens!I8453*tk_hold_gb200+Sens!I8454*tk_hold_gb300+Sens!I8455*tk_hold_vr200)/Sens!I8444</f>
        <v>11.3594282560989</v>
      </c>
      <c r="J8456" s="14" t="n">
        <f aca="false">(Sens!J8452*tk_hold_h100+Sens!J8453*tk_hold_gb200+Sens!J8454*tk_hold_gb300+Sens!J8455*tk_hold_vr200)/Sens!J8444</f>
        <v>11.5441508808221</v>
      </c>
      <c r="K8456" s="14" t="n">
        <f aca="false">(Sens!K8452*tk_hold_h100+Sens!K8453*tk_hold_gb200+Sens!K8454*tk_hold_gb300+Sens!K8455*tk_hold_vr200)/Sens!K8444</f>
        <v>11.8053375063575</v>
      </c>
    </row>
    <row r="8457" customFormat="false" ht="17.15" hidden="false" customHeight="false" outlineLevel="0" collapsed="false">
      <c r="A8457" s="0" t="s">
        <v>817</v>
      </c>
      <c r="B8457" s="0" t="s">
        <v>185</v>
      </c>
      <c r="C8457" s="14" t="n">
        <f aca="false">k_B</f>
        <v>1.17213932619116</v>
      </c>
      <c r="D8457" s="14" t="n">
        <f aca="false">k_B</f>
        <v>1.17213932619116</v>
      </c>
      <c r="E8457" s="14" t="n">
        <f aca="false">k_B</f>
        <v>1.17213932619116</v>
      </c>
      <c r="F8457" s="14" t="n">
        <f aca="false">(k_B+((ls_C*k_long+(1-ls_C)*k_spot)-k_B)*MIN(1,(Sens!F8442-base_fy)/k_ramp))</f>
        <v>1.07843258004497</v>
      </c>
      <c r="G8457" s="14" t="n">
        <f aca="false">(k_B+((ls_C*k_long+(1-ls_C)*k_spot)-k_B)*MIN(1,(Sens!G8442-base_fy)/k_ramp))</f>
        <v>0.984725833898784</v>
      </c>
      <c r="H8457" s="14" t="n">
        <f aca="false">(k_B+((ls_C*k_long+(1-ls_C)*k_spot)-k_B)*MIN(1,(Sens!H8442-base_fy)/k_ramp))</f>
        <v>0.891019087752599</v>
      </c>
      <c r="I8457" s="14" t="n">
        <f aca="false">(k_B+((ls_C*k_long+(1-ls_C)*k_spot)-k_B)*MIN(1,(Sens!I8442-base_fy)/k_ramp))</f>
        <v>0.891019087752599</v>
      </c>
      <c r="J8457" s="14" t="n">
        <f aca="false">(k_B+((ls_C*k_long+(1-ls_C)*k_spot)-k_B)*MIN(1,(Sens!J8442-base_fy)/k_ramp))</f>
        <v>0.891019087752599</v>
      </c>
      <c r="K8457" s="14" t="n">
        <f aca="false">(k_B+((ls_C*k_long+(1-ls_C)*k_spot)-k_B)*MIN(1,(Sens!K8442-base_fy)/k_ramp))</f>
        <v>0.891019087752599</v>
      </c>
      <c r="L8457" s="1" t="s">
        <v>818</v>
      </c>
    </row>
    <row r="8458" customFormat="false" ht="17.15" hidden="false" customHeight="false" outlineLevel="0" collapsed="false">
      <c r="A8458" s="1" t="s">
        <v>819</v>
      </c>
      <c r="B8458" s="0" t="s">
        <v>339</v>
      </c>
      <c r="C8458" s="14" t="n">
        <f aca="false">Sens!C8456*Sens!C8457*chip_f</f>
        <v>11.3973387156315</v>
      </c>
      <c r="D8458" s="14" t="n">
        <f aca="false">Sens!D8456*Sens!D8457*chip_f</f>
        <v>11.3973387156315</v>
      </c>
      <c r="E8458" s="14" t="n">
        <f aca="false">Sens!E8456*Sens!E8457*chip_f</f>
        <v>11.3973387156315</v>
      </c>
      <c r="F8458" s="14" t="n">
        <f aca="false">Sens!F8456*Sens!F8457*chip_f</f>
        <v>11.2242802615</v>
      </c>
      <c r="G8458" s="14" t="n">
        <f aca="false">Sens!G8456*Sens!G8457*chip_f</f>
        <v>10.6732592791352</v>
      </c>
      <c r="H8458" s="14" t="n">
        <f aca="false">Sens!H8456*Sens!H8457*chip_f</f>
        <v>9.91802420610807</v>
      </c>
      <c r="I8458" s="14" t="n">
        <f aca="false">Sens!I8456*Sens!I8457*chip_f</f>
        <v>10.1214674021403</v>
      </c>
      <c r="J8458" s="14" t="n">
        <f aca="false">Sens!J8456*Sens!J8457*chip_f</f>
        <v>10.2860587867084</v>
      </c>
      <c r="K8458" s="14" t="n">
        <f aca="false">Sens!K8456*Sens!K8457*chip_f</f>
        <v>10.5187810555262</v>
      </c>
      <c r="L8458" s="1" t="s">
        <v>820</v>
      </c>
    </row>
    <row r="8459" customFormat="false" ht="17.15" hidden="false" customHeight="false" outlineLevel="0" collapsed="false">
      <c r="A8459" s="0" t="s">
        <v>821</v>
      </c>
      <c r="B8459" s="0" t="s">
        <v>98</v>
      </c>
      <c r="D8459" s="6" t="n">
        <f aca="false">(Sens!C8444+Sens!D8444)/2*Sens!D8458/1000</f>
        <v>12.9359794422418</v>
      </c>
      <c r="E8459" s="6" t="n">
        <f aca="false">(Sens!D8444+Sens!E8444)/2*Sens!E8458/1000</f>
        <v>27.8095064661409</v>
      </c>
      <c r="F8459" s="6" t="n">
        <f aca="false">(Sens!E8444+Sens!F8444)/2*Sens!F8458/1000</f>
        <v>50.6619113883066</v>
      </c>
      <c r="G8459" s="6" t="n">
        <f aca="false">(Sens!F8444+Sens!G8444)/2*Sens!G8458/1000</f>
        <v>75.1482839325348</v>
      </c>
      <c r="H8459" s="6" t="n">
        <f aca="false">(Sens!G8444+Sens!H8444)/2*Sens!H8458/1000</f>
        <v>94.895655604042</v>
      </c>
      <c r="I8459" s="6" t="n">
        <f aca="false">(Sens!H8444+Sens!I8444)/2*Sens!I8458/1000</f>
        <v>118.706168884151</v>
      </c>
      <c r="J8459" s="6" t="n">
        <f aca="false">(Sens!I8444+Sens!J8444)/2*Sens!J8458/1000</f>
        <v>135.305203646001</v>
      </c>
      <c r="K8459" s="6" t="n">
        <f aca="false">(Sens!J8444+Sens!K8444)/2*Sens!K8458/1000</f>
        <v>145.64537766421</v>
      </c>
      <c r="L8459" s="11" t="s">
        <v>822</v>
      </c>
    </row>
    <row r="8460" customFormat="false" ht="17.15" hidden="false" customHeight="false" outlineLevel="0" collapsed="false">
      <c r="A8460" s="1" t="s">
        <v>823</v>
      </c>
      <c r="B8460" s="0" t="s">
        <v>339</v>
      </c>
      <c r="C8460" s="14" t="n">
        <f aca="false">(Sens!C8452*tk_opex_h100+Sens!C8453*tk_opex_gb200+Sens!C8454*tk_opex_gb300+Sens!C8455*tk_opex_vr200)/Sens!C8444</f>
        <v>1.88636041306092</v>
      </c>
      <c r="D8460" s="14" t="n">
        <f aca="false">(Sens!D8452*tk_opex_h100+Sens!D8453*tk_opex_gb200+Sens!D8454*tk_opex_gb300+Sens!D8455*tk_opex_vr200)/Sens!D8444</f>
        <v>1.88636041306092</v>
      </c>
      <c r="E8460" s="14" t="n">
        <f aca="false">(Sens!E8452*tk_opex_h100+Sens!E8453*tk_opex_gb200+Sens!E8454*tk_opex_gb300+Sens!E8455*tk_opex_vr200)/Sens!E8444</f>
        <v>1.88636041306092</v>
      </c>
      <c r="F8460" s="14" t="n">
        <f aca="false">(Sens!F8452*tk_opex_h100+Sens!F8453*tk_opex_gb200+Sens!F8454*tk_opex_gb300+Sens!F8455*tk_opex_vr200)/Sens!F8444</f>
        <v>1.9430236476499</v>
      </c>
      <c r="G8460" s="14" t="n">
        <f aca="false">(Sens!G8452*tk_opex_h100+Sens!G8453*tk_opex_gb200+Sens!G8454*tk_opex_gb300+Sens!G8455*tk_opex_vr200)/Sens!G8444</f>
        <v>1.9786941852423</v>
      </c>
      <c r="H8460" s="14" t="n">
        <f aca="false">(Sens!H8452*tk_opex_h100+Sens!H8453*tk_opex_gb200+Sens!H8454*tk_opex_gb300+Sens!H8455*tk_opex_vr200)/Sens!H8444</f>
        <v>2.00289275976156</v>
      </c>
      <c r="I8460" s="14" t="n">
        <f aca="false">(Sens!I8452*tk_opex_h100+Sens!I8453*tk_opex_gb200+Sens!I8454*tk_opex_gb300+Sens!I8455*tk_opex_vr200)/Sens!I8444</f>
        <v>2.02179589661219</v>
      </c>
      <c r="J8460" s="14" t="n">
        <f aca="false">(Sens!J8452*tk_opex_h100+Sens!J8453*tk_opex_gb200+Sens!J8454*tk_opex_gb300+Sens!J8455*tk_opex_vr200)/Sens!J8444</f>
        <v>2.03708907685909</v>
      </c>
      <c r="K8460" s="14" t="n">
        <f aca="false">(Sens!K8452*tk_opex_h100+Sens!K8453*tk_opex_gb200+Sens!K8454*tk_opex_gb300+Sens!K8455*tk_opex_vr200)/Sens!K8444</f>
        <v>2.05871270931005</v>
      </c>
    </row>
    <row r="8461" customFormat="false" ht="17.15" hidden="false" customHeight="false" outlineLevel="0" collapsed="false">
      <c r="A8461" s="0" t="s">
        <v>824</v>
      </c>
      <c r="B8461" s="0" t="s">
        <v>98</v>
      </c>
      <c r="D8461" s="6" t="n">
        <f aca="false">(Sens!C8447+Sens!D8447)/2*Sens!D8460/1000</f>
        <v>2.70378325872065</v>
      </c>
      <c r="E8461" s="6" t="n">
        <f aca="false">(Sens!D8447+Sens!E8447)/2*Sens!E8460/1000</f>
        <v>6.17783035277451</v>
      </c>
      <c r="F8461" s="6" t="n">
        <f aca="false">(Sens!E8447+Sens!F8447)/2*Sens!F8460/1000</f>
        <v>12.5020618235287</v>
      </c>
      <c r="G8461" s="6" t="n">
        <f aca="false">(Sens!F8447+Sens!G8447)/2*Sens!G8460/1000</f>
        <v>20.7261620256847</v>
      </c>
      <c r="H8461" s="6" t="n">
        <f aca="false">(Sens!G8447+Sens!H8447)/2*Sens!H8460/1000</f>
        <v>29.4158183316982</v>
      </c>
      <c r="I8461" s="6" t="n">
        <f aca="false">(Sens!H8447+Sens!I8447)/2*Sens!I8460/1000</f>
        <v>36.9724400356344</v>
      </c>
      <c r="J8461" s="6" t="n">
        <f aca="false">(Sens!I8447+Sens!J8447)/2*Sens!J8460/1000</f>
        <v>42.0938382992747</v>
      </c>
      <c r="K8461" s="6" t="n">
        <f aca="false">(Sens!J8447+Sens!K8447)/2*Sens!K8460/1000</f>
        <v>44.9150106651501</v>
      </c>
    </row>
    <row r="8462" customFormat="false" ht="17.15" hidden="false" customHeight="false" outlineLevel="0" collapsed="false">
      <c r="A8462" s="0" t="s">
        <v>825</v>
      </c>
      <c r="B8462" s="0" t="s">
        <v>98</v>
      </c>
      <c r="D8462" s="6" t="n">
        <f aca="false">(Sens!C8445+Sens!D8445)/2*rent_mw/1000</f>
        <v>2.44475</v>
      </c>
      <c r="E8462" s="6" t="n">
        <f aca="false">(Sens!D8445+Sens!E8445)/2*rent_mw/1000</f>
        <v>4.22275</v>
      </c>
      <c r="F8462" s="6" t="n">
        <f aca="false">(Sens!E8445+Sens!F8445)/2*rent_mw/1000</f>
        <v>5.80517</v>
      </c>
      <c r="G8462" s="6" t="n">
        <f aca="false">(Sens!F8445+Sens!G8445)/2*rent_mw/1000</f>
        <v>6.72084</v>
      </c>
      <c r="H8462" s="6" t="n">
        <f aca="false">(Sens!G8445+Sens!H8445)/2*rent_mw/1000</f>
        <v>6.72084</v>
      </c>
      <c r="I8462" s="6" t="n">
        <f aca="false">(Sens!H8445+Sens!I8445)/2*rent_mw/1000</f>
        <v>6.72084</v>
      </c>
      <c r="J8462" s="6" t="n">
        <f aca="false">(Sens!I8445+Sens!J8445)/2*rent_mw/1000</f>
        <v>6.72084</v>
      </c>
      <c r="K8462" s="6" t="n">
        <f aca="false">(Sens!J8445+Sens!K8445)/2*rent_mw/1000</f>
        <v>6.72084</v>
      </c>
    </row>
    <row r="8463" customFormat="false" ht="17.15" hidden="false" customHeight="false" outlineLevel="0" collapsed="false">
      <c r="A8463" s="0" t="s">
        <v>826</v>
      </c>
      <c r="B8463" s="0" t="s">
        <v>98</v>
      </c>
      <c r="D8463" s="6" t="n">
        <f aca="false">(Sens!C8447+Sens!D8447)/2*(1-self_build)*fac_rent/1000</f>
        <v>0.853242375631075</v>
      </c>
      <c r="E8463" s="6" t="n">
        <f aca="false">(Sens!D8447+Sens!E8447)/2*(1-self_build)*fac_rent/1000</f>
        <v>1.94955961408728</v>
      </c>
      <c r="F8463" s="6" t="n">
        <f aca="false">(Sens!E8447+Sens!F8447)/2*(1-self_build)*fac_rent/1000</f>
        <v>3.83026455274573</v>
      </c>
      <c r="G8463" s="6" t="n">
        <f aca="false">(Sens!F8447+Sens!G8447)/2*(1-self_build)*fac_rent/1000</f>
        <v>6.23541590972812</v>
      </c>
      <c r="H8463" s="6" t="n">
        <f aca="false">(Sens!G8447+Sens!H8447)/2*(1-self_build)*fac_rent/1000</f>
        <v>8.74275792332679</v>
      </c>
      <c r="I8463" s="6" t="n">
        <f aca="false">(Sens!H8447+Sens!I8447)/2*(1-self_build)*fac_rent/1000</f>
        <v>10.8859420438599</v>
      </c>
      <c r="J8463" s="6" t="n">
        <f aca="false">(Sens!I8447+Sens!J8447)/2*(1-self_build)*fac_rent/1000</f>
        <v>12.3008103782619</v>
      </c>
      <c r="K8463" s="6" t="n">
        <f aca="false">(Sens!J8447+Sens!K8447)/2*(1-self_build)*fac_rent/1000</f>
        <v>12.9873629265328</v>
      </c>
      <c r="L8463" s="11" t="s">
        <v>827</v>
      </c>
    </row>
    <row r="8464" customFormat="false" ht="17.15" hidden="false" customHeight="false" outlineLevel="0" collapsed="false">
      <c r="A8464" s="1" t="s">
        <v>828</v>
      </c>
      <c r="B8464" s="0" t="s">
        <v>129</v>
      </c>
      <c r="D8464" s="7" t="n">
        <f aca="false">(Sens!C8446+Sens!D8446)/(Sens!C8447+Sens!D8447)</f>
        <v>0.6</v>
      </c>
      <c r="E8464" s="7" t="n">
        <f aca="false">(Sens!D8446+Sens!E8446)/(Sens!D8447+Sens!E8447)</f>
        <v>0.6</v>
      </c>
      <c r="F8464" s="7" t="n">
        <f aca="false">(Sens!E8446+Sens!F8446)/(Sens!E8447+Sens!F8447)</f>
        <v>0.6</v>
      </c>
      <c r="G8464" s="7" t="n">
        <f aca="false">(Sens!F8446+Sens!G8446)/(Sens!F8447+Sens!G8447)</f>
        <v>0.6</v>
      </c>
      <c r="H8464" s="7" t="n">
        <f aca="false">(Sens!G8446+Sens!H8446)/(Sens!G8447+Sens!H8447)</f>
        <v>0.6</v>
      </c>
      <c r="I8464" s="7" t="n">
        <f aca="false">(Sens!H8446+Sens!I8446)/(Sens!H8447+Sens!I8447)</f>
        <v>0.6</v>
      </c>
      <c r="J8464" s="7" t="n">
        <f aca="false">(Sens!I8446+Sens!J8446)/(Sens!I8447+Sens!J8447)</f>
        <v>0.6</v>
      </c>
      <c r="K8464" s="7" t="n">
        <f aca="false">(Sens!J8446+Sens!K8446)/(Sens!J8447+Sens!K8447)</f>
        <v>0.6</v>
      </c>
    </row>
    <row r="8465" customFormat="false" ht="17.15" hidden="false" customHeight="false" outlineLevel="0" collapsed="false">
      <c r="A8465" s="0" t="s">
        <v>829</v>
      </c>
      <c r="B8465" s="0" t="s">
        <v>98</v>
      </c>
      <c r="D8465" s="6" t="n">
        <f aca="false">Sens!D8459-Sens!D8464*(Sens!D8461+Sens!D8463)-Sens!D8462</f>
        <v>8.35701406163072</v>
      </c>
      <c r="E8465" s="6" t="n">
        <f aca="false">Sens!E8459-Sens!E8464*(Sens!E8461+Sens!E8463)-Sens!E8462</f>
        <v>18.7103224860238</v>
      </c>
      <c r="F8465" s="6" t="n">
        <f aca="false">Sens!F8459-Sens!F8464*(Sens!F8461+Sens!F8463)-Sens!F8462</f>
        <v>35.0573455625419</v>
      </c>
      <c r="G8465" s="6" t="n">
        <f aca="false">Sens!G8459-Sens!G8464*(Sens!G8461+Sens!G8463)-Sens!G8462</f>
        <v>52.2504971712871</v>
      </c>
      <c r="H8465" s="6" t="n">
        <f aca="false">Sens!H8459-Sens!H8464*(Sens!H8461+Sens!H8463)-Sens!H8462</f>
        <v>65.2796698510271</v>
      </c>
      <c r="I8465" s="6" t="n">
        <f aca="false">Sens!I8459-Sens!I8464*(Sens!I8461+Sens!I8463)-Sens!I8462</f>
        <v>83.2702996364549</v>
      </c>
      <c r="J8465" s="6" t="n">
        <f aca="false">Sens!J8459-Sens!J8464*(Sens!J8461+Sens!J8463)-Sens!J8462</f>
        <v>95.9475744394793</v>
      </c>
      <c r="K8465" s="6" t="n">
        <f aca="false">Sens!K8459-Sens!K8464*(Sens!K8461+Sens!K8463)-Sens!K8462</f>
        <v>104.1831135092</v>
      </c>
    </row>
    <row r="8466" customFormat="false" ht="17.15" hidden="false" customHeight="false" outlineLevel="0" collapsed="false">
      <c r="A8466" s="1" t="s">
        <v>830</v>
      </c>
      <c r="B8466" s="0" t="s">
        <v>98</v>
      </c>
      <c r="D8466" s="6" t="n">
        <f aca="false">(1-Sens!D8464)*(Sens!D8461+Sens!D8463)</f>
        <v>1.42281025374069</v>
      </c>
      <c r="E8466" s="6" t="n">
        <f aca="false">(1-Sens!E8464)*(Sens!E8461+Sens!E8463)</f>
        <v>3.25095598674472</v>
      </c>
      <c r="F8466" s="6" t="n">
        <f aca="false">(1-Sens!F8464)*(Sens!F8461+Sens!F8463)</f>
        <v>6.53293055050977</v>
      </c>
      <c r="G8466" s="6" t="n">
        <f aca="false">(1-Sens!G8464)*(Sens!G8461+Sens!G8463)</f>
        <v>10.7846311741651</v>
      </c>
      <c r="H8466" s="6" t="n">
        <f aca="false">(1-Sens!H8464)*(Sens!H8461+Sens!H8463)</f>
        <v>15.26343050201</v>
      </c>
      <c r="I8466" s="6" t="n">
        <f aca="false">(1-Sens!I8464)*(Sens!I8461+Sens!I8463)</f>
        <v>19.1433528317977</v>
      </c>
      <c r="J8466" s="6" t="n">
        <f aca="false">(1-Sens!J8464)*(Sens!J8461+Sens!J8463)</f>
        <v>21.7578594710146</v>
      </c>
      <c r="K8466" s="6" t="n">
        <f aca="false">(1-Sens!K8464)*(Sens!K8461+Sens!K8463)</f>
        <v>23.1609494366731</v>
      </c>
    </row>
    <row r="8467" customFormat="false" ht="17.15" hidden="false" customHeight="false" outlineLevel="0" collapsed="false">
      <c r="A8467" s="1" t="s">
        <v>831</v>
      </c>
      <c r="B8467" s="0" t="s">
        <v>350</v>
      </c>
      <c r="C8467" s="8" t="n">
        <f aca="false">cxit_open</f>
        <v>27.5918995</v>
      </c>
      <c r="D8467" s="8" t="n">
        <f aca="false">cxit_open</f>
        <v>27.5918995</v>
      </c>
      <c r="E8467" s="8" t="n">
        <f aca="false">cxit_open</f>
        <v>27.5918995</v>
      </c>
      <c r="F8467" s="8" t="n">
        <f aca="false">(a_g3_27*tk_cxit_gb300+(1-a_g3_27)*tk_cxit_vr200)</f>
        <v>33.8419624</v>
      </c>
      <c r="G8467" s="8" t="n">
        <f aca="false">(a_g3_28*tk_cxit_gb300+(1-a_g3_28)*tk_cxit_vr200)</f>
        <v>35.9816136</v>
      </c>
      <c r="H8467" s="8" t="n">
        <f aca="false">(a_g3_29*tk_cxit_gb300+(1-a_g3_29)*tk_cxit_vr200)</f>
        <v>37.0514392</v>
      </c>
      <c r="I8467" s="8" t="n">
        <f aca="false">(a_g3_29*tk_cxit_gb300+(1-a_g3_29)*tk_cxit_vr200)</f>
        <v>37.0514392</v>
      </c>
      <c r="J8467" s="8" t="n">
        <f aca="false">(a_g3_29*tk_cxit_gb300+(1-a_g3_29)*tk_cxit_vr200)</f>
        <v>37.0514392</v>
      </c>
      <c r="K8467" s="8" t="n">
        <f aca="false">(a_g3_29*tk_cxit_gb300+(1-a_g3_29)*tk_cxit_vr200)</f>
        <v>37.0514392</v>
      </c>
      <c r="L8467" s="11" t="s">
        <v>832</v>
      </c>
    </row>
    <row r="8468" customFormat="false" ht="17.15" hidden="false" customHeight="false" outlineLevel="0" collapsed="false">
      <c r="A8468" s="0" t="s">
        <v>833</v>
      </c>
      <c r="B8468" s="0" t="s">
        <v>392</v>
      </c>
      <c r="F8468" s="29" t="n">
        <f aca="false">Sens!C8449*IF(Sens!F8442-Sens!C8442=life_it,1,0)+Sens!D8449*IF(Sens!F8442-Sens!D8442=life_it,1,0)+Sens!E8449*IF(Sens!F8442-Sens!E8442=life_it,1,0)</f>
        <v>0</v>
      </c>
      <c r="G8468" s="29" t="n">
        <f aca="false">Sens!C8449*IF(Sens!G8442-Sens!C8442=life_it,1,0)+Sens!D8449*IF(Sens!G8442-Sens!D8442=life_it,1,0)+Sens!E8449*IF(Sens!G8442-Sens!E8442=life_it,1,0)+Sens!F8449*IF(Sens!G8442-Sens!F8442=life_it,1,0)</f>
        <v>0</v>
      </c>
      <c r="H8468" s="29" t="n">
        <f aca="false">Sens!C8449*IF(Sens!H8442-Sens!C8442=life_it,1,0)+Sens!D8449*IF(Sens!H8442-Sens!D8442=life_it,1,0)+Sens!E8449*IF(Sens!H8442-Sens!E8442=life_it,1,0)+Sens!F8449*IF(Sens!H8442-Sens!F8442=life_it,1,0)+Sens!G8449*IF(Sens!H8442-Sens!G8442=life_it,1,0)</f>
        <v>0</v>
      </c>
      <c r="I8468" s="29" t="n">
        <f aca="false">Sens!C8449*IF(Sens!I8442-Sens!C8442=life_it,1,0)+Sens!D8449*IF(Sens!I8442-Sens!D8442=life_it,1,0)+Sens!E8449*IF(Sens!I8442-Sens!E8442=life_it,1,0)+Sens!F8449*IF(Sens!I8442-Sens!F8442=life_it,1,0)+Sens!G8449*IF(Sens!I8442-Sens!G8442=life_it,1,0)+Sens!H8449*IF(Sens!I8442-Sens!H8442=life_it,1,0)</f>
        <v>816.666666666667</v>
      </c>
      <c r="J8468" s="29" t="n">
        <f aca="false">Sens!C8449*IF(Sens!J8442-Sens!C8442=life_it,1,0)+Sens!D8449*IF(Sens!J8442-Sens!D8442=life_it,1,0)+Sens!E8449*IF(Sens!J8442-Sens!E8442=life_it,1,0)+Sens!F8449*IF(Sens!J8442-Sens!F8442=life_it,1,0)+Sens!G8449*IF(Sens!J8442-Sens!G8442=life_it,1,0)+Sens!H8449*IF(Sens!J8442-Sens!H8442=life_it,1,0)+Sens!I8449*IF(Sens!J8442-Sens!I8442=life_it,1,0)</f>
        <v>1233.33333333333</v>
      </c>
      <c r="K8468" s="29" t="n">
        <f aca="false">Sens!C8449*IF(Sens!K8442-Sens!C8442=life_it,1,0)+Sens!D8449*IF(Sens!K8442-Sens!D8442=life_it,1,0)+Sens!E8449*IF(Sens!K8442-Sens!E8442=life_it,1,0)+Sens!F8449*IF(Sens!K8442-Sens!F8442=life_it,1,0)+Sens!G8449*IF(Sens!K8442-Sens!G8442=life_it,1,0)+Sens!H8449*IF(Sens!K8442-Sens!H8442=life_it,1,0)+Sens!I8449*IF(Sens!K8442-Sens!I8442=life_it,1,0)+Sens!J8449*IF(Sens!K8442-Sens!J8442=life_it,1,0)</f>
        <v>2450</v>
      </c>
      <c r="L8468" s="1" t="s">
        <v>834</v>
      </c>
    </row>
    <row r="8469" customFormat="false" ht="17.15" hidden="false" customHeight="false" outlineLevel="0" collapsed="false">
      <c r="A8469" s="0" t="s">
        <v>835</v>
      </c>
      <c r="B8469" s="0" t="s">
        <v>98</v>
      </c>
      <c r="C8469" s="6" t="n">
        <f aca="false">Sens!C8449*Sens!C8467/1000</f>
        <v>22.5333845916667</v>
      </c>
      <c r="D8469" s="6" t="n">
        <f aca="false">Sens!D8449*Sens!D8467/1000</f>
        <v>34.0300093833333</v>
      </c>
      <c r="E8469" s="6" t="n">
        <f aca="false">Sens!E8449*Sens!E8467/1000</f>
        <v>67.600153775</v>
      </c>
      <c r="F8469" s="6" t="n">
        <f aca="false">(Sens!F8449+Sens!F8468)*Sens!F8467/1000</f>
        <v>130.923271871467</v>
      </c>
      <c r="G8469" s="6" t="n">
        <f aca="false">(Sens!G8449+Sens!G8468)*Sens!G8467/1000</f>
        <v>151.5545564832</v>
      </c>
      <c r="H8469" s="6" t="n">
        <f aca="false">(Sens!H8449+Sens!H8468)*Sens!H8467/1000</f>
        <v>156.0606619104</v>
      </c>
      <c r="I8469" s="6" t="n">
        <f aca="false">(Sens!I8449+Sens!I8468)*Sens!I8467/1000</f>
        <v>140.987889434245</v>
      </c>
      <c r="J8469" s="6" t="n">
        <f aca="false">(Sens!J8449+Sens!J8468)*Sens!J8467/1000</f>
        <v>111.094541278091</v>
      </c>
      <c r="K8469" s="6" t="n">
        <f aca="false">(Sens!K8449+Sens!K8468)*Sens!K8467/1000</f>
        <v>110.842344481936</v>
      </c>
    </row>
    <row r="8470" customFormat="false" ht="17.15" hidden="false" customHeight="false" outlineLevel="0" collapsed="false">
      <c r="A8470" s="0" t="s">
        <v>836</v>
      </c>
      <c r="B8470" s="0" t="s">
        <v>98</v>
      </c>
      <c r="C8470" s="6" t="n">
        <f aca="false">Sens!C8449*self_build*tk_cxfac/1000</f>
        <v>6.2083</v>
      </c>
      <c r="D8470" s="6" t="n">
        <f aca="false">Sens!D8449*self_build*tk_cxfac/1000</f>
        <v>9.3758</v>
      </c>
      <c r="E8470" s="6" t="n">
        <f aca="false">Sens!E8449*self_build*tk_cxfac/1000</f>
        <v>18.6249</v>
      </c>
      <c r="F8470" s="6" t="n">
        <f aca="false">Sens!F8449*self_build*tk_cxfac/1000</f>
        <v>29.409604</v>
      </c>
      <c r="G8470" s="6" t="n">
        <f aca="false">Sens!G8449*self_build*tk_cxfac/1000</f>
        <v>32.019624</v>
      </c>
      <c r="H8470" s="6" t="n">
        <f aca="false">Sens!H8449*self_build*tk_cxfac/1000</f>
        <v>32.019624</v>
      </c>
      <c r="I8470" s="6" t="n">
        <f aca="false">Sens!I8449*self_build*tk_cxfac/1000</f>
        <v>22.71877972</v>
      </c>
      <c r="J8470" s="6" t="n">
        <f aca="false">Sens!J8449*self_build*tk_cxfac/1000</f>
        <v>13.41793544</v>
      </c>
      <c r="K8470" s="6" t="n">
        <f aca="false">Sens!K8449*self_build*tk_cxfac/1000</f>
        <v>4.11709116000001</v>
      </c>
    </row>
    <row r="8471" customFormat="false" ht="17.15" hidden="false" customHeight="false" outlineLevel="0" collapsed="false">
      <c r="A8471" s="0" t="s">
        <v>837</v>
      </c>
      <c r="B8471" s="0" t="s">
        <v>98</v>
      </c>
      <c r="F8471" s="6" t="n">
        <f aca="false">MAX(0,capex_floor27-Sens!F8469-Sens!F8470-Sens!F8564)</f>
        <v>8.33893890759241</v>
      </c>
      <c r="L8471" s="1" t="s">
        <v>838</v>
      </c>
    </row>
    <row r="8472" customFormat="false" ht="17.15" hidden="false" customHeight="false" outlineLevel="0" collapsed="false">
      <c r="A8472" s="0" t="s">
        <v>839</v>
      </c>
      <c r="B8472" s="0" t="s">
        <v>98</v>
      </c>
      <c r="C8472" s="6" t="n">
        <f aca="false">Sens!C8469</f>
        <v>22.5333845916667</v>
      </c>
      <c r="D8472" s="6" t="n">
        <f aca="false">Sens!D8469</f>
        <v>34.0300093833333</v>
      </c>
      <c r="E8472" s="6" t="n">
        <f aca="false">Sens!E8469</f>
        <v>67.600153775</v>
      </c>
      <c r="F8472" s="6" t="n">
        <f aca="false">Sens!F8469+Sens!F8471</f>
        <v>139.262210779059</v>
      </c>
      <c r="G8472" s="6" t="n">
        <f aca="false">Sens!G8469</f>
        <v>151.5545564832</v>
      </c>
      <c r="H8472" s="6" t="n">
        <f aca="false">Sens!H8469</f>
        <v>156.0606619104</v>
      </c>
      <c r="I8472" s="6" t="n">
        <f aca="false">Sens!I8469</f>
        <v>140.987889434245</v>
      </c>
      <c r="J8472" s="6" t="n">
        <f aca="false">Sens!J8469</f>
        <v>111.094541278091</v>
      </c>
      <c r="K8472" s="6" t="n">
        <f aca="false">Sens!K8469</f>
        <v>110.842344481936</v>
      </c>
    </row>
    <row r="8473" customFormat="false" ht="17.15" hidden="false" customHeight="false" outlineLevel="0" collapsed="false">
      <c r="A8473" s="0" t="s">
        <v>840</v>
      </c>
      <c r="B8473" s="0" t="s">
        <v>98</v>
      </c>
      <c r="C8473" s="6" t="n">
        <f aca="false">Sens!C8472+Sens!C8470</f>
        <v>28.7416845916667</v>
      </c>
      <c r="D8473" s="6" t="n">
        <f aca="false">Sens!D8472+Sens!D8470</f>
        <v>43.4058093833333</v>
      </c>
      <c r="E8473" s="6" t="n">
        <f aca="false">Sens!E8472+Sens!E8470</f>
        <v>86.225053775</v>
      </c>
      <c r="F8473" s="6" t="n">
        <f aca="false">Sens!F8472+Sens!F8470</f>
        <v>168.671814779059</v>
      </c>
      <c r="G8473" s="6" t="n">
        <f aca="false">Sens!G8472+Sens!G8470</f>
        <v>183.5741804832</v>
      </c>
      <c r="H8473" s="6" t="n">
        <f aca="false">Sens!H8472+Sens!H8470</f>
        <v>188.0802859104</v>
      </c>
      <c r="I8473" s="6" t="n">
        <f aca="false">Sens!I8472+Sens!I8470</f>
        <v>163.706669154245</v>
      </c>
      <c r="J8473" s="6" t="n">
        <f aca="false">Sens!J8472+Sens!J8470</f>
        <v>124.51247671809</v>
      </c>
      <c r="K8473" s="6" t="n">
        <f aca="false">Sens!K8472+Sens!K8470</f>
        <v>114.959435641936</v>
      </c>
      <c r="L8473" s="11" t="s">
        <v>841</v>
      </c>
    </row>
    <row r="8474" customFormat="false" ht="17.15" hidden="false" customHeight="false" outlineLevel="0" collapsed="false">
      <c r="A8474" s="0" t="s">
        <v>842</v>
      </c>
      <c r="B8474" s="0" t="s">
        <v>98</v>
      </c>
      <c r="E8474" s="6" t="n">
        <f aca="false">(Sens!C8472*IF(2&lt;life_it,1,IF(2=life_it,0.5,0))+Sens!D8472*IF(1&lt;life_it,1,IF(1=life_it,0.5,0))+Sens!E8472*0.5)/life_it</f>
        <v>15.0605784770833</v>
      </c>
      <c r="F8474" s="6" t="n">
        <f aca="false">(Sens!C8472*IF(3&lt;life_it,1,IF(3=life_it,0.5,0))+Sens!D8472*IF(2&lt;life_it,1,IF(2=life_it,0.5,0))+Sens!E8472*IF(1&lt;life_it,1,IF(1=life_it,0.5,0))+Sens!F8472*0.5)/life_it</f>
        <v>32.2991088565883</v>
      </c>
      <c r="G8474" s="6" t="n">
        <f aca="false">(Sens!C8472*IF(4&lt;life_it,1,IF(4=life_it,0.5,0))+Sens!D8472*IF(3&lt;life_it,1,IF(3=life_it,0.5,0))+Sens!E8472*IF(2&lt;life_it,1,IF(2=life_it,0.5,0))+Sens!F8472*IF(1&lt;life_it,1,IF(1=life_it,0.5,0))+Sens!G8472*0.5)/life_it</f>
        <v>56.5338394617765</v>
      </c>
      <c r="H8474" s="6" t="n">
        <f aca="false">(Sens!C8472*IF(5&lt;life_it,1,IF(5=life_it,0.5,0))+Sens!D8472*IF(4&lt;life_it,1,IF(4=life_it,0.5,0))+Sens!E8472*IF(3&lt;life_it,1,IF(3=life_it,0.5,0))+Sens!F8472*IF(2&lt;life_it,1,IF(2=life_it,0.5,0))+Sens!G8472*IF(1&lt;life_it,1,IF(1=life_it,0.5,0))+Sens!H8472*0.5)/life_it</f>
        <v>82.1684409945765</v>
      </c>
      <c r="I8474" s="6" t="n">
        <f aca="false">(Sens!C8472*IF(6&lt;life_it,1,IF(6=life_it,0.5,0))+Sens!D8472*IF(5&lt;life_it,1,IF(5=life_it,0.5,0))+Sens!E8472*IF(4&lt;life_it,1,IF(4=life_it,0.5,0))+Sens!F8472*IF(3&lt;life_it,1,IF(3=life_it,0.5,0))+Sens!G8472*IF(2&lt;life_it,1,IF(2=life_it,0.5,0))+Sens!H8472*IF(1&lt;life_it,1,IF(1=life_it,0.5,0))+Sens!I8472*0.5)/life_it</f>
        <v>105.044704890658</v>
      </c>
      <c r="J8474" s="6" t="n">
        <f aca="false">(Sens!C8472*IF(7&lt;life_it,1,IF(7=life_it,0.5,0))+Sens!D8472*IF(6&lt;life_it,1,IF(6=life_it,0.5,0))+Sens!E8472*IF(5&lt;life_it,1,IF(5=life_it,0.5,0))+Sens!F8472*IF(4&lt;life_it,1,IF(4=life_it,0.5,0))+Sens!G8472*IF(3&lt;life_it,1,IF(3=life_it,0.5,0))+Sens!H8472*IF(2&lt;life_it,1,IF(2=life_it,0.5,0))+Sens!I8472*IF(1&lt;life_it,1,IF(1=life_it,0.5,0))+Sens!J8472*0.5)/life_it</f>
        <v>121.337957952103</v>
      </c>
      <c r="K8474" s="6" t="n">
        <f aca="false">(Sens!C8472*IF(8&lt;life_it,1,IF(8=life_it,0.5,0))+Sens!D8472*IF(7&lt;life_it,1,IF(7=life_it,0.5,0))+Sens!E8472*IF(6&lt;life_it,1,IF(6=life_it,0.5,0))+Sens!F8472*IF(5&lt;life_it,1,IF(5=life_it,0.5,0))+Sens!G8472*IF(4&lt;life_it,1,IF(4=life_it,0.5,0))+Sens!H8472*IF(3&lt;life_it,1,IF(3=life_it,0.5,0))+Sens!I8472*IF(2&lt;life_it,1,IF(2=life_it,0.5,0))+Sens!J8472*IF(1&lt;life_it,1,IF(1=life_it,0.5,0))+Sens!K8472*0.5)/life_it</f>
        <v>131.36351816891</v>
      </c>
    </row>
    <row r="8475" customFormat="false" ht="17.15" hidden="false" customHeight="false" outlineLevel="0" collapsed="false">
      <c r="A8475" s="0" t="s">
        <v>843</v>
      </c>
      <c r="B8475" s="0" t="s">
        <v>98</v>
      </c>
      <c r="E8475" s="6" t="n">
        <f aca="false">(Sens!C8470*IF(2&lt;life_fac,1,IF(2=life_fac,0.5,0))+Sens!D8470*IF(1&lt;life_fac,1,IF(1=life_fac,0.5,0))+Sens!E8470*0.5)/life_fac</f>
        <v>1.2448275</v>
      </c>
      <c r="F8475" s="6" t="n">
        <f aca="false">(Sens!C8470*IF(3&lt;life_fac,1,IF(3=life_fac,0.5,0))+Sens!D8470*IF(2&lt;life_fac,1,IF(2=life_fac,0.5,0))+Sens!E8470*IF(1&lt;life_fac,1,IF(1=life_fac,0.5,0))+Sens!F8470*0.5)/life_fac</f>
        <v>2.4456901</v>
      </c>
      <c r="G8475" s="6" t="n">
        <f aca="false">(Sens!C8470*IF(4&lt;life_fac,1,IF(4=life_fac,0.5,0))+Sens!D8470*IF(3&lt;life_fac,1,IF(3=life_fac,0.5,0))+Sens!E8470*IF(2&lt;life_fac,1,IF(2=life_fac,0.5,0))+Sens!F8470*IF(1&lt;life_fac,1,IF(1=life_fac,0.5,0))+Sens!G8470*0.5)/life_fac</f>
        <v>3.9814208</v>
      </c>
      <c r="H8475" s="6" t="n">
        <f aca="false">(Sens!C8470*IF(5&lt;life_fac,1,IF(5=life_fac,0.5,0))+Sens!D8470*IF(4&lt;life_fac,1,IF(4=life_fac,0.5,0))+Sens!E8470*IF(3&lt;life_fac,1,IF(3=life_fac,0.5,0))+Sens!F8470*IF(2&lt;life_fac,1,IF(2=life_fac,0.5,0))+Sens!G8470*IF(1&lt;life_fac,1,IF(1=life_fac,0.5,0))+Sens!H8470*0.5)/life_fac</f>
        <v>5.582402</v>
      </c>
      <c r="I8475" s="6" t="n">
        <f aca="false">(Sens!C8470*IF(6&lt;life_fac,1,IF(6=life_fac,0.5,0))+Sens!D8470*IF(5&lt;life_fac,1,IF(5=life_fac,0.5,0))+Sens!E8470*IF(4&lt;life_fac,1,IF(4=life_fac,0.5,0))+Sens!F8470*IF(3&lt;life_fac,1,IF(3=life_fac,0.5,0))+Sens!G8470*IF(2&lt;life_fac,1,IF(2=life_fac,0.5,0))+Sens!H8470*IF(1&lt;life_fac,1,IF(1=life_fac,0.5,0))+Sens!I8470*0.5)/life_fac</f>
        <v>6.950862093</v>
      </c>
      <c r="J8475" s="6" t="n">
        <f aca="false">(Sens!C8470*IF(7&lt;life_fac,1,IF(7=life_fac,0.5,0))+Sens!D8470*IF(6&lt;life_fac,1,IF(6=life_fac,0.5,0))+Sens!E8470*IF(5&lt;life_fac,1,IF(5=life_fac,0.5,0))+Sens!F8470*IF(4&lt;life_fac,1,IF(4=life_fac,0.5,0))+Sens!G8470*IF(3&lt;life_fac,1,IF(3=life_fac,0.5,0))+Sens!H8470*IF(2&lt;life_fac,1,IF(2=life_fac,0.5,0))+Sens!I8470*IF(1&lt;life_fac,1,IF(1=life_fac,0.5,0))+Sens!J8470*0.5)/life_fac</f>
        <v>7.854279972</v>
      </c>
      <c r="K8475" s="6" t="n">
        <f aca="false">(Sens!C8470*IF(8&lt;life_fac,1,IF(8=life_fac,0.5,0))+Sens!D8470*IF(7&lt;life_fac,1,IF(7=life_fac,0.5,0))+Sens!E8470*IF(6&lt;life_fac,1,IF(6=life_fac,0.5,0))+Sens!F8470*IF(5&lt;life_fac,1,IF(5=life_fac,0.5,0))+Sens!G8470*IF(4&lt;life_fac,1,IF(4=life_fac,0.5,0))+Sens!H8470*IF(3&lt;life_fac,1,IF(3=life_fac,0.5,0))+Sens!I8470*IF(2&lt;life_fac,1,IF(2=life_fac,0.5,0))+Sens!J8470*IF(1&lt;life_fac,1,IF(1=life_fac,0.5,0))+Sens!K8470*0.5)/life_fac</f>
        <v>8.292655637</v>
      </c>
    </row>
    <row r="8476" customFormat="false" ht="17.15" hidden="false" customHeight="false" outlineLevel="0" collapsed="false">
      <c r="A8476" s="0" t="s">
        <v>844</v>
      </c>
      <c r="B8476" s="0" t="s">
        <v>98</v>
      </c>
      <c r="E8476" s="6" t="n">
        <f aca="false">Sens!E8474+Sens!E8475</f>
        <v>16.3054059770833</v>
      </c>
      <c r="F8476" s="6" t="n">
        <f aca="false">Sens!F8474+Sens!F8475</f>
        <v>34.7447989565883</v>
      </c>
      <c r="G8476" s="6" t="n">
        <f aca="false">Sens!G8474+Sens!G8475</f>
        <v>60.5152602617765</v>
      </c>
      <c r="H8476" s="6" t="n">
        <f aca="false">Sens!H8474+Sens!H8475</f>
        <v>87.7508429945765</v>
      </c>
      <c r="I8476" s="6" t="n">
        <f aca="false">Sens!I8474+Sens!I8475</f>
        <v>111.995566983658</v>
      </c>
      <c r="J8476" s="6" t="n">
        <f aca="false">Sens!J8474+Sens!J8475</f>
        <v>129.192237924103</v>
      </c>
      <c r="K8476" s="6" t="n">
        <f aca="false">Sens!K8474+Sens!K8475</f>
        <v>139.65617380591</v>
      </c>
    </row>
    <row r="8477" customFormat="false" ht="17.15" hidden="false" customHeight="false" outlineLevel="0" collapsed="false">
      <c r="A8477" s="0" t="s">
        <v>845</v>
      </c>
      <c r="B8477" s="0" t="s">
        <v>98</v>
      </c>
      <c r="E8477" s="6" t="n">
        <f aca="false">Sens!E8465-Sens!E8464*Sens!E8476</f>
        <v>8.92707889977379</v>
      </c>
      <c r="F8477" s="6" t="n">
        <f aca="false">Sens!F8465-Sens!F8464*Sens!F8476</f>
        <v>14.210466188589</v>
      </c>
      <c r="G8477" s="6" t="n">
        <f aca="false">Sens!G8465-Sens!G8464*Sens!G8476</f>
        <v>15.9413410142212</v>
      </c>
      <c r="H8477" s="6" t="n">
        <f aca="false">Sens!H8465-Sens!H8464*Sens!H8476</f>
        <v>12.6291640542811</v>
      </c>
      <c r="I8477" s="6" t="n">
        <f aca="false">Sens!I8465-Sens!I8464*Sens!I8476</f>
        <v>16.07295944626</v>
      </c>
      <c r="J8477" s="6" t="n">
        <f aca="false">Sens!J8465-Sens!J8464*Sens!J8476</f>
        <v>18.4322316850177</v>
      </c>
      <c r="K8477" s="6" t="n">
        <f aca="false">Sens!K8465-Sens!K8464*Sens!K8476</f>
        <v>20.3894092256541</v>
      </c>
    </row>
    <row r="8478" customFormat="false" ht="17.15" hidden="false" customHeight="false" outlineLevel="0" collapsed="false">
      <c r="A8478" s="3" t="s">
        <v>1455</v>
      </c>
    </row>
    <row r="8479" customFormat="false" ht="15" hidden="false" customHeight="false" outlineLevel="0" collapsed="false">
      <c r="A8479" s="4" t="s">
        <v>43</v>
      </c>
      <c r="B8479" s="4" t="s">
        <v>65</v>
      </c>
      <c r="C8479" s="20" t="s">
        <v>788</v>
      </c>
      <c r="D8479" s="20" t="s">
        <v>789</v>
      </c>
      <c r="E8479" s="20" t="s">
        <v>790</v>
      </c>
      <c r="F8479" s="20" t="s">
        <v>791</v>
      </c>
      <c r="G8479" s="20" t="s">
        <v>792</v>
      </c>
      <c r="H8479" s="20" t="s">
        <v>793</v>
      </c>
      <c r="I8479" s="20" t="s">
        <v>794</v>
      </c>
      <c r="J8479" s="20" t="s">
        <v>795</v>
      </c>
      <c r="K8479" s="20" t="s">
        <v>796</v>
      </c>
      <c r="L8479" s="4" t="s">
        <v>47</v>
      </c>
    </row>
    <row r="8480" customFormat="false" ht="17.15" hidden="false" customHeight="false" outlineLevel="0" collapsed="false">
      <c r="A8480" s="0" t="s">
        <v>864</v>
      </c>
      <c r="B8480" s="0" t="s">
        <v>98</v>
      </c>
      <c r="D8480" s="6" t="n">
        <f aca="false">Sens!D8459</f>
        <v>12.9359794422418</v>
      </c>
      <c r="E8480" s="6" t="n">
        <f aca="false">Sens!E8459</f>
        <v>27.8095064661409</v>
      </c>
      <c r="F8480" s="6" t="n">
        <f aca="false">Sens!F8459</f>
        <v>50.6619113883066</v>
      </c>
      <c r="G8480" s="6" t="n">
        <f aca="false">Sens!G8459</f>
        <v>75.1482839325348</v>
      </c>
      <c r="H8480" s="6" t="n">
        <f aca="false">Sens!H8459</f>
        <v>94.895655604042</v>
      </c>
      <c r="I8480" s="6" t="n">
        <f aca="false">Sens!I8459</f>
        <v>118.706168884151</v>
      </c>
      <c r="J8480" s="6" t="n">
        <f aca="false">Sens!J8459</f>
        <v>135.305203646001</v>
      </c>
      <c r="K8480" s="6" t="n">
        <f aca="false">Sens!K8459</f>
        <v>145.64537766421</v>
      </c>
    </row>
    <row r="8481" customFormat="false" ht="17.15" hidden="false" customHeight="false" outlineLevel="0" collapsed="false">
      <c r="A8481" s="0" t="s">
        <v>865</v>
      </c>
      <c r="B8481" s="0" t="s">
        <v>98</v>
      </c>
      <c r="D8481" s="6" t="n">
        <f aca="false">Q!L6-Sens!D8480</f>
        <v>59.6740205577583</v>
      </c>
      <c r="E8481" s="6" t="n">
        <f aca="false">Q!M6-Sens!E8480</f>
        <v>74.1284935338591</v>
      </c>
      <c r="F8481" s="6" t="n">
        <f aca="false">Sens!E8481*(1+Sens!F8482)</f>
        <v>90.5741396942587</v>
      </c>
      <c r="G8481" s="6" t="n">
        <f aca="false">Sens!F8481*(1+Sens!G8482)</f>
        <v>108.823251828521</v>
      </c>
      <c r="H8481" s="6" t="n">
        <f aca="false">Sens!G8481*(1+Sens!H8482)</f>
        <v>128.532442249697</v>
      </c>
      <c r="I8481" s="6" t="n">
        <f aca="false">Sens!H8481*(1+Sens!I8482)</f>
        <v>149.192913382446</v>
      </c>
      <c r="J8481" s="6" t="n">
        <f aca="false">Sens!I8481*(1+Sens!J8482)</f>
        <v>170.135219187612</v>
      </c>
      <c r="K8481" s="6" t="n">
        <f aca="false">Sens!J8481*(1+Sens!K8482)</f>
        <v>190.551445490125</v>
      </c>
    </row>
    <row r="8482" customFormat="false" ht="15" hidden="false" customHeight="false" outlineLevel="0" collapsed="false">
      <c r="A8482" s="1" t="s">
        <v>866</v>
      </c>
      <c r="B8482" s="0" t="s">
        <v>129</v>
      </c>
      <c r="E8482" s="7" t="n">
        <f aca="false">Sens!E8481/Sens!D8481-1</f>
        <v>0.242223883039864</v>
      </c>
      <c r="F8482" s="7" t="n">
        <f aca="false">Sens!$E$8482+(glt_azo_hi-Sens!$E$8482)*MIN(1,(Sens!F8442-base_fy)/n_conv)</f>
        <v>0.221853235866554</v>
      </c>
      <c r="G8482" s="7" t="n">
        <f aca="false">Sens!$E$8482+(glt_azo_hi-Sens!$E$8482)*MIN(1,(Sens!G8442-base_fy)/n_conv)</f>
        <v>0.201482588693243</v>
      </c>
      <c r="H8482" s="7" t="n">
        <f aca="false">Sens!$E$8482+(glt_azo_hi-Sens!$E$8482)*MIN(1,(Sens!H8442-base_fy)/n_conv)</f>
        <v>0.181111941519932</v>
      </c>
      <c r="I8482" s="7" t="n">
        <f aca="false">Sens!$E$8482+(glt_azo_hi-Sens!$E$8482)*MIN(1,(Sens!I8442-base_fy)/n_conv)</f>
        <v>0.160741294346622</v>
      </c>
      <c r="J8482" s="7" t="n">
        <f aca="false">Sens!$E$8482+(glt_azo_hi-Sens!$E$8482)*MIN(1,(Sens!J8442-base_fy)/n_conv)</f>
        <v>0.140370647173311</v>
      </c>
      <c r="K8482" s="7" t="n">
        <f aca="false">Sens!$E$8482+(glt_azo_hi-Sens!$E$8482)*MIN(1,(Sens!K8442-base_fy)/n_conv)</f>
        <v>0.12</v>
      </c>
    </row>
    <row r="8483" customFormat="false" ht="15" hidden="false" customHeight="false" outlineLevel="0" collapsed="false">
      <c r="A8483" s="0" t="s">
        <v>867</v>
      </c>
      <c r="B8483" s="0" t="s">
        <v>98</v>
      </c>
      <c r="D8483" s="6" t="n">
        <f aca="false">Sens!D8480+Sens!D8481</f>
        <v>72.61</v>
      </c>
      <c r="E8483" s="6" t="n">
        <f aca="false">Sens!E8480+Sens!E8481</f>
        <v>101.938</v>
      </c>
      <c r="F8483" s="6" t="n">
        <f aca="false">Sens!F8480+Sens!F8481</f>
        <v>141.236051082565</v>
      </c>
      <c r="G8483" s="6" t="n">
        <f aca="false">Sens!G8480+Sens!G8481</f>
        <v>183.971535761056</v>
      </c>
      <c r="H8483" s="6" t="n">
        <f aca="false">Sens!H8480+Sens!H8481</f>
        <v>223.428097853739</v>
      </c>
      <c r="I8483" s="6" t="n">
        <f aca="false">Sens!I8480+Sens!I8481</f>
        <v>267.899082266598</v>
      </c>
      <c r="J8483" s="6" t="n">
        <f aca="false">Sens!J8480+Sens!J8481</f>
        <v>305.440422833613</v>
      </c>
      <c r="K8483" s="6" t="n">
        <f aca="false">Sens!K8480+Sens!K8481</f>
        <v>336.196823154335</v>
      </c>
    </row>
    <row r="8484" customFormat="false" ht="17.15" hidden="false" customHeight="false" outlineLevel="0" collapsed="false">
      <c r="A8484" s="0" t="s">
        <v>868</v>
      </c>
      <c r="B8484" s="1" t="s">
        <v>521</v>
      </c>
      <c r="C8484" s="29" t="n">
        <f aca="false">cop_s24</f>
        <v>1</v>
      </c>
      <c r="D8484" s="29" t="n">
        <f aca="false">cop_s25</f>
        <v>5</v>
      </c>
      <c r="E8484" s="29" t="n">
        <f aca="false">cop_s26</f>
        <v>30</v>
      </c>
      <c r="F8484" s="29" t="n">
        <f aca="false">Sens!E8484+cop_add_C</f>
        <v>40</v>
      </c>
      <c r="G8484" s="29" t="n">
        <f aca="false">Sens!F8484+cop_add_C</f>
        <v>50</v>
      </c>
      <c r="H8484" s="29" t="n">
        <f aca="false">Sens!G8484+cop_add_C</f>
        <v>60</v>
      </c>
      <c r="I8484" s="29" t="n">
        <f aca="false">Sens!H8484+cop_add_C*cop_tail</f>
        <v>65</v>
      </c>
      <c r="J8484" s="29" t="n">
        <f aca="false">Sens!I8484+cop_add_C*cop_tail</f>
        <v>70</v>
      </c>
      <c r="K8484" s="29" t="n">
        <f aca="false">Sens!J8484+cop_add_C*cop_tail</f>
        <v>75</v>
      </c>
      <c r="L8484" s="11" t="s">
        <v>869</v>
      </c>
    </row>
    <row r="8485" customFormat="false" ht="17.15" hidden="false" customHeight="false" outlineLevel="0" collapsed="false">
      <c r="A8485" s="0" t="s">
        <v>870</v>
      </c>
      <c r="B8485" s="0" t="s">
        <v>98</v>
      </c>
      <c r="D8485" s="6" t="n">
        <f aca="false">(Sens!C8484+Sens!D8484)/2*cop_px*12/1000</f>
        <v>0.9</v>
      </c>
      <c r="E8485" s="6" t="n">
        <f aca="false">(Sens!D8484+Sens!E8484)/2*cop_px*12/1000</f>
        <v>5.25</v>
      </c>
      <c r="F8485" s="6" t="n">
        <f aca="false">(Sens!E8484+Sens!F8484)/2*cop_px*12/1000</f>
        <v>10.5</v>
      </c>
      <c r="G8485" s="6" t="n">
        <f aca="false">(Sens!F8484+Sens!G8484)/2*cop_px*12/1000</f>
        <v>13.5</v>
      </c>
      <c r="H8485" s="6" t="n">
        <f aca="false">(Sens!G8484+Sens!H8484)/2*cop_px*12/1000</f>
        <v>16.5</v>
      </c>
      <c r="I8485" s="6" t="n">
        <f aca="false">(Sens!H8484+Sens!I8484)/2*cop_px*12/1000</f>
        <v>18.75</v>
      </c>
      <c r="J8485" s="6" t="n">
        <f aca="false">(Sens!I8484+Sens!J8484)/2*cop_px*12/1000</f>
        <v>20.25</v>
      </c>
      <c r="K8485" s="6" t="n">
        <f aca="false">(Sens!J8484+Sens!K8484)/2*cop_px*12/1000</f>
        <v>21.75</v>
      </c>
      <c r="L8485" s="1" t="s">
        <v>871</v>
      </c>
    </row>
    <row r="8486" customFormat="false" ht="17.15" hidden="false" customHeight="false" outlineLevel="0" collapsed="false">
      <c r="A8486" s="0" t="s">
        <v>872</v>
      </c>
      <c r="B8486" s="0" t="s">
        <v>98</v>
      </c>
      <c r="D8486" s="6" t="n">
        <f aca="false">Q!L7-Sens!D8485</f>
        <v>83.705</v>
      </c>
      <c r="E8486" s="6" t="n">
        <f aca="false">Q!M7-Sens!E8485</f>
        <v>95.049</v>
      </c>
      <c r="F8486" s="6" t="n">
        <f aca="false">Sens!E8486*(1+Sens!F8487)</f>
        <v>106.89238776686</v>
      </c>
      <c r="G8486" s="6" t="n">
        <f aca="false">Sens!F8486*(1+Sens!G8487)</f>
        <v>119.044168448684</v>
      </c>
      <c r="H8486" s="6" t="n">
        <f aca="false">Sens!G8486*(1+Sens!H8487)</f>
        <v>131.277359388781</v>
      </c>
      <c r="I8486" s="6" t="n">
        <f aca="false">Sens!H8486*(1+Sens!I8487)</f>
        <v>143.334028071957</v>
      </c>
      <c r="J8486" s="6" t="n">
        <f aca="false">Sens!I8486*(1+Sens!J8487)</f>
        <v>154.932702785465</v>
      </c>
      <c r="K8486" s="6" t="n">
        <f aca="false">Sens!J8486*(1+Sens!K8487)</f>
        <v>165.777991980448</v>
      </c>
    </row>
    <row r="8487" customFormat="false" ht="15" hidden="false" customHeight="false" outlineLevel="0" collapsed="false">
      <c r="A8487" s="1" t="s">
        <v>866</v>
      </c>
      <c r="B8487" s="0" t="s">
        <v>129</v>
      </c>
      <c r="E8487" s="7" t="n">
        <f aca="false">Sens!E8486/Sens!D8486-1</f>
        <v>0.135523564900544</v>
      </c>
      <c r="F8487" s="7" t="n">
        <f aca="false">Sens!$E$8487+(glt_m365b-Sens!$E$8487)*MIN(1,(Sens!F8442-base_fy)/n_conv)</f>
        <v>0.124602970750453</v>
      </c>
      <c r="G8487" s="7" t="n">
        <f aca="false">Sens!$E$8487+(glt_m365b-Sens!$E$8487)*MIN(1,(Sens!G8442-base_fy)/n_conv)</f>
        <v>0.113682376600363</v>
      </c>
      <c r="H8487" s="7" t="n">
        <f aca="false">Sens!$E$8487+(glt_m365b-Sens!$E$8487)*MIN(1,(Sens!H8442-base_fy)/n_conv)</f>
        <v>0.102761782450272</v>
      </c>
      <c r="I8487" s="7" t="n">
        <f aca="false">Sens!$E$8487+(glt_m365b-Sens!$E$8487)*MIN(1,(Sens!I8442-base_fy)/n_conv)</f>
        <v>0.0918411883001813</v>
      </c>
      <c r="J8487" s="7" t="n">
        <f aca="false">Sens!$E$8487+(glt_m365b-Sens!$E$8487)*MIN(1,(Sens!J8442-base_fy)/n_conv)</f>
        <v>0.0809205941500906</v>
      </c>
      <c r="K8487" s="7" t="n">
        <f aca="false">Sens!$E$8487+(glt_m365b-Sens!$E$8487)*MIN(1,(Sens!K8442-base_fy)/n_conv)</f>
        <v>0.07</v>
      </c>
    </row>
    <row r="8488" customFormat="false" ht="15" hidden="false" customHeight="false" outlineLevel="0" collapsed="false">
      <c r="A8488" s="0" t="s">
        <v>873</v>
      </c>
      <c r="B8488" s="0" t="s">
        <v>98</v>
      </c>
      <c r="D8488" s="6" t="n">
        <f aca="false">Sens!D8486+Sens!D8485</f>
        <v>84.605</v>
      </c>
      <c r="E8488" s="6" t="n">
        <f aca="false">Sens!E8486+Sens!E8485</f>
        <v>100.299</v>
      </c>
      <c r="F8488" s="6" t="n">
        <f aca="false">Sens!F8486+Sens!F8485</f>
        <v>117.39238776686</v>
      </c>
      <c r="G8488" s="6" t="n">
        <f aca="false">Sens!G8486+Sens!G8485</f>
        <v>132.544168448684</v>
      </c>
      <c r="H8488" s="6" t="n">
        <f aca="false">Sens!H8486+Sens!H8485</f>
        <v>147.777359388781</v>
      </c>
      <c r="I8488" s="6" t="n">
        <f aca="false">Sens!I8486+Sens!I8485</f>
        <v>162.084028071957</v>
      </c>
      <c r="J8488" s="6" t="n">
        <f aca="false">Sens!J8486+Sens!J8485</f>
        <v>175.182702785465</v>
      </c>
      <c r="K8488" s="6" t="n">
        <f aca="false">Sens!K8486+Sens!K8485</f>
        <v>187.527991980448</v>
      </c>
    </row>
    <row r="8489" customFormat="false" ht="15" hidden="false" customHeight="false" outlineLevel="0" collapsed="false">
      <c r="A8489" s="0" t="s">
        <v>874</v>
      </c>
      <c r="B8489" s="0" t="s">
        <v>98</v>
      </c>
      <c r="D8489" s="6" t="n">
        <f aca="false">Q!L8</f>
        <v>35.391</v>
      </c>
      <c r="E8489" s="6" t="n">
        <f aca="false">Q!M8</f>
        <v>37.285</v>
      </c>
      <c r="F8489" s="6" t="n">
        <f aca="false">Sens!E8489*(1+Sens!F8490)</f>
        <v>39.0720834331704</v>
      </c>
      <c r="G8489" s="6" t="n">
        <f aca="false">Sens!F8489*(1+Sens!G8490)</f>
        <v>40.726562953769</v>
      </c>
      <c r="H8489" s="6" t="n">
        <f aca="false">Sens!G8489*(1+Sens!H8490)</f>
        <v>42.2235987259198</v>
      </c>
      <c r="I8489" s="6" t="n">
        <f aca="false">Sens!H8489*(1+Sens!I8490)</f>
        <v>43.5397988077414</v>
      </c>
      <c r="J8489" s="6" t="n">
        <f aca="false">Sens!I8489*(1+Sens!J8490)</f>
        <v>44.653811225693</v>
      </c>
      <c r="K8489" s="6" t="n">
        <f aca="false">Sens!J8489*(1+Sens!K8490)</f>
        <v>45.5468874502068</v>
      </c>
    </row>
    <row r="8490" customFormat="false" ht="15" hidden="false" customHeight="false" outlineLevel="0" collapsed="false">
      <c r="A8490" s="1" t="s">
        <v>866</v>
      </c>
      <c r="B8490" s="0" t="s">
        <v>129</v>
      </c>
      <c r="E8490" s="7" t="n">
        <f aca="false">Sens!E8489/Sens!D8489-1</f>
        <v>0.0535164307309768</v>
      </c>
      <c r="F8490" s="7" t="n">
        <f aca="false">Sens!$E$8490+(glt_lic-Sens!$E$8490)*MIN(1,(Sens!F8442-base_fy)/n_conv)</f>
        <v>0.0479303589424807</v>
      </c>
      <c r="G8490" s="7" t="n">
        <f aca="false">Sens!$E$8490+(glt_lic-Sens!$E$8490)*MIN(1,(Sens!G8442-base_fy)/n_conv)</f>
        <v>0.0423442871539845</v>
      </c>
      <c r="H8490" s="7" t="n">
        <f aca="false">Sens!$E$8490+(glt_lic-Sens!$E$8490)*MIN(1,(Sens!H8442-base_fy)/n_conv)</f>
        <v>0.0367582153654884</v>
      </c>
      <c r="I8490" s="7" t="n">
        <f aca="false">Sens!$E$8490+(glt_lic-Sens!$E$8490)*MIN(1,(Sens!I8442-base_fy)/n_conv)</f>
        <v>0.0311721435769923</v>
      </c>
      <c r="J8490" s="7" t="n">
        <f aca="false">Sens!$E$8490+(glt_lic-Sens!$E$8490)*MIN(1,(Sens!J8442-base_fy)/n_conv)</f>
        <v>0.0255860717884961</v>
      </c>
      <c r="K8490" s="7" t="n">
        <f aca="false">Sens!$E$8490+(glt_lic-Sens!$E$8490)*MIN(1,(Sens!K8442-base_fy)/n_conv)</f>
        <v>0.02</v>
      </c>
    </row>
    <row r="8491" customFormat="false" ht="15" hidden="false" customHeight="false" outlineLevel="0" collapsed="false">
      <c r="A8491" s="0" t="s">
        <v>875</v>
      </c>
      <c r="B8491" s="0" t="s">
        <v>98</v>
      </c>
      <c r="D8491" s="6" t="n">
        <f aca="false">Q!L9</f>
        <v>18.417</v>
      </c>
      <c r="E8491" s="6" t="n">
        <f aca="false">Q!M9</f>
        <v>20.345</v>
      </c>
      <c r="F8491" s="6" t="n">
        <f aca="false">Sens!E8491*(1+Sens!F8492)</f>
        <v>22.3572203267814</v>
      </c>
      <c r="G8491" s="6" t="n">
        <f aca="false">Sens!F8491*(1+Sens!G8492)</f>
        <v>24.4392124437232</v>
      </c>
      <c r="H8491" s="6" t="n">
        <f aca="false">Sens!G8491*(1+Sens!H8492)</f>
        <v>26.5738052080665</v>
      </c>
      <c r="I8491" s="6" t="n">
        <f aca="false">Sens!H8491*(1+Sens!I8492)</f>
        <v>28.7412169166967</v>
      </c>
      <c r="J8491" s="6" t="n">
        <f aca="false">Sens!I8491*(1+Sens!J8492)</f>
        <v>30.9192545395413</v>
      </c>
      <c r="K8491" s="6" t="n">
        <f aca="false">Sens!J8491*(1+Sens!K8492)</f>
        <v>33.0836023573092</v>
      </c>
    </row>
    <row r="8492" customFormat="false" ht="15" hidden="false" customHeight="false" outlineLevel="0" collapsed="false">
      <c r="A8492" s="1" t="s">
        <v>866</v>
      </c>
      <c r="B8492" s="0" t="s">
        <v>129</v>
      </c>
      <c r="E8492" s="7" t="n">
        <f aca="false">Sens!E8491/Sens!D8491-1</f>
        <v>0.104685888038225</v>
      </c>
      <c r="F8492" s="7" t="n">
        <f aca="false">Sens!$E$8492+(glt_ind-Sens!$E$8492)*MIN(1,(Sens!F8442-base_fy)/n_conv)</f>
        <v>0.0989049066985211</v>
      </c>
      <c r="G8492" s="7" t="n">
        <f aca="false">Sens!$E$8492+(glt_ind-Sens!$E$8492)*MIN(1,(Sens!G8442-base_fy)/n_conv)</f>
        <v>0.0931239253588169</v>
      </c>
      <c r="H8492" s="7" t="n">
        <f aca="false">Sens!$E$8492+(glt_ind-Sens!$E$8492)*MIN(1,(Sens!H8442-base_fy)/n_conv)</f>
        <v>0.0873429440191127</v>
      </c>
      <c r="I8492" s="7" t="n">
        <f aca="false">Sens!$E$8492+(glt_ind-Sens!$E$8492)*MIN(1,(Sens!I8442-base_fy)/n_conv)</f>
        <v>0.0815619626794085</v>
      </c>
      <c r="J8492" s="7" t="n">
        <f aca="false">Sens!$E$8492+(glt_ind-Sens!$E$8492)*MIN(1,(Sens!J8442-base_fy)/n_conv)</f>
        <v>0.0757809813397042</v>
      </c>
      <c r="K8492" s="7" t="n">
        <f aca="false">Sens!$E$8492+(glt_ind-Sens!$E$8492)*MIN(1,(Sens!K8442-base_fy)/n_conv)</f>
        <v>0.07</v>
      </c>
    </row>
    <row r="8493" customFormat="false" ht="15" hidden="false" customHeight="false" outlineLevel="0" collapsed="false">
      <c r="A8493" s="0" t="s">
        <v>876</v>
      </c>
      <c r="B8493" s="0" t="s">
        <v>98</v>
      </c>
      <c r="D8493" s="6" t="n">
        <f aca="false">Q!L10</f>
        <v>7.76</v>
      </c>
      <c r="E8493" s="6" t="n">
        <f aca="false">Q!M10</f>
        <v>8.26</v>
      </c>
      <c r="F8493" s="6" t="n">
        <f aca="false">Sens!E8493*(1+Sens!F8494)</f>
        <v>8.79988041237113</v>
      </c>
      <c r="G8493" s="6" t="n">
        <f aca="false">Sens!F8493*(1+Sens!G8494)</f>
        <v>9.38321269125306</v>
      </c>
      <c r="H8493" s="6" t="n">
        <f aca="false">Sens!G8493*(1+Sens!H8494)</f>
        <v>10.0139193587476</v>
      </c>
      <c r="I8493" s="6" t="n">
        <f aca="false">Sens!H8493*(1+Sens!I8494)</f>
        <v>10.6963111830911</v>
      </c>
      <c r="J8493" s="6" t="n">
        <f aca="false">Sens!I8493*(1+Sens!J8494)</f>
        <v>11.4351285534696</v>
      </c>
      <c r="K8493" s="6" t="n">
        <f aca="false">Sens!J8493*(1+Sens!K8494)</f>
        <v>12.2355875522124</v>
      </c>
    </row>
    <row r="8494" customFormat="false" ht="15" hidden="false" customHeight="false" outlineLevel="0" collapsed="false">
      <c r="A8494" s="1" t="s">
        <v>866</v>
      </c>
      <c r="B8494" s="0" t="s">
        <v>129</v>
      </c>
      <c r="E8494" s="7" t="n">
        <f aca="false">Sens!E8493/Sens!D8493-1</f>
        <v>0.0644329896907216</v>
      </c>
      <c r="F8494" s="7" t="n">
        <f aca="false">Sens!$E$8494+(glt_fro-Sens!$E$8494)*MIN(1,(Sens!F8442-base_fy)/n_conv)</f>
        <v>0.065360824742268</v>
      </c>
      <c r="G8494" s="7" t="n">
        <f aca="false">Sens!$E$8494+(glt_fro-Sens!$E$8494)*MIN(1,(Sens!G8442-base_fy)/n_conv)</f>
        <v>0.0662886597938144</v>
      </c>
      <c r="H8494" s="7" t="n">
        <f aca="false">Sens!$E$8494+(glt_fro-Sens!$E$8494)*MIN(1,(Sens!H8442-base_fy)/n_conv)</f>
        <v>0.0672164948453608</v>
      </c>
      <c r="I8494" s="7" t="n">
        <f aca="false">Sens!$E$8494+(glt_fro-Sens!$E$8494)*MIN(1,(Sens!I8442-base_fy)/n_conv)</f>
        <v>0.0681443298969072</v>
      </c>
      <c r="J8494" s="7" t="n">
        <f aca="false">Sens!$E$8494+(glt_fro-Sens!$E$8494)*MIN(1,(Sens!J8442-base_fy)/n_conv)</f>
        <v>0.0690721649484536</v>
      </c>
      <c r="K8494" s="7" t="n">
        <f aca="false">Sens!$E$8494+(glt_fro-Sens!$E$8494)*MIN(1,(Sens!K8442-base_fy)/n_conv)</f>
        <v>0.07</v>
      </c>
    </row>
    <row r="8495" customFormat="false" ht="15" hidden="false" customHeight="false" outlineLevel="0" collapsed="false">
      <c r="A8495" s="0" t="s">
        <v>704</v>
      </c>
      <c r="B8495" s="0" t="s">
        <v>98</v>
      </c>
      <c r="D8495" s="6" t="n">
        <f aca="false">Sens!D8483+Sens!D8488+Sens!D8489+Sens!D8491+Sens!D8493</f>
        <v>218.783</v>
      </c>
      <c r="E8495" s="6" t="n">
        <f aca="false">Sens!E8483+Sens!E8488+Sens!E8489+Sens!E8491+Sens!E8493</f>
        <v>268.127</v>
      </c>
      <c r="F8495" s="6" t="n">
        <f aca="false">Sens!F8483+Sens!F8488+Sens!F8489+Sens!F8491+Sens!F8493</f>
        <v>328.857623021748</v>
      </c>
      <c r="G8495" s="6" t="n">
        <f aca="false">Sens!G8483+Sens!G8488+Sens!G8489+Sens!G8491+Sens!G8493</f>
        <v>391.064692298485</v>
      </c>
      <c r="H8495" s="6" t="n">
        <f aca="false">Sens!H8483+Sens!H8488+Sens!H8489+Sens!H8491+Sens!H8493</f>
        <v>450.016780535254</v>
      </c>
      <c r="I8495" s="6" t="n">
        <f aca="false">Sens!I8483+Sens!I8488+Sens!I8489+Sens!I8491+Sens!I8493</f>
        <v>512.960437246084</v>
      </c>
      <c r="J8495" s="6" t="n">
        <f aca="false">Sens!J8483+Sens!J8488+Sens!J8489+Sens!J8491+Sens!J8493</f>
        <v>567.631319937782</v>
      </c>
      <c r="K8495" s="6" t="n">
        <f aca="false">Sens!K8483+Sens!K8488+Sens!K8489+Sens!K8491+Sens!K8493</f>
        <v>614.590892494512</v>
      </c>
    </row>
    <row r="8496" customFormat="false" ht="15" hidden="false" customHeight="false" outlineLevel="0" collapsed="false">
      <c r="A8496" s="0" t="s">
        <v>877</v>
      </c>
      <c r="B8496" s="0" t="s">
        <v>98</v>
      </c>
      <c r="D8496" s="6" t="n">
        <f aca="false">Q!L13</f>
        <v>22.171</v>
      </c>
      <c r="E8496" s="6" t="n">
        <f aca="false">Q!M13</f>
        <v>24.835</v>
      </c>
      <c r="F8496" s="6" t="n">
        <f aca="false">Sens!E8496*(1+Sens!F8497)</f>
        <v>27.6114901218559</v>
      </c>
      <c r="G8496" s="6" t="n">
        <f aca="false">Sens!F8496*(1+Sens!G8497)</f>
        <v>30.4675667338515</v>
      </c>
      <c r="H8496" s="6" t="n">
        <f aca="false">Sens!G8496*(1+Sens!H8497)</f>
        <v>33.3643766955789</v>
      </c>
      <c r="I8496" s="6" t="n">
        <f aca="false">Sens!H8496*(1+Sens!I8497)</f>
        <v>36.2577016533691</v>
      </c>
      <c r="J8496" s="6" t="n">
        <f aca="false">Sens!I8496*(1+Sens!J8497)</f>
        <v>39.0988367952171</v>
      </c>
      <c r="K8496" s="6" t="n">
        <f aca="false">Sens!J8496*(1+Sens!K8497)</f>
        <v>41.8357553708823</v>
      </c>
    </row>
    <row r="8497" customFormat="false" ht="15" hidden="false" customHeight="false" outlineLevel="0" collapsed="false">
      <c r="A8497" s="1" t="s">
        <v>866</v>
      </c>
      <c r="B8497" s="0" t="s">
        <v>129</v>
      </c>
      <c r="E8497" s="7" t="n">
        <f aca="false">Sens!E8496/Sens!D8496-1</f>
        <v>0.120156961796942</v>
      </c>
      <c r="F8497" s="7" t="n">
        <f aca="false">Sens!$E$8497+(glt_srch-Sens!$E$8497)*MIN(1,(Sens!F8442-base_fy)/n_conv)</f>
        <v>0.111797468164118</v>
      </c>
      <c r="G8497" s="7" t="n">
        <f aca="false">Sens!$E$8497+(glt_srch-Sens!$E$8497)*MIN(1,(Sens!G8442-base_fy)/n_conv)</f>
        <v>0.103437974531295</v>
      </c>
      <c r="H8497" s="7" t="n">
        <f aca="false">Sens!$E$8497+(glt_srch-Sens!$E$8497)*MIN(1,(Sens!H8442-base_fy)/n_conv)</f>
        <v>0.095078480898471</v>
      </c>
      <c r="I8497" s="7" t="n">
        <f aca="false">Sens!$E$8497+(glt_srch-Sens!$E$8497)*MIN(1,(Sens!I8442-base_fy)/n_conv)</f>
        <v>0.0867189872656474</v>
      </c>
      <c r="J8497" s="7" t="n">
        <f aca="false">Sens!$E$8497+(glt_srch-Sens!$E$8497)*MIN(1,(Sens!J8442-base_fy)/n_conv)</f>
        <v>0.0783594936328237</v>
      </c>
      <c r="K8497" s="7" t="n">
        <f aca="false">Sens!$E$8497+(glt_srch-Sens!$E$8497)*MIN(1,(Sens!K8442-base_fy)/n_conv)</f>
        <v>0.07</v>
      </c>
    </row>
    <row r="8498" customFormat="false" ht="15" hidden="false" customHeight="false" outlineLevel="0" collapsed="false">
      <c r="A8498" s="0" t="s">
        <v>878</v>
      </c>
      <c r="B8498" s="0" t="s">
        <v>98</v>
      </c>
      <c r="D8498" s="6" t="n">
        <f aca="false">Q!L14</f>
        <v>23.455</v>
      </c>
      <c r="E8498" s="6" t="n">
        <f aca="false">Q!M14</f>
        <v>21.79</v>
      </c>
      <c r="F8498" s="6" t="n">
        <f aca="false">Sens!E8498*(1+Sens!F8499)</f>
        <v>20.5736277908051</v>
      </c>
      <c r="G8498" s="6" t="n">
        <f aca="false">Sens!F8498*(1+Sens!G8499)</f>
        <v>19.7371452817919</v>
      </c>
      <c r="H8498" s="6" t="n">
        <f aca="false">Sens!G8498*(1+Sens!H8499)</f>
        <v>19.2339764043138</v>
      </c>
      <c r="I8498" s="6" t="n">
        <f aca="false">Sens!H8498*(1+Sens!I8499)</f>
        <v>19.0353086852681</v>
      </c>
      <c r="J8498" s="6" t="n">
        <f aca="false">Sens!I8498*(1+Sens!J8499)</f>
        <v>19.1273539319129</v>
      </c>
      <c r="K8498" s="6" t="n">
        <f aca="false">Sens!J8498*(1+Sens!K8499)</f>
        <v>19.5099010105511</v>
      </c>
    </row>
    <row r="8499" customFormat="false" ht="15" hidden="false" customHeight="false" outlineLevel="0" collapsed="false">
      <c r="A8499" s="1" t="s">
        <v>866</v>
      </c>
      <c r="B8499" s="0" t="s">
        <v>129</v>
      </c>
      <c r="E8499" s="7" t="n">
        <f aca="false">Sens!E8498/Sens!D8498-1</f>
        <v>-0.0709869963760392</v>
      </c>
      <c r="F8499" s="7" t="n">
        <f aca="false">Sens!$E$8499+(glt_xbox-Sens!$E$8499)*MIN(1,(Sens!F8442-base_fy)/n_conv)</f>
        <v>-0.0558224969800327</v>
      </c>
      <c r="G8499" s="7" t="n">
        <f aca="false">Sens!$E$8499+(glt_xbox-Sens!$E$8499)*MIN(1,(Sens!G8442-base_fy)/n_conv)</f>
        <v>-0.0406579975840262</v>
      </c>
      <c r="H8499" s="7" t="n">
        <f aca="false">Sens!$E$8499+(glt_xbox-Sens!$E$8499)*MIN(1,(Sens!H8442-base_fy)/n_conv)</f>
        <v>-0.0254934981880196</v>
      </c>
      <c r="I8499" s="7" t="n">
        <f aca="false">Sens!$E$8499+(glt_xbox-Sens!$E$8499)*MIN(1,(Sens!I8442-base_fy)/n_conv)</f>
        <v>-0.0103289987920131</v>
      </c>
      <c r="J8499" s="7" t="n">
        <f aca="false">Sens!$E$8499+(glt_xbox-Sens!$E$8499)*MIN(1,(Sens!J8442-base_fy)/n_conv)</f>
        <v>0.00483550060399347</v>
      </c>
      <c r="K8499" s="7" t="n">
        <f aca="false">Sens!$E$8499+(glt_xbox-Sens!$E$8499)*MIN(1,(Sens!K8442-base_fy)/n_conv)</f>
        <v>0.02</v>
      </c>
    </row>
    <row r="8500" customFormat="false" ht="15" hidden="false" customHeight="false" outlineLevel="0" collapsed="false">
      <c r="A8500" s="0" t="s">
        <v>879</v>
      </c>
      <c r="B8500" s="0" t="s">
        <v>98</v>
      </c>
      <c r="D8500" s="6" t="n">
        <f aca="false">Q!L15</f>
        <v>17.315</v>
      </c>
      <c r="E8500" s="6" t="n">
        <f aca="false">Q!M15</f>
        <v>17.087</v>
      </c>
      <c r="F8500" s="6" t="n">
        <f aca="false">Sens!E8500*(1+Sens!F8501)</f>
        <v>16.9564585436519</v>
      </c>
      <c r="G8500" s="6" t="n">
        <f aca="false">Sens!F8500*(1+Sens!G8501)</f>
        <v>16.9206490624268</v>
      </c>
      <c r="H8500" s="6" t="n">
        <f aca="false">Sens!G8500*(1+Sens!H8501)</f>
        <v>16.9784519149849</v>
      </c>
      <c r="I8500" s="6" t="n">
        <f aca="false">Sens!H8500*(1+Sens!I8501)</f>
        <v>17.1303084701817</v>
      </c>
      <c r="J8500" s="6" t="n">
        <f aca="false">Sens!I8500*(1+Sens!J8501)</f>
        <v>17.3782189407267</v>
      </c>
      <c r="K8500" s="6" t="n">
        <f aca="false">Sens!J8500*(1+Sens!K8501)</f>
        <v>17.7257833195413</v>
      </c>
    </row>
    <row r="8501" customFormat="false" ht="15" hidden="false" customHeight="false" outlineLevel="0" collapsed="false">
      <c r="A8501" s="1" t="s">
        <v>866</v>
      </c>
      <c r="B8501" s="0" t="s">
        <v>129</v>
      </c>
      <c r="E8501" s="7" t="n">
        <f aca="false">Sens!E8500/Sens!D8500-1</f>
        <v>-0.0131677736066995</v>
      </c>
      <c r="F8501" s="7" t="n">
        <f aca="false">Sens!$E$8501+(glt_win-Sens!$E$8501)*MIN(1,(Sens!F8442-base_fy)/n_conv)</f>
        <v>-0.00763981133891627</v>
      </c>
      <c r="G8501" s="7" t="n">
        <f aca="false">Sens!$E$8501+(glt_win-Sens!$E$8501)*MIN(1,(Sens!G8442-base_fy)/n_conv)</f>
        <v>-0.00211184907113301</v>
      </c>
      <c r="H8501" s="7" t="n">
        <f aca="false">Sens!$E$8501+(glt_win-Sens!$E$8501)*MIN(1,(Sens!H8442-base_fy)/n_conv)</f>
        <v>0.00341611319665024</v>
      </c>
      <c r="I8501" s="7" t="n">
        <f aca="false">Sens!$E$8501+(glt_win-Sens!$E$8501)*MIN(1,(Sens!I8442-base_fy)/n_conv)</f>
        <v>0.00894407546443349</v>
      </c>
      <c r="J8501" s="7" t="n">
        <f aca="false">Sens!$E$8501+(glt_win-Sens!$E$8501)*MIN(1,(Sens!J8442-base_fy)/n_conv)</f>
        <v>0.0144720377322168</v>
      </c>
      <c r="K8501" s="7" t="n">
        <f aca="false">Sens!$E$8501+(glt_win-Sens!$E$8501)*MIN(1,(Sens!K8442-base_fy)/n_conv)</f>
        <v>0.02</v>
      </c>
    </row>
    <row r="8502" customFormat="false" ht="15" hidden="false" customHeight="false" outlineLevel="0" collapsed="false">
      <c r="A8502" s="0" t="s">
        <v>718</v>
      </c>
      <c r="B8502" s="0" t="s">
        <v>98</v>
      </c>
      <c r="D8502" s="6" t="n">
        <f aca="false">Sens!D8496+Sens!D8498+Sens!D8500</f>
        <v>62.941</v>
      </c>
      <c r="E8502" s="6" t="n">
        <f aca="false">Sens!E8496+Sens!E8498+Sens!E8500</f>
        <v>63.712</v>
      </c>
      <c r="F8502" s="6" t="n">
        <f aca="false">Sens!F8496+Sens!F8498+Sens!F8500</f>
        <v>65.1415764563129</v>
      </c>
      <c r="G8502" s="6" t="n">
        <f aca="false">Sens!G8496+Sens!G8498+Sens!G8500</f>
        <v>67.1253610780702</v>
      </c>
      <c r="H8502" s="6" t="n">
        <f aca="false">Sens!H8496+Sens!H8498+Sens!H8500</f>
        <v>69.5768050148776</v>
      </c>
      <c r="I8502" s="6" t="n">
        <f aca="false">Sens!I8496+Sens!I8498+Sens!I8500</f>
        <v>72.4233188088189</v>
      </c>
      <c r="J8502" s="6" t="n">
        <f aca="false">Sens!J8496+Sens!J8498+Sens!J8500</f>
        <v>75.6044096678567</v>
      </c>
      <c r="K8502" s="6" t="n">
        <f aca="false">Sens!K8496+Sens!K8498+Sens!K8500</f>
        <v>79.0714397009747</v>
      </c>
    </row>
    <row r="8503" customFormat="false" ht="15" hidden="false" customHeight="false" outlineLevel="0" collapsed="false">
      <c r="A8503" s="1" t="s">
        <v>880</v>
      </c>
      <c r="B8503" s="0" t="s">
        <v>98</v>
      </c>
      <c r="D8503" s="6" t="n">
        <f aca="false">Sens!D8495+Sens!D8502</f>
        <v>281.724</v>
      </c>
      <c r="E8503" s="6" t="n">
        <f aca="false">Sens!E8495+Sens!E8502</f>
        <v>331.839</v>
      </c>
      <c r="F8503" s="6" t="n">
        <f aca="false">Sens!F8495+Sens!F8502</f>
        <v>393.999199478061</v>
      </c>
      <c r="G8503" s="6" t="n">
        <f aca="false">Sens!G8495+Sens!G8502</f>
        <v>458.190053376556</v>
      </c>
      <c r="H8503" s="6" t="n">
        <f aca="false">Sens!H8495+Sens!H8502</f>
        <v>519.593585550132</v>
      </c>
      <c r="I8503" s="6" t="n">
        <f aca="false">Sens!I8495+Sens!I8502</f>
        <v>585.383756054902</v>
      </c>
      <c r="J8503" s="6" t="n">
        <f aca="false">Sens!J8495+Sens!J8502</f>
        <v>643.235729605639</v>
      </c>
      <c r="K8503" s="6" t="n">
        <f aca="false">Sens!K8495+Sens!K8502</f>
        <v>693.662332195486</v>
      </c>
    </row>
    <row r="8504" customFormat="false" ht="15" hidden="false" customHeight="false" outlineLevel="0" collapsed="false">
      <c r="A8504" s="23" t="s">
        <v>881</v>
      </c>
      <c r="B8504" s="30" t="s">
        <v>98</v>
      </c>
      <c r="C8504" s="30"/>
      <c r="D8504" s="24" t="n">
        <f aca="false">(Sens!D8483+Sens!D8488+Sens!D8489+Sens!D8491+Sens!D8493-Sens!D8495)+(Sens!D8496+Sens!D8498+Sens!D8500-Sens!D8502)+(Sens!D8495-Q!L5)+(Sens!D8502-Q!L12)+(Sens!D8483-Q!L6)+(Sens!D8488-Q!L7)</f>
        <v>0</v>
      </c>
      <c r="E8504" s="24" t="n">
        <f aca="false">(Sens!E8483+Sens!E8488+Sens!E8489+Sens!E8491+Sens!E8493-Sens!E8495)+(Sens!E8496+Sens!E8498+Sens!E8500-Sens!E8502)+(Sens!E8495-Q!M5)+(Sens!E8502-Q!M12)+(Sens!E8483-Q!M6)+(Sens!E8488-Q!M7)</f>
        <v>0</v>
      </c>
      <c r="F8504" s="24" t="n">
        <f aca="false">(Sens!F8483+Sens!F8488+Sens!F8489+Sens!F8491+Sens!F8493-Sens!F8495)+(Sens!F8496+Sens!F8498+Sens!F8500-Sens!F8502)</f>
        <v>0</v>
      </c>
      <c r="G8504" s="24" t="n">
        <f aca="false">(Sens!G8483+Sens!G8488+Sens!G8489+Sens!G8491+Sens!G8493-Sens!G8495)+(Sens!G8496+Sens!G8498+Sens!G8500-Sens!G8502)</f>
        <v>0</v>
      </c>
      <c r="H8504" s="24" t="n">
        <f aca="false">(Sens!H8483+Sens!H8488+Sens!H8489+Sens!H8491+Sens!H8493-Sens!H8495)+(Sens!H8496+Sens!H8498+Sens!H8500-Sens!H8502)</f>
        <v>0</v>
      </c>
      <c r="I8504" s="24" t="n">
        <f aca="false">(Sens!I8483+Sens!I8488+Sens!I8489+Sens!I8491+Sens!I8493-Sens!I8495)+(Sens!I8496+Sens!I8498+Sens!I8500-Sens!I8502)</f>
        <v>0</v>
      </c>
      <c r="J8504" s="24" t="n">
        <f aca="false">(Sens!J8483+Sens!J8488+Sens!J8489+Sens!J8491+Sens!J8493-Sens!J8495)+(Sens!J8496+Sens!J8498+Sens!J8500-Sens!J8502)</f>
        <v>0</v>
      </c>
      <c r="K8504" s="24" t="n">
        <f aca="false">(Sens!K8483+Sens!K8488+Sens!K8489+Sens!K8491+Sens!K8493-Sens!K8495)+(Sens!K8496+Sens!K8498+Sens!K8500-Sens!K8502)</f>
        <v>0</v>
      </c>
    </row>
    <row r="8505" customFormat="false" ht="17.15" hidden="false" customHeight="false" outlineLevel="0" collapsed="false">
      <c r="A8505" s="3" t="s">
        <v>1456</v>
      </c>
    </row>
    <row r="8506" customFormat="false" ht="15" hidden="false" customHeight="false" outlineLevel="0" collapsed="false">
      <c r="A8506" s="4" t="s">
        <v>43</v>
      </c>
      <c r="B8506" s="4" t="s">
        <v>65</v>
      </c>
      <c r="C8506" s="20" t="s">
        <v>788</v>
      </c>
      <c r="D8506" s="20" t="s">
        <v>789</v>
      </c>
      <c r="E8506" s="20" t="s">
        <v>790</v>
      </c>
      <c r="F8506" s="20" t="s">
        <v>791</v>
      </c>
      <c r="G8506" s="20" t="s">
        <v>792</v>
      </c>
      <c r="H8506" s="20" t="s">
        <v>793</v>
      </c>
      <c r="I8506" s="20" t="s">
        <v>794</v>
      </c>
      <c r="J8506" s="20" t="s">
        <v>795</v>
      </c>
      <c r="K8506" s="20" t="s">
        <v>796</v>
      </c>
      <c r="L8506" s="4" t="s">
        <v>47</v>
      </c>
    </row>
    <row r="8507" customFormat="false" ht="15" hidden="false" customHeight="false" outlineLevel="0" collapsed="false">
      <c r="A8507" s="0" t="s">
        <v>867</v>
      </c>
      <c r="B8507" s="0" t="s">
        <v>98</v>
      </c>
      <c r="D8507" s="6" t="n">
        <f aca="false">Sens!D8483</f>
        <v>72.61</v>
      </c>
      <c r="E8507" s="6" t="n">
        <f aca="false">Sens!E8483</f>
        <v>101.938</v>
      </c>
      <c r="F8507" s="6" t="n">
        <f aca="false">Sens!F8483</f>
        <v>141.236051082565</v>
      </c>
      <c r="G8507" s="6" t="n">
        <f aca="false">Sens!G8483</f>
        <v>183.971535761056</v>
      </c>
      <c r="H8507" s="6" t="n">
        <f aca="false">Sens!H8483</f>
        <v>223.428097853739</v>
      </c>
      <c r="I8507" s="6" t="n">
        <f aca="false">Sens!I8483</f>
        <v>267.899082266598</v>
      </c>
      <c r="J8507" s="6" t="n">
        <f aca="false">Sens!J8483</f>
        <v>305.440422833613</v>
      </c>
      <c r="K8507" s="6" t="n">
        <f aca="false">Sens!K8483</f>
        <v>336.196823154335</v>
      </c>
    </row>
    <row r="8508" customFormat="false" ht="17.15" hidden="false" customHeight="false" outlineLevel="0" collapsed="false">
      <c r="A8508" s="0" t="s">
        <v>864</v>
      </c>
      <c r="B8508" s="0" t="s">
        <v>98</v>
      </c>
      <c r="D8508" s="6" t="n">
        <f aca="false">Sens!D8480</f>
        <v>12.9359794422418</v>
      </c>
      <c r="E8508" s="6" t="n">
        <f aca="false">Sens!E8480</f>
        <v>27.8095064661409</v>
      </c>
      <c r="F8508" s="6" t="n">
        <f aca="false">Sens!F8480</f>
        <v>50.6619113883066</v>
      </c>
      <c r="G8508" s="6" t="n">
        <f aca="false">Sens!G8480</f>
        <v>75.1482839325348</v>
      </c>
      <c r="H8508" s="6" t="n">
        <f aca="false">Sens!H8480</f>
        <v>94.895655604042</v>
      </c>
      <c r="I8508" s="6" t="n">
        <f aca="false">Sens!I8480</f>
        <v>118.706168884151</v>
      </c>
      <c r="J8508" s="6" t="n">
        <f aca="false">Sens!J8480</f>
        <v>135.305203646001</v>
      </c>
      <c r="K8508" s="6" t="n">
        <f aca="false">Sens!K8480</f>
        <v>145.64537766421</v>
      </c>
    </row>
    <row r="8509" customFormat="false" ht="17.15" hidden="false" customHeight="false" outlineLevel="0" collapsed="false">
      <c r="A8509" s="0" t="s">
        <v>892</v>
      </c>
      <c r="B8509" s="0" t="s">
        <v>98</v>
      </c>
      <c r="D8509" s="6" t="n">
        <f aca="false">Sens!D8481</f>
        <v>59.6740205577583</v>
      </c>
      <c r="E8509" s="6" t="n">
        <f aca="false">Sens!E8481</f>
        <v>74.1284935338591</v>
      </c>
      <c r="F8509" s="6" t="n">
        <f aca="false">Sens!F8481</f>
        <v>90.5741396942587</v>
      </c>
      <c r="G8509" s="6" t="n">
        <f aca="false">Sens!G8481</f>
        <v>108.823251828521</v>
      </c>
      <c r="H8509" s="6" t="n">
        <f aca="false">Sens!H8481</f>
        <v>128.532442249697</v>
      </c>
      <c r="I8509" s="6" t="n">
        <f aca="false">Sens!I8481</f>
        <v>149.192913382446</v>
      </c>
      <c r="J8509" s="6" t="n">
        <f aca="false">Sens!J8481</f>
        <v>170.135219187612</v>
      </c>
      <c r="K8509" s="6" t="n">
        <f aca="false">Sens!K8481</f>
        <v>190.551445490125</v>
      </c>
    </row>
    <row r="8510" customFormat="false" ht="15" hidden="false" customHeight="false" outlineLevel="0" collapsed="false">
      <c r="A8510" s="0" t="s">
        <v>873</v>
      </c>
      <c r="B8510" s="0" t="s">
        <v>98</v>
      </c>
      <c r="D8510" s="6" t="n">
        <f aca="false">Sens!D8488</f>
        <v>84.605</v>
      </c>
      <c r="E8510" s="6" t="n">
        <f aca="false">Sens!E8488</f>
        <v>100.299</v>
      </c>
      <c r="F8510" s="6" t="n">
        <f aca="false">Sens!F8488</f>
        <v>117.39238776686</v>
      </c>
      <c r="G8510" s="6" t="n">
        <f aca="false">Sens!G8488</f>
        <v>132.544168448684</v>
      </c>
      <c r="H8510" s="6" t="n">
        <f aca="false">Sens!H8488</f>
        <v>147.777359388781</v>
      </c>
      <c r="I8510" s="6" t="n">
        <f aca="false">Sens!I8488</f>
        <v>162.084028071957</v>
      </c>
      <c r="J8510" s="6" t="n">
        <f aca="false">Sens!J8488</f>
        <v>175.182702785465</v>
      </c>
      <c r="K8510" s="6" t="n">
        <f aca="false">Sens!K8488</f>
        <v>187.527991980448</v>
      </c>
    </row>
    <row r="8511" customFormat="false" ht="17.15" hidden="false" customHeight="false" outlineLevel="0" collapsed="false">
      <c r="A8511" s="0" t="s">
        <v>893</v>
      </c>
      <c r="B8511" s="0" t="s">
        <v>98</v>
      </c>
      <c r="D8511" s="6" t="n">
        <f aca="false">Sens!D8486</f>
        <v>83.705</v>
      </c>
      <c r="E8511" s="6" t="n">
        <f aca="false">Sens!E8486</f>
        <v>95.049</v>
      </c>
      <c r="F8511" s="6" t="n">
        <f aca="false">Sens!F8486</f>
        <v>106.89238776686</v>
      </c>
      <c r="G8511" s="6" t="n">
        <f aca="false">Sens!G8486</f>
        <v>119.044168448684</v>
      </c>
      <c r="H8511" s="6" t="n">
        <f aca="false">Sens!H8486</f>
        <v>131.277359388781</v>
      </c>
      <c r="I8511" s="6" t="n">
        <f aca="false">Sens!I8486</f>
        <v>143.334028071957</v>
      </c>
      <c r="J8511" s="6" t="n">
        <f aca="false">Sens!J8486</f>
        <v>154.932702785465</v>
      </c>
      <c r="K8511" s="6" t="n">
        <f aca="false">Sens!K8486</f>
        <v>165.777991980448</v>
      </c>
    </row>
    <row r="8512" customFormat="false" ht="17.15" hidden="false" customHeight="false" outlineLevel="0" collapsed="false">
      <c r="A8512" s="0" t="s">
        <v>894</v>
      </c>
      <c r="B8512" s="0" t="s">
        <v>98</v>
      </c>
      <c r="D8512" s="6" t="n">
        <f aca="false">Sens!D8485</f>
        <v>0.9</v>
      </c>
      <c r="E8512" s="6" t="n">
        <f aca="false">Sens!E8485</f>
        <v>5.25</v>
      </c>
      <c r="F8512" s="6" t="n">
        <f aca="false">Sens!F8485</f>
        <v>10.5</v>
      </c>
      <c r="G8512" s="6" t="n">
        <f aca="false">Sens!G8485</f>
        <v>13.5</v>
      </c>
      <c r="H8512" s="6" t="n">
        <f aca="false">Sens!H8485</f>
        <v>16.5</v>
      </c>
      <c r="I8512" s="6" t="n">
        <f aca="false">Sens!I8485</f>
        <v>18.75</v>
      </c>
      <c r="J8512" s="6" t="n">
        <f aca="false">Sens!J8485</f>
        <v>20.25</v>
      </c>
      <c r="K8512" s="6" t="n">
        <f aca="false">Sens!K8485</f>
        <v>21.75</v>
      </c>
    </row>
    <row r="8513" customFormat="false" ht="15" hidden="false" customHeight="false" outlineLevel="0" collapsed="false">
      <c r="A8513" s="0" t="s">
        <v>874</v>
      </c>
      <c r="B8513" s="0" t="s">
        <v>98</v>
      </c>
      <c r="D8513" s="6" t="n">
        <f aca="false">Sens!D8489</f>
        <v>35.391</v>
      </c>
      <c r="E8513" s="6" t="n">
        <f aca="false">Sens!E8489</f>
        <v>37.285</v>
      </c>
      <c r="F8513" s="6" t="n">
        <f aca="false">Sens!F8489</f>
        <v>39.0720834331704</v>
      </c>
      <c r="G8513" s="6" t="n">
        <f aca="false">Sens!G8489</f>
        <v>40.726562953769</v>
      </c>
      <c r="H8513" s="6" t="n">
        <f aca="false">Sens!H8489</f>
        <v>42.2235987259198</v>
      </c>
      <c r="I8513" s="6" t="n">
        <f aca="false">Sens!I8489</f>
        <v>43.5397988077414</v>
      </c>
      <c r="J8513" s="6" t="n">
        <f aca="false">Sens!J8489</f>
        <v>44.653811225693</v>
      </c>
      <c r="K8513" s="6" t="n">
        <f aca="false">Sens!K8489</f>
        <v>45.5468874502068</v>
      </c>
    </row>
    <row r="8514" customFormat="false" ht="15" hidden="false" customHeight="false" outlineLevel="0" collapsed="false">
      <c r="A8514" s="0" t="s">
        <v>875</v>
      </c>
      <c r="B8514" s="0" t="s">
        <v>98</v>
      </c>
      <c r="D8514" s="6" t="n">
        <f aca="false">Sens!D8491</f>
        <v>18.417</v>
      </c>
      <c r="E8514" s="6" t="n">
        <f aca="false">Sens!E8491</f>
        <v>20.345</v>
      </c>
      <c r="F8514" s="6" t="n">
        <f aca="false">Sens!F8491</f>
        <v>22.3572203267814</v>
      </c>
      <c r="G8514" s="6" t="n">
        <f aca="false">Sens!G8491</f>
        <v>24.4392124437232</v>
      </c>
      <c r="H8514" s="6" t="n">
        <f aca="false">Sens!H8491</f>
        <v>26.5738052080665</v>
      </c>
      <c r="I8514" s="6" t="n">
        <f aca="false">Sens!I8491</f>
        <v>28.7412169166967</v>
      </c>
      <c r="J8514" s="6" t="n">
        <f aca="false">Sens!J8491</f>
        <v>30.9192545395413</v>
      </c>
      <c r="K8514" s="6" t="n">
        <f aca="false">Sens!K8491</f>
        <v>33.0836023573092</v>
      </c>
    </row>
    <row r="8515" customFormat="false" ht="15" hidden="false" customHeight="false" outlineLevel="0" collapsed="false">
      <c r="A8515" s="0" t="s">
        <v>876</v>
      </c>
      <c r="B8515" s="0" t="s">
        <v>98</v>
      </c>
      <c r="D8515" s="6" t="n">
        <f aca="false">Sens!D8493</f>
        <v>7.76</v>
      </c>
      <c r="E8515" s="6" t="n">
        <f aca="false">Sens!E8493</f>
        <v>8.26</v>
      </c>
      <c r="F8515" s="6" t="n">
        <f aca="false">Sens!F8493</f>
        <v>8.79988041237113</v>
      </c>
      <c r="G8515" s="6" t="n">
        <f aca="false">Sens!G8493</f>
        <v>9.38321269125306</v>
      </c>
      <c r="H8515" s="6" t="n">
        <f aca="false">Sens!H8493</f>
        <v>10.0139193587476</v>
      </c>
      <c r="I8515" s="6" t="n">
        <f aca="false">Sens!I8493</f>
        <v>10.6963111830911</v>
      </c>
      <c r="J8515" s="6" t="n">
        <f aca="false">Sens!J8493</f>
        <v>11.4351285534696</v>
      </c>
      <c r="K8515" s="6" t="n">
        <f aca="false">Sens!K8493</f>
        <v>12.2355875522124</v>
      </c>
    </row>
    <row r="8516" customFormat="false" ht="15" hidden="false" customHeight="false" outlineLevel="0" collapsed="false">
      <c r="A8516" s="0" t="s">
        <v>704</v>
      </c>
      <c r="B8516" s="0" t="s">
        <v>98</v>
      </c>
      <c r="D8516" s="6" t="n">
        <f aca="false">Sens!D8495</f>
        <v>218.783</v>
      </c>
      <c r="E8516" s="6" t="n">
        <f aca="false">Sens!E8495</f>
        <v>268.127</v>
      </c>
      <c r="F8516" s="6" t="n">
        <f aca="false">Sens!F8495</f>
        <v>328.857623021748</v>
      </c>
      <c r="G8516" s="6" t="n">
        <f aca="false">Sens!G8495</f>
        <v>391.064692298485</v>
      </c>
      <c r="H8516" s="6" t="n">
        <f aca="false">Sens!H8495</f>
        <v>450.016780535254</v>
      </c>
      <c r="I8516" s="6" t="n">
        <f aca="false">Sens!I8495</f>
        <v>512.960437246084</v>
      </c>
      <c r="J8516" s="6" t="n">
        <f aca="false">Sens!J8495</f>
        <v>567.631319937782</v>
      </c>
      <c r="K8516" s="6" t="n">
        <f aca="false">Sens!K8495</f>
        <v>614.590892494512</v>
      </c>
    </row>
    <row r="8517" customFormat="false" ht="15" hidden="false" customHeight="false" outlineLevel="0" collapsed="false">
      <c r="A8517" s="0" t="s">
        <v>877</v>
      </c>
      <c r="B8517" s="0" t="s">
        <v>98</v>
      </c>
      <c r="D8517" s="6" t="n">
        <f aca="false">Sens!D8496</f>
        <v>22.171</v>
      </c>
      <c r="E8517" s="6" t="n">
        <f aca="false">Sens!E8496</f>
        <v>24.835</v>
      </c>
      <c r="F8517" s="6" t="n">
        <f aca="false">Sens!F8496</f>
        <v>27.6114901218559</v>
      </c>
      <c r="G8517" s="6" t="n">
        <f aca="false">Sens!G8496</f>
        <v>30.4675667338515</v>
      </c>
      <c r="H8517" s="6" t="n">
        <f aca="false">Sens!H8496</f>
        <v>33.3643766955789</v>
      </c>
      <c r="I8517" s="6" t="n">
        <f aca="false">Sens!I8496</f>
        <v>36.2577016533691</v>
      </c>
      <c r="J8517" s="6" t="n">
        <f aca="false">Sens!J8496</f>
        <v>39.0988367952171</v>
      </c>
      <c r="K8517" s="6" t="n">
        <f aca="false">Sens!K8496</f>
        <v>41.8357553708823</v>
      </c>
    </row>
    <row r="8518" customFormat="false" ht="15" hidden="false" customHeight="false" outlineLevel="0" collapsed="false">
      <c r="A8518" s="0" t="s">
        <v>878</v>
      </c>
      <c r="B8518" s="0" t="s">
        <v>98</v>
      </c>
      <c r="D8518" s="6" t="n">
        <f aca="false">Sens!D8498</f>
        <v>23.455</v>
      </c>
      <c r="E8518" s="6" t="n">
        <f aca="false">Sens!E8498</f>
        <v>21.79</v>
      </c>
      <c r="F8518" s="6" t="n">
        <f aca="false">Sens!F8498</f>
        <v>20.5736277908051</v>
      </c>
      <c r="G8518" s="6" t="n">
        <f aca="false">Sens!G8498</f>
        <v>19.7371452817919</v>
      </c>
      <c r="H8518" s="6" t="n">
        <f aca="false">Sens!H8498</f>
        <v>19.2339764043138</v>
      </c>
      <c r="I8518" s="6" t="n">
        <f aca="false">Sens!I8498</f>
        <v>19.0353086852681</v>
      </c>
      <c r="J8518" s="6" t="n">
        <f aca="false">Sens!J8498</f>
        <v>19.1273539319129</v>
      </c>
      <c r="K8518" s="6" t="n">
        <f aca="false">Sens!K8498</f>
        <v>19.5099010105511</v>
      </c>
    </row>
    <row r="8519" customFormat="false" ht="15" hidden="false" customHeight="false" outlineLevel="0" collapsed="false">
      <c r="A8519" s="0" t="s">
        <v>879</v>
      </c>
      <c r="B8519" s="0" t="s">
        <v>98</v>
      </c>
      <c r="D8519" s="6" t="n">
        <f aca="false">Sens!D8500</f>
        <v>17.315</v>
      </c>
      <c r="E8519" s="6" t="n">
        <f aca="false">Sens!E8500</f>
        <v>17.087</v>
      </c>
      <c r="F8519" s="6" t="n">
        <f aca="false">Sens!F8500</f>
        <v>16.9564585436519</v>
      </c>
      <c r="G8519" s="6" t="n">
        <f aca="false">Sens!G8500</f>
        <v>16.9206490624268</v>
      </c>
      <c r="H8519" s="6" t="n">
        <f aca="false">Sens!H8500</f>
        <v>16.9784519149849</v>
      </c>
      <c r="I8519" s="6" t="n">
        <f aca="false">Sens!I8500</f>
        <v>17.1303084701817</v>
      </c>
      <c r="J8519" s="6" t="n">
        <f aca="false">Sens!J8500</f>
        <v>17.3782189407267</v>
      </c>
      <c r="K8519" s="6" t="n">
        <f aca="false">Sens!K8500</f>
        <v>17.7257833195413</v>
      </c>
    </row>
    <row r="8520" customFormat="false" ht="15" hidden="false" customHeight="false" outlineLevel="0" collapsed="false">
      <c r="A8520" s="0" t="s">
        <v>718</v>
      </c>
      <c r="B8520" s="0" t="s">
        <v>98</v>
      </c>
      <c r="D8520" s="6" t="n">
        <f aca="false">Sens!D8502</f>
        <v>62.941</v>
      </c>
      <c r="E8520" s="6" t="n">
        <f aca="false">Sens!E8502</f>
        <v>63.712</v>
      </c>
      <c r="F8520" s="6" t="n">
        <f aca="false">Sens!F8502</f>
        <v>65.1415764563129</v>
      </c>
      <c r="G8520" s="6" t="n">
        <f aca="false">Sens!G8502</f>
        <v>67.1253610780702</v>
      </c>
      <c r="H8520" s="6" t="n">
        <f aca="false">Sens!H8502</f>
        <v>69.5768050148776</v>
      </c>
      <c r="I8520" s="6" t="n">
        <f aca="false">Sens!I8502</f>
        <v>72.4233188088189</v>
      </c>
      <c r="J8520" s="6" t="n">
        <f aca="false">Sens!J8502</f>
        <v>75.6044096678567</v>
      </c>
      <c r="K8520" s="6" t="n">
        <f aca="false">Sens!K8502</f>
        <v>79.0714397009747</v>
      </c>
    </row>
    <row r="8521" customFormat="false" ht="15" hidden="false" customHeight="false" outlineLevel="0" collapsed="false">
      <c r="A8521" s="1" t="s">
        <v>895</v>
      </c>
      <c r="B8521" s="0" t="s">
        <v>98</v>
      </c>
      <c r="D8521" s="6" t="n">
        <f aca="false">Sens!D8503</f>
        <v>281.724</v>
      </c>
      <c r="E8521" s="6" t="n">
        <f aca="false">Sens!E8503</f>
        <v>331.839</v>
      </c>
      <c r="F8521" s="6" t="n">
        <f aca="false">Sens!F8503</f>
        <v>393.999199478061</v>
      </c>
      <c r="G8521" s="6" t="n">
        <f aca="false">Sens!G8503</f>
        <v>458.190053376556</v>
      </c>
      <c r="H8521" s="6" t="n">
        <f aca="false">Sens!H8503</f>
        <v>519.593585550132</v>
      </c>
      <c r="I8521" s="6" t="n">
        <f aca="false">Sens!I8503</f>
        <v>585.383756054902</v>
      </c>
      <c r="J8521" s="6" t="n">
        <f aca="false">Sens!J8503</f>
        <v>643.235729605639</v>
      </c>
      <c r="K8521" s="6" t="n">
        <f aca="false">Sens!K8503</f>
        <v>693.662332195486</v>
      </c>
    </row>
    <row r="8522" customFormat="false" ht="15" hidden="false" customHeight="false" outlineLevel="0" collapsed="false">
      <c r="A8522" s="1" t="s">
        <v>896</v>
      </c>
      <c r="B8522" s="0" t="s">
        <v>129</v>
      </c>
      <c r="E8522" s="7" t="n">
        <f aca="false">Sens!E8521/Sens!D8521-1</f>
        <v>0.177886867998467</v>
      </c>
      <c r="F8522" s="7" t="n">
        <f aca="false">Sens!F8521/Sens!E8521-1</f>
        <v>0.187320355588285</v>
      </c>
      <c r="G8522" s="7" t="n">
        <f aca="false">Sens!G8521/Sens!F8521-1</f>
        <v>0.162921280001405</v>
      </c>
      <c r="H8522" s="7" t="n">
        <f aca="false">Sens!H8521/Sens!G8521-1</f>
        <v>0.13401323691135</v>
      </c>
      <c r="I8522" s="7" t="n">
        <f aca="false">Sens!I8521/Sens!H8521-1</f>
        <v>0.126618519424395</v>
      </c>
      <c r="J8522" s="7" t="n">
        <f aca="false">Sens!J8521/Sens!I8521-1</f>
        <v>0.0988274323507372</v>
      </c>
      <c r="K8522" s="7" t="n">
        <f aca="false">Sens!K8521/Sens!J8521-1</f>
        <v>0.078395213867805</v>
      </c>
    </row>
    <row r="8523" customFormat="false" ht="17.15" hidden="false" customHeight="false" outlineLevel="0" collapsed="false">
      <c r="A8523" s="23" t="s">
        <v>897</v>
      </c>
      <c r="B8523" s="30" t="s">
        <v>98</v>
      </c>
      <c r="C8523" s="30"/>
      <c r="D8523" s="24" t="n">
        <f aca="false">(Sens!D8516+Sens!D8520-Sens!D8521)+(Sens!D8508+Sens!D8509-Sens!D8507)+(Sens!D8511+Sens!D8512-Sens!D8510)+(Sens!D8521-Q!L18)</f>
        <v>0</v>
      </c>
      <c r="E8523" s="24" t="n">
        <f aca="false">(Sens!E8516+Sens!E8520-Sens!E8521)+(Sens!E8508+Sens!E8509-Sens!E8507)+(Sens!E8511+Sens!E8512-Sens!E8510)+(Sens!E8521-Q!M18)</f>
        <v>0</v>
      </c>
      <c r="F8523" s="24" t="n">
        <f aca="false">(Sens!F8516+Sens!F8520-Sens!F8521)+(Sens!F8508+Sens!F8509-Sens!F8507)+(Sens!F8511+Sens!F8512-Sens!F8510)</f>
        <v>0</v>
      </c>
      <c r="G8523" s="24" t="n">
        <f aca="false">(Sens!G8516+Sens!G8520-Sens!G8521)+(Sens!G8508+Sens!G8509-Sens!G8507)+(Sens!G8511+Sens!G8512-Sens!G8510)</f>
        <v>0</v>
      </c>
      <c r="H8523" s="24" t="n">
        <f aca="false">(Sens!H8516+Sens!H8520-Sens!H8521)+(Sens!H8508+Sens!H8509-Sens!H8507)+(Sens!H8511+Sens!H8512-Sens!H8510)</f>
        <v>0</v>
      </c>
      <c r="I8523" s="24" t="n">
        <f aca="false">(Sens!I8516+Sens!I8520-Sens!I8521)+(Sens!I8508+Sens!I8509-Sens!I8507)+(Sens!I8511+Sens!I8512-Sens!I8510)</f>
        <v>0</v>
      </c>
      <c r="J8523" s="24" t="n">
        <f aca="false">(Sens!J8516+Sens!J8520-Sens!J8521)+(Sens!J8508+Sens!J8509-Sens!J8507)+(Sens!J8511+Sens!J8512-Sens!J8510)</f>
        <v>0</v>
      </c>
      <c r="K8523" s="24" t="n">
        <f aca="false">(Sens!K8516+Sens!K8520-Sens!K8521)+(Sens!K8508+Sens!K8509-Sens!K8507)+(Sens!K8511+Sens!K8512-Sens!K8510)</f>
        <v>0</v>
      </c>
    </row>
    <row r="8524" customFormat="false" ht="17.15" hidden="false" customHeight="false" outlineLevel="0" collapsed="false">
      <c r="A8524" s="0" t="s">
        <v>898</v>
      </c>
      <c r="B8524" s="0" t="s">
        <v>129</v>
      </c>
      <c r="E8524" s="7" t="n">
        <f aca="false">(Q!M21+Sens!E8461+Sens!E8462+Sens!E8463+Sens!E8476-Sens!E8459)/(Q!M5-Sens!E8459)</f>
        <v>0.570957350878296</v>
      </c>
      <c r="F8524" s="7" t="n">
        <f aca="false">Sens!$E$8524+dm_seg</f>
        <v>0.570957350878296</v>
      </c>
      <c r="G8524" s="7" t="n">
        <f aca="false">Sens!$E$8524+dm_seg</f>
        <v>0.570957350878296</v>
      </c>
      <c r="H8524" s="7" t="n">
        <f aca="false">Sens!$E$8524+dm_seg</f>
        <v>0.570957350878296</v>
      </c>
      <c r="I8524" s="7" t="n">
        <f aca="false">Sens!$E$8524+dm_seg</f>
        <v>0.570957350878296</v>
      </c>
      <c r="J8524" s="7" t="n">
        <f aca="false">Sens!$E$8524+dm_seg</f>
        <v>0.570957350878296</v>
      </c>
      <c r="K8524" s="7" t="n">
        <f aca="false">Sens!$E$8524+dm_seg</f>
        <v>0.570957350878296</v>
      </c>
      <c r="L8524" s="11" t="s">
        <v>899</v>
      </c>
    </row>
    <row r="8525" customFormat="false" ht="17.15" hidden="false" customHeight="false" outlineLevel="0" collapsed="false">
      <c r="A8525" s="0" t="s">
        <v>732</v>
      </c>
      <c r="B8525" s="0" t="s">
        <v>98</v>
      </c>
      <c r="D8525" s="6" t="n">
        <f aca="false">Q!L21</f>
        <v>110.814</v>
      </c>
      <c r="E8525" s="6" t="n">
        <f aca="false">Q!M21</f>
        <v>136.365</v>
      </c>
      <c r="F8525" s="6" t="n">
        <f aca="false">Sens!F8524*(Sens!F8495-Sens!F8459)+Sens!F8459-(Sens!F8461+Sens!F8462+Sens!F8463)-Sens!F8476</f>
        <v>152.617502595376</v>
      </c>
      <c r="G8525" s="6" t="n">
        <f aca="false">Sens!G8524*(Sens!G8495-Sens!G8459)+Sens!G8459-(Sens!G8461+Sens!G8462+Sens!G8463)-Sens!G8476</f>
        <v>161.325401354955</v>
      </c>
      <c r="H8525" s="6" t="n">
        <f aca="false">Sens!H8524*(Sens!H8495-Sens!H8459)+Sens!H8459-(Sens!H8461+Sens!H8462+Sens!H8463)-Sens!H8476</f>
        <v>165.024413086086</v>
      </c>
      <c r="I8525" s="6" t="n">
        <f aca="false">Sens!I8524*(Sens!I8495-Sens!I8459)+Sens!I8459-(Sens!I8461+Sens!I8462+Sens!I8463)-Sens!I8476</f>
        <v>177.233752457389</v>
      </c>
      <c r="J8525" s="6" t="n">
        <f aca="false">Sens!J8524*(Sens!J8495-Sens!J8459)+Sens!J8459-(Sens!J8461+Sens!J8462+Sens!J8463)-Sens!J8476</f>
        <v>191.837251117819</v>
      </c>
      <c r="K8525" s="6" t="n">
        <f aca="false">Sens!K8524*(Sens!K8495-Sens!K8459)+Sens!K8459-(Sens!K8461+Sens!K8462+Sens!K8463)-Sens!K8476</f>
        <v>209.113879120384</v>
      </c>
      <c r="L8525" s="1" t="s">
        <v>900</v>
      </c>
    </row>
    <row r="8526" customFormat="false" ht="17.15" hidden="false" customHeight="false" outlineLevel="0" collapsed="false">
      <c r="A8526" s="0" t="s">
        <v>901</v>
      </c>
      <c r="B8526" s="0" t="s">
        <v>129</v>
      </c>
      <c r="E8526" s="7" t="n">
        <f aca="false">Q!M22/Q!M12</f>
        <v>0.296207935710698</v>
      </c>
      <c r="F8526" s="7" t="n">
        <f aca="false">Sens!$E$8526+dm_seg</f>
        <v>0.296207935710698</v>
      </c>
      <c r="G8526" s="7" t="n">
        <f aca="false">Sens!$E$8526+dm_seg</f>
        <v>0.296207935710698</v>
      </c>
      <c r="H8526" s="7" t="n">
        <f aca="false">Sens!$E$8526+dm_seg</f>
        <v>0.296207935710698</v>
      </c>
      <c r="I8526" s="7" t="n">
        <f aca="false">Sens!$E$8526+dm_seg</f>
        <v>0.296207935710698</v>
      </c>
      <c r="J8526" s="7" t="n">
        <f aca="false">Sens!$E$8526+dm_seg</f>
        <v>0.296207935710698</v>
      </c>
      <c r="K8526" s="7" t="n">
        <f aca="false">Sens!$E$8526+dm_seg</f>
        <v>0.296207935710698</v>
      </c>
      <c r="L8526" s="11" t="s">
        <v>902</v>
      </c>
    </row>
    <row r="8527" customFormat="false" ht="17.15" hidden="false" customHeight="false" outlineLevel="0" collapsed="false">
      <c r="A8527" s="0" t="s">
        <v>734</v>
      </c>
      <c r="B8527" s="0" t="s">
        <v>98</v>
      </c>
      <c r="D8527" s="6" t="n">
        <f aca="false">Q!L22</f>
        <v>17.714</v>
      </c>
      <c r="E8527" s="6" t="n">
        <f aca="false">Q!M22</f>
        <v>18.872</v>
      </c>
      <c r="F8527" s="6" t="n">
        <f aca="false">Sens!F8502*Sens!F8526</f>
        <v>19.2954518910651</v>
      </c>
      <c r="G8527" s="6" t="n">
        <f aca="false">Sens!G8502*Sens!G8526</f>
        <v>19.8830646387704</v>
      </c>
      <c r="H8527" s="6" t="n">
        <f aca="false">Sens!H8502*Sens!H8526</f>
        <v>20.6092017868026</v>
      </c>
      <c r="I8527" s="6" t="n">
        <f aca="false">Sens!I8502*Sens!I8526</f>
        <v>21.452361761678</v>
      </c>
      <c r="J8527" s="6" t="n">
        <f aca="false">Sens!J8502*Sens!J8526</f>
        <v>22.3946261183418</v>
      </c>
      <c r="K8527" s="6" t="n">
        <f aca="false">Sens!K8502*Sens!K8526</f>
        <v>23.4215879274986</v>
      </c>
    </row>
    <row r="8528" customFormat="false" ht="15" hidden="false" customHeight="false" outlineLevel="0" collapsed="false">
      <c r="A8528" s="1" t="s">
        <v>903</v>
      </c>
      <c r="B8528" s="0" t="s">
        <v>98</v>
      </c>
      <c r="D8528" s="6" t="n">
        <f aca="false">Sens!D8525+Sens!D8527</f>
        <v>128.528</v>
      </c>
      <c r="E8528" s="6" t="n">
        <f aca="false">Sens!E8525+Sens!E8527</f>
        <v>155.237</v>
      </c>
      <c r="F8528" s="6" t="n">
        <f aca="false">Sens!F8525+Sens!F8527</f>
        <v>171.912954486441</v>
      </c>
      <c r="G8528" s="6" t="n">
        <f aca="false">Sens!G8525+Sens!G8527</f>
        <v>181.208465993725</v>
      </c>
      <c r="H8528" s="6" t="n">
        <f aca="false">Sens!H8525+Sens!H8527</f>
        <v>185.633614872889</v>
      </c>
      <c r="I8528" s="6" t="n">
        <f aca="false">Sens!I8525+Sens!I8527</f>
        <v>198.686114219067</v>
      </c>
      <c r="J8528" s="6" t="n">
        <f aca="false">Sens!J8525+Sens!J8527</f>
        <v>214.231877236161</v>
      </c>
      <c r="K8528" s="6" t="n">
        <f aca="false">Sens!K8525+Sens!K8527</f>
        <v>232.535467047883</v>
      </c>
    </row>
    <row r="8529" customFormat="false" ht="15" hidden="false" customHeight="false" outlineLevel="0" collapsed="false">
      <c r="A8529" s="23" t="s">
        <v>904</v>
      </c>
      <c r="B8529" s="30" t="s">
        <v>98</v>
      </c>
      <c r="C8529" s="30"/>
      <c r="D8529" s="24" t="n">
        <f aca="false">Sens!D8528-Q!L23</f>
        <v>0</v>
      </c>
      <c r="E8529" s="24" t="n">
        <f aca="false">Sens!E8528-Q!M23</f>
        <v>0</v>
      </c>
      <c r="F8529" s="30"/>
      <c r="G8529" s="30"/>
      <c r="H8529" s="30"/>
      <c r="I8529" s="30"/>
      <c r="J8529" s="30"/>
      <c r="K8529" s="30"/>
    </row>
    <row r="8530" customFormat="false" ht="15" hidden="false" customHeight="false" outlineLevel="0" collapsed="false">
      <c r="A8530" s="1" t="s">
        <v>905</v>
      </c>
      <c r="B8530" s="0" t="s">
        <v>129</v>
      </c>
      <c r="D8530" s="7" t="n">
        <f aca="false">Sens!D8528/Sens!D8521</f>
        <v>0.456219562408598</v>
      </c>
      <c r="E8530" s="7" t="n">
        <f aca="false">Sens!E8528/Sens!E8521</f>
        <v>0.467808184089272</v>
      </c>
      <c r="F8530" s="7" t="n">
        <f aca="false">Sens!F8528/Sens!F8521</f>
        <v>0.436328182174425</v>
      </c>
      <c r="G8530" s="7" t="n">
        <f aca="false">Sens!G8528/Sens!G8521</f>
        <v>0.395487559492702</v>
      </c>
      <c r="H8530" s="7" t="n">
        <f aca="false">Sens!H8528/Sens!H8521</f>
        <v>0.357266948698654</v>
      </c>
      <c r="I8530" s="7" t="n">
        <f aca="false">Sens!I8528/Sens!I8521</f>
        <v>0.339411731473519</v>
      </c>
      <c r="J8530" s="7" t="n">
        <f aca="false">Sens!J8528/Sens!J8521</f>
        <v>0.333053447400231</v>
      </c>
      <c r="K8530" s="7" t="n">
        <f aca="false">Sens!K8528/Sens!K8521</f>
        <v>0.335228620980316</v>
      </c>
    </row>
    <row r="8531" customFormat="false" ht="17.15" hidden="false" customHeight="false" outlineLevel="0" collapsed="false">
      <c r="A8531" s="1" t="s">
        <v>906</v>
      </c>
      <c r="B8531" s="0" t="s">
        <v>98</v>
      </c>
      <c r="F8531" s="6" t="n">
        <f aca="false">Sens!F8546</f>
        <v>20.7922544923746</v>
      </c>
      <c r="G8531" s="6" t="n">
        <f aca="false">Sens!G8546</f>
        <v>37.7052575228648</v>
      </c>
      <c r="H8531" s="6" t="n">
        <f aca="false">Sens!H8546</f>
        <v>55.9707166463052</v>
      </c>
      <c r="I8531" s="6" t="n">
        <f aca="false">Sens!I8546</f>
        <v>72.386177414753</v>
      </c>
      <c r="J8531" s="6" t="n">
        <f aca="false">Sens!J8546</f>
        <v>83.8561542203386</v>
      </c>
      <c r="K8531" s="6" t="n">
        <f aca="false">Sens!K8546</f>
        <v>90.6046701138278</v>
      </c>
      <c r="L8531" s="1" t="s">
        <v>907</v>
      </c>
    </row>
    <row r="8532" customFormat="false" ht="17.15" hidden="false" customHeight="false" outlineLevel="0" collapsed="false">
      <c r="A8532" s="1" t="s">
        <v>908</v>
      </c>
      <c r="B8532" s="0" t="s">
        <v>98</v>
      </c>
      <c r="D8532" s="6" t="n">
        <f aca="false">Sens!D8528</f>
        <v>128.528</v>
      </c>
      <c r="E8532" s="6" t="n">
        <f aca="false">Sens!E8528</f>
        <v>155.237</v>
      </c>
      <c r="F8532" s="6" t="n">
        <f aca="false">Sens!F8528+Sens!F8531</f>
        <v>192.705208978816</v>
      </c>
      <c r="G8532" s="6" t="n">
        <f aca="false">Sens!G8528+Sens!G8531</f>
        <v>218.91372351659</v>
      </c>
      <c r="H8532" s="6" t="n">
        <f aca="false">Sens!H8528+Sens!H8531</f>
        <v>241.604331519194</v>
      </c>
      <c r="I8532" s="6" t="n">
        <f aca="false">Sens!I8528+Sens!I8531</f>
        <v>271.07229163382</v>
      </c>
      <c r="J8532" s="6" t="n">
        <f aca="false">Sens!J8528+Sens!J8531</f>
        <v>298.0880314565</v>
      </c>
      <c r="K8532" s="6" t="n">
        <f aca="false">Sens!K8528+Sens!K8531</f>
        <v>323.140137161711</v>
      </c>
    </row>
    <row r="8533" customFormat="false" ht="17.15" hidden="false" customHeight="false" outlineLevel="0" collapsed="false">
      <c r="A8533" s="1" t="s">
        <v>909</v>
      </c>
      <c r="B8533" s="0" t="s">
        <v>98</v>
      </c>
      <c r="E8533" s="6" t="n">
        <f aca="false">Sens!E8476</f>
        <v>16.3054059770833</v>
      </c>
      <c r="F8533" s="6" t="n">
        <f aca="false">Sens!F8476</f>
        <v>34.7447989565883</v>
      </c>
      <c r="G8533" s="6" t="n">
        <f aca="false">Sens!G8476</f>
        <v>60.5152602617765</v>
      </c>
      <c r="H8533" s="6" t="n">
        <f aca="false">Sens!H8476</f>
        <v>87.7508429945765</v>
      </c>
      <c r="I8533" s="6" t="n">
        <f aca="false">Sens!I8476</f>
        <v>111.995566983658</v>
      </c>
      <c r="J8533" s="6" t="n">
        <f aca="false">Sens!J8476</f>
        <v>129.192237924103</v>
      </c>
      <c r="K8533" s="6" t="n">
        <f aca="false">Sens!K8476</f>
        <v>139.65617380591</v>
      </c>
    </row>
    <row r="8534" customFormat="false" ht="17.15" hidden="false" customHeight="false" outlineLevel="0" collapsed="false">
      <c r="A8534" s="1" t="s">
        <v>910</v>
      </c>
      <c r="B8534" s="0" t="s">
        <v>98</v>
      </c>
      <c r="E8534" s="6" t="n">
        <f aca="false">Sens!E8558</f>
        <v>22.2285940229167</v>
      </c>
      <c r="F8534" s="6" t="n">
        <f aca="false">Sens!F8558</f>
        <v>23.5585531427191</v>
      </c>
      <c r="G8534" s="6" t="n">
        <f aca="false">Sens!G8558</f>
        <v>25.3088837179903</v>
      </c>
      <c r="H8534" s="6" t="n">
        <f aca="false">Sens!H8558</f>
        <v>27.4693559038815</v>
      </c>
      <c r="I8534" s="6" t="n">
        <f aca="false">Sens!I8558</f>
        <v>30.0099445646696</v>
      </c>
      <c r="J8534" s="6" t="n">
        <f aca="false">Sens!J8558</f>
        <v>32.8868684707056</v>
      </c>
      <c r="K8534" s="6" t="n">
        <f aca="false">Sens!K8558</f>
        <v>36.0485732736474</v>
      </c>
    </row>
    <row r="8535" customFormat="false" ht="17.15" hidden="false" customHeight="false" outlineLevel="0" collapsed="false">
      <c r="A8535" s="1" t="s">
        <v>911</v>
      </c>
      <c r="B8535" s="0" t="s">
        <v>98</v>
      </c>
      <c r="D8535" s="6" t="n">
        <f aca="false">Q!L27</f>
        <v>-4.901</v>
      </c>
      <c r="E8535" s="6" t="n">
        <f aca="false">Q!M27</f>
        <v>10.697</v>
      </c>
      <c r="F8535" s="6" t="n">
        <f aca="false">oie_f</f>
        <v>-0.4</v>
      </c>
      <c r="G8535" s="6" t="n">
        <f aca="false">oie_f</f>
        <v>-0.4</v>
      </c>
      <c r="H8535" s="6" t="n">
        <f aca="false">oie_f</f>
        <v>-0.4</v>
      </c>
      <c r="I8535" s="6" t="n">
        <f aca="false">oie_f</f>
        <v>-0.4</v>
      </c>
      <c r="J8535" s="6" t="n">
        <f aca="false">oie_f</f>
        <v>-0.4</v>
      </c>
      <c r="K8535" s="6" t="n">
        <f aca="false">oie_f</f>
        <v>-0.4</v>
      </c>
      <c r="L8535" s="11" t="s">
        <v>912</v>
      </c>
    </row>
    <row r="8536" customFormat="false" ht="15" hidden="false" customHeight="false" outlineLevel="0" collapsed="false">
      <c r="A8536" s="1" t="s">
        <v>913</v>
      </c>
      <c r="B8536" s="0" t="s">
        <v>98</v>
      </c>
      <c r="D8536" s="6" t="n">
        <f aca="false">Sens!D8528+Sens!D8535</f>
        <v>123.627</v>
      </c>
      <c r="E8536" s="6" t="n">
        <f aca="false">Sens!E8528+Sens!E8535</f>
        <v>165.934</v>
      </c>
      <c r="F8536" s="6" t="n">
        <f aca="false">Sens!F8528+Sens!F8535</f>
        <v>171.512954486441</v>
      </c>
      <c r="G8536" s="6" t="n">
        <f aca="false">Sens!G8528+Sens!G8535</f>
        <v>180.808465993725</v>
      </c>
      <c r="H8536" s="6" t="n">
        <f aca="false">Sens!H8528+Sens!H8535</f>
        <v>185.233614872889</v>
      </c>
      <c r="I8536" s="6" t="n">
        <f aca="false">Sens!I8528+Sens!I8535</f>
        <v>198.286114219067</v>
      </c>
      <c r="J8536" s="6" t="n">
        <f aca="false">Sens!J8528+Sens!J8535</f>
        <v>213.831877236161</v>
      </c>
      <c r="K8536" s="6" t="n">
        <f aca="false">Sens!K8528+Sens!K8535</f>
        <v>232.135467047883</v>
      </c>
    </row>
    <row r="8537" customFormat="false" ht="15" hidden="false" customHeight="false" outlineLevel="0" collapsed="false">
      <c r="A8537" s="1" t="s">
        <v>914</v>
      </c>
      <c r="B8537" s="0" t="s">
        <v>98</v>
      </c>
      <c r="D8537" s="6" t="n">
        <f aca="false">Q!L29</f>
        <v>21.795</v>
      </c>
      <c r="E8537" s="6" t="n">
        <f aca="false">Q!M29</f>
        <v>32.185</v>
      </c>
      <c r="F8537" s="6" t="n">
        <f aca="false">Sens!F8536*tax_f</f>
        <v>34.3025908972882</v>
      </c>
      <c r="G8537" s="6" t="n">
        <f aca="false">Sens!G8536*tax_f</f>
        <v>36.161693198745</v>
      </c>
      <c r="H8537" s="6" t="n">
        <f aca="false">Sens!H8536*tax_f</f>
        <v>37.0467229745777</v>
      </c>
      <c r="I8537" s="6" t="n">
        <f aca="false">Sens!I8536*tax_f</f>
        <v>39.6572228438133</v>
      </c>
      <c r="J8537" s="6" t="n">
        <f aca="false">Sens!J8536*tax_f</f>
        <v>42.7663754472322</v>
      </c>
      <c r="K8537" s="6" t="n">
        <f aca="false">Sens!K8536*tax_f</f>
        <v>46.4270934095766</v>
      </c>
    </row>
    <row r="8538" customFormat="false" ht="15" hidden="false" customHeight="false" outlineLevel="0" collapsed="false">
      <c r="A8538" s="1" t="s">
        <v>915</v>
      </c>
      <c r="B8538" s="0" t="s">
        <v>98</v>
      </c>
      <c r="D8538" s="6" t="n">
        <f aca="false">Sens!D8536-Sens!D8537</f>
        <v>101.832</v>
      </c>
      <c r="E8538" s="6" t="n">
        <f aca="false">Sens!E8536-Sens!E8537</f>
        <v>133.749</v>
      </c>
      <c r="F8538" s="6" t="n">
        <f aca="false">Sens!F8536-Sens!F8537</f>
        <v>137.210363589153</v>
      </c>
      <c r="G8538" s="6" t="n">
        <f aca="false">Sens!G8536-Sens!G8537</f>
        <v>144.64677279498</v>
      </c>
      <c r="H8538" s="6" t="n">
        <f aca="false">Sens!H8536-Sens!H8537</f>
        <v>148.186891898311</v>
      </c>
      <c r="I8538" s="6" t="n">
        <f aca="false">Sens!I8536-Sens!I8537</f>
        <v>158.628891375253</v>
      </c>
      <c r="J8538" s="6" t="n">
        <f aca="false">Sens!J8536-Sens!J8537</f>
        <v>171.065501788929</v>
      </c>
      <c r="K8538" s="6" t="n">
        <f aca="false">Sens!K8536-Sens!K8537</f>
        <v>185.708373638306</v>
      </c>
    </row>
    <row r="8539" customFormat="false" ht="17.15" hidden="false" customHeight="false" outlineLevel="0" collapsed="false">
      <c r="A8539" s="1" t="s">
        <v>916</v>
      </c>
      <c r="B8539" s="1" t="s">
        <v>81</v>
      </c>
      <c r="D8539" s="14" t="n">
        <f aca="false">Q!L31</f>
        <v>7.465</v>
      </c>
      <c r="E8539" s="14" t="n">
        <f aca="false">Q!M31</f>
        <v>7.453</v>
      </c>
      <c r="F8539" s="14" t="n">
        <f aca="false">Sens!F8580</f>
        <v>7.4735</v>
      </c>
      <c r="G8539" s="14" t="n">
        <f aca="false">Sens!G8580</f>
        <v>7.5185</v>
      </c>
      <c r="H8539" s="14" t="n">
        <f aca="false">Sens!H8580</f>
        <v>7.55728773674082</v>
      </c>
      <c r="I8539" s="14" t="n">
        <f aca="false">Sens!I8580</f>
        <v>7.58010471963899</v>
      </c>
      <c r="J8539" s="14" t="n">
        <f aca="false">Sens!J8580</f>
        <v>7.59434623075687</v>
      </c>
      <c r="K8539" s="14" t="n">
        <f aca="false">Sens!K8580</f>
        <v>7.61086614845862</v>
      </c>
    </row>
    <row r="8540" customFormat="false" ht="17.15" hidden="false" customHeight="false" outlineLevel="0" collapsed="false">
      <c r="A8540" s="0" t="s">
        <v>917</v>
      </c>
      <c r="B8540" s="0" t="s">
        <v>75</v>
      </c>
      <c r="D8540" s="8" t="n">
        <f aca="false">Sens!D8538/Sens!D8539</f>
        <v>13.641259209645</v>
      </c>
      <c r="E8540" s="8" t="n">
        <f aca="false">Sens!E8538/Sens!E8539</f>
        <v>17.9456594659869</v>
      </c>
      <c r="F8540" s="8" t="n">
        <f aca="false">Sens!F8538/Sens!F8539</f>
        <v>18.3595856812943</v>
      </c>
      <c r="G8540" s="8" t="n">
        <f aca="false">Sens!G8538/Sens!G8539</f>
        <v>19.2387807135705</v>
      </c>
      <c r="H8540" s="8" t="n">
        <f aca="false">Sens!H8538/Sens!H8539</f>
        <v>19.6084755616595</v>
      </c>
      <c r="I8540" s="8" t="n">
        <f aca="false">Sens!I8538/Sens!I8539</f>
        <v>20.9270052647516</v>
      </c>
      <c r="J8540" s="8" t="n">
        <f aca="false">Sens!J8538/Sens!J8539</f>
        <v>22.5253756664555</v>
      </c>
      <c r="K8540" s="8" t="n">
        <f aca="false">Sens!K8538/Sens!K8539</f>
        <v>24.4004256566668</v>
      </c>
      <c r="L8540" s="1" t="s">
        <v>918</v>
      </c>
    </row>
    <row r="8541" customFormat="false" ht="17.15" hidden="false" customHeight="false" outlineLevel="0" collapsed="false">
      <c r="A8541" s="1" t="s">
        <v>919</v>
      </c>
      <c r="B8541" s="0" t="s">
        <v>98</v>
      </c>
      <c r="D8541" s="6" t="n">
        <f aca="false">Sens!D8538</f>
        <v>101.832</v>
      </c>
      <c r="E8541" s="6" t="n">
        <f aca="false">Sens!E8538</f>
        <v>133.749</v>
      </c>
      <c r="F8541" s="6" t="n">
        <f aca="false">Sens!F8538+Sens!F8531*(1-tax_f)</f>
        <v>153.844167183053</v>
      </c>
      <c r="G8541" s="6" t="n">
        <f aca="false">Sens!G8538+Sens!G8531*(1-tax_f)</f>
        <v>174.810978813272</v>
      </c>
      <c r="H8541" s="6" t="n">
        <f aca="false">Sens!H8538+Sens!H8531*(1-tax_f)</f>
        <v>192.963465215355</v>
      </c>
      <c r="I8541" s="6" t="n">
        <f aca="false">Sens!I8538+Sens!I8531*(1-tax_f)</f>
        <v>216.537833307056</v>
      </c>
      <c r="J8541" s="6" t="n">
        <f aca="false">Sens!J8538+Sens!J8531*(1-tax_f)</f>
        <v>238.1504251652</v>
      </c>
      <c r="K8541" s="6" t="n">
        <f aca="false">Sens!K8538+Sens!K8531*(1-tax_f)</f>
        <v>258.192109729369</v>
      </c>
    </row>
    <row r="8542" customFormat="false" ht="17.15" hidden="false" customHeight="false" outlineLevel="0" collapsed="false">
      <c r="A8542" s="0" t="s">
        <v>920</v>
      </c>
      <c r="B8542" s="0" t="s">
        <v>75</v>
      </c>
      <c r="D8542" s="8" t="n">
        <f aca="false">Sens!D8541/Sens!D8539</f>
        <v>13.641259209645</v>
      </c>
      <c r="E8542" s="8" t="n">
        <f aca="false">Sens!E8541/Sens!E8539</f>
        <v>17.9456594659869</v>
      </c>
      <c r="F8542" s="8" t="n">
        <f aca="false">Sens!F8541/Sens!F8539</f>
        <v>20.5852903168599</v>
      </c>
      <c r="G8542" s="8" t="n">
        <f aca="false">Sens!G8541/Sens!G8539</f>
        <v>23.2507785879194</v>
      </c>
      <c r="H8542" s="8" t="n">
        <f aca="false">Sens!H8541/Sens!H8539</f>
        <v>25.5334283855882</v>
      </c>
      <c r="I8542" s="8" t="n">
        <f aca="false">Sens!I8541/Sens!I8539</f>
        <v>28.5666018235918</v>
      </c>
      <c r="J8542" s="8" t="n">
        <f aca="false">Sens!J8541/Sens!J8539</f>
        <v>31.3589106855173</v>
      </c>
      <c r="K8542" s="8" t="n">
        <f aca="false">Sens!K8541/Sens!K8539</f>
        <v>33.9241427576096</v>
      </c>
      <c r="L8542" s="1" t="s">
        <v>921</v>
      </c>
    </row>
    <row r="8543" customFormat="false" ht="17.15" hidden="false" customHeight="false" outlineLevel="0" collapsed="false">
      <c r="A8543" s="0" t="s">
        <v>922</v>
      </c>
      <c r="B8543" s="0" t="s">
        <v>129</v>
      </c>
      <c r="E8543" s="7" t="n">
        <f aca="false">Sens!E8542/Sens!D8542-1</f>
        <v>0.315542736208578</v>
      </c>
      <c r="F8543" s="7" t="n">
        <f aca="false">Sens!F8542/Sens!E8542-1</f>
        <v>0.147090211751541</v>
      </c>
      <c r="G8543" s="7" t="n">
        <f aca="false">Sens!G8542/Sens!F8542-1</f>
        <v>0.129485094940651</v>
      </c>
      <c r="H8543" s="7" t="n">
        <f aca="false">Sens!H8542/Sens!G8542-1</f>
        <v>0.0981751982643195</v>
      </c>
      <c r="I8543" s="7" t="n">
        <f aca="false">Sens!I8542/Sens!H8542-1</f>
        <v>0.118792251169671</v>
      </c>
      <c r="J8543" s="7" t="n">
        <f aca="false">Sens!J8542/Sens!I8542-1</f>
        <v>0.0977473232262269</v>
      </c>
      <c r="K8543" s="7" t="n">
        <f aca="false">Sens!K8542/Sens!J8542-1</f>
        <v>0.0818023335637437</v>
      </c>
    </row>
    <row r="8544" customFormat="false" ht="17.15" hidden="false" customHeight="false" outlineLevel="0" collapsed="false">
      <c r="A8544" s="0" t="s">
        <v>846</v>
      </c>
      <c r="B8544" s="0" t="s">
        <v>98</v>
      </c>
      <c r="E8544" s="6" t="n">
        <f aca="false">Sens!E8485</f>
        <v>5.25</v>
      </c>
      <c r="F8544" s="6" t="n">
        <f aca="false">Sens!F8485</f>
        <v>10.5</v>
      </c>
      <c r="G8544" s="6" t="n">
        <f aca="false">Sens!G8485</f>
        <v>13.5</v>
      </c>
      <c r="H8544" s="6" t="n">
        <f aca="false">Sens!H8485</f>
        <v>16.5</v>
      </c>
      <c r="I8544" s="6" t="n">
        <f aca="false">Sens!I8485</f>
        <v>18.75</v>
      </c>
      <c r="J8544" s="6" t="n">
        <f aca="false">Sens!J8485</f>
        <v>20.25</v>
      </c>
      <c r="K8544" s="6" t="n">
        <f aca="false">Sens!K8485</f>
        <v>21.75</v>
      </c>
    </row>
    <row r="8545" customFormat="false" ht="17.15" hidden="false" customHeight="false" outlineLevel="0" collapsed="false">
      <c r="A8545" s="1" t="s">
        <v>847</v>
      </c>
      <c r="B8545" s="0" t="s">
        <v>98</v>
      </c>
      <c r="F8545" s="6" t="n">
        <f aca="false">MAX(0,(Sens!E8448+Sens!F8448)/2*Sens!F8456/1000-Sens!F8544*Sens!F8524)</f>
        <v>20.7922544923746</v>
      </c>
      <c r="G8545" s="6" t="n">
        <f aca="false">MAX(0,(Sens!F8448+Sens!G8448)/2*Sens!G8456/1000-Sens!G8544*Sens!G8524)</f>
        <v>37.7052575228648</v>
      </c>
      <c r="H8545" s="6" t="n">
        <f aca="false">MAX(0,(Sens!G8448+Sens!H8448)/2*Sens!H8456/1000-Sens!H8544*Sens!H8524)</f>
        <v>55.9707166463052</v>
      </c>
      <c r="I8545" s="6" t="n">
        <f aca="false">MAX(0,(Sens!H8448+Sens!I8448)/2*Sens!I8456/1000-Sens!I8544*Sens!I8524)</f>
        <v>72.386177414753</v>
      </c>
      <c r="J8545" s="6" t="n">
        <f aca="false">MAX(0,(Sens!I8448+Sens!J8448)/2*Sens!J8456/1000-Sens!J8544*Sens!J8524)</f>
        <v>83.8561542203386</v>
      </c>
      <c r="K8545" s="6" t="n">
        <f aca="false">MAX(0,(Sens!J8448+Sens!K8448)/2*Sens!K8456/1000-Sens!K8544*Sens!K8524)</f>
        <v>90.6046701138278</v>
      </c>
      <c r="L8545" s="1" t="s">
        <v>848</v>
      </c>
    </row>
    <row r="8546" customFormat="false" ht="17.15" hidden="false" customHeight="false" outlineLevel="0" collapsed="false">
      <c r="A8546" s="1" t="s">
        <v>849</v>
      </c>
      <c r="B8546" s="0" t="s">
        <v>98</v>
      </c>
      <c r="F8546" s="6" t="n">
        <f aca="false">IF(internal_ai_reading=2,1,0)*Sens!F8545</f>
        <v>20.7922544923746</v>
      </c>
      <c r="G8546" s="6" t="n">
        <f aca="false">IF(internal_ai_reading=2,1,0)*Sens!G8545</f>
        <v>37.7052575228648</v>
      </c>
      <c r="H8546" s="6" t="n">
        <f aca="false">IF(internal_ai_reading=2,1,0)*Sens!H8545</f>
        <v>55.9707166463052</v>
      </c>
      <c r="I8546" s="6" t="n">
        <f aca="false">IF(internal_ai_reading=2,1,0)*Sens!I8545</f>
        <v>72.386177414753</v>
      </c>
      <c r="J8546" s="6" t="n">
        <f aca="false">IF(internal_ai_reading=2,1,0)*Sens!J8545</f>
        <v>83.8561542203386</v>
      </c>
      <c r="K8546" s="6" t="n">
        <f aca="false">IF(internal_ai_reading=2,1,0)*Sens!K8545</f>
        <v>90.6046701138278</v>
      </c>
    </row>
    <row r="8547" customFormat="false" ht="17.15" hidden="false" customHeight="false" outlineLevel="0" collapsed="false">
      <c r="A8547" s="0" t="s">
        <v>850</v>
      </c>
      <c r="B8547" s="0" t="s">
        <v>98</v>
      </c>
      <c r="F8547" s="6" t="n">
        <f aca="false">Sens!F8465+Sens!F8544*Sens!F8524+Sens!F8546-Sens!F8466-Sens!F8476</f>
        <v>20.5669227320406</v>
      </c>
      <c r="G8547" s="6" t="n">
        <f aca="false">Sens!G8465+Sens!G8544*Sens!G8524+Sens!G8546-Sens!G8466-Sens!G8476</f>
        <v>26.3637874950672</v>
      </c>
      <c r="H8547" s="6" t="n">
        <f aca="false">Sens!H8465+Sens!H8544*Sens!H8524+Sens!H8546-Sens!H8466-Sens!H8476</f>
        <v>27.6569092902377</v>
      </c>
      <c r="I8547" s="6" t="n">
        <f aca="false">Sens!I8465+Sens!I8544*Sens!I8524+Sens!I8546-Sens!I8466-Sens!I8476</f>
        <v>35.2230075647201</v>
      </c>
      <c r="J8547" s="6" t="n">
        <f aca="false">Sens!J8465+Sens!J8544*Sens!J8524+Sens!J8546-Sens!J8466-Sens!J8476</f>
        <v>40.4155176199861</v>
      </c>
      <c r="K8547" s="6" t="n">
        <f aca="false">Sens!K8465+Sens!K8544*Sens!K8524+Sens!K8546-Sens!K8466-Sens!K8476</f>
        <v>44.3889827620475</v>
      </c>
    </row>
    <row r="8548" customFormat="false" ht="17.15" hidden="false" customHeight="false" outlineLevel="0" collapsed="false">
      <c r="A8548" s="0" t="s">
        <v>851</v>
      </c>
      <c r="B8548" s="0" t="s">
        <v>98</v>
      </c>
      <c r="E8548" s="6" t="n">
        <f aca="false">Sens!E8447*(cxit_open+self_build*tk_cxfac)/1000*ai_net_open</f>
        <v>126.6980382</v>
      </c>
      <c r="F8548" s="6" t="n">
        <f aca="false">Sens!E8548+Sens!F8473-Sens!F8476</f>
        <v>260.625054022471</v>
      </c>
      <c r="G8548" s="6" t="n">
        <f aca="false">Sens!F8548+Sens!G8473-Sens!G8476</f>
        <v>383.683974243894</v>
      </c>
      <c r="H8548" s="6" t="n">
        <f aca="false">Sens!G8548+Sens!H8473-Sens!H8476</f>
        <v>484.013417159718</v>
      </c>
      <c r="I8548" s="6" t="n">
        <f aca="false">Sens!H8548+Sens!I8473-Sens!I8476</f>
        <v>535.724519330305</v>
      </c>
      <c r="J8548" s="6" t="n">
        <f aca="false">Sens!I8548+Sens!J8473-Sens!J8476</f>
        <v>531.044758124293</v>
      </c>
      <c r="K8548" s="6" t="n">
        <f aca="false">Sens!J8548+Sens!K8473-Sens!K8476</f>
        <v>506.348019960319</v>
      </c>
      <c r="L8548" s="1" t="s">
        <v>852</v>
      </c>
    </row>
    <row r="8549" customFormat="false" ht="17.15" hidden="false" customHeight="false" outlineLevel="0" collapsed="false">
      <c r="A8549" s="0" t="s">
        <v>853</v>
      </c>
      <c r="B8549" s="0" t="s">
        <v>129</v>
      </c>
      <c r="F8549" s="7" t="n">
        <f aca="false">Sens!F8547*(1-tax_f)/((Sens!E8548+Sens!F8548)/2)</f>
        <v>0.0849602748507538</v>
      </c>
      <c r="G8549" s="7" t="n">
        <f aca="false">Sens!G8547*(1-tax_f)/((Sens!F8548+Sens!G8548)/2)</f>
        <v>0.0654686775158286</v>
      </c>
      <c r="H8549" s="7" t="n">
        <f aca="false">Sens!H8547*(1-tax_f)/((Sens!G8548+Sens!H8548)/2)</f>
        <v>0.0509982573449927</v>
      </c>
      <c r="I8549" s="7" t="n">
        <f aca="false">Sens!I8547*(1-tax_f)/((Sens!H8548+Sens!I8548)/2)</f>
        <v>0.0552659757834788</v>
      </c>
      <c r="J8549" s="7" t="n">
        <f aca="false">Sens!J8547*(1-tax_f)/((Sens!I8548+Sens!J8548)/2)</f>
        <v>0.0606174451764054</v>
      </c>
      <c r="K8549" s="7" t="n">
        <f aca="false">Sens!K8547*(1-tax_f)/((Sens!J8548+Sens!K8548)/2)</f>
        <v>0.0684623740589442</v>
      </c>
    </row>
    <row r="8550" customFormat="false" ht="17.15" hidden="false" customHeight="false" outlineLevel="0" collapsed="false">
      <c r="A8550" s="1" t="s">
        <v>854</v>
      </c>
      <c r="B8550" s="0" t="s">
        <v>129</v>
      </c>
      <c r="F8550" s="7" t="n">
        <f aca="false">(Sens!F8547-Sens!F8546)*(1-tax_f)/((Sens!E8548+Sens!F8548)/2)</f>
        <v>-0.000930827063435962</v>
      </c>
      <c r="G8550" s="7" t="n">
        <f aca="false">(Sens!G8547-Sens!G8546)*(1-tax_f)/((Sens!F8548+Sens!G8548)/2)</f>
        <v>-0.0281640505539745</v>
      </c>
      <c r="H8550" s="7" t="n">
        <f aca="false">(Sens!H8547-Sens!H8546)*(1-tax_f)/((Sens!G8548+Sens!H8548)/2)</f>
        <v>-0.0522095516461403</v>
      </c>
      <c r="I8550" s="7" t="n">
        <f aca="false">(Sens!I8547-Sens!I8546)*(1-tax_f)/((Sens!H8548+Sens!I8548)/2)</f>
        <v>-0.0583101497279977</v>
      </c>
      <c r="J8550" s="7" t="n">
        <f aca="false">(Sens!J8547-Sens!J8546)*(1-tax_f)/((Sens!I8548+Sens!J8548)/2)</f>
        <v>-0.0651546871751022</v>
      </c>
      <c r="K8550" s="7" t="n">
        <f aca="false">(Sens!K8547-Sens!K8546)*(1-tax_f)/((Sens!J8548+Sens!K8548)/2)</f>
        <v>-0.0712797518210768</v>
      </c>
    </row>
    <row r="8551" customFormat="false" ht="17.15" hidden="false" customHeight="false" outlineLevel="0" collapsed="false">
      <c r="A8551" s="1" t="s">
        <v>855</v>
      </c>
      <c r="B8551" s="0" t="s">
        <v>129</v>
      </c>
      <c r="F8551" s="7" t="n">
        <f aca="false">(Sens!F8547-Sens!F8546+Sens!F8545)*(1-tax_f)/((Sens!E8548+Sens!F8548)/2)</f>
        <v>0.0849602748507538</v>
      </c>
      <c r="G8551" s="7" t="n">
        <f aca="false">(Sens!G8547-Sens!G8546+Sens!G8545)*(1-tax_f)/((Sens!F8548+Sens!G8548)/2)</f>
        <v>0.0654686775158286</v>
      </c>
      <c r="H8551" s="7" t="n">
        <f aca="false">(Sens!H8547-Sens!H8546+Sens!H8545)*(1-tax_f)/((Sens!G8548+Sens!H8548)/2)</f>
        <v>0.0509982573449927</v>
      </c>
      <c r="I8551" s="7" t="n">
        <f aca="false">(Sens!I8547-Sens!I8546+Sens!I8545)*(1-tax_f)/((Sens!H8548+Sens!I8548)/2)</f>
        <v>0.0552659757834788</v>
      </c>
      <c r="J8551" s="7" t="n">
        <f aca="false">(Sens!J8547-Sens!J8546+Sens!J8545)*(1-tax_f)/((Sens!I8548+Sens!J8548)/2)</f>
        <v>0.0606174451764054</v>
      </c>
      <c r="K8551" s="7" t="n">
        <f aca="false">(Sens!K8547-Sens!K8546+Sens!K8545)*(1-tax_f)/((Sens!J8548+Sens!K8548)/2)</f>
        <v>0.0684623740589442</v>
      </c>
    </row>
    <row r="8552" customFormat="false" ht="17.15" hidden="false" customHeight="false" outlineLevel="0" collapsed="false">
      <c r="A8552" s="1" t="s">
        <v>856</v>
      </c>
      <c r="B8552" s="0" t="s">
        <v>129</v>
      </c>
      <c r="F8552" s="7" t="n">
        <f aca="false">Sens!F8477*(1-tax_f)/(Sens!F8464*(Sens!E8548+Sens!F8548)/2)</f>
        <v>0.0978371216791227</v>
      </c>
      <c r="G8552" s="7" t="n">
        <f aca="false">Sens!G8477*(1-tax_f)/(Sens!G8464*(Sens!F8548+Sens!G8548)/2)</f>
        <v>0.065978033582692</v>
      </c>
      <c r="H8552" s="7" t="n">
        <f aca="false">Sens!H8477*(1-tax_f)/(Sens!H8464*(Sens!G8548+Sens!H8548)/2)</f>
        <v>0.0388128063367095</v>
      </c>
      <c r="I8552" s="7" t="n">
        <f aca="false">Sens!I8477*(1-tax_f)/(Sens!I8464*(Sens!H8548+Sens!I8548)/2)</f>
        <v>0.0420316079811218</v>
      </c>
      <c r="J8552" s="7" t="n">
        <f aca="false">Sens!J8477*(1-tax_f)/(Sens!J8464*(Sens!I8548+Sens!J8548)/2)</f>
        <v>0.0460761467971745</v>
      </c>
      <c r="K8552" s="7" t="n">
        <f aca="false">Sens!K8477*(1-tax_f)/(Sens!K8464*(Sens!J8548+Sens!K8548)/2)</f>
        <v>0.0524119302579557</v>
      </c>
    </row>
    <row r="8553" customFormat="false" ht="17.15" hidden="false" customHeight="false" outlineLevel="0" collapsed="false">
      <c r="A8553" s="0" t="s">
        <v>857</v>
      </c>
      <c r="B8553" s="0" t="s">
        <v>209</v>
      </c>
      <c r="F8553" s="7" t="n">
        <f aca="false">Sens!F8549-wacc</f>
        <v>-0.0179741452421219</v>
      </c>
      <c r="G8553" s="7" t="n">
        <f aca="false">Sens!G8549-wacc</f>
        <v>-0.0374657425770471</v>
      </c>
      <c r="H8553" s="7" t="n">
        <f aca="false">Sens!H8549-wacc</f>
        <v>-0.051936162747883</v>
      </c>
      <c r="I8553" s="7" t="n">
        <f aca="false">Sens!I8549-wacc</f>
        <v>-0.047668444309397</v>
      </c>
      <c r="J8553" s="7" t="n">
        <f aca="false">Sens!J8549-wacc</f>
        <v>-0.0423169749164703</v>
      </c>
      <c r="K8553" s="7" t="n">
        <f aca="false">Sens!K8549-wacc</f>
        <v>-0.0344720460339316</v>
      </c>
    </row>
    <row r="8554" customFormat="false" ht="17.15" hidden="false" customHeight="false" outlineLevel="0" collapsed="false">
      <c r="A8554" s="0" t="s">
        <v>858</v>
      </c>
      <c r="B8554" s="0" t="s">
        <v>98</v>
      </c>
      <c r="F8554" s="6" t="n">
        <f aca="false">Sens!F8547*(1-tax_f)-wacc*(Sens!E8548+Sens!F8548)/2</f>
        <v>-3.48090075761724</v>
      </c>
      <c r="G8554" s="6" t="n">
        <f aca="false">Sens!G8547*(1-tax_f)-wacc*(Sens!F8548+Sens!G8548)/2</f>
        <v>-12.0697580965475</v>
      </c>
      <c r="H8554" s="6" t="n">
        <f aca="false">Sens!H8547*(1-tax_f)-wacc*(Sens!G8548+Sens!H8548)/2</f>
        <v>-22.5324364679258</v>
      </c>
      <c r="I8554" s="6" t="n">
        <f aca="false">Sens!I8547*(1-tax_f)-wacc*(Sens!H8548+Sens!I8548)/2</f>
        <v>-24.304660517877</v>
      </c>
      <c r="J8554" s="6" t="n">
        <f aca="false">Sens!J8547*(1-tax_f)-wacc*(Sens!I8548+Sens!J8548)/2</f>
        <v>-22.5712243778537</v>
      </c>
      <c r="K8554" s="6" t="n">
        <f aca="false">Sens!K8547*(1-tax_f)-wacc*(Sens!J8548+Sens!K8548)/2</f>
        <v>-17.8805258007004</v>
      </c>
    </row>
    <row r="8555" customFormat="false" ht="17.15" hidden="false" customHeight="false" outlineLevel="0" collapsed="false">
      <c r="A8555" s="3" t="s">
        <v>1457</v>
      </c>
    </row>
    <row r="8556" customFormat="false" ht="15" hidden="false" customHeight="false" outlineLevel="0" collapsed="false">
      <c r="A8556" s="4" t="s">
        <v>43</v>
      </c>
      <c r="B8556" s="4" t="s">
        <v>65</v>
      </c>
      <c r="C8556" s="20" t="s">
        <v>788</v>
      </c>
      <c r="D8556" s="20" t="s">
        <v>789</v>
      </c>
      <c r="E8556" s="20" t="s">
        <v>790</v>
      </c>
      <c r="F8556" s="20" t="s">
        <v>791</v>
      </c>
      <c r="G8556" s="20" t="s">
        <v>792</v>
      </c>
      <c r="H8556" s="20" t="s">
        <v>793</v>
      </c>
      <c r="I8556" s="20" t="s">
        <v>794</v>
      </c>
      <c r="J8556" s="20" t="s">
        <v>795</v>
      </c>
      <c r="K8556" s="20" t="s">
        <v>796</v>
      </c>
      <c r="L8556" s="4" t="s">
        <v>47</v>
      </c>
    </row>
    <row r="8557" customFormat="false" ht="15" hidden="false" customHeight="false" outlineLevel="0" collapsed="false">
      <c r="A8557" s="1" t="s">
        <v>915</v>
      </c>
      <c r="B8557" s="0" t="s">
        <v>98</v>
      </c>
      <c r="F8557" s="6" t="n">
        <f aca="false">Sens!F8538</f>
        <v>137.210363589153</v>
      </c>
      <c r="G8557" s="6" t="n">
        <f aca="false">Sens!G8538</f>
        <v>144.64677279498</v>
      </c>
      <c r="H8557" s="6" t="n">
        <f aca="false">Sens!H8538</f>
        <v>148.186891898311</v>
      </c>
      <c r="I8557" s="6" t="n">
        <f aca="false">Sens!I8538</f>
        <v>158.628891375253</v>
      </c>
      <c r="J8557" s="6" t="n">
        <f aca="false">Sens!J8538</f>
        <v>171.065501788929</v>
      </c>
      <c r="K8557" s="6" t="n">
        <f aca="false">Sens!K8538</f>
        <v>185.708373638306</v>
      </c>
    </row>
    <row r="8558" customFormat="false" ht="17.15" hidden="false" customHeight="false" outlineLevel="0" collapsed="false">
      <c r="A8558" s="1" t="s">
        <v>937</v>
      </c>
      <c r="B8558" s="0" t="s">
        <v>98</v>
      </c>
      <c r="E8558" s="6" t="n">
        <f aca="false">Q!M38-Sens!E8476</f>
        <v>22.2285940229167</v>
      </c>
      <c r="F8558" s="6" t="n">
        <f aca="false">Sens!E8558*(1-1/life_nonai)+Sens!F8564/life_nonai</f>
        <v>23.5585531427191</v>
      </c>
      <c r="G8558" s="6" t="n">
        <f aca="false">Sens!F8558*(1-1/life_nonai)+Sens!G8564/life_nonai</f>
        <v>25.3088837179903</v>
      </c>
      <c r="H8558" s="6" t="n">
        <f aca="false">Sens!G8558*(1-1/life_nonai)+Sens!H8564/life_nonai</f>
        <v>27.4693559038815</v>
      </c>
      <c r="I8558" s="6" t="n">
        <f aca="false">Sens!H8558*(1-1/life_nonai)+Sens!I8564/life_nonai</f>
        <v>30.0099445646696</v>
      </c>
      <c r="J8558" s="6" t="n">
        <f aca="false">Sens!I8558*(1-1/life_nonai)+Sens!J8564/life_nonai</f>
        <v>32.8868684707056</v>
      </c>
      <c r="K8558" s="6" t="n">
        <f aca="false">Sens!J8558*(1-1/life_nonai)+Sens!K8564/life_nonai</f>
        <v>36.0485732736474</v>
      </c>
      <c r="L8558" s="11" t="s">
        <v>938</v>
      </c>
    </row>
    <row r="8559" customFormat="false" ht="17.15" hidden="false" customHeight="false" outlineLevel="0" collapsed="false">
      <c r="A8559" s="1" t="s">
        <v>939</v>
      </c>
      <c r="B8559" s="0" t="s">
        <v>98</v>
      </c>
      <c r="E8559" s="6" t="n">
        <f aca="false">Sens!E8476+Sens!E8558</f>
        <v>38.534</v>
      </c>
      <c r="F8559" s="6" t="n">
        <f aca="false">Sens!F8476+Sens!F8558</f>
        <v>58.3033520993074</v>
      </c>
      <c r="G8559" s="6" t="n">
        <f aca="false">Sens!G8476+Sens!G8558</f>
        <v>85.8241439797669</v>
      </c>
      <c r="H8559" s="6" t="n">
        <f aca="false">Sens!H8476+Sens!H8558</f>
        <v>115.220198898458</v>
      </c>
      <c r="I8559" s="6" t="n">
        <f aca="false">Sens!I8476+Sens!I8558</f>
        <v>142.005511548328</v>
      </c>
      <c r="J8559" s="6" t="n">
        <f aca="false">Sens!J8476+Sens!J8558</f>
        <v>162.079106394808</v>
      </c>
      <c r="K8559" s="6" t="n">
        <f aca="false">Sens!K8476+Sens!K8558</f>
        <v>175.704747079558</v>
      </c>
    </row>
    <row r="8560" customFormat="false" ht="17.15" hidden="false" customHeight="false" outlineLevel="0" collapsed="false">
      <c r="A8560" s="1" t="s">
        <v>940</v>
      </c>
      <c r="B8560" s="0" t="s">
        <v>98</v>
      </c>
      <c r="F8560" s="6" t="n">
        <f aca="false">Sens!F8503*sbc_r</f>
        <v>14.7287090110727</v>
      </c>
      <c r="G8560" s="6" t="n">
        <f aca="false">Sens!G8503*sbc_r</f>
        <v>17.1283291359249</v>
      </c>
      <c r="H8560" s="6" t="n">
        <f aca="false">Sens!H8503*sbc_r</f>
        <v>19.4237519663131</v>
      </c>
      <c r="I8560" s="6" t="n">
        <f aca="false">Sens!I8503*sbc_r</f>
        <v>21.8831586819544</v>
      </c>
      <c r="J8560" s="6" t="n">
        <f aca="false">Sens!J8503*sbc_r</f>
        <v>24.0458150662157</v>
      </c>
      <c r="K8560" s="6" t="n">
        <f aca="false">Sens!K8503*sbc_r</f>
        <v>25.9308918809574</v>
      </c>
    </row>
    <row r="8561" customFormat="false" ht="17.15" hidden="false" customHeight="false" outlineLevel="0" collapsed="false">
      <c r="A8561" s="1" t="s">
        <v>941</v>
      </c>
      <c r="B8561" s="0" t="s">
        <v>98</v>
      </c>
      <c r="F8561" s="6" t="n">
        <f aca="false">wc27</f>
        <v>-4.895</v>
      </c>
      <c r="G8561" s="6" t="n">
        <f aca="false">wc_f</f>
        <v>0</v>
      </c>
      <c r="H8561" s="6" t="n">
        <f aca="false">wc_f</f>
        <v>0</v>
      </c>
      <c r="I8561" s="6" t="n">
        <f aca="false">wc_f</f>
        <v>0</v>
      </c>
      <c r="J8561" s="6" t="n">
        <f aca="false">wc_f</f>
        <v>0</v>
      </c>
      <c r="K8561" s="6" t="n">
        <f aca="false">wc_f</f>
        <v>0</v>
      </c>
      <c r="L8561" s="11" t="s">
        <v>942</v>
      </c>
    </row>
    <row r="8562" customFormat="false" ht="15" hidden="false" customHeight="false" outlineLevel="0" collapsed="false">
      <c r="A8562" s="1" t="s">
        <v>756</v>
      </c>
      <c r="B8562" s="0" t="s">
        <v>98</v>
      </c>
      <c r="E8562" s="6" t="n">
        <f aca="false">Q!M35</f>
        <v>182.935</v>
      </c>
      <c r="F8562" s="6" t="n">
        <f aca="false">Sens!F8557+Sens!F8559+Sens!F8560+Sens!F8561</f>
        <v>205.347424699533</v>
      </c>
      <c r="G8562" s="6" t="n">
        <f aca="false">Sens!G8557+Sens!G8559+Sens!G8560+Sens!G8561</f>
        <v>247.599245910672</v>
      </c>
      <c r="H8562" s="6" t="n">
        <f aca="false">Sens!H8557+Sens!H8559+Sens!H8560+Sens!H8561</f>
        <v>282.830842763082</v>
      </c>
      <c r="I8562" s="6" t="n">
        <f aca="false">Sens!I8557+Sens!I8559+Sens!I8560+Sens!I8561</f>
        <v>322.517561605535</v>
      </c>
      <c r="J8562" s="6" t="n">
        <f aca="false">Sens!J8557+Sens!J8559+Sens!J8560+Sens!J8561</f>
        <v>357.190423249953</v>
      </c>
      <c r="K8562" s="6" t="n">
        <f aca="false">Sens!K8557+Sens!K8559+Sens!K8560+Sens!K8561</f>
        <v>387.344012598822</v>
      </c>
    </row>
    <row r="8563" customFormat="false" ht="17.15" hidden="false" customHeight="false" outlineLevel="0" collapsed="false">
      <c r="A8563" s="0" t="s">
        <v>943</v>
      </c>
      <c r="B8563" s="0" t="s">
        <v>98</v>
      </c>
      <c r="F8563" s="6" t="n">
        <f aca="false">Sens!F8473</f>
        <v>168.671814779059</v>
      </c>
      <c r="G8563" s="6" t="n">
        <f aca="false">Sens!G8473</f>
        <v>183.5741804832</v>
      </c>
      <c r="H8563" s="6" t="n">
        <f aca="false">Sens!H8473</f>
        <v>188.0802859104</v>
      </c>
      <c r="I8563" s="6" t="n">
        <f aca="false">Sens!I8473</f>
        <v>163.706669154245</v>
      </c>
      <c r="J8563" s="6" t="n">
        <f aca="false">Sens!J8473</f>
        <v>124.51247671809</v>
      </c>
      <c r="K8563" s="6" t="n">
        <f aca="false">Sens!K8473</f>
        <v>114.959435641936</v>
      </c>
    </row>
    <row r="8564" customFormat="false" ht="17.15" hidden="false" customHeight="false" outlineLevel="0" collapsed="false">
      <c r="A8564" s="1" t="s">
        <v>944</v>
      </c>
      <c r="B8564" s="0" t="s">
        <v>98</v>
      </c>
      <c r="E8564" s="6" t="n">
        <f aca="false">Sens!E8481*cx_azo+Sens!E8488*cx_m365+Sens!E8489*cx_lic+(Sens!E8491+Sens!E8493)*cx_ind+Sens!E8496*cx_srch+(Sens!E8498+Sens!E8500)*cx_dev</f>
        <v>30.1846587067718</v>
      </c>
      <c r="F8564" s="6" t="n">
        <f aca="false">Sens!F8481*cx_azo+Sens!F8488*cx_m365+Sens!F8489*cx_lic+(Sens!F8491+Sens!F8493)*cx_ind+Sens!F8496*cx_srch+(Sens!F8498+Sens!F8500)*cx_dev</f>
        <v>35.5281852209409</v>
      </c>
      <c r="G8564" s="6" t="n">
        <f aca="false">Sens!G8481*cx_azo+Sens!G8488*cx_m365+Sens!G8489*cx_lic+(Sens!G8491+Sens!G8493)*cx_ind+Sens!G8496*cx_srch+(Sens!G8498+Sens!G8500)*cx_dev</f>
        <v>41.0618588954315</v>
      </c>
      <c r="H8564" s="6" t="n">
        <f aca="false">Sens!H8481*cx_azo+Sens!H8488*cx_m365+Sens!H8489*cx_lic+(Sens!H8491+Sens!H8493)*cx_ind+Sens!H8496*cx_srch+(Sens!H8498+Sens!H8500)*cx_dev</f>
        <v>46.913605576902</v>
      </c>
      <c r="I8564" s="6" t="n">
        <f aca="false">Sens!I8481*cx_azo+Sens!I8488*cx_m365+Sens!I8489*cx_lic+(Sens!I8491+Sens!I8493)*cx_ind+Sens!I8496*cx_srch+(Sens!I8498+Sens!I8500)*cx_dev</f>
        <v>52.8752425117621</v>
      </c>
      <c r="J8564" s="6" t="n">
        <f aca="false">Sens!J8481*cx_azo+Sens!J8488*cx_m365+Sens!J8489*cx_lic+(Sens!J8491+Sens!J8493)*cx_ind+Sens!J8496*cx_srch+(Sens!J8498+Sens!J8500)*cx_dev</f>
        <v>58.7791836250298</v>
      </c>
      <c r="K8564" s="6" t="n">
        <f aca="false">Sens!K8481*cx_azo+Sens!K8488*cx_m365+Sens!K8489*cx_lic+(Sens!K8491+Sens!K8493)*cx_ind+Sens!K8496*cx_srch+(Sens!K8498+Sens!K8500)*cx_dev</f>
        <v>64.5039165001234</v>
      </c>
    </row>
    <row r="8565" customFormat="false" ht="17.15" hidden="false" customHeight="false" outlineLevel="0" collapsed="false">
      <c r="A8565" s="1" t="s">
        <v>945</v>
      </c>
      <c r="B8565" s="0" t="s">
        <v>98</v>
      </c>
      <c r="E8565" s="6" t="n">
        <f aca="false">Q!M42</f>
        <v>145.3</v>
      </c>
      <c r="F8565" s="6" t="n">
        <f aca="false">Sens!F8563+Sens!F8564</f>
        <v>204.2</v>
      </c>
      <c r="G8565" s="6" t="n">
        <f aca="false">Sens!G8563+Sens!G8564</f>
        <v>224.636039378632</v>
      </c>
      <c r="H8565" s="6" t="n">
        <f aca="false">Sens!H8563+Sens!H8564</f>
        <v>234.993891487302</v>
      </c>
      <c r="I8565" s="6" t="n">
        <f aca="false">Sens!I8563+Sens!I8564</f>
        <v>216.581911666008</v>
      </c>
      <c r="J8565" s="6" t="n">
        <f aca="false">Sens!J8563+Sens!J8564</f>
        <v>183.29166034312</v>
      </c>
      <c r="K8565" s="6" t="n">
        <f aca="false">Sens!K8563+Sens!K8564</f>
        <v>179.463352142059</v>
      </c>
      <c r="L8565" s="1" t="s">
        <v>946</v>
      </c>
    </row>
    <row r="8566" customFormat="false" ht="15" hidden="false" customHeight="false" outlineLevel="0" collapsed="false">
      <c r="A8566" s="1" t="s">
        <v>947</v>
      </c>
      <c r="B8566" s="0" t="s">
        <v>98</v>
      </c>
      <c r="E8566" s="6" t="n">
        <f aca="false">fl_liab</f>
        <v>66.594</v>
      </c>
      <c r="F8566" s="6" t="n">
        <f aca="false">Sens!E8566-Sens!F8567</f>
        <v>62.46973</v>
      </c>
      <c r="G8566" s="6" t="n">
        <f aca="false">Sens!F8566-Sens!G8567</f>
        <v>57.98686785</v>
      </c>
      <c r="H8566" s="6" t="n">
        <f aca="false">Sens!G8566-Sens!H8567</f>
        <v>53.92827690325</v>
      </c>
      <c r="I8566" s="6" t="n">
        <f aca="false">Sens!H8566-Sens!I8567</f>
        <v>49.7850493638962</v>
      </c>
      <c r="J8566" s="6" t="n">
        <f aca="false">Sens!I8566-Sens!J8567</f>
        <v>45.4823765852716</v>
      </c>
      <c r="K8566" s="6" t="n">
        <f aca="false">Sens!J8566-Sens!K8567</f>
        <v>40.9860835316088</v>
      </c>
    </row>
    <row r="8567" customFormat="false" ht="15" hidden="false" customHeight="false" outlineLevel="0" collapsed="false">
      <c r="A8567" s="1" t="s">
        <v>948</v>
      </c>
      <c r="B8567" s="0" t="s">
        <v>98</v>
      </c>
      <c r="F8567" s="6" t="n">
        <f aca="false">fl_pay_27-Sens!E8566*fl_rate</f>
        <v>4.12427</v>
      </c>
      <c r="G8567" s="6" t="n">
        <f aca="false">fl_pay_28-Sens!F8566*fl_rate</f>
        <v>4.48286215</v>
      </c>
      <c r="H8567" s="6" t="n">
        <f aca="false">fl_pay_29-Sens!G8566*fl_rate</f>
        <v>4.05859094675</v>
      </c>
      <c r="I8567" s="6" t="n">
        <f aca="false">fl_pay_30-Sens!H8566*fl_rate</f>
        <v>4.14322753935375</v>
      </c>
      <c r="J8567" s="6" t="n">
        <f aca="false">fl_pay_31-Sens!I8566*fl_rate</f>
        <v>4.30267277862467</v>
      </c>
      <c r="K8567" s="6" t="n">
        <f aca="false">fl_pay_32-Sens!J8566*fl_rate</f>
        <v>4.49629305366278</v>
      </c>
    </row>
    <row r="8568" customFormat="false" ht="17.15" hidden="false" customHeight="false" outlineLevel="0" collapsed="false">
      <c r="A8568" s="1" t="s">
        <v>949</v>
      </c>
      <c r="B8568" s="0" t="s">
        <v>98</v>
      </c>
      <c r="E8568" s="6" t="n">
        <f aca="false">Q!M35-Q!M36-Q!M43</f>
        <v>63.886</v>
      </c>
      <c r="F8568" s="6" t="n">
        <f aca="false">Sens!F8562-Sens!F8565-Sens!F8567</f>
        <v>-2.97684530046712</v>
      </c>
      <c r="G8568" s="6" t="n">
        <f aca="false">Sens!G8562-Sens!G8565-Sens!G8567</f>
        <v>18.4803443820402</v>
      </c>
      <c r="H8568" s="6" t="n">
        <f aca="false">Sens!H8562-Sens!H8565-Sens!H8567</f>
        <v>43.7783603290302</v>
      </c>
      <c r="I8568" s="6" t="n">
        <f aca="false">Sens!I8562-Sens!I8565-Sens!I8567</f>
        <v>101.792422400174</v>
      </c>
      <c r="J8568" s="6" t="n">
        <f aca="false">Sens!J8562-Sens!J8565-Sens!J8567</f>
        <v>169.596090128208</v>
      </c>
      <c r="K8568" s="6" t="n">
        <f aca="false">Sens!K8562-Sens!K8565-Sens!K8567</f>
        <v>203.384367403099</v>
      </c>
      <c r="L8568" s="11" t="s">
        <v>950</v>
      </c>
    </row>
    <row r="8569" customFormat="false" ht="15" hidden="false" customHeight="false" outlineLevel="0" collapsed="false">
      <c r="A8569" s="1" t="s">
        <v>951</v>
      </c>
      <c r="B8569" s="0" t="s">
        <v>75</v>
      </c>
      <c r="F8569" s="8" t="n">
        <f aca="false">dps_27</f>
        <v>3.85</v>
      </c>
      <c r="G8569" s="8" t="n">
        <f aca="false">Sens!F8569*(1+dps_g)</f>
        <v>4.158</v>
      </c>
      <c r="H8569" s="8" t="n">
        <f aca="false">Sens!G8569*(1+dps_g)</f>
        <v>4.49064</v>
      </c>
      <c r="I8569" s="8" t="n">
        <f aca="false">Sens!H8569*(1+dps_g)</f>
        <v>4.8498912</v>
      </c>
      <c r="J8569" s="8" t="n">
        <f aca="false">Sens!I8569*(1+dps_g)</f>
        <v>5.237882496</v>
      </c>
      <c r="K8569" s="8" t="n">
        <f aca="false">Sens!J8569*(1+dps_g)</f>
        <v>5.65691309568</v>
      </c>
    </row>
    <row r="8570" customFormat="false" ht="17.15" hidden="false" customHeight="false" outlineLevel="0" collapsed="false">
      <c r="A8570" s="1" t="s">
        <v>952</v>
      </c>
      <c r="B8570" s="0" t="s">
        <v>98</v>
      </c>
      <c r="E8570" s="6" t="n">
        <f aca="false">Q!M41</f>
        <v>26.445</v>
      </c>
      <c r="F8570" s="6" t="n">
        <f aca="false">Sens!F8569*Sens!E8579</f>
        <v>28.59395</v>
      </c>
      <c r="G8570" s="6" t="n">
        <f aca="false">Sens!G8569*Sens!F8579</f>
        <v>31.068576</v>
      </c>
      <c r="H8570" s="6" t="n">
        <f aca="false">Sens!H8569*Sens!G8579</f>
        <v>33.75614088</v>
      </c>
      <c r="I8570" s="6" t="n">
        <f aca="false">Sens!I8569*Sens!H8579</f>
        <v>36.6146196525744</v>
      </c>
      <c r="J8570" s="6" t="n">
        <f aca="false">Sens!J8569*Sens!I8579</f>
        <v>39.6121880730998</v>
      </c>
      <c r="K8570" s="6" t="n">
        <f aca="false">Sens!K8569*Sens!J8579</f>
        <v>42.8684183442528</v>
      </c>
      <c r="L8570" s="1" t="s">
        <v>953</v>
      </c>
    </row>
    <row r="8571" customFormat="false" ht="15" hidden="false" customHeight="false" outlineLevel="0" collapsed="false">
      <c r="A8571" s="1" t="s">
        <v>954</v>
      </c>
      <c r="B8571" s="0" t="s">
        <v>98</v>
      </c>
      <c r="E8571" s="6" t="n">
        <f aca="false">Sens!E8568-Sens!E8570</f>
        <v>37.441</v>
      </c>
      <c r="F8571" s="6" t="n">
        <f aca="false">Sens!F8568-Sens!F8570</f>
        <v>-31.5707953004671</v>
      </c>
      <c r="G8571" s="6" t="n">
        <f aca="false">Sens!G8568-Sens!G8570</f>
        <v>-12.5882316179598</v>
      </c>
      <c r="H8571" s="6" t="n">
        <f aca="false">Sens!H8568-Sens!H8570</f>
        <v>10.0222194490302</v>
      </c>
      <c r="I8571" s="6" t="n">
        <f aca="false">Sens!I8568-Sens!I8570</f>
        <v>65.1778027475996</v>
      </c>
      <c r="J8571" s="6" t="n">
        <f aca="false">Sens!J8568-Sens!J8570</f>
        <v>129.983902055108</v>
      </c>
      <c r="K8571" s="6" t="n">
        <f aca="false">Sens!K8568-Sens!K8570</f>
        <v>160.515949058847</v>
      </c>
    </row>
    <row r="8572" customFormat="false" ht="15" hidden="false" customHeight="false" outlineLevel="0" collapsed="false">
      <c r="A8572" s="1" t="s">
        <v>955</v>
      </c>
      <c r="B8572" s="0" t="s">
        <v>98</v>
      </c>
      <c r="F8572" s="6" t="n">
        <f aca="false">debt_mat_27</f>
        <v>9.25</v>
      </c>
      <c r="G8572" s="6" t="n">
        <f aca="false">debt_mat_28</f>
        <v>0</v>
      </c>
      <c r="H8572" s="6" t="n">
        <f aca="false">debt_mat_29</f>
        <v>2.001</v>
      </c>
      <c r="I8572" s="6" t="n">
        <f aca="false">debt_mat_30</f>
        <v>0</v>
      </c>
      <c r="J8572" s="6" t="n">
        <f aca="false">debt_mat_31</f>
        <v>0.5</v>
      </c>
      <c r="K8572" s="6" t="n">
        <f aca="false">debt_mat_32</f>
        <v>0</v>
      </c>
    </row>
    <row r="8573" customFormat="false" ht="15" hidden="false" customHeight="false" outlineLevel="0" collapsed="false">
      <c r="A8573" s="1" t="s">
        <v>956</v>
      </c>
      <c r="B8573" s="0" t="s">
        <v>98</v>
      </c>
      <c r="E8573" s="6" t="n">
        <f aca="false">Q!M40</f>
        <v>22.271</v>
      </c>
      <c r="F8573" s="6" t="n">
        <f aca="false">MAX(0,MIN(bb_target,Sens!E8575+Sens!F8571-Sens!F8572-min_cash))</f>
        <v>0</v>
      </c>
      <c r="G8573" s="6" t="n">
        <f aca="false">MAX(0,MIN(bb_target,Sens!F8575+Sens!G8571-Sens!G8572-min_cash))</f>
        <v>0</v>
      </c>
      <c r="H8573" s="6" t="n">
        <f aca="false">MAX(0,MIN(bb_target,Sens!G8575+Sens!H8571-Sens!H8572-min_cash))</f>
        <v>8.02121944903022</v>
      </c>
      <c r="I8573" s="6" t="n">
        <f aca="false">MAX(0,MIN(bb_target,Sens!H8575+Sens!I8571-Sens!I8572-min_cash))</f>
        <v>22.271</v>
      </c>
      <c r="J8573" s="6" t="n">
        <f aca="false">MAX(0,MIN(bb_target,Sens!I8575+Sens!J8571-Sens!J8572-min_cash))</f>
        <v>22.271</v>
      </c>
      <c r="K8573" s="6" t="n">
        <f aca="false">MAX(0,MIN(bb_target,Sens!J8575+Sens!K8571-Sens!K8572-min_cash))</f>
        <v>22.271</v>
      </c>
    </row>
    <row r="8574" customFormat="false" ht="15" hidden="false" customHeight="false" outlineLevel="0" collapsed="false">
      <c r="A8574" s="1" t="s">
        <v>957</v>
      </c>
      <c r="B8574" s="0" t="s">
        <v>98</v>
      </c>
      <c r="F8574" s="6" t="n">
        <f aca="false">MAX(0,min_cash-(Sens!E8575+Sens!F8571-Sens!F8572-Sens!F8573))</f>
        <v>13.9777953004671</v>
      </c>
      <c r="G8574" s="6" t="n">
        <f aca="false">MAX(0,min_cash-(Sens!F8575+Sens!G8571-Sens!G8572-Sens!G8573))</f>
        <v>12.5882316179598</v>
      </c>
      <c r="H8574" s="6" t="n">
        <f aca="false">MAX(0,min_cash-(Sens!G8575+Sens!H8571-Sens!H8572-Sens!H8573))</f>
        <v>0</v>
      </c>
      <c r="I8574" s="6" t="n">
        <f aca="false">MAX(0,min_cash-(Sens!H8575+Sens!I8571-Sens!I8572-Sens!I8573))</f>
        <v>0</v>
      </c>
      <c r="J8574" s="6" t="n">
        <f aca="false">MAX(0,min_cash-(Sens!I8575+Sens!J8571-Sens!J8572-Sens!J8573))</f>
        <v>0</v>
      </c>
      <c r="K8574" s="6" t="n">
        <f aca="false">MAX(0,min_cash-(Sens!J8575+Sens!K8571-Sens!K8572-Sens!K8573))</f>
        <v>0</v>
      </c>
    </row>
    <row r="8575" customFormat="false" ht="15" hidden="false" customHeight="false" outlineLevel="0" collapsed="false">
      <c r="A8575" s="1" t="s">
        <v>958</v>
      </c>
      <c r="B8575" s="0" t="s">
        <v>98</v>
      </c>
      <c r="E8575" s="6" t="n">
        <f aca="false">cash_open</f>
        <v>76.843</v>
      </c>
      <c r="F8575" s="6" t="n">
        <f aca="false">Sens!E8575+Sens!F8571-Sens!F8572-Sens!F8573+Sens!F8574</f>
        <v>50</v>
      </c>
      <c r="G8575" s="6" t="n">
        <f aca="false">Sens!F8575+Sens!G8571-Sens!G8572-Sens!G8573+Sens!G8574</f>
        <v>50</v>
      </c>
      <c r="H8575" s="6" t="n">
        <f aca="false">Sens!G8575+Sens!H8571-Sens!H8572-Sens!H8573+Sens!H8574</f>
        <v>50</v>
      </c>
      <c r="I8575" s="6" t="n">
        <f aca="false">Sens!H8575+Sens!I8571-Sens!I8572-Sens!I8573+Sens!I8574</f>
        <v>92.9068027475996</v>
      </c>
      <c r="J8575" s="6" t="n">
        <f aca="false">Sens!I8575+Sens!J8571-Sens!J8572-Sens!J8573+Sens!J8574</f>
        <v>200.119704802708</v>
      </c>
      <c r="K8575" s="6" t="n">
        <f aca="false">Sens!J8575+Sens!K8571-Sens!K8572-Sens!K8573+Sens!K8574</f>
        <v>338.364653861554</v>
      </c>
    </row>
    <row r="8576" customFormat="false" ht="15" hidden="false" customHeight="false" outlineLevel="0" collapsed="false">
      <c r="A8576" s="1" t="s">
        <v>959</v>
      </c>
      <c r="B8576" s="0" t="s">
        <v>98</v>
      </c>
      <c r="E8576" s="6" t="n">
        <f aca="false">debt_face</f>
        <v>46.136</v>
      </c>
      <c r="F8576" s="6" t="n">
        <f aca="false">Sens!E8576-Sens!F8572+Sens!F8574</f>
        <v>50.8637953004671</v>
      </c>
      <c r="G8576" s="6" t="n">
        <f aca="false">Sens!F8576-Sens!G8572+Sens!G8574</f>
        <v>63.4520269184269</v>
      </c>
      <c r="H8576" s="6" t="n">
        <f aca="false">Sens!G8576-Sens!H8572+Sens!H8574</f>
        <v>61.451026918427</v>
      </c>
      <c r="I8576" s="6" t="n">
        <f aca="false">Sens!H8576-Sens!I8572+Sens!I8574</f>
        <v>61.451026918427</v>
      </c>
      <c r="J8576" s="6" t="n">
        <f aca="false">Sens!I8576-Sens!J8572+Sens!J8574</f>
        <v>60.951026918427</v>
      </c>
      <c r="K8576" s="6" t="n">
        <f aca="false">Sens!J8576-Sens!K8572+Sens!K8574</f>
        <v>60.951026918427</v>
      </c>
    </row>
    <row r="8577" customFormat="false" ht="15" hidden="false" customHeight="false" outlineLevel="0" collapsed="false">
      <c r="A8577" s="1" t="s">
        <v>960</v>
      </c>
      <c r="B8577" s="0" t="s">
        <v>98</v>
      </c>
      <c r="E8577" s="6" t="n">
        <f aca="false">Sens!E8575-Sens!E8576</f>
        <v>30.707</v>
      </c>
      <c r="F8577" s="6" t="n">
        <f aca="false">Sens!F8575-Sens!F8576</f>
        <v>-0.863795300467125</v>
      </c>
      <c r="G8577" s="6" t="n">
        <f aca="false">Sens!G8575-Sens!G8576</f>
        <v>-13.4520269184269</v>
      </c>
      <c r="H8577" s="6" t="n">
        <f aca="false">Sens!H8575-Sens!H8576</f>
        <v>-11.4510269184269</v>
      </c>
      <c r="I8577" s="6" t="n">
        <f aca="false">Sens!I8575-Sens!I8576</f>
        <v>31.4557758291726</v>
      </c>
      <c r="J8577" s="6" t="n">
        <f aca="false">Sens!J8575-Sens!J8576</f>
        <v>139.168677884281</v>
      </c>
      <c r="K8577" s="6" t="n">
        <f aca="false">Sens!K8575-Sens!K8576</f>
        <v>277.413626943127</v>
      </c>
    </row>
    <row r="8578" customFormat="false" ht="15" hidden="false" customHeight="false" outlineLevel="0" collapsed="false">
      <c r="A8578" s="1" t="s">
        <v>961</v>
      </c>
      <c r="B8578" s="0" t="s">
        <v>75</v>
      </c>
      <c r="F8578" s="29" t="n">
        <f aca="false">px*(1+bb_g)^(Sens!F8442-base_fy-mid_yr)</f>
        <v>553.494156066711</v>
      </c>
      <c r="G8578" s="29" t="n">
        <f aca="false">px*(1+bb_g)^(Sens!G8442-base_fy-mid_yr)</f>
        <v>597.773688552047</v>
      </c>
      <c r="H8578" s="29" t="n">
        <f aca="false">px*(1+bb_g)^(Sens!H8442-base_fy-mid_yr)</f>
        <v>645.595583636211</v>
      </c>
      <c r="I8578" s="29" t="n">
        <f aca="false">px*(1+bb_g)^(Sens!I8442-base_fy-mid_yr)</f>
        <v>697.243230327108</v>
      </c>
      <c r="J8578" s="29" t="n">
        <f aca="false">px*(1+bb_g)^(Sens!J8442-base_fy-mid_yr)</f>
        <v>753.022688753277</v>
      </c>
      <c r="K8578" s="29" t="n">
        <f aca="false">px*(1+bb_g)^(Sens!K8442-base_fy-mid_yr)</f>
        <v>813.264503853539</v>
      </c>
    </row>
    <row r="8579" customFormat="false" ht="15" hidden="false" customHeight="false" outlineLevel="0" collapsed="false">
      <c r="A8579" s="1" t="s">
        <v>962</v>
      </c>
      <c r="B8579" s="1" t="s">
        <v>81</v>
      </c>
      <c r="E8579" s="14" t="n">
        <f aca="false">sh_out26</f>
        <v>7.427</v>
      </c>
      <c r="F8579" s="14" t="n">
        <f aca="false">Sens!E8579+sh_iss-Sens!F8573/Sens!F8578</f>
        <v>7.472</v>
      </c>
      <c r="G8579" s="14" t="n">
        <f aca="false">Sens!F8579+sh_iss-Sens!G8573/Sens!G8578</f>
        <v>7.517</v>
      </c>
      <c r="H8579" s="14" t="n">
        <f aca="false">Sens!G8579+sh_iss-Sens!H8573/Sens!H8578</f>
        <v>7.54957547348163</v>
      </c>
      <c r="I8579" s="14" t="n">
        <f aca="false">Sens!H8579+sh_iss-Sens!I8573/Sens!I8578</f>
        <v>7.56263396579635</v>
      </c>
      <c r="J8579" s="14" t="n">
        <f aca="false">Sens!I8579+sh_iss-Sens!J8573/Sens!J8578</f>
        <v>7.5780584957174</v>
      </c>
      <c r="K8579" s="14" t="n">
        <f aca="false">Sens!J8579+sh_iss-Sens!K8573/Sens!K8578</f>
        <v>7.59567380119984</v>
      </c>
    </row>
    <row r="8580" customFormat="false" ht="15" hidden="false" customHeight="false" outlineLevel="0" collapsed="false">
      <c r="A8580" s="1" t="s">
        <v>963</v>
      </c>
      <c r="B8580" s="1" t="s">
        <v>81</v>
      </c>
      <c r="E8580" s="14" t="n">
        <f aca="false">sh_dil26</f>
        <v>7.453</v>
      </c>
      <c r="F8580" s="14" t="n">
        <f aca="false">(Sens!E8579+Sens!F8579)/2+dil_gap</f>
        <v>7.4735</v>
      </c>
      <c r="G8580" s="14" t="n">
        <f aca="false">(Sens!F8579+Sens!G8579)/2+dil_gap</f>
        <v>7.5185</v>
      </c>
      <c r="H8580" s="14" t="n">
        <f aca="false">(Sens!G8579+Sens!H8579)/2+dil_gap</f>
        <v>7.55728773674082</v>
      </c>
      <c r="I8580" s="14" t="n">
        <f aca="false">(Sens!H8579+Sens!I8579)/2+dil_gap</f>
        <v>7.58010471963899</v>
      </c>
      <c r="J8580" s="14" t="n">
        <f aca="false">(Sens!I8579+Sens!J8579)/2+dil_gap</f>
        <v>7.59434623075687</v>
      </c>
      <c r="K8580" s="14" t="n">
        <f aca="false">(Sens!J8579+Sens!K8579)/2+dil_gap</f>
        <v>7.61086614845862</v>
      </c>
    </row>
    <row r="8581" customFormat="false" ht="17.15" hidden="false" customHeight="false" outlineLevel="0" collapsed="false">
      <c r="A8581" s="1" t="s">
        <v>964</v>
      </c>
      <c r="B8581" s="0" t="s">
        <v>98</v>
      </c>
      <c r="C8581" s="6" t="n">
        <f aca="false">SUM(Sens!F8571:J8571)</f>
        <v>161.024897333311</v>
      </c>
    </row>
    <row r="8582" customFormat="false" ht="15" hidden="false" customHeight="false" outlineLevel="0" collapsed="false">
      <c r="A8582" s="23" t="s">
        <v>935</v>
      </c>
      <c r="B8582" s="30" t="s">
        <v>98</v>
      </c>
      <c r="C8582" s="24" t="n">
        <f aca="false">Sens!$C$8581-(Sens!F8571+Sens!G8571+Sens!H8571+Sens!I8571+Sens!J8571)</f>
        <v>0</v>
      </c>
      <c r="D8582" s="30"/>
      <c r="E8582" s="30"/>
      <c r="F8582" s="30"/>
      <c r="G8582" s="30"/>
      <c r="H8582" s="30"/>
      <c r="I8582" s="30"/>
      <c r="J8582" s="30"/>
      <c r="K8582" s="30"/>
    </row>
    <row r="8583" customFormat="false" ht="17.15" hidden="false" customHeight="false" outlineLevel="0" collapsed="false">
      <c r="A8583" s="1" t="s">
        <v>929</v>
      </c>
      <c r="B8583" s="1" t="s">
        <v>965</v>
      </c>
      <c r="C8583" s="32" t="str">
        <f aca="false">IF(SUM(Sens!F8574:J8574)&gt;0.05,"需要舉債 "&amp;TEXT(SUM(Sens!F8574:J8574),"0.0")&amp;" 十億美元","不需舉債")&amp;"；"&amp;IF(SUM(Sens!F8573:J8573)&lt;COUNT(Sens!F8573:J8573)*bb_target-0.05,"回購較每年 "&amp;TEXT(bb_target,"0.0")&amp;" 的目標少 "&amp;TEXT(COUNT(Sens!F8573:J8573)*bb_target-SUM(Sens!F8573:J8573),"0.0")&amp;" 十億美元（"&amp;TEXT(COUNTIF(Sens!F8573:J8573,"&lt;"&amp;(bb_target-0.05)),"0")&amp;" 年減少）","回購不減")</f>
        <v>需要舉債 26.6 十億美元；回購較每年 22.3 的目標少 58.8 十億美元（3 年減少）</v>
      </c>
    </row>
    <row r="8584" customFormat="false" ht="17.15" hidden="false" customHeight="false" outlineLevel="0" collapsed="false">
      <c r="A8584" s="3" t="s">
        <v>1458</v>
      </c>
    </row>
    <row r="8585" customFormat="false" ht="15" hidden="false" customHeight="false" outlineLevel="0" collapsed="false">
      <c r="A8585" s="4" t="s">
        <v>43</v>
      </c>
      <c r="B8585" s="4" t="s">
        <v>65</v>
      </c>
      <c r="C8585" s="20" t="s">
        <v>788</v>
      </c>
      <c r="D8585" s="20" t="s">
        <v>789</v>
      </c>
      <c r="E8585" s="20" t="s">
        <v>790</v>
      </c>
      <c r="F8585" s="20" t="s">
        <v>791</v>
      </c>
      <c r="G8585" s="20" t="s">
        <v>792</v>
      </c>
      <c r="H8585" s="20" t="s">
        <v>793</v>
      </c>
      <c r="I8585" s="20" t="s">
        <v>794</v>
      </c>
      <c r="J8585" s="20" t="s">
        <v>795</v>
      </c>
      <c r="K8585" s="20" t="s">
        <v>796</v>
      </c>
      <c r="L8585" s="4" t="s">
        <v>47</v>
      </c>
    </row>
    <row r="8586" customFormat="false" ht="15" hidden="false" customHeight="false" outlineLevel="0" collapsed="false">
      <c r="A8586" s="1" t="s">
        <v>1042</v>
      </c>
      <c r="B8586" s="1" t="s">
        <v>235</v>
      </c>
      <c r="F8586" s="36" t="n">
        <f aca="false">Sens!F8442-base_fy-mid_yr</f>
        <v>0.5</v>
      </c>
      <c r="G8586" s="36" t="n">
        <f aca="false">Sens!G8442-base_fy-mid_yr</f>
        <v>1.5</v>
      </c>
      <c r="H8586" s="36" t="n">
        <f aca="false">Sens!H8442-base_fy-mid_yr</f>
        <v>2.5</v>
      </c>
      <c r="I8586" s="36" t="n">
        <f aca="false">Sens!I8442-base_fy-mid_yr</f>
        <v>3.5</v>
      </c>
      <c r="J8586" s="36" t="n">
        <f aca="false">Sens!J8442-base_fy-mid_yr</f>
        <v>4.5</v>
      </c>
      <c r="K8586" s="36" t="n">
        <f aca="false">Sens!K8442-base_fy-mid_yr</f>
        <v>5.5</v>
      </c>
    </row>
    <row r="8587" customFormat="false" ht="15" hidden="false" customHeight="false" outlineLevel="0" collapsed="false">
      <c r="A8587" s="1" t="s">
        <v>1043</v>
      </c>
      <c r="B8587" s="0" t="s">
        <v>185</v>
      </c>
      <c r="F8587" s="14" t="n">
        <f aca="false">1/(1+wacc)^Sens!F8586</f>
        <v>0.952193373608246</v>
      </c>
      <c r="G8587" s="14" t="n">
        <f aca="false">1/(1+wacc)^Sens!G8586</f>
        <v>0.863327280626589</v>
      </c>
      <c r="H8587" s="14" t="n">
        <f aca="false">1/(1+wacc)^Sens!H8586</f>
        <v>0.782754862754115</v>
      </c>
      <c r="I8587" s="14" t="n">
        <f aca="false">1/(1+wacc)^Sens!I8586</f>
        <v>0.709702089711011</v>
      </c>
      <c r="J8587" s="14" t="n">
        <f aca="false">1/(1+wacc)^Sens!J8586</f>
        <v>0.643467169744551</v>
      </c>
      <c r="K8587" s="14" t="n">
        <f aca="false">1/(1+wacc)^Sens!K8586</f>
        <v>0.583413807767797</v>
      </c>
    </row>
    <row r="8588" customFormat="false" ht="17.15" hidden="false" customHeight="false" outlineLevel="0" collapsed="false">
      <c r="A8588" s="1" t="s">
        <v>1044</v>
      </c>
      <c r="B8588" s="0" t="s">
        <v>98</v>
      </c>
      <c r="F8588" s="6" t="n">
        <f aca="false">Sens!F8562-Sens!F8560-Sens!F8565+Sens!F8546*(1-tax_f)</f>
        <v>3.05251928235988</v>
      </c>
      <c r="G8588" s="6" t="n">
        <f aca="false">Sens!G8562-Sens!G8560-Sens!G8565+Sens!G8546*(1-tax_f)</f>
        <v>35.9990834144071</v>
      </c>
      <c r="H8588" s="6" t="n">
        <f aca="false">Sens!H8562-Sens!H8560-Sens!H8565+Sens!H8546*(1-tax_f)</f>
        <v>73.1897726265113</v>
      </c>
      <c r="I8588" s="6" t="n">
        <f aca="false">Sens!I8562-Sens!I8560-Sens!I8565+Sens!I8546*(1-tax_f)</f>
        <v>141.961433189376</v>
      </c>
      <c r="J8588" s="6" t="n">
        <f aca="false">Sens!J8562-Sens!J8560-Sens!J8565+Sens!J8546*(1-tax_f)</f>
        <v>216.937871216888</v>
      </c>
      <c r="K8588" s="6" t="n">
        <f aca="false">Sens!K8562-Sens!K8560-Sens!K8565+Sens!K8546*(1-tax_f)</f>
        <v>254.433504666867</v>
      </c>
      <c r="L8588" s="1" t="s">
        <v>1045</v>
      </c>
    </row>
    <row r="8589" customFormat="false" ht="15" hidden="false" customHeight="false" outlineLevel="0" collapsed="false">
      <c r="A8589" s="1" t="s">
        <v>1046</v>
      </c>
      <c r="B8589" s="0" t="s">
        <v>98</v>
      </c>
      <c r="F8589" s="6" t="n">
        <f aca="false">Sens!F8588*Sens!F8587</f>
        <v>2.90658863347447</v>
      </c>
      <c r="G8589" s="6" t="n">
        <f aca="false">Sens!G8588*Sens!G8587</f>
        <v>31.0789907892098</v>
      </c>
      <c r="H8589" s="6" t="n">
        <f aca="false">Sens!H8588*Sens!H8587</f>
        <v>57.2896504272697</v>
      </c>
      <c r="I8589" s="6" t="n">
        <f aca="false">Sens!I8588*Sens!I8587</f>
        <v>100.75032579287</v>
      </c>
      <c r="J8589" s="6" t="n">
        <f aca="false">Sens!J8588*Sens!J8587</f>
        <v>139.592398002339</v>
      </c>
      <c r="K8589" s="6" t="n">
        <f aca="false">Sens!K8588*Sens!K8587</f>
        <v>148.440019781402</v>
      </c>
    </row>
    <row r="8590" customFormat="false" ht="17.15" hidden="false" customHeight="false" outlineLevel="0" collapsed="false">
      <c r="A8590" s="1" t="s">
        <v>1047</v>
      </c>
      <c r="B8590" s="0" t="s">
        <v>98</v>
      </c>
      <c r="C8590" s="6" t="n">
        <f aca="false">SUM(Sens!F8589:K8589)</f>
        <v>480.057973426565</v>
      </c>
    </row>
    <row r="8591" customFormat="false" ht="17.15" hidden="false" customHeight="false" outlineLevel="0" collapsed="false">
      <c r="A8591" s="1" t="s">
        <v>1048</v>
      </c>
      <c r="B8591" s="0" t="s">
        <v>98</v>
      </c>
      <c r="C8591" s="6" t="n">
        <f aca="false">Sens!K8532*(1+g_tv)*(1-tax_f)</f>
        <v>266.26747302125</v>
      </c>
    </row>
    <row r="8592" customFormat="false" ht="17.15" hidden="false" customHeight="false" outlineLevel="0" collapsed="false">
      <c r="A8592" s="1" t="s">
        <v>1049</v>
      </c>
      <c r="B8592" s="0" t="s">
        <v>98</v>
      </c>
      <c r="C8592" s="6" t="n">
        <f aca="false">Sens!$C$8591*(1-g_tv/(wacc+ronic_prem))</f>
        <v>188.664430390514</v>
      </c>
    </row>
    <row r="8593" customFormat="false" ht="17.15" hidden="false" customHeight="false" outlineLevel="0" collapsed="false">
      <c r="A8593" s="1" t="s">
        <v>1050</v>
      </c>
      <c r="B8593" s="0" t="s">
        <v>98</v>
      </c>
      <c r="C8593" s="6" t="n">
        <f aca="false">Sens!$C$8592/(wacc-g_tv)</f>
        <v>2586.76808769119</v>
      </c>
    </row>
    <row r="8594" customFormat="false" ht="15" hidden="false" customHeight="false" outlineLevel="0" collapsed="false">
      <c r="A8594" s="1" t="s">
        <v>1051</v>
      </c>
      <c r="B8594" s="0" t="s">
        <v>98</v>
      </c>
      <c r="C8594" s="6" t="n">
        <f aca="false">Sens!$C$8593/(1+wacc)^(Sens!K8586+mid_yr)</f>
        <v>1437.00855228288</v>
      </c>
    </row>
    <row r="8595" customFormat="false" ht="17.15" hidden="false" customHeight="false" outlineLevel="0" collapsed="false">
      <c r="A8595" s="0" t="s">
        <v>972</v>
      </c>
      <c r="B8595" s="0" t="s">
        <v>98</v>
      </c>
      <c r="C8595" s="6" t="n">
        <f aca="false">Sens!$C$8590+Sens!$C$8594</f>
        <v>1917.06652570944</v>
      </c>
    </row>
    <row r="8596" customFormat="false" ht="15" hidden="false" customHeight="false" outlineLevel="0" collapsed="false">
      <c r="A8596" s="1" t="s">
        <v>973</v>
      </c>
      <c r="B8596" s="0" t="s">
        <v>129</v>
      </c>
      <c r="C8596" s="7" t="n">
        <f aca="false">Sens!$C$8594/Sens!$C$8595</f>
        <v>0.749587212030155</v>
      </c>
    </row>
    <row r="8597" customFormat="false" ht="17.15" hidden="false" customHeight="false" outlineLevel="0" collapsed="false">
      <c r="A8597" s="1" t="s">
        <v>1052</v>
      </c>
      <c r="B8597" s="0" t="s">
        <v>98</v>
      </c>
      <c r="C8597" s="6" t="n">
        <f aca="false">Sens!$C$8595+Sens!E8577-Sens!E8566+oai_v</f>
        <v>2051.57952570944</v>
      </c>
    </row>
    <row r="8598" customFormat="false" ht="17.15" hidden="false" customHeight="false" outlineLevel="0" collapsed="false">
      <c r="A8598" s="0" t="s">
        <v>980</v>
      </c>
      <c r="B8598" s="0" t="s">
        <v>75</v>
      </c>
      <c r="C8598" s="5" t="n">
        <f aca="false">Sens!$C$8597/sh_dil26</f>
        <v>275.268955549368</v>
      </c>
    </row>
    <row r="8599" customFormat="false" ht="15" hidden="false" customHeight="false" outlineLevel="0" collapsed="false">
      <c r="A8599" s="1" t="s">
        <v>1053</v>
      </c>
      <c r="B8599" s="0" t="s">
        <v>75</v>
      </c>
      <c r="C8599" s="8" t="n">
        <f aca="false">dps_27+Sens!G8569*roll_div_q/q_per_yr</f>
        <v>4.8895</v>
      </c>
    </row>
    <row r="8600" customFormat="false" ht="17.15" hidden="false" customHeight="false" outlineLevel="0" collapsed="false">
      <c r="A8600" s="0" t="s">
        <v>1054</v>
      </c>
      <c r="B8600" s="0" t="s">
        <v>75</v>
      </c>
      <c r="C8600" s="5" t="n">
        <f aca="false">Sens!$C$8598*(1+wacc)^t_roll-Sens!$C$8599</f>
        <v>308.568450783943</v>
      </c>
    </row>
    <row r="8601" customFormat="false" ht="17.15" hidden="false" customHeight="false" outlineLevel="0" collapsed="false">
      <c r="A8601" s="1" t="s">
        <v>1055</v>
      </c>
      <c r="B8601" s="0" t="s">
        <v>129</v>
      </c>
      <c r="F8601" s="7" t="n">
        <f aca="false">Sens!F8558/(Sens!F8503-Sens!F8459)</f>
        <v>0.0686163547041255</v>
      </c>
      <c r="G8601" s="7" t="n">
        <f aca="false">Sens!G8558/(Sens!G8503-Sens!G8459)</f>
        <v>0.0660734304635387</v>
      </c>
      <c r="H8601" s="7" t="n">
        <f aca="false">Sens!H8558/(Sens!H8503-Sens!H8459)</f>
        <v>0.0646797499280686</v>
      </c>
      <c r="I8601" s="7" t="n">
        <f aca="false">Sens!I8558/(Sens!I8503-Sens!I8459)</f>
        <v>0.0643055192485371</v>
      </c>
      <c r="J8601" s="7" t="n">
        <f aca="false">Sens!J8558/(Sens!J8503-Sens!J8459)</f>
        <v>0.0647467848256849</v>
      </c>
      <c r="K8601" s="7" t="n">
        <f aca="false">Sens!K8558/(Sens!K8503-Sens!K8459)</f>
        <v>0.0657800328540566</v>
      </c>
    </row>
    <row r="8602" customFormat="false" ht="17.15" hidden="false" customHeight="false" outlineLevel="0" collapsed="false">
      <c r="A8602" s="0" t="s">
        <v>1056</v>
      </c>
      <c r="B8602" s="0" t="s">
        <v>98</v>
      </c>
      <c r="F8602" s="6" t="n">
        <f aca="false">Sens!F8488*(al_m365+Sens!F8601+sbc_r)</f>
        <v>82.8789014258189</v>
      </c>
      <c r="G8602" s="6" t="n">
        <f aca="false">Sens!G8488*(al_m365+Sens!G8601+sbc_r)</f>
        <v>93.2389927600963</v>
      </c>
      <c r="H8602" s="6" t="n">
        <f aca="false">Sens!H8488*(al_m365+Sens!H8601+sbc_r)</f>
        <v>103.748918149518</v>
      </c>
      <c r="I8602" s="6" t="n">
        <f aca="false">Sens!I8488*(al_m365+Sens!I8601+sbc_r)</f>
        <v>113.732434570522</v>
      </c>
      <c r="J8602" s="6" t="n">
        <f aca="false">Sens!J8488*(al_m365+Sens!J8601+sbc_r)</f>
        <v>123.000920909713</v>
      </c>
      <c r="K8602" s="6" t="n">
        <f aca="false">Sens!K8488*(al_m365+Sens!K8601+sbc_r)</f>
        <v>131.862673974475</v>
      </c>
      <c r="L8602" s="11" t="s">
        <v>1057</v>
      </c>
    </row>
    <row r="8603" customFormat="false" ht="17.15" hidden="false" customHeight="false" outlineLevel="0" collapsed="false">
      <c r="A8603" s="0" t="s">
        <v>1058</v>
      </c>
      <c r="B8603" s="0" t="s">
        <v>98</v>
      </c>
      <c r="F8603" s="6" t="n">
        <f aca="false">Sens!F8489*(al_lic+Sens!F8601+sbc_r)</f>
        <v>33.4456620351185</v>
      </c>
      <c r="G8603" s="6" t="n">
        <f aca="false">Sens!G8489*(al_lic+Sens!G8601+sbc_r)</f>
        <v>34.7583301882178</v>
      </c>
      <c r="H8603" s="6" t="n">
        <f aca="false">Sens!H8489*(al_lic+Sens!H8601+sbc_r)</f>
        <v>35.9771381673392</v>
      </c>
      <c r="I8603" s="6" t="n">
        <f aca="false">Sens!I8489*(al_lic+Sens!I8601+sbc_r)</f>
        <v>37.0823287552863</v>
      </c>
      <c r="J8603" s="6" t="n">
        <f aca="false">Sens!J8489*(al_lic+Sens!J8601+sbc_r)</f>
        <v>38.0508240706861</v>
      </c>
      <c r="K8603" s="6" t="n">
        <f aca="false">Sens!K8489*(al_lic+Sens!K8601+sbc_r)</f>
        <v>38.8589017837562</v>
      </c>
    </row>
    <row r="8604" customFormat="false" ht="17.15" hidden="false" customHeight="false" outlineLevel="0" collapsed="false">
      <c r="A8604" s="0" t="s">
        <v>1059</v>
      </c>
      <c r="B8604" s="0" t="s">
        <v>98</v>
      </c>
      <c r="F8604" s="6" t="n">
        <f aca="false">Sens!F8491*(al_ind+Sens!F8601+sbc_r)</f>
        <v>9.07700777274975</v>
      </c>
      <c r="G8604" s="6" t="n">
        <f aca="false">Sens!G8491*(al_ind+Sens!G8601+sbc_r)</f>
        <v>9.8601473013167</v>
      </c>
      <c r="H8604" s="6" t="n">
        <f aca="false">Sens!H8491*(al_ind+Sens!H8601+sbc_r)</f>
        <v>10.684326200004</v>
      </c>
      <c r="I8604" s="6" t="n">
        <f aca="false">Sens!I8491*(al_ind+Sens!I8601+sbc_r)</f>
        <v>11.545004969646</v>
      </c>
      <c r="J8604" s="6" t="n">
        <f aca="false">Sens!J8491*(al_ind+Sens!J8601+sbc_r)</f>
        <v>12.4335403785169</v>
      </c>
      <c r="K8604" s="6" t="n">
        <f aca="false">Sens!K8491*(al_ind+Sens!K8601+sbc_r)</f>
        <v>13.3380717719202</v>
      </c>
    </row>
    <row r="8605" customFormat="false" ht="17.15" hidden="false" customHeight="false" outlineLevel="0" collapsed="false">
      <c r="A8605" s="0" t="s">
        <v>1060</v>
      </c>
      <c r="B8605" s="0" t="s">
        <v>98</v>
      </c>
      <c r="F8605" s="6" t="n">
        <f aca="false">Sens!F8493*(al_fro+Sens!F8601+sbc_r)</f>
        <v>3.57274212692165</v>
      </c>
      <c r="G8605" s="6" t="n">
        <f aca="false">Sens!G8493*(al_fro+Sens!G8601+sbc_r)</f>
        <v>3.78571361529702</v>
      </c>
      <c r="H8605" s="6" t="n">
        <f aca="false">Sens!H8493*(al_fro+Sens!H8601+sbc_r)</f>
        <v>4.0262198105116</v>
      </c>
      <c r="I8605" s="6" t="n">
        <f aca="false">Sens!I8493*(al_fro+Sens!I8601+sbc_r)</f>
        <v>4.29658097371403</v>
      </c>
      <c r="J8605" s="6" t="n">
        <f aca="false">Sens!J8493*(al_fro+Sens!J8601+sbc_r)</f>
        <v>4.5984010520457</v>
      </c>
      <c r="K8605" s="6" t="n">
        <f aca="false">Sens!K8493*(al_fro+Sens!K8601+sbc_r)</f>
        <v>4.93293152240319</v>
      </c>
    </row>
    <row r="8606" customFormat="false" ht="17.15" hidden="false" customHeight="false" outlineLevel="0" collapsed="false">
      <c r="A8606" s="0" t="s">
        <v>1061</v>
      </c>
      <c r="B8606" s="0" t="s">
        <v>98</v>
      </c>
      <c r="F8606" s="6" t="n">
        <f aca="false">Sens!F8496*(al_srch+Sens!F8601+sbc_r)</f>
        <v>11.2102357444258</v>
      </c>
      <c r="G8606" s="6" t="n">
        <f aca="false">Sens!G8496*(al_srch+Sens!G8601+sbc_r)</f>
        <v>12.2923231098484</v>
      </c>
      <c r="H8606" s="6" t="n">
        <f aca="false">Sens!H8496*(al_srch+Sens!H8601+sbc_r)</f>
        <v>13.4145592354672</v>
      </c>
      <c r="I8606" s="6" t="n">
        <f aca="false">Sens!I8496*(al_srch+Sens!I8601+sbc_r)</f>
        <v>14.5642874826539</v>
      </c>
      <c r="J8606" s="6" t="n">
        <f aca="false">Sens!J8496*(al_srch+Sens!J8601+sbc_r)</f>
        <v>15.7227906457018</v>
      </c>
      <c r="K8606" s="6" t="n">
        <f aca="false">Sens!K8496*(al_srch+Sens!K8601+sbc_r)</f>
        <v>16.8666127026534</v>
      </c>
    </row>
    <row r="8607" customFormat="false" ht="17.15" hidden="false" customHeight="false" outlineLevel="0" collapsed="false">
      <c r="A8607" s="0" t="s">
        <v>1062</v>
      </c>
      <c r="B8607" s="0" t="s">
        <v>98</v>
      </c>
      <c r="F8607" s="6" t="n">
        <f aca="false">Sens!F8465-Sens!F8466+Sens!F8546</f>
        <v>49.3166695044068</v>
      </c>
      <c r="G8607" s="6" t="n">
        <f aca="false">Sens!G8465-Sens!G8466+Sens!G8546</f>
        <v>79.1711235199867</v>
      </c>
      <c r="H8607" s="6" t="n">
        <f aca="false">Sens!H8465-Sens!H8466+Sens!H8546</f>
        <v>105.986955995322</v>
      </c>
      <c r="I8607" s="6" t="n">
        <f aca="false">Sens!I8465-Sens!I8466+Sens!I8546</f>
        <v>136.51312421941</v>
      </c>
      <c r="J8607" s="6" t="n">
        <f aca="false">Sens!J8465-Sens!J8466+Sens!J8546</f>
        <v>158.045869188803</v>
      </c>
      <c r="K8607" s="6" t="n">
        <f aca="false">Sens!K8465-Sens!K8466+Sens!K8546</f>
        <v>171.626834186355</v>
      </c>
    </row>
    <row r="8608" customFormat="false" ht="17.15" hidden="false" customHeight="false" outlineLevel="0" collapsed="false">
      <c r="A8608" s="0" t="s">
        <v>1063</v>
      </c>
      <c r="B8608" s="0" t="s">
        <v>98</v>
      </c>
      <c r="F8608" s="6" t="n">
        <f aca="false">Sens!F8525+Sens!F8546+Sens!F8476+Sens!F8601*(Sens!F8495-Sens!F8459)+sbc_r*Sens!F8495</f>
        <v>239.536880089259</v>
      </c>
      <c r="G8608" s="6" t="n">
        <f aca="false">Sens!G8525+Sens!G8546+Sens!G8476+Sens!G8601*(Sens!G8495-Sens!G8459)+sbc_r*Sens!G8495</f>
        <v>295.038609523727</v>
      </c>
      <c r="H8608" s="6" t="n">
        <f aca="false">Sens!H8525+Sens!H8546+Sens!H8476+Sens!H8601*(Sens!H8495-Sens!H8459)+sbc_r*Sens!H8495</f>
        <v>348.537909341634</v>
      </c>
      <c r="I8608" s="6" t="n">
        <f aca="false">Sens!I8525+Sens!I8546+Sens!I8476+Sens!I8601*(Sens!I8495-Sens!I8459)+sbc_r*Sens!I8495</f>
        <v>406.144010027266</v>
      </c>
      <c r="J8608" s="6" t="n">
        <f aca="false">Sens!J8525+Sens!J8546+Sens!J8476+Sens!J8601*(Sens!J8495-Sens!J8459)+sbc_r*Sens!J8495</f>
        <v>454.096895998053</v>
      </c>
      <c r="K8608" s="6" t="n">
        <f aca="false">Sens!K8525+Sens!K8546+Sens!K8476+Sens!K8601*(Sens!K8495-Sens!K8459)+sbc_r*Sens!K8495</f>
        <v>493.196971388047</v>
      </c>
    </row>
    <row r="8609" customFormat="false" ht="17.15" hidden="false" customHeight="false" outlineLevel="0" collapsed="false">
      <c r="A8609" s="0" t="s">
        <v>1064</v>
      </c>
      <c r="B8609" s="0" t="s">
        <v>98</v>
      </c>
      <c r="F8609" s="6" t="n">
        <f aca="false">Sens!F8608-Sens!F8602-Sens!F8603-Sens!F8604-Sens!F8605-Sens!F8607</f>
        <v>61.2458972242437</v>
      </c>
      <c r="G8609" s="6" t="n">
        <f aca="false">Sens!G8608-Sens!G8602-Sens!G8603-Sens!G8604-Sens!G8605-Sens!G8607</f>
        <v>74.2243021388123</v>
      </c>
      <c r="H8609" s="6" t="n">
        <f aca="false">Sens!H8608-Sens!H8602-Sens!H8603-Sens!H8604-Sens!H8605-Sens!H8607</f>
        <v>88.1143510189392</v>
      </c>
      <c r="I8609" s="6" t="n">
        <f aca="false">Sens!I8608-Sens!I8602-Sens!I8603-Sens!I8604-Sens!I8605-Sens!I8607</f>
        <v>102.974536538687</v>
      </c>
      <c r="J8609" s="6" t="n">
        <f aca="false">Sens!J8608-Sens!J8602-Sens!J8603-Sens!J8604-Sens!J8605-Sens!J8607</f>
        <v>117.967340398288</v>
      </c>
      <c r="K8609" s="6" t="n">
        <f aca="false">Sens!K8608-Sens!K8602-Sens!K8603-Sens!K8604-Sens!K8605-Sens!K8607</f>
        <v>132.577558149138</v>
      </c>
    </row>
    <row r="8610" customFormat="false" ht="17.15" hidden="false" customHeight="false" outlineLevel="0" collapsed="false">
      <c r="A8610" s="0" t="s">
        <v>1065</v>
      </c>
      <c r="B8610" s="0" t="s">
        <v>98</v>
      </c>
      <c r="F8610" s="6" t="n">
        <f aca="false">Sens!F8527+Sens!F8601*Sens!F8502+sbc_r*Sens!F8502</f>
        <v>26.2003899999364</v>
      </c>
      <c r="G8610" s="6" t="n">
        <f aca="false">Sens!G8527+Sens!G8601*Sens!G8502+sbc_r*Sens!G8502</f>
        <v>26.8275871085547</v>
      </c>
      <c r="H8610" s="6" t="n">
        <f aca="false">Sens!H8527+Sens!H8601*Sens!H8502+sbc_r*Sens!H8502</f>
        <v>27.7103730423309</v>
      </c>
      <c r="I8610" s="6" t="n">
        <f aca="false">Sens!I8527+Sens!I8601*Sens!I8502+sbc_r*Sens!I8502</f>
        <v>28.816951836836</v>
      </c>
      <c r="J8610" s="6" t="n">
        <f aca="false">Sens!J8527+Sens!J8601*Sens!J8502+sbc_r*Sens!J8502</f>
        <v>30.1160569194709</v>
      </c>
      <c r="K8610" s="6" t="n">
        <f aca="false">Sens!K8527+Sens!K8601*Sens!K8502+sbc_r*Sens!K8502</f>
        <v>31.5788047341787</v>
      </c>
    </row>
    <row r="8611" customFormat="false" ht="17.15" hidden="false" customHeight="false" outlineLevel="0" collapsed="false">
      <c r="A8611" s="0" t="s">
        <v>1066</v>
      </c>
      <c r="B8611" s="0" t="s">
        <v>98</v>
      </c>
      <c r="F8611" s="6" t="n">
        <f aca="false">(Sens!F8610-Sens!F8606)*Sens!F8498/(Sens!F8498+Sens!F8500)</f>
        <v>8.21745656088399</v>
      </c>
      <c r="G8611" s="6" t="n">
        <f aca="false">(Sens!G8610-Sens!G8606)*Sens!G8498/(Sens!G8498+Sens!G8500)</f>
        <v>7.82601960602985</v>
      </c>
      <c r="H8611" s="6" t="n">
        <f aca="false">(Sens!H8610-Sens!H8606)*Sens!H8498/(Sens!H8498+Sens!H8500)</f>
        <v>7.59312087599335</v>
      </c>
      <c r="I8611" s="6" t="n">
        <f aca="false">(Sens!I8610-Sens!I8606)*Sens!I8498/(Sens!I8498+Sens!I8500)</f>
        <v>7.5017070606934</v>
      </c>
      <c r="J8611" s="6" t="n">
        <f aca="false">(Sens!J8610-Sens!J8606)*Sens!J8498/(Sens!J8498+Sens!J8500)</f>
        <v>7.54145399156254</v>
      </c>
      <c r="K8611" s="6" t="n">
        <f aca="false">(Sens!K8610-Sens!K8606)*Sens!K8498/(Sens!K8498+Sens!K8500)</f>
        <v>7.70855740527668</v>
      </c>
    </row>
    <row r="8612" customFormat="false" ht="17.15" hidden="false" customHeight="false" outlineLevel="0" collapsed="false">
      <c r="A8612" s="0" t="s">
        <v>1067</v>
      </c>
      <c r="B8612" s="0" t="s">
        <v>98</v>
      </c>
      <c r="F8612" s="6" t="n">
        <f aca="false">Sens!F8610-Sens!F8606-Sens!F8611</f>
        <v>6.77269769462654</v>
      </c>
      <c r="G8612" s="6" t="n">
        <f aca="false">Sens!G8610-Sens!G8606-Sens!G8611</f>
        <v>6.70924439267646</v>
      </c>
      <c r="H8612" s="6" t="n">
        <f aca="false">Sens!H8610-Sens!H8606-Sens!H8611</f>
        <v>6.70269293087031</v>
      </c>
      <c r="I8612" s="6" t="n">
        <f aca="false">Sens!I8610-Sens!I8606-Sens!I8611</f>
        <v>6.75095729348864</v>
      </c>
      <c r="J8612" s="6" t="n">
        <f aca="false">Sens!J8610-Sens!J8606-Sens!J8611</f>
        <v>6.85181228220649</v>
      </c>
      <c r="K8612" s="6" t="n">
        <f aca="false">Sens!K8610-Sens!K8606-Sens!K8611</f>
        <v>7.00363462624865</v>
      </c>
    </row>
    <row r="8613" customFormat="false" ht="17.15" hidden="false" customHeight="false" outlineLevel="0" collapsed="false">
      <c r="A8613" s="0" t="s">
        <v>1068</v>
      </c>
      <c r="B8613" s="0" t="s">
        <v>98</v>
      </c>
      <c r="F8613" s="6" t="n">
        <f aca="false">Sens!F8607-tax_f*(Sens!F8607-Sens!F8476)-Sens!F8473</f>
        <v>-122.269519384216</v>
      </c>
      <c r="G8613" s="6" t="n">
        <f aca="false">Sens!G8607-tax_f*(Sens!G8607-Sens!G8476)-Sens!G8473</f>
        <v>-108.134229614855</v>
      </c>
      <c r="H8613" s="6" t="n">
        <f aca="false">Sens!H8607-tax_f*(Sens!H8607-Sens!H8476)-Sens!H8473</f>
        <v>-85.7405525152268</v>
      </c>
      <c r="I8613" s="6" t="n">
        <f aca="false">Sens!I8607-tax_f*(Sens!I8607-Sens!I8476)-Sens!I8473</f>
        <v>-32.0970563819857</v>
      </c>
      <c r="J8613" s="6" t="n">
        <f aca="false">Sens!J8607-tax_f*(Sens!J8607-Sens!J8476)-Sens!J8473</f>
        <v>27.7626662177727</v>
      </c>
      <c r="K8613" s="6" t="n">
        <f aca="false">Sens!K8607-tax_f*(Sens!K8607-Sens!K8476)-Sens!K8473</f>
        <v>50.27326646833</v>
      </c>
    </row>
    <row r="8614" customFormat="false" ht="17.15" hidden="false" customHeight="false" outlineLevel="0" collapsed="false">
      <c r="A8614" s="0" t="s">
        <v>1069</v>
      </c>
      <c r="B8614" s="0" t="s">
        <v>98</v>
      </c>
      <c r="F8614" s="6" t="n">
        <f aca="false">Sens!F8613*Sens!F8587</f>
        <v>-116.424226151915</v>
      </c>
      <c r="G8614" s="6" t="n">
        <f aca="false">Sens!G8613*Sens!G8587</f>
        <v>-93.3552303960442</v>
      </c>
      <c r="H8614" s="6" t="n">
        <f aca="false">Sens!H8613*Sens!H8587</f>
        <v>-67.1138344165184</v>
      </c>
      <c r="I8614" s="6" t="n">
        <f aca="false">Sens!I8613*Sens!I8587</f>
        <v>-22.7793479878674</v>
      </c>
      <c r="J8614" s="6" t="n">
        <f aca="false">Sens!J8613*Sens!J8587</f>
        <v>17.8643642557129</v>
      </c>
      <c r="K8614" s="6" t="n">
        <f aca="false">Sens!K8613*Sens!K8587</f>
        <v>29.3301178192135</v>
      </c>
    </row>
    <row r="8615" customFormat="false" ht="17.15" hidden="false" customHeight="false" outlineLevel="0" collapsed="false">
      <c r="A8615" s="0" t="s">
        <v>1070</v>
      </c>
      <c r="B8615" s="0" t="s">
        <v>98</v>
      </c>
      <c r="C8615" s="6" t="n">
        <f aca="false">(Sens!K8607-Sens!K8476)*(1-tax_f)*(1+g_tv)*(1-g_tv/(wacc+ronic_prem))/(wacc-g_tv)/(1+wacc)^(Sens!K8586+mid_yr)</f>
        <v>142.173958309113</v>
      </c>
    </row>
    <row r="8616" customFormat="false" ht="17.15" hidden="false" customHeight="false" outlineLevel="0" collapsed="false">
      <c r="A8616" s="1" t="s">
        <v>1071</v>
      </c>
      <c r="B8616" s="0" t="s">
        <v>98</v>
      </c>
      <c r="C8616" s="6" t="n">
        <f aca="false">(SUM(Sens!F8614:K8614)+Sens!$C$8615)*(1+wacc)^t_roll</f>
        <v>-125.607073914608</v>
      </c>
      <c r="L8616" s="11" t="s">
        <v>1072</v>
      </c>
    </row>
    <row r="8617" customFormat="false" ht="17.15" hidden="false" customHeight="false" outlineLevel="0" collapsed="false">
      <c r="A8617" s="1" t="s">
        <v>1073</v>
      </c>
      <c r="B8617" s="0" t="s">
        <v>98</v>
      </c>
      <c r="C8617" s="6" t="n">
        <f aca="false">(w_ntm28*Sens!G8465+(1-w_ntm28)*Sens!H8465)*m_ai</f>
        <v>338.776008390068</v>
      </c>
    </row>
    <row r="8618" customFormat="false" ht="17.15" hidden="false" customHeight="false" outlineLevel="0" collapsed="false">
      <c r="A8618" s="1" t="s">
        <v>1074</v>
      </c>
      <c r="B8618" s="0" t="s">
        <v>98</v>
      </c>
      <c r="C8618" s="6" t="n">
        <f aca="false">(w_ntm28*Sens!G8609+(1-w_ntm28)*Sens!H8609)*m_cloud</f>
        <v>1087.83831065909</v>
      </c>
    </row>
    <row r="8619" customFormat="false" ht="17.15" hidden="false" customHeight="false" outlineLevel="0" collapsed="false">
      <c r="A8619" s="1" t="s">
        <v>1075</v>
      </c>
      <c r="B8619" s="0" t="s">
        <v>98</v>
      </c>
      <c r="C8619" s="6" t="n">
        <f aca="false">(w_ntm28*Sens!G8602+(1-w_ntm28)*Sens!H8602)*m_sw</f>
        <v>1043.676598292</v>
      </c>
    </row>
    <row r="8620" customFormat="false" ht="17.15" hidden="false" customHeight="false" outlineLevel="0" collapsed="false">
      <c r="A8620" s="1" t="s">
        <v>1076</v>
      </c>
      <c r="B8620" s="0" t="s">
        <v>98</v>
      </c>
      <c r="C8620" s="6" t="n">
        <f aca="false">(w_ntm28*Sens!G8603+(1-w_ntm28)*Sens!H8603)*m_sw</f>
        <v>379.645442439855</v>
      </c>
    </row>
    <row r="8621" customFormat="false" ht="17.15" hidden="false" customHeight="false" outlineLevel="0" collapsed="false">
      <c r="A8621" s="1" t="s">
        <v>1077</v>
      </c>
      <c r="B8621" s="0" t="s">
        <v>98</v>
      </c>
      <c r="C8621" s="6" t="n">
        <f aca="false">(w_ntm28*Sens!G8604+(1-w_ntm28)*Sens!H8604)*m_sw</f>
        <v>109.367217124048</v>
      </c>
    </row>
    <row r="8622" customFormat="false" ht="17.15" hidden="false" customHeight="false" outlineLevel="0" collapsed="false">
      <c r="A8622" s="1" t="s">
        <v>1078</v>
      </c>
      <c r="B8622" s="0" t="s">
        <v>98</v>
      </c>
      <c r="C8622" s="6" t="n">
        <f aca="false">(w_ntm28*Sens!G8605+(1-w_ntm28)*Sens!H8605)*m_sw</f>
        <v>41.7254360731022</v>
      </c>
    </row>
    <row r="8623" customFormat="false" ht="17.15" hidden="false" customHeight="false" outlineLevel="0" collapsed="false">
      <c r="A8623" s="1" t="s">
        <v>1079</v>
      </c>
      <c r="B8623" s="0" t="s">
        <v>98</v>
      </c>
      <c r="C8623" s="6" t="n">
        <f aca="false">(w_ntm28*Sens!G8606+(1-w_ntm28)*Sens!H8606)*m_ads</f>
        <v>115.28821802474</v>
      </c>
    </row>
    <row r="8624" customFormat="false" ht="17.15" hidden="false" customHeight="false" outlineLevel="0" collapsed="false">
      <c r="A8624" s="1" t="s">
        <v>1080</v>
      </c>
      <c r="B8624" s="0" t="s">
        <v>98</v>
      </c>
      <c r="C8624" s="6" t="n">
        <f aca="false">(w_ntm28*Sens!G8611+(1-w_ntm28)*Sens!H8611)*m_game</f>
        <v>97.8916733958759</v>
      </c>
    </row>
    <row r="8625" customFormat="false" ht="17.15" hidden="false" customHeight="false" outlineLevel="0" collapsed="false">
      <c r="A8625" s="1" t="s">
        <v>1081</v>
      </c>
      <c r="B8625" s="0" t="s">
        <v>98</v>
      </c>
      <c r="C8625" s="6" t="n">
        <f aca="false">(w_ntm28*Sens!G8612+(1-w_ntm28)*Sens!H8612)*m_pc</f>
        <v>97.0521188031914</v>
      </c>
    </row>
    <row r="8626" customFormat="false" ht="17.15" hidden="false" customHeight="false" outlineLevel="0" collapsed="false">
      <c r="A8626" s="1" t="s">
        <v>1082</v>
      </c>
      <c r="B8626" s="0" t="s">
        <v>98</v>
      </c>
      <c r="C8626" s="6" t="n">
        <f aca="false">Sens!$C$8616+Sens!$C$8618+Sens!$C$8619+Sens!$C$8620+Sens!$C$8621+Sens!$C$8622+Sens!$C$8623+Sens!$C$8624+Sens!$C$8625</f>
        <v>2846.87794089729</v>
      </c>
    </row>
    <row r="8627" customFormat="false" ht="17.15" hidden="false" customHeight="false" outlineLevel="0" collapsed="false">
      <c r="A8627" s="1" t="s">
        <v>1000</v>
      </c>
      <c r="B8627" s="0" t="s">
        <v>98</v>
      </c>
      <c r="C8627" s="6" t="n">
        <f aca="false">Sens!F8577+oai_v-Sens!F8566</f>
        <v>107.066474699533</v>
      </c>
      <c r="L8627" s="1" t="s">
        <v>1083</v>
      </c>
    </row>
    <row r="8628" customFormat="false" ht="15" hidden="false" customHeight="false" outlineLevel="0" collapsed="false">
      <c r="A8628" s="1" t="s">
        <v>1001</v>
      </c>
      <c r="B8628" s="0" t="s">
        <v>75</v>
      </c>
      <c r="C8628" s="5" t="n">
        <f aca="false">(Sens!$C$8626+Sens!$C$8627)/Sens!F8579</f>
        <v>395.335173393579</v>
      </c>
    </row>
    <row r="8629" customFormat="false" ht="17.15" hidden="false" customHeight="false" outlineLevel="0" collapsed="false">
      <c r="A8629" s="1" t="s">
        <v>1084</v>
      </c>
      <c r="B8629" s="0" t="s">
        <v>75</v>
      </c>
      <c r="C8629" s="5" t="n">
        <f aca="false">w_dcf*Sens!$C$8600+(1-w_dcf)*Sens!$C$8628</f>
        <v>351.951812088761</v>
      </c>
    </row>
    <row r="8630" customFormat="false" ht="17.15" hidden="false" customHeight="false" outlineLevel="0" collapsed="false">
      <c r="A8630" s="3" t="s">
        <v>1459</v>
      </c>
    </row>
    <row r="8631" customFormat="false" ht="15" hidden="false" customHeight="false" outlineLevel="0" collapsed="false">
      <c r="A8631" s="4" t="s">
        <v>43</v>
      </c>
      <c r="B8631" s="4" t="s">
        <v>65</v>
      </c>
      <c r="C8631" s="20" t="s">
        <v>788</v>
      </c>
      <c r="D8631" s="20" t="s">
        <v>789</v>
      </c>
      <c r="E8631" s="20" t="s">
        <v>790</v>
      </c>
      <c r="F8631" s="20" t="s">
        <v>791</v>
      </c>
      <c r="G8631" s="20" t="s">
        <v>792</v>
      </c>
      <c r="H8631" s="20" t="s">
        <v>793</v>
      </c>
      <c r="I8631" s="20" t="s">
        <v>794</v>
      </c>
      <c r="J8631" s="20" t="s">
        <v>795</v>
      </c>
      <c r="K8631" s="20" t="s">
        <v>796</v>
      </c>
      <c r="L8631" s="4" t="s">
        <v>47</v>
      </c>
    </row>
    <row r="8632" customFormat="false" ht="17.15" hidden="false" customHeight="false" outlineLevel="0" collapsed="false">
      <c r="A8632" s="1" t="s">
        <v>797</v>
      </c>
      <c r="B8632" s="1" t="s">
        <v>235</v>
      </c>
      <c r="C8632" s="28" t="n">
        <v>2024</v>
      </c>
      <c r="D8632" s="28" t="n">
        <v>2025</v>
      </c>
      <c r="E8632" s="28" t="n">
        <v>2026</v>
      </c>
      <c r="F8632" s="28" t="n">
        <v>2027</v>
      </c>
      <c r="G8632" s="28" t="n">
        <v>2028</v>
      </c>
      <c r="H8632" s="28" t="n">
        <v>2029</v>
      </c>
      <c r="I8632" s="28" t="n">
        <v>2030</v>
      </c>
      <c r="J8632" s="28" t="n">
        <v>2031</v>
      </c>
      <c r="K8632" s="28" t="n">
        <v>2032</v>
      </c>
    </row>
    <row r="8633" customFormat="false" ht="17.15" hidden="false" customHeight="false" outlineLevel="0" collapsed="false">
      <c r="A8633" s="1" t="s">
        <v>798</v>
      </c>
      <c r="B8633" s="0" t="s">
        <v>392</v>
      </c>
      <c r="F8633" s="29" t="n">
        <f aca="false">pace</f>
        <v>2527.2</v>
      </c>
      <c r="G8633" s="29" t="n">
        <f aca="false">pace</f>
        <v>2527.2</v>
      </c>
      <c r="H8633" s="29" t="n">
        <f aca="false">pace</f>
        <v>2527.2</v>
      </c>
      <c r="I8633" s="29" t="n">
        <f aca="false">pace+(g_tv*Sens!H8634-pace)*MIN(1,(Sens!I8632-pace_y0)/(pace_y1-pace_y0))</f>
        <v>1793.116</v>
      </c>
      <c r="J8633" s="29" t="n">
        <f aca="false">pace+(g_tv*Sens!H8634-pace)*MIN(1,(Sens!J8632-pace_y0)/(pace_y1-pace_y0))</f>
        <v>1059.032</v>
      </c>
      <c r="K8633" s="29" t="n">
        <f aca="false">pace+(g_tv*Sens!H8634-pace)*MIN(1,(Sens!K8632-pace_y0)/(pace_y1-pace_y0))</f>
        <v>324.948</v>
      </c>
      <c r="L8633" s="11" t="s">
        <v>799</v>
      </c>
    </row>
    <row r="8634" customFormat="false" ht="17.15" hidden="false" customHeight="false" outlineLevel="0" collapsed="false">
      <c r="A8634" s="1" t="s">
        <v>800</v>
      </c>
      <c r="B8634" s="0" t="s">
        <v>392</v>
      </c>
      <c r="C8634" s="29" t="n">
        <f aca="false">mw_ext_24</f>
        <v>640</v>
      </c>
      <c r="D8634" s="29" t="n">
        <f aca="false">mw_ext_25</f>
        <v>1630</v>
      </c>
      <c r="E8634" s="29" t="n">
        <f aca="false">mw_ext_26</f>
        <v>3250</v>
      </c>
      <c r="F8634" s="29" t="n">
        <f aca="false">Sens!E8634+Sens!F8633</f>
        <v>5777.2</v>
      </c>
      <c r="G8634" s="29" t="n">
        <f aca="false">Sens!F8634+Sens!G8633</f>
        <v>8304.4</v>
      </c>
      <c r="H8634" s="29" t="n">
        <f aca="false">Sens!G8634+Sens!H8633</f>
        <v>10831.6</v>
      </c>
      <c r="I8634" s="29" t="n">
        <f aca="false">Sens!H8634+Sens!I8633</f>
        <v>12624.716</v>
      </c>
      <c r="J8634" s="29" t="n">
        <f aca="false">Sens!I8634+Sens!J8633</f>
        <v>13683.748</v>
      </c>
      <c r="K8634" s="29" t="n">
        <f aca="false">Sens!J8634+Sens!K8633</f>
        <v>14008.696</v>
      </c>
      <c r="L8634" s="1" t="s">
        <v>801</v>
      </c>
    </row>
    <row r="8635" customFormat="false" ht="17.15" hidden="false" customHeight="false" outlineLevel="0" collapsed="false">
      <c r="A8635" s="1" t="s">
        <v>802</v>
      </c>
      <c r="B8635" s="0" t="s">
        <v>392</v>
      </c>
      <c r="C8635" s="29" t="n">
        <f aca="false">rent_ext_24</f>
        <v>150</v>
      </c>
      <c r="D8635" s="29" t="n">
        <f aca="false">rent_ext_25</f>
        <v>400</v>
      </c>
      <c r="E8635" s="29" t="n">
        <f aca="false">rent_ext_26</f>
        <v>550</v>
      </c>
      <c r="F8635" s="29" t="n">
        <f aca="false">rent_ext_f</f>
        <v>756</v>
      </c>
      <c r="G8635" s="29" t="n">
        <f aca="false">rent_ext_f</f>
        <v>756</v>
      </c>
      <c r="H8635" s="29" t="n">
        <f aca="false">rent_ext_f</f>
        <v>756</v>
      </c>
      <c r="I8635" s="29" t="n">
        <f aca="false">rent_ext_f</f>
        <v>756</v>
      </c>
      <c r="J8635" s="29" t="n">
        <f aca="false">rent_ext_f</f>
        <v>756</v>
      </c>
      <c r="K8635" s="29" t="n">
        <f aca="false">rent_ext_f</f>
        <v>756</v>
      </c>
      <c r="L8635" s="1" t="s">
        <v>803</v>
      </c>
    </row>
    <row r="8636" customFormat="false" ht="17.15" hidden="false" customHeight="false" outlineLevel="0" collapsed="false">
      <c r="A8636" s="1" t="s">
        <v>804</v>
      </c>
      <c r="B8636" s="0" t="s">
        <v>392</v>
      </c>
      <c r="C8636" s="29" t="n">
        <f aca="false">Sens!C8634-Sens!C8635</f>
        <v>490</v>
      </c>
      <c r="D8636" s="29" t="n">
        <f aca="false">Sens!D8634-Sens!D8635</f>
        <v>1230</v>
      </c>
      <c r="E8636" s="29" t="n">
        <f aca="false">Sens!E8634-Sens!E8635</f>
        <v>2700</v>
      </c>
      <c r="F8636" s="29" t="n">
        <f aca="false">Sens!F8634-Sens!F8635</f>
        <v>5021.2</v>
      </c>
      <c r="G8636" s="29" t="n">
        <f aca="false">Sens!G8634-Sens!G8635</f>
        <v>7548.4</v>
      </c>
      <c r="H8636" s="29" t="n">
        <f aca="false">Sens!H8634-Sens!H8635</f>
        <v>10075.6</v>
      </c>
      <c r="I8636" s="29" t="n">
        <f aca="false">Sens!I8634-Sens!I8635</f>
        <v>11868.716</v>
      </c>
      <c r="J8636" s="29" t="n">
        <f aca="false">Sens!J8634-Sens!J8635</f>
        <v>12927.748</v>
      </c>
      <c r="K8636" s="29" t="n">
        <f aca="false">Sens!K8634-Sens!K8635</f>
        <v>13252.696</v>
      </c>
    </row>
    <row r="8637" customFormat="false" ht="17.15" hidden="false" customHeight="false" outlineLevel="0" collapsed="false">
      <c r="A8637" s="1" t="s">
        <v>805</v>
      </c>
      <c r="B8637" s="0" t="s">
        <v>392</v>
      </c>
      <c r="C8637" s="29" t="n">
        <f aca="false">Sens!C8636/ext_sh</f>
        <v>816.666666666667</v>
      </c>
      <c r="D8637" s="29" t="n">
        <f aca="false">Sens!D8636/ext_sh</f>
        <v>2050</v>
      </c>
      <c r="E8637" s="29" t="n">
        <f aca="false">Sens!E8636/ext_sh</f>
        <v>4500</v>
      </c>
      <c r="F8637" s="29" t="n">
        <f aca="false">Sens!F8636/ext_sh</f>
        <v>8368.66666666667</v>
      </c>
      <c r="G8637" s="29" t="n">
        <f aca="false">Sens!G8636/ext_sh</f>
        <v>12580.6666666667</v>
      </c>
      <c r="H8637" s="29" t="n">
        <f aca="false">Sens!H8636/ext_sh</f>
        <v>16792.6666666667</v>
      </c>
      <c r="I8637" s="29" t="n">
        <f aca="false">Sens!I8636/ext_sh</f>
        <v>19781.1933333333</v>
      </c>
      <c r="J8637" s="29" t="n">
        <f aca="false">Sens!J8636/ext_sh</f>
        <v>21546.2466666667</v>
      </c>
      <c r="K8637" s="29" t="n">
        <f aca="false">Sens!K8636/ext_sh</f>
        <v>22087.8266666667</v>
      </c>
      <c r="L8637" s="1" t="s">
        <v>806</v>
      </c>
    </row>
    <row r="8638" customFormat="false" ht="17.15" hidden="false" customHeight="false" outlineLevel="0" collapsed="false">
      <c r="A8638" s="1" t="s">
        <v>807</v>
      </c>
      <c r="B8638" s="0" t="s">
        <v>392</v>
      </c>
      <c r="C8638" s="29" t="n">
        <f aca="false">Sens!C8637-Sens!C8636</f>
        <v>326.666666666667</v>
      </c>
      <c r="D8638" s="29" t="n">
        <f aca="false">Sens!D8637-Sens!D8636</f>
        <v>820</v>
      </c>
      <c r="E8638" s="29" t="n">
        <f aca="false">Sens!E8637-Sens!E8636</f>
        <v>1800</v>
      </c>
      <c r="F8638" s="29" t="n">
        <f aca="false">Sens!F8637-Sens!F8636</f>
        <v>3347.46666666667</v>
      </c>
      <c r="G8638" s="29" t="n">
        <f aca="false">Sens!G8637-Sens!G8636</f>
        <v>5032.26666666667</v>
      </c>
      <c r="H8638" s="29" t="n">
        <f aca="false">Sens!H8637-Sens!H8636</f>
        <v>6717.06666666667</v>
      </c>
      <c r="I8638" s="29" t="n">
        <f aca="false">Sens!I8637-Sens!I8636</f>
        <v>7912.47733333333</v>
      </c>
      <c r="J8638" s="29" t="n">
        <f aca="false">Sens!J8637-Sens!J8636</f>
        <v>8618.49866666667</v>
      </c>
      <c r="K8638" s="29" t="n">
        <f aca="false">Sens!K8637-Sens!K8636</f>
        <v>8835.13066666667</v>
      </c>
    </row>
    <row r="8639" customFormat="false" ht="17.15" hidden="false" customHeight="false" outlineLevel="0" collapsed="false">
      <c r="A8639" s="1" t="s">
        <v>808</v>
      </c>
      <c r="B8639" s="0" t="s">
        <v>392</v>
      </c>
      <c r="C8639" s="29" t="n">
        <f aca="false">Sens!C8637</f>
        <v>816.666666666667</v>
      </c>
      <c r="D8639" s="29" t="n">
        <f aca="false">Sens!D8637-Sens!C8637</f>
        <v>1233.33333333333</v>
      </c>
      <c r="E8639" s="29" t="n">
        <f aca="false">Sens!E8637-Sens!D8637</f>
        <v>2450</v>
      </c>
      <c r="F8639" s="29" t="n">
        <f aca="false">Sens!F8637-Sens!E8637</f>
        <v>3868.66666666667</v>
      </c>
      <c r="G8639" s="29" t="n">
        <f aca="false">Sens!G8637-Sens!F8637</f>
        <v>4212</v>
      </c>
      <c r="H8639" s="29" t="n">
        <f aca="false">Sens!H8637-Sens!G8637</f>
        <v>4212</v>
      </c>
      <c r="I8639" s="29" t="n">
        <f aca="false">Sens!I8637-Sens!H8637</f>
        <v>2988.52666666667</v>
      </c>
      <c r="J8639" s="29" t="n">
        <f aca="false">Sens!J8637-Sens!I8637</f>
        <v>1765.05333333333</v>
      </c>
      <c r="K8639" s="29" t="n">
        <f aca="false">Sens!K8637-Sens!J8637</f>
        <v>541.580000000002</v>
      </c>
    </row>
    <row r="8640" customFormat="false" ht="17.15" hidden="false" customHeight="false" outlineLevel="0" collapsed="false">
      <c r="A8640" s="1" t="s">
        <v>809</v>
      </c>
      <c r="B8640" s="0" t="s">
        <v>392</v>
      </c>
      <c r="D8640" s="29" t="n">
        <f aca="false">Sens!D8634-Sens!C8634</f>
        <v>990</v>
      </c>
      <c r="E8640" s="29" t="n">
        <f aca="false">Sens!E8634-Sens!D8634</f>
        <v>1620</v>
      </c>
      <c r="F8640" s="29" t="n">
        <f aca="false">Sens!F8634-Sens!E8634</f>
        <v>2527.2</v>
      </c>
      <c r="G8640" s="29" t="n">
        <f aca="false">Sens!G8634-Sens!F8634</f>
        <v>2527.2</v>
      </c>
      <c r="H8640" s="29" t="n">
        <f aca="false">Sens!H8634-Sens!G8634</f>
        <v>2527.2</v>
      </c>
      <c r="I8640" s="29" t="n">
        <f aca="false">Sens!I8634-Sens!H8634</f>
        <v>1793.116</v>
      </c>
      <c r="J8640" s="29" t="n">
        <f aca="false">Sens!J8634-Sens!I8634</f>
        <v>1059.032</v>
      </c>
      <c r="K8640" s="29" t="n">
        <f aca="false">Sens!K8634-Sens!J8634</f>
        <v>324.948</v>
      </c>
    </row>
    <row r="8641" customFormat="false" ht="17.15" hidden="false" customHeight="false" outlineLevel="0" collapsed="false">
      <c r="A8641" s="1" t="s">
        <v>810</v>
      </c>
      <c r="B8641" s="0" t="s">
        <v>392</v>
      </c>
      <c r="F8641" s="29" t="n">
        <f aca="false">Sens!F8658*ext_sh</f>
        <v>0</v>
      </c>
      <c r="G8641" s="29" t="n">
        <f aca="false">Sens!G8658*ext_sh</f>
        <v>0</v>
      </c>
      <c r="H8641" s="29" t="n">
        <f aca="false">Sens!H8658*ext_sh</f>
        <v>0</v>
      </c>
      <c r="I8641" s="29" t="n">
        <f aca="false">Sens!I8658*ext_sh</f>
        <v>490</v>
      </c>
      <c r="J8641" s="29" t="n">
        <f aca="false">Sens!J8658*ext_sh</f>
        <v>740</v>
      </c>
      <c r="K8641" s="29" t="n">
        <f aca="false">Sens!K8658*ext_sh</f>
        <v>1470</v>
      </c>
      <c r="L8641" s="1" t="s">
        <v>811</v>
      </c>
    </row>
    <row r="8642" customFormat="false" ht="17.15" hidden="false" customHeight="false" outlineLevel="0" collapsed="false">
      <c r="A8642" s="1" t="s">
        <v>812</v>
      </c>
      <c r="B8642" s="0" t="s">
        <v>392</v>
      </c>
      <c r="C8642" s="29" t="n">
        <f aca="false">mix_h*Sens!C8634</f>
        <v>128</v>
      </c>
      <c r="D8642" s="29" t="n">
        <f aca="false">mix_h*Sens!D8634</f>
        <v>326</v>
      </c>
      <c r="E8642" s="29" t="n">
        <f aca="false">mix_h*Sens!E8634</f>
        <v>650</v>
      </c>
      <c r="F8642" s="29" t="n">
        <f aca="false">Sens!E8642-Sens!F8641*mix_h</f>
        <v>650</v>
      </c>
      <c r="G8642" s="29" t="n">
        <f aca="false">Sens!F8642-Sens!G8641*mix_h</f>
        <v>650</v>
      </c>
      <c r="H8642" s="29" t="n">
        <f aca="false">Sens!G8642-Sens!H8641*mix_h</f>
        <v>650</v>
      </c>
      <c r="I8642" s="29" t="n">
        <f aca="false">Sens!H8642-Sens!I8641*mix_h</f>
        <v>552</v>
      </c>
      <c r="J8642" s="29" t="n">
        <f aca="false">Sens!I8642-Sens!J8641*mix_h</f>
        <v>404</v>
      </c>
      <c r="K8642" s="29" t="n">
        <f aca="false">Sens!J8642-Sens!K8641*mix_h</f>
        <v>110</v>
      </c>
    </row>
    <row r="8643" customFormat="false" ht="17.15" hidden="false" customHeight="false" outlineLevel="0" collapsed="false">
      <c r="A8643" s="1" t="s">
        <v>813</v>
      </c>
      <c r="B8643" s="0" t="s">
        <v>392</v>
      </c>
      <c r="C8643" s="29" t="n">
        <f aca="false">mix_g2*Sens!C8634</f>
        <v>288</v>
      </c>
      <c r="D8643" s="29" t="n">
        <f aca="false">mix_g2*Sens!D8634</f>
        <v>733.5</v>
      </c>
      <c r="E8643" s="29" t="n">
        <f aca="false">mix_g2*Sens!E8634</f>
        <v>1462.5</v>
      </c>
      <c r="F8643" s="29" t="n">
        <f aca="false">Sens!E8643-Sens!F8641*mix_g2</f>
        <v>1462.5</v>
      </c>
      <c r="G8643" s="29" t="n">
        <f aca="false">Sens!F8643-Sens!G8641*mix_g2</f>
        <v>1462.5</v>
      </c>
      <c r="H8643" s="29" t="n">
        <f aca="false">Sens!G8643-Sens!H8641*mix_g2</f>
        <v>1462.5</v>
      </c>
      <c r="I8643" s="29" t="n">
        <f aca="false">Sens!H8643-Sens!I8641*mix_g2</f>
        <v>1242</v>
      </c>
      <c r="J8643" s="29" t="n">
        <f aca="false">Sens!I8643-Sens!J8641*mix_g2</f>
        <v>909</v>
      </c>
      <c r="K8643" s="29" t="n">
        <f aca="false">Sens!J8643-Sens!K8641*mix_g2</f>
        <v>247.5</v>
      </c>
    </row>
    <row r="8644" customFormat="false" ht="17.15" hidden="false" customHeight="false" outlineLevel="0" collapsed="false">
      <c r="A8644" s="1" t="s">
        <v>814</v>
      </c>
      <c r="B8644" s="0" t="s">
        <v>392</v>
      </c>
      <c r="C8644" s="29" t="n">
        <f aca="false">mix_g3*Sens!C8634</f>
        <v>224</v>
      </c>
      <c r="D8644" s="29" t="n">
        <f aca="false">mix_g3*Sens!D8634</f>
        <v>570.5</v>
      </c>
      <c r="E8644" s="29" t="n">
        <f aca="false">mix_g3*Sens!E8634</f>
        <v>1137.5</v>
      </c>
      <c r="F8644" s="29" t="n">
        <f aca="false">Sens!E8644+(Sens!F8640+Sens!F8641)*a_g3_27-Sens!F8641*mix_g3</f>
        <v>2906.54</v>
      </c>
      <c r="G8644" s="29" t="n">
        <f aca="false">Sens!F8644+(Sens!G8640+Sens!G8641)*a_g3_28-Sens!G8641*mix_g3</f>
        <v>3664.7</v>
      </c>
      <c r="H8644" s="29" t="n">
        <f aca="false">Sens!G8644+(Sens!H8640+Sens!H8641)*a_g3_29-Sens!H8641*mix_g3</f>
        <v>3917.42</v>
      </c>
      <c r="I8644" s="29" t="n">
        <f aca="false">Sens!H8644+(Sens!I8640+Sens!I8641)*a_g3_29-Sens!I8641*mix_g3</f>
        <v>3974.2316</v>
      </c>
      <c r="J8644" s="29" t="n">
        <f aca="false">Sens!I8644+(Sens!J8640+Sens!J8641)*a_g3_29-Sens!J8641*mix_g3</f>
        <v>3895.1348</v>
      </c>
      <c r="K8644" s="29" t="n">
        <f aca="false">Sens!J8644+(Sens!K8640+Sens!K8641)*a_g3_29-Sens!K8641*mix_g3</f>
        <v>3560.1296</v>
      </c>
    </row>
    <row r="8645" customFormat="false" ht="17.15" hidden="false" customHeight="false" outlineLevel="0" collapsed="false">
      <c r="A8645" s="1" t="s">
        <v>815</v>
      </c>
      <c r="B8645" s="0" t="s">
        <v>392</v>
      </c>
      <c r="C8645" s="29" t="n">
        <v>0</v>
      </c>
      <c r="D8645" s="29" t="n">
        <v>0</v>
      </c>
      <c r="E8645" s="29" t="n">
        <v>0</v>
      </c>
      <c r="F8645" s="29" t="n">
        <f aca="false">Sens!E8645+(Sens!F8640+Sens!F8641)*(1-a_g3_27)</f>
        <v>758.16</v>
      </c>
      <c r="G8645" s="29" t="n">
        <f aca="false">Sens!F8645+(Sens!G8640+Sens!G8641)*(1-a_g3_28)</f>
        <v>2527.2</v>
      </c>
      <c r="H8645" s="29" t="n">
        <f aca="false">Sens!G8645+(Sens!H8640+Sens!H8641)*(1-a_g3_29)</f>
        <v>4801.68</v>
      </c>
      <c r="I8645" s="29" t="n">
        <f aca="false">Sens!H8645+(Sens!I8640+Sens!I8641)*(1-a_g3_29)</f>
        <v>6856.4844</v>
      </c>
      <c r="J8645" s="29" t="n">
        <f aca="false">Sens!I8645+(Sens!J8640+Sens!J8641)*(1-a_g3_29)</f>
        <v>8475.6132</v>
      </c>
      <c r="K8645" s="29" t="n">
        <f aca="false">Sens!J8645+(Sens!K8640+Sens!K8641)*(1-a_g3_29)</f>
        <v>10091.0664</v>
      </c>
    </row>
    <row r="8646" customFormat="false" ht="17.15" hidden="false" customHeight="false" outlineLevel="0" collapsed="false">
      <c r="A8646" s="1" t="s">
        <v>816</v>
      </c>
      <c r="B8646" s="0" t="s">
        <v>339</v>
      </c>
      <c r="C8646" s="14" t="n">
        <f aca="false">(Sens!C8642*tk_hold_h100+Sens!C8643*tk_hold_gb200+Sens!C8644*tk_hold_gb300+Sens!C8645*tk_hold_vr200)/Sens!C8634</f>
        <v>9.7235358126469</v>
      </c>
      <c r="D8646" s="14" t="n">
        <f aca="false">(Sens!D8642*tk_hold_h100+Sens!D8643*tk_hold_gb200+Sens!D8644*tk_hold_gb300+Sens!D8645*tk_hold_vr200)/Sens!D8634</f>
        <v>9.7235358126469</v>
      </c>
      <c r="E8646" s="14" t="n">
        <f aca="false">(Sens!E8642*tk_hold_h100+Sens!E8643*tk_hold_gb200+Sens!E8644*tk_hold_gb300+Sens!E8645*tk_hold_vr200)/Sens!E8634</f>
        <v>9.7235358126469</v>
      </c>
      <c r="F8646" s="14" t="n">
        <f aca="false">(Sens!F8642*tk_hold_h100+Sens!F8643*tk_hold_gb200+Sens!F8644*tk_hold_gb300+Sens!F8645*tk_hold_vr200)/Sens!F8634</f>
        <v>10.4079573161931</v>
      </c>
      <c r="G8646" s="14" t="n">
        <f aca="false">(Sens!G8642*tk_hold_h100+Sens!G8643*tk_hold_gb200+Sens!G8644*tk_hold_gb300+Sens!G8645*tk_hold_vr200)/Sens!G8634</f>
        <v>10.8388131109316</v>
      </c>
      <c r="H8646" s="14" t="n">
        <f aca="false">(Sens!H8642*tk_hold_h100+Sens!H8643*tk_hold_gb200+Sens!H8644*tk_hold_gb300+Sens!H8645*tk_hold_vr200)/Sens!H8634</f>
        <v>11.1311018388216</v>
      </c>
      <c r="I8646" s="14" t="n">
        <f aca="false">(Sens!I8642*tk_hold_h100+Sens!I8643*tk_hold_gb200+Sens!I8644*tk_hold_gb300+Sens!I8645*tk_hold_vr200)/Sens!I8634</f>
        <v>11.3594282560989</v>
      </c>
      <c r="J8646" s="14" t="n">
        <f aca="false">(Sens!J8642*tk_hold_h100+Sens!J8643*tk_hold_gb200+Sens!J8644*tk_hold_gb300+Sens!J8645*tk_hold_vr200)/Sens!J8634</f>
        <v>11.5441508808221</v>
      </c>
      <c r="K8646" s="14" t="n">
        <f aca="false">(Sens!K8642*tk_hold_h100+Sens!K8643*tk_hold_gb200+Sens!K8644*tk_hold_gb300+Sens!K8645*tk_hold_vr200)/Sens!K8634</f>
        <v>11.8053375063575</v>
      </c>
    </row>
    <row r="8647" customFormat="false" ht="17.15" hidden="false" customHeight="false" outlineLevel="0" collapsed="false">
      <c r="A8647" s="0" t="s">
        <v>817</v>
      </c>
      <c r="B8647" s="0" t="s">
        <v>185</v>
      </c>
      <c r="C8647" s="14" t="n">
        <f aca="false">k_B</f>
        <v>1.17213932619116</v>
      </c>
      <c r="D8647" s="14" t="n">
        <f aca="false">k_B</f>
        <v>1.17213932619116</v>
      </c>
      <c r="E8647" s="14" t="n">
        <f aca="false">k_B</f>
        <v>1.17213932619116</v>
      </c>
      <c r="F8647" s="14" t="n">
        <f aca="false">(k_B+((ls_A*k_long+(1-ls_A)*k_spot)-k_B)*MIN(1,(Sens!F8632-base_fy)/k_ramp))</f>
        <v>1.25022828131298</v>
      </c>
      <c r="G8647" s="14" t="n">
        <f aca="false">(k_B+((ls_A*k_long+(1-ls_A)*k_spot)-k_B)*MIN(1,(Sens!G8632-base_fy)/k_ramp))</f>
        <v>1.3283172364348</v>
      </c>
      <c r="H8647" s="14" t="n">
        <f aca="false">(k_B+((ls_A*k_long+(1-ls_A)*k_spot)-k_B)*MIN(1,(Sens!H8632-base_fy)/k_ramp))</f>
        <v>1.40640619155662</v>
      </c>
      <c r="I8647" s="14" t="n">
        <f aca="false">(k_B+((ls_A*k_long+(1-ls_A)*k_spot)-k_B)*MIN(1,(Sens!I8632-base_fy)/k_ramp))</f>
        <v>1.40640619155662</v>
      </c>
      <c r="J8647" s="14" t="n">
        <f aca="false">(k_B+((ls_A*k_long+(1-ls_A)*k_spot)-k_B)*MIN(1,(Sens!J8632-base_fy)/k_ramp))</f>
        <v>1.40640619155662</v>
      </c>
      <c r="K8647" s="14" t="n">
        <f aca="false">(k_B+((ls_A*k_long+(1-ls_A)*k_spot)-k_B)*MIN(1,(Sens!K8632-base_fy)/k_ramp))</f>
        <v>1.40640619155662</v>
      </c>
      <c r="L8647" s="1" t="s">
        <v>818</v>
      </c>
    </row>
    <row r="8648" customFormat="false" ht="17.15" hidden="false" customHeight="false" outlineLevel="0" collapsed="false">
      <c r="A8648" s="1" t="s">
        <v>819</v>
      </c>
      <c r="B8648" s="0" t="s">
        <v>339</v>
      </c>
      <c r="C8648" s="14" t="n">
        <f aca="false">Sens!C8646*Sens!C8647*chip_f</f>
        <v>11.3973387156315</v>
      </c>
      <c r="D8648" s="14" t="n">
        <f aca="false">Sens!D8646*Sens!D8647*chip_f</f>
        <v>11.3973387156315</v>
      </c>
      <c r="E8648" s="14" t="n">
        <f aca="false">Sens!E8646*Sens!E8647*chip_f</f>
        <v>11.3973387156315</v>
      </c>
      <c r="F8648" s="14" t="n">
        <f aca="false">Sens!F8646*Sens!F8647*chip_f</f>
        <v>13.0123225874029</v>
      </c>
      <c r="G8648" s="14" t="n">
        <f aca="false">Sens!G8646*Sens!G8647*chip_f</f>
        <v>14.3973822777458</v>
      </c>
      <c r="H8648" s="14" t="n">
        <f aca="false">Sens!H8646*Sens!H8647*chip_f</f>
        <v>15.6548505449659</v>
      </c>
      <c r="I8648" s="14" t="n">
        <f aca="false">Sens!I8646*Sens!I8647*chip_f</f>
        <v>15.9759702319207</v>
      </c>
      <c r="J8648" s="14" t="n">
        <f aca="false">Sens!J8646*Sens!J8647*chip_f</f>
        <v>16.2357652750519</v>
      </c>
      <c r="K8648" s="14" t="n">
        <f aca="false">Sens!K8646*Sens!K8647*chip_f</f>
        <v>16.6030997623568</v>
      </c>
      <c r="L8648" s="1" t="s">
        <v>820</v>
      </c>
    </row>
    <row r="8649" customFormat="false" ht="17.15" hidden="false" customHeight="false" outlineLevel="0" collapsed="false">
      <c r="A8649" s="0" t="s">
        <v>821</v>
      </c>
      <c r="B8649" s="0" t="s">
        <v>98</v>
      </c>
      <c r="D8649" s="6" t="n">
        <f aca="false">(Sens!C8634+Sens!D8634)/2*Sens!D8648/1000</f>
        <v>12.9359794422418</v>
      </c>
      <c r="E8649" s="6" t="n">
        <f aca="false">(Sens!D8634+Sens!E8634)/2*Sens!E8648/1000</f>
        <v>27.8095064661409</v>
      </c>
      <c r="F8649" s="6" t="n">
        <f aca="false">(Sens!E8634+Sens!F8634)/2*Sens!F8648/1000</f>
        <v>58.7324192305018</v>
      </c>
      <c r="G8649" s="6" t="n">
        <f aca="false">(Sens!F8634+Sens!G8634)/2*Sens!G8648/1000</f>
        <v>101.369089141153</v>
      </c>
      <c r="H8649" s="6" t="n">
        <f aca="false">(Sens!G8634+Sens!H8634)/2*Sens!H8648/1000</f>
        <v>149.785610014234</v>
      </c>
      <c r="I8649" s="6" t="n">
        <f aca="false">(Sens!H8634+Sens!I8634)/2*Sens!I8648/1000</f>
        <v>187.368703083263</v>
      </c>
      <c r="J8649" s="6" t="n">
        <f aca="false">(Sens!I8634+Sens!J8634)/2*Sens!J8648/1000</f>
        <v>213.569023125577</v>
      </c>
      <c r="K8649" s="6" t="n">
        <f aca="false">(Sens!J8634+Sens!K8634)/2*Sens!K8648/1000</f>
        <v>229.890205197739</v>
      </c>
      <c r="L8649" s="11" t="s">
        <v>822</v>
      </c>
    </row>
    <row r="8650" customFormat="false" ht="17.15" hidden="false" customHeight="false" outlineLevel="0" collapsed="false">
      <c r="A8650" s="1" t="s">
        <v>823</v>
      </c>
      <c r="B8650" s="0" t="s">
        <v>339</v>
      </c>
      <c r="C8650" s="14" t="n">
        <f aca="false">(Sens!C8642*tk_opex_h100+Sens!C8643*tk_opex_gb200+Sens!C8644*tk_opex_gb300+Sens!C8645*tk_opex_vr200)/Sens!C8634</f>
        <v>1.88636041306092</v>
      </c>
      <c r="D8650" s="14" t="n">
        <f aca="false">(Sens!D8642*tk_opex_h100+Sens!D8643*tk_opex_gb200+Sens!D8644*tk_opex_gb300+Sens!D8645*tk_opex_vr200)/Sens!D8634</f>
        <v>1.88636041306092</v>
      </c>
      <c r="E8650" s="14" t="n">
        <f aca="false">(Sens!E8642*tk_opex_h100+Sens!E8643*tk_opex_gb200+Sens!E8644*tk_opex_gb300+Sens!E8645*tk_opex_vr200)/Sens!E8634</f>
        <v>1.88636041306092</v>
      </c>
      <c r="F8650" s="14" t="n">
        <f aca="false">(Sens!F8642*tk_opex_h100+Sens!F8643*tk_opex_gb200+Sens!F8644*tk_opex_gb300+Sens!F8645*tk_opex_vr200)/Sens!F8634</f>
        <v>1.9430236476499</v>
      </c>
      <c r="G8650" s="14" t="n">
        <f aca="false">(Sens!G8642*tk_opex_h100+Sens!G8643*tk_opex_gb200+Sens!G8644*tk_opex_gb300+Sens!G8645*tk_opex_vr200)/Sens!G8634</f>
        <v>1.9786941852423</v>
      </c>
      <c r="H8650" s="14" t="n">
        <f aca="false">(Sens!H8642*tk_opex_h100+Sens!H8643*tk_opex_gb200+Sens!H8644*tk_opex_gb300+Sens!H8645*tk_opex_vr200)/Sens!H8634</f>
        <v>2.00289275976156</v>
      </c>
      <c r="I8650" s="14" t="n">
        <f aca="false">(Sens!I8642*tk_opex_h100+Sens!I8643*tk_opex_gb200+Sens!I8644*tk_opex_gb300+Sens!I8645*tk_opex_vr200)/Sens!I8634</f>
        <v>2.02179589661219</v>
      </c>
      <c r="J8650" s="14" t="n">
        <f aca="false">(Sens!J8642*tk_opex_h100+Sens!J8643*tk_opex_gb200+Sens!J8644*tk_opex_gb300+Sens!J8645*tk_opex_vr200)/Sens!J8634</f>
        <v>2.03708907685909</v>
      </c>
      <c r="K8650" s="14" t="n">
        <f aca="false">(Sens!K8642*tk_opex_h100+Sens!K8643*tk_opex_gb200+Sens!K8644*tk_opex_gb300+Sens!K8645*tk_opex_vr200)/Sens!K8634</f>
        <v>2.05871270931005</v>
      </c>
    </row>
    <row r="8651" customFormat="false" ht="17.15" hidden="false" customHeight="false" outlineLevel="0" collapsed="false">
      <c r="A8651" s="0" t="s">
        <v>824</v>
      </c>
      <c r="B8651" s="0" t="s">
        <v>98</v>
      </c>
      <c r="D8651" s="6" t="n">
        <f aca="false">(Sens!C8637+Sens!D8637)/2*Sens!D8650/1000</f>
        <v>2.70378325872065</v>
      </c>
      <c r="E8651" s="6" t="n">
        <f aca="false">(Sens!D8637+Sens!E8637)/2*Sens!E8650/1000</f>
        <v>6.17783035277451</v>
      </c>
      <c r="F8651" s="6" t="n">
        <f aca="false">(Sens!E8637+Sens!F8637)/2*Sens!F8650/1000</f>
        <v>12.5020618235287</v>
      </c>
      <c r="G8651" s="6" t="n">
        <f aca="false">(Sens!F8637+Sens!G8637)/2*Sens!G8650/1000</f>
        <v>20.7261620256847</v>
      </c>
      <c r="H8651" s="6" t="n">
        <f aca="false">(Sens!G8637+Sens!H8637)/2*Sens!H8650/1000</f>
        <v>29.4158183316982</v>
      </c>
      <c r="I8651" s="6" t="n">
        <f aca="false">(Sens!H8637+Sens!I8637)/2*Sens!I8650/1000</f>
        <v>36.9724400356344</v>
      </c>
      <c r="J8651" s="6" t="n">
        <f aca="false">(Sens!I8637+Sens!J8637)/2*Sens!J8650/1000</f>
        <v>42.0938382992747</v>
      </c>
      <c r="K8651" s="6" t="n">
        <f aca="false">(Sens!J8637+Sens!K8637)/2*Sens!K8650/1000</f>
        <v>44.9150106651501</v>
      </c>
    </row>
    <row r="8652" customFormat="false" ht="17.15" hidden="false" customHeight="false" outlineLevel="0" collapsed="false">
      <c r="A8652" s="0" t="s">
        <v>825</v>
      </c>
      <c r="B8652" s="0" t="s">
        <v>98</v>
      </c>
      <c r="D8652" s="6" t="n">
        <f aca="false">(Sens!C8635+Sens!D8635)/2*rent_mw/1000</f>
        <v>2.44475</v>
      </c>
      <c r="E8652" s="6" t="n">
        <f aca="false">(Sens!D8635+Sens!E8635)/2*rent_mw/1000</f>
        <v>4.22275</v>
      </c>
      <c r="F8652" s="6" t="n">
        <f aca="false">(Sens!E8635+Sens!F8635)/2*rent_mw/1000</f>
        <v>5.80517</v>
      </c>
      <c r="G8652" s="6" t="n">
        <f aca="false">(Sens!F8635+Sens!G8635)/2*rent_mw/1000</f>
        <v>6.72084</v>
      </c>
      <c r="H8652" s="6" t="n">
        <f aca="false">(Sens!G8635+Sens!H8635)/2*rent_mw/1000</f>
        <v>6.72084</v>
      </c>
      <c r="I8652" s="6" t="n">
        <f aca="false">(Sens!H8635+Sens!I8635)/2*rent_mw/1000</f>
        <v>6.72084</v>
      </c>
      <c r="J8652" s="6" t="n">
        <f aca="false">(Sens!I8635+Sens!J8635)/2*rent_mw/1000</f>
        <v>6.72084</v>
      </c>
      <c r="K8652" s="6" t="n">
        <f aca="false">(Sens!J8635+Sens!K8635)/2*rent_mw/1000</f>
        <v>6.72084</v>
      </c>
    </row>
    <row r="8653" customFormat="false" ht="17.15" hidden="false" customHeight="false" outlineLevel="0" collapsed="false">
      <c r="A8653" s="0" t="s">
        <v>826</v>
      </c>
      <c r="B8653" s="0" t="s">
        <v>98</v>
      </c>
      <c r="D8653" s="6" t="n">
        <f aca="false">(Sens!C8637+Sens!D8637)/2*(1-self_build)*fac_rent/1000</f>
        <v>0.853242375631075</v>
      </c>
      <c r="E8653" s="6" t="n">
        <f aca="false">(Sens!D8637+Sens!E8637)/2*(1-self_build)*fac_rent/1000</f>
        <v>1.94955961408728</v>
      </c>
      <c r="F8653" s="6" t="n">
        <f aca="false">(Sens!E8637+Sens!F8637)/2*(1-self_build)*fac_rent/1000</f>
        <v>3.83026455274573</v>
      </c>
      <c r="G8653" s="6" t="n">
        <f aca="false">(Sens!F8637+Sens!G8637)/2*(1-self_build)*fac_rent/1000</f>
        <v>6.23541590972812</v>
      </c>
      <c r="H8653" s="6" t="n">
        <f aca="false">(Sens!G8637+Sens!H8637)/2*(1-self_build)*fac_rent/1000</f>
        <v>8.74275792332679</v>
      </c>
      <c r="I8653" s="6" t="n">
        <f aca="false">(Sens!H8637+Sens!I8637)/2*(1-self_build)*fac_rent/1000</f>
        <v>10.8859420438599</v>
      </c>
      <c r="J8653" s="6" t="n">
        <f aca="false">(Sens!I8637+Sens!J8637)/2*(1-self_build)*fac_rent/1000</f>
        <v>12.3008103782619</v>
      </c>
      <c r="K8653" s="6" t="n">
        <f aca="false">(Sens!J8637+Sens!K8637)/2*(1-self_build)*fac_rent/1000</f>
        <v>12.9873629265328</v>
      </c>
      <c r="L8653" s="11" t="s">
        <v>827</v>
      </c>
    </row>
    <row r="8654" customFormat="false" ht="17.15" hidden="false" customHeight="false" outlineLevel="0" collapsed="false">
      <c r="A8654" s="1" t="s">
        <v>828</v>
      </c>
      <c r="B8654" s="0" t="s">
        <v>129</v>
      </c>
      <c r="D8654" s="7" t="n">
        <f aca="false">(Sens!C8636+Sens!D8636)/(Sens!C8637+Sens!D8637)</f>
        <v>0.6</v>
      </c>
      <c r="E8654" s="7" t="n">
        <f aca="false">(Sens!D8636+Sens!E8636)/(Sens!D8637+Sens!E8637)</f>
        <v>0.6</v>
      </c>
      <c r="F8654" s="7" t="n">
        <f aca="false">(Sens!E8636+Sens!F8636)/(Sens!E8637+Sens!F8637)</f>
        <v>0.6</v>
      </c>
      <c r="G8654" s="7" t="n">
        <f aca="false">(Sens!F8636+Sens!G8636)/(Sens!F8637+Sens!G8637)</f>
        <v>0.6</v>
      </c>
      <c r="H8654" s="7" t="n">
        <f aca="false">(Sens!G8636+Sens!H8636)/(Sens!G8637+Sens!H8637)</f>
        <v>0.6</v>
      </c>
      <c r="I8654" s="7" t="n">
        <f aca="false">(Sens!H8636+Sens!I8636)/(Sens!H8637+Sens!I8637)</f>
        <v>0.6</v>
      </c>
      <c r="J8654" s="7" t="n">
        <f aca="false">(Sens!I8636+Sens!J8636)/(Sens!I8637+Sens!J8637)</f>
        <v>0.6</v>
      </c>
      <c r="K8654" s="7" t="n">
        <f aca="false">(Sens!J8636+Sens!K8636)/(Sens!J8637+Sens!K8637)</f>
        <v>0.6</v>
      </c>
    </row>
    <row r="8655" customFormat="false" ht="17.15" hidden="false" customHeight="false" outlineLevel="0" collapsed="false">
      <c r="A8655" s="0" t="s">
        <v>829</v>
      </c>
      <c r="B8655" s="0" t="s">
        <v>98</v>
      </c>
      <c r="D8655" s="6" t="n">
        <f aca="false">Sens!D8649-Sens!D8654*(Sens!D8651+Sens!D8653)-Sens!D8652</f>
        <v>8.35701406163072</v>
      </c>
      <c r="E8655" s="6" t="n">
        <f aca="false">Sens!E8649-Sens!E8654*(Sens!E8651+Sens!E8653)-Sens!E8652</f>
        <v>18.7103224860238</v>
      </c>
      <c r="F8655" s="6" t="n">
        <f aca="false">Sens!F8649-Sens!F8654*(Sens!F8651+Sens!F8653)-Sens!F8652</f>
        <v>43.1278534047371</v>
      </c>
      <c r="G8655" s="6" t="n">
        <f aca="false">Sens!G8649-Sens!G8654*(Sens!G8651+Sens!G8653)-Sens!G8652</f>
        <v>78.4713023799053</v>
      </c>
      <c r="H8655" s="6" t="n">
        <f aca="false">Sens!H8649-Sens!H8654*(Sens!H8651+Sens!H8653)-Sens!H8652</f>
        <v>120.169624261219</v>
      </c>
      <c r="I8655" s="6" t="n">
        <f aca="false">Sens!I8649-Sens!I8654*(Sens!I8651+Sens!I8653)-Sens!I8652</f>
        <v>151.932833835566</v>
      </c>
      <c r="J8655" s="6" t="n">
        <f aca="false">Sens!J8649-Sens!J8654*(Sens!J8651+Sens!J8653)-Sens!J8652</f>
        <v>174.211393919055</v>
      </c>
      <c r="K8655" s="6" t="n">
        <f aca="false">Sens!K8649-Sens!K8654*(Sens!K8651+Sens!K8653)-Sens!K8652</f>
        <v>188.427941042729</v>
      </c>
    </row>
    <row r="8656" customFormat="false" ht="17.15" hidden="false" customHeight="false" outlineLevel="0" collapsed="false">
      <c r="A8656" s="1" t="s">
        <v>830</v>
      </c>
      <c r="B8656" s="0" t="s">
        <v>98</v>
      </c>
      <c r="D8656" s="6" t="n">
        <f aca="false">(1-Sens!D8654)*(Sens!D8651+Sens!D8653)</f>
        <v>1.42281025374069</v>
      </c>
      <c r="E8656" s="6" t="n">
        <f aca="false">(1-Sens!E8654)*(Sens!E8651+Sens!E8653)</f>
        <v>3.25095598674472</v>
      </c>
      <c r="F8656" s="6" t="n">
        <f aca="false">(1-Sens!F8654)*(Sens!F8651+Sens!F8653)</f>
        <v>6.53293055050977</v>
      </c>
      <c r="G8656" s="6" t="n">
        <f aca="false">(1-Sens!G8654)*(Sens!G8651+Sens!G8653)</f>
        <v>10.7846311741651</v>
      </c>
      <c r="H8656" s="6" t="n">
        <f aca="false">(1-Sens!H8654)*(Sens!H8651+Sens!H8653)</f>
        <v>15.26343050201</v>
      </c>
      <c r="I8656" s="6" t="n">
        <f aca="false">(1-Sens!I8654)*(Sens!I8651+Sens!I8653)</f>
        <v>19.1433528317977</v>
      </c>
      <c r="J8656" s="6" t="n">
        <f aca="false">(1-Sens!J8654)*(Sens!J8651+Sens!J8653)</f>
        <v>21.7578594710146</v>
      </c>
      <c r="K8656" s="6" t="n">
        <f aca="false">(1-Sens!K8654)*(Sens!K8651+Sens!K8653)</f>
        <v>23.1609494366731</v>
      </c>
    </row>
    <row r="8657" customFormat="false" ht="17.15" hidden="false" customHeight="false" outlineLevel="0" collapsed="false">
      <c r="A8657" s="1" t="s">
        <v>831</v>
      </c>
      <c r="B8657" s="0" t="s">
        <v>350</v>
      </c>
      <c r="C8657" s="8" t="n">
        <f aca="false">cxit_open</f>
        <v>27.5918995</v>
      </c>
      <c r="D8657" s="8" t="n">
        <f aca="false">cxit_open</f>
        <v>27.5918995</v>
      </c>
      <c r="E8657" s="8" t="n">
        <f aca="false">cxit_open</f>
        <v>27.5918995</v>
      </c>
      <c r="F8657" s="8" t="n">
        <f aca="false">(a_g3_27*tk_cxit_gb300+(1-a_g3_27)*tk_cxit_vr200)</f>
        <v>33.8419624</v>
      </c>
      <c r="G8657" s="8" t="n">
        <f aca="false">(a_g3_28*tk_cxit_gb300+(1-a_g3_28)*tk_cxit_vr200)</f>
        <v>35.9816136</v>
      </c>
      <c r="H8657" s="8" t="n">
        <f aca="false">(a_g3_29*tk_cxit_gb300+(1-a_g3_29)*tk_cxit_vr200)</f>
        <v>37.0514392</v>
      </c>
      <c r="I8657" s="8" t="n">
        <f aca="false">(a_g3_29*tk_cxit_gb300+(1-a_g3_29)*tk_cxit_vr200)</f>
        <v>37.0514392</v>
      </c>
      <c r="J8657" s="8" t="n">
        <f aca="false">(a_g3_29*tk_cxit_gb300+(1-a_g3_29)*tk_cxit_vr200)</f>
        <v>37.0514392</v>
      </c>
      <c r="K8657" s="8" t="n">
        <f aca="false">(a_g3_29*tk_cxit_gb300+(1-a_g3_29)*tk_cxit_vr200)</f>
        <v>37.0514392</v>
      </c>
      <c r="L8657" s="11" t="s">
        <v>832</v>
      </c>
    </row>
    <row r="8658" customFormat="false" ht="17.15" hidden="false" customHeight="false" outlineLevel="0" collapsed="false">
      <c r="A8658" s="0" t="s">
        <v>833</v>
      </c>
      <c r="B8658" s="0" t="s">
        <v>392</v>
      </c>
      <c r="F8658" s="29" t="n">
        <f aca="false">Sens!C8639*IF(Sens!F8632-Sens!C8632=life_it,1,0)+Sens!D8639*IF(Sens!F8632-Sens!D8632=life_it,1,0)+Sens!E8639*IF(Sens!F8632-Sens!E8632=life_it,1,0)</f>
        <v>0</v>
      </c>
      <c r="G8658" s="29" t="n">
        <f aca="false">Sens!C8639*IF(Sens!G8632-Sens!C8632=life_it,1,0)+Sens!D8639*IF(Sens!G8632-Sens!D8632=life_it,1,0)+Sens!E8639*IF(Sens!G8632-Sens!E8632=life_it,1,0)+Sens!F8639*IF(Sens!G8632-Sens!F8632=life_it,1,0)</f>
        <v>0</v>
      </c>
      <c r="H8658" s="29" t="n">
        <f aca="false">Sens!C8639*IF(Sens!H8632-Sens!C8632=life_it,1,0)+Sens!D8639*IF(Sens!H8632-Sens!D8632=life_it,1,0)+Sens!E8639*IF(Sens!H8632-Sens!E8632=life_it,1,0)+Sens!F8639*IF(Sens!H8632-Sens!F8632=life_it,1,0)+Sens!G8639*IF(Sens!H8632-Sens!G8632=life_it,1,0)</f>
        <v>0</v>
      </c>
      <c r="I8658" s="29" t="n">
        <f aca="false">Sens!C8639*IF(Sens!I8632-Sens!C8632=life_it,1,0)+Sens!D8639*IF(Sens!I8632-Sens!D8632=life_it,1,0)+Sens!E8639*IF(Sens!I8632-Sens!E8632=life_it,1,0)+Sens!F8639*IF(Sens!I8632-Sens!F8632=life_it,1,0)+Sens!G8639*IF(Sens!I8632-Sens!G8632=life_it,1,0)+Sens!H8639*IF(Sens!I8632-Sens!H8632=life_it,1,0)</f>
        <v>816.666666666667</v>
      </c>
      <c r="J8658" s="29" t="n">
        <f aca="false">Sens!C8639*IF(Sens!J8632-Sens!C8632=life_it,1,0)+Sens!D8639*IF(Sens!J8632-Sens!D8632=life_it,1,0)+Sens!E8639*IF(Sens!J8632-Sens!E8632=life_it,1,0)+Sens!F8639*IF(Sens!J8632-Sens!F8632=life_it,1,0)+Sens!G8639*IF(Sens!J8632-Sens!G8632=life_it,1,0)+Sens!H8639*IF(Sens!J8632-Sens!H8632=life_it,1,0)+Sens!I8639*IF(Sens!J8632-Sens!I8632=life_it,1,0)</f>
        <v>1233.33333333333</v>
      </c>
      <c r="K8658" s="29" t="n">
        <f aca="false">Sens!C8639*IF(Sens!K8632-Sens!C8632=life_it,1,0)+Sens!D8639*IF(Sens!K8632-Sens!D8632=life_it,1,0)+Sens!E8639*IF(Sens!K8632-Sens!E8632=life_it,1,0)+Sens!F8639*IF(Sens!K8632-Sens!F8632=life_it,1,0)+Sens!G8639*IF(Sens!K8632-Sens!G8632=life_it,1,0)+Sens!H8639*IF(Sens!K8632-Sens!H8632=life_it,1,0)+Sens!I8639*IF(Sens!K8632-Sens!I8632=life_it,1,0)+Sens!J8639*IF(Sens!K8632-Sens!J8632=life_it,1,0)</f>
        <v>2450</v>
      </c>
      <c r="L8658" s="1" t="s">
        <v>834</v>
      </c>
    </row>
    <row r="8659" customFormat="false" ht="17.15" hidden="false" customHeight="false" outlineLevel="0" collapsed="false">
      <c r="A8659" s="0" t="s">
        <v>835</v>
      </c>
      <c r="B8659" s="0" t="s">
        <v>98</v>
      </c>
      <c r="C8659" s="6" t="n">
        <f aca="false">Sens!C8639*Sens!C8657/1000</f>
        <v>22.5333845916667</v>
      </c>
      <c r="D8659" s="6" t="n">
        <f aca="false">Sens!D8639*Sens!D8657/1000</f>
        <v>34.0300093833333</v>
      </c>
      <c r="E8659" s="6" t="n">
        <f aca="false">Sens!E8639*Sens!E8657/1000</f>
        <v>67.600153775</v>
      </c>
      <c r="F8659" s="6" t="n">
        <f aca="false">(Sens!F8639+Sens!F8658)*Sens!F8657/1000</f>
        <v>130.923271871467</v>
      </c>
      <c r="G8659" s="6" t="n">
        <f aca="false">(Sens!G8639+Sens!G8658)*Sens!G8657/1000</f>
        <v>151.5545564832</v>
      </c>
      <c r="H8659" s="6" t="n">
        <f aca="false">(Sens!H8639+Sens!H8658)*Sens!H8657/1000</f>
        <v>156.0606619104</v>
      </c>
      <c r="I8659" s="6" t="n">
        <f aca="false">(Sens!I8639+Sens!I8658)*Sens!I8657/1000</f>
        <v>140.987889434245</v>
      </c>
      <c r="J8659" s="6" t="n">
        <f aca="false">(Sens!J8639+Sens!J8658)*Sens!J8657/1000</f>
        <v>111.094541278091</v>
      </c>
      <c r="K8659" s="6" t="n">
        <f aca="false">(Sens!K8639+Sens!K8658)*Sens!K8657/1000</f>
        <v>110.842344481936</v>
      </c>
    </row>
    <row r="8660" customFormat="false" ht="17.15" hidden="false" customHeight="false" outlineLevel="0" collapsed="false">
      <c r="A8660" s="0" t="s">
        <v>836</v>
      </c>
      <c r="B8660" s="0" t="s">
        <v>98</v>
      </c>
      <c r="C8660" s="6" t="n">
        <f aca="false">Sens!C8639*self_build*tk_cxfac/1000</f>
        <v>6.2083</v>
      </c>
      <c r="D8660" s="6" t="n">
        <f aca="false">Sens!D8639*self_build*tk_cxfac/1000</f>
        <v>9.3758</v>
      </c>
      <c r="E8660" s="6" t="n">
        <f aca="false">Sens!E8639*self_build*tk_cxfac/1000</f>
        <v>18.6249</v>
      </c>
      <c r="F8660" s="6" t="n">
        <f aca="false">Sens!F8639*self_build*tk_cxfac/1000</f>
        <v>29.409604</v>
      </c>
      <c r="G8660" s="6" t="n">
        <f aca="false">Sens!G8639*self_build*tk_cxfac/1000</f>
        <v>32.019624</v>
      </c>
      <c r="H8660" s="6" t="n">
        <f aca="false">Sens!H8639*self_build*tk_cxfac/1000</f>
        <v>32.019624</v>
      </c>
      <c r="I8660" s="6" t="n">
        <f aca="false">Sens!I8639*self_build*tk_cxfac/1000</f>
        <v>22.71877972</v>
      </c>
      <c r="J8660" s="6" t="n">
        <f aca="false">Sens!J8639*self_build*tk_cxfac/1000</f>
        <v>13.41793544</v>
      </c>
      <c r="K8660" s="6" t="n">
        <f aca="false">Sens!K8639*self_build*tk_cxfac/1000</f>
        <v>4.11709116000001</v>
      </c>
    </row>
    <row r="8661" customFormat="false" ht="17.15" hidden="false" customHeight="false" outlineLevel="0" collapsed="false">
      <c r="A8661" s="0" t="s">
        <v>837</v>
      </c>
      <c r="B8661" s="0" t="s">
        <v>98</v>
      </c>
      <c r="F8661" s="6" t="n">
        <f aca="false">MAX(0,capex_floor27-Sens!F8659-Sens!F8660-Sens!F8754)</f>
        <v>8.14771089897089</v>
      </c>
      <c r="L8661" s="1" t="s">
        <v>838</v>
      </c>
    </row>
    <row r="8662" customFormat="false" ht="17.15" hidden="false" customHeight="false" outlineLevel="0" collapsed="false">
      <c r="A8662" s="0" t="s">
        <v>839</v>
      </c>
      <c r="B8662" s="0" t="s">
        <v>98</v>
      </c>
      <c r="C8662" s="6" t="n">
        <f aca="false">Sens!C8659</f>
        <v>22.5333845916667</v>
      </c>
      <c r="D8662" s="6" t="n">
        <f aca="false">Sens!D8659</f>
        <v>34.0300093833333</v>
      </c>
      <c r="E8662" s="6" t="n">
        <f aca="false">Sens!E8659</f>
        <v>67.600153775</v>
      </c>
      <c r="F8662" s="6" t="n">
        <f aca="false">Sens!F8659+Sens!F8661</f>
        <v>139.070982770438</v>
      </c>
      <c r="G8662" s="6" t="n">
        <f aca="false">Sens!G8659</f>
        <v>151.5545564832</v>
      </c>
      <c r="H8662" s="6" t="n">
        <f aca="false">Sens!H8659</f>
        <v>156.0606619104</v>
      </c>
      <c r="I8662" s="6" t="n">
        <f aca="false">Sens!I8659</f>
        <v>140.987889434245</v>
      </c>
      <c r="J8662" s="6" t="n">
        <f aca="false">Sens!J8659</f>
        <v>111.094541278091</v>
      </c>
      <c r="K8662" s="6" t="n">
        <f aca="false">Sens!K8659</f>
        <v>110.842344481936</v>
      </c>
    </row>
    <row r="8663" customFormat="false" ht="17.15" hidden="false" customHeight="false" outlineLevel="0" collapsed="false">
      <c r="A8663" s="0" t="s">
        <v>840</v>
      </c>
      <c r="B8663" s="0" t="s">
        <v>98</v>
      </c>
      <c r="C8663" s="6" t="n">
        <f aca="false">Sens!C8662+Sens!C8660</f>
        <v>28.7416845916667</v>
      </c>
      <c r="D8663" s="6" t="n">
        <f aca="false">Sens!D8662+Sens!D8660</f>
        <v>43.4058093833333</v>
      </c>
      <c r="E8663" s="6" t="n">
        <f aca="false">Sens!E8662+Sens!E8660</f>
        <v>86.225053775</v>
      </c>
      <c r="F8663" s="6" t="n">
        <f aca="false">Sens!F8662+Sens!F8660</f>
        <v>168.480586770438</v>
      </c>
      <c r="G8663" s="6" t="n">
        <f aca="false">Sens!G8662+Sens!G8660</f>
        <v>183.5741804832</v>
      </c>
      <c r="H8663" s="6" t="n">
        <f aca="false">Sens!H8662+Sens!H8660</f>
        <v>188.0802859104</v>
      </c>
      <c r="I8663" s="6" t="n">
        <f aca="false">Sens!I8662+Sens!I8660</f>
        <v>163.706669154245</v>
      </c>
      <c r="J8663" s="6" t="n">
        <f aca="false">Sens!J8662+Sens!J8660</f>
        <v>124.51247671809</v>
      </c>
      <c r="K8663" s="6" t="n">
        <f aca="false">Sens!K8662+Sens!K8660</f>
        <v>114.959435641936</v>
      </c>
      <c r="L8663" s="11" t="s">
        <v>841</v>
      </c>
    </row>
    <row r="8664" customFormat="false" ht="17.15" hidden="false" customHeight="false" outlineLevel="0" collapsed="false">
      <c r="A8664" s="0" t="s">
        <v>842</v>
      </c>
      <c r="B8664" s="0" t="s">
        <v>98</v>
      </c>
      <c r="E8664" s="6" t="n">
        <f aca="false">(Sens!C8662*IF(2&lt;life_it,1,IF(2=life_it,0.5,0))+Sens!D8662*IF(1&lt;life_it,1,IF(1=life_it,0.5,0))+Sens!E8662*0.5)/life_it</f>
        <v>15.0605784770833</v>
      </c>
      <c r="F8664" s="6" t="n">
        <f aca="false">(Sens!C8662*IF(3&lt;life_it,1,IF(3=life_it,0.5,0))+Sens!D8662*IF(2&lt;life_it,1,IF(2=life_it,0.5,0))+Sens!E8662*IF(1&lt;life_it,1,IF(1=life_it,0.5,0))+Sens!F8662*0.5)/life_it</f>
        <v>32.2831731892031</v>
      </c>
      <c r="G8664" s="6" t="n">
        <f aca="false">(Sens!C8662*IF(4&lt;life_it,1,IF(4=life_it,0.5,0))+Sens!D8662*IF(3&lt;life_it,1,IF(3=life_it,0.5,0))+Sens!E8662*IF(2&lt;life_it,1,IF(2=life_it,0.5,0))+Sens!F8662*IF(1&lt;life_it,1,IF(1=life_it,0.5,0))+Sens!G8662*0.5)/life_it</f>
        <v>56.5019681270063</v>
      </c>
      <c r="H8664" s="6" t="n">
        <f aca="false">(Sens!C8662*IF(5&lt;life_it,1,IF(5=life_it,0.5,0))+Sens!D8662*IF(4&lt;life_it,1,IF(4=life_it,0.5,0))+Sens!E8662*IF(3&lt;life_it,1,IF(3=life_it,0.5,0))+Sens!F8662*IF(2&lt;life_it,1,IF(2=life_it,0.5,0))+Sens!G8662*IF(1&lt;life_it,1,IF(1=life_it,0.5,0))+Sens!H8662*0.5)/life_it</f>
        <v>82.1365696598062</v>
      </c>
      <c r="I8664" s="6" t="n">
        <f aca="false">(Sens!C8662*IF(6&lt;life_it,1,IF(6=life_it,0.5,0))+Sens!D8662*IF(5&lt;life_it,1,IF(5=life_it,0.5,0))+Sens!E8662*IF(4&lt;life_it,1,IF(4=life_it,0.5,0))+Sens!F8662*IF(3&lt;life_it,1,IF(3=life_it,0.5,0))+Sens!G8662*IF(2&lt;life_it,1,IF(2=life_it,0.5,0))+Sens!H8662*IF(1&lt;life_it,1,IF(1=life_it,0.5,0))+Sens!I8662*0.5)/life_it</f>
        <v>105.012833555888</v>
      </c>
      <c r="J8664" s="6" t="n">
        <f aca="false">(Sens!C8662*IF(7&lt;life_it,1,IF(7=life_it,0.5,0))+Sens!D8662*IF(6&lt;life_it,1,IF(6=life_it,0.5,0))+Sens!E8662*IF(5&lt;life_it,1,IF(5=life_it,0.5,0))+Sens!F8662*IF(4&lt;life_it,1,IF(4=life_it,0.5,0))+Sens!G8662*IF(3&lt;life_it,1,IF(3=life_it,0.5,0))+Sens!H8662*IF(2&lt;life_it,1,IF(2=life_it,0.5,0))+Sens!I8662*IF(1&lt;life_it,1,IF(1=life_it,0.5,0))+Sens!J8662*0.5)/life_it</f>
        <v>121.306086617332</v>
      </c>
      <c r="K8664" s="6" t="n">
        <f aca="false">(Sens!C8662*IF(8&lt;life_it,1,IF(8=life_it,0.5,0))+Sens!D8662*IF(7&lt;life_it,1,IF(7=life_it,0.5,0))+Sens!E8662*IF(6&lt;life_it,1,IF(6=life_it,0.5,0))+Sens!F8662*IF(5&lt;life_it,1,IF(5=life_it,0.5,0))+Sens!G8662*IF(4&lt;life_it,1,IF(4=life_it,0.5,0))+Sens!H8662*IF(3&lt;life_it,1,IF(3=life_it,0.5,0))+Sens!I8662*IF(2&lt;life_it,1,IF(2=life_it,0.5,0))+Sens!J8662*IF(1&lt;life_it,1,IF(1=life_it,0.5,0))+Sens!K8662*0.5)/life_it</f>
        <v>131.33164683414</v>
      </c>
    </row>
    <row r="8665" customFormat="false" ht="17.15" hidden="false" customHeight="false" outlineLevel="0" collapsed="false">
      <c r="A8665" s="0" t="s">
        <v>843</v>
      </c>
      <c r="B8665" s="0" t="s">
        <v>98</v>
      </c>
      <c r="E8665" s="6" t="n">
        <f aca="false">(Sens!C8660*IF(2&lt;life_fac,1,IF(2=life_fac,0.5,0))+Sens!D8660*IF(1&lt;life_fac,1,IF(1=life_fac,0.5,0))+Sens!E8660*0.5)/life_fac</f>
        <v>1.2448275</v>
      </c>
      <c r="F8665" s="6" t="n">
        <f aca="false">(Sens!C8660*IF(3&lt;life_fac,1,IF(3=life_fac,0.5,0))+Sens!D8660*IF(2&lt;life_fac,1,IF(2=life_fac,0.5,0))+Sens!E8660*IF(1&lt;life_fac,1,IF(1=life_fac,0.5,0))+Sens!F8660*0.5)/life_fac</f>
        <v>2.4456901</v>
      </c>
      <c r="G8665" s="6" t="n">
        <f aca="false">(Sens!C8660*IF(4&lt;life_fac,1,IF(4=life_fac,0.5,0))+Sens!D8660*IF(3&lt;life_fac,1,IF(3=life_fac,0.5,0))+Sens!E8660*IF(2&lt;life_fac,1,IF(2=life_fac,0.5,0))+Sens!F8660*IF(1&lt;life_fac,1,IF(1=life_fac,0.5,0))+Sens!G8660*0.5)/life_fac</f>
        <v>3.9814208</v>
      </c>
      <c r="H8665" s="6" t="n">
        <f aca="false">(Sens!C8660*IF(5&lt;life_fac,1,IF(5=life_fac,0.5,0))+Sens!D8660*IF(4&lt;life_fac,1,IF(4=life_fac,0.5,0))+Sens!E8660*IF(3&lt;life_fac,1,IF(3=life_fac,0.5,0))+Sens!F8660*IF(2&lt;life_fac,1,IF(2=life_fac,0.5,0))+Sens!G8660*IF(1&lt;life_fac,1,IF(1=life_fac,0.5,0))+Sens!H8660*0.5)/life_fac</f>
        <v>5.582402</v>
      </c>
      <c r="I8665" s="6" t="n">
        <f aca="false">(Sens!C8660*IF(6&lt;life_fac,1,IF(6=life_fac,0.5,0))+Sens!D8660*IF(5&lt;life_fac,1,IF(5=life_fac,0.5,0))+Sens!E8660*IF(4&lt;life_fac,1,IF(4=life_fac,0.5,0))+Sens!F8660*IF(3&lt;life_fac,1,IF(3=life_fac,0.5,0))+Sens!G8660*IF(2&lt;life_fac,1,IF(2=life_fac,0.5,0))+Sens!H8660*IF(1&lt;life_fac,1,IF(1=life_fac,0.5,0))+Sens!I8660*0.5)/life_fac</f>
        <v>6.950862093</v>
      </c>
      <c r="J8665" s="6" t="n">
        <f aca="false">(Sens!C8660*IF(7&lt;life_fac,1,IF(7=life_fac,0.5,0))+Sens!D8660*IF(6&lt;life_fac,1,IF(6=life_fac,0.5,0))+Sens!E8660*IF(5&lt;life_fac,1,IF(5=life_fac,0.5,0))+Sens!F8660*IF(4&lt;life_fac,1,IF(4=life_fac,0.5,0))+Sens!G8660*IF(3&lt;life_fac,1,IF(3=life_fac,0.5,0))+Sens!H8660*IF(2&lt;life_fac,1,IF(2=life_fac,0.5,0))+Sens!I8660*IF(1&lt;life_fac,1,IF(1=life_fac,0.5,0))+Sens!J8660*0.5)/life_fac</f>
        <v>7.854279972</v>
      </c>
      <c r="K8665" s="6" t="n">
        <f aca="false">(Sens!C8660*IF(8&lt;life_fac,1,IF(8=life_fac,0.5,0))+Sens!D8660*IF(7&lt;life_fac,1,IF(7=life_fac,0.5,0))+Sens!E8660*IF(6&lt;life_fac,1,IF(6=life_fac,0.5,0))+Sens!F8660*IF(5&lt;life_fac,1,IF(5=life_fac,0.5,0))+Sens!G8660*IF(4&lt;life_fac,1,IF(4=life_fac,0.5,0))+Sens!H8660*IF(3&lt;life_fac,1,IF(3=life_fac,0.5,0))+Sens!I8660*IF(2&lt;life_fac,1,IF(2=life_fac,0.5,0))+Sens!J8660*IF(1&lt;life_fac,1,IF(1=life_fac,0.5,0))+Sens!K8660*0.5)/life_fac</f>
        <v>8.292655637</v>
      </c>
    </row>
    <row r="8666" customFormat="false" ht="17.15" hidden="false" customHeight="false" outlineLevel="0" collapsed="false">
      <c r="A8666" s="0" t="s">
        <v>844</v>
      </c>
      <c r="B8666" s="0" t="s">
        <v>98</v>
      </c>
      <c r="E8666" s="6" t="n">
        <f aca="false">Sens!E8664+Sens!E8665</f>
        <v>16.3054059770833</v>
      </c>
      <c r="F8666" s="6" t="n">
        <f aca="false">Sens!F8664+Sens!F8665</f>
        <v>34.7288632892031</v>
      </c>
      <c r="G8666" s="6" t="n">
        <f aca="false">Sens!G8664+Sens!G8665</f>
        <v>60.4833889270063</v>
      </c>
      <c r="H8666" s="6" t="n">
        <f aca="false">Sens!H8664+Sens!H8665</f>
        <v>87.7189716598062</v>
      </c>
      <c r="I8666" s="6" t="n">
        <f aca="false">Sens!I8664+Sens!I8665</f>
        <v>111.963695648888</v>
      </c>
      <c r="J8666" s="6" t="n">
        <f aca="false">Sens!J8664+Sens!J8665</f>
        <v>129.160366589332</v>
      </c>
      <c r="K8666" s="6" t="n">
        <f aca="false">Sens!K8664+Sens!K8665</f>
        <v>139.62430247114</v>
      </c>
    </row>
    <row r="8667" customFormat="false" ht="17.15" hidden="false" customHeight="false" outlineLevel="0" collapsed="false">
      <c r="A8667" s="0" t="s">
        <v>845</v>
      </c>
      <c r="B8667" s="0" t="s">
        <v>98</v>
      </c>
      <c r="E8667" s="6" t="n">
        <f aca="false">Sens!E8655-Sens!E8654*Sens!E8666</f>
        <v>8.92707889977379</v>
      </c>
      <c r="F8667" s="6" t="n">
        <f aca="false">Sens!F8655-Sens!F8654*Sens!F8666</f>
        <v>22.2905354312152</v>
      </c>
      <c r="G8667" s="6" t="n">
        <f aca="false">Sens!G8655-Sens!G8654*Sens!G8666</f>
        <v>42.1812690237015</v>
      </c>
      <c r="H8667" s="6" t="n">
        <f aca="false">Sens!H8655-Sens!H8654*Sens!H8666</f>
        <v>67.5382412653351</v>
      </c>
      <c r="I8667" s="6" t="n">
        <f aca="false">Sens!I8655-Sens!I8654*Sens!I8666</f>
        <v>84.7546164462332</v>
      </c>
      <c r="J8667" s="6" t="n">
        <f aca="false">Sens!J8655-Sens!J8654*Sens!J8666</f>
        <v>96.7151739654554</v>
      </c>
      <c r="K8667" s="6" t="n">
        <f aca="false">Sens!K8655-Sens!K8654*Sens!K8666</f>
        <v>104.653359560045</v>
      </c>
    </row>
    <row r="8668" customFormat="false" ht="17.15" hidden="false" customHeight="false" outlineLevel="0" collapsed="false">
      <c r="A8668" s="3" t="s">
        <v>1460</v>
      </c>
    </row>
    <row r="8669" customFormat="false" ht="15" hidden="false" customHeight="false" outlineLevel="0" collapsed="false">
      <c r="A8669" s="4" t="s">
        <v>43</v>
      </c>
      <c r="B8669" s="4" t="s">
        <v>65</v>
      </c>
      <c r="C8669" s="20" t="s">
        <v>788</v>
      </c>
      <c r="D8669" s="20" t="s">
        <v>789</v>
      </c>
      <c r="E8669" s="20" t="s">
        <v>790</v>
      </c>
      <c r="F8669" s="20" t="s">
        <v>791</v>
      </c>
      <c r="G8669" s="20" t="s">
        <v>792</v>
      </c>
      <c r="H8669" s="20" t="s">
        <v>793</v>
      </c>
      <c r="I8669" s="20" t="s">
        <v>794</v>
      </c>
      <c r="J8669" s="20" t="s">
        <v>795</v>
      </c>
      <c r="K8669" s="20" t="s">
        <v>796</v>
      </c>
      <c r="L8669" s="4" t="s">
        <v>47</v>
      </c>
    </row>
    <row r="8670" customFormat="false" ht="17.15" hidden="false" customHeight="false" outlineLevel="0" collapsed="false">
      <c r="A8670" s="0" t="s">
        <v>864</v>
      </c>
      <c r="B8670" s="0" t="s">
        <v>98</v>
      </c>
      <c r="D8670" s="6" t="n">
        <f aca="false">Sens!D8649</f>
        <v>12.9359794422418</v>
      </c>
      <c r="E8670" s="6" t="n">
        <f aca="false">Sens!E8649</f>
        <v>27.8095064661409</v>
      </c>
      <c r="F8670" s="6" t="n">
        <f aca="false">Sens!F8649</f>
        <v>58.7324192305018</v>
      </c>
      <c r="G8670" s="6" t="n">
        <f aca="false">Sens!G8649</f>
        <v>101.369089141153</v>
      </c>
      <c r="H8670" s="6" t="n">
        <f aca="false">Sens!H8649</f>
        <v>149.785610014234</v>
      </c>
      <c r="I8670" s="6" t="n">
        <f aca="false">Sens!I8649</f>
        <v>187.368703083263</v>
      </c>
      <c r="J8670" s="6" t="n">
        <f aca="false">Sens!J8649</f>
        <v>213.569023125577</v>
      </c>
      <c r="K8670" s="6" t="n">
        <f aca="false">Sens!K8649</f>
        <v>229.890205197739</v>
      </c>
    </row>
    <row r="8671" customFormat="false" ht="17.15" hidden="false" customHeight="false" outlineLevel="0" collapsed="false">
      <c r="A8671" s="0" t="s">
        <v>865</v>
      </c>
      <c r="B8671" s="0" t="s">
        <v>98</v>
      </c>
      <c r="D8671" s="6" t="n">
        <f aca="false">Q!L6-Sens!D8670</f>
        <v>59.6740205577583</v>
      </c>
      <c r="E8671" s="6" t="n">
        <f aca="false">Q!M6-Sens!E8670</f>
        <v>74.1284935338591</v>
      </c>
      <c r="F8671" s="6" t="n">
        <f aca="false">Sens!E8671*(1+Sens!F8672)</f>
        <v>90.0799497373663</v>
      </c>
      <c r="G8671" s="6" t="n">
        <f aca="false">Sens!F8671*(1+Sens!G8672)</f>
        <v>107.02842520331</v>
      </c>
      <c r="H8671" s="6" t="n">
        <f aca="false">Sens!G8671*(1+Sens!H8672)</f>
        <v>124.271982585636</v>
      </c>
      <c r="I8671" s="6" t="n">
        <f aca="false">Sens!H8671*(1+Sens!I8672)</f>
        <v>140.933702381855</v>
      </c>
      <c r="J8671" s="6" t="n">
        <f aca="false">Sens!I8671*(1+Sens!J8672)</f>
        <v>156.018867314332</v>
      </c>
      <c r="K8671" s="6" t="n">
        <f aca="false">Sens!J8671*(1+Sens!K8672)</f>
        <v>168.500376699478</v>
      </c>
    </row>
    <row r="8672" customFormat="false" ht="15" hidden="false" customHeight="false" outlineLevel="0" collapsed="false">
      <c r="A8672" s="1" t="s">
        <v>866</v>
      </c>
      <c r="B8672" s="0" t="s">
        <v>129</v>
      </c>
      <c r="E8672" s="7" t="n">
        <f aca="false">Sens!E8671/Sens!D8671-1</f>
        <v>0.242223883039864</v>
      </c>
      <c r="F8672" s="7" t="n">
        <f aca="false">Sens!$E$8672+(glt_azo-Sens!$E$8672)*MIN(1,(Sens!F8632-base_fy)/n_conv)</f>
        <v>0.215186569199887</v>
      </c>
      <c r="G8672" s="7" t="n">
        <f aca="false">Sens!$E$8672+(glt_azo-Sens!$E$8672)*MIN(1,(Sens!G8632-base_fy)/n_conv)</f>
        <v>0.18814925535991</v>
      </c>
      <c r="H8672" s="7" t="n">
        <f aca="false">Sens!$E$8672+(glt_azo-Sens!$E$8672)*MIN(1,(Sens!H8632-base_fy)/n_conv)</f>
        <v>0.161111941519932</v>
      </c>
      <c r="I8672" s="7" t="n">
        <f aca="false">Sens!$E$8672+(glt_azo-Sens!$E$8672)*MIN(1,(Sens!I8632-base_fy)/n_conv)</f>
        <v>0.134074627679955</v>
      </c>
      <c r="J8672" s="7" t="n">
        <f aca="false">Sens!$E$8672+(glt_azo-Sens!$E$8672)*MIN(1,(Sens!J8632-base_fy)/n_conv)</f>
        <v>0.107037313839977</v>
      </c>
      <c r="K8672" s="7" t="n">
        <f aca="false">Sens!$E$8672+(glt_azo-Sens!$E$8672)*MIN(1,(Sens!K8632-base_fy)/n_conv)</f>
        <v>0.08</v>
      </c>
    </row>
    <row r="8673" customFormat="false" ht="15" hidden="false" customHeight="false" outlineLevel="0" collapsed="false">
      <c r="A8673" s="0" t="s">
        <v>867</v>
      </c>
      <c r="B8673" s="0" t="s">
        <v>98</v>
      </c>
      <c r="D8673" s="6" t="n">
        <f aca="false">Sens!D8670+Sens!D8671</f>
        <v>72.61</v>
      </c>
      <c r="E8673" s="6" t="n">
        <f aca="false">Sens!E8670+Sens!E8671</f>
        <v>101.938</v>
      </c>
      <c r="F8673" s="6" t="n">
        <f aca="false">Sens!F8670+Sens!F8671</f>
        <v>148.812368967868</v>
      </c>
      <c r="G8673" s="6" t="n">
        <f aca="false">Sens!G8670+Sens!G8671</f>
        <v>208.397514344463</v>
      </c>
      <c r="H8673" s="6" t="n">
        <f aca="false">Sens!H8670+Sens!H8671</f>
        <v>274.05759259987</v>
      </c>
      <c r="I8673" s="6" t="n">
        <f aca="false">Sens!I8670+Sens!I8671</f>
        <v>328.302405465117</v>
      </c>
      <c r="J8673" s="6" t="n">
        <f aca="false">Sens!J8670+Sens!J8671</f>
        <v>369.587890439908</v>
      </c>
      <c r="K8673" s="6" t="n">
        <f aca="false">Sens!K8670+Sens!K8671</f>
        <v>398.390581897217</v>
      </c>
    </row>
    <row r="8674" customFormat="false" ht="17.15" hidden="false" customHeight="false" outlineLevel="0" collapsed="false">
      <c r="A8674" s="0" t="s">
        <v>868</v>
      </c>
      <c r="B8674" s="1" t="s">
        <v>521</v>
      </c>
      <c r="C8674" s="29" t="n">
        <f aca="false">cop_s24</f>
        <v>1</v>
      </c>
      <c r="D8674" s="29" t="n">
        <f aca="false">cop_s25</f>
        <v>5</v>
      </c>
      <c r="E8674" s="29" t="n">
        <f aca="false">cop_s26</f>
        <v>30</v>
      </c>
      <c r="F8674" s="29" t="n">
        <f aca="false">Sens!E8674+cop_add_A</f>
        <v>60</v>
      </c>
      <c r="G8674" s="29" t="n">
        <f aca="false">Sens!F8674+cop_add_A</f>
        <v>90</v>
      </c>
      <c r="H8674" s="29" t="n">
        <f aca="false">Sens!G8674+cop_add_A</f>
        <v>120</v>
      </c>
      <c r="I8674" s="29" t="n">
        <f aca="false">Sens!H8674+cop_add_A*cop_tail</f>
        <v>135</v>
      </c>
      <c r="J8674" s="29" t="n">
        <f aca="false">Sens!I8674+cop_add_A*cop_tail</f>
        <v>150</v>
      </c>
      <c r="K8674" s="29" t="n">
        <f aca="false">Sens!J8674+cop_add_A*cop_tail</f>
        <v>165</v>
      </c>
      <c r="L8674" s="11" t="s">
        <v>869</v>
      </c>
    </row>
    <row r="8675" customFormat="false" ht="17.15" hidden="false" customHeight="false" outlineLevel="0" collapsed="false">
      <c r="A8675" s="0" t="s">
        <v>870</v>
      </c>
      <c r="B8675" s="0" t="s">
        <v>98</v>
      </c>
      <c r="D8675" s="6" t="n">
        <f aca="false">(Sens!C8674+Sens!D8674)/2*cop_px*12/1000</f>
        <v>0.9</v>
      </c>
      <c r="E8675" s="6" t="n">
        <f aca="false">(Sens!D8674+Sens!E8674)/2*cop_px*12/1000</f>
        <v>5.25</v>
      </c>
      <c r="F8675" s="6" t="n">
        <f aca="false">(Sens!E8674+Sens!F8674)/2*cop_px*12/1000</f>
        <v>13.5</v>
      </c>
      <c r="G8675" s="6" t="n">
        <f aca="false">(Sens!F8674+Sens!G8674)/2*cop_px*12/1000</f>
        <v>22.5</v>
      </c>
      <c r="H8675" s="6" t="n">
        <f aca="false">(Sens!G8674+Sens!H8674)/2*cop_px*12/1000</f>
        <v>31.5</v>
      </c>
      <c r="I8675" s="6" t="n">
        <f aca="false">(Sens!H8674+Sens!I8674)/2*cop_px*12/1000</f>
        <v>38.25</v>
      </c>
      <c r="J8675" s="6" t="n">
        <f aca="false">(Sens!I8674+Sens!J8674)/2*cop_px*12/1000</f>
        <v>42.75</v>
      </c>
      <c r="K8675" s="6" t="n">
        <f aca="false">(Sens!J8674+Sens!K8674)/2*cop_px*12/1000</f>
        <v>47.25</v>
      </c>
      <c r="L8675" s="1" t="s">
        <v>871</v>
      </c>
    </row>
    <row r="8676" customFormat="false" ht="17.15" hidden="false" customHeight="false" outlineLevel="0" collapsed="false">
      <c r="A8676" s="0" t="s">
        <v>872</v>
      </c>
      <c r="B8676" s="0" t="s">
        <v>98</v>
      </c>
      <c r="D8676" s="6" t="n">
        <f aca="false">Q!L7-Sens!D8675</f>
        <v>83.705</v>
      </c>
      <c r="E8676" s="6" t="n">
        <f aca="false">Q!M7-Sens!E8675</f>
        <v>95.049</v>
      </c>
      <c r="F8676" s="6" t="n">
        <f aca="false">Sens!E8676*(1+Sens!F8677)</f>
        <v>106.89238776686</v>
      </c>
      <c r="G8676" s="6" t="n">
        <f aca="false">Sens!F8676*(1+Sens!G8677)</f>
        <v>119.044168448684</v>
      </c>
      <c r="H8676" s="6" t="n">
        <f aca="false">Sens!G8676*(1+Sens!H8677)</f>
        <v>131.277359388781</v>
      </c>
      <c r="I8676" s="6" t="n">
        <f aca="false">Sens!H8676*(1+Sens!I8677)</f>
        <v>143.334028071957</v>
      </c>
      <c r="J8676" s="6" t="n">
        <f aca="false">Sens!I8676*(1+Sens!J8677)</f>
        <v>154.932702785465</v>
      </c>
      <c r="K8676" s="6" t="n">
        <f aca="false">Sens!J8676*(1+Sens!K8677)</f>
        <v>165.777991980448</v>
      </c>
    </row>
    <row r="8677" customFormat="false" ht="15" hidden="false" customHeight="false" outlineLevel="0" collapsed="false">
      <c r="A8677" s="1" t="s">
        <v>866</v>
      </c>
      <c r="B8677" s="0" t="s">
        <v>129</v>
      </c>
      <c r="E8677" s="7" t="n">
        <f aca="false">Sens!E8676/Sens!D8676-1</f>
        <v>0.135523564900544</v>
      </c>
      <c r="F8677" s="7" t="n">
        <f aca="false">Sens!$E$8677+(glt_m365b-Sens!$E$8677)*MIN(1,(Sens!F8632-base_fy)/n_conv)</f>
        <v>0.124602970750453</v>
      </c>
      <c r="G8677" s="7" t="n">
        <f aca="false">Sens!$E$8677+(glt_m365b-Sens!$E$8677)*MIN(1,(Sens!G8632-base_fy)/n_conv)</f>
        <v>0.113682376600363</v>
      </c>
      <c r="H8677" s="7" t="n">
        <f aca="false">Sens!$E$8677+(glt_m365b-Sens!$E$8677)*MIN(1,(Sens!H8632-base_fy)/n_conv)</f>
        <v>0.102761782450272</v>
      </c>
      <c r="I8677" s="7" t="n">
        <f aca="false">Sens!$E$8677+(glt_m365b-Sens!$E$8677)*MIN(1,(Sens!I8632-base_fy)/n_conv)</f>
        <v>0.0918411883001813</v>
      </c>
      <c r="J8677" s="7" t="n">
        <f aca="false">Sens!$E$8677+(glt_m365b-Sens!$E$8677)*MIN(1,(Sens!J8632-base_fy)/n_conv)</f>
        <v>0.0809205941500906</v>
      </c>
      <c r="K8677" s="7" t="n">
        <f aca="false">Sens!$E$8677+(glt_m365b-Sens!$E$8677)*MIN(1,(Sens!K8632-base_fy)/n_conv)</f>
        <v>0.07</v>
      </c>
    </row>
    <row r="8678" customFormat="false" ht="15" hidden="false" customHeight="false" outlineLevel="0" collapsed="false">
      <c r="A8678" s="0" t="s">
        <v>873</v>
      </c>
      <c r="B8678" s="0" t="s">
        <v>98</v>
      </c>
      <c r="D8678" s="6" t="n">
        <f aca="false">Sens!D8676+Sens!D8675</f>
        <v>84.605</v>
      </c>
      <c r="E8678" s="6" t="n">
        <f aca="false">Sens!E8676+Sens!E8675</f>
        <v>100.299</v>
      </c>
      <c r="F8678" s="6" t="n">
        <f aca="false">Sens!F8676+Sens!F8675</f>
        <v>120.39238776686</v>
      </c>
      <c r="G8678" s="6" t="n">
        <f aca="false">Sens!G8676+Sens!G8675</f>
        <v>141.544168448684</v>
      </c>
      <c r="H8678" s="6" t="n">
        <f aca="false">Sens!H8676+Sens!H8675</f>
        <v>162.777359388781</v>
      </c>
      <c r="I8678" s="6" t="n">
        <f aca="false">Sens!I8676+Sens!I8675</f>
        <v>181.584028071957</v>
      </c>
      <c r="J8678" s="6" t="n">
        <f aca="false">Sens!J8676+Sens!J8675</f>
        <v>197.682702785465</v>
      </c>
      <c r="K8678" s="6" t="n">
        <f aca="false">Sens!K8676+Sens!K8675</f>
        <v>213.027991980448</v>
      </c>
    </row>
    <row r="8679" customFormat="false" ht="15" hidden="false" customHeight="false" outlineLevel="0" collapsed="false">
      <c r="A8679" s="0" t="s">
        <v>874</v>
      </c>
      <c r="B8679" s="0" t="s">
        <v>98</v>
      </c>
      <c r="D8679" s="6" t="n">
        <f aca="false">Q!L8</f>
        <v>35.391</v>
      </c>
      <c r="E8679" s="6" t="n">
        <f aca="false">Q!M8</f>
        <v>37.285</v>
      </c>
      <c r="F8679" s="6" t="n">
        <f aca="false">Sens!E8679*(1+Sens!F8680)</f>
        <v>39.0720834331704</v>
      </c>
      <c r="G8679" s="6" t="n">
        <f aca="false">Sens!F8679*(1+Sens!G8680)</f>
        <v>40.726562953769</v>
      </c>
      <c r="H8679" s="6" t="n">
        <f aca="false">Sens!G8679*(1+Sens!H8680)</f>
        <v>42.2235987259198</v>
      </c>
      <c r="I8679" s="6" t="n">
        <f aca="false">Sens!H8679*(1+Sens!I8680)</f>
        <v>43.5397988077414</v>
      </c>
      <c r="J8679" s="6" t="n">
        <f aca="false">Sens!I8679*(1+Sens!J8680)</f>
        <v>44.653811225693</v>
      </c>
      <c r="K8679" s="6" t="n">
        <f aca="false">Sens!J8679*(1+Sens!K8680)</f>
        <v>45.5468874502068</v>
      </c>
    </row>
    <row r="8680" customFormat="false" ht="15" hidden="false" customHeight="false" outlineLevel="0" collapsed="false">
      <c r="A8680" s="1" t="s">
        <v>866</v>
      </c>
      <c r="B8680" s="0" t="s">
        <v>129</v>
      </c>
      <c r="E8680" s="7" t="n">
        <f aca="false">Sens!E8679/Sens!D8679-1</f>
        <v>0.0535164307309768</v>
      </c>
      <c r="F8680" s="7" t="n">
        <f aca="false">Sens!$E$8680+(glt_lic-Sens!$E$8680)*MIN(1,(Sens!F8632-base_fy)/n_conv)</f>
        <v>0.0479303589424807</v>
      </c>
      <c r="G8680" s="7" t="n">
        <f aca="false">Sens!$E$8680+(glt_lic-Sens!$E$8680)*MIN(1,(Sens!G8632-base_fy)/n_conv)</f>
        <v>0.0423442871539845</v>
      </c>
      <c r="H8680" s="7" t="n">
        <f aca="false">Sens!$E$8680+(glt_lic-Sens!$E$8680)*MIN(1,(Sens!H8632-base_fy)/n_conv)</f>
        <v>0.0367582153654884</v>
      </c>
      <c r="I8680" s="7" t="n">
        <f aca="false">Sens!$E$8680+(glt_lic-Sens!$E$8680)*MIN(1,(Sens!I8632-base_fy)/n_conv)</f>
        <v>0.0311721435769923</v>
      </c>
      <c r="J8680" s="7" t="n">
        <f aca="false">Sens!$E$8680+(glt_lic-Sens!$E$8680)*MIN(1,(Sens!J8632-base_fy)/n_conv)</f>
        <v>0.0255860717884961</v>
      </c>
      <c r="K8680" s="7" t="n">
        <f aca="false">Sens!$E$8680+(glt_lic-Sens!$E$8680)*MIN(1,(Sens!K8632-base_fy)/n_conv)</f>
        <v>0.02</v>
      </c>
    </row>
    <row r="8681" customFormat="false" ht="15" hidden="false" customHeight="false" outlineLevel="0" collapsed="false">
      <c r="A8681" s="0" t="s">
        <v>875</v>
      </c>
      <c r="B8681" s="0" t="s">
        <v>98</v>
      </c>
      <c r="D8681" s="6" t="n">
        <f aca="false">Q!L9</f>
        <v>18.417</v>
      </c>
      <c r="E8681" s="6" t="n">
        <f aca="false">Q!M9</f>
        <v>20.345</v>
      </c>
      <c r="F8681" s="6" t="n">
        <f aca="false">Sens!E8681*(1+Sens!F8682)</f>
        <v>22.3572203267814</v>
      </c>
      <c r="G8681" s="6" t="n">
        <f aca="false">Sens!F8681*(1+Sens!G8682)</f>
        <v>24.4392124437232</v>
      </c>
      <c r="H8681" s="6" t="n">
        <f aca="false">Sens!G8681*(1+Sens!H8682)</f>
        <v>26.5738052080665</v>
      </c>
      <c r="I8681" s="6" t="n">
        <f aca="false">Sens!H8681*(1+Sens!I8682)</f>
        <v>28.7412169166967</v>
      </c>
      <c r="J8681" s="6" t="n">
        <f aca="false">Sens!I8681*(1+Sens!J8682)</f>
        <v>30.9192545395413</v>
      </c>
      <c r="K8681" s="6" t="n">
        <f aca="false">Sens!J8681*(1+Sens!K8682)</f>
        <v>33.0836023573092</v>
      </c>
    </row>
    <row r="8682" customFormat="false" ht="15" hidden="false" customHeight="false" outlineLevel="0" collapsed="false">
      <c r="A8682" s="1" t="s">
        <v>866</v>
      </c>
      <c r="B8682" s="0" t="s">
        <v>129</v>
      </c>
      <c r="E8682" s="7" t="n">
        <f aca="false">Sens!E8681/Sens!D8681-1</f>
        <v>0.104685888038225</v>
      </c>
      <c r="F8682" s="7" t="n">
        <f aca="false">Sens!$E$8682+(glt_ind-Sens!$E$8682)*MIN(1,(Sens!F8632-base_fy)/n_conv)</f>
        <v>0.0989049066985211</v>
      </c>
      <c r="G8682" s="7" t="n">
        <f aca="false">Sens!$E$8682+(glt_ind-Sens!$E$8682)*MIN(1,(Sens!G8632-base_fy)/n_conv)</f>
        <v>0.0931239253588169</v>
      </c>
      <c r="H8682" s="7" t="n">
        <f aca="false">Sens!$E$8682+(glt_ind-Sens!$E$8682)*MIN(1,(Sens!H8632-base_fy)/n_conv)</f>
        <v>0.0873429440191127</v>
      </c>
      <c r="I8682" s="7" t="n">
        <f aca="false">Sens!$E$8682+(glt_ind-Sens!$E$8682)*MIN(1,(Sens!I8632-base_fy)/n_conv)</f>
        <v>0.0815619626794085</v>
      </c>
      <c r="J8682" s="7" t="n">
        <f aca="false">Sens!$E$8682+(glt_ind-Sens!$E$8682)*MIN(1,(Sens!J8632-base_fy)/n_conv)</f>
        <v>0.0757809813397042</v>
      </c>
      <c r="K8682" s="7" t="n">
        <f aca="false">Sens!$E$8682+(glt_ind-Sens!$E$8682)*MIN(1,(Sens!K8632-base_fy)/n_conv)</f>
        <v>0.07</v>
      </c>
    </row>
    <row r="8683" customFormat="false" ht="15" hidden="false" customHeight="false" outlineLevel="0" collapsed="false">
      <c r="A8683" s="0" t="s">
        <v>876</v>
      </c>
      <c r="B8683" s="0" t="s">
        <v>98</v>
      </c>
      <c r="D8683" s="6" t="n">
        <f aca="false">Q!L10</f>
        <v>7.76</v>
      </c>
      <c r="E8683" s="6" t="n">
        <f aca="false">Q!M10</f>
        <v>8.26</v>
      </c>
      <c r="F8683" s="6" t="n">
        <f aca="false">Sens!E8683*(1+Sens!F8684)</f>
        <v>8.79988041237113</v>
      </c>
      <c r="G8683" s="6" t="n">
        <f aca="false">Sens!F8683*(1+Sens!G8684)</f>
        <v>9.38321269125306</v>
      </c>
      <c r="H8683" s="6" t="n">
        <f aca="false">Sens!G8683*(1+Sens!H8684)</f>
        <v>10.0139193587476</v>
      </c>
      <c r="I8683" s="6" t="n">
        <f aca="false">Sens!H8683*(1+Sens!I8684)</f>
        <v>10.6963111830911</v>
      </c>
      <c r="J8683" s="6" t="n">
        <f aca="false">Sens!I8683*(1+Sens!J8684)</f>
        <v>11.4351285534696</v>
      </c>
      <c r="K8683" s="6" t="n">
        <f aca="false">Sens!J8683*(1+Sens!K8684)</f>
        <v>12.2355875522124</v>
      </c>
    </row>
    <row r="8684" customFormat="false" ht="15" hidden="false" customHeight="false" outlineLevel="0" collapsed="false">
      <c r="A8684" s="1" t="s">
        <v>866</v>
      </c>
      <c r="B8684" s="0" t="s">
        <v>129</v>
      </c>
      <c r="E8684" s="7" t="n">
        <f aca="false">Sens!E8683/Sens!D8683-1</f>
        <v>0.0644329896907216</v>
      </c>
      <c r="F8684" s="7" t="n">
        <f aca="false">Sens!$E$8684+(glt_fro-Sens!$E$8684)*MIN(1,(Sens!F8632-base_fy)/n_conv)</f>
        <v>0.065360824742268</v>
      </c>
      <c r="G8684" s="7" t="n">
        <f aca="false">Sens!$E$8684+(glt_fro-Sens!$E$8684)*MIN(1,(Sens!G8632-base_fy)/n_conv)</f>
        <v>0.0662886597938144</v>
      </c>
      <c r="H8684" s="7" t="n">
        <f aca="false">Sens!$E$8684+(glt_fro-Sens!$E$8684)*MIN(1,(Sens!H8632-base_fy)/n_conv)</f>
        <v>0.0672164948453608</v>
      </c>
      <c r="I8684" s="7" t="n">
        <f aca="false">Sens!$E$8684+(glt_fro-Sens!$E$8684)*MIN(1,(Sens!I8632-base_fy)/n_conv)</f>
        <v>0.0681443298969072</v>
      </c>
      <c r="J8684" s="7" t="n">
        <f aca="false">Sens!$E$8684+(glt_fro-Sens!$E$8684)*MIN(1,(Sens!J8632-base_fy)/n_conv)</f>
        <v>0.0690721649484536</v>
      </c>
      <c r="K8684" s="7" t="n">
        <f aca="false">Sens!$E$8684+(glt_fro-Sens!$E$8684)*MIN(1,(Sens!K8632-base_fy)/n_conv)</f>
        <v>0.07</v>
      </c>
    </row>
    <row r="8685" customFormat="false" ht="15" hidden="false" customHeight="false" outlineLevel="0" collapsed="false">
      <c r="A8685" s="0" t="s">
        <v>704</v>
      </c>
      <c r="B8685" s="0" t="s">
        <v>98</v>
      </c>
      <c r="D8685" s="6" t="n">
        <f aca="false">Sens!D8673+Sens!D8678+Sens!D8679+Sens!D8681+Sens!D8683</f>
        <v>218.783</v>
      </c>
      <c r="E8685" s="6" t="n">
        <f aca="false">Sens!E8673+Sens!E8678+Sens!E8679+Sens!E8681+Sens!E8683</f>
        <v>268.127</v>
      </c>
      <c r="F8685" s="6" t="n">
        <f aca="false">Sens!F8673+Sens!F8678+Sens!F8679+Sens!F8681+Sens!F8683</f>
        <v>339.433940907051</v>
      </c>
      <c r="G8685" s="6" t="n">
        <f aca="false">Sens!G8673+Sens!G8678+Sens!G8679+Sens!G8681+Sens!G8683</f>
        <v>424.490670881892</v>
      </c>
      <c r="H8685" s="6" t="n">
        <f aca="false">Sens!H8673+Sens!H8678+Sens!H8679+Sens!H8681+Sens!H8683</f>
        <v>515.646275281385</v>
      </c>
      <c r="I8685" s="6" t="n">
        <f aca="false">Sens!I8673+Sens!I8678+Sens!I8679+Sens!I8681+Sens!I8683</f>
        <v>592.863760444604</v>
      </c>
      <c r="J8685" s="6" t="n">
        <f aca="false">Sens!J8673+Sens!J8678+Sens!J8679+Sens!J8681+Sens!J8683</f>
        <v>654.278787544077</v>
      </c>
      <c r="K8685" s="6" t="n">
        <f aca="false">Sens!K8673+Sens!K8678+Sens!K8679+Sens!K8681+Sens!K8683</f>
        <v>702.284651237393</v>
      </c>
    </row>
    <row r="8686" customFormat="false" ht="15" hidden="false" customHeight="false" outlineLevel="0" collapsed="false">
      <c r="A8686" s="0" t="s">
        <v>877</v>
      </c>
      <c r="B8686" s="0" t="s">
        <v>98</v>
      </c>
      <c r="D8686" s="6" t="n">
        <f aca="false">Q!L13</f>
        <v>22.171</v>
      </c>
      <c r="E8686" s="6" t="n">
        <f aca="false">Q!M13</f>
        <v>24.835</v>
      </c>
      <c r="F8686" s="6" t="n">
        <f aca="false">Sens!E8686*(1+Sens!F8687)</f>
        <v>27.4873151218559</v>
      </c>
      <c r="G8686" s="6" t="n">
        <f aca="false">Sens!F8686*(1+Sens!G8687)</f>
        <v>30.0556741721455</v>
      </c>
      <c r="H8686" s="6" t="n">
        <f aca="false">Sens!G8686*(1+Sens!H8687)</f>
        <v>32.4624869022303</v>
      </c>
      <c r="I8686" s="6" t="n">
        <f aca="false">Sens!H8686*(1+Sens!I8687)</f>
        <v>34.6283511524715</v>
      </c>
      <c r="J8686" s="6" t="n">
        <f aca="false">Sens!I8686*(1+Sens!J8687)</f>
        <v>36.476102435307</v>
      </c>
      <c r="K8686" s="6" t="n">
        <f aca="false">Sens!J8686*(1+Sens!K8687)</f>
        <v>37.9351465327193</v>
      </c>
    </row>
    <row r="8687" customFormat="false" ht="15" hidden="false" customHeight="false" outlineLevel="0" collapsed="false">
      <c r="A8687" s="1" t="s">
        <v>866</v>
      </c>
      <c r="B8687" s="0" t="s">
        <v>129</v>
      </c>
      <c r="E8687" s="7" t="n">
        <f aca="false">Sens!E8686/Sens!D8686-1</f>
        <v>0.120156961796942</v>
      </c>
      <c r="F8687" s="7" t="n">
        <f aca="false">Sens!$E$8687+(glt_srch_lo-Sens!$E$8687)*MIN(1,(Sens!F8632-base_fy)/n_conv)</f>
        <v>0.106797468164118</v>
      </c>
      <c r="G8687" s="7" t="n">
        <f aca="false">Sens!$E$8687+(glt_srch_lo-Sens!$E$8687)*MIN(1,(Sens!G8632-base_fy)/n_conv)</f>
        <v>0.0934379745312947</v>
      </c>
      <c r="H8687" s="7" t="n">
        <f aca="false">Sens!$E$8687+(glt_srch_lo-Sens!$E$8687)*MIN(1,(Sens!H8632-base_fy)/n_conv)</f>
        <v>0.080078480898471</v>
      </c>
      <c r="I8687" s="7" t="n">
        <f aca="false">Sens!$E$8687+(glt_srch_lo-Sens!$E$8687)*MIN(1,(Sens!I8632-base_fy)/n_conv)</f>
        <v>0.0667189872656473</v>
      </c>
      <c r="J8687" s="7" t="n">
        <f aca="false">Sens!$E$8687+(glt_srch_lo-Sens!$E$8687)*MIN(1,(Sens!J8632-base_fy)/n_conv)</f>
        <v>0.0533594936328237</v>
      </c>
      <c r="K8687" s="7" t="n">
        <f aca="false">Sens!$E$8687+(glt_srch_lo-Sens!$E$8687)*MIN(1,(Sens!K8632-base_fy)/n_conv)</f>
        <v>0.04</v>
      </c>
    </row>
    <row r="8688" customFormat="false" ht="15" hidden="false" customHeight="false" outlineLevel="0" collapsed="false">
      <c r="A8688" s="0" t="s">
        <v>878</v>
      </c>
      <c r="B8688" s="0" t="s">
        <v>98</v>
      </c>
      <c r="D8688" s="6" t="n">
        <f aca="false">Q!L14</f>
        <v>23.455</v>
      </c>
      <c r="E8688" s="6" t="n">
        <f aca="false">Q!M14</f>
        <v>21.79</v>
      </c>
      <c r="F8688" s="6" t="n">
        <f aca="false">Sens!E8688*(1+Sens!F8689)</f>
        <v>20.5736277908051</v>
      </c>
      <c r="G8688" s="6" t="n">
        <f aca="false">Sens!F8688*(1+Sens!G8689)</f>
        <v>19.7371452817919</v>
      </c>
      <c r="H8688" s="6" t="n">
        <f aca="false">Sens!G8688*(1+Sens!H8689)</f>
        <v>19.2339764043138</v>
      </c>
      <c r="I8688" s="6" t="n">
        <f aca="false">Sens!H8688*(1+Sens!I8689)</f>
        <v>19.0353086852681</v>
      </c>
      <c r="J8688" s="6" t="n">
        <f aca="false">Sens!I8688*(1+Sens!J8689)</f>
        <v>19.1273539319129</v>
      </c>
      <c r="K8688" s="6" t="n">
        <f aca="false">Sens!J8688*(1+Sens!K8689)</f>
        <v>19.5099010105511</v>
      </c>
    </row>
    <row r="8689" customFormat="false" ht="15" hidden="false" customHeight="false" outlineLevel="0" collapsed="false">
      <c r="A8689" s="1" t="s">
        <v>866</v>
      </c>
      <c r="B8689" s="0" t="s">
        <v>129</v>
      </c>
      <c r="E8689" s="7" t="n">
        <f aca="false">Sens!E8688/Sens!D8688-1</f>
        <v>-0.0709869963760392</v>
      </c>
      <c r="F8689" s="7" t="n">
        <f aca="false">Sens!$E$8689+(glt_xbox-Sens!$E$8689)*MIN(1,(Sens!F8632-base_fy)/n_conv)</f>
        <v>-0.0558224969800327</v>
      </c>
      <c r="G8689" s="7" t="n">
        <f aca="false">Sens!$E$8689+(glt_xbox-Sens!$E$8689)*MIN(1,(Sens!G8632-base_fy)/n_conv)</f>
        <v>-0.0406579975840262</v>
      </c>
      <c r="H8689" s="7" t="n">
        <f aca="false">Sens!$E$8689+(glt_xbox-Sens!$E$8689)*MIN(1,(Sens!H8632-base_fy)/n_conv)</f>
        <v>-0.0254934981880196</v>
      </c>
      <c r="I8689" s="7" t="n">
        <f aca="false">Sens!$E$8689+(glt_xbox-Sens!$E$8689)*MIN(1,(Sens!I8632-base_fy)/n_conv)</f>
        <v>-0.0103289987920131</v>
      </c>
      <c r="J8689" s="7" t="n">
        <f aca="false">Sens!$E$8689+(glt_xbox-Sens!$E$8689)*MIN(1,(Sens!J8632-base_fy)/n_conv)</f>
        <v>0.00483550060399347</v>
      </c>
      <c r="K8689" s="7" t="n">
        <f aca="false">Sens!$E$8689+(glt_xbox-Sens!$E$8689)*MIN(1,(Sens!K8632-base_fy)/n_conv)</f>
        <v>0.02</v>
      </c>
    </row>
    <row r="8690" customFormat="false" ht="15" hidden="false" customHeight="false" outlineLevel="0" collapsed="false">
      <c r="A8690" s="0" t="s">
        <v>879</v>
      </c>
      <c r="B8690" s="0" t="s">
        <v>98</v>
      </c>
      <c r="D8690" s="6" t="n">
        <f aca="false">Q!L15</f>
        <v>17.315</v>
      </c>
      <c r="E8690" s="6" t="n">
        <f aca="false">Q!M15</f>
        <v>17.087</v>
      </c>
      <c r="F8690" s="6" t="n">
        <f aca="false">Sens!E8690*(1+Sens!F8691)</f>
        <v>16.9564585436519</v>
      </c>
      <c r="G8690" s="6" t="n">
        <f aca="false">Sens!F8690*(1+Sens!G8691)</f>
        <v>16.9206490624268</v>
      </c>
      <c r="H8690" s="6" t="n">
        <f aca="false">Sens!G8690*(1+Sens!H8691)</f>
        <v>16.9784519149849</v>
      </c>
      <c r="I8690" s="6" t="n">
        <f aca="false">Sens!H8690*(1+Sens!I8691)</f>
        <v>17.1303084701817</v>
      </c>
      <c r="J8690" s="6" t="n">
        <f aca="false">Sens!I8690*(1+Sens!J8691)</f>
        <v>17.3782189407267</v>
      </c>
      <c r="K8690" s="6" t="n">
        <f aca="false">Sens!J8690*(1+Sens!K8691)</f>
        <v>17.7257833195413</v>
      </c>
    </row>
    <row r="8691" customFormat="false" ht="15" hidden="false" customHeight="false" outlineLevel="0" collapsed="false">
      <c r="A8691" s="1" t="s">
        <v>866</v>
      </c>
      <c r="B8691" s="0" t="s">
        <v>129</v>
      </c>
      <c r="E8691" s="7" t="n">
        <f aca="false">Sens!E8690/Sens!D8690-1</f>
        <v>-0.0131677736066995</v>
      </c>
      <c r="F8691" s="7" t="n">
        <f aca="false">Sens!$E$8691+(glt_win-Sens!$E$8691)*MIN(1,(Sens!F8632-base_fy)/n_conv)</f>
        <v>-0.00763981133891627</v>
      </c>
      <c r="G8691" s="7" t="n">
        <f aca="false">Sens!$E$8691+(glt_win-Sens!$E$8691)*MIN(1,(Sens!G8632-base_fy)/n_conv)</f>
        <v>-0.00211184907113301</v>
      </c>
      <c r="H8691" s="7" t="n">
        <f aca="false">Sens!$E$8691+(glt_win-Sens!$E$8691)*MIN(1,(Sens!H8632-base_fy)/n_conv)</f>
        <v>0.00341611319665024</v>
      </c>
      <c r="I8691" s="7" t="n">
        <f aca="false">Sens!$E$8691+(glt_win-Sens!$E$8691)*MIN(1,(Sens!I8632-base_fy)/n_conv)</f>
        <v>0.00894407546443349</v>
      </c>
      <c r="J8691" s="7" t="n">
        <f aca="false">Sens!$E$8691+(glt_win-Sens!$E$8691)*MIN(1,(Sens!J8632-base_fy)/n_conv)</f>
        <v>0.0144720377322168</v>
      </c>
      <c r="K8691" s="7" t="n">
        <f aca="false">Sens!$E$8691+(glt_win-Sens!$E$8691)*MIN(1,(Sens!K8632-base_fy)/n_conv)</f>
        <v>0.02</v>
      </c>
    </row>
    <row r="8692" customFormat="false" ht="15" hidden="false" customHeight="false" outlineLevel="0" collapsed="false">
      <c r="A8692" s="0" t="s">
        <v>718</v>
      </c>
      <c r="B8692" s="0" t="s">
        <v>98</v>
      </c>
      <c r="D8692" s="6" t="n">
        <f aca="false">Sens!D8686+Sens!D8688+Sens!D8690</f>
        <v>62.941</v>
      </c>
      <c r="E8692" s="6" t="n">
        <f aca="false">Sens!E8686+Sens!E8688+Sens!E8690</f>
        <v>63.712</v>
      </c>
      <c r="F8692" s="6" t="n">
        <f aca="false">Sens!F8686+Sens!F8688+Sens!F8690</f>
        <v>65.0174014563129</v>
      </c>
      <c r="G8692" s="6" t="n">
        <f aca="false">Sens!G8686+Sens!G8688+Sens!G8690</f>
        <v>66.7134685163642</v>
      </c>
      <c r="H8692" s="6" t="n">
        <f aca="false">Sens!H8686+Sens!H8688+Sens!H8690</f>
        <v>68.6749152215291</v>
      </c>
      <c r="I8692" s="6" t="n">
        <f aca="false">Sens!I8686+Sens!I8688+Sens!I8690</f>
        <v>70.7939683079213</v>
      </c>
      <c r="J8692" s="6" t="n">
        <f aca="false">Sens!J8686+Sens!J8688+Sens!J8690</f>
        <v>72.9816753079466</v>
      </c>
      <c r="K8692" s="6" t="n">
        <f aca="false">Sens!K8686+Sens!K8688+Sens!K8690</f>
        <v>75.1708308628117</v>
      </c>
    </row>
    <row r="8693" customFormat="false" ht="15" hidden="false" customHeight="false" outlineLevel="0" collapsed="false">
      <c r="A8693" s="1" t="s">
        <v>880</v>
      </c>
      <c r="B8693" s="0" t="s">
        <v>98</v>
      </c>
      <c r="D8693" s="6" t="n">
        <f aca="false">Sens!D8685+Sens!D8692</f>
        <v>281.724</v>
      </c>
      <c r="E8693" s="6" t="n">
        <f aca="false">Sens!E8685+Sens!E8692</f>
        <v>331.839</v>
      </c>
      <c r="F8693" s="6" t="n">
        <f aca="false">Sens!F8685+Sens!F8692</f>
        <v>404.451342363364</v>
      </c>
      <c r="G8693" s="6" t="n">
        <f aca="false">Sens!G8685+Sens!G8692</f>
        <v>491.204139398256</v>
      </c>
      <c r="H8693" s="6" t="n">
        <f aca="false">Sens!H8685+Sens!H8692</f>
        <v>584.321190502914</v>
      </c>
      <c r="I8693" s="6" t="n">
        <f aca="false">Sens!I8685+Sens!I8692</f>
        <v>663.657728752525</v>
      </c>
      <c r="J8693" s="6" t="n">
        <f aca="false">Sens!J8685+Sens!J8692</f>
        <v>727.260462852024</v>
      </c>
      <c r="K8693" s="6" t="n">
        <f aca="false">Sens!K8685+Sens!K8692</f>
        <v>777.455482100205</v>
      </c>
    </row>
    <row r="8694" customFormat="false" ht="15" hidden="false" customHeight="false" outlineLevel="0" collapsed="false">
      <c r="A8694" s="23" t="s">
        <v>881</v>
      </c>
      <c r="B8694" s="30" t="s">
        <v>98</v>
      </c>
      <c r="C8694" s="30"/>
      <c r="D8694" s="24" t="n">
        <f aca="false">(Sens!D8673+Sens!D8678+Sens!D8679+Sens!D8681+Sens!D8683-Sens!D8685)+(Sens!D8686+Sens!D8688+Sens!D8690-Sens!D8692)+(Sens!D8685-Q!L5)+(Sens!D8692-Q!L12)+(Sens!D8673-Q!L6)+(Sens!D8678-Q!L7)</f>
        <v>0</v>
      </c>
      <c r="E8694" s="24" t="n">
        <f aca="false">(Sens!E8673+Sens!E8678+Sens!E8679+Sens!E8681+Sens!E8683-Sens!E8685)+(Sens!E8686+Sens!E8688+Sens!E8690-Sens!E8692)+(Sens!E8685-Q!M5)+(Sens!E8692-Q!M12)+(Sens!E8673-Q!M6)+(Sens!E8678-Q!M7)</f>
        <v>0</v>
      </c>
      <c r="F8694" s="24" t="n">
        <f aca="false">(Sens!F8673+Sens!F8678+Sens!F8679+Sens!F8681+Sens!F8683-Sens!F8685)+(Sens!F8686+Sens!F8688+Sens!F8690-Sens!F8692)</f>
        <v>0</v>
      </c>
      <c r="G8694" s="24" t="n">
        <f aca="false">(Sens!G8673+Sens!G8678+Sens!G8679+Sens!G8681+Sens!G8683-Sens!G8685)+(Sens!G8686+Sens!G8688+Sens!G8690-Sens!G8692)</f>
        <v>0</v>
      </c>
      <c r="H8694" s="24" t="n">
        <f aca="false">(Sens!H8673+Sens!H8678+Sens!H8679+Sens!H8681+Sens!H8683-Sens!H8685)+(Sens!H8686+Sens!H8688+Sens!H8690-Sens!H8692)</f>
        <v>0</v>
      </c>
      <c r="I8694" s="24" t="n">
        <f aca="false">(Sens!I8673+Sens!I8678+Sens!I8679+Sens!I8681+Sens!I8683-Sens!I8685)+(Sens!I8686+Sens!I8688+Sens!I8690-Sens!I8692)</f>
        <v>0</v>
      </c>
      <c r="J8694" s="24" t="n">
        <f aca="false">(Sens!J8673+Sens!J8678+Sens!J8679+Sens!J8681+Sens!J8683-Sens!J8685)+(Sens!J8686+Sens!J8688+Sens!J8690-Sens!J8692)</f>
        <v>0</v>
      </c>
      <c r="K8694" s="24" t="n">
        <f aca="false">(Sens!K8673+Sens!K8678+Sens!K8679+Sens!K8681+Sens!K8683-Sens!K8685)+(Sens!K8686+Sens!K8688+Sens!K8690-Sens!K8692)</f>
        <v>0</v>
      </c>
    </row>
    <row r="8695" customFormat="false" ht="17.15" hidden="false" customHeight="false" outlineLevel="0" collapsed="false">
      <c r="A8695" s="3" t="s">
        <v>1461</v>
      </c>
    </row>
    <row r="8696" customFormat="false" ht="15" hidden="false" customHeight="false" outlineLevel="0" collapsed="false">
      <c r="A8696" s="4" t="s">
        <v>43</v>
      </c>
      <c r="B8696" s="4" t="s">
        <v>65</v>
      </c>
      <c r="C8696" s="20" t="s">
        <v>788</v>
      </c>
      <c r="D8696" s="20" t="s">
        <v>789</v>
      </c>
      <c r="E8696" s="20" t="s">
        <v>790</v>
      </c>
      <c r="F8696" s="20" t="s">
        <v>791</v>
      </c>
      <c r="G8696" s="20" t="s">
        <v>792</v>
      </c>
      <c r="H8696" s="20" t="s">
        <v>793</v>
      </c>
      <c r="I8696" s="20" t="s">
        <v>794</v>
      </c>
      <c r="J8696" s="20" t="s">
        <v>795</v>
      </c>
      <c r="K8696" s="20" t="s">
        <v>796</v>
      </c>
      <c r="L8696" s="4" t="s">
        <v>47</v>
      </c>
    </row>
    <row r="8697" customFormat="false" ht="15" hidden="false" customHeight="false" outlineLevel="0" collapsed="false">
      <c r="A8697" s="0" t="s">
        <v>867</v>
      </c>
      <c r="B8697" s="0" t="s">
        <v>98</v>
      </c>
      <c r="D8697" s="6" t="n">
        <f aca="false">Sens!D8673</f>
        <v>72.61</v>
      </c>
      <c r="E8697" s="6" t="n">
        <f aca="false">Sens!E8673</f>
        <v>101.938</v>
      </c>
      <c r="F8697" s="6" t="n">
        <f aca="false">Sens!F8673</f>
        <v>148.812368967868</v>
      </c>
      <c r="G8697" s="6" t="n">
        <f aca="false">Sens!G8673</f>
        <v>208.397514344463</v>
      </c>
      <c r="H8697" s="6" t="n">
        <f aca="false">Sens!H8673</f>
        <v>274.05759259987</v>
      </c>
      <c r="I8697" s="6" t="n">
        <f aca="false">Sens!I8673</f>
        <v>328.302405465117</v>
      </c>
      <c r="J8697" s="6" t="n">
        <f aca="false">Sens!J8673</f>
        <v>369.587890439908</v>
      </c>
      <c r="K8697" s="6" t="n">
        <f aca="false">Sens!K8673</f>
        <v>398.390581897217</v>
      </c>
    </row>
    <row r="8698" customFormat="false" ht="17.15" hidden="false" customHeight="false" outlineLevel="0" collapsed="false">
      <c r="A8698" s="0" t="s">
        <v>864</v>
      </c>
      <c r="B8698" s="0" t="s">
        <v>98</v>
      </c>
      <c r="D8698" s="6" t="n">
        <f aca="false">Sens!D8670</f>
        <v>12.9359794422418</v>
      </c>
      <c r="E8698" s="6" t="n">
        <f aca="false">Sens!E8670</f>
        <v>27.8095064661409</v>
      </c>
      <c r="F8698" s="6" t="n">
        <f aca="false">Sens!F8670</f>
        <v>58.7324192305018</v>
      </c>
      <c r="G8698" s="6" t="n">
        <f aca="false">Sens!G8670</f>
        <v>101.369089141153</v>
      </c>
      <c r="H8698" s="6" t="n">
        <f aca="false">Sens!H8670</f>
        <v>149.785610014234</v>
      </c>
      <c r="I8698" s="6" t="n">
        <f aca="false">Sens!I8670</f>
        <v>187.368703083263</v>
      </c>
      <c r="J8698" s="6" t="n">
        <f aca="false">Sens!J8670</f>
        <v>213.569023125577</v>
      </c>
      <c r="K8698" s="6" t="n">
        <f aca="false">Sens!K8670</f>
        <v>229.890205197739</v>
      </c>
    </row>
    <row r="8699" customFormat="false" ht="17.15" hidden="false" customHeight="false" outlineLevel="0" collapsed="false">
      <c r="A8699" s="0" t="s">
        <v>892</v>
      </c>
      <c r="B8699" s="0" t="s">
        <v>98</v>
      </c>
      <c r="D8699" s="6" t="n">
        <f aca="false">Sens!D8671</f>
        <v>59.6740205577583</v>
      </c>
      <c r="E8699" s="6" t="n">
        <f aca="false">Sens!E8671</f>
        <v>74.1284935338591</v>
      </c>
      <c r="F8699" s="6" t="n">
        <f aca="false">Sens!F8671</f>
        <v>90.0799497373663</v>
      </c>
      <c r="G8699" s="6" t="n">
        <f aca="false">Sens!G8671</f>
        <v>107.02842520331</v>
      </c>
      <c r="H8699" s="6" t="n">
        <f aca="false">Sens!H8671</f>
        <v>124.271982585636</v>
      </c>
      <c r="I8699" s="6" t="n">
        <f aca="false">Sens!I8671</f>
        <v>140.933702381855</v>
      </c>
      <c r="J8699" s="6" t="n">
        <f aca="false">Sens!J8671</f>
        <v>156.018867314332</v>
      </c>
      <c r="K8699" s="6" t="n">
        <f aca="false">Sens!K8671</f>
        <v>168.500376699478</v>
      </c>
    </row>
    <row r="8700" customFormat="false" ht="15" hidden="false" customHeight="false" outlineLevel="0" collapsed="false">
      <c r="A8700" s="0" t="s">
        <v>873</v>
      </c>
      <c r="B8700" s="0" t="s">
        <v>98</v>
      </c>
      <c r="D8700" s="6" t="n">
        <f aca="false">Sens!D8678</f>
        <v>84.605</v>
      </c>
      <c r="E8700" s="6" t="n">
        <f aca="false">Sens!E8678</f>
        <v>100.299</v>
      </c>
      <c r="F8700" s="6" t="n">
        <f aca="false">Sens!F8678</f>
        <v>120.39238776686</v>
      </c>
      <c r="G8700" s="6" t="n">
        <f aca="false">Sens!G8678</f>
        <v>141.544168448684</v>
      </c>
      <c r="H8700" s="6" t="n">
        <f aca="false">Sens!H8678</f>
        <v>162.777359388781</v>
      </c>
      <c r="I8700" s="6" t="n">
        <f aca="false">Sens!I8678</f>
        <v>181.584028071957</v>
      </c>
      <c r="J8700" s="6" t="n">
        <f aca="false">Sens!J8678</f>
        <v>197.682702785465</v>
      </c>
      <c r="K8700" s="6" t="n">
        <f aca="false">Sens!K8678</f>
        <v>213.027991980448</v>
      </c>
    </row>
    <row r="8701" customFormat="false" ht="17.15" hidden="false" customHeight="false" outlineLevel="0" collapsed="false">
      <c r="A8701" s="0" t="s">
        <v>893</v>
      </c>
      <c r="B8701" s="0" t="s">
        <v>98</v>
      </c>
      <c r="D8701" s="6" t="n">
        <f aca="false">Sens!D8676</f>
        <v>83.705</v>
      </c>
      <c r="E8701" s="6" t="n">
        <f aca="false">Sens!E8676</f>
        <v>95.049</v>
      </c>
      <c r="F8701" s="6" t="n">
        <f aca="false">Sens!F8676</f>
        <v>106.89238776686</v>
      </c>
      <c r="G8701" s="6" t="n">
        <f aca="false">Sens!G8676</f>
        <v>119.044168448684</v>
      </c>
      <c r="H8701" s="6" t="n">
        <f aca="false">Sens!H8676</f>
        <v>131.277359388781</v>
      </c>
      <c r="I8701" s="6" t="n">
        <f aca="false">Sens!I8676</f>
        <v>143.334028071957</v>
      </c>
      <c r="J8701" s="6" t="n">
        <f aca="false">Sens!J8676</f>
        <v>154.932702785465</v>
      </c>
      <c r="K8701" s="6" t="n">
        <f aca="false">Sens!K8676</f>
        <v>165.777991980448</v>
      </c>
    </row>
    <row r="8702" customFormat="false" ht="17.15" hidden="false" customHeight="false" outlineLevel="0" collapsed="false">
      <c r="A8702" s="0" t="s">
        <v>894</v>
      </c>
      <c r="B8702" s="0" t="s">
        <v>98</v>
      </c>
      <c r="D8702" s="6" t="n">
        <f aca="false">Sens!D8675</f>
        <v>0.9</v>
      </c>
      <c r="E8702" s="6" t="n">
        <f aca="false">Sens!E8675</f>
        <v>5.25</v>
      </c>
      <c r="F8702" s="6" t="n">
        <f aca="false">Sens!F8675</f>
        <v>13.5</v>
      </c>
      <c r="G8702" s="6" t="n">
        <f aca="false">Sens!G8675</f>
        <v>22.5</v>
      </c>
      <c r="H8702" s="6" t="n">
        <f aca="false">Sens!H8675</f>
        <v>31.5</v>
      </c>
      <c r="I8702" s="6" t="n">
        <f aca="false">Sens!I8675</f>
        <v>38.25</v>
      </c>
      <c r="J8702" s="6" t="n">
        <f aca="false">Sens!J8675</f>
        <v>42.75</v>
      </c>
      <c r="K8702" s="6" t="n">
        <f aca="false">Sens!K8675</f>
        <v>47.25</v>
      </c>
    </row>
    <row r="8703" customFormat="false" ht="15" hidden="false" customHeight="false" outlineLevel="0" collapsed="false">
      <c r="A8703" s="0" t="s">
        <v>874</v>
      </c>
      <c r="B8703" s="0" t="s">
        <v>98</v>
      </c>
      <c r="D8703" s="6" t="n">
        <f aca="false">Sens!D8679</f>
        <v>35.391</v>
      </c>
      <c r="E8703" s="6" t="n">
        <f aca="false">Sens!E8679</f>
        <v>37.285</v>
      </c>
      <c r="F8703" s="6" t="n">
        <f aca="false">Sens!F8679</f>
        <v>39.0720834331704</v>
      </c>
      <c r="G8703" s="6" t="n">
        <f aca="false">Sens!G8679</f>
        <v>40.726562953769</v>
      </c>
      <c r="H8703" s="6" t="n">
        <f aca="false">Sens!H8679</f>
        <v>42.2235987259198</v>
      </c>
      <c r="I8703" s="6" t="n">
        <f aca="false">Sens!I8679</f>
        <v>43.5397988077414</v>
      </c>
      <c r="J8703" s="6" t="n">
        <f aca="false">Sens!J8679</f>
        <v>44.653811225693</v>
      </c>
      <c r="K8703" s="6" t="n">
        <f aca="false">Sens!K8679</f>
        <v>45.5468874502068</v>
      </c>
    </row>
    <row r="8704" customFormat="false" ht="15" hidden="false" customHeight="false" outlineLevel="0" collapsed="false">
      <c r="A8704" s="0" t="s">
        <v>875</v>
      </c>
      <c r="B8704" s="0" t="s">
        <v>98</v>
      </c>
      <c r="D8704" s="6" t="n">
        <f aca="false">Sens!D8681</f>
        <v>18.417</v>
      </c>
      <c r="E8704" s="6" t="n">
        <f aca="false">Sens!E8681</f>
        <v>20.345</v>
      </c>
      <c r="F8704" s="6" t="n">
        <f aca="false">Sens!F8681</f>
        <v>22.3572203267814</v>
      </c>
      <c r="G8704" s="6" t="n">
        <f aca="false">Sens!G8681</f>
        <v>24.4392124437232</v>
      </c>
      <c r="H8704" s="6" t="n">
        <f aca="false">Sens!H8681</f>
        <v>26.5738052080665</v>
      </c>
      <c r="I8704" s="6" t="n">
        <f aca="false">Sens!I8681</f>
        <v>28.7412169166967</v>
      </c>
      <c r="J8704" s="6" t="n">
        <f aca="false">Sens!J8681</f>
        <v>30.9192545395413</v>
      </c>
      <c r="K8704" s="6" t="n">
        <f aca="false">Sens!K8681</f>
        <v>33.0836023573092</v>
      </c>
    </row>
    <row r="8705" customFormat="false" ht="15" hidden="false" customHeight="false" outlineLevel="0" collapsed="false">
      <c r="A8705" s="0" t="s">
        <v>876</v>
      </c>
      <c r="B8705" s="0" t="s">
        <v>98</v>
      </c>
      <c r="D8705" s="6" t="n">
        <f aca="false">Sens!D8683</f>
        <v>7.76</v>
      </c>
      <c r="E8705" s="6" t="n">
        <f aca="false">Sens!E8683</f>
        <v>8.26</v>
      </c>
      <c r="F8705" s="6" t="n">
        <f aca="false">Sens!F8683</f>
        <v>8.79988041237113</v>
      </c>
      <c r="G8705" s="6" t="n">
        <f aca="false">Sens!G8683</f>
        <v>9.38321269125306</v>
      </c>
      <c r="H8705" s="6" t="n">
        <f aca="false">Sens!H8683</f>
        <v>10.0139193587476</v>
      </c>
      <c r="I8705" s="6" t="n">
        <f aca="false">Sens!I8683</f>
        <v>10.6963111830911</v>
      </c>
      <c r="J8705" s="6" t="n">
        <f aca="false">Sens!J8683</f>
        <v>11.4351285534696</v>
      </c>
      <c r="K8705" s="6" t="n">
        <f aca="false">Sens!K8683</f>
        <v>12.2355875522124</v>
      </c>
    </row>
    <row r="8706" customFormat="false" ht="15" hidden="false" customHeight="false" outlineLevel="0" collapsed="false">
      <c r="A8706" s="0" t="s">
        <v>704</v>
      </c>
      <c r="B8706" s="0" t="s">
        <v>98</v>
      </c>
      <c r="D8706" s="6" t="n">
        <f aca="false">Sens!D8685</f>
        <v>218.783</v>
      </c>
      <c r="E8706" s="6" t="n">
        <f aca="false">Sens!E8685</f>
        <v>268.127</v>
      </c>
      <c r="F8706" s="6" t="n">
        <f aca="false">Sens!F8685</f>
        <v>339.433940907051</v>
      </c>
      <c r="G8706" s="6" t="n">
        <f aca="false">Sens!G8685</f>
        <v>424.490670881892</v>
      </c>
      <c r="H8706" s="6" t="n">
        <f aca="false">Sens!H8685</f>
        <v>515.646275281385</v>
      </c>
      <c r="I8706" s="6" t="n">
        <f aca="false">Sens!I8685</f>
        <v>592.863760444604</v>
      </c>
      <c r="J8706" s="6" t="n">
        <f aca="false">Sens!J8685</f>
        <v>654.278787544077</v>
      </c>
      <c r="K8706" s="6" t="n">
        <f aca="false">Sens!K8685</f>
        <v>702.284651237393</v>
      </c>
    </row>
    <row r="8707" customFormat="false" ht="15" hidden="false" customHeight="false" outlineLevel="0" collapsed="false">
      <c r="A8707" s="0" t="s">
        <v>877</v>
      </c>
      <c r="B8707" s="0" t="s">
        <v>98</v>
      </c>
      <c r="D8707" s="6" t="n">
        <f aca="false">Sens!D8686</f>
        <v>22.171</v>
      </c>
      <c r="E8707" s="6" t="n">
        <f aca="false">Sens!E8686</f>
        <v>24.835</v>
      </c>
      <c r="F8707" s="6" t="n">
        <f aca="false">Sens!F8686</f>
        <v>27.4873151218559</v>
      </c>
      <c r="G8707" s="6" t="n">
        <f aca="false">Sens!G8686</f>
        <v>30.0556741721455</v>
      </c>
      <c r="H8707" s="6" t="n">
        <f aca="false">Sens!H8686</f>
        <v>32.4624869022303</v>
      </c>
      <c r="I8707" s="6" t="n">
        <f aca="false">Sens!I8686</f>
        <v>34.6283511524715</v>
      </c>
      <c r="J8707" s="6" t="n">
        <f aca="false">Sens!J8686</f>
        <v>36.476102435307</v>
      </c>
      <c r="K8707" s="6" t="n">
        <f aca="false">Sens!K8686</f>
        <v>37.9351465327193</v>
      </c>
    </row>
    <row r="8708" customFormat="false" ht="15" hidden="false" customHeight="false" outlineLevel="0" collapsed="false">
      <c r="A8708" s="0" t="s">
        <v>878</v>
      </c>
      <c r="B8708" s="0" t="s">
        <v>98</v>
      </c>
      <c r="D8708" s="6" t="n">
        <f aca="false">Sens!D8688</f>
        <v>23.455</v>
      </c>
      <c r="E8708" s="6" t="n">
        <f aca="false">Sens!E8688</f>
        <v>21.79</v>
      </c>
      <c r="F8708" s="6" t="n">
        <f aca="false">Sens!F8688</f>
        <v>20.5736277908051</v>
      </c>
      <c r="G8708" s="6" t="n">
        <f aca="false">Sens!G8688</f>
        <v>19.7371452817919</v>
      </c>
      <c r="H8708" s="6" t="n">
        <f aca="false">Sens!H8688</f>
        <v>19.2339764043138</v>
      </c>
      <c r="I8708" s="6" t="n">
        <f aca="false">Sens!I8688</f>
        <v>19.0353086852681</v>
      </c>
      <c r="J8708" s="6" t="n">
        <f aca="false">Sens!J8688</f>
        <v>19.1273539319129</v>
      </c>
      <c r="K8708" s="6" t="n">
        <f aca="false">Sens!K8688</f>
        <v>19.5099010105511</v>
      </c>
    </row>
    <row r="8709" customFormat="false" ht="15" hidden="false" customHeight="false" outlineLevel="0" collapsed="false">
      <c r="A8709" s="0" t="s">
        <v>879</v>
      </c>
      <c r="B8709" s="0" t="s">
        <v>98</v>
      </c>
      <c r="D8709" s="6" t="n">
        <f aca="false">Sens!D8690</f>
        <v>17.315</v>
      </c>
      <c r="E8709" s="6" t="n">
        <f aca="false">Sens!E8690</f>
        <v>17.087</v>
      </c>
      <c r="F8709" s="6" t="n">
        <f aca="false">Sens!F8690</f>
        <v>16.9564585436519</v>
      </c>
      <c r="G8709" s="6" t="n">
        <f aca="false">Sens!G8690</f>
        <v>16.9206490624268</v>
      </c>
      <c r="H8709" s="6" t="n">
        <f aca="false">Sens!H8690</f>
        <v>16.9784519149849</v>
      </c>
      <c r="I8709" s="6" t="n">
        <f aca="false">Sens!I8690</f>
        <v>17.1303084701817</v>
      </c>
      <c r="J8709" s="6" t="n">
        <f aca="false">Sens!J8690</f>
        <v>17.3782189407267</v>
      </c>
      <c r="K8709" s="6" t="n">
        <f aca="false">Sens!K8690</f>
        <v>17.7257833195413</v>
      </c>
    </row>
    <row r="8710" customFormat="false" ht="15" hidden="false" customHeight="false" outlineLevel="0" collapsed="false">
      <c r="A8710" s="0" t="s">
        <v>718</v>
      </c>
      <c r="B8710" s="0" t="s">
        <v>98</v>
      </c>
      <c r="D8710" s="6" t="n">
        <f aca="false">Sens!D8692</f>
        <v>62.941</v>
      </c>
      <c r="E8710" s="6" t="n">
        <f aca="false">Sens!E8692</f>
        <v>63.712</v>
      </c>
      <c r="F8710" s="6" t="n">
        <f aca="false">Sens!F8692</f>
        <v>65.0174014563129</v>
      </c>
      <c r="G8710" s="6" t="n">
        <f aca="false">Sens!G8692</f>
        <v>66.7134685163642</v>
      </c>
      <c r="H8710" s="6" t="n">
        <f aca="false">Sens!H8692</f>
        <v>68.6749152215291</v>
      </c>
      <c r="I8710" s="6" t="n">
        <f aca="false">Sens!I8692</f>
        <v>70.7939683079213</v>
      </c>
      <c r="J8710" s="6" t="n">
        <f aca="false">Sens!J8692</f>
        <v>72.9816753079466</v>
      </c>
      <c r="K8710" s="6" t="n">
        <f aca="false">Sens!K8692</f>
        <v>75.1708308628117</v>
      </c>
    </row>
    <row r="8711" customFormat="false" ht="15" hidden="false" customHeight="false" outlineLevel="0" collapsed="false">
      <c r="A8711" s="1" t="s">
        <v>895</v>
      </c>
      <c r="B8711" s="0" t="s">
        <v>98</v>
      </c>
      <c r="D8711" s="6" t="n">
        <f aca="false">Sens!D8693</f>
        <v>281.724</v>
      </c>
      <c r="E8711" s="6" t="n">
        <f aca="false">Sens!E8693</f>
        <v>331.839</v>
      </c>
      <c r="F8711" s="6" t="n">
        <f aca="false">Sens!F8693</f>
        <v>404.451342363364</v>
      </c>
      <c r="G8711" s="6" t="n">
        <f aca="false">Sens!G8693</f>
        <v>491.204139398256</v>
      </c>
      <c r="H8711" s="6" t="n">
        <f aca="false">Sens!H8693</f>
        <v>584.321190502914</v>
      </c>
      <c r="I8711" s="6" t="n">
        <f aca="false">Sens!I8693</f>
        <v>663.657728752525</v>
      </c>
      <c r="J8711" s="6" t="n">
        <f aca="false">Sens!J8693</f>
        <v>727.260462852024</v>
      </c>
      <c r="K8711" s="6" t="n">
        <f aca="false">Sens!K8693</f>
        <v>777.455482100205</v>
      </c>
    </row>
    <row r="8712" customFormat="false" ht="15" hidden="false" customHeight="false" outlineLevel="0" collapsed="false">
      <c r="A8712" s="1" t="s">
        <v>896</v>
      </c>
      <c r="B8712" s="0" t="s">
        <v>129</v>
      </c>
      <c r="E8712" s="7" t="n">
        <f aca="false">Sens!E8711/Sens!D8711-1</f>
        <v>0.177886867998467</v>
      </c>
      <c r="F8712" s="7" t="n">
        <f aca="false">Sens!F8711/Sens!E8711-1</f>
        <v>0.218817988130882</v>
      </c>
      <c r="G8712" s="7" t="n">
        <f aca="false">Sens!G8711/Sens!F8711-1</f>
        <v>0.21449501571181</v>
      </c>
      <c r="H8712" s="7" t="n">
        <f aca="false">Sens!H8711/Sens!G8711-1</f>
        <v>0.189568946260774</v>
      </c>
      <c r="I8712" s="7" t="n">
        <f aca="false">Sens!I8711/Sens!H8711-1</f>
        <v>0.135775562377479</v>
      </c>
      <c r="J8712" s="7" t="n">
        <f aca="false">Sens!J8711/Sens!I8711-1</f>
        <v>0.0958366509481521</v>
      </c>
      <c r="K8712" s="7" t="n">
        <f aca="false">Sens!K8711/Sens!J8711-1</f>
        <v>0.0690193153788894</v>
      </c>
    </row>
    <row r="8713" customFormat="false" ht="17.15" hidden="false" customHeight="false" outlineLevel="0" collapsed="false">
      <c r="A8713" s="23" t="s">
        <v>897</v>
      </c>
      <c r="B8713" s="30" t="s">
        <v>98</v>
      </c>
      <c r="C8713" s="30"/>
      <c r="D8713" s="24" t="n">
        <f aca="false">(Sens!D8706+Sens!D8710-Sens!D8711)+(Sens!D8698+Sens!D8699-Sens!D8697)+(Sens!D8701+Sens!D8702-Sens!D8700)+(Sens!D8711-Q!L18)</f>
        <v>0</v>
      </c>
      <c r="E8713" s="24" t="n">
        <f aca="false">(Sens!E8706+Sens!E8710-Sens!E8711)+(Sens!E8698+Sens!E8699-Sens!E8697)+(Sens!E8701+Sens!E8702-Sens!E8700)+(Sens!E8711-Q!M18)</f>
        <v>0</v>
      </c>
      <c r="F8713" s="24" t="n">
        <f aca="false">(Sens!F8706+Sens!F8710-Sens!F8711)+(Sens!F8698+Sens!F8699-Sens!F8697)+(Sens!F8701+Sens!F8702-Sens!F8700)</f>
        <v>0</v>
      </c>
      <c r="G8713" s="24" t="n">
        <f aca="false">(Sens!G8706+Sens!G8710-Sens!G8711)+(Sens!G8698+Sens!G8699-Sens!G8697)+(Sens!G8701+Sens!G8702-Sens!G8700)</f>
        <v>0</v>
      </c>
      <c r="H8713" s="24" t="n">
        <f aca="false">(Sens!H8706+Sens!H8710-Sens!H8711)+(Sens!H8698+Sens!H8699-Sens!H8697)+(Sens!H8701+Sens!H8702-Sens!H8700)</f>
        <v>0</v>
      </c>
      <c r="I8713" s="24" t="n">
        <f aca="false">(Sens!I8706+Sens!I8710-Sens!I8711)+(Sens!I8698+Sens!I8699-Sens!I8697)+(Sens!I8701+Sens!I8702-Sens!I8700)</f>
        <v>0</v>
      </c>
      <c r="J8713" s="24" t="n">
        <f aca="false">(Sens!J8706+Sens!J8710-Sens!J8711)+(Sens!J8698+Sens!J8699-Sens!J8697)+(Sens!J8701+Sens!J8702-Sens!J8700)</f>
        <v>0</v>
      </c>
      <c r="K8713" s="24" t="n">
        <f aca="false">(Sens!K8706+Sens!K8710-Sens!K8711)+(Sens!K8698+Sens!K8699-Sens!K8697)+(Sens!K8701+Sens!K8702-Sens!K8700)</f>
        <v>0</v>
      </c>
    </row>
    <row r="8714" customFormat="false" ht="17.15" hidden="false" customHeight="false" outlineLevel="0" collapsed="false">
      <c r="A8714" s="0" t="s">
        <v>898</v>
      </c>
      <c r="B8714" s="0" t="s">
        <v>129</v>
      </c>
      <c r="E8714" s="7" t="n">
        <f aca="false">(Q!M21+Sens!E8651+Sens!E8652+Sens!E8653+Sens!E8666-Sens!E8649)/(Q!M5-Sens!E8649)</f>
        <v>0.570957350878296</v>
      </c>
      <c r="F8714" s="7" t="n">
        <f aca="false">Sens!$E$8714+dm_seg</f>
        <v>0.570957350878296</v>
      </c>
      <c r="G8714" s="7" t="n">
        <f aca="false">Sens!$E$8714+dm_seg</f>
        <v>0.570957350878296</v>
      </c>
      <c r="H8714" s="7" t="n">
        <f aca="false">Sens!$E$8714+dm_seg</f>
        <v>0.570957350878296</v>
      </c>
      <c r="I8714" s="7" t="n">
        <f aca="false">Sens!$E$8714+dm_seg</f>
        <v>0.570957350878296</v>
      </c>
      <c r="J8714" s="7" t="n">
        <f aca="false">Sens!$E$8714+dm_seg</f>
        <v>0.570957350878296</v>
      </c>
      <c r="K8714" s="7" t="n">
        <f aca="false">Sens!$E$8714+dm_seg</f>
        <v>0.570957350878296</v>
      </c>
      <c r="L8714" s="11" t="s">
        <v>899</v>
      </c>
    </row>
    <row r="8715" customFormat="false" ht="17.15" hidden="false" customHeight="false" outlineLevel="0" collapsed="false">
      <c r="A8715" s="0" t="s">
        <v>732</v>
      </c>
      <c r="B8715" s="0" t="s">
        <v>98</v>
      </c>
      <c r="D8715" s="6" t="n">
        <f aca="false">Q!L21</f>
        <v>110.814</v>
      </c>
      <c r="E8715" s="6" t="n">
        <f aca="false">Q!M21</f>
        <v>136.365</v>
      </c>
      <c r="F8715" s="6" t="n">
        <f aca="false">Sens!F8714*(Sens!F8685-Sens!F8649)+Sens!F8649-(Sens!F8651+Sens!F8652+Sens!F8653)-Sens!F8666</f>
        <v>162.134656768973</v>
      </c>
      <c r="G8715" s="6" t="n">
        <f aca="false">Sens!G8714*(Sens!G8685-Sens!G8649)+Sens!G8649-(Sens!G8651+Sens!G8652+Sens!G8653)-Sens!G8666</f>
        <v>191.691924601031</v>
      </c>
      <c r="H8715" s="6" t="n">
        <f aca="false">Sens!H8714*(Sens!H8685-Sens!H8649)+Sens!H8649-(Sens!H8651+Sens!H8652+Sens!H8653)-Sens!H8666</f>
        <v>226.078058330906</v>
      </c>
      <c r="I8715" s="6" t="n">
        <f aca="false">Sens!I8714*(Sens!I8685-Sens!I8649)+Sens!I8649-(Sens!I8651+Sens!I8652+Sens!I8653)-Sens!I8666</f>
        <v>252.346169100154</v>
      </c>
      <c r="J8715" s="6" t="n">
        <f aca="false">Sens!J8714*(Sens!J8685-Sens!J8649)+Sens!J8649-(Sens!J8651+Sens!J8652+Sens!J8653)-Sens!J8666</f>
        <v>274.919647457293</v>
      </c>
      <c r="K8715" s="6" t="n">
        <f aca="false">Sens!K8714*(Sens!K8685-Sens!K8649)+Sens!K8649-(Sens!K8651+Sens!K8652+Sens!K8653)-Sens!K8666</f>
        <v>295.359770615337</v>
      </c>
      <c r="L8715" s="1" t="s">
        <v>900</v>
      </c>
    </row>
    <row r="8716" customFormat="false" ht="17.15" hidden="false" customHeight="false" outlineLevel="0" collapsed="false">
      <c r="A8716" s="0" t="s">
        <v>901</v>
      </c>
      <c r="B8716" s="0" t="s">
        <v>129</v>
      </c>
      <c r="E8716" s="7" t="n">
        <f aca="false">Q!M22/Q!M12</f>
        <v>0.296207935710698</v>
      </c>
      <c r="F8716" s="7" t="n">
        <f aca="false">Sens!$E$8716+dm_seg</f>
        <v>0.296207935710698</v>
      </c>
      <c r="G8716" s="7" t="n">
        <f aca="false">Sens!$E$8716+dm_seg</f>
        <v>0.296207935710698</v>
      </c>
      <c r="H8716" s="7" t="n">
        <f aca="false">Sens!$E$8716+dm_seg</f>
        <v>0.296207935710698</v>
      </c>
      <c r="I8716" s="7" t="n">
        <f aca="false">Sens!$E$8716+dm_seg</f>
        <v>0.296207935710698</v>
      </c>
      <c r="J8716" s="7" t="n">
        <f aca="false">Sens!$E$8716+dm_seg</f>
        <v>0.296207935710698</v>
      </c>
      <c r="K8716" s="7" t="n">
        <f aca="false">Sens!$E$8716+dm_seg</f>
        <v>0.296207935710698</v>
      </c>
      <c r="L8716" s="11" t="s">
        <v>902</v>
      </c>
    </row>
    <row r="8717" customFormat="false" ht="17.15" hidden="false" customHeight="false" outlineLevel="0" collapsed="false">
      <c r="A8717" s="0" t="s">
        <v>734</v>
      </c>
      <c r="B8717" s="0" t="s">
        <v>98</v>
      </c>
      <c r="D8717" s="6" t="n">
        <f aca="false">Q!L22</f>
        <v>17.714</v>
      </c>
      <c r="E8717" s="6" t="n">
        <f aca="false">Q!M22</f>
        <v>18.872</v>
      </c>
      <c r="F8717" s="6" t="n">
        <f aca="false">Sens!F8692*Sens!F8716</f>
        <v>19.2586702706482</v>
      </c>
      <c r="G8717" s="6" t="n">
        <f aca="false">Sens!G8692*Sens!G8716</f>
        <v>19.7610587933329</v>
      </c>
      <c r="H8717" s="6" t="n">
        <f aca="false">Sens!H8692*Sens!H8716</f>
        <v>20.3420548728763</v>
      </c>
      <c r="I8717" s="6" t="n">
        <f aca="false">Sens!I8692*Sens!I8716</f>
        <v>20.969735213258</v>
      </c>
      <c r="J8717" s="6" t="n">
        <f aca="false">Sens!J8692*Sens!J8716</f>
        <v>21.6177513876753</v>
      </c>
      <c r="K8717" s="6" t="n">
        <f aca="false">Sens!K8692*Sens!K8716</f>
        <v>22.2661966355315</v>
      </c>
    </row>
    <row r="8718" customFormat="false" ht="15" hidden="false" customHeight="false" outlineLevel="0" collapsed="false">
      <c r="A8718" s="1" t="s">
        <v>903</v>
      </c>
      <c r="B8718" s="0" t="s">
        <v>98</v>
      </c>
      <c r="D8718" s="6" t="n">
        <f aca="false">Sens!D8715+Sens!D8717</f>
        <v>128.528</v>
      </c>
      <c r="E8718" s="6" t="n">
        <f aca="false">Sens!E8715+Sens!E8717</f>
        <v>155.237</v>
      </c>
      <c r="F8718" s="6" t="n">
        <f aca="false">Sens!F8715+Sens!F8717</f>
        <v>181.393327039621</v>
      </c>
      <c r="G8718" s="6" t="n">
        <f aca="false">Sens!G8715+Sens!G8717</f>
        <v>211.452983394364</v>
      </c>
      <c r="H8718" s="6" t="n">
        <f aca="false">Sens!H8715+Sens!H8717</f>
        <v>246.420113203783</v>
      </c>
      <c r="I8718" s="6" t="n">
        <f aca="false">Sens!I8715+Sens!I8717</f>
        <v>273.315904313412</v>
      </c>
      <c r="J8718" s="6" t="n">
        <f aca="false">Sens!J8715+Sens!J8717</f>
        <v>296.537398844968</v>
      </c>
      <c r="K8718" s="6" t="n">
        <f aca="false">Sens!K8715+Sens!K8717</f>
        <v>317.625967250868</v>
      </c>
    </row>
    <row r="8719" customFormat="false" ht="15" hidden="false" customHeight="false" outlineLevel="0" collapsed="false">
      <c r="A8719" s="23" t="s">
        <v>904</v>
      </c>
      <c r="B8719" s="30" t="s">
        <v>98</v>
      </c>
      <c r="C8719" s="30"/>
      <c r="D8719" s="24" t="n">
        <f aca="false">Sens!D8718-Q!L23</f>
        <v>0</v>
      </c>
      <c r="E8719" s="24" t="n">
        <f aca="false">Sens!E8718-Q!M23</f>
        <v>0</v>
      </c>
      <c r="F8719" s="30"/>
      <c r="G8719" s="30"/>
      <c r="H8719" s="30"/>
      <c r="I8719" s="30"/>
      <c r="J8719" s="30"/>
      <c r="K8719" s="30"/>
    </row>
    <row r="8720" customFormat="false" ht="15" hidden="false" customHeight="false" outlineLevel="0" collapsed="false">
      <c r="A8720" s="1" t="s">
        <v>905</v>
      </c>
      <c r="B8720" s="0" t="s">
        <v>129</v>
      </c>
      <c r="D8720" s="7" t="n">
        <f aca="false">Sens!D8718/Sens!D8711</f>
        <v>0.456219562408598</v>
      </c>
      <c r="E8720" s="7" t="n">
        <f aca="false">Sens!E8718/Sens!E8711</f>
        <v>0.467808184089272</v>
      </c>
      <c r="F8720" s="7" t="n">
        <f aca="false">Sens!F8718/Sens!F8711</f>
        <v>0.448492335269976</v>
      </c>
      <c r="G8720" s="7" t="n">
        <f aca="false">Sens!G8718/Sens!G8711</f>
        <v>0.43047883035636</v>
      </c>
      <c r="H8720" s="7" t="n">
        <f aca="false">Sens!H8718/Sens!H8711</f>
        <v>0.421720309324557</v>
      </c>
      <c r="I8720" s="7" t="n">
        <f aca="false">Sens!I8718/Sens!I8711</f>
        <v>0.411832624668085</v>
      </c>
      <c r="J8720" s="7" t="n">
        <f aca="false">Sens!J8718/Sens!J8711</f>
        <v>0.407745799465115</v>
      </c>
      <c r="K8720" s="7" t="n">
        <f aca="false">Sens!K8718/Sens!K8711</f>
        <v>0.408545536771879</v>
      </c>
    </row>
    <row r="8721" customFormat="false" ht="17.15" hidden="false" customHeight="false" outlineLevel="0" collapsed="false">
      <c r="A8721" s="1" t="s">
        <v>906</v>
      </c>
      <c r="B8721" s="0" t="s">
        <v>98</v>
      </c>
      <c r="F8721" s="6" t="n">
        <f aca="false">Sens!F8736</f>
        <v>19.0793824397397</v>
      </c>
      <c r="G8721" s="6" t="n">
        <f aca="false">Sens!G8736</f>
        <v>32.5666413649601</v>
      </c>
      <c r="H8721" s="6" t="n">
        <f aca="false">Sens!H8736</f>
        <v>47.4063563831308</v>
      </c>
      <c r="I8721" s="6" t="n">
        <f aca="false">Sens!I8736</f>
        <v>61.2525090726263</v>
      </c>
      <c r="J8721" s="6" t="n">
        <f aca="false">Sens!J8736</f>
        <v>71.009613825577</v>
      </c>
      <c r="K8721" s="6" t="n">
        <f aca="false">Sens!K8736</f>
        <v>76.0452576664312</v>
      </c>
      <c r="L8721" s="1" t="s">
        <v>907</v>
      </c>
    </row>
    <row r="8722" customFormat="false" ht="17.15" hidden="false" customHeight="false" outlineLevel="0" collapsed="false">
      <c r="A8722" s="1" t="s">
        <v>908</v>
      </c>
      <c r="B8722" s="0" t="s">
        <v>98</v>
      </c>
      <c r="D8722" s="6" t="n">
        <f aca="false">Sens!D8718</f>
        <v>128.528</v>
      </c>
      <c r="E8722" s="6" t="n">
        <f aca="false">Sens!E8718</f>
        <v>155.237</v>
      </c>
      <c r="F8722" s="6" t="n">
        <f aca="false">Sens!F8718+Sens!F8721</f>
        <v>200.472709479361</v>
      </c>
      <c r="G8722" s="6" t="n">
        <f aca="false">Sens!G8718+Sens!G8721</f>
        <v>244.019624759324</v>
      </c>
      <c r="H8722" s="6" t="n">
        <f aca="false">Sens!H8718+Sens!H8721</f>
        <v>293.826469586913</v>
      </c>
      <c r="I8722" s="6" t="n">
        <f aca="false">Sens!I8718+Sens!I8721</f>
        <v>334.568413386038</v>
      </c>
      <c r="J8722" s="6" t="n">
        <f aca="false">Sens!J8718+Sens!J8721</f>
        <v>367.547012670545</v>
      </c>
      <c r="K8722" s="6" t="n">
        <f aca="false">Sens!K8718+Sens!K8721</f>
        <v>393.6712249173</v>
      </c>
    </row>
    <row r="8723" customFormat="false" ht="17.15" hidden="false" customHeight="false" outlineLevel="0" collapsed="false">
      <c r="A8723" s="1" t="s">
        <v>909</v>
      </c>
      <c r="B8723" s="0" t="s">
        <v>98</v>
      </c>
      <c r="E8723" s="6" t="n">
        <f aca="false">Sens!E8666</f>
        <v>16.3054059770833</v>
      </c>
      <c r="F8723" s="6" t="n">
        <f aca="false">Sens!F8666</f>
        <v>34.7288632892031</v>
      </c>
      <c r="G8723" s="6" t="n">
        <f aca="false">Sens!G8666</f>
        <v>60.4833889270063</v>
      </c>
      <c r="H8723" s="6" t="n">
        <f aca="false">Sens!H8666</f>
        <v>87.7189716598062</v>
      </c>
      <c r="I8723" s="6" t="n">
        <f aca="false">Sens!I8666</f>
        <v>111.963695648888</v>
      </c>
      <c r="J8723" s="6" t="n">
        <f aca="false">Sens!J8666</f>
        <v>129.160366589332</v>
      </c>
      <c r="K8723" s="6" t="n">
        <f aca="false">Sens!K8666</f>
        <v>139.62430247114</v>
      </c>
    </row>
    <row r="8724" customFormat="false" ht="17.15" hidden="false" customHeight="false" outlineLevel="0" collapsed="false">
      <c r="A8724" s="1" t="s">
        <v>910</v>
      </c>
      <c r="B8724" s="0" t="s">
        <v>98</v>
      </c>
      <c r="E8724" s="6" t="n">
        <f aca="false">Sens!E8748</f>
        <v>22.2285940229167</v>
      </c>
      <c r="F8724" s="6" t="n">
        <f aca="false">Sens!F8748</f>
        <v>23.5776759435812</v>
      </c>
      <c r="G8724" s="6" t="n">
        <f aca="false">Sens!G8748</f>
        <v>25.3769025657684</v>
      </c>
      <c r="H8724" s="6" t="n">
        <f aca="false">Sens!H8748</f>
        <v>27.5881485552537</v>
      </c>
      <c r="I8724" s="6" t="n">
        <f aca="false">Sens!I8748</f>
        <v>30.1336389268856</v>
      </c>
      <c r="J8724" s="6" t="n">
        <f aca="false">Sens!J8748</f>
        <v>32.9198844843551</v>
      </c>
      <c r="K8724" s="6" t="n">
        <f aca="false">Sens!K8748</f>
        <v>35.8610614394137</v>
      </c>
    </row>
    <row r="8725" customFormat="false" ht="17.15" hidden="false" customHeight="false" outlineLevel="0" collapsed="false">
      <c r="A8725" s="1" t="s">
        <v>911</v>
      </c>
      <c r="B8725" s="0" t="s">
        <v>98</v>
      </c>
      <c r="D8725" s="6" t="n">
        <f aca="false">Q!L27</f>
        <v>-4.901</v>
      </c>
      <c r="E8725" s="6" t="n">
        <f aca="false">Q!M27</f>
        <v>10.697</v>
      </c>
      <c r="F8725" s="6" t="n">
        <f aca="false">oie_f</f>
        <v>-0.4</v>
      </c>
      <c r="G8725" s="6" t="n">
        <f aca="false">oie_f</f>
        <v>-0.4</v>
      </c>
      <c r="H8725" s="6" t="n">
        <f aca="false">oie_f</f>
        <v>-0.4</v>
      </c>
      <c r="I8725" s="6" t="n">
        <f aca="false">oie_f</f>
        <v>-0.4</v>
      </c>
      <c r="J8725" s="6" t="n">
        <f aca="false">oie_f</f>
        <v>-0.4</v>
      </c>
      <c r="K8725" s="6" t="n">
        <f aca="false">oie_f</f>
        <v>-0.4</v>
      </c>
      <c r="L8725" s="11" t="s">
        <v>912</v>
      </c>
    </row>
    <row r="8726" customFormat="false" ht="15" hidden="false" customHeight="false" outlineLevel="0" collapsed="false">
      <c r="A8726" s="1" t="s">
        <v>913</v>
      </c>
      <c r="B8726" s="0" t="s">
        <v>98</v>
      </c>
      <c r="D8726" s="6" t="n">
        <f aca="false">Sens!D8718+Sens!D8725</f>
        <v>123.627</v>
      </c>
      <c r="E8726" s="6" t="n">
        <f aca="false">Sens!E8718+Sens!E8725</f>
        <v>165.934</v>
      </c>
      <c r="F8726" s="6" t="n">
        <f aca="false">Sens!F8718+Sens!F8725</f>
        <v>180.993327039621</v>
      </c>
      <c r="G8726" s="6" t="n">
        <f aca="false">Sens!G8718+Sens!G8725</f>
        <v>211.052983394364</v>
      </c>
      <c r="H8726" s="6" t="n">
        <f aca="false">Sens!H8718+Sens!H8725</f>
        <v>246.020113203783</v>
      </c>
      <c r="I8726" s="6" t="n">
        <f aca="false">Sens!I8718+Sens!I8725</f>
        <v>272.915904313412</v>
      </c>
      <c r="J8726" s="6" t="n">
        <f aca="false">Sens!J8718+Sens!J8725</f>
        <v>296.137398844968</v>
      </c>
      <c r="K8726" s="6" t="n">
        <f aca="false">Sens!K8718+Sens!K8725</f>
        <v>317.225967250868</v>
      </c>
    </row>
    <row r="8727" customFormat="false" ht="15" hidden="false" customHeight="false" outlineLevel="0" collapsed="false">
      <c r="A8727" s="1" t="s">
        <v>914</v>
      </c>
      <c r="B8727" s="0" t="s">
        <v>98</v>
      </c>
      <c r="D8727" s="6" t="n">
        <f aca="false">Q!L29</f>
        <v>21.795</v>
      </c>
      <c r="E8727" s="6" t="n">
        <f aca="false">Q!M29</f>
        <v>32.185</v>
      </c>
      <c r="F8727" s="6" t="n">
        <f aca="false">Sens!F8726*tax_f</f>
        <v>36.1986654079243</v>
      </c>
      <c r="G8727" s="6" t="n">
        <f aca="false">Sens!G8726*tax_f</f>
        <v>42.2105966788728</v>
      </c>
      <c r="H8727" s="6" t="n">
        <f aca="false">Sens!H8726*tax_f</f>
        <v>49.2040226407565</v>
      </c>
      <c r="I8727" s="6" t="n">
        <f aca="false">Sens!I8726*tax_f</f>
        <v>54.5831808626825</v>
      </c>
      <c r="J8727" s="6" t="n">
        <f aca="false">Sens!J8726*tax_f</f>
        <v>59.2274797689936</v>
      </c>
      <c r="K8727" s="6" t="n">
        <f aca="false">Sens!K8726*tax_f</f>
        <v>63.4451934501737</v>
      </c>
    </row>
    <row r="8728" customFormat="false" ht="15" hidden="false" customHeight="false" outlineLevel="0" collapsed="false">
      <c r="A8728" s="1" t="s">
        <v>915</v>
      </c>
      <c r="B8728" s="0" t="s">
        <v>98</v>
      </c>
      <c r="D8728" s="6" t="n">
        <f aca="false">Sens!D8726-Sens!D8727</f>
        <v>101.832</v>
      </c>
      <c r="E8728" s="6" t="n">
        <f aca="false">Sens!E8726-Sens!E8727</f>
        <v>133.749</v>
      </c>
      <c r="F8728" s="6" t="n">
        <f aca="false">Sens!F8726-Sens!F8727</f>
        <v>144.794661631697</v>
      </c>
      <c r="G8728" s="6" t="n">
        <f aca="false">Sens!G8726-Sens!G8727</f>
        <v>168.842386715491</v>
      </c>
      <c r="H8728" s="6" t="n">
        <f aca="false">Sens!H8726-Sens!H8727</f>
        <v>196.816090563026</v>
      </c>
      <c r="I8728" s="6" t="n">
        <f aca="false">Sens!I8726-Sens!I8727</f>
        <v>218.33272345073</v>
      </c>
      <c r="J8728" s="6" t="n">
        <f aca="false">Sens!J8726-Sens!J8727</f>
        <v>236.909919075975</v>
      </c>
      <c r="K8728" s="6" t="n">
        <f aca="false">Sens!K8726-Sens!K8727</f>
        <v>253.780773800695</v>
      </c>
    </row>
    <row r="8729" customFormat="false" ht="17.15" hidden="false" customHeight="false" outlineLevel="0" collapsed="false">
      <c r="A8729" s="1" t="s">
        <v>916</v>
      </c>
      <c r="B8729" s="1" t="s">
        <v>81</v>
      </c>
      <c r="D8729" s="14" t="n">
        <f aca="false">Q!L31</f>
        <v>7.465</v>
      </c>
      <c r="E8729" s="14" t="n">
        <f aca="false">Q!M31</f>
        <v>7.453</v>
      </c>
      <c r="F8729" s="14" t="n">
        <f aca="false">Sens!F8770</f>
        <v>7.4735</v>
      </c>
      <c r="G8729" s="14" t="n">
        <f aca="false">Sens!G8770</f>
        <v>7.50815361080894</v>
      </c>
      <c r="H8729" s="14" t="n">
        <f aca="false">Sens!H8770</f>
        <v>7.52555880746784</v>
      </c>
      <c r="I8729" s="14" t="n">
        <f aca="false">Sens!I8770</f>
        <v>7.53733963947515</v>
      </c>
      <c r="J8729" s="14" t="n">
        <f aca="false">Sens!J8770</f>
        <v>7.55158115059303</v>
      </c>
      <c r="K8729" s="14" t="n">
        <f aca="false">Sens!K8770</f>
        <v>7.56810106829477</v>
      </c>
    </row>
    <row r="8730" customFormat="false" ht="17.15" hidden="false" customHeight="false" outlineLevel="0" collapsed="false">
      <c r="A8730" s="0" t="s">
        <v>917</v>
      </c>
      <c r="B8730" s="0" t="s">
        <v>75</v>
      </c>
      <c r="D8730" s="8" t="n">
        <f aca="false">Sens!D8728/Sens!D8729</f>
        <v>13.641259209645</v>
      </c>
      <c r="E8730" s="8" t="n">
        <f aca="false">Sens!E8728/Sens!E8729</f>
        <v>17.9456594659869</v>
      </c>
      <c r="F8730" s="8" t="n">
        <f aca="false">Sens!F8728/Sens!F8729</f>
        <v>19.37441113691</v>
      </c>
      <c r="G8730" s="8" t="n">
        <f aca="false">Sens!G8728/Sens!G8729</f>
        <v>22.4878705827783</v>
      </c>
      <c r="H8730" s="8" t="n">
        <f aca="false">Sens!H8728/Sens!H8729</f>
        <v>26.1530200744322</v>
      </c>
      <c r="I8730" s="8" t="n">
        <f aca="false">Sens!I8728/Sens!I8729</f>
        <v>28.9668150692401</v>
      </c>
      <c r="J8730" s="8" t="n">
        <f aca="false">Sens!J8728/Sens!J8729</f>
        <v>31.3722271338327</v>
      </c>
      <c r="K8730" s="8" t="n">
        <f aca="false">Sens!K8728/Sens!K8729</f>
        <v>33.5329525214541</v>
      </c>
      <c r="L8730" s="1" t="s">
        <v>918</v>
      </c>
    </row>
    <row r="8731" customFormat="false" ht="17.15" hidden="false" customHeight="false" outlineLevel="0" collapsed="false">
      <c r="A8731" s="1" t="s">
        <v>919</v>
      </c>
      <c r="B8731" s="0" t="s">
        <v>98</v>
      </c>
      <c r="D8731" s="6" t="n">
        <f aca="false">Sens!D8728</f>
        <v>101.832</v>
      </c>
      <c r="E8731" s="6" t="n">
        <f aca="false">Sens!E8728</f>
        <v>133.749</v>
      </c>
      <c r="F8731" s="6" t="n">
        <f aca="false">Sens!F8728+Sens!F8721*(1-tax_f)</f>
        <v>160.058167583489</v>
      </c>
      <c r="G8731" s="6" t="n">
        <f aca="false">Sens!G8728+Sens!G8721*(1-tax_f)</f>
        <v>194.895699807459</v>
      </c>
      <c r="H8731" s="6" t="n">
        <f aca="false">Sens!H8728+Sens!H8721*(1-tax_f)</f>
        <v>234.741175669531</v>
      </c>
      <c r="I8731" s="6" t="n">
        <f aca="false">Sens!I8728+Sens!I8721*(1-tax_f)</f>
        <v>267.334730708831</v>
      </c>
      <c r="J8731" s="6" t="n">
        <f aca="false">Sens!J8728+Sens!J8721*(1-tax_f)</f>
        <v>293.717610136436</v>
      </c>
      <c r="K8731" s="6" t="n">
        <f aca="false">Sens!K8728+Sens!K8721*(1-tax_f)</f>
        <v>314.61697993384</v>
      </c>
    </row>
    <row r="8732" customFormat="false" ht="17.15" hidden="false" customHeight="false" outlineLevel="0" collapsed="false">
      <c r="A8732" s="0" t="s">
        <v>920</v>
      </c>
      <c r="B8732" s="0" t="s">
        <v>75</v>
      </c>
      <c r="D8732" s="8" t="n">
        <f aca="false">Sens!D8731/Sens!D8729</f>
        <v>13.641259209645</v>
      </c>
      <c r="E8732" s="8" t="n">
        <f aca="false">Sens!E8731/Sens!E8729</f>
        <v>17.9456594659869</v>
      </c>
      <c r="F8732" s="8" t="n">
        <f aca="false">Sens!F8731/Sens!F8729</f>
        <v>21.4167615686745</v>
      </c>
      <c r="G8732" s="8" t="n">
        <f aca="false">Sens!G8731/Sens!G8729</f>
        <v>25.9578732548682</v>
      </c>
      <c r="H8732" s="8" t="n">
        <f aca="false">Sens!H8731/Sens!H8729</f>
        <v>31.1925242596723</v>
      </c>
      <c r="I8732" s="8" t="n">
        <f aca="false">Sens!I8731/Sens!I8729</f>
        <v>35.4680488734678</v>
      </c>
      <c r="J8732" s="8" t="n">
        <f aca="false">Sens!J8731/Sens!J8729</f>
        <v>38.894849208284</v>
      </c>
      <c r="K8732" s="8" t="n">
        <f aca="false">Sens!K8731/Sens!K8729</f>
        <v>41.5714559167123</v>
      </c>
      <c r="L8732" s="1" t="s">
        <v>921</v>
      </c>
    </row>
    <row r="8733" customFormat="false" ht="17.15" hidden="false" customHeight="false" outlineLevel="0" collapsed="false">
      <c r="A8733" s="0" t="s">
        <v>922</v>
      </c>
      <c r="B8733" s="0" t="s">
        <v>129</v>
      </c>
      <c r="E8733" s="7" t="n">
        <f aca="false">Sens!E8732/Sens!D8732-1</f>
        <v>0.315542736208578</v>
      </c>
      <c r="F8733" s="7" t="n">
        <f aca="false">Sens!F8732/Sens!E8732-1</f>
        <v>0.193422933788896</v>
      </c>
      <c r="G8733" s="7" t="n">
        <f aca="false">Sens!G8732/Sens!F8732-1</f>
        <v>0.212035403748238</v>
      </c>
      <c r="H8733" s="7" t="n">
        <f aca="false">Sens!H8732/Sens!G8732-1</f>
        <v>0.201659471614162</v>
      </c>
      <c r="I8733" s="7" t="n">
        <f aca="false">Sens!I8732/Sens!H8732-1</f>
        <v>0.137068887987473</v>
      </c>
      <c r="J8733" s="7" t="n">
        <f aca="false">Sens!J8732/Sens!I8732-1</f>
        <v>0.0966165448525613</v>
      </c>
      <c r="K8733" s="7" t="n">
        <f aca="false">Sens!K8732/Sens!J8732-1</f>
        <v>0.0688164824626238</v>
      </c>
    </row>
    <row r="8734" customFormat="false" ht="17.15" hidden="false" customHeight="false" outlineLevel="0" collapsed="false">
      <c r="A8734" s="0" t="s">
        <v>846</v>
      </c>
      <c r="B8734" s="0" t="s">
        <v>98</v>
      </c>
      <c r="E8734" s="6" t="n">
        <f aca="false">Sens!E8675</f>
        <v>5.25</v>
      </c>
      <c r="F8734" s="6" t="n">
        <f aca="false">Sens!F8675</f>
        <v>13.5</v>
      </c>
      <c r="G8734" s="6" t="n">
        <f aca="false">Sens!G8675</f>
        <v>22.5</v>
      </c>
      <c r="H8734" s="6" t="n">
        <f aca="false">Sens!H8675</f>
        <v>31.5</v>
      </c>
      <c r="I8734" s="6" t="n">
        <f aca="false">Sens!I8675</f>
        <v>38.25</v>
      </c>
      <c r="J8734" s="6" t="n">
        <f aca="false">Sens!J8675</f>
        <v>42.75</v>
      </c>
      <c r="K8734" s="6" t="n">
        <f aca="false">Sens!K8675</f>
        <v>47.25</v>
      </c>
    </row>
    <row r="8735" customFormat="false" ht="17.15" hidden="false" customHeight="false" outlineLevel="0" collapsed="false">
      <c r="A8735" s="1" t="s">
        <v>847</v>
      </c>
      <c r="B8735" s="0" t="s">
        <v>98</v>
      </c>
      <c r="F8735" s="6" t="n">
        <f aca="false">MAX(0,(Sens!E8638+Sens!F8638)/2*Sens!F8646/1000-Sens!F8734*Sens!F8714)</f>
        <v>19.0793824397397</v>
      </c>
      <c r="G8735" s="6" t="n">
        <f aca="false">MAX(0,(Sens!F8638+Sens!G8638)/2*Sens!G8646/1000-Sens!G8734*Sens!G8714)</f>
        <v>32.5666413649601</v>
      </c>
      <c r="H8735" s="6" t="n">
        <f aca="false">MAX(0,(Sens!G8638+Sens!H8638)/2*Sens!H8646/1000-Sens!H8734*Sens!H8714)</f>
        <v>47.4063563831308</v>
      </c>
      <c r="I8735" s="6" t="n">
        <f aca="false">MAX(0,(Sens!H8638+Sens!I8638)/2*Sens!I8646/1000-Sens!I8734*Sens!I8714)</f>
        <v>61.2525090726263</v>
      </c>
      <c r="J8735" s="6" t="n">
        <f aca="false">MAX(0,(Sens!I8638+Sens!J8638)/2*Sens!J8646/1000-Sens!J8734*Sens!J8714)</f>
        <v>71.009613825577</v>
      </c>
      <c r="K8735" s="6" t="n">
        <f aca="false">MAX(0,(Sens!J8638+Sens!K8638)/2*Sens!K8646/1000-Sens!K8734*Sens!K8714)</f>
        <v>76.0452576664312</v>
      </c>
      <c r="L8735" s="1" t="s">
        <v>848</v>
      </c>
    </row>
    <row r="8736" customFormat="false" ht="17.15" hidden="false" customHeight="false" outlineLevel="0" collapsed="false">
      <c r="A8736" s="1" t="s">
        <v>849</v>
      </c>
      <c r="B8736" s="0" t="s">
        <v>98</v>
      </c>
      <c r="F8736" s="6" t="n">
        <f aca="false">IF(internal_ai_reading=2,1,0)*Sens!F8735</f>
        <v>19.0793824397397</v>
      </c>
      <c r="G8736" s="6" t="n">
        <f aca="false">IF(internal_ai_reading=2,1,0)*Sens!G8735</f>
        <v>32.5666413649601</v>
      </c>
      <c r="H8736" s="6" t="n">
        <f aca="false">IF(internal_ai_reading=2,1,0)*Sens!H8735</f>
        <v>47.4063563831308</v>
      </c>
      <c r="I8736" s="6" t="n">
        <f aca="false">IF(internal_ai_reading=2,1,0)*Sens!I8735</f>
        <v>61.2525090726263</v>
      </c>
      <c r="J8736" s="6" t="n">
        <f aca="false">IF(internal_ai_reading=2,1,0)*Sens!J8735</f>
        <v>71.009613825577</v>
      </c>
      <c r="K8736" s="6" t="n">
        <f aca="false">IF(internal_ai_reading=2,1,0)*Sens!K8735</f>
        <v>76.0452576664312</v>
      </c>
    </row>
    <row r="8737" customFormat="false" ht="17.15" hidden="false" customHeight="false" outlineLevel="0" collapsed="false">
      <c r="A8737" s="0" t="s">
        <v>850</v>
      </c>
      <c r="B8737" s="0" t="s">
        <v>98</v>
      </c>
      <c r="F8737" s="6" t="n">
        <f aca="false">Sens!F8655+Sens!F8734*Sens!F8714+Sens!F8736-Sens!F8656-Sens!F8666</f>
        <v>28.6533662416209</v>
      </c>
      <c r="G8737" s="6" t="n">
        <f aca="false">Sens!G8655+Sens!G8734*Sens!G8714+Sens!G8736-Sens!G8656-Sens!G8666</f>
        <v>52.6164640384557</v>
      </c>
      <c r="H8737" s="6" t="n">
        <f aca="false">Sens!H8655+Sens!H8734*Sens!H8714+Sens!H8736-Sens!H8656-Sens!H8666</f>
        <v>82.5787350351997</v>
      </c>
      <c r="I8737" s="6" t="n">
        <f aca="false">Sens!I8655+Sens!I8734*Sens!I8714+Sens!I8736-Sens!I8656-Sens!I8666</f>
        <v>103.917413098601</v>
      </c>
      <c r="J8737" s="6" t="n">
        <f aca="false">Sens!J8655+Sens!J8734*Sens!J8714+Sens!J8736-Sens!J8656-Sens!J8666</f>
        <v>118.711208434332</v>
      </c>
      <c r="K8737" s="6" t="n">
        <f aca="false">Sens!K8655+Sens!K8734*Sens!K8714+Sens!K8736-Sens!K8656-Sens!K8666</f>
        <v>128.665681630346</v>
      </c>
    </row>
    <row r="8738" customFormat="false" ht="17.15" hidden="false" customHeight="false" outlineLevel="0" collapsed="false">
      <c r="A8738" s="0" t="s">
        <v>851</v>
      </c>
      <c r="B8738" s="0" t="s">
        <v>98</v>
      </c>
      <c r="E8738" s="6" t="n">
        <f aca="false">Sens!E8637*(cxit_open+self_build*tk_cxfac)/1000*ai_net_open</f>
        <v>126.6980382</v>
      </c>
      <c r="F8738" s="6" t="n">
        <f aca="false">Sens!E8738+Sens!F8663-Sens!F8666</f>
        <v>260.449761681234</v>
      </c>
      <c r="G8738" s="6" t="n">
        <f aca="false">Sens!F8738+Sens!G8663-Sens!G8666</f>
        <v>383.540553237428</v>
      </c>
      <c r="H8738" s="6" t="n">
        <f aca="false">Sens!G8738+Sens!H8663-Sens!H8666</f>
        <v>483.901867488022</v>
      </c>
      <c r="I8738" s="6" t="n">
        <f aca="false">Sens!H8738+Sens!I8663-Sens!I8666</f>
        <v>535.64484099338</v>
      </c>
      <c r="J8738" s="6" t="n">
        <f aca="false">Sens!I8738+Sens!J8663-Sens!J8666</f>
        <v>530.996951122138</v>
      </c>
      <c r="K8738" s="6" t="n">
        <f aca="false">Sens!J8738+Sens!K8663-Sens!K8666</f>
        <v>506.332084292933</v>
      </c>
      <c r="L8738" s="1" t="s">
        <v>852</v>
      </c>
    </row>
    <row r="8739" customFormat="false" ht="17.15" hidden="false" customHeight="false" outlineLevel="0" collapsed="false">
      <c r="A8739" s="0" t="s">
        <v>853</v>
      </c>
      <c r="B8739" s="0" t="s">
        <v>129</v>
      </c>
      <c r="F8739" s="7" t="n">
        <f aca="false">Sens!F8737*(1-tax_f)/((Sens!E8738+Sens!F8738)/2)</f>
        <v>0.118418304328883</v>
      </c>
      <c r="G8739" s="7" t="n">
        <f aca="false">Sens!G8737*(1-tax_f)/((Sens!F8738+Sens!G8738)/2)</f>
        <v>0.130726100239818</v>
      </c>
      <c r="H8739" s="7" t="n">
        <f aca="false">Sens!H8737*(1-tax_f)/((Sens!G8738+Sens!H8738)/2)</f>
        <v>0.152316710480704</v>
      </c>
      <c r="I8739" s="7" t="n">
        <f aca="false">Sens!I8737*(1-tax_f)/((Sens!H8738+Sens!I8738)/2)</f>
        <v>0.163080180215986</v>
      </c>
      <c r="J8739" s="7" t="n">
        <f aca="false">Sens!J8737*(1-tax_f)/((Sens!I8738+Sens!J8738)/2)</f>
        <v>0.178070965247123</v>
      </c>
      <c r="K8739" s="7" t="n">
        <f aca="false">Sens!K8737*(1-tax_f)/((Sens!J8738+Sens!K8738)/2)</f>
        <v>0.198456886465325</v>
      </c>
    </row>
    <row r="8740" customFormat="false" ht="17.15" hidden="false" customHeight="false" outlineLevel="0" collapsed="false">
      <c r="A8740" s="1" t="s">
        <v>854</v>
      </c>
      <c r="B8740" s="0" t="s">
        <v>129</v>
      </c>
      <c r="F8740" s="7" t="n">
        <f aca="false">(Sens!F8737-Sens!F8736)*(1-tax_f)/((Sens!E8738+Sens!F8738)/2)</f>
        <v>0.039567250770143</v>
      </c>
      <c r="G8740" s="7" t="n">
        <f aca="false">(Sens!G8737-Sens!G8736)*(1-tax_f)/((Sens!F8738+Sens!G8738)/2)</f>
        <v>0.0498139731831909</v>
      </c>
      <c r="H8740" s="7" t="n">
        <f aca="false">(Sens!H8737-Sens!H8736)*(1-tax_f)/((Sens!G8738+Sens!H8738)/2)</f>
        <v>0.0648755519660272</v>
      </c>
      <c r="I8740" s="7" t="n">
        <f aca="false">(Sens!I8737-Sens!I8736)*(1-tax_f)/((Sens!H8738+Sens!I8738)/2)</f>
        <v>0.0669550947236525</v>
      </c>
      <c r="J8740" s="7" t="n">
        <f aca="false">(Sens!J8737-Sens!J8736)*(1-tax_f)/((Sens!I8738+Sens!J8738)/2)</f>
        <v>0.0715540605460753</v>
      </c>
      <c r="K8740" s="7" t="n">
        <f aca="false">(Sens!K8737-Sens!K8736)*(1-tax_f)/((Sens!J8738+Sens!K8738)/2)</f>
        <v>0.0811629439337692</v>
      </c>
    </row>
    <row r="8741" customFormat="false" ht="17.15" hidden="false" customHeight="false" outlineLevel="0" collapsed="false">
      <c r="A8741" s="1" t="s">
        <v>855</v>
      </c>
      <c r="B8741" s="0" t="s">
        <v>129</v>
      </c>
      <c r="F8741" s="7" t="n">
        <f aca="false">(Sens!F8737-Sens!F8736+Sens!F8735)*(1-tax_f)/((Sens!E8738+Sens!F8738)/2)</f>
        <v>0.118418304328883</v>
      </c>
      <c r="G8741" s="7" t="n">
        <f aca="false">(Sens!G8737-Sens!G8736+Sens!G8735)*(1-tax_f)/((Sens!F8738+Sens!G8738)/2)</f>
        <v>0.130726100239818</v>
      </c>
      <c r="H8741" s="7" t="n">
        <f aca="false">(Sens!H8737-Sens!H8736+Sens!H8735)*(1-tax_f)/((Sens!G8738+Sens!H8738)/2)</f>
        <v>0.152316710480704</v>
      </c>
      <c r="I8741" s="7" t="n">
        <f aca="false">(Sens!I8737-Sens!I8736+Sens!I8735)*(1-tax_f)/((Sens!H8738+Sens!I8738)/2)</f>
        <v>0.163080180215986</v>
      </c>
      <c r="J8741" s="7" t="n">
        <f aca="false">(Sens!J8737-Sens!J8736+Sens!J8735)*(1-tax_f)/((Sens!I8738+Sens!J8738)/2)</f>
        <v>0.178070965247123</v>
      </c>
      <c r="K8741" s="7" t="n">
        <f aca="false">(Sens!K8737-Sens!K8736+Sens!K8735)*(1-tax_f)/((Sens!J8738+Sens!K8738)/2)</f>
        <v>0.198456886465325</v>
      </c>
    </row>
    <row r="8742" customFormat="false" ht="17.15" hidden="false" customHeight="false" outlineLevel="0" collapsed="false">
      <c r="A8742" s="1" t="s">
        <v>856</v>
      </c>
      <c r="B8742" s="0" t="s">
        <v>129</v>
      </c>
      <c r="F8742" s="7" t="n">
        <f aca="false">Sens!F8667*(1-tax_f)/(Sens!F8654*(Sens!E8738+Sens!F8738)/2)</f>
        <v>0.153536783199617</v>
      </c>
      <c r="G8742" s="7" t="n">
        <f aca="false">Sens!G8667*(1-tax_f)/(Sens!G8654*(Sens!F8738+Sens!G8738)/2)</f>
        <v>0.174666266646279</v>
      </c>
      <c r="H8742" s="7" t="n">
        <f aca="false">Sens!H8667*(1-tax_f)/(Sens!H8654*(Sens!G8738+Sens!H8738)/2)</f>
        <v>0.207624128592811</v>
      </c>
      <c r="I8742" s="7" t="n">
        <f aca="false">Sens!I8667*(1-tax_f)/(Sens!I8654*(Sens!H8738+Sens!I8738)/2)</f>
        <v>0.2216792115978</v>
      </c>
      <c r="J8742" s="7" t="n">
        <f aca="false">Sens!J8667*(1-tax_f)/(Sens!J8654*(Sens!I8738+Sens!J8738)/2)</f>
        <v>0.241793573513587</v>
      </c>
      <c r="K8742" s="7" t="n">
        <f aca="false">Sens!K8667*(1-tax_f)/(Sens!K8654*(Sens!J8738+Sens!K8738)/2)</f>
        <v>0.269032887315051</v>
      </c>
    </row>
    <row r="8743" customFormat="false" ht="17.15" hidden="false" customHeight="false" outlineLevel="0" collapsed="false">
      <c r="A8743" s="0" t="s">
        <v>857</v>
      </c>
      <c r="B8743" s="0" t="s">
        <v>209</v>
      </c>
      <c r="F8743" s="7" t="n">
        <f aca="false">Sens!F8739-wacc</f>
        <v>0.0154838842360072</v>
      </c>
      <c r="G8743" s="7" t="n">
        <f aca="false">Sens!G8739-wacc</f>
        <v>0.0277916801469423</v>
      </c>
      <c r="H8743" s="7" t="n">
        <f aca="false">Sens!H8739-wacc</f>
        <v>0.0493822903878285</v>
      </c>
      <c r="I8743" s="7" t="n">
        <f aca="false">Sens!I8739-wacc</f>
        <v>0.0601457601231103</v>
      </c>
      <c r="J8743" s="7" t="n">
        <f aca="false">Sens!J8739-wacc</f>
        <v>0.0751365451542472</v>
      </c>
      <c r="K8743" s="7" t="n">
        <f aca="false">Sens!K8739-wacc</f>
        <v>0.0955224663724496</v>
      </c>
    </row>
    <row r="8744" customFormat="false" ht="17.15" hidden="false" customHeight="false" outlineLevel="0" collapsed="false">
      <c r="A8744" s="0" t="s">
        <v>858</v>
      </c>
      <c r="B8744" s="0" t="s">
        <v>98</v>
      </c>
      <c r="F8744" s="6" t="n">
        <f aca="false">Sens!F8737*(1-tax_f)-wacc*(Sens!E8738+Sens!F8738)/2</f>
        <v>2.99727585779296</v>
      </c>
      <c r="G8744" s="6" t="n">
        <f aca="false">Sens!G8737*(1-tax_f)-wacc*(Sens!F8738+Sens!G8738)/2</f>
        <v>8.94878642497405</v>
      </c>
      <c r="H8744" s="6" t="n">
        <f aca="false">Sens!H8737*(1-tax_f)-wacc*(Sens!G8738+Sens!H8738)/2</f>
        <v>21.4181467574925</v>
      </c>
      <c r="I8744" s="6" t="n">
        <f aca="false">Sens!I8737*(1-tax_f)-wacc*(Sens!H8738+Sens!I8738)/2</f>
        <v>30.6607058813145</v>
      </c>
      <c r="J8744" s="6" t="n">
        <f aca="false">Sens!J8737*(1-tax_f)-wacc*(Sens!I8738+Sens!J8738)/2</f>
        <v>40.0718895883474</v>
      </c>
      <c r="K8744" s="6" t="n">
        <f aca="false">Sens!K8737*(1-tax_f)-wacc*(Sens!J8738+Sens!K8738)/2</f>
        <v>49.5441139513009</v>
      </c>
    </row>
    <row r="8745" customFormat="false" ht="17.15" hidden="false" customHeight="false" outlineLevel="0" collapsed="false">
      <c r="A8745" s="3" t="s">
        <v>1462</v>
      </c>
    </row>
    <row r="8746" customFormat="false" ht="15" hidden="false" customHeight="false" outlineLevel="0" collapsed="false">
      <c r="A8746" s="4" t="s">
        <v>43</v>
      </c>
      <c r="B8746" s="4" t="s">
        <v>65</v>
      </c>
      <c r="C8746" s="20" t="s">
        <v>788</v>
      </c>
      <c r="D8746" s="20" t="s">
        <v>789</v>
      </c>
      <c r="E8746" s="20" t="s">
        <v>790</v>
      </c>
      <c r="F8746" s="20" t="s">
        <v>791</v>
      </c>
      <c r="G8746" s="20" t="s">
        <v>792</v>
      </c>
      <c r="H8746" s="20" t="s">
        <v>793</v>
      </c>
      <c r="I8746" s="20" t="s">
        <v>794</v>
      </c>
      <c r="J8746" s="20" t="s">
        <v>795</v>
      </c>
      <c r="K8746" s="20" t="s">
        <v>796</v>
      </c>
      <c r="L8746" s="4" t="s">
        <v>47</v>
      </c>
    </row>
    <row r="8747" customFormat="false" ht="15" hidden="false" customHeight="false" outlineLevel="0" collapsed="false">
      <c r="A8747" s="1" t="s">
        <v>915</v>
      </c>
      <c r="B8747" s="0" t="s">
        <v>98</v>
      </c>
      <c r="F8747" s="6" t="n">
        <f aca="false">Sens!F8728</f>
        <v>144.794661631697</v>
      </c>
      <c r="G8747" s="6" t="n">
        <f aca="false">Sens!G8728</f>
        <v>168.842386715491</v>
      </c>
      <c r="H8747" s="6" t="n">
        <f aca="false">Sens!H8728</f>
        <v>196.816090563026</v>
      </c>
      <c r="I8747" s="6" t="n">
        <f aca="false">Sens!I8728</f>
        <v>218.33272345073</v>
      </c>
      <c r="J8747" s="6" t="n">
        <f aca="false">Sens!J8728</f>
        <v>236.909919075975</v>
      </c>
      <c r="K8747" s="6" t="n">
        <f aca="false">Sens!K8728</f>
        <v>253.780773800695</v>
      </c>
    </row>
    <row r="8748" customFormat="false" ht="17.15" hidden="false" customHeight="false" outlineLevel="0" collapsed="false">
      <c r="A8748" s="1" t="s">
        <v>937</v>
      </c>
      <c r="B8748" s="0" t="s">
        <v>98</v>
      </c>
      <c r="E8748" s="6" t="n">
        <f aca="false">Q!M38-Sens!E8666</f>
        <v>22.2285940229167</v>
      </c>
      <c r="F8748" s="6" t="n">
        <f aca="false">Sens!E8748*(1-1/life_nonai)+Sens!F8754/life_nonai</f>
        <v>23.5776759435812</v>
      </c>
      <c r="G8748" s="6" t="n">
        <f aca="false">Sens!F8748*(1-1/life_nonai)+Sens!G8754/life_nonai</f>
        <v>25.3769025657684</v>
      </c>
      <c r="H8748" s="6" t="n">
        <f aca="false">Sens!G8748*(1-1/life_nonai)+Sens!H8754/life_nonai</f>
        <v>27.5881485552537</v>
      </c>
      <c r="I8748" s="6" t="n">
        <f aca="false">Sens!H8748*(1-1/life_nonai)+Sens!I8754/life_nonai</f>
        <v>30.1336389268856</v>
      </c>
      <c r="J8748" s="6" t="n">
        <f aca="false">Sens!I8748*(1-1/life_nonai)+Sens!J8754/life_nonai</f>
        <v>32.9198844843551</v>
      </c>
      <c r="K8748" s="6" t="n">
        <f aca="false">Sens!J8748*(1-1/life_nonai)+Sens!K8754/life_nonai</f>
        <v>35.8610614394137</v>
      </c>
      <c r="L8748" s="11" t="s">
        <v>938</v>
      </c>
    </row>
    <row r="8749" customFormat="false" ht="17.15" hidden="false" customHeight="false" outlineLevel="0" collapsed="false">
      <c r="A8749" s="1" t="s">
        <v>939</v>
      </c>
      <c r="B8749" s="0" t="s">
        <v>98</v>
      </c>
      <c r="E8749" s="6" t="n">
        <f aca="false">Sens!E8666+Sens!E8748</f>
        <v>38.534</v>
      </c>
      <c r="F8749" s="6" t="n">
        <f aca="false">Sens!F8666+Sens!F8748</f>
        <v>58.3065392327844</v>
      </c>
      <c r="G8749" s="6" t="n">
        <f aca="false">Sens!G8666+Sens!G8748</f>
        <v>85.8602914927747</v>
      </c>
      <c r="H8749" s="6" t="n">
        <f aca="false">Sens!H8666+Sens!H8748</f>
        <v>115.30712021506</v>
      </c>
      <c r="I8749" s="6" t="n">
        <f aca="false">Sens!I8666+Sens!I8748</f>
        <v>142.097334575773</v>
      </c>
      <c r="J8749" s="6" t="n">
        <f aca="false">Sens!J8666+Sens!J8748</f>
        <v>162.080251073688</v>
      </c>
      <c r="K8749" s="6" t="n">
        <f aca="false">Sens!K8666+Sens!K8748</f>
        <v>175.485363910554</v>
      </c>
    </row>
    <row r="8750" customFormat="false" ht="17.15" hidden="false" customHeight="false" outlineLevel="0" collapsed="false">
      <c r="A8750" s="1" t="s">
        <v>940</v>
      </c>
      <c r="B8750" s="0" t="s">
        <v>98</v>
      </c>
      <c r="F8750" s="6" t="n">
        <f aca="false">Sens!F8693*sbc_r</f>
        <v>15.1194371427636</v>
      </c>
      <c r="G8750" s="6" t="n">
        <f aca="false">Sens!G8693*sbc_r</f>
        <v>18.3624810502544</v>
      </c>
      <c r="H8750" s="6" t="n">
        <f aca="false">Sens!H8693*sbc_r</f>
        <v>21.8434372336845</v>
      </c>
      <c r="I8750" s="6" t="n">
        <f aca="false">Sens!I8693*sbc_r</f>
        <v>24.8092422083452</v>
      </c>
      <c r="J8750" s="6" t="n">
        <f aca="false">Sens!J8693*sbc_r</f>
        <v>27.1868768941546</v>
      </c>
      <c r="K8750" s="6" t="n">
        <f aca="false">Sens!K8693*sbc_r</f>
        <v>29.0632965246793</v>
      </c>
    </row>
    <row r="8751" customFormat="false" ht="17.15" hidden="false" customHeight="false" outlineLevel="0" collapsed="false">
      <c r="A8751" s="1" t="s">
        <v>941</v>
      </c>
      <c r="B8751" s="0" t="s">
        <v>98</v>
      </c>
      <c r="F8751" s="6" t="n">
        <f aca="false">wc27</f>
        <v>-4.895</v>
      </c>
      <c r="G8751" s="6" t="n">
        <f aca="false">wc_f</f>
        <v>0</v>
      </c>
      <c r="H8751" s="6" t="n">
        <f aca="false">wc_f</f>
        <v>0</v>
      </c>
      <c r="I8751" s="6" t="n">
        <f aca="false">wc_f</f>
        <v>0</v>
      </c>
      <c r="J8751" s="6" t="n">
        <f aca="false">wc_f</f>
        <v>0</v>
      </c>
      <c r="K8751" s="6" t="n">
        <f aca="false">wc_f</f>
        <v>0</v>
      </c>
      <c r="L8751" s="11" t="s">
        <v>942</v>
      </c>
    </row>
    <row r="8752" customFormat="false" ht="15" hidden="false" customHeight="false" outlineLevel="0" collapsed="false">
      <c r="A8752" s="1" t="s">
        <v>756</v>
      </c>
      <c r="B8752" s="0" t="s">
        <v>98</v>
      </c>
      <c r="E8752" s="6" t="n">
        <f aca="false">Q!M35</f>
        <v>182.935</v>
      </c>
      <c r="F8752" s="6" t="n">
        <f aca="false">Sens!F8747+Sens!F8749+Sens!F8750+Sens!F8751</f>
        <v>213.325638007245</v>
      </c>
      <c r="G8752" s="6" t="n">
        <f aca="false">Sens!G8747+Sens!G8749+Sens!G8750+Sens!G8751</f>
        <v>273.06515925852</v>
      </c>
      <c r="H8752" s="6" t="n">
        <f aca="false">Sens!H8747+Sens!H8749+Sens!H8750+Sens!H8751</f>
        <v>333.966648011771</v>
      </c>
      <c r="I8752" s="6" t="n">
        <f aca="false">Sens!I8747+Sens!I8749+Sens!I8750+Sens!I8751</f>
        <v>385.239300234848</v>
      </c>
      <c r="J8752" s="6" t="n">
        <f aca="false">Sens!J8747+Sens!J8749+Sens!J8750+Sens!J8751</f>
        <v>426.177047043817</v>
      </c>
      <c r="K8752" s="6" t="n">
        <f aca="false">Sens!K8747+Sens!K8749+Sens!K8750+Sens!K8751</f>
        <v>458.329434235928</v>
      </c>
    </row>
    <row r="8753" customFormat="false" ht="17.15" hidden="false" customHeight="false" outlineLevel="0" collapsed="false">
      <c r="A8753" s="0" t="s">
        <v>943</v>
      </c>
      <c r="B8753" s="0" t="s">
        <v>98</v>
      </c>
      <c r="F8753" s="6" t="n">
        <f aca="false">Sens!F8663</f>
        <v>168.480586770438</v>
      </c>
      <c r="G8753" s="6" t="n">
        <f aca="false">Sens!G8663</f>
        <v>183.5741804832</v>
      </c>
      <c r="H8753" s="6" t="n">
        <f aca="false">Sens!H8663</f>
        <v>188.0802859104</v>
      </c>
      <c r="I8753" s="6" t="n">
        <f aca="false">Sens!I8663</f>
        <v>163.706669154245</v>
      </c>
      <c r="J8753" s="6" t="n">
        <f aca="false">Sens!J8663</f>
        <v>124.51247671809</v>
      </c>
      <c r="K8753" s="6" t="n">
        <f aca="false">Sens!K8663</f>
        <v>114.959435641936</v>
      </c>
    </row>
    <row r="8754" customFormat="false" ht="17.15" hidden="false" customHeight="false" outlineLevel="0" collapsed="false">
      <c r="A8754" s="1" t="s">
        <v>944</v>
      </c>
      <c r="B8754" s="0" t="s">
        <v>98</v>
      </c>
      <c r="E8754" s="6" t="n">
        <f aca="false">Sens!E8671*cx_azo+Sens!E8678*cx_m365+Sens!E8679*cx_lic+(Sens!E8681+Sens!E8683)*cx_ind+Sens!E8686*cx_srch+(Sens!E8688+Sens!E8690)*cx_dev</f>
        <v>30.1846587067718</v>
      </c>
      <c r="F8754" s="6" t="n">
        <f aca="false">Sens!F8671*cx_azo+Sens!F8678*cx_m365+Sens!F8679*cx_lic+(Sens!F8681+Sens!F8683)*cx_ind+Sens!F8686*cx_srch+(Sens!F8688+Sens!F8690)*cx_dev</f>
        <v>35.7194132295625</v>
      </c>
      <c r="G8754" s="6" t="n">
        <f aca="false">Sens!G8671*cx_azo+Sens!G8678*cx_m365+Sens!G8679*cx_lic+(Sens!G8681+Sens!G8683)*cx_ind+Sens!G8686*cx_srch+(Sens!G8688+Sens!G8690)*cx_dev</f>
        <v>41.5699421654528</v>
      </c>
      <c r="H8754" s="6" t="n">
        <f aca="false">Sens!H8671*cx_azo+Sens!H8678*cx_m365+Sens!H8679*cx_lic+(Sens!H8681+Sens!H8683)*cx_ind+Sens!H8686*cx_srch+(Sens!H8688+Sens!H8690)*cx_dev</f>
        <v>47.4893624606218</v>
      </c>
      <c r="I8754" s="6" t="n">
        <f aca="false">Sens!I8671*cx_azo+Sens!I8678*cx_m365+Sens!I8679*cx_lic+(Sens!I8681+Sens!I8683)*cx_ind+Sens!I8686*cx_srch+(Sens!I8688+Sens!I8690)*cx_dev</f>
        <v>53.0430522715721</v>
      </c>
      <c r="J8754" s="6" t="n">
        <f aca="false">Sens!J8671*cx_azo+Sens!J8678*cx_m365+Sens!J8679*cx_lic+(Sens!J8681+Sens!J8683)*cx_ind+Sens!J8686*cx_srch+(Sens!J8688+Sens!J8690)*cx_dev</f>
        <v>57.996094501581</v>
      </c>
      <c r="K8754" s="6" t="n">
        <f aca="false">Sens!K8671*cx_azo+Sens!K8678*cx_m365+Sens!K8679*cx_lic+(Sens!K8681+Sens!K8683)*cx_ind+Sens!K8686*cx_srch+(Sens!K8688+Sens!K8690)*cx_dev</f>
        <v>62.3316540349409</v>
      </c>
    </row>
    <row r="8755" customFormat="false" ht="17.15" hidden="false" customHeight="false" outlineLevel="0" collapsed="false">
      <c r="A8755" s="1" t="s">
        <v>945</v>
      </c>
      <c r="B8755" s="0" t="s">
        <v>98</v>
      </c>
      <c r="E8755" s="6" t="n">
        <f aca="false">Q!M42</f>
        <v>145.3</v>
      </c>
      <c r="F8755" s="6" t="n">
        <f aca="false">Sens!F8753+Sens!F8754</f>
        <v>204.2</v>
      </c>
      <c r="G8755" s="6" t="n">
        <f aca="false">Sens!G8753+Sens!G8754</f>
        <v>225.144122648653</v>
      </c>
      <c r="H8755" s="6" t="n">
        <f aca="false">Sens!H8753+Sens!H8754</f>
        <v>235.569648371022</v>
      </c>
      <c r="I8755" s="6" t="n">
        <f aca="false">Sens!I8753+Sens!I8754</f>
        <v>216.749721425818</v>
      </c>
      <c r="J8755" s="6" t="n">
        <f aca="false">Sens!J8753+Sens!J8754</f>
        <v>182.508571219671</v>
      </c>
      <c r="K8755" s="6" t="n">
        <f aca="false">Sens!K8753+Sens!K8754</f>
        <v>177.291089676877</v>
      </c>
      <c r="L8755" s="1" t="s">
        <v>946</v>
      </c>
    </row>
    <row r="8756" customFormat="false" ht="15" hidden="false" customHeight="false" outlineLevel="0" collapsed="false">
      <c r="A8756" s="1" t="s">
        <v>947</v>
      </c>
      <c r="B8756" s="0" t="s">
        <v>98</v>
      </c>
      <c r="E8756" s="6" t="n">
        <f aca="false">fl_liab</f>
        <v>66.594</v>
      </c>
      <c r="F8756" s="6" t="n">
        <f aca="false">Sens!E8756-Sens!F8757</f>
        <v>62.46973</v>
      </c>
      <c r="G8756" s="6" t="n">
        <f aca="false">Sens!F8756-Sens!G8757</f>
        <v>57.98686785</v>
      </c>
      <c r="H8756" s="6" t="n">
        <f aca="false">Sens!G8756-Sens!H8757</f>
        <v>53.92827690325</v>
      </c>
      <c r="I8756" s="6" t="n">
        <f aca="false">Sens!H8756-Sens!I8757</f>
        <v>49.7850493638962</v>
      </c>
      <c r="J8756" s="6" t="n">
        <f aca="false">Sens!I8756-Sens!J8757</f>
        <v>45.4823765852716</v>
      </c>
      <c r="K8756" s="6" t="n">
        <f aca="false">Sens!J8756-Sens!K8757</f>
        <v>40.9860835316088</v>
      </c>
    </row>
    <row r="8757" customFormat="false" ht="15" hidden="false" customHeight="false" outlineLevel="0" collapsed="false">
      <c r="A8757" s="1" t="s">
        <v>948</v>
      </c>
      <c r="B8757" s="0" t="s">
        <v>98</v>
      </c>
      <c r="F8757" s="6" t="n">
        <f aca="false">fl_pay_27-Sens!E8756*fl_rate</f>
        <v>4.12427</v>
      </c>
      <c r="G8757" s="6" t="n">
        <f aca="false">fl_pay_28-Sens!F8756*fl_rate</f>
        <v>4.48286215</v>
      </c>
      <c r="H8757" s="6" t="n">
        <f aca="false">fl_pay_29-Sens!G8756*fl_rate</f>
        <v>4.05859094675</v>
      </c>
      <c r="I8757" s="6" t="n">
        <f aca="false">fl_pay_30-Sens!H8756*fl_rate</f>
        <v>4.14322753935375</v>
      </c>
      <c r="J8757" s="6" t="n">
        <f aca="false">fl_pay_31-Sens!I8756*fl_rate</f>
        <v>4.30267277862467</v>
      </c>
      <c r="K8757" s="6" t="n">
        <f aca="false">fl_pay_32-Sens!J8756*fl_rate</f>
        <v>4.49629305366278</v>
      </c>
    </row>
    <row r="8758" customFormat="false" ht="17.15" hidden="false" customHeight="false" outlineLevel="0" collapsed="false">
      <c r="A8758" s="1" t="s">
        <v>949</v>
      </c>
      <c r="B8758" s="0" t="s">
        <v>98</v>
      </c>
      <c r="E8758" s="6" t="n">
        <f aca="false">Q!M35-Q!M36-Q!M43</f>
        <v>63.886</v>
      </c>
      <c r="F8758" s="6" t="n">
        <f aca="false">Sens!F8752-Sens!F8755-Sens!F8757</f>
        <v>5.00136800724513</v>
      </c>
      <c r="G8758" s="6" t="n">
        <f aca="false">Sens!G8752-Sens!G8755-Sens!G8757</f>
        <v>43.4381744598675</v>
      </c>
      <c r="H8758" s="6" t="n">
        <f aca="false">Sens!H8752-Sens!H8755-Sens!H8757</f>
        <v>94.3384086939988</v>
      </c>
      <c r="I8758" s="6" t="n">
        <f aca="false">Sens!I8752-Sens!I8755-Sens!I8757</f>
        <v>164.346351269677</v>
      </c>
      <c r="J8758" s="6" t="n">
        <f aca="false">Sens!J8752-Sens!J8755-Sens!J8757</f>
        <v>239.365803045521</v>
      </c>
      <c r="K8758" s="6" t="n">
        <f aca="false">Sens!K8752-Sens!K8755-Sens!K8757</f>
        <v>276.542051505388</v>
      </c>
      <c r="L8758" s="11" t="s">
        <v>950</v>
      </c>
    </row>
    <row r="8759" customFormat="false" ht="15" hidden="false" customHeight="false" outlineLevel="0" collapsed="false">
      <c r="A8759" s="1" t="s">
        <v>951</v>
      </c>
      <c r="B8759" s="0" t="s">
        <v>75</v>
      </c>
      <c r="F8759" s="8" t="n">
        <f aca="false">dps_27</f>
        <v>3.85</v>
      </c>
      <c r="G8759" s="8" t="n">
        <f aca="false">Sens!F8759*(1+dps_g)</f>
        <v>4.158</v>
      </c>
      <c r="H8759" s="8" t="n">
        <f aca="false">Sens!G8759*(1+dps_g)</f>
        <v>4.49064</v>
      </c>
      <c r="I8759" s="8" t="n">
        <f aca="false">Sens!H8759*(1+dps_g)</f>
        <v>4.8498912</v>
      </c>
      <c r="J8759" s="8" t="n">
        <f aca="false">Sens!I8759*(1+dps_g)</f>
        <v>5.237882496</v>
      </c>
      <c r="K8759" s="8" t="n">
        <f aca="false">Sens!J8759*(1+dps_g)</f>
        <v>5.65691309568</v>
      </c>
    </row>
    <row r="8760" customFormat="false" ht="17.15" hidden="false" customHeight="false" outlineLevel="0" collapsed="false">
      <c r="A8760" s="1" t="s">
        <v>952</v>
      </c>
      <c r="B8760" s="0" t="s">
        <v>98</v>
      </c>
      <c r="E8760" s="6" t="n">
        <f aca="false">Q!M41</f>
        <v>26.445</v>
      </c>
      <c r="F8760" s="6" t="n">
        <f aca="false">Sens!F8759*Sens!E8769</f>
        <v>28.59395</v>
      </c>
      <c r="G8760" s="6" t="n">
        <f aca="false">Sens!G8759*Sens!F8769</f>
        <v>31.068576</v>
      </c>
      <c r="H8760" s="6" t="n">
        <f aca="false">Sens!H8759*Sens!G8769</f>
        <v>33.6632170616861</v>
      </c>
      <c r="I8760" s="6" t="n">
        <f aca="false">Sens!I8759*Sens!H8769</f>
        <v>36.4072136666205</v>
      </c>
      <c r="J8760" s="6" t="n">
        <f aca="false">Sens!J8759*Sens!I8769</f>
        <v>39.3881896082696</v>
      </c>
      <c r="K8760" s="6" t="n">
        <f aca="false">Sens!K8759*Sens!J8769</f>
        <v>42.6265000022362</v>
      </c>
      <c r="L8760" s="1" t="s">
        <v>953</v>
      </c>
    </row>
    <row r="8761" customFormat="false" ht="15" hidden="false" customHeight="false" outlineLevel="0" collapsed="false">
      <c r="A8761" s="1" t="s">
        <v>954</v>
      </c>
      <c r="B8761" s="0" t="s">
        <v>98</v>
      </c>
      <c r="E8761" s="6" t="n">
        <f aca="false">Sens!E8758-Sens!E8760</f>
        <v>37.441</v>
      </c>
      <c r="F8761" s="6" t="n">
        <f aca="false">Sens!F8758-Sens!F8760</f>
        <v>-23.5925819927549</v>
      </c>
      <c r="G8761" s="6" t="n">
        <f aca="false">Sens!G8758-Sens!G8760</f>
        <v>12.3695984598675</v>
      </c>
      <c r="H8761" s="6" t="n">
        <f aca="false">Sens!H8758-Sens!H8760</f>
        <v>60.6751916323127</v>
      </c>
      <c r="I8761" s="6" t="n">
        <f aca="false">Sens!I8758-Sens!I8760</f>
        <v>127.939137603057</v>
      </c>
      <c r="J8761" s="6" t="n">
        <f aca="false">Sens!J8758-Sens!J8760</f>
        <v>199.977613437251</v>
      </c>
      <c r="K8761" s="6" t="n">
        <f aca="false">Sens!K8758-Sens!K8760</f>
        <v>233.915551503152</v>
      </c>
    </row>
    <row r="8762" customFormat="false" ht="15" hidden="false" customHeight="false" outlineLevel="0" collapsed="false">
      <c r="A8762" s="1" t="s">
        <v>955</v>
      </c>
      <c r="B8762" s="0" t="s">
        <v>98</v>
      </c>
      <c r="F8762" s="6" t="n">
        <f aca="false">debt_mat_27</f>
        <v>9.25</v>
      </c>
      <c r="G8762" s="6" t="n">
        <f aca="false">debt_mat_28</f>
        <v>0</v>
      </c>
      <c r="H8762" s="6" t="n">
        <f aca="false">debt_mat_29</f>
        <v>2.001</v>
      </c>
      <c r="I8762" s="6" t="n">
        <f aca="false">debt_mat_30</f>
        <v>0</v>
      </c>
      <c r="J8762" s="6" t="n">
        <f aca="false">debt_mat_31</f>
        <v>0.5</v>
      </c>
      <c r="K8762" s="6" t="n">
        <f aca="false">debt_mat_32</f>
        <v>0</v>
      </c>
    </row>
    <row r="8763" customFormat="false" ht="15" hidden="false" customHeight="false" outlineLevel="0" collapsed="false">
      <c r="A8763" s="1" t="s">
        <v>956</v>
      </c>
      <c r="B8763" s="0" t="s">
        <v>98</v>
      </c>
      <c r="E8763" s="6" t="n">
        <f aca="false">Q!M40</f>
        <v>22.271</v>
      </c>
      <c r="F8763" s="6" t="n">
        <f aca="false">MAX(0,MIN(bb_target,Sens!E8765+Sens!F8761-Sens!F8762-min_cash))</f>
        <v>0</v>
      </c>
      <c r="G8763" s="6" t="n">
        <f aca="false">MAX(0,MIN(bb_target,Sens!F8765+Sens!G8761-Sens!G8762-min_cash))</f>
        <v>12.3695984598675</v>
      </c>
      <c r="H8763" s="6" t="n">
        <f aca="false">MAX(0,MIN(bb_target,Sens!G8765+Sens!H8761-Sens!H8762-min_cash))</f>
        <v>22.271</v>
      </c>
      <c r="I8763" s="6" t="n">
        <f aca="false">MAX(0,MIN(bb_target,Sens!H8765+Sens!I8761-Sens!I8762-min_cash))</f>
        <v>22.271</v>
      </c>
      <c r="J8763" s="6" t="n">
        <f aca="false">MAX(0,MIN(bb_target,Sens!I8765+Sens!J8761-Sens!J8762-min_cash))</f>
        <v>22.271</v>
      </c>
      <c r="K8763" s="6" t="n">
        <f aca="false">MAX(0,MIN(bb_target,Sens!J8765+Sens!K8761-Sens!K8762-min_cash))</f>
        <v>22.271</v>
      </c>
    </row>
    <row r="8764" customFormat="false" ht="15" hidden="false" customHeight="false" outlineLevel="0" collapsed="false">
      <c r="A8764" s="1" t="s">
        <v>957</v>
      </c>
      <c r="B8764" s="0" t="s">
        <v>98</v>
      </c>
      <c r="F8764" s="6" t="n">
        <f aca="false">MAX(0,min_cash-(Sens!E8765+Sens!F8761-Sens!F8762-Sens!F8763))</f>
        <v>5.99958199275487</v>
      </c>
      <c r="G8764" s="6" t="n">
        <f aca="false">MAX(0,min_cash-(Sens!F8765+Sens!G8761-Sens!G8762-Sens!G8763))</f>
        <v>0</v>
      </c>
      <c r="H8764" s="6" t="n">
        <f aca="false">MAX(0,min_cash-(Sens!G8765+Sens!H8761-Sens!H8762-Sens!H8763))</f>
        <v>0</v>
      </c>
      <c r="I8764" s="6" t="n">
        <f aca="false">MAX(0,min_cash-(Sens!H8765+Sens!I8761-Sens!I8762-Sens!I8763))</f>
        <v>0</v>
      </c>
      <c r="J8764" s="6" t="n">
        <f aca="false">MAX(0,min_cash-(Sens!I8765+Sens!J8761-Sens!J8762-Sens!J8763))</f>
        <v>0</v>
      </c>
      <c r="K8764" s="6" t="n">
        <f aca="false">MAX(0,min_cash-(Sens!J8765+Sens!K8761-Sens!K8762-Sens!K8763))</f>
        <v>0</v>
      </c>
    </row>
    <row r="8765" customFormat="false" ht="15" hidden="false" customHeight="false" outlineLevel="0" collapsed="false">
      <c r="A8765" s="1" t="s">
        <v>958</v>
      </c>
      <c r="B8765" s="0" t="s">
        <v>98</v>
      </c>
      <c r="E8765" s="6" t="n">
        <f aca="false">cash_open</f>
        <v>76.843</v>
      </c>
      <c r="F8765" s="6" t="n">
        <f aca="false">Sens!E8765+Sens!F8761-Sens!F8762-Sens!F8763+Sens!F8764</f>
        <v>50</v>
      </c>
      <c r="G8765" s="6" t="n">
        <f aca="false">Sens!F8765+Sens!G8761-Sens!G8762-Sens!G8763+Sens!G8764</f>
        <v>50</v>
      </c>
      <c r="H8765" s="6" t="n">
        <f aca="false">Sens!G8765+Sens!H8761-Sens!H8762-Sens!H8763+Sens!H8764</f>
        <v>86.4031916323127</v>
      </c>
      <c r="I8765" s="6" t="n">
        <f aca="false">Sens!H8765+Sens!I8761-Sens!I8762-Sens!I8763+Sens!I8764</f>
        <v>192.071329235369</v>
      </c>
      <c r="J8765" s="6" t="n">
        <f aca="false">Sens!I8765+Sens!J8761-Sens!J8762-Sens!J8763+Sens!J8764</f>
        <v>369.27794267262</v>
      </c>
      <c r="K8765" s="6" t="n">
        <f aca="false">Sens!J8765+Sens!K8761-Sens!K8762-Sens!K8763+Sens!K8764</f>
        <v>580.922494175772</v>
      </c>
    </row>
    <row r="8766" customFormat="false" ht="15" hidden="false" customHeight="false" outlineLevel="0" collapsed="false">
      <c r="A8766" s="1" t="s">
        <v>959</v>
      </c>
      <c r="B8766" s="0" t="s">
        <v>98</v>
      </c>
      <c r="E8766" s="6" t="n">
        <f aca="false">debt_face</f>
        <v>46.136</v>
      </c>
      <c r="F8766" s="6" t="n">
        <f aca="false">Sens!E8766-Sens!F8762+Sens!F8764</f>
        <v>42.8855819927549</v>
      </c>
      <c r="G8766" s="6" t="n">
        <f aca="false">Sens!F8766-Sens!G8762+Sens!G8764</f>
        <v>42.8855819927549</v>
      </c>
      <c r="H8766" s="6" t="n">
        <f aca="false">Sens!G8766-Sens!H8762+Sens!H8764</f>
        <v>40.8845819927549</v>
      </c>
      <c r="I8766" s="6" t="n">
        <f aca="false">Sens!H8766-Sens!I8762+Sens!I8764</f>
        <v>40.8845819927549</v>
      </c>
      <c r="J8766" s="6" t="n">
        <f aca="false">Sens!I8766-Sens!J8762+Sens!J8764</f>
        <v>40.3845819927549</v>
      </c>
      <c r="K8766" s="6" t="n">
        <f aca="false">Sens!J8766-Sens!K8762+Sens!K8764</f>
        <v>40.3845819927549</v>
      </c>
    </row>
    <row r="8767" customFormat="false" ht="15" hidden="false" customHeight="false" outlineLevel="0" collapsed="false">
      <c r="A8767" s="1" t="s">
        <v>960</v>
      </c>
      <c r="B8767" s="0" t="s">
        <v>98</v>
      </c>
      <c r="E8767" s="6" t="n">
        <f aca="false">Sens!E8765-Sens!E8766</f>
        <v>30.707</v>
      </c>
      <c r="F8767" s="6" t="n">
        <f aca="false">Sens!F8765-Sens!F8766</f>
        <v>7.11441800724513</v>
      </c>
      <c r="G8767" s="6" t="n">
        <f aca="false">Sens!G8765-Sens!G8766</f>
        <v>7.11441800724513</v>
      </c>
      <c r="H8767" s="6" t="n">
        <f aca="false">Sens!H8765-Sens!H8766</f>
        <v>45.5186096395578</v>
      </c>
      <c r="I8767" s="6" t="n">
        <f aca="false">Sens!I8765-Sens!I8766</f>
        <v>151.186747242614</v>
      </c>
      <c r="J8767" s="6" t="n">
        <f aca="false">Sens!J8765-Sens!J8766</f>
        <v>328.893360679865</v>
      </c>
      <c r="K8767" s="6" t="n">
        <f aca="false">Sens!K8765-Sens!K8766</f>
        <v>540.537912183017</v>
      </c>
    </row>
    <row r="8768" customFormat="false" ht="15" hidden="false" customHeight="false" outlineLevel="0" collapsed="false">
      <c r="A8768" s="1" t="s">
        <v>961</v>
      </c>
      <c r="B8768" s="0" t="s">
        <v>75</v>
      </c>
      <c r="F8768" s="29" t="n">
        <f aca="false">px*(1+bb_g)^(Sens!F8632-base_fy-mid_yr)</f>
        <v>553.494156066711</v>
      </c>
      <c r="G8768" s="29" t="n">
        <f aca="false">px*(1+bb_g)^(Sens!G8632-base_fy-mid_yr)</f>
        <v>597.773688552047</v>
      </c>
      <c r="H8768" s="29" t="n">
        <f aca="false">px*(1+bb_g)^(Sens!H8632-base_fy-mid_yr)</f>
        <v>645.595583636211</v>
      </c>
      <c r="I8768" s="29" t="n">
        <f aca="false">px*(1+bb_g)^(Sens!I8632-base_fy-mid_yr)</f>
        <v>697.243230327108</v>
      </c>
      <c r="J8768" s="29" t="n">
        <f aca="false">px*(1+bb_g)^(Sens!J8632-base_fy-mid_yr)</f>
        <v>753.022688753277</v>
      </c>
      <c r="K8768" s="29" t="n">
        <f aca="false">px*(1+bb_g)^(Sens!K8632-base_fy-mid_yr)</f>
        <v>813.264503853539</v>
      </c>
    </row>
    <row r="8769" customFormat="false" ht="15" hidden="false" customHeight="false" outlineLevel="0" collapsed="false">
      <c r="A8769" s="1" t="s">
        <v>962</v>
      </c>
      <c r="B8769" s="1" t="s">
        <v>81</v>
      </c>
      <c r="E8769" s="14" t="n">
        <f aca="false">sh_out26</f>
        <v>7.427</v>
      </c>
      <c r="F8769" s="14" t="n">
        <f aca="false">Sens!E8769+sh_iss-Sens!F8763/Sens!F8768</f>
        <v>7.472</v>
      </c>
      <c r="G8769" s="14" t="n">
        <f aca="false">Sens!F8769+sh_iss-Sens!G8763/Sens!G8768</f>
        <v>7.49630722161788</v>
      </c>
      <c r="H8769" s="14" t="n">
        <f aca="false">Sens!G8769+sh_iss-Sens!H8763/Sens!H8768</f>
        <v>7.50681039331779</v>
      </c>
      <c r="I8769" s="14" t="n">
        <f aca="false">Sens!H8769+sh_iss-Sens!I8763/Sens!I8768</f>
        <v>7.51986888563251</v>
      </c>
      <c r="J8769" s="14" t="n">
        <f aca="false">Sens!I8769+sh_iss-Sens!J8763/Sens!J8768</f>
        <v>7.53529341555355</v>
      </c>
      <c r="K8769" s="14" t="n">
        <f aca="false">Sens!J8769+sh_iss-Sens!K8763/Sens!K8768</f>
        <v>7.552908721036</v>
      </c>
    </row>
    <row r="8770" customFormat="false" ht="15" hidden="false" customHeight="false" outlineLevel="0" collapsed="false">
      <c r="A8770" s="1" t="s">
        <v>963</v>
      </c>
      <c r="B8770" s="1" t="s">
        <v>81</v>
      </c>
      <c r="E8770" s="14" t="n">
        <f aca="false">sh_dil26</f>
        <v>7.453</v>
      </c>
      <c r="F8770" s="14" t="n">
        <f aca="false">(Sens!E8769+Sens!F8769)/2+dil_gap</f>
        <v>7.4735</v>
      </c>
      <c r="G8770" s="14" t="n">
        <f aca="false">(Sens!F8769+Sens!G8769)/2+dil_gap</f>
        <v>7.50815361080894</v>
      </c>
      <c r="H8770" s="14" t="n">
        <f aca="false">(Sens!G8769+Sens!H8769)/2+dil_gap</f>
        <v>7.52555880746784</v>
      </c>
      <c r="I8770" s="14" t="n">
        <f aca="false">(Sens!H8769+Sens!I8769)/2+dil_gap</f>
        <v>7.53733963947515</v>
      </c>
      <c r="J8770" s="14" t="n">
        <f aca="false">(Sens!I8769+Sens!J8769)/2+dil_gap</f>
        <v>7.55158115059303</v>
      </c>
      <c r="K8770" s="14" t="n">
        <f aca="false">(Sens!J8769+Sens!K8769)/2+dil_gap</f>
        <v>7.56810106829477</v>
      </c>
    </row>
    <row r="8771" customFormat="false" ht="17.15" hidden="false" customHeight="false" outlineLevel="0" collapsed="false">
      <c r="A8771" s="1" t="s">
        <v>964</v>
      </c>
      <c r="B8771" s="0" t="s">
        <v>98</v>
      </c>
      <c r="C8771" s="6" t="n">
        <f aca="false">SUM(Sens!F8761:J8761)</f>
        <v>377.368959139733</v>
      </c>
    </row>
    <row r="8772" customFormat="false" ht="15" hidden="false" customHeight="false" outlineLevel="0" collapsed="false">
      <c r="A8772" s="23" t="s">
        <v>935</v>
      </c>
      <c r="B8772" s="30" t="s">
        <v>98</v>
      </c>
      <c r="C8772" s="24" t="n">
        <f aca="false">Sens!$C$8771-(Sens!F8761+Sens!G8761+Sens!H8761+Sens!I8761+Sens!J8761)</f>
        <v>0</v>
      </c>
      <c r="D8772" s="30"/>
      <c r="E8772" s="30"/>
      <c r="F8772" s="30"/>
      <c r="G8772" s="30"/>
      <c r="H8772" s="30"/>
      <c r="I8772" s="30"/>
      <c r="J8772" s="30"/>
      <c r="K8772" s="30"/>
    </row>
    <row r="8773" customFormat="false" ht="17.15" hidden="false" customHeight="false" outlineLevel="0" collapsed="false">
      <c r="A8773" s="1" t="s">
        <v>929</v>
      </c>
      <c r="B8773" s="1" t="s">
        <v>965</v>
      </c>
      <c r="C8773" s="32" t="str">
        <f aca="false">IF(SUM(Sens!F8764:J8764)&gt;0.05,"需要舉債 "&amp;TEXT(SUM(Sens!F8764:J8764),"0.0")&amp;" 十億美元","不需舉債")&amp;"；"&amp;IF(SUM(Sens!F8763:J8763)&lt;COUNT(Sens!F8763:J8763)*bb_target-0.05,"回購較每年 "&amp;TEXT(bb_target,"0.0")&amp;" 的目標少 "&amp;TEXT(COUNT(Sens!F8763:J8763)*bb_target-SUM(Sens!F8763:J8763),"0.0")&amp;" 十億美元（"&amp;TEXT(COUNTIF(Sens!F8763:J8763,"&lt;"&amp;(bb_target-0.05)),"0")&amp;" 年減少）","回購不減")</f>
        <v>需要舉債 6.0 十億美元；回購較每年 22.3 的目標少 32.2 十億美元（2 年減少）</v>
      </c>
    </row>
    <row r="8774" customFormat="false" ht="17.15" hidden="false" customHeight="false" outlineLevel="0" collapsed="false">
      <c r="A8774" s="3" t="s">
        <v>1463</v>
      </c>
    </row>
    <row r="8775" customFormat="false" ht="15" hidden="false" customHeight="false" outlineLevel="0" collapsed="false">
      <c r="A8775" s="4" t="s">
        <v>43</v>
      </c>
      <c r="B8775" s="4" t="s">
        <v>65</v>
      </c>
      <c r="C8775" s="20" t="s">
        <v>788</v>
      </c>
      <c r="D8775" s="20" t="s">
        <v>789</v>
      </c>
      <c r="E8775" s="20" t="s">
        <v>790</v>
      </c>
      <c r="F8775" s="20" t="s">
        <v>791</v>
      </c>
      <c r="G8775" s="20" t="s">
        <v>792</v>
      </c>
      <c r="H8775" s="20" t="s">
        <v>793</v>
      </c>
      <c r="I8775" s="20" t="s">
        <v>794</v>
      </c>
      <c r="J8775" s="20" t="s">
        <v>795</v>
      </c>
      <c r="K8775" s="20" t="s">
        <v>796</v>
      </c>
      <c r="L8775" s="4" t="s">
        <v>47</v>
      </c>
    </row>
    <row r="8776" customFormat="false" ht="15" hidden="false" customHeight="false" outlineLevel="0" collapsed="false">
      <c r="A8776" s="1" t="s">
        <v>1042</v>
      </c>
      <c r="B8776" s="1" t="s">
        <v>235</v>
      </c>
      <c r="F8776" s="36" t="n">
        <f aca="false">Sens!F8632-base_fy-mid_yr</f>
        <v>0.5</v>
      </c>
      <c r="G8776" s="36" t="n">
        <f aca="false">Sens!G8632-base_fy-mid_yr</f>
        <v>1.5</v>
      </c>
      <c r="H8776" s="36" t="n">
        <f aca="false">Sens!H8632-base_fy-mid_yr</f>
        <v>2.5</v>
      </c>
      <c r="I8776" s="36" t="n">
        <f aca="false">Sens!I8632-base_fy-mid_yr</f>
        <v>3.5</v>
      </c>
      <c r="J8776" s="36" t="n">
        <f aca="false">Sens!J8632-base_fy-mid_yr</f>
        <v>4.5</v>
      </c>
      <c r="K8776" s="36" t="n">
        <f aca="false">Sens!K8632-base_fy-mid_yr</f>
        <v>5.5</v>
      </c>
    </row>
    <row r="8777" customFormat="false" ht="15" hidden="false" customHeight="false" outlineLevel="0" collapsed="false">
      <c r="A8777" s="1" t="s">
        <v>1043</v>
      </c>
      <c r="B8777" s="0" t="s">
        <v>185</v>
      </c>
      <c r="F8777" s="14" t="n">
        <f aca="false">1/(1+wacc)^Sens!F8776</f>
        <v>0.952193373608246</v>
      </c>
      <c r="G8777" s="14" t="n">
        <f aca="false">1/(1+wacc)^Sens!G8776</f>
        <v>0.863327280626589</v>
      </c>
      <c r="H8777" s="14" t="n">
        <f aca="false">1/(1+wacc)^Sens!H8776</f>
        <v>0.782754862754115</v>
      </c>
      <c r="I8777" s="14" t="n">
        <f aca="false">1/(1+wacc)^Sens!I8776</f>
        <v>0.709702089711011</v>
      </c>
      <c r="J8777" s="14" t="n">
        <f aca="false">1/(1+wacc)^Sens!J8776</f>
        <v>0.643467169744551</v>
      </c>
      <c r="K8777" s="14" t="n">
        <f aca="false">1/(1+wacc)^Sens!K8776</f>
        <v>0.583413807767797</v>
      </c>
    </row>
    <row r="8778" customFormat="false" ht="17.15" hidden="false" customHeight="false" outlineLevel="0" collapsed="false">
      <c r="A8778" s="1" t="s">
        <v>1044</v>
      </c>
      <c r="B8778" s="0" t="s">
        <v>98</v>
      </c>
      <c r="F8778" s="6" t="n">
        <f aca="false">Sens!F8752-Sens!F8750-Sens!F8755+Sens!F8736*(1-tax_f)</f>
        <v>9.26970681627331</v>
      </c>
      <c r="G8778" s="6" t="n">
        <f aca="false">Sens!G8752-Sens!G8750-Sens!G8755+Sens!G8736*(1-tax_f)</f>
        <v>55.6118686515812</v>
      </c>
      <c r="H8778" s="6" t="n">
        <f aca="false">Sens!H8752-Sens!H8750-Sens!H8755+Sens!H8736*(1-tax_f)</f>
        <v>114.478647513569</v>
      </c>
      <c r="I8778" s="6" t="n">
        <f aca="false">Sens!I8752-Sens!I8750-Sens!I8755+Sens!I8736*(1-tax_f)</f>
        <v>192.682343858787</v>
      </c>
      <c r="J8778" s="6" t="n">
        <f aca="false">Sens!J8752-Sens!J8750-Sens!J8755+Sens!J8736*(1-tax_f)</f>
        <v>273.289289990452</v>
      </c>
      <c r="K8778" s="6" t="n">
        <f aca="false">Sens!K8752-Sens!K8750-Sens!K8755+Sens!K8736*(1-tax_f)</f>
        <v>312.811254167517</v>
      </c>
      <c r="L8778" s="1" t="s">
        <v>1045</v>
      </c>
    </row>
    <row r="8779" customFormat="false" ht="15" hidden="false" customHeight="false" outlineLevel="0" collapsed="false">
      <c r="A8779" s="1" t="s">
        <v>1046</v>
      </c>
      <c r="B8779" s="0" t="s">
        <v>98</v>
      </c>
      <c r="F8779" s="6" t="n">
        <f aca="false">Sens!F8778*Sens!F8777</f>
        <v>8.82655340574664</v>
      </c>
      <c r="G8779" s="6" t="n">
        <f aca="false">Sens!G8778*Sens!G8777</f>
        <v>48.0112433335326</v>
      </c>
      <c r="H8779" s="6" t="n">
        <f aca="false">Sens!H8778*Sens!H8777</f>
        <v>89.6087180227604</v>
      </c>
      <c r="I8779" s="6" t="n">
        <f aca="false">Sens!I8778*Sens!I8777</f>
        <v>136.747062086996</v>
      </c>
      <c r="J8779" s="6" t="n">
        <f aca="false">Sens!J8778*Sens!J8777</f>
        <v>175.852685951654</v>
      </c>
      <c r="K8779" s="6" t="n">
        <f aca="false">Sens!K8778*Sens!K8777</f>
        <v>182.498404906491</v>
      </c>
    </row>
    <row r="8780" customFormat="false" ht="17.15" hidden="false" customHeight="false" outlineLevel="0" collapsed="false">
      <c r="A8780" s="1" t="s">
        <v>1047</v>
      </c>
      <c r="B8780" s="0" t="s">
        <v>98</v>
      </c>
      <c r="C8780" s="6" t="n">
        <f aca="false">SUM(Sens!F8779:K8779)</f>
        <v>641.544667707181</v>
      </c>
    </row>
    <row r="8781" customFormat="false" ht="17.15" hidden="false" customHeight="false" outlineLevel="0" collapsed="false">
      <c r="A8781" s="1" t="s">
        <v>1048</v>
      </c>
      <c r="B8781" s="0" t="s">
        <v>98</v>
      </c>
      <c r="C8781" s="6" t="n">
        <f aca="false">Sens!K8722*(1+g_tv)*(1-tax_f)</f>
        <v>324.385089331855</v>
      </c>
    </row>
    <row r="8782" customFormat="false" ht="17.15" hidden="false" customHeight="false" outlineLevel="0" collapsed="false">
      <c r="A8782" s="1" t="s">
        <v>1049</v>
      </c>
      <c r="B8782" s="0" t="s">
        <v>98</v>
      </c>
      <c r="C8782" s="6" t="n">
        <f aca="false">Sens!$C$8781*(1-g_tv/(wacc+ronic_prem))</f>
        <v>229.843801090516</v>
      </c>
    </row>
    <row r="8783" customFormat="false" ht="17.15" hidden="false" customHeight="false" outlineLevel="0" collapsed="false">
      <c r="A8783" s="1" t="s">
        <v>1050</v>
      </c>
      <c r="B8783" s="0" t="s">
        <v>98</v>
      </c>
      <c r="C8783" s="6" t="n">
        <f aca="false">Sens!$C$8782/(wacc-g_tv)</f>
        <v>3151.3762747113</v>
      </c>
    </row>
    <row r="8784" customFormat="false" ht="15" hidden="false" customHeight="false" outlineLevel="0" collapsed="false">
      <c r="A8784" s="1" t="s">
        <v>1051</v>
      </c>
      <c r="B8784" s="0" t="s">
        <v>98</v>
      </c>
      <c r="C8784" s="6" t="n">
        <f aca="false">Sens!$C$8783/(1+wacc)^(Sens!K8776+mid_yr)</f>
        <v>1750.66125168702</v>
      </c>
    </row>
    <row r="8785" customFormat="false" ht="17.15" hidden="false" customHeight="false" outlineLevel="0" collapsed="false">
      <c r="A8785" s="0" t="s">
        <v>972</v>
      </c>
      <c r="B8785" s="0" t="s">
        <v>98</v>
      </c>
      <c r="C8785" s="6" t="n">
        <f aca="false">Sens!$C$8780+Sens!$C$8784</f>
        <v>2392.2059193942</v>
      </c>
    </row>
    <row r="8786" customFormat="false" ht="15" hidden="false" customHeight="false" outlineLevel="0" collapsed="false">
      <c r="A8786" s="1" t="s">
        <v>973</v>
      </c>
      <c r="B8786" s="0" t="s">
        <v>129</v>
      </c>
      <c r="C8786" s="7" t="n">
        <f aca="false">Sens!$C$8784/Sens!$C$8785</f>
        <v>0.731818794316149</v>
      </c>
    </row>
    <row r="8787" customFormat="false" ht="17.15" hidden="false" customHeight="false" outlineLevel="0" collapsed="false">
      <c r="A8787" s="1" t="s">
        <v>1052</v>
      </c>
      <c r="B8787" s="0" t="s">
        <v>98</v>
      </c>
      <c r="C8787" s="6" t="n">
        <f aca="false">Sens!$C$8785+Sens!E8767-Sens!E8756+oai_v</f>
        <v>2526.7189193942</v>
      </c>
    </row>
    <row r="8788" customFormat="false" ht="17.15" hidden="false" customHeight="false" outlineLevel="0" collapsed="false">
      <c r="A8788" s="0" t="s">
        <v>980</v>
      </c>
      <c r="B8788" s="0" t="s">
        <v>75</v>
      </c>
      <c r="C8788" s="5" t="n">
        <f aca="false">Sens!$C$8787/sh_dil26</f>
        <v>339.020383656809</v>
      </c>
    </row>
    <row r="8789" customFormat="false" ht="15" hidden="false" customHeight="false" outlineLevel="0" collapsed="false">
      <c r="A8789" s="1" t="s">
        <v>1053</v>
      </c>
      <c r="B8789" s="0" t="s">
        <v>75</v>
      </c>
      <c r="C8789" s="8" t="n">
        <f aca="false">dps_27+Sens!G8759*roll_div_q/q_per_yr</f>
        <v>4.8895</v>
      </c>
    </row>
    <row r="8790" customFormat="false" ht="17.15" hidden="false" customHeight="false" outlineLevel="0" collapsed="false">
      <c r="A8790" s="0" t="s">
        <v>1054</v>
      </c>
      <c r="B8790" s="0" t="s">
        <v>75</v>
      </c>
      <c r="C8790" s="5" t="n">
        <f aca="false">Sens!$C$8788*(1+wacc)^t_roll-Sens!$C$8789</f>
        <v>381.164330599836</v>
      </c>
    </row>
    <row r="8791" customFormat="false" ht="17.15" hidden="false" customHeight="false" outlineLevel="0" collapsed="false">
      <c r="A8791" s="1" t="s">
        <v>1055</v>
      </c>
      <c r="B8791" s="0" t="s">
        <v>129</v>
      </c>
      <c r="F8791" s="7" t="n">
        <f aca="false">Sens!F8748/(Sens!F8693-Sens!F8649)</f>
        <v>0.0681989742705527</v>
      </c>
      <c r="G8791" s="7" t="n">
        <f aca="false">Sens!G8748/(Sens!G8693-Sens!G8649)</f>
        <v>0.0650965133818313</v>
      </c>
      <c r="H8791" s="7" t="n">
        <f aca="false">Sens!H8748/(Sens!H8693-Sens!H8649)</f>
        <v>0.0634888137911009</v>
      </c>
      <c r="I8791" s="7" t="n">
        <f aca="false">Sens!I8748/(Sens!I8693-Sens!I8649)</f>
        <v>0.0632675482802548</v>
      </c>
      <c r="J8791" s="7" t="n">
        <f aca="false">Sens!J8748/(Sens!J8693-Sens!J8649)</f>
        <v>0.0640849388144092</v>
      </c>
      <c r="K8791" s="7" t="n">
        <f aca="false">Sens!K8748/(Sens!K8693-Sens!K8649)</f>
        <v>0.0654918471862879</v>
      </c>
    </row>
    <row r="8792" customFormat="false" ht="17.15" hidden="false" customHeight="false" outlineLevel="0" collapsed="false">
      <c r="A8792" s="0" t="s">
        <v>1056</v>
      </c>
      <c r="B8792" s="0" t="s">
        <v>98</v>
      </c>
      <c r="F8792" s="6" t="n">
        <f aca="false">Sens!F8678*(al_m365+Sens!F8791+sbc_r)</f>
        <v>84.9466488213272</v>
      </c>
      <c r="G8792" s="6" t="n">
        <f aca="false">Sens!G8678*(al_m365+Sens!G8791+sbc_r)</f>
        <v>99.4318199934973</v>
      </c>
      <c r="H8792" s="6" t="n">
        <f aca="false">Sens!H8678*(al_m365+Sens!H8791+sbc_r)</f>
        <v>114.085995750867</v>
      </c>
      <c r="I8792" s="6" t="n">
        <f aca="false">Sens!I8678*(al_m365+Sens!I8791+sbc_r)</f>
        <v>127.226873676032</v>
      </c>
      <c r="J8792" s="6" t="n">
        <f aca="false">Sens!J8678*(al_m365+Sens!J8791+sbc_r)</f>
        <v>138.667996247961</v>
      </c>
      <c r="K8792" s="6" t="n">
        <f aca="false">Sens!K8678*(al_m365+Sens!K8791+sbc_r)</f>
        <v>149.731929144539</v>
      </c>
      <c r="L8792" s="11" t="s">
        <v>1057</v>
      </c>
    </row>
    <row r="8793" customFormat="false" ht="17.15" hidden="false" customHeight="false" outlineLevel="0" collapsed="false">
      <c r="A8793" s="0" t="s">
        <v>1058</v>
      </c>
      <c r="B8793" s="0" t="s">
        <v>98</v>
      </c>
      <c r="F8793" s="6" t="n">
        <f aca="false">Sens!F8679*(al_lic+Sens!F8791+sbc_r)</f>
        <v>33.4293541119946</v>
      </c>
      <c r="G8793" s="6" t="n">
        <f aca="false">Sens!G8679*(al_lic+Sens!G8791+sbc_r)</f>
        <v>34.718543713189</v>
      </c>
      <c r="H8793" s="6" t="n">
        <f aca="false">Sens!H8679*(al_lic+Sens!H8791+sbc_r)</f>
        <v>35.9268525577837</v>
      </c>
      <c r="I8793" s="6" t="n">
        <f aca="false">Sens!I8679*(al_lic+Sens!I8791+sbc_r)</f>
        <v>37.0371357081591</v>
      </c>
      <c r="J8793" s="6" t="n">
        <f aca="false">Sens!J8679*(al_lic+Sens!J8791+sbc_r)</f>
        <v>38.0212701238381</v>
      </c>
      <c r="K8793" s="6" t="n">
        <f aca="false">Sens!K8679*(al_lic+Sens!K8791+sbc_r)</f>
        <v>38.8457758235816</v>
      </c>
    </row>
    <row r="8794" customFormat="false" ht="17.15" hidden="false" customHeight="false" outlineLevel="0" collapsed="false">
      <c r="A8794" s="0" t="s">
        <v>1059</v>
      </c>
      <c r="B8794" s="0" t="s">
        <v>98</v>
      </c>
      <c r="F8794" s="6" t="n">
        <f aca="false">Sens!F8681*(al_ind+Sens!F8791+sbc_r)</f>
        <v>9.06767630643627</v>
      </c>
      <c r="G8794" s="6" t="n">
        <f aca="false">Sens!G8681*(al_ind+Sens!G8791+sbc_r)</f>
        <v>9.83627221721695</v>
      </c>
      <c r="H8794" s="6" t="n">
        <f aca="false">Sens!H8681*(al_ind+Sens!H8791+sbc_r)</f>
        <v>10.6526784950849</v>
      </c>
      <c r="I8794" s="6" t="n">
        <f aca="false">Sens!I8681*(al_ind+Sens!I8791+sbc_r)</f>
        <v>11.5151724208934</v>
      </c>
      <c r="J8794" s="6" t="n">
        <f aca="false">Sens!J8681*(al_ind+Sens!J8791+sbc_r)</f>
        <v>12.4130765932283</v>
      </c>
      <c r="K8794" s="6" t="n">
        <f aca="false">Sens!K8681*(al_ind+Sens!K8791+sbc_r)</f>
        <v>13.3285375518827</v>
      </c>
    </row>
    <row r="8795" customFormat="false" ht="17.15" hidden="false" customHeight="false" outlineLevel="0" collapsed="false">
      <c r="A8795" s="0" t="s">
        <v>1060</v>
      </c>
      <c r="B8795" s="0" t="s">
        <v>98</v>
      </c>
      <c r="F8795" s="6" t="n">
        <f aca="false">Sens!F8683*(al_fro+Sens!F8791+sbc_r)</f>
        <v>3.56906922901975</v>
      </c>
      <c r="G8795" s="6" t="n">
        <f aca="false">Sens!G8683*(al_fro+Sens!G8791+sbc_r)</f>
        <v>3.77654699453764</v>
      </c>
      <c r="H8795" s="6" t="n">
        <f aca="false">Sens!H8683*(al_fro+Sens!H8791+sbc_r)</f>
        <v>4.01429387207458</v>
      </c>
      <c r="I8795" s="6" t="n">
        <f aca="false">Sens!I8683*(al_fro+Sens!I8791+sbc_r)</f>
        <v>4.28547851323827</v>
      </c>
      <c r="J8795" s="6" t="n">
        <f aca="false">Sens!J8683*(al_fro+Sens!J8791+sbc_r)</f>
        <v>4.59083275782416</v>
      </c>
      <c r="K8795" s="6" t="n">
        <f aca="false">Sens!K8683*(al_fro+Sens!K8791+sbc_r)</f>
        <v>4.92940540143392</v>
      </c>
    </row>
    <row r="8796" customFormat="false" ht="17.15" hidden="false" customHeight="false" outlineLevel="0" collapsed="false">
      <c r="A8796" s="0" t="s">
        <v>1061</v>
      </c>
      <c r="B8796" s="0" t="s">
        <v>98</v>
      </c>
      <c r="F8796" s="6" t="n">
        <f aca="false">Sens!F8686*(al_srch+Sens!F8791+sbc_r)</f>
        <v>11.148348158444</v>
      </c>
      <c r="G8796" s="6" t="n">
        <f aca="false">Sens!G8686*(al_srch+Sens!G8791+sbc_r)</f>
        <v>12.0967806761355</v>
      </c>
      <c r="H8796" s="6" t="n">
        <f aca="false">Sens!H8686*(al_srch+Sens!H8791+sbc_r)</f>
        <v>13.0132825695356</v>
      </c>
      <c r="I8796" s="6" t="n">
        <f aca="false">Sens!I8686*(al_srch+Sens!I8791+sbc_r)</f>
        <v>13.8738535437692</v>
      </c>
      <c r="J8796" s="6" t="n">
        <f aca="false">Sens!J8686*(al_srch+Sens!J8791+sbc_r)</f>
        <v>14.6439705644541</v>
      </c>
      <c r="K8796" s="6" t="n">
        <f aca="false">Sens!K8686*(al_srch+Sens!K8791+sbc_r)</f>
        <v>15.2831006622776</v>
      </c>
    </row>
    <row r="8797" customFormat="false" ht="17.15" hidden="false" customHeight="false" outlineLevel="0" collapsed="false">
      <c r="A8797" s="0" t="s">
        <v>1062</v>
      </c>
      <c r="B8797" s="0" t="s">
        <v>98</v>
      </c>
      <c r="F8797" s="6" t="n">
        <f aca="false">Sens!F8655-Sens!F8656+Sens!F8736</f>
        <v>55.6743052939671</v>
      </c>
      <c r="G8797" s="6" t="n">
        <f aca="false">Sens!G8655-Sens!G8656+Sens!G8736</f>
        <v>100.2533125707</v>
      </c>
      <c r="H8797" s="6" t="n">
        <f aca="false">Sens!H8655-Sens!H8656+Sens!H8736</f>
        <v>152.31255014234</v>
      </c>
      <c r="I8797" s="6" t="n">
        <f aca="false">Sens!I8655-Sens!I8656+Sens!I8736</f>
        <v>194.041990076394</v>
      </c>
      <c r="J8797" s="6" t="n">
        <f aca="false">Sens!J8655-Sens!J8656+Sens!J8736</f>
        <v>223.463148273617</v>
      </c>
      <c r="K8797" s="6" t="n">
        <f aca="false">Sens!K8655-Sens!K8656+Sens!K8736</f>
        <v>241.312249272487</v>
      </c>
    </row>
    <row r="8798" customFormat="false" ht="17.15" hidden="false" customHeight="false" outlineLevel="0" collapsed="false">
      <c r="A8798" s="0" t="s">
        <v>1063</v>
      </c>
      <c r="B8798" s="0" t="s">
        <v>98</v>
      </c>
      <c r="F8798" s="6" t="n">
        <f aca="false">Sens!F8715+Sens!F8736+Sens!F8666+Sens!F8791*(Sens!F8685-Sens!F8649)+sbc_r*Sens!F8685</f>
        <v>247.775376885078</v>
      </c>
      <c r="G8798" s="6" t="n">
        <f aca="false">Sens!G8715+Sens!G8736+Sens!G8666+Sens!G8791*(Sens!G8685-Sens!G8649)+sbc_r*Sens!G8685</f>
        <v>321.64460232991</v>
      </c>
      <c r="H8798" s="6" t="n">
        <f aca="false">Sens!H8715+Sens!H8736+Sens!H8666+Sens!H8791*(Sens!H8685-Sens!H8649)+sbc_r*Sens!H8685</f>
        <v>403.707637324673</v>
      </c>
      <c r="I8798" s="6" t="n">
        <f aca="false">Sens!I8715+Sens!I8736+Sens!I8666+Sens!I8791*(Sens!I8685-Sens!I8649)+sbc_r*Sens!I8685</f>
        <v>473.379832531014</v>
      </c>
      <c r="J8798" s="6" t="n">
        <f aca="false">Sens!J8715+Sens!J8736+Sens!J8666+Sens!J8791*(Sens!J8685-Sens!J8649)+sbc_r*Sens!J8685</f>
        <v>527.791119290653</v>
      </c>
      <c r="K8798" s="6" t="n">
        <f aca="false">Sens!K8715+Sens!K8736+Sens!K8666+Sens!K8791*(Sens!K8685-Sens!K8649)+sbc_r*Sens!K8685</f>
        <v>568.220532089802</v>
      </c>
    </row>
    <row r="8799" customFormat="false" ht="17.15" hidden="false" customHeight="false" outlineLevel="0" collapsed="false">
      <c r="A8799" s="0" t="s">
        <v>1064</v>
      </c>
      <c r="B8799" s="0" t="s">
        <v>98</v>
      </c>
      <c r="F8799" s="6" t="n">
        <f aca="false">Sens!F8798-Sens!F8792-Sens!F8793-Sens!F8794-Sens!F8795-Sens!F8797</f>
        <v>61.0883231223328</v>
      </c>
      <c r="G8799" s="6" t="n">
        <f aca="false">Sens!G8798-Sens!G8792-Sens!G8793-Sens!G8794-Sens!G8795-Sens!G8797</f>
        <v>73.6281068407685</v>
      </c>
      <c r="H8799" s="6" t="n">
        <f aca="false">Sens!H8798-Sens!H8792-Sens!H8793-Sens!H8794-Sens!H8795-Sens!H8797</f>
        <v>86.715266506523</v>
      </c>
      <c r="I8799" s="6" t="n">
        <f aca="false">Sens!I8798-Sens!I8792-Sens!I8793-Sens!I8794-Sens!I8795-Sens!I8797</f>
        <v>99.2731821362966</v>
      </c>
      <c r="J8799" s="6" t="n">
        <f aca="false">Sens!J8798-Sens!J8792-Sens!J8793-Sens!J8794-Sens!J8795-Sens!J8797</f>
        <v>110.634795294184</v>
      </c>
      <c r="K8799" s="6" t="n">
        <f aca="false">Sens!K8798-Sens!K8792-Sens!K8793-Sens!K8794-Sens!K8795-Sens!K8797</f>
        <v>120.072634895877</v>
      </c>
    </row>
    <row r="8800" customFormat="false" ht="17.15" hidden="false" customHeight="false" outlineLevel="0" collapsed="false">
      <c r="A8800" s="0" t="s">
        <v>1065</v>
      </c>
      <c r="B8800" s="0" t="s">
        <v>98</v>
      </c>
      <c r="F8800" s="6" t="n">
        <f aca="false">Sens!F8717+Sens!F8791*Sens!F8692+sbc_r*Sens!F8692</f>
        <v>26.1233089698313</v>
      </c>
      <c r="G8800" s="6" t="n">
        <f aca="false">Sens!G8717+Sens!G8791*Sens!G8692+sbc_r*Sens!G8692</f>
        <v>26.5977949724435</v>
      </c>
      <c r="H8800" s="6" t="n">
        <f aca="false">Sens!H8717+Sens!H8791*Sens!H8692+sbc_r*Sens!H8692</f>
        <v>27.2693897109847</v>
      </c>
      <c r="I8800" s="6" t="n">
        <f aca="false">Sens!I8717+Sens!I8791*Sens!I8692+sbc_r*Sens!I8692</f>
        <v>28.095157639143</v>
      </c>
      <c r="J8800" s="6" t="n">
        <f aca="false">Sens!J8717+Sens!J8791*Sens!J8692+sbc_r*Sens!J8692</f>
        <v>29.0230213477346</v>
      </c>
      <c r="K8800" s="6" t="n">
        <f aca="false">Sens!K8717+Sens!K8791*Sens!K8692+sbc_r*Sens!K8692</f>
        <v>29.9993532627312</v>
      </c>
    </row>
    <row r="8801" customFormat="false" ht="17.15" hidden="false" customHeight="false" outlineLevel="0" collapsed="false">
      <c r="A8801" s="0" t="s">
        <v>1066</v>
      </c>
      <c r="B8801" s="0" t="s">
        <v>98</v>
      </c>
      <c r="F8801" s="6" t="n">
        <f aca="false">(Sens!F8800-Sens!F8796)*Sens!F8688/(Sens!F8688+Sens!F8690)</f>
        <v>8.20912766279767</v>
      </c>
      <c r="G8801" s="6" t="n">
        <f aca="false">(Sens!G8800-Sens!G8796)*Sens!G8688/(Sens!G8688+Sens!G8690)</f>
        <v>7.80757901613113</v>
      </c>
      <c r="H8801" s="6" t="n">
        <f aca="false">(Sens!H8800-Sens!H8796)*Sens!H8688/(Sens!H8688+Sens!H8690)</f>
        <v>7.57203096015165</v>
      </c>
      <c r="I8801" s="6" t="n">
        <f aca="false">(Sens!I8800-Sens!I8796)*Sens!I8688/(Sens!I8688+Sens!I8690)</f>
        <v>7.48520099073482</v>
      </c>
      <c r="J8801" s="6" t="n">
        <f aca="false">(Sens!J8800-Sens!J8796)*Sens!J8688/(Sens!J8688+Sens!J8690)</f>
        <v>7.53400568445505</v>
      </c>
      <c r="K8801" s="6" t="n">
        <f aca="false">(Sens!K8800-Sens!K8796)*Sens!K8688/(Sens!K8688+Sens!K8690)</f>
        <v>7.7106849691784</v>
      </c>
    </row>
    <row r="8802" customFormat="false" ht="17.15" hidden="false" customHeight="false" outlineLevel="0" collapsed="false">
      <c r="A8802" s="0" t="s">
        <v>1067</v>
      </c>
      <c r="B8802" s="0" t="s">
        <v>98</v>
      </c>
      <c r="F8802" s="6" t="n">
        <f aca="false">Sens!F8800-Sens!F8796-Sens!F8801</f>
        <v>6.76583314858968</v>
      </c>
      <c r="G8802" s="6" t="n">
        <f aca="false">Sens!G8800-Sens!G8796-Sens!G8801</f>
        <v>6.69343528017688</v>
      </c>
      <c r="H8802" s="6" t="n">
        <f aca="false">Sens!H8800-Sens!H8796-Sens!H8801</f>
        <v>6.68407618129746</v>
      </c>
      <c r="I8802" s="6" t="n">
        <f aca="false">Sens!I8800-Sens!I8796-Sens!I8801</f>
        <v>6.73610310463907</v>
      </c>
      <c r="J8802" s="6" t="n">
        <f aca="false">Sens!J8800-Sens!J8796-Sens!J8801</f>
        <v>6.84504509882543</v>
      </c>
      <c r="K8802" s="6" t="n">
        <f aca="false">Sens!K8800-Sens!K8796-Sens!K8801</f>
        <v>7.00556763127517</v>
      </c>
    </row>
    <row r="8803" customFormat="false" ht="17.15" hidden="false" customHeight="false" outlineLevel="0" collapsed="false">
      <c r="A8803" s="0" t="s">
        <v>1068</v>
      </c>
      <c r="B8803" s="0" t="s">
        <v>98</v>
      </c>
      <c r="F8803" s="6" t="n">
        <f aca="false">Sens!F8797-tax_f*(Sens!F8797-Sens!F8666)-Sens!F8663</f>
        <v>-116.995369877423</v>
      </c>
      <c r="G8803" s="6" t="n">
        <f aca="false">Sens!G8797-tax_f*(Sens!G8797-Sens!G8666)-Sens!G8663</f>
        <v>-91.2748526412386</v>
      </c>
      <c r="H8803" s="6" t="n">
        <f aca="false">Sens!H8797-tax_f*(Sens!H8797-Sens!H8666)-Sens!H8663</f>
        <v>-48.6864514645669</v>
      </c>
      <c r="I8803" s="6" t="n">
        <f aca="false">Sens!I8797-tax_f*(Sens!I8797-Sens!I8666)-Sens!I8663</f>
        <v>13.9196620366477</v>
      </c>
      <c r="J8803" s="6" t="n">
        <f aca="false">Sens!J8797-tax_f*(Sens!J8797-Sens!J8666)-Sens!J8663</f>
        <v>80.0901152186698</v>
      </c>
      <c r="K8803" s="6" t="n">
        <f aca="false">Sens!K8797-tax_f*(Sens!K8797-Sens!K8666)-Sens!K8663</f>
        <v>106.015224270282</v>
      </c>
    </row>
    <row r="8804" customFormat="false" ht="17.15" hidden="false" customHeight="false" outlineLevel="0" collapsed="false">
      <c r="A8804" s="0" t="s">
        <v>1069</v>
      </c>
      <c r="B8804" s="0" t="s">
        <v>98</v>
      </c>
      <c r="F8804" s="6" t="n">
        <f aca="false">Sens!F8803*Sens!F8777</f>
        <v>-111.402215940128</v>
      </c>
      <c r="G8804" s="6" t="n">
        <f aca="false">Sens!G8803*Sens!G8777</f>
        <v>-78.8000703203531</v>
      </c>
      <c r="H8804" s="6" t="n">
        <f aca="false">Sens!H8803*Sens!H8777</f>
        <v>-38.109556634132</v>
      </c>
      <c r="I8804" s="6" t="n">
        <f aca="false">Sens!I8803*Sens!I8777</f>
        <v>9.87881323547988</v>
      </c>
      <c r="J8804" s="6" t="n">
        <f aca="false">Sens!J8803*Sens!J8777</f>
        <v>51.5353597642725</v>
      </c>
      <c r="K8804" s="6" t="n">
        <f aca="false">Sens!K8803*Sens!K8777</f>
        <v>61.850745672882</v>
      </c>
    </row>
    <row r="8805" customFormat="false" ht="17.15" hidden="false" customHeight="false" outlineLevel="0" collapsed="false">
      <c r="A8805" s="0" t="s">
        <v>1070</v>
      </c>
      <c r="B8805" s="0" t="s">
        <v>98</v>
      </c>
      <c r="C8805" s="6" t="n">
        <f aca="false">(Sens!K8797-Sens!K8666)*(1-tax_f)*(1+g_tv)*(1-g_tv/(wacc+ronic_prem))/(wacc-g_tv)/(1+wacc)^(Sens!K8776+mid_yr)</f>
        <v>452.207672191755</v>
      </c>
    </row>
    <row r="8806" customFormat="false" ht="17.15" hidden="false" customHeight="false" outlineLevel="0" collapsed="false">
      <c r="A8806" s="1" t="s">
        <v>1071</v>
      </c>
      <c r="B8806" s="0" t="s">
        <v>98</v>
      </c>
      <c r="C8806" s="6" t="n">
        <f aca="false">(SUM(Sens!F8804:K8804)+Sens!$C$8805)*(1+wacc)^t_roll</f>
        <v>395.323535245915</v>
      </c>
      <c r="L8806" s="11" t="s">
        <v>1072</v>
      </c>
    </row>
    <row r="8807" customFormat="false" ht="17.15" hidden="false" customHeight="false" outlineLevel="0" collapsed="false">
      <c r="A8807" s="1" t="s">
        <v>1073</v>
      </c>
      <c r="B8807" s="0" t="s">
        <v>98</v>
      </c>
      <c r="C8807" s="6" t="n">
        <f aca="false">(w_ntm28*Sens!G8655+(1-w_ntm28)*Sens!H8655)*m_ai</f>
        <v>551.711134531404</v>
      </c>
    </row>
    <row r="8808" customFormat="false" ht="17.15" hidden="false" customHeight="false" outlineLevel="0" collapsed="false">
      <c r="A8808" s="1" t="s">
        <v>1074</v>
      </c>
      <c r="B8808" s="0" t="s">
        <v>98</v>
      </c>
      <c r="C8808" s="6" t="n">
        <f aca="false">(w_ntm28*Sens!G8799+(1-w_ntm28)*Sens!H8799)*m_cloud</f>
        <v>1076.01171461209</v>
      </c>
    </row>
    <row r="8809" customFormat="false" ht="17.15" hidden="false" customHeight="false" outlineLevel="0" collapsed="false">
      <c r="A8809" s="1" t="s">
        <v>1075</v>
      </c>
      <c r="B8809" s="0" t="s">
        <v>98</v>
      </c>
      <c r="C8809" s="6" t="n">
        <f aca="false">(w_ntm28*Sens!G8792+(1-w_ntm28)*Sens!H8792)*m_sw</f>
        <v>1125.02881095769</v>
      </c>
    </row>
    <row r="8810" customFormat="false" ht="17.15" hidden="false" customHeight="false" outlineLevel="0" collapsed="false">
      <c r="A8810" s="1" t="s">
        <v>1076</v>
      </c>
      <c r="B8810" s="0" t="s">
        <v>98</v>
      </c>
      <c r="C8810" s="6" t="n">
        <f aca="false">(w_ntm28*Sens!G8793+(1-w_ntm28)*Sens!H8793)*m_sw</f>
        <v>379.179090709432</v>
      </c>
    </row>
    <row r="8811" customFormat="false" ht="17.15" hidden="false" customHeight="false" outlineLevel="0" collapsed="false">
      <c r="A8811" s="1" t="s">
        <v>1077</v>
      </c>
      <c r="B8811" s="0" t="s">
        <v>98</v>
      </c>
      <c r="C8811" s="6" t="n">
        <f aca="false">(w_ntm28*Sens!G8794+(1-w_ntm28)*Sens!H8794)*m_sw</f>
        <v>109.082228056943</v>
      </c>
    </row>
    <row r="8812" customFormat="false" ht="17.15" hidden="false" customHeight="false" outlineLevel="0" collapsed="false">
      <c r="A8812" s="1" t="s">
        <v>1078</v>
      </c>
      <c r="B8812" s="0" t="s">
        <v>98</v>
      </c>
      <c r="C8812" s="6" t="n">
        <f aca="false">(w_ntm28*Sens!G8795+(1-w_ntm28)*Sens!H8795)*m_sw</f>
        <v>41.6168023923301</v>
      </c>
    </row>
    <row r="8813" customFormat="false" ht="17.15" hidden="false" customHeight="false" outlineLevel="0" collapsed="false">
      <c r="A8813" s="1" t="s">
        <v>1079</v>
      </c>
      <c r="B8813" s="0" t="s">
        <v>98</v>
      </c>
      <c r="C8813" s="6" t="n">
        <f aca="false">(w_ntm28*Sens!G8796+(1-w_ntm28)*Sens!H8796)*m_ads</f>
        <v>112.900908138682</v>
      </c>
    </row>
    <row r="8814" customFormat="false" ht="17.15" hidden="false" customHeight="false" outlineLevel="0" collapsed="false">
      <c r="A8814" s="1" t="s">
        <v>1080</v>
      </c>
      <c r="B8814" s="0" t="s">
        <v>98</v>
      </c>
      <c r="C8814" s="6" t="n">
        <f aca="false">(w_ntm28*Sens!G8801+(1-w_ntm28)*Sens!H8801)*m_game</f>
        <v>97.6479512210006</v>
      </c>
    </row>
    <row r="8815" customFormat="false" ht="17.15" hidden="false" customHeight="false" outlineLevel="0" collapsed="false">
      <c r="A8815" s="1" t="s">
        <v>1081</v>
      </c>
      <c r="B8815" s="0" t="s">
        <v>98</v>
      </c>
      <c r="C8815" s="6" t="n">
        <f aca="false">(w_ntm28*Sens!G8802+(1-w_ntm28)*Sens!H8802)*m_pc</f>
        <v>96.8102268960152</v>
      </c>
    </row>
    <row r="8816" customFormat="false" ht="17.15" hidden="false" customHeight="false" outlineLevel="0" collapsed="false">
      <c r="A8816" s="1" t="s">
        <v>1082</v>
      </c>
      <c r="B8816" s="0" t="s">
        <v>98</v>
      </c>
      <c r="C8816" s="6" t="n">
        <f aca="false">Sens!$C$8806+Sens!$C$8808+Sens!$C$8809+Sens!$C$8810+Sens!$C$8811+Sens!$C$8812+Sens!$C$8813+Sens!$C$8814+Sens!$C$8815</f>
        <v>3433.60126823011</v>
      </c>
    </row>
    <row r="8817" customFormat="false" ht="17.15" hidden="false" customHeight="false" outlineLevel="0" collapsed="false">
      <c r="A8817" s="1" t="s">
        <v>1000</v>
      </c>
      <c r="B8817" s="0" t="s">
        <v>98</v>
      </c>
      <c r="C8817" s="6" t="n">
        <f aca="false">Sens!F8767+oai_v-Sens!F8756</f>
        <v>115.044688007245</v>
      </c>
      <c r="L8817" s="1" t="s">
        <v>1083</v>
      </c>
    </row>
    <row r="8818" customFormat="false" ht="15" hidden="false" customHeight="false" outlineLevel="0" collapsed="false">
      <c r="A8818" s="1" t="s">
        <v>1001</v>
      </c>
      <c r="B8818" s="0" t="s">
        <v>75</v>
      </c>
      <c r="C8818" s="5" t="n">
        <f aca="false">(Sens!$C$8816+Sens!$C$8817)/Sens!F8769</f>
        <v>474.925850674164</v>
      </c>
    </row>
    <row r="8819" customFormat="false" ht="17.15" hidden="false" customHeight="false" outlineLevel="0" collapsed="false">
      <c r="A8819" s="1" t="s">
        <v>1084</v>
      </c>
      <c r="B8819" s="0" t="s">
        <v>75</v>
      </c>
      <c r="C8819" s="5" t="n">
        <f aca="false">w_dcf*Sens!$C$8790+(1-w_dcf)*Sens!$C$8818</f>
        <v>428.045090637</v>
      </c>
    </row>
    <row r="8820" customFormat="false" ht="17.15" hidden="false" customHeight="false" outlineLevel="0" collapsed="false">
      <c r="A8820" s="3" t="s">
        <v>1464</v>
      </c>
    </row>
    <row r="8821" customFormat="false" ht="15" hidden="false" customHeight="false" outlineLevel="0" collapsed="false">
      <c r="A8821" s="4" t="s">
        <v>43</v>
      </c>
      <c r="B8821" s="4" t="s">
        <v>65</v>
      </c>
      <c r="C8821" s="20" t="s">
        <v>788</v>
      </c>
      <c r="D8821" s="20" t="s">
        <v>789</v>
      </c>
      <c r="E8821" s="20" t="s">
        <v>790</v>
      </c>
      <c r="F8821" s="20" t="s">
        <v>791</v>
      </c>
      <c r="G8821" s="20" t="s">
        <v>792</v>
      </c>
      <c r="H8821" s="20" t="s">
        <v>793</v>
      </c>
      <c r="I8821" s="20" t="s">
        <v>794</v>
      </c>
      <c r="J8821" s="20" t="s">
        <v>795</v>
      </c>
      <c r="K8821" s="20" t="s">
        <v>796</v>
      </c>
      <c r="L8821" s="4" t="s">
        <v>47</v>
      </c>
    </row>
    <row r="8822" customFormat="false" ht="17.15" hidden="false" customHeight="false" outlineLevel="0" collapsed="false">
      <c r="A8822" s="1" t="s">
        <v>797</v>
      </c>
      <c r="B8822" s="1" t="s">
        <v>235</v>
      </c>
      <c r="C8822" s="28" t="n">
        <v>2024</v>
      </c>
      <c r="D8822" s="28" t="n">
        <v>2025</v>
      </c>
      <c r="E8822" s="28" t="n">
        <v>2026</v>
      </c>
      <c r="F8822" s="28" t="n">
        <v>2027</v>
      </c>
      <c r="G8822" s="28" t="n">
        <v>2028</v>
      </c>
      <c r="H8822" s="28" t="n">
        <v>2029</v>
      </c>
      <c r="I8822" s="28" t="n">
        <v>2030</v>
      </c>
      <c r="J8822" s="28" t="n">
        <v>2031</v>
      </c>
      <c r="K8822" s="28" t="n">
        <v>2032</v>
      </c>
    </row>
    <row r="8823" customFormat="false" ht="17.15" hidden="false" customHeight="false" outlineLevel="0" collapsed="false">
      <c r="A8823" s="1" t="s">
        <v>798</v>
      </c>
      <c r="B8823" s="0" t="s">
        <v>392</v>
      </c>
      <c r="F8823" s="29" t="n">
        <f aca="false">pace</f>
        <v>2527.2</v>
      </c>
      <c r="G8823" s="29" t="n">
        <f aca="false">pace</f>
        <v>2527.2</v>
      </c>
      <c r="H8823" s="29" t="n">
        <f aca="false">pace</f>
        <v>2527.2</v>
      </c>
      <c r="I8823" s="29" t="n">
        <f aca="false">pace+(g_tv*Sens!H8824-pace)*MIN(1,(Sens!I8822-pace_y0)/(pace_y1-pace_y0))</f>
        <v>1793.116</v>
      </c>
      <c r="J8823" s="29" t="n">
        <f aca="false">pace+(g_tv*Sens!H8824-pace)*MIN(1,(Sens!J8822-pace_y0)/(pace_y1-pace_y0))</f>
        <v>1059.032</v>
      </c>
      <c r="K8823" s="29" t="n">
        <f aca="false">pace+(g_tv*Sens!H8824-pace)*MIN(1,(Sens!K8822-pace_y0)/(pace_y1-pace_y0))</f>
        <v>324.948</v>
      </c>
      <c r="L8823" s="11" t="s">
        <v>799</v>
      </c>
    </row>
    <row r="8824" customFormat="false" ht="17.15" hidden="false" customHeight="false" outlineLevel="0" collapsed="false">
      <c r="A8824" s="1" t="s">
        <v>800</v>
      </c>
      <c r="B8824" s="0" t="s">
        <v>392</v>
      </c>
      <c r="C8824" s="29" t="n">
        <f aca="false">mw_ext_24</f>
        <v>640</v>
      </c>
      <c r="D8824" s="29" t="n">
        <f aca="false">mw_ext_25</f>
        <v>1630</v>
      </c>
      <c r="E8824" s="29" t="n">
        <f aca="false">mw_ext_26</f>
        <v>3250</v>
      </c>
      <c r="F8824" s="29" t="n">
        <f aca="false">Sens!E8824+Sens!F8823</f>
        <v>5777.2</v>
      </c>
      <c r="G8824" s="29" t="n">
        <f aca="false">Sens!F8824+Sens!G8823</f>
        <v>8304.4</v>
      </c>
      <c r="H8824" s="29" t="n">
        <f aca="false">Sens!G8824+Sens!H8823</f>
        <v>10831.6</v>
      </c>
      <c r="I8824" s="29" t="n">
        <f aca="false">Sens!H8824+Sens!I8823</f>
        <v>12624.716</v>
      </c>
      <c r="J8824" s="29" t="n">
        <f aca="false">Sens!I8824+Sens!J8823</f>
        <v>13683.748</v>
      </c>
      <c r="K8824" s="29" t="n">
        <f aca="false">Sens!J8824+Sens!K8823</f>
        <v>14008.696</v>
      </c>
      <c r="L8824" s="1" t="s">
        <v>801</v>
      </c>
    </row>
    <row r="8825" customFormat="false" ht="17.15" hidden="false" customHeight="false" outlineLevel="0" collapsed="false">
      <c r="A8825" s="1" t="s">
        <v>802</v>
      </c>
      <c r="B8825" s="0" t="s">
        <v>392</v>
      </c>
      <c r="C8825" s="29" t="n">
        <f aca="false">rent_ext_24</f>
        <v>150</v>
      </c>
      <c r="D8825" s="29" t="n">
        <f aca="false">rent_ext_25</f>
        <v>400</v>
      </c>
      <c r="E8825" s="29" t="n">
        <f aca="false">rent_ext_26</f>
        <v>550</v>
      </c>
      <c r="F8825" s="29" t="n">
        <f aca="false">rent_ext_f</f>
        <v>756</v>
      </c>
      <c r="G8825" s="29" t="n">
        <f aca="false">rent_ext_f</f>
        <v>756</v>
      </c>
      <c r="H8825" s="29" t="n">
        <f aca="false">rent_ext_f</f>
        <v>756</v>
      </c>
      <c r="I8825" s="29" t="n">
        <f aca="false">rent_ext_f</f>
        <v>756</v>
      </c>
      <c r="J8825" s="29" t="n">
        <f aca="false">rent_ext_f</f>
        <v>756</v>
      </c>
      <c r="K8825" s="29" t="n">
        <f aca="false">rent_ext_f</f>
        <v>756</v>
      </c>
      <c r="L8825" s="1" t="s">
        <v>803</v>
      </c>
    </row>
    <row r="8826" customFormat="false" ht="17.15" hidden="false" customHeight="false" outlineLevel="0" collapsed="false">
      <c r="A8826" s="1" t="s">
        <v>804</v>
      </c>
      <c r="B8826" s="0" t="s">
        <v>392</v>
      </c>
      <c r="C8826" s="29" t="n">
        <f aca="false">Sens!C8824-Sens!C8825</f>
        <v>490</v>
      </c>
      <c r="D8826" s="29" t="n">
        <f aca="false">Sens!D8824-Sens!D8825</f>
        <v>1230</v>
      </c>
      <c r="E8826" s="29" t="n">
        <f aca="false">Sens!E8824-Sens!E8825</f>
        <v>2700</v>
      </c>
      <c r="F8826" s="29" t="n">
        <f aca="false">Sens!F8824-Sens!F8825</f>
        <v>5021.2</v>
      </c>
      <c r="G8826" s="29" t="n">
        <f aca="false">Sens!G8824-Sens!G8825</f>
        <v>7548.4</v>
      </c>
      <c r="H8826" s="29" t="n">
        <f aca="false">Sens!H8824-Sens!H8825</f>
        <v>10075.6</v>
      </c>
      <c r="I8826" s="29" t="n">
        <f aca="false">Sens!I8824-Sens!I8825</f>
        <v>11868.716</v>
      </c>
      <c r="J8826" s="29" t="n">
        <f aca="false">Sens!J8824-Sens!J8825</f>
        <v>12927.748</v>
      </c>
      <c r="K8826" s="29" t="n">
        <f aca="false">Sens!K8824-Sens!K8825</f>
        <v>13252.696</v>
      </c>
    </row>
    <row r="8827" customFormat="false" ht="17.15" hidden="false" customHeight="false" outlineLevel="0" collapsed="false">
      <c r="A8827" s="1" t="s">
        <v>805</v>
      </c>
      <c r="B8827" s="0" t="s">
        <v>392</v>
      </c>
      <c r="C8827" s="29" t="n">
        <f aca="false">Sens!C8826/ext_sh</f>
        <v>816.666666666667</v>
      </c>
      <c r="D8827" s="29" t="n">
        <f aca="false">Sens!D8826/ext_sh</f>
        <v>2050</v>
      </c>
      <c r="E8827" s="29" t="n">
        <f aca="false">Sens!E8826/ext_sh</f>
        <v>4500</v>
      </c>
      <c r="F8827" s="29" t="n">
        <f aca="false">Sens!F8826/ext_sh</f>
        <v>8368.66666666667</v>
      </c>
      <c r="G8827" s="29" t="n">
        <f aca="false">Sens!G8826/ext_sh</f>
        <v>12580.6666666667</v>
      </c>
      <c r="H8827" s="29" t="n">
        <f aca="false">Sens!H8826/ext_sh</f>
        <v>16792.6666666667</v>
      </c>
      <c r="I8827" s="29" t="n">
        <f aca="false">Sens!I8826/ext_sh</f>
        <v>19781.1933333333</v>
      </c>
      <c r="J8827" s="29" t="n">
        <f aca="false">Sens!J8826/ext_sh</f>
        <v>21546.2466666667</v>
      </c>
      <c r="K8827" s="29" t="n">
        <f aca="false">Sens!K8826/ext_sh</f>
        <v>22087.8266666667</v>
      </c>
      <c r="L8827" s="1" t="s">
        <v>806</v>
      </c>
    </row>
    <row r="8828" customFormat="false" ht="17.15" hidden="false" customHeight="false" outlineLevel="0" collapsed="false">
      <c r="A8828" s="1" t="s">
        <v>807</v>
      </c>
      <c r="B8828" s="0" t="s">
        <v>392</v>
      </c>
      <c r="C8828" s="29" t="n">
        <f aca="false">Sens!C8827-Sens!C8826</f>
        <v>326.666666666667</v>
      </c>
      <c r="D8828" s="29" t="n">
        <f aca="false">Sens!D8827-Sens!D8826</f>
        <v>820</v>
      </c>
      <c r="E8828" s="29" t="n">
        <f aca="false">Sens!E8827-Sens!E8826</f>
        <v>1800</v>
      </c>
      <c r="F8828" s="29" t="n">
        <f aca="false">Sens!F8827-Sens!F8826</f>
        <v>3347.46666666667</v>
      </c>
      <c r="G8828" s="29" t="n">
        <f aca="false">Sens!G8827-Sens!G8826</f>
        <v>5032.26666666667</v>
      </c>
      <c r="H8828" s="29" t="n">
        <f aca="false">Sens!H8827-Sens!H8826</f>
        <v>6717.06666666667</v>
      </c>
      <c r="I8828" s="29" t="n">
        <f aca="false">Sens!I8827-Sens!I8826</f>
        <v>7912.47733333333</v>
      </c>
      <c r="J8828" s="29" t="n">
        <f aca="false">Sens!J8827-Sens!J8826</f>
        <v>8618.49866666667</v>
      </c>
      <c r="K8828" s="29" t="n">
        <f aca="false">Sens!K8827-Sens!K8826</f>
        <v>8835.13066666667</v>
      </c>
    </row>
    <row r="8829" customFormat="false" ht="17.15" hidden="false" customHeight="false" outlineLevel="0" collapsed="false">
      <c r="A8829" s="1" t="s">
        <v>808</v>
      </c>
      <c r="B8829" s="0" t="s">
        <v>392</v>
      </c>
      <c r="C8829" s="29" t="n">
        <f aca="false">Sens!C8827</f>
        <v>816.666666666667</v>
      </c>
      <c r="D8829" s="29" t="n">
        <f aca="false">Sens!D8827-Sens!C8827</f>
        <v>1233.33333333333</v>
      </c>
      <c r="E8829" s="29" t="n">
        <f aca="false">Sens!E8827-Sens!D8827</f>
        <v>2450</v>
      </c>
      <c r="F8829" s="29" t="n">
        <f aca="false">Sens!F8827-Sens!E8827</f>
        <v>3868.66666666667</v>
      </c>
      <c r="G8829" s="29" t="n">
        <f aca="false">Sens!G8827-Sens!F8827</f>
        <v>4212</v>
      </c>
      <c r="H8829" s="29" t="n">
        <f aca="false">Sens!H8827-Sens!G8827</f>
        <v>4212</v>
      </c>
      <c r="I8829" s="29" t="n">
        <f aca="false">Sens!I8827-Sens!H8827</f>
        <v>2988.52666666667</v>
      </c>
      <c r="J8829" s="29" t="n">
        <f aca="false">Sens!J8827-Sens!I8827</f>
        <v>1765.05333333333</v>
      </c>
      <c r="K8829" s="29" t="n">
        <f aca="false">Sens!K8827-Sens!J8827</f>
        <v>541.580000000002</v>
      </c>
    </row>
    <row r="8830" customFormat="false" ht="17.15" hidden="false" customHeight="false" outlineLevel="0" collapsed="false">
      <c r="A8830" s="1" t="s">
        <v>809</v>
      </c>
      <c r="B8830" s="0" t="s">
        <v>392</v>
      </c>
      <c r="D8830" s="29" t="n">
        <f aca="false">Sens!D8824-Sens!C8824</f>
        <v>990</v>
      </c>
      <c r="E8830" s="29" t="n">
        <f aca="false">Sens!E8824-Sens!D8824</f>
        <v>1620</v>
      </c>
      <c r="F8830" s="29" t="n">
        <f aca="false">Sens!F8824-Sens!E8824</f>
        <v>2527.2</v>
      </c>
      <c r="G8830" s="29" t="n">
        <f aca="false">Sens!G8824-Sens!F8824</f>
        <v>2527.2</v>
      </c>
      <c r="H8830" s="29" t="n">
        <f aca="false">Sens!H8824-Sens!G8824</f>
        <v>2527.2</v>
      </c>
      <c r="I8830" s="29" t="n">
        <f aca="false">Sens!I8824-Sens!H8824</f>
        <v>1793.116</v>
      </c>
      <c r="J8830" s="29" t="n">
        <f aca="false">Sens!J8824-Sens!I8824</f>
        <v>1059.032</v>
      </c>
      <c r="K8830" s="29" t="n">
        <f aca="false">Sens!K8824-Sens!J8824</f>
        <v>324.948</v>
      </c>
    </row>
    <row r="8831" customFormat="false" ht="17.15" hidden="false" customHeight="false" outlineLevel="0" collapsed="false">
      <c r="A8831" s="1" t="s">
        <v>810</v>
      </c>
      <c r="B8831" s="0" t="s">
        <v>392</v>
      </c>
      <c r="F8831" s="29" t="n">
        <f aca="false">Sens!F8848*ext_sh</f>
        <v>0</v>
      </c>
      <c r="G8831" s="29" t="n">
        <f aca="false">Sens!G8848*ext_sh</f>
        <v>0</v>
      </c>
      <c r="H8831" s="29" t="n">
        <f aca="false">Sens!H8848*ext_sh</f>
        <v>0</v>
      </c>
      <c r="I8831" s="29" t="n">
        <f aca="false">Sens!I8848*ext_sh</f>
        <v>490</v>
      </c>
      <c r="J8831" s="29" t="n">
        <f aca="false">Sens!J8848*ext_sh</f>
        <v>740</v>
      </c>
      <c r="K8831" s="29" t="n">
        <f aca="false">Sens!K8848*ext_sh</f>
        <v>1470</v>
      </c>
      <c r="L8831" s="1" t="s">
        <v>811</v>
      </c>
    </row>
    <row r="8832" customFormat="false" ht="17.15" hidden="false" customHeight="false" outlineLevel="0" collapsed="false">
      <c r="A8832" s="1" t="s">
        <v>812</v>
      </c>
      <c r="B8832" s="0" t="s">
        <v>392</v>
      </c>
      <c r="C8832" s="29" t="n">
        <f aca="false">mix_h*Sens!C8824</f>
        <v>128</v>
      </c>
      <c r="D8832" s="29" t="n">
        <f aca="false">mix_h*Sens!D8824</f>
        <v>326</v>
      </c>
      <c r="E8832" s="29" t="n">
        <f aca="false">mix_h*Sens!E8824</f>
        <v>650</v>
      </c>
      <c r="F8832" s="29" t="n">
        <f aca="false">Sens!E8832-Sens!F8831*mix_h</f>
        <v>650</v>
      </c>
      <c r="G8832" s="29" t="n">
        <f aca="false">Sens!F8832-Sens!G8831*mix_h</f>
        <v>650</v>
      </c>
      <c r="H8832" s="29" t="n">
        <f aca="false">Sens!G8832-Sens!H8831*mix_h</f>
        <v>650</v>
      </c>
      <c r="I8832" s="29" t="n">
        <f aca="false">Sens!H8832-Sens!I8831*mix_h</f>
        <v>552</v>
      </c>
      <c r="J8832" s="29" t="n">
        <f aca="false">Sens!I8832-Sens!J8831*mix_h</f>
        <v>404</v>
      </c>
      <c r="K8832" s="29" t="n">
        <f aca="false">Sens!J8832-Sens!K8831*mix_h</f>
        <v>110</v>
      </c>
    </row>
    <row r="8833" customFormat="false" ht="17.15" hidden="false" customHeight="false" outlineLevel="0" collapsed="false">
      <c r="A8833" s="1" t="s">
        <v>813</v>
      </c>
      <c r="B8833" s="0" t="s">
        <v>392</v>
      </c>
      <c r="C8833" s="29" t="n">
        <f aca="false">mix_g2*Sens!C8824</f>
        <v>288</v>
      </c>
      <c r="D8833" s="29" t="n">
        <f aca="false">mix_g2*Sens!D8824</f>
        <v>733.5</v>
      </c>
      <c r="E8833" s="29" t="n">
        <f aca="false">mix_g2*Sens!E8824</f>
        <v>1462.5</v>
      </c>
      <c r="F8833" s="29" t="n">
        <f aca="false">Sens!E8833-Sens!F8831*mix_g2</f>
        <v>1462.5</v>
      </c>
      <c r="G8833" s="29" t="n">
        <f aca="false">Sens!F8833-Sens!G8831*mix_g2</f>
        <v>1462.5</v>
      </c>
      <c r="H8833" s="29" t="n">
        <f aca="false">Sens!G8833-Sens!H8831*mix_g2</f>
        <v>1462.5</v>
      </c>
      <c r="I8833" s="29" t="n">
        <f aca="false">Sens!H8833-Sens!I8831*mix_g2</f>
        <v>1242</v>
      </c>
      <c r="J8833" s="29" t="n">
        <f aca="false">Sens!I8833-Sens!J8831*mix_g2</f>
        <v>909</v>
      </c>
      <c r="K8833" s="29" t="n">
        <f aca="false">Sens!J8833-Sens!K8831*mix_g2</f>
        <v>247.5</v>
      </c>
    </row>
    <row r="8834" customFormat="false" ht="17.15" hidden="false" customHeight="false" outlineLevel="0" collapsed="false">
      <c r="A8834" s="1" t="s">
        <v>814</v>
      </c>
      <c r="B8834" s="0" t="s">
        <v>392</v>
      </c>
      <c r="C8834" s="29" t="n">
        <f aca="false">mix_g3*Sens!C8824</f>
        <v>224</v>
      </c>
      <c r="D8834" s="29" t="n">
        <f aca="false">mix_g3*Sens!D8824</f>
        <v>570.5</v>
      </c>
      <c r="E8834" s="29" t="n">
        <f aca="false">mix_g3*Sens!E8824</f>
        <v>1137.5</v>
      </c>
      <c r="F8834" s="29" t="n">
        <f aca="false">Sens!E8834+(Sens!F8830+Sens!F8831)*a_g3_27-Sens!F8831*mix_g3</f>
        <v>2906.54</v>
      </c>
      <c r="G8834" s="29" t="n">
        <f aca="false">Sens!F8834+(Sens!G8830+Sens!G8831)*a_g3_28-Sens!G8831*mix_g3</f>
        <v>3664.7</v>
      </c>
      <c r="H8834" s="29" t="n">
        <f aca="false">Sens!G8834+(Sens!H8830+Sens!H8831)*a_g3_29-Sens!H8831*mix_g3</f>
        <v>3917.42</v>
      </c>
      <c r="I8834" s="29" t="n">
        <f aca="false">Sens!H8834+(Sens!I8830+Sens!I8831)*a_g3_29-Sens!I8831*mix_g3</f>
        <v>3974.2316</v>
      </c>
      <c r="J8834" s="29" t="n">
        <f aca="false">Sens!I8834+(Sens!J8830+Sens!J8831)*a_g3_29-Sens!J8831*mix_g3</f>
        <v>3895.1348</v>
      </c>
      <c r="K8834" s="29" t="n">
        <f aca="false">Sens!J8834+(Sens!K8830+Sens!K8831)*a_g3_29-Sens!K8831*mix_g3</f>
        <v>3560.1296</v>
      </c>
    </row>
    <row r="8835" customFormat="false" ht="17.15" hidden="false" customHeight="false" outlineLevel="0" collapsed="false">
      <c r="A8835" s="1" t="s">
        <v>815</v>
      </c>
      <c r="B8835" s="0" t="s">
        <v>392</v>
      </c>
      <c r="C8835" s="29" t="n">
        <v>0</v>
      </c>
      <c r="D8835" s="29" t="n">
        <v>0</v>
      </c>
      <c r="E8835" s="29" t="n">
        <v>0</v>
      </c>
      <c r="F8835" s="29" t="n">
        <f aca="false">Sens!E8835+(Sens!F8830+Sens!F8831)*(1-a_g3_27)</f>
        <v>758.16</v>
      </c>
      <c r="G8835" s="29" t="n">
        <f aca="false">Sens!F8835+(Sens!G8830+Sens!G8831)*(1-a_g3_28)</f>
        <v>2527.2</v>
      </c>
      <c r="H8835" s="29" t="n">
        <f aca="false">Sens!G8835+(Sens!H8830+Sens!H8831)*(1-a_g3_29)</f>
        <v>4801.68</v>
      </c>
      <c r="I8835" s="29" t="n">
        <f aca="false">Sens!H8835+(Sens!I8830+Sens!I8831)*(1-a_g3_29)</f>
        <v>6856.4844</v>
      </c>
      <c r="J8835" s="29" t="n">
        <f aca="false">Sens!I8835+(Sens!J8830+Sens!J8831)*(1-a_g3_29)</f>
        <v>8475.6132</v>
      </c>
      <c r="K8835" s="29" t="n">
        <f aca="false">Sens!J8835+(Sens!K8830+Sens!K8831)*(1-a_g3_29)</f>
        <v>10091.0664</v>
      </c>
    </row>
    <row r="8836" customFormat="false" ht="17.15" hidden="false" customHeight="false" outlineLevel="0" collapsed="false">
      <c r="A8836" s="1" t="s">
        <v>816</v>
      </c>
      <c r="B8836" s="0" t="s">
        <v>339</v>
      </c>
      <c r="C8836" s="14" t="n">
        <f aca="false">(Sens!C8832*tk_hold_h100+Sens!C8833*tk_hold_gb200+Sens!C8834*tk_hold_gb300+Sens!C8835*tk_hold_vr200)/Sens!C8824</f>
        <v>9.7235358126469</v>
      </c>
      <c r="D8836" s="14" t="n">
        <f aca="false">(Sens!D8832*tk_hold_h100+Sens!D8833*tk_hold_gb200+Sens!D8834*tk_hold_gb300+Sens!D8835*tk_hold_vr200)/Sens!D8824</f>
        <v>9.7235358126469</v>
      </c>
      <c r="E8836" s="14" t="n">
        <f aca="false">(Sens!E8832*tk_hold_h100+Sens!E8833*tk_hold_gb200+Sens!E8834*tk_hold_gb300+Sens!E8835*tk_hold_vr200)/Sens!E8824</f>
        <v>9.7235358126469</v>
      </c>
      <c r="F8836" s="14" t="n">
        <f aca="false">(Sens!F8832*tk_hold_h100+Sens!F8833*tk_hold_gb200+Sens!F8834*tk_hold_gb300+Sens!F8835*tk_hold_vr200)/Sens!F8824</f>
        <v>10.4079573161931</v>
      </c>
      <c r="G8836" s="14" t="n">
        <f aca="false">(Sens!G8832*tk_hold_h100+Sens!G8833*tk_hold_gb200+Sens!G8834*tk_hold_gb300+Sens!G8835*tk_hold_vr200)/Sens!G8824</f>
        <v>10.8388131109316</v>
      </c>
      <c r="H8836" s="14" t="n">
        <f aca="false">(Sens!H8832*tk_hold_h100+Sens!H8833*tk_hold_gb200+Sens!H8834*tk_hold_gb300+Sens!H8835*tk_hold_vr200)/Sens!H8824</f>
        <v>11.1311018388216</v>
      </c>
      <c r="I8836" s="14" t="n">
        <f aca="false">(Sens!I8832*tk_hold_h100+Sens!I8833*tk_hold_gb200+Sens!I8834*tk_hold_gb300+Sens!I8835*tk_hold_vr200)/Sens!I8824</f>
        <v>11.3594282560989</v>
      </c>
      <c r="J8836" s="14" t="n">
        <f aca="false">(Sens!J8832*tk_hold_h100+Sens!J8833*tk_hold_gb200+Sens!J8834*tk_hold_gb300+Sens!J8835*tk_hold_vr200)/Sens!J8824</f>
        <v>11.5441508808221</v>
      </c>
      <c r="K8836" s="14" t="n">
        <f aca="false">(Sens!K8832*tk_hold_h100+Sens!K8833*tk_hold_gb200+Sens!K8834*tk_hold_gb300+Sens!K8835*tk_hold_vr200)/Sens!K8824</f>
        <v>11.8053375063575</v>
      </c>
    </row>
    <row r="8837" customFormat="false" ht="17.15" hidden="false" customHeight="false" outlineLevel="0" collapsed="false">
      <c r="A8837" s="0" t="s">
        <v>817</v>
      </c>
      <c r="B8837" s="0" t="s">
        <v>185</v>
      </c>
      <c r="C8837" s="14" t="n">
        <f aca="false">k_B</f>
        <v>1.17213932619116</v>
      </c>
      <c r="D8837" s="14" t="n">
        <f aca="false">k_B</f>
        <v>1.17213932619116</v>
      </c>
      <c r="E8837" s="14" t="n">
        <f aca="false">k_B</f>
        <v>1.17213932619116</v>
      </c>
      <c r="F8837" s="14" t="n">
        <f aca="false">(k_B+((ls_B*k_long+(1-ls_B)*k_spot)-k_B)*MIN(1,(Sens!F8822-base_fy)/k_ramp))</f>
        <v>1.17213932619116</v>
      </c>
      <c r="G8837" s="14" t="n">
        <f aca="false">(k_B+((ls_B*k_long+(1-ls_B)*k_spot)-k_B)*MIN(1,(Sens!G8822-base_fy)/k_ramp))</f>
        <v>1.17213932619116</v>
      </c>
      <c r="H8837" s="14" t="n">
        <f aca="false">(k_B+((ls_B*k_long+(1-ls_B)*k_spot)-k_B)*MIN(1,(Sens!H8822-base_fy)/k_ramp))</f>
        <v>1.17213932619116</v>
      </c>
      <c r="I8837" s="14" t="n">
        <f aca="false">(k_B+((ls_B*k_long+(1-ls_B)*k_spot)-k_B)*MIN(1,(Sens!I8822-base_fy)/k_ramp))</f>
        <v>1.17213932619116</v>
      </c>
      <c r="J8837" s="14" t="n">
        <f aca="false">(k_B+((ls_B*k_long+(1-ls_B)*k_spot)-k_B)*MIN(1,(Sens!J8822-base_fy)/k_ramp))</f>
        <v>1.17213932619116</v>
      </c>
      <c r="K8837" s="14" t="n">
        <f aca="false">(k_B+((ls_B*k_long+(1-ls_B)*k_spot)-k_B)*MIN(1,(Sens!K8822-base_fy)/k_ramp))</f>
        <v>1.17213932619116</v>
      </c>
      <c r="L8837" s="1" t="s">
        <v>818</v>
      </c>
    </row>
    <row r="8838" customFormat="false" ht="17.15" hidden="false" customHeight="false" outlineLevel="0" collapsed="false">
      <c r="A8838" s="1" t="s">
        <v>819</v>
      </c>
      <c r="B8838" s="0" t="s">
        <v>339</v>
      </c>
      <c r="C8838" s="14" t="n">
        <f aca="false">Sens!C8836*Sens!C8837*chip_f</f>
        <v>11.3973387156315</v>
      </c>
      <c r="D8838" s="14" t="n">
        <f aca="false">Sens!D8836*Sens!D8837*chip_f</f>
        <v>11.3973387156315</v>
      </c>
      <c r="E8838" s="14" t="n">
        <f aca="false">Sens!E8836*Sens!E8837*chip_f</f>
        <v>11.3973387156315</v>
      </c>
      <c r="F8838" s="14" t="n">
        <f aca="false">Sens!F8836*Sens!F8837*chip_f</f>
        <v>12.1995760756289</v>
      </c>
      <c r="G8838" s="14" t="n">
        <f aca="false">Sens!G8836*Sens!G8837*chip_f</f>
        <v>12.7045990965592</v>
      </c>
      <c r="H8838" s="14" t="n">
        <f aca="false">Sens!H8836*Sens!H8837*chip_f</f>
        <v>13.0472022091214</v>
      </c>
      <c r="I8838" s="14" t="n">
        <f aca="false">Sens!I8836*Sens!I8837*chip_f</f>
        <v>13.3148325820205</v>
      </c>
      <c r="J8838" s="14" t="n">
        <f aca="false">Sens!J8836*Sens!J8837*chip_f</f>
        <v>13.5313532348958</v>
      </c>
      <c r="K8838" s="14" t="n">
        <f aca="false">Sens!K8836*Sens!K8837*chip_f</f>
        <v>13.8375003501611</v>
      </c>
      <c r="L8838" s="1" t="s">
        <v>820</v>
      </c>
    </row>
    <row r="8839" customFormat="false" ht="17.15" hidden="false" customHeight="false" outlineLevel="0" collapsed="false">
      <c r="A8839" s="0" t="s">
        <v>821</v>
      </c>
      <c r="B8839" s="0" t="s">
        <v>98</v>
      </c>
      <c r="D8839" s="6" t="n">
        <f aca="false">(Sens!C8824+Sens!D8824)/2*Sens!D8838/1000</f>
        <v>12.9359794422418</v>
      </c>
      <c r="E8839" s="6" t="n">
        <f aca="false">(Sens!D8824+Sens!E8824)/2*Sens!E8838/1000</f>
        <v>27.8095064661409</v>
      </c>
      <c r="F8839" s="6" t="n">
        <f aca="false">(Sens!E8824+Sens!F8824)/2*Sens!F8838/1000</f>
        <v>55.0640065749585</v>
      </c>
      <c r="G8839" s="6" t="n">
        <f aca="false">(Sens!F8824+Sens!G8824)/2*Sens!G8838/1000</f>
        <v>89.4505413190538</v>
      </c>
      <c r="H8839" s="6" t="n">
        <f aca="false">(Sens!G8824+Sens!H8824)/2*Sens!H8838/1000</f>
        <v>124.835630736874</v>
      </c>
      <c r="I8839" s="6" t="n">
        <f aca="false">(Sens!H8824+Sens!I8824)/2*Sens!I8838/1000</f>
        <v>156.158460265485</v>
      </c>
      <c r="J8839" s="6" t="n">
        <f aca="false">(Sens!I8824+Sens!J8824)/2*Sens!J8838/1000</f>
        <v>177.99455972577</v>
      </c>
      <c r="K8839" s="6" t="n">
        <f aca="false">(Sens!J8824+Sens!K8824)/2*Sens!K8838/1000</f>
        <v>191.597101773408</v>
      </c>
      <c r="L8839" s="11" t="s">
        <v>822</v>
      </c>
    </row>
    <row r="8840" customFormat="false" ht="17.15" hidden="false" customHeight="false" outlineLevel="0" collapsed="false">
      <c r="A8840" s="1" t="s">
        <v>823</v>
      </c>
      <c r="B8840" s="0" t="s">
        <v>339</v>
      </c>
      <c r="C8840" s="14" t="n">
        <f aca="false">(Sens!C8832*tk_opex_h100+Sens!C8833*tk_opex_gb200+Sens!C8834*tk_opex_gb300+Sens!C8835*tk_opex_vr200)/Sens!C8824</f>
        <v>1.88636041306092</v>
      </c>
      <c r="D8840" s="14" t="n">
        <f aca="false">(Sens!D8832*tk_opex_h100+Sens!D8833*tk_opex_gb200+Sens!D8834*tk_opex_gb300+Sens!D8835*tk_opex_vr200)/Sens!D8824</f>
        <v>1.88636041306092</v>
      </c>
      <c r="E8840" s="14" t="n">
        <f aca="false">(Sens!E8832*tk_opex_h100+Sens!E8833*tk_opex_gb200+Sens!E8834*tk_opex_gb300+Sens!E8835*tk_opex_vr200)/Sens!E8824</f>
        <v>1.88636041306092</v>
      </c>
      <c r="F8840" s="14" t="n">
        <f aca="false">(Sens!F8832*tk_opex_h100+Sens!F8833*tk_opex_gb200+Sens!F8834*tk_opex_gb300+Sens!F8835*tk_opex_vr200)/Sens!F8824</f>
        <v>1.9430236476499</v>
      </c>
      <c r="G8840" s="14" t="n">
        <f aca="false">(Sens!G8832*tk_opex_h100+Sens!G8833*tk_opex_gb200+Sens!G8834*tk_opex_gb300+Sens!G8835*tk_opex_vr200)/Sens!G8824</f>
        <v>1.9786941852423</v>
      </c>
      <c r="H8840" s="14" t="n">
        <f aca="false">(Sens!H8832*tk_opex_h100+Sens!H8833*tk_opex_gb200+Sens!H8834*tk_opex_gb300+Sens!H8835*tk_opex_vr200)/Sens!H8824</f>
        <v>2.00289275976156</v>
      </c>
      <c r="I8840" s="14" t="n">
        <f aca="false">(Sens!I8832*tk_opex_h100+Sens!I8833*tk_opex_gb200+Sens!I8834*tk_opex_gb300+Sens!I8835*tk_opex_vr200)/Sens!I8824</f>
        <v>2.02179589661219</v>
      </c>
      <c r="J8840" s="14" t="n">
        <f aca="false">(Sens!J8832*tk_opex_h100+Sens!J8833*tk_opex_gb200+Sens!J8834*tk_opex_gb300+Sens!J8835*tk_opex_vr200)/Sens!J8824</f>
        <v>2.03708907685909</v>
      </c>
      <c r="K8840" s="14" t="n">
        <f aca="false">(Sens!K8832*tk_opex_h100+Sens!K8833*tk_opex_gb200+Sens!K8834*tk_opex_gb300+Sens!K8835*tk_opex_vr200)/Sens!K8824</f>
        <v>2.05871270931005</v>
      </c>
    </row>
    <row r="8841" customFormat="false" ht="17.15" hidden="false" customHeight="false" outlineLevel="0" collapsed="false">
      <c r="A8841" s="0" t="s">
        <v>824</v>
      </c>
      <c r="B8841" s="0" t="s">
        <v>98</v>
      </c>
      <c r="D8841" s="6" t="n">
        <f aca="false">(Sens!C8827+Sens!D8827)/2*Sens!D8840/1000</f>
        <v>2.70378325872065</v>
      </c>
      <c r="E8841" s="6" t="n">
        <f aca="false">(Sens!D8827+Sens!E8827)/2*Sens!E8840/1000</f>
        <v>6.17783035277451</v>
      </c>
      <c r="F8841" s="6" t="n">
        <f aca="false">(Sens!E8827+Sens!F8827)/2*Sens!F8840/1000</f>
        <v>12.5020618235287</v>
      </c>
      <c r="G8841" s="6" t="n">
        <f aca="false">(Sens!F8827+Sens!G8827)/2*Sens!G8840/1000</f>
        <v>20.7261620256847</v>
      </c>
      <c r="H8841" s="6" t="n">
        <f aca="false">(Sens!G8827+Sens!H8827)/2*Sens!H8840/1000</f>
        <v>29.4158183316982</v>
      </c>
      <c r="I8841" s="6" t="n">
        <f aca="false">(Sens!H8827+Sens!I8827)/2*Sens!I8840/1000</f>
        <v>36.9724400356344</v>
      </c>
      <c r="J8841" s="6" t="n">
        <f aca="false">(Sens!I8827+Sens!J8827)/2*Sens!J8840/1000</f>
        <v>42.0938382992747</v>
      </c>
      <c r="K8841" s="6" t="n">
        <f aca="false">(Sens!J8827+Sens!K8827)/2*Sens!K8840/1000</f>
        <v>44.9150106651501</v>
      </c>
    </row>
    <row r="8842" customFormat="false" ht="17.15" hidden="false" customHeight="false" outlineLevel="0" collapsed="false">
      <c r="A8842" s="0" t="s">
        <v>825</v>
      </c>
      <c r="B8842" s="0" t="s">
        <v>98</v>
      </c>
      <c r="D8842" s="6" t="n">
        <f aca="false">(Sens!C8825+Sens!D8825)/2*rent_mw/1000</f>
        <v>2.44475</v>
      </c>
      <c r="E8842" s="6" t="n">
        <f aca="false">(Sens!D8825+Sens!E8825)/2*rent_mw/1000</f>
        <v>4.22275</v>
      </c>
      <c r="F8842" s="6" t="n">
        <f aca="false">(Sens!E8825+Sens!F8825)/2*rent_mw/1000</f>
        <v>5.80517</v>
      </c>
      <c r="G8842" s="6" t="n">
        <f aca="false">(Sens!F8825+Sens!G8825)/2*rent_mw/1000</f>
        <v>6.72084</v>
      </c>
      <c r="H8842" s="6" t="n">
        <f aca="false">(Sens!G8825+Sens!H8825)/2*rent_mw/1000</f>
        <v>6.72084</v>
      </c>
      <c r="I8842" s="6" t="n">
        <f aca="false">(Sens!H8825+Sens!I8825)/2*rent_mw/1000</f>
        <v>6.72084</v>
      </c>
      <c r="J8842" s="6" t="n">
        <f aca="false">(Sens!I8825+Sens!J8825)/2*rent_mw/1000</f>
        <v>6.72084</v>
      </c>
      <c r="K8842" s="6" t="n">
        <f aca="false">(Sens!J8825+Sens!K8825)/2*rent_mw/1000</f>
        <v>6.72084</v>
      </c>
    </row>
    <row r="8843" customFormat="false" ht="17.15" hidden="false" customHeight="false" outlineLevel="0" collapsed="false">
      <c r="A8843" s="0" t="s">
        <v>826</v>
      </c>
      <c r="B8843" s="0" t="s">
        <v>98</v>
      </c>
      <c r="D8843" s="6" t="n">
        <f aca="false">(Sens!C8827+Sens!D8827)/2*(1-self_build)*fac_rent/1000</f>
        <v>0.853242375631075</v>
      </c>
      <c r="E8843" s="6" t="n">
        <f aca="false">(Sens!D8827+Sens!E8827)/2*(1-self_build)*fac_rent/1000</f>
        <v>1.94955961408728</v>
      </c>
      <c r="F8843" s="6" t="n">
        <f aca="false">(Sens!E8827+Sens!F8827)/2*(1-self_build)*fac_rent/1000</f>
        <v>3.83026455274573</v>
      </c>
      <c r="G8843" s="6" t="n">
        <f aca="false">(Sens!F8827+Sens!G8827)/2*(1-self_build)*fac_rent/1000</f>
        <v>6.23541590972812</v>
      </c>
      <c r="H8843" s="6" t="n">
        <f aca="false">(Sens!G8827+Sens!H8827)/2*(1-self_build)*fac_rent/1000</f>
        <v>8.74275792332679</v>
      </c>
      <c r="I8843" s="6" t="n">
        <f aca="false">(Sens!H8827+Sens!I8827)/2*(1-self_build)*fac_rent/1000</f>
        <v>10.8859420438599</v>
      </c>
      <c r="J8843" s="6" t="n">
        <f aca="false">(Sens!I8827+Sens!J8827)/2*(1-self_build)*fac_rent/1000</f>
        <v>12.3008103782619</v>
      </c>
      <c r="K8843" s="6" t="n">
        <f aca="false">(Sens!J8827+Sens!K8827)/2*(1-self_build)*fac_rent/1000</f>
        <v>12.9873629265328</v>
      </c>
      <c r="L8843" s="11" t="s">
        <v>827</v>
      </c>
    </row>
    <row r="8844" customFormat="false" ht="17.15" hidden="false" customHeight="false" outlineLevel="0" collapsed="false">
      <c r="A8844" s="1" t="s">
        <v>828</v>
      </c>
      <c r="B8844" s="0" t="s">
        <v>129</v>
      </c>
      <c r="D8844" s="7" t="n">
        <f aca="false">(Sens!C8826+Sens!D8826)/(Sens!C8827+Sens!D8827)</f>
        <v>0.6</v>
      </c>
      <c r="E8844" s="7" t="n">
        <f aca="false">(Sens!D8826+Sens!E8826)/(Sens!D8827+Sens!E8827)</f>
        <v>0.6</v>
      </c>
      <c r="F8844" s="7" t="n">
        <f aca="false">(Sens!E8826+Sens!F8826)/(Sens!E8827+Sens!F8827)</f>
        <v>0.6</v>
      </c>
      <c r="G8844" s="7" t="n">
        <f aca="false">(Sens!F8826+Sens!G8826)/(Sens!F8827+Sens!G8827)</f>
        <v>0.6</v>
      </c>
      <c r="H8844" s="7" t="n">
        <f aca="false">(Sens!G8826+Sens!H8826)/(Sens!G8827+Sens!H8827)</f>
        <v>0.6</v>
      </c>
      <c r="I8844" s="7" t="n">
        <f aca="false">(Sens!H8826+Sens!I8826)/(Sens!H8827+Sens!I8827)</f>
        <v>0.6</v>
      </c>
      <c r="J8844" s="7" t="n">
        <f aca="false">(Sens!I8826+Sens!J8826)/(Sens!I8827+Sens!J8827)</f>
        <v>0.6</v>
      </c>
      <c r="K8844" s="7" t="n">
        <f aca="false">(Sens!J8826+Sens!K8826)/(Sens!J8827+Sens!K8827)</f>
        <v>0.6</v>
      </c>
    </row>
    <row r="8845" customFormat="false" ht="17.15" hidden="false" customHeight="false" outlineLevel="0" collapsed="false">
      <c r="A8845" s="0" t="s">
        <v>829</v>
      </c>
      <c r="B8845" s="0" t="s">
        <v>98</v>
      </c>
      <c r="D8845" s="6" t="n">
        <f aca="false">Sens!D8839-Sens!D8844*(Sens!D8841+Sens!D8843)-Sens!D8842</f>
        <v>8.35701406163072</v>
      </c>
      <c r="E8845" s="6" t="n">
        <f aca="false">Sens!E8839-Sens!E8844*(Sens!E8841+Sens!E8843)-Sens!E8842</f>
        <v>18.7103224860238</v>
      </c>
      <c r="F8845" s="6" t="n">
        <f aca="false">Sens!F8839-Sens!F8844*(Sens!F8841+Sens!F8843)-Sens!F8842</f>
        <v>39.4594407491938</v>
      </c>
      <c r="G8845" s="6" t="n">
        <f aca="false">Sens!G8839-Sens!G8844*(Sens!G8841+Sens!G8843)-Sens!G8842</f>
        <v>66.5527545578061</v>
      </c>
      <c r="H8845" s="6" t="n">
        <f aca="false">Sens!H8839-Sens!H8844*(Sens!H8841+Sens!H8843)-Sens!H8842</f>
        <v>95.219644983859</v>
      </c>
      <c r="I8845" s="6" t="n">
        <f aca="false">Sens!I8839-Sens!I8844*(Sens!I8841+Sens!I8843)-Sens!I8842</f>
        <v>120.722591017788</v>
      </c>
      <c r="J8845" s="6" t="n">
        <f aca="false">Sens!J8839-Sens!J8844*(Sens!J8841+Sens!J8843)-Sens!J8842</f>
        <v>138.636930519248</v>
      </c>
      <c r="K8845" s="6" t="n">
        <f aca="false">Sens!K8839-Sens!K8844*(Sens!K8841+Sens!K8843)-Sens!K8842</f>
        <v>150.134837618398</v>
      </c>
    </row>
    <row r="8846" customFormat="false" ht="17.15" hidden="false" customHeight="false" outlineLevel="0" collapsed="false">
      <c r="A8846" s="1" t="s">
        <v>830</v>
      </c>
      <c r="B8846" s="0" t="s">
        <v>98</v>
      </c>
      <c r="D8846" s="6" t="n">
        <f aca="false">(1-Sens!D8844)*(Sens!D8841+Sens!D8843)</f>
        <v>1.42281025374069</v>
      </c>
      <c r="E8846" s="6" t="n">
        <f aca="false">(1-Sens!E8844)*(Sens!E8841+Sens!E8843)</f>
        <v>3.25095598674472</v>
      </c>
      <c r="F8846" s="6" t="n">
        <f aca="false">(1-Sens!F8844)*(Sens!F8841+Sens!F8843)</f>
        <v>6.53293055050977</v>
      </c>
      <c r="G8846" s="6" t="n">
        <f aca="false">(1-Sens!G8844)*(Sens!G8841+Sens!G8843)</f>
        <v>10.7846311741651</v>
      </c>
      <c r="H8846" s="6" t="n">
        <f aca="false">(1-Sens!H8844)*(Sens!H8841+Sens!H8843)</f>
        <v>15.26343050201</v>
      </c>
      <c r="I8846" s="6" t="n">
        <f aca="false">(1-Sens!I8844)*(Sens!I8841+Sens!I8843)</f>
        <v>19.1433528317977</v>
      </c>
      <c r="J8846" s="6" t="n">
        <f aca="false">(1-Sens!J8844)*(Sens!J8841+Sens!J8843)</f>
        <v>21.7578594710146</v>
      </c>
      <c r="K8846" s="6" t="n">
        <f aca="false">(1-Sens!K8844)*(Sens!K8841+Sens!K8843)</f>
        <v>23.1609494366731</v>
      </c>
    </row>
    <row r="8847" customFormat="false" ht="17.15" hidden="false" customHeight="false" outlineLevel="0" collapsed="false">
      <c r="A8847" s="1" t="s">
        <v>831</v>
      </c>
      <c r="B8847" s="0" t="s">
        <v>350</v>
      </c>
      <c r="C8847" s="8" t="n">
        <f aca="false">cxit_open</f>
        <v>27.5918995</v>
      </c>
      <c r="D8847" s="8" t="n">
        <f aca="false">cxit_open</f>
        <v>27.5918995</v>
      </c>
      <c r="E8847" s="8" t="n">
        <f aca="false">cxit_open</f>
        <v>27.5918995</v>
      </c>
      <c r="F8847" s="8" t="n">
        <f aca="false">(a_g3_27*tk_cxit_gb300+(1-a_g3_27)*tk_cxit_vr200)</f>
        <v>33.8419624</v>
      </c>
      <c r="G8847" s="8" t="n">
        <f aca="false">(a_g3_28*tk_cxit_gb300+(1-a_g3_28)*tk_cxit_vr200)</f>
        <v>35.9816136</v>
      </c>
      <c r="H8847" s="8" t="n">
        <f aca="false">(a_g3_29*tk_cxit_gb300+(1-a_g3_29)*tk_cxit_vr200)</f>
        <v>37.0514392</v>
      </c>
      <c r="I8847" s="8" t="n">
        <f aca="false">(a_g3_29*tk_cxit_gb300+(1-a_g3_29)*tk_cxit_vr200)</f>
        <v>37.0514392</v>
      </c>
      <c r="J8847" s="8" t="n">
        <f aca="false">(a_g3_29*tk_cxit_gb300+(1-a_g3_29)*tk_cxit_vr200)</f>
        <v>37.0514392</v>
      </c>
      <c r="K8847" s="8" t="n">
        <f aca="false">(a_g3_29*tk_cxit_gb300+(1-a_g3_29)*tk_cxit_vr200)</f>
        <v>37.0514392</v>
      </c>
      <c r="L8847" s="11" t="s">
        <v>832</v>
      </c>
    </row>
    <row r="8848" customFormat="false" ht="17.15" hidden="false" customHeight="false" outlineLevel="0" collapsed="false">
      <c r="A8848" s="0" t="s">
        <v>833</v>
      </c>
      <c r="B8848" s="0" t="s">
        <v>392</v>
      </c>
      <c r="F8848" s="29" t="n">
        <f aca="false">Sens!C8829*IF(Sens!F8822-Sens!C8822=life_it,1,0)+Sens!D8829*IF(Sens!F8822-Sens!D8822=life_it,1,0)+Sens!E8829*IF(Sens!F8822-Sens!E8822=life_it,1,0)</f>
        <v>0</v>
      </c>
      <c r="G8848" s="29" t="n">
        <f aca="false">Sens!C8829*IF(Sens!G8822-Sens!C8822=life_it,1,0)+Sens!D8829*IF(Sens!G8822-Sens!D8822=life_it,1,0)+Sens!E8829*IF(Sens!G8822-Sens!E8822=life_it,1,0)+Sens!F8829*IF(Sens!G8822-Sens!F8822=life_it,1,0)</f>
        <v>0</v>
      </c>
      <c r="H8848" s="29" t="n">
        <f aca="false">Sens!C8829*IF(Sens!H8822-Sens!C8822=life_it,1,0)+Sens!D8829*IF(Sens!H8822-Sens!D8822=life_it,1,0)+Sens!E8829*IF(Sens!H8822-Sens!E8822=life_it,1,0)+Sens!F8829*IF(Sens!H8822-Sens!F8822=life_it,1,0)+Sens!G8829*IF(Sens!H8822-Sens!G8822=life_it,1,0)</f>
        <v>0</v>
      </c>
      <c r="I8848" s="29" t="n">
        <f aca="false">Sens!C8829*IF(Sens!I8822-Sens!C8822=life_it,1,0)+Sens!D8829*IF(Sens!I8822-Sens!D8822=life_it,1,0)+Sens!E8829*IF(Sens!I8822-Sens!E8822=life_it,1,0)+Sens!F8829*IF(Sens!I8822-Sens!F8822=life_it,1,0)+Sens!G8829*IF(Sens!I8822-Sens!G8822=life_it,1,0)+Sens!H8829*IF(Sens!I8822-Sens!H8822=life_it,1,0)</f>
        <v>816.666666666667</v>
      </c>
      <c r="J8848" s="29" t="n">
        <f aca="false">Sens!C8829*IF(Sens!J8822-Sens!C8822=life_it,1,0)+Sens!D8829*IF(Sens!J8822-Sens!D8822=life_it,1,0)+Sens!E8829*IF(Sens!J8822-Sens!E8822=life_it,1,0)+Sens!F8829*IF(Sens!J8822-Sens!F8822=life_it,1,0)+Sens!G8829*IF(Sens!J8822-Sens!G8822=life_it,1,0)+Sens!H8829*IF(Sens!J8822-Sens!H8822=life_it,1,0)+Sens!I8829*IF(Sens!J8822-Sens!I8822=life_it,1,0)</f>
        <v>1233.33333333333</v>
      </c>
      <c r="K8848" s="29" t="n">
        <f aca="false">Sens!C8829*IF(Sens!K8822-Sens!C8822=life_it,1,0)+Sens!D8829*IF(Sens!K8822-Sens!D8822=life_it,1,0)+Sens!E8829*IF(Sens!K8822-Sens!E8822=life_it,1,0)+Sens!F8829*IF(Sens!K8822-Sens!F8822=life_it,1,0)+Sens!G8829*IF(Sens!K8822-Sens!G8822=life_it,1,0)+Sens!H8829*IF(Sens!K8822-Sens!H8822=life_it,1,0)+Sens!I8829*IF(Sens!K8822-Sens!I8822=life_it,1,0)+Sens!J8829*IF(Sens!K8822-Sens!J8822=life_it,1,0)</f>
        <v>2450</v>
      </c>
      <c r="L8848" s="1" t="s">
        <v>834</v>
      </c>
    </row>
    <row r="8849" customFormat="false" ht="17.15" hidden="false" customHeight="false" outlineLevel="0" collapsed="false">
      <c r="A8849" s="0" t="s">
        <v>835</v>
      </c>
      <c r="B8849" s="0" t="s">
        <v>98</v>
      </c>
      <c r="C8849" s="6" t="n">
        <f aca="false">Sens!C8829*Sens!C8847/1000</f>
        <v>22.5333845916667</v>
      </c>
      <c r="D8849" s="6" t="n">
        <f aca="false">Sens!D8829*Sens!D8847/1000</f>
        <v>34.0300093833333</v>
      </c>
      <c r="E8849" s="6" t="n">
        <f aca="false">Sens!E8829*Sens!E8847/1000</f>
        <v>67.600153775</v>
      </c>
      <c r="F8849" s="6" t="n">
        <f aca="false">(Sens!F8829+Sens!F8848)*Sens!F8847/1000</f>
        <v>130.923271871467</v>
      </c>
      <c r="G8849" s="6" t="n">
        <f aca="false">(Sens!G8829+Sens!G8848)*Sens!G8847/1000</f>
        <v>151.5545564832</v>
      </c>
      <c r="H8849" s="6" t="n">
        <f aca="false">(Sens!H8829+Sens!H8848)*Sens!H8847/1000</f>
        <v>156.0606619104</v>
      </c>
      <c r="I8849" s="6" t="n">
        <f aca="false">(Sens!I8829+Sens!I8848)*Sens!I8847/1000</f>
        <v>140.987889434245</v>
      </c>
      <c r="J8849" s="6" t="n">
        <f aca="false">(Sens!J8829+Sens!J8848)*Sens!J8847/1000</f>
        <v>111.094541278091</v>
      </c>
      <c r="K8849" s="6" t="n">
        <f aca="false">(Sens!K8829+Sens!K8848)*Sens!K8847/1000</f>
        <v>110.842344481936</v>
      </c>
    </row>
    <row r="8850" customFormat="false" ht="17.15" hidden="false" customHeight="false" outlineLevel="0" collapsed="false">
      <c r="A8850" s="0" t="s">
        <v>836</v>
      </c>
      <c r="B8850" s="0" t="s">
        <v>98</v>
      </c>
      <c r="C8850" s="6" t="n">
        <f aca="false">Sens!C8829*self_build*tk_cxfac/1000</f>
        <v>6.2083</v>
      </c>
      <c r="D8850" s="6" t="n">
        <f aca="false">Sens!D8829*self_build*tk_cxfac/1000</f>
        <v>9.3758</v>
      </c>
      <c r="E8850" s="6" t="n">
        <f aca="false">Sens!E8829*self_build*tk_cxfac/1000</f>
        <v>18.6249</v>
      </c>
      <c r="F8850" s="6" t="n">
        <f aca="false">Sens!F8829*self_build*tk_cxfac/1000</f>
        <v>29.409604</v>
      </c>
      <c r="G8850" s="6" t="n">
        <f aca="false">Sens!G8829*self_build*tk_cxfac/1000</f>
        <v>32.019624</v>
      </c>
      <c r="H8850" s="6" t="n">
        <f aca="false">Sens!H8829*self_build*tk_cxfac/1000</f>
        <v>32.019624</v>
      </c>
      <c r="I8850" s="6" t="n">
        <f aca="false">Sens!I8829*self_build*tk_cxfac/1000</f>
        <v>22.71877972</v>
      </c>
      <c r="J8850" s="6" t="n">
        <f aca="false">Sens!J8829*self_build*tk_cxfac/1000</f>
        <v>13.41793544</v>
      </c>
      <c r="K8850" s="6" t="n">
        <f aca="false">Sens!K8829*self_build*tk_cxfac/1000</f>
        <v>4.11709116000001</v>
      </c>
    </row>
    <row r="8851" customFormat="false" ht="17.15" hidden="false" customHeight="false" outlineLevel="0" collapsed="false">
      <c r="A8851" s="0" t="s">
        <v>837</v>
      </c>
      <c r="B8851" s="0" t="s">
        <v>98</v>
      </c>
      <c r="F8851" s="6" t="n">
        <f aca="false">MAX(0,capex_floor27-Sens!F8849-Sens!F8850-Sens!F8944)</f>
        <v>8.29771089897088</v>
      </c>
      <c r="L8851" s="1" t="s">
        <v>838</v>
      </c>
    </row>
    <row r="8852" customFormat="false" ht="17.15" hidden="false" customHeight="false" outlineLevel="0" collapsed="false">
      <c r="A8852" s="0" t="s">
        <v>839</v>
      </c>
      <c r="B8852" s="0" t="s">
        <v>98</v>
      </c>
      <c r="C8852" s="6" t="n">
        <f aca="false">Sens!C8849</f>
        <v>22.5333845916667</v>
      </c>
      <c r="D8852" s="6" t="n">
        <f aca="false">Sens!D8849</f>
        <v>34.0300093833333</v>
      </c>
      <c r="E8852" s="6" t="n">
        <f aca="false">Sens!E8849</f>
        <v>67.600153775</v>
      </c>
      <c r="F8852" s="6" t="n">
        <f aca="false">Sens!F8849+Sens!F8851</f>
        <v>139.220982770438</v>
      </c>
      <c r="G8852" s="6" t="n">
        <f aca="false">Sens!G8849</f>
        <v>151.5545564832</v>
      </c>
      <c r="H8852" s="6" t="n">
        <f aca="false">Sens!H8849</f>
        <v>156.0606619104</v>
      </c>
      <c r="I8852" s="6" t="n">
        <f aca="false">Sens!I8849</f>
        <v>140.987889434245</v>
      </c>
      <c r="J8852" s="6" t="n">
        <f aca="false">Sens!J8849</f>
        <v>111.094541278091</v>
      </c>
      <c r="K8852" s="6" t="n">
        <f aca="false">Sens!K8849</f>
        <v>110.842344481936</v>
      </c>
    </row>
    <row r="8853" customFormat="false" ht="17.15" hidden="false" customHeight="false" outlineLevel="0" collapsed="false">
      <c r="A8853" s="0" t="s">
        <v>840</v>
      </c>
      <c r="B8853" s="0" t="s">
        <v>98</v>
      </c>
      <c r="C8853" s="6" t="n">
        <f aca="false">Sens!C8852+Sens!C8850</f>
        <v>28.7416845916667</v>
      </c>
      <c r="D8853" s="6" t="n">
        <f aca="false">Sens!D8852+Sens!D8850</f>
        <v>43.4058093833333</v>
      </c>
      <c r="E8853" s="6" t="n">
        <f aca="false">Sens!E8852+Sens!E8850</f>
        <v>86.225053775</v>
      </c>
      <c r="F8853" s="6" t="n">
        <f aca="false">Sens!F8852+Sens!F8850</f>
        <v>168.630586770438</v>
      </c>
      <c r="G8853" s="6" t="n">
        <f aca="false">Sens!G8852+Sens!G8850</f>
        <v>183.5741804832</v>
      </c>
      <c r="H8853" s="6" t="n">
        <f aca="false">Sens!H8852+Sens!H8850</f>
        <v>188.0802859104</v>
      </c>
      <c r="I8853" s="6" t="n">
        <f aca="false">Sens!I8852+Sens!I8850</f>
        <v>163.706669154245</v>
      </c>
      <c r="J8853" s="6" t="n">
        <f aca="false">Sens!J8852+Sens!J8850</f>
        <v>124.51247671809</v>
      </c>
      <c r="K8853" s="6" t="n">
        <f aca="false">Sens!K8852+Sens!K8850</f>
        <v>114.959435641936</v>
      </c>
      <c r="L8853" s="11" t="s">
        <v>841</v>
      </c>
    </row>
    <row r="8854" customFormat="false" ht="17.15" hidden="false" customHeight="false" outlineLevel="0" collapsed="false">
      <c r="A8854" s="0" t="s">
        <v>842</v>
      </c>
      <c r="B8854" s="0" t="s">
        <v>98</v>
      </c>
      <c r="E8854" s="6" t="n">
        <f aca="false">(Sens!C8852*IF(2&lt;life_it,1,IF(2=life_it,0.5,0))+Sens!D8852*IF(1&lt;life_it,1,IF(1=life_it,0.5,0))+Sens!E8852*0.5)/life_it</f>
        <v>15.0605784770833</v>
      </c>
      <c r="F8854" s="6" t="n">
        <f aca="false">(Sens!C8852*IF(3&lt;life_it,1,IF(3=life_it,0.5,0))+Sens!D8852*IF(2&lt;life_it,1,IF(2=life_it,0.5,0))+Sens!E8852*IF(1&lt;life_it,1,IF(1=life_it,0.5,0))+Sens!F8852*0.5)/life_it</f>
        <v>32.2956731892031</v>
      </c>
      <c r="G8854" s="6" t="n">
        <f aca="false">(Sens!C8852*IF(4&lt;life_it,1,IF(4=life_it,0.5,0))+Sens!D8852*IF(3&lt;life_it,1,IF(3=life_it,0.5,0))+Sens!E8852*IF(2&lt;life_it,1,IF(2=life_it,0.5,0))+Sens!F8852*IF(1&lt;life_it,1,IF(1=life_it,0.5,0))+Sens!G8852*0.5)/life_it</f>
        <v>56.5269681270063</v>
      </c>
      <c r="H8854" s="6" t="n">
        <f aca="false">(Sens!C8852*IF(5&lt;life_it,1,IF(5=life_it,0.5,0))+Sens!D8852*IF(4&lt;life_it,1,IF(4=life_it,0.5,0))+Sens!E8852*IF(3&lt;life_it,1,IF(3=life_it,0.5,0))+Sens!F8852*IF(2&lt;life_it,1,IF(2=life_it,0.5,0))+Sens!G8852*IF(1&lt;life_it,1,IF(1=life_it,0.5,0))+Sens!H8852*0.5)/life_it</f>
        <v>82.1615696598062</v>
      </c>
      <c r="I8854" s="6" t="n">
        <f aca="false">(Sens!C8852*IF(6&lt;life_it,1,IF(6=life_it,0.5,0))+Sens!D8852*IF(5&lt;life_it,1,IF(5=life_it,0.5,0))+Sens!E8852*IF(4&lt;life_it,1,IF(4=life_it,0.5,0))+Sens!F8852*IF(3&lt;life_it,1,IF(3=life_it,0.5,0))+Sens!G8852*IF(2&lt;life_it,1,IF(2=life_it,0.5,0))+Sens!H8852*IF(1&lt;life_it,1,IF(1=life_it,0.5,0))+Sens!I8852*0.5)/life_it</f>
        <v>105.037833555888</v>
      </c>
      <c r="J8854" s="6" t="n">
        <f aca="false">(Sens!C8852*IF(7&lt;life_it,1,IF(7=life_it,0.5,0))+Sens!D8852*IF(6&lt;life_it,1,IF(6=life_it,0.5,0))+Sens!E8852*IF(5&lt;life_it,1,IF(5=life_it,0.5,0))+Sens!F8852*IF(4&lt;life_it,1,IF(4=life_it,0.5,0))+Sens!G8852*IF(3&lt;life_it,1,IF(3=life_it,0.5,0))+Sens!H8852*IF(2&lt;life_it,1,IF(2=life_it,0.5,0))+Sens!I8852*IF(1&lt;life_it,1,IF(1=life_it,0.5,0))+Sens!J8852*0.5)/life_it</f>
        <v>121.331086617332</v>
      </c>
      <c r="K8854" s="6" t="n">
        <f aca="false">(Sens!C8852*IF(8&lt;life_it,1,IF(8=life_it,0.5,0))+Sens!D8852*IF(7&lt;life_it,1,IF(7=life_it,0.5,0))+Sens!E8852*IF(6&lt;life_it,1,IF(6=life_it,0.5,0))+Sens!F8852*IF(5&lt;life_it,1,IF(5=life_it,0.5,0))+Sens!G8852*IF(4&lt;life_it,1,IF(4=life_it,0.5,0))+Sens!H8852*IF(3&lt;life_it,1,IF(3=life_it,0.5,0))+Sens!I8852*IF(2&lt;life_it,1,IF(2=life_it,0.5,0))+Sens!J8852*IF(1&lt;life_it,1,IF(1=life_it,0.5,0))+Sens!K8852*0.5)/life_it</f>
        <v>131.35664683414</v>
      </c>
    </row>
    <row r="8855" customFormat="false" ht="17.15" hidden="false" customHeight="false" outlineLevel="0" collapsed="false">
      <c r="A8855" s="0" t="s">
        <v>843</v>
      </c>
      <c r="B8855" s="0" t="s">
        <v>98</v>
      </c>
      <c r="E8855" s="6" t="n">
        <f aca="false">(Sens!C8850*IF(2&lt;life_fac,1,IF(2=life_fac,0.5,0))+Sens!D8850*IF(1&lt;life_fac,1,IF(1=life_fac,0.5,0))+Sens!E8850*0.5)/life_fac</f>
        <v>1.2448275</v>
      </c>
      <c r="F8855" s="6" t="n">
        <f aca="false">(Sens!C8850*IF(3&lt;life_fac,1,IF(3=life_fac,0.5,0))+Sens!D8850*IF(2&lt;life_fac,1,IF(2=life_fac,0.5,0))+Sens!E8850*IF(1&lt;life_fac,1,IF(1=life_fac,0.5,0))+Sens!F8850*0.5)/life_fac</f>
        <v>2.4456901</v>
      </c>
      <c r="G8855" s="6" t="n">
        <f aca="false">(Sens!C8850*IF(4&lt;life_fac,1,IF(4=life_fac,0.5,0))+Sens!D8850*IF(3&lt;life_fac,1,IF(3=life_fac,0.5,0))+Sens!E8850*IF(2&lt;life_fac,1,IF(2=life_fac,0.5,0))+Sens!F8850*IF(1&lt;life_fac,1,IF(1=life_fac,0.5,0))+Sens!G8850*0.5)/life_fac</f>
        <v>3.9814208</v>
      </c>
      <c r="H8855" s="6" t="n">
        <f aca="false">(Sens!C8850*IF(5&lt;life_fac,1,IF(5=life_fac,0.5,0))+Sens!D8850*IF(4&lt;life_fac,1,IF(4=life_fac,0.5,0))+Sens!E8850*IF(3&lt;life_fac,1,IF(3=life_fac,0.5,0))+Sens!F8850*IF(2&lt;life_fac,1,IF(2=life_fac,0.5,0))+Sens!G8850*IF(1&lt;life_fac,1,IF(1=life_fac,0.5,0))+Sens!H8850*0.5)/life_fac</f>
        <v>5.582402</v>
      </c>
      <c r="I8855" s="6" t="n">
        <f aca="false">(Sens!C8850*IF(6&lt;life_fac,1,IF(6=life_fac,0.5,0))+Sens!D8850*IF(5&lt;life_fac,1,IF(5=life_fac,0.5,0))+Sens!E8850*IF(4&lt;life_fac,1,IF(4=life_fac,0.5,0))+Sens!F8850*IF(3&lt;life_fac,1,IF(3=life_fac,0.5,0))+Sens!G8850*IF(2&lt;life_fac,1,IF(2=life_fac,0.5,0))+Sens!H8850*IF(1&lt;life_fac,1,IF(1=life_fac,0.5,0))+Sens!I8850*0.5)/life_fac</f>
        <v>6.950862093</v>
      </c>
      <c r="J8855" s="6" t="n">
        <f aca="false">(Sens!C8850*IF(7&lt;life_fac,1,IF(7=life_fac,0.5,0))+Sens!D8850*IF(6&lt;life_fac,1,IF(6=life_fac,0.5,0))+Sens!E8850*IF(5&lt;life_fac,1,IF(5=life_fac,0.5,0))+Sens!F8850*IF(4&lt;life_fac,1,IF(4=life_fac,0.5,0))+Sens!G8850*IF(3&lt;life_fac,1,IF(3=life_fac,0.5,0))+Sens!H8850*IF(2&lt;life_fac,1,IF(2=life_fac,0.5,0))+Sens!I8850*IF(1&lt;life_fac,1,IF(1=life_fac,0.5,0))+Sens!J8850*0.5)/life_fac</f>
        <v>7.854279972</v>
      </c>
      <c r="K8855" s="6" t="n">
        <f aca="false">(Sens!C8850*IF(8&lt;life_fac,1,IF(8=life_fac,0.5,0))+Sens!D8850*IF(7&lt;life_fac,1,IF(7=life_fac,0.5,0))+Sens!E8850*IF(6&lt;life_fac,1,IF(6=life_fac,0.5,0))+Sens!F8850*IF(5&lt;life_fac,1,IF(5=life_fac,0.5,0))+Sens!G8850*IF(4&lt;life_fac,1,IF(4=life_fac,0.5,0))+Sens!H8850*IF(3&lt;life_fac,1,IF(3=life_fac,0.5,0))+Sens!I8850*IF(2&lt;life_fac,1,IF(2=life_fac,0.5,0))+Sens!J8850*IF(1&lt;life_fac,1,IF(1=life_fac,0.5,0))+Sens!K8850*0.5)/life_fac</f>
        <v>8.292655637</v>
      </c>
    </row>
    <row r="8856" customFormat="false" ht="17.15" hidden="false" customHeight="false" outlineLevel="0" collapsed="false">
      <c r="A8856" s="0" t="s">
        <v>844</v>
      </c>
      <c r="B8856" s="0" t="s">
        <v>98</v>
      </c>
      <c r="E8856" s="6" t="n">
        <f aca="false">Sens!E8854+Sens!E8855</f>
        <v>16.3054059770833</v>
      </c>
      <c r="F8856" s="6" t="n">
        <f aca="false">Sens!F8854+Sens!F8855</f>
        <v>34.7413632892031</v>
      </c>
      <c r="G8856" s="6" t="n">
        <f aca="false">Sens!G8854+Sens!G8855</f>
        <v>60.5083889270063</v>
      </c>
      <c r="H8856" s="6" t="n">
        <f aca="false">Sens!H8854+Sens!H8855</f>
        <v>87.7439716598062</v>
      </c>
      <c r="I8856" s="6" t="n">
        <f aca="false">Sens!I8854+Sens!I8855</f>
        <v>111.988695648888</v>
      </c>
      <c r="J8856" s="6" t="n">
        <f aca="false">Sens!J8854+Sens!J8855</f>
        <v>129.185366589332</v>
      </c>
      <c r="K8856" s="6" t="n">
        <f aca="false">Sens!K8854+Sens!K8855</f>
        <v>139.64930247114</v>
      </c>
    </row>
    <row r="8857" customFormat="false" ht="17.15" hidden="false" customHeight="false" outlineLevel="0" collapsed="false">
      <c r="A8857" s="0" t="s">
        <v>845</v>
      </c>
      <c r="B8857" s="0" t="s">
        <v>98</v>
      </c>
      <c r="E8857" s="6" t="n">
        <f aca="false">Sens!E8845-Sens!E8844*Sens!E8856</f>
        <v>8.92707889977379</v>
      </c>
      <c r="F8857" s="6" t="n">
        <f aca="false">Sens!F8845-Sens!F8844*Sens!F8856</f>
        <v>18.614622775672</v>
      </c>
      <c r="G8857" s="6" t="n">
        <f aca="false">Sens!G8845-Sens!G8844*Sens!G8856</f>
        <v>30.2477212016024</v>
      </c>
      <c r="H8857" s="6" t="n">
        <f aca="false">Sens!H8845-Sens!H8844*Sens!H8856</f>
        <v>42.5732619879752</v>
      </c>
      <c r="I8857" s="6" t="n">
        <f aca="false">Sens!I8845-Sens!I8844*Sens!I8856</f>
        <v>53.5293736284555</v>
      </c>
      <c r="J8857" s="6" t="n">
        <f aca="false">Sens!J8845-Sens!J8844*Sens!J8856</f>
        <v>61.1257105656484</v>
      </c>
      <c r="K8857" s="6" t="n">
        <f aca="false">Sens!K8845-Sens!K8844*Sens!K8856</f>
        <v>66.3452561357137</v>
      </c>
    </row>
    <row r="8858" customFormat="false" ht="17.15" hidden="false" customHeight="false" outlineLevel="0" collapsed="false">
      <c r="A8858" s="3" t="s">
        <v>1465</v>
      </c>
    </row>
    <row r="8859" customFormat="false" ht="15" hidden="false" customHeight="false" outlineLevel="0" collapsed="false">
      <c r="A8859" s="4" t="s">
        <v>43</v>
      </c>
      <c r="B8859" s="4" t="s">
        <v>65</v>
      </c>
      <c r="C8859" s="20" t="s">
        <v>788</v>
      </c>
      <c r="D8859" s="20" t="s">
        <v>789</v>
      </c>
      <c r="E8859" s="20" t="s">
        <v>790</v>
      </c>
      <c r="F8859" s="20" t="s">
        <v>791</v>
      </c>
      <c r="G8859" s="20" t="s">
        <v>792</v>
      </c>
      <c r="H8859" s="20" t="s">
        <v>793</v>
      </c>
      <c r="I8859" s="20" t="s">
        <v>794</v>
      </c>
      <c r="J8859" s="20" t="s">
        <v>795</v>
      </c>
      <c r="K8859" s="20" t="s">
        <v>796</v>
      </c>
      <c r="L8859" s="4" t="s">
        <v>47</v>
      </c>
    </row>
    <row r="8860" customFormat="false" ht="17.15" hidden="false" customHeight="false" outlineLevel="0" collapsed="false">
      <c r="A8860" s="0" t="s">
        <v>864</v>
      </c>
      <c r="B8860" s="0" t="s">
        <v>98</v>
      </c>
      <c r="D8860" s="6" t="n">
        <f aca="false">Sens!D8839</f>
        <v>12.9359794422418</v>
      </c>
      <c r="E8860" s="6" t="n">
        <f aca="false">Sens!E8839</f>
        <v>27.8095064661409</v>
      </c>
      <c r="F8860" s="6" t="n">
        <f aca="false">Sens!F8839</f>
        <v>55.0640065749585</v>
      </c>
      <c r="G8860" s="6" t="n">
        <f aca="false">Sens!G8839</f>
        <v>89.4505413190538</v>
      </c>
      <c r="H8860" s="6" t="n">
        <f aca="false">Sens!H8839</f>
        <v>124.835630736874</v>
      </c>
      <c r="I8860" s="6" t="n">
        <f aca="false">Sens!I8839</f>
        <v>156.158460265485</v>
      </c>
      <c r="J8860" s="6" t="n">
        <f aca="false">Sens!J8839</f>
        <v>177.99455972577</v>
      </c>
      <c r="K8860" s="6" t="n">
        <f aca="false">Sens!K8839</f>
        <v>191.597101773408</v>
      </c>
    </row>
    <row r="8861" customFormat="false" ht="17.15" hidden="false" customHeight="false" outlineLevel="0" collapsed="false">
      <c r="A8861" s="0" t="s">
        <v>865</v>
      </c>
      <c r="B8861" s="0" t="s">
        <v>98</v>
      </c>
      <c r="D8861" s="6" t="n">
        <f aca="false">Q!L6-Sens!D8860</f>
        <v>59.6740205577583</v>
      </c>
      <c r="E8861" s="6" t="n">
        <f aca="false">Q!M6-Sens!E8860</f>
        <v>74.1284935338591</v>
      </c>
      <c r="F8861" s="6" t="n">
        <f aca="false">Sens!E8861*(1+Sens!F8862)</f>
        <v>90.0799497373663</v>
      </c>
      <c r="G8861" s="6" t="n">
        <f aca="false">Sens!F8861*(1+Sens!G8862)</f>
        <v>107.02842520331</v>
      </c>
      <c r="H8861" s="6" t="n">
        <f aca="false">Sens!G8861*(1+Sens!H8862)</f>
        <v>124.271982585636</v>
      </c>
      <c r="I8861" s="6" t="n">
        <f aca="false">Sens!H8861*(1+Sens!I8862)</f>
        <v>140.933702381855</v>
      </c>
      <c r="J8861" s="6" t="n">
        <f aca="false">Sens!I8861*(1+Sens!J8862)</f>
        <v>156.018867314332</v>
      </c>
      <c r="K8861" s="6" t="n">
        <f aca="false">Sens!J8861*(1+Sens!K8862)</f>
        <v>168.500376699478</v>
      </c>
    </row>
    <row r="8862" customFormat="false" ht="15" hidden="false" customHeight="false" outlineLevel="0" collapsed="false">
      <c r="A8862" s="1" t="s">
        <v>866</v>
      </c>
      <c r="B8862" s="0" t="s">
        <v>129</v>
      </c>
      <c r="E8862" s="7" t="n">
        <f aca="false">Sens!E8861/Sens!D8861-1</f>
        <v>0.242223883039864</v>
      </c>
      <c r="F8862" s="7" t="n">
        <f aca="false">Sens!$E$8862+(glt_azo-Sens!$E$8862)*MIN(1,(Sens!F8822-base_fy)/n_conv)</f>
        <v>0.215186569199887</v>
      </c>
      <c r="G8862" s="7" t="n">
        <f aca="false">Sens!$E$8862+(glt_azo-Sens!$E$8862)*MIN(1,(Sens!G8822-base_fy)/n_conv)</f>
        <v>0.18814925535991</v>
      </c>
      <c r="H8862" s="7" t="n">
        <f aca="false">Sens!$E$8862+(glt_azo-Sens!$E$8862)*MIN(1,(Sens!H8822-base_fy)/n_conv)</f>
        <v>0.161111941519932</v>
      </c>
      <c r="I8862" s="7" t="n">
        <f aca="false">Sens!$E$8862+(glt_azo-Sens!$E$8862)*MIN(1,(Sens!I8822-base_fy)/n_conv)</f>
        <v>0.134074627679955</v>
      </c>
      <c r="J8862" s="7" t="n">
        <f aca="false">Sens!$E$8862+(glt_azo-Sens!$E$8862)*MIN(1,(Sens!J8822-base_fy)/n_conv)</f>
        <v>0.107037313839977</v>
      </c>
      <c r="K8862" s="7" t="n">
        <f aca="false">Sens!$E$8862+(glt_azo-Sens!$E$8862)*MIN(1,(Sens!K8822-base_fy)/n_conv)</f>
        <v>0.08</v>
      </c>
    </row>
    <row r="8863" customFormat="false" ht="15" hidden="false" customHeight="false" outlineLevel="0" collapsed="false">
      <c r="A8863" s="0" t="s">
        <v>867</v>
      </c>
      <c r="B8863" s="0" t="s">
        <v>98</v>
      </c>
      <c r="D8863" s="6" t="n">
        <f aca="false">Sens!D8860+Sens!D8861</f>
        <v>72.61</v>
      </c>
      <c r="E8863" s="6" t="n">
        <f aca="false">Sens!E8860+Sens!E8861</f>
        <v>101.938</v>
      </c>
      <c r="F8863" s="6" t="n">
        <f aca="false">Sens!F8860+Sens!F8861</f>
        <v>145.143956312325</v>
      </c>
      <c r="G8863" s="6" t="n">
        <f aca="false">Sens!G8860+Sens!G8861</f>
        <v>196.478966522364</v>
      </c>
      <c r="H8863" s="6" t="n">
        <f aca="false">Sens!H8860+Sens!H8861</f>
        <v>249.10761332251</v>
      </c>
      <c r="I8863" s="6" t="n">
        <f aca="false">Sens!I8860+Sens!I8861</f>
        <v>297.09216264734</v>
      </c>
      <c r="J8863" s="6" t="n">
        <f aca="false">Sens!J8860+Sens!J8861</f>
        <v>334.013427040101</v>
      </c>
      <c r="K8863" s="6" t="n">
        <f aca="false">Sens!K8860+Sens!K8861</f>
        <v>360.097478472886</v>
      </c>
    </row>
    <row r="8864" customFormat="false" ht="17.15" hidden="false" customHeight="false" outlineLevel="0" collapsed="false">
      <c r="A8864" s="0" t="s">
        <v>868</v>
      </c>
      <c r="B8864" s="1" t="s">
        <v>521</v>
      </c>
      <c r="C8864" s="29" t="n">
        <f aca="false">cop_s24</f>
        <v>1</v>
      </c>
      <c r="D8864" s="29" t="n">
        <f aca="false">cop_s25</f>
        <v>5</v>
      </c>
      <c r="E8864" s="29" t="n">
        <f aca="false">cop_s26</f>
        <v>30</v>
      </c>
      <c r="F8864" s="29" t="n">
        <f aca="false">Sens!E8864+cop_add_B</f>
        <v>50</v>
      </c>
      <c r="G8864" s="29" t="n">
        <f aca="false">Sens!F8864+cop_add_B</f>
        <v>70</v>
      </c>
      <c r="H8864" s="29" t="n">
        <f aca="false">Sens!G8864+cop_add_B</f>
        <v>90</v>
      </c>
      <c r="I8864" s="29" t="n">
        <f aca="false">Sens!H8864+cop_add_B*cop_tail</f>
        <v>100</v>
      </c>
      <c r="J8864" s="29" t="n">
        <f aca="false">Sens!I8864+cop_add_B*cop_tail</f>
        <v>110</v>
      </c>
      <c r="K8864" s="29" t="n">
        <f aca="false">Sens!J8864+cop_add_B*cop_tail</f>
        <v>120</v>
      </c>
      <c r="L8864" s="11" t="s">
        <v>869</v>
      </c>
    </row>
    <row r="8865" customFormat="false" ht="17.15" hidden="false" customHeight="false" outlineLevel="0" collapsed="false">
      <c r="A8865" s="0" t="s">
        <v>870</v>
      </c>
      <c r="B8865" s="0" t="s">
        <v>98</v>
      </c>
      <c r="D8865" s="6" t="n">
        <f aca="false">(Sens!C8864+Sens!D8864)/2*cop_px*12/1000</f>
        <v>0.9</v>
      </c>
      <c r="E8865" s="6" t="n">
        <f aca="false">(Sens!D8864+Sens!E8864)/2*cop_px*12/1000</f>
        <v>5.25</v>
      </c>
      <c r="F8865" s="6" t="n">
        <f aca="false">(Sens!E8864+Sens!F8864)/2*cop_px*12/1000</f>
        <v>12</v>
      </c>
      <c r="G8865" s="6" t="n">
        <f aca="false">(Sens!F8864+Sens!G8864)/2*cop_px*12/1000</f>
        <v>18</v>
      </c>
      <c r="H8865" s="6" t="n">
        <f aca="false">(Sens!G8864+Sens!H8864)/2*cop_px*12/1000</f>
        <v>24</v>
      </c>
      <c r="I8865" s="6" t="n">
        <f aca="false">(Sens!H8864+Sens!I8864)/2*cop_px*12/1000</f>
        <v>28.5</v>
      </c>
      <c r="J8865" s="6" t="n">
        <f aca="false">(Sens!I8864+Sens!J8864)/2*cop_px*12/1000</f>
        <v>31.5</v>
      </c>
      <c r="K8865" s="6" t="n">
        <f aca="false">(Sens!J8864+Sens!K8864)/2*cop_px*12/1000</f>
        <v>34.5</v>
      </c>
      <c r="L8865" s="1" t="s">
        <v>871</v>
      </c>
    </row>
    <row r="8866" customFormat="false" ht="17.15" hidden="false" customHeight="false" outlineLevel="0" collapsed="false">
      <c r="A8866" s="0" t="s">
        <v>872</v>
      </c>
      <c r="B8866" s="0" t="s">
        <v>98</v>
      </c>
      <c r="D8866" s="6" t="n">
        <f aca="false">Q!L7-Sens!D8865</f>
        <v>83.705</v>
      </c>
      <c r="E8866" s="6" t="n">
        <f aca="false">Q!M7-Sens!E8865</f>
        <v>95.049</v>
      </c>
      <c r="F8866" s="6" t="n">
        <f aca="false">Sens!E8866*(1+Sens!F8867)</f>
        <v>106.89238776686</v>
      </c>
      <c r="G8866" s="6" t="n">
        <f aca="false">Sens!F8866*(1+Sens!G8867)</f>
        <v>119.044168448684</v>
      </c>
      <c r="H8866" s="6" t="n">
        <f aca="false">Sens!G8866*(1+Sens!H8867)</f>
        <v>131.277359388781</v>
      </c>
      <c r="I8866" s="6" t="n">
        <f aca="false">Sens!H8866*(1+Sens!I8867)</f>
        <v>143.334028071957</v>
      </c>
      <c r="J8866" s="6" t="n">
        <f aca="false">Sens!I8866*(1+Sens!J8867)</f>
        <v>154.932702785465</v>
      </c>
      <c r="K8866" s="6" t="n">
        <f aca="false">Sens!J8866*(1+Sens!K8867)</f>
        <v>165.777991980448</v>
      </c>
    </row>
    <row r="8867" customFormat="false" ht="15" hidden="false" customHeight="false" outlineLevel="0" collapsed="false">
      <c r="A8867" s="1" t="s">
        <v>866</v>
      </c>
      <c r="B8867" s="0" t="s">
        <v>129</v>
      </c>
      <c r="E8867" s="7" t="n">
        <f aca="false">Sens!E8866/Sens!D8866-1</f>
        <v>0.135523564900544</v>
      </c>
      <c r="F8867" s="7" t="n">
        <f aca="false">Sens!$E$8867+(glt_m365b-Sens!$E$8867)*MIN(1,(Sens!F8822-base_fy)/n_conv)</f>
        <v>0.124602970750453</v>
      </c>
      <c r="G8867" s="7" t="n">
        <f aca="false">Sens!$E$8867+(glt_m365b-Sens!$E$8867)*MIN(1,(Sens!G8822-base_fy)/n_conv)</f>
        <v>0.113682376600363</v>
      </c>
      <c r="H8867" s="7" t="n">
        <f aca="false">Sens!$E$8867+(glt_m365b-Sens!$E$8867)*MIN(1,(Sens!H8822-base_fy)/n_conv)</f>
        <v>0.102761782450272</v>
      </c>
      <c r="I8867" s="7" t="n">
        <f aca="false">Sens!$E$8867+(glt_m365b-Sens!$E$8867)*MIN(1,(Sens!I8822-base_fy)/n_conv)</f>
        <v>0.0918411883001813</v>
      </c>
      <c r="J8867" s="7" t="n">
        <f aca="false">Sens!$E$8867+(glt_m365b-Sens!$E$8867)*MIN(1,(Sens!J8822-base_fy)/n_conv)</f>
        <v>0.0809205941500906</v>
      </c>
      <c r="K8867" s="7" t="n">
        <f aca="false">Sens!$E$8867+(glt_m365b-Sens!$E$8867)*MIN(1,(Sens!K8822-base_fy)/n_conv)</f>
        <v>0.07</v>
      </c>
    </row>
    <row r="8868" customFormat="false" ht="15" hidden="false" customHeight="false" outlineLevel="0" collapsed="false">
      <c r="A8868" s="0" t="s">
        <v>873</v>
      </c>
      <c r="B8868" s="0" t="s">
        <v>98</v>
      </c>
      <c r="D8868" s="6" t="n">
        <f aca="false">Sens!D8866+Sens!D8865</f>
        <v>84.605</v>
      </c>
      <c r="E8868" s="6" t="n">
        <f aca="false">Sens!E8866+Sens!E8865</f>
        <v>100.299</v>
      </c>
      <c r="F8868" s="6" t="n">
        <f aca="false">Sens!F8866+Sens!F8865</f>
        <v>118.89238776686</v>
      </c>
      <c r="G8868" s="6" t="n">
        <f aca="false">Sens!G8866+Sens!G8865</f>
        <v>137.044168448684</v>
      </c>
      <c r="H8868" s="6" t="n">
        <f aca="false">Sens!H8866+Sens!H8865</f>
        <v>155.277359388781</v>
      </c>
      <c r="I8868" s="6" t="n">
        <f aca="false">Sens!I8866+Sens!I8865</f>
        <v>171.834028071957</v>
      </c>
      <c r="J8868" s="6" t="n">
        <f aca="false">Sens!J8866+Sens!J8865</f>
        <v>186.432702785465</v>
      </c>
      <c r="K8868" s="6" t="n">
        <f aca="false">Sens!K8866+Sens!K8865</f>
        <v>200.277991980448</v>
      </c>
    </row>
    <row r="8869" customFormat="false" ht="15" hidden="false" customHeight="false" outlineLevel="0" collapsed="false">
      <c r="A8869" s="0" t="s">
        <v>874</v>
      </c>
      <c r="B8869" s="0" t="s">
        <v>98</v>
      </c>
      <c r="D8869" s="6" t="n">
        <f aca="false">Q!L8</f>
        <v>35.391</v>
      </c>
      <c r="E8869" s="6" t="n">
        <f aca="false">Q!M8</f>
        <v>37.285</v>
      </c>
      <c r="F8869" s="6" t="n">
        <f aca="false">Sens!E8869*(1+Sens!F8870)</f>
        <v>39.0720834331704</v>
      </c>
      <c r="G8869" s="6" t="n">
        <f aca="false">Sens!F8869*(1+Sens!G8870)</f>
        <v>40.726562953769</v>
      </c>
      <c r="H8869" s="6" t="n">
        <f aca="false">Sens!G8869*(1+Sens!H8870)</f>
        <v>42.2235987259198</v>
      </c>
      <c r="I8869" s="6" t="n">
        <f aca="false">Sens!H8869*(1+Sens!I8870)</f>
        <v>43.5397988077414</v>
      </c>
      <c r="J8869" s="6" t="n">
        <f aca="false">Sens!I8869*(1+Sens!J8870)</f>
        <v>44.653811225693</v>
      </c>
      <c r="K8869" s="6" t="n">
        <f aca="false">Sens!J8869*(1+Sens!K8870)</f>
        <v>45.5468874502068</v>
      </c>
    </row>
    <row r="8870" customFormat="false" ht="15" hidden="false" customHeight="false" outlineLevel="0" collapsed="false">
      <c r="A8870" s="1" t="s">
        <v>866</v>
      </c>
      <c r="B8870" s="0" t="s">
        <v>129</v>
      </c>
      <c r="E8870" s="7" t="n">
        <f aca="false">Sens!E8869/Sens!D8869-1</f>
        <v>0.0535164307309768</v>
      </c>
      <c r="F8870" s="7" t="n">
        <f aca="false">Sens!$E$8870+(glt_lic-Sens!$E$8870)*MIN(1,(Sens!F8822-base_fy)/n_conv)</f>
        <v>0.0479303589424807</v>
      </c>
      <c r="G8870" s="7" t="n">
        <f aca="false">Sens!$E$8870+(glt_lic-Sens!$E$8870)*MIN(1,(Sens!G8822-base_fy)/n_conv)</f>
        <v>0.0423442871539845</v>
      </c>
      <c r="H8870" s="7" t="n">
        <f aca="false">Sens!$E$8870+(glt_lic-Sens!$E$8870)*MIN(1,(Sens!H8822-base_fy)/n_conv)</f>
        <v>0.0367582153654884</v>
      </c>
      <c r="I8870" s="7" t="n">
        <f aca="false">Sens!$E$8870+(glt_lic-Sens!$E$8870)*MIN(1,(Sens!I8822-base_fy)/n_conv)</f>
        <v>0.0311721435769923</v>
      </c>
      <c r="J8870" s="7" t="n">
        <f aca="false">Sens!$E$8870+(glt_lic-Sens!$E$8870)*MIN(1,(Sens!J8822-base_fy)/n_conv)</f>
        <v>0.0255860717884961</v>
      </c>
      <c r="K8870" s="7" t="n">
        <f aca="false">Sens!$E$8870+(glt_lic-Sens!$E$8870)*MIN(1,(Sens!K8822-base_fy)/n_conv)</f>
        <v>0.02</v>
      </c>
    </row>
    <row r="8871" customFormat="false" ht="15" hidden="false" customHeight="false" outlineLevel="0" collapsed="false">
      <c r="A8871" s="0" t="s">
        <v>875</v>
      </c>
      <c r="B8871" s="0" t="s">
        <v>98</v>
      </c>
      <c r="D8871" s="6" t="n">
        <f aca="false">Q!L9</f>
        <v>18.417</v>
      </c>
      <c r="E8871" s="6" t="n">
        <f aca="false">Q!M9</f>
        <v>20.345</v>
      </c>
      <c r="F8871" s="6" t="n">
        <f aca="false">Sens!E8871*(1+Sens!F8872)</f>
        <v>22.3572203267814</v>
      </c>
      <c r="G8871" s="6" t="n">
        <f aca="false">Sens!F8871*(1+Sens!G8872)</f>
        <v>24.4392124437232</v>
      </c>
      <c r="H8871" s="6" t="n">
        <f aca="false">Sens!G8871*(1+Sens!H8872)</f>
        <v>26.5738052080665</v>
      </c>
      <c r="I8871" s="6" t="n">
        <f aca="false">Sens!H8871*(1+Sens!I8872)</f>
        <v>28.7412169166967</v>
      </c>
      <c r="J8871" s="6" t="n">
        <f aca="false">Sens!I8871*(1+Sens!J8872)</f>
        <v>30.9192545395413</v>
      </c>
      <c r="K8871" s="6" t="n">
        <f aca="false">Sens!J8871*(1+Sens!K8872)</f>
        <v>33.0836023573092</v>
      </c>
    </row>
    <row r="8872" customFormat="false" ht="15" hidden="false" customHeight="false" outlineLevel="0" collapsed="false">
      <c r="A8872" s="1" t="s">
        <v>866</v>
      </c>
      <c r="B8872" s="0" t="s">
        <v>129</v>
      </c>
      <c r="E8872" s="7" t="n">
        <f aca="false">Sens!E8871/Sens!D8871-1</f>
        <v>0.104685888038225</v>
      </c>
      <c r="F8872" s="7" t="n">
        <f aca="false">Sens!$E$8872+(glt_ind-Sens!$E$8872)*MIN(1,(Sens!F8822-base_fy)/n_conv)</f>
        <v>0.0989049066985211</v>
      </c>
      <c r="G8872" s="7" t="n">
        <f aca="false">Sens!$E$8872+(glt_ind-Sens!$E$8872)*MIN(1,(Sens!G8822-base_fy)/n_conv)</f>
        <v>0.0931239253588169</v>
      </c>
      <c r="H8872" s="7" t="n">
        <f aca="false">Sens!$E$8872+(glt_ind-Sens!$E$8872)*MIN(1,(Sens!H8822-base_fy)/n_conv)</f>
        <v>0.0873429440191127</v>
      </c>
      <c r="I8872" s="7" t="n">
        <f aca="false">Sens!$E$8872+(glt_ind-Sens!$E$8872)*MIN(1,(Sens!I8822-base_fy)/n_conv)</f>
        <v>0.0815619626794085</v>
      </c>
      <c r="J8872" s="7" t="n">
        <f aca="false">Sens!$E$8872+(glt_ind-Sens!$E$8872)*MIN(1,(Sens!J8822-base_fy)/n_conv)</f>
        <v>0.0757809813397042</v>
      </c>
      <c r="K8872" s="7" t="n">
        <f aca="false">Sens!$E$8872+(glt_ind-Sens!$E$8872)*MIN(1,(Sens!K8822-base_fy)/n_conv)</f>
        <v>0.07</v>
      </c>
    </row>
    <row r="8873" customFormat="false" ht="15" hidden="false" customHeight="false" outlineLevel="0" collapsed="false">
      <c r="A8873" s="0" t="s">
        <v>876</v>
      </c>
      <c r="B8873" s="0" t="s">
        <v>98</v>
      </c>
      <c r="D8873" s="6" t="n">
        <f aca="false">Q!L10</f>
        <v>7.76</v>
      </c>
      <c r="E8873" s="6" t="n">
        <f aca="false">Q!M10</f>
        <v>8.26</v>
      </c>
      <c r="F8873" s="6" t="n">
        <f aca="false">Sens!E8873*(1+Sens!F8874)</f>
        <v>8.79988041237113</v>
      </c>
      <c r="G8873" s="6" t="n">
        <f aca="false">Sens!F8873*(1+Sens!G8874)</f>
        <v>9.38321269125306</v>
      </c>
      <c r="H8873" s="6" t="n">
        <f aca="false">Sens!G8873*(1+Sens!H8874)</f>
        <v>10.0139193587476</v>
      </c>
      <c r="I8873" s="6" t="n">
        <f aca="false">Sens!H8873*(1+Sens!I8874)</f>
        <v>10.6963111830911</v>
      </c>
      <c r="J8873" s="6" t="n">
        <f aca="false">Sens!I8873*(1+Sens!J8874)</f>
        <v>11.4351285534696</v>
      </c>
      <c r="K8873" s="6" t="n">
        <f aca="false">Sens!J8873*(1+Sens!K8874)</f>
        <v>12.2355875522124</v>
      </c>
    </row>
    <row r="8874" customFormat="false" ht="15" hidden="false" customHeight="false" outlineLevel="0" collapsed="false">
      <c r="A8874" s="1" t="s">
        <v>866</v>
      </c>
      <c r="B8874" s="0" t="s">
        <v>129</v>
      </c>
      <c r="E8874" s="7" t="n">
        <f aca="false">Sens!E8873/Sens!D8873-1</f>
        <v>0.0644329896907216</v>
      </c>
      <c r="F8874" s="7" t="n">
        <f aca="false">Sens!$E$8874+(glt_fro-Sens!$E$8874)*MIN(1,(Sens!F8822-base_fy)/n_conv)</f>
        <v>0.065360824742268</v>
      </c>
      <c r="G8874" s="7" t="n">
        <f aca="false">Sens!$E$8874+(glt_fro-Sens!$E$8874)*MIN(1,(Sens!G8822-base_fy)/n_conv)</f>
        <v>0.0662886597938144</v>
      </c>
      <c r="H8874" s="7" t="n">
        <f aca="false">Sens!$E$8874+(glt_fro-Sens!$E$8874)*MIN(1,(Sens!H8822-base_fy)/n_conv)</f>
        <v>0.0672164948453608</v>
      </c>
      <c r="I8874" s="7" t="n">
        <f aca="false">Sens!$E$8874+(glt_fro-Sens!$E$8874)*MIN(1,(Sens!I8822-base_fy)/n_conv)</f>
        <v>0.0681443298969072</v>
      </c>
      <c r="J8874" s="7" t="n">
        <f aca="false">Sens!$E$8874+(glt_fro-Sens!$E$8874)*MIN(1,(Sens!J8822-base_fy)/n_conv)</f>
        <v>0.0690721649484536</v>
      </c>
      <c r="K8874" s="7" t="n">
        <f aca="false">Sens!$E$8874+(glt_fro-Sens!$E$8874)*MIN(1,(Sens!K8822-base_fy)/n_conv)</f>
        <v>0.07</v>
      </c>
    </row>
    <row r="8875" customFormat="false" ht="15" hidden="false" customHeight="false" outlineLevel="0" collapsed="false">
      <c r="A8875" s="0" t="s">
        <v>704</v>
      </c>
      <c r="B8875" s="0" t="s">
        <v>98</v>
      </c>
      <c r="D8875" s="6" t="n">
        <f aca="false">Sens!D8863+Sens!D8868+Sens!D8869+Sens!D8871+Sens!D8873</f>
        <v>218.783</v>
      </c>
      <c r="E8875" s="6" t="n">
        <f aca="false">Sens!E8863+Sens!E8868+Sens!E8869+Sens!E8871+Sens!E8873</f>
        <v>268.127</v>
      </c>
      <c r="F8875" s="6" t="n">
        <f aca="false">Sens!F8863+Sens!F8868+Sens!F8869+Sens!F8871+Sens!F8873</f>
        <v>334.265528251508</v>
      </c>
      <c r="G8875" s="6" t="n">
        <f aca="false">Sens!G8863+Sens!G8868+Sens!G8869+Sens!G8871+Sens!G8873</f>
        <v>408.072123059793</v>
      </c>
      <c r="H8875" s="6" t="n">
        <f aca="false">Sens!H8863+Sens!H8868+Sens!H8869+Sens!H8871+Sens!H8873</f>
        <v>483.196296004025</v>
      </c>
      <c r="I8875" s="6" t="n">
        <f aca="false">Sens!I8863+Sens!I8868+Sens!I8869+Sens!I8871+Sens!I8873</f>
        <v>551.903517626826</v>
      </c>
      <c r="J8875" s="6" t="n">
        <f aca="false">Sens!J8863+Sens!J8868+Sens!J8869+Sens!J8871+Sens!J8873</f>
        <v>607.45432414427</v>
      </c>
      <c r="K8875" s="6" t="n">
        <f aca="false">Sens!K8863+Sens!K8868+Sens!K8869+Sens!K8871+Sens!K8873</f>
        <v>651.241547813062</v>
      </c>
    </row>
    <row r="8876" customFormat="false" ht="15" hidden="false" customHeight="false" outlineLevel="0" collapsed="false">
      <c r="A8876" s="0" t="s">
        <v>877</v>
      </c>
      <c r="B8876" s="0" t="s">
        <v>98</v>
      </c>
      <c r="D8876" s="6" t="n">
        <f aca="false">Q!L13</f>
        <v>22.171</v>
      </c>
      <c r="E8876" s="6" t="n">
        <f aca="false">Q!M13</f>
        <v>24.835</v>
      </c>
      <c r="F8876" s="6" t="n">
        <f aca="false">Sens!E8876*(1+Sens!F8877)</f>
        <v>27.4873151218559</v>
      </c>
      <c r="G8876" s="6" t="n">
        <f aca="false">Sens!F8876*(1+Sens!G8877)</f>
        <v>30.0556741721455</v>
      </c>
      <c r="H8876" s="6" t="n">
        <f aca="false">Sens!G8876*(1+Sens!H8877)</f>
        <v>32.4624869022303</v>
      </c>
      <c r="I8876" s="6" t="n">
        <f aca="false">Sens!H8876*(1+Sens!I8877)</f>
        <v>34.6283511524715</v>
      </c>
      <c r="J8876" s="6" t="n">
        <f aca="false">Sens!I8876*(1+Sens!J8877)</f>
        <v>36.476102435307</v>
      </c>
      <c r="K8876" s="6" t="n">
        <f aca="false">Sens!J8876*(1+Sens!K8877)</f>
        <v>37.9351465327193</v>
      </c>
    </row>
    <row r="8877" customFormat="false" ht="15" hidden="false" customHeight="false" outlineLevel="0" collapsed="false">
      <c r="A8877" s="1" t="s">
        <v>866</v>
      </c>
      <c r="B8877" s="0" t="s">
        <v>129</v>
      </c>
      <c r="E8877" s="7" t="n">
        <f aca="false">Sens!E8876/Sens!D8876-1</f>
        <v>0.120156961796942</v>
      </c>
      <c r="F8877" s="7" t="n">
        <f aca="false">Sens!$E$8877+(glt_srch_lo-Sens!$E$8877)*MIN(1,(Sens!F8822-base_fy)/n_conv)</f>
        <v>0.106797468164118</v>
      </c>
      <c r="G8877" s="7" t="n">
        <f aca="false">Sens!$E$8877+(glt_srch_lo-Sens!$E$8877)*MIN(1,(Sens!G8822-base_fy)/n_conv)</f>
        <v>0.0934379745312947</v>
      </c>
      <c r="H8877" s="7" t="n">
        <f aca="false">Sens!$E$8877+(glt_srch_lo-Sens!$E$8877)*MIN(1,(Sens!H8822-base_fy)/n_conv)</f>
        <v>0.080078480898471</v>
      </c>
      <c r="I8877" s="7" t="n">
        <f aca="false">Sens!$E$8877+(glt_srch_lo-Sens!$E$8877)*MIN(1,(Sens!I8822-base_fy)/n_conv)</f>
        <v>0.0667189872656473</v>
      </c>
      <c r="J8877" s="7" t="n">
        <f aca="false">Sens!$E$8877+(glt_srch_lo-Sens!$E$8877)*MIN(1,(Sens!J8822-base_fy)/n_conv)</f>
        <v>0.0533594936328237</v>
      </c>
      <c r="K8877" s="7" t="n">
        <f aca="false">Sens!$E$8877+(glt_srch_lo-Sens!$E$8877)*MIN(1,(Sens!K8822-base_fy)/n_conv)</f>
        <v>0.04</v>
      </c>
    </row>
    <row r="8878" customFormat="false" ht="15" hidden="false" customHeight="false" outlineLevel="0" collapsed="false">
      <c r="A8878" s="0" t="s">
        <v>878</v>
      </c>
      <c r="B8878" s="0" t="s">
        <v>98</v>
      </c>
      <c r="D8878" s="6" t="n">
        <f aca="false">Q!L14</f>
        <v>23.455</v>
      </c>
      <c r="E8878" s="6" t="n">
        <f aca="false">Q!M14</f>
        <v>21.79</v>
      </c>
      <c r="F8878" s="6" t="n">
        <f aca="false">Sens!E8878*(1+Sens!F8879)</f>
        <v>20.5736277908051</v>
      </c>
      <c r="G8878" s="6" t="n">
        <f aca="false">Sens!F8878*(1+Sens!G8879)</f>
        <v>19.7371452817919</v>
      </c>
      <c r="H8878" s="6" t="n">
        <f aca="false">Sens!G8878*(1+Sens!H8879)</f>
        <v>19.2339764043138</v>
      </c>
      <c r="I8878" s="6" t="n">
        <f aca="false">Sens!H8878*(1+Sens!I8879)</f>
        <v>19.0353086852681</v>
      </c>
      <c r="J8878" s="6" t="n">
        <f aca="false">Sens!I8878*(1+Sens!J8879)</f>
        <v>19.1273539319129</v>
      </c>
      <c r="K8878" s="6" t="n">
        <f aca="false">Sens!J8878*(1+Sens!K8879)</f>
        <v>19.5099010105511</v>
      </c>
    </row>
    <row r="8879" customFormat="false" ht="15" hidden="false" customHeight="false" outlineLevel="0" collapsed="false">
      <c r="A8879" s="1" t="s">
        <v>866</v>
      </c>
      <c r="B8879" s="0" t="s">
        <v>129</v>
      </c>
      <c r="E8879" s="7" t="n">
        <f aca="false">Sens!E8878/Sens!D8878-1</f>
        <v>-0.0709869963760392</v>
      </c>
      <c r="F8879" s="7" t="n">
        <f aca="false">Sens!$E$8879+(glt_xbox-Sens!$E$8879)*MIN(1,(Sens!F8822-base_fy)/n_conv)</f>
        <v>-0.0558224969800327</v>
      </c>
      <c r="G8879" s="7" t="n">
        <f aca="false">Sens!$E$8879+(glt_xbox-Sens!$E$8879)*MIN(1,(Sens!G8822-base_fy)/n_conv)</f>
        <v>-0.0406579975840262</v>
      </c>
      <c r="H8879" s="7" t="n">
        <f aca="false">Sens!$E$8879+(glt_xbox-Sens!$E$8879)*MIN(1,(Sens!H8822-base_fy)/n_conv)</f>
        <v>-0.0254934981880196</v>
      </c>
      <c r="I8879" s="7" t="n">
        <f aca="false">Sens!$E$8879+(glt_xbox-Sens!$E$8879)*MIN(1,(Sens!I8822-base_fy)/n_conv)</f>
        <v>-0.0103289987920131</v>
      </c>
      <c r="J8879" s="7" t="n">
        <f aca="false">Sens!$E$8879+(glt_xbox-Sens!$E$8879)*MIN(1,(Sens!J8822-base_fy)/n_conv)</f>
        <v>0.00483550060399347</v>
      </c>
      <c r="K8879" s="7" t="n">
        <f aca="false">Sens!$E$8879+(glt_xbox-Sens!$E$8879)*MIN(1,(Sens!K8822-base_fy)/n_conv)</f>
        <v>0.02</v>
      </c>
    </row>
    <row r="8880" customFormat="false" ht="15" hidden="false" customHeight="false" outlineLevel="0" collapsed="false">
      <c r="A8880" s="0" t="s">
        <v>879</v>
      </c>
      <c r="B8880" s="0" t="s">
        <v>98</v>
      </c>
      <c r="D8880" s="6" t="n">
        <f aca="false">Q!L15</f>
        <v>17.315</v>
      </c>
      <c r="E8880" s="6" t="n">
        <f aca="false">Q!M15</f>
        <v>17.087</v>
      </c>
      <c r="F8880" s="6" t="n">
        <f aca="false">Sens!E8880*(1+Sens!F8881)</f>
        <v>16.9564585436519</v>
      </c>
      <c r="G8880" s="6" t="n">
        <f aca="false">Sens!F8880*(1+Sens!G8881)</f>
        <v>16.9206490624268</v>
      </c>
      <c r="H8880" s="6" t="n">
        <f aca="false">Sens!G8880*(1+Sens!H8881)</f>
        <v>16.9784519149849</v>
      </c>
      <c r="I8880" s="6" t="n">
        <f aca="false">Sens!H8880*(1+Sens!I8881)</f>
        <v>17.1303084701817</v>
      </c>
      <c r="J8880" s="6" t="n">
        <f aca="false">Sens!I8880*(1+Sens!J8881)</f>
        <v>17.3782189407267</v>
      </c>
      <c r="K8880" s="6" t="n">
        <f aca="false">Sens!J8880*(1+Sens!K8881)</f>
        <v>17.7257833195413</v>
      </c>
    </row>
    <row r="8881" customFormat="false" ht="15" hidden="false" customHeight="false" outlineLevel="0" collapsed="false">
      <c r="A8881" s="1" t="s">
        <v>866</v>
      </c>
      <c r="B8881" s="0" t="s">
        <v>129</v>
      </c>
      <c r="E8881" s="7" t="n">
        <f aca="false">Sens!E8880/Sens!D8880-1</f>
        <v>-0.0131677736066995</v>
      </c>
      <c r="F8881" s="7" t="n">
        <f aca="false">Sens!$E$8881+(glt_win-Sens!$E$8881)*MIN(1,(Sens!F8822-base_fy)/n_conv)</f>
        <v>-0.00763981133891627</v>
      </c>
      <c r="G8881" s="7" t="n">
        <f aca="false">Sens!$E$8881+(glt_win-Sens!$E$8881)*MIN(1,(Sens!G8822-base_fy)/n_conv)</f>
        <v>-0.00211184907113301</v>
      </c>
      <c r="H8881" s="7" t="n">
        <f aca="false">Sens!$E$8881+(glt_win-Sens!$E$8881)*MIN(1,(Sens!H8822-base_fy)/n_conv)</f>
        <v>0.00341611319665024</v>
      </c>
      <c r="I8881" s="7" t="n">
        <f aca="false">Sens!$E$8881+(glt_win-Sens!$E$8881)*MIN(1,(Sens!I8822-base_fy)/n_conv)</f>
        <v>0.00894407546443349</v>
      </c>
      <c r="J8881" s="7" t="n">
        <f aca="false">Sens!$E$8881+(glt_win-Sens!$E$8881)*MIN(1,(Sens!J8822-base_fy)/n_conv)</f>
        <v>0.0144720377322168</v>
      </c>
      <c r="K8881" s="7" t="n">
        <f aca="false">Sens!$E$8881+(glt_win-Sens!$E$8881)*MIN(1,(Sens!K8822-base_fy)/n_conv)</f>
        <v>0.02</v>
      </c>
    </row>
    <row r="8882" customFormat="false" ht="15" hidden="false" customHeight="false" outlineLevel="0" collapsed="false">
      <c r="A8882" s="0" t="s">
        <v>718</v>
      </c>
      <c r="B8882" s="0" t="s">
        <v>98</v>
      </c>
      <c r="D8882" s="6" t="n">
        <f aca="false">Sens!D8876+Sens!D8878+Sens!D8880</f>
        <v>62.941</v>
      </c>
      <c r="E8882" s="6" t="n">
        <f aca="false">Sens!E8876+Sens!E8878+Sens!E8880</f>
        <v>63.712</v>
      </c>
      <c r="F8882" s="6" t="n">
        <f aca="false">Sens!F8876+Sens!F8878+Sens!F8880</f>
        <v>65.0174014563129</v>
      </c>
      <c r="G8882" s="6" t="n">
        <f aca="false">Sens!G8876+Sens!G8878+Sens!G8880</f>
        <v>66.7134685163642</v>
      </c>
      <c r="H8882" s="6" t="n">
        <f aca="false">Sens!H8876+Sens!H8878+Sens!H8880</f>
        <v>68.6749152215291</v>
      </c>
      <c r="I8882" s="6" t="n">
        <f aca="false">Sens!I8876+Sens!I8878+Sens!I8880</f>
        <v>70.7939683079213</v>
      </c>
      <c r="J8882" s="6" t="n">
        <f aca="false">Sens!J8876+Sens!J8878+Sens!J8880</f>
        <v>72.9816753079466</v>
      </c>
      <c r="K8882" s="6" t="n">
        <f aca="false">Sens!K8876+Sens!K8878+Sens!K8880</f>
        <v>75.1708308628117</v>
      </c>
    </row>
    <row r="8883" customFormat="false" ht="15" hidden="false" customHeight="false" outlineLevel="0" collapsed="false">
      <c r="A8883" s="1" t="s">
        <v>880</v>
      </c>
      <c r="B8883" s="0" t="s">
        <v>98</v>
      </c>
      <c r="D8883" s="6" t="n">
        <f aca="false">Sens!D8875+Sens!D8882</f>
        <v>281.724</v>
      </c>
      <c r="E8883" s="6" t="n">
        <f aca="false">Sens!E8875+Sens!E8882</f>
        <v>331.839</v>
      </c>
      <c r="F8883" s="6" t="n">
        <f aca="false">Sens!F8875+Sens!F8882</f>
        <v>399.282929707821</v>
      </c>
      <c r="G8883" s="6" t="n">
        <f aca="false">Sens!G8875+Sens!G8882</f>
        <v>474.785591576157</v>
      </c>
      <c r="H8883" s="6" t="n">
        <f aca="false">Sens!H8875+Sens!H8882</f>
        <v>551.871211225554</v>
      </c>
      <c r="I8883" s="6" t="n">
        <f aca="false">Sens!I8875+Sens!I8882</f>
        <v>622.697485934747</v>
      </c>
      <c r="J8883" s="6" t="n">
        <f aca="false">Sens!J8875+Sens!J8882</f>
        <v>680.435999452217</v>
      </c>
      <c r="K8883" s="6" t="n">
        <f aca="false">Sens!K8875+Sens!K8882</f>
        <v>726.412378675874</v>
      </c>
    </row>
    <row r="8884" customFormat="false" ht="15" hidden="false" customHeight="false" outlineLevel="0" collapsed="false">
      <c r="A8884" s="23" t="s">
        <v>881</v>
      </c>
      <c r="B8884" s="30" t="s">
        <v>98</v>
      </c>
      <c r="C8884" s="30"/>
      <c r="D8884" s="24" t="n">
        <f aca="false">(Sens!D8863+Sens!D8868+Sens!D8869+Sens!D8871+Sens!D8873-Sens!D8875)+(Sens!D8876+Sens!D8878+Sens!D8880-Sens!D8882)+(Sens!D8875-Q!L5)+(Sens!D8882-Q!L12)+(Sens!D8863-Q!L6)+(Sens!D8868-Q!L7)</f>
        <v>0</v>
      </c>
      <c r="E8884" s="24" t="n">
        <f aca="false">(Sens!E8863+Sens!E8868+Sens!E8869+Sens!E8871+Sens!E8873-Sens!E8875)+(Sens!E8876+Sens!E8878+Sens!E8880-Sens!E8882)+(Sens!E8875-Q!M5)+(Sens!E8882-Q!M12)+(Sens!E8863-Q!M6)+(Sens!E8868-Q!M7)</f>
        <v>0</v>
      </c>
      <c r="F8884" s="24" t="n">
        <f aca="false">(Sens!F8863+Sens!F8868+Sens!F8869+Sens!F8871+Sens!F8873-Sens!F8875)+(Sens!F8876+Sens!F8878+Sens!F8880-Sens!F8882)</f>
        <v>0</v>
      </c>
      <c r="G8884" s="24" t="n">
        <f aca="false">(Sens!G8863+Sens!G8868+Sens!G8869+Sens!G8871+Sens!G8873-Sens!G8875)+(Sens!G8876+Sens!G8878+Sens!G8880-Sens!G8882)</f>
        <v>0</v>
      </c>
      <c r="H8884" s="24" t="n">
        <f aca="false">(Sens!H8863+Sens!H8868+Sens!H8869+Sens!H8871+Sens!H8873-Sens!H8875)+(Sens!H8876+Sens!H8878+Sens!H8880-Sens!H8882)</f>
        <v>0</v>
      </c>
      <c r="I8884" s="24" t="n">
        <f aca="false">(Sens!I8863+Sens!I8868+Sens!I8869+Sens!I8871+Sens!I8873-Sens!I8875)+(Sens!I8876+Sens!I8878+Sens!I8880-Sens!I8882)</f>
        <v>0</v>
      </c>
      <c r="J8884" s="24" t="n">
        <f aca="false">(Sens!J8863+Sens!J8868+Sens!J8869+Sens!J8871+Sens!J8873-Sens!J8875)+(Sens!J8876+Sens!J8878+Sens!J8880-Sens!J8882)</f>
        <v>0</v>
      </c>
      <c r="K8884" s="24" t="n">
        <f aca="false">(Sens!K8863+Sens!K8868+Sens!K8869+Sens!K8871+Sens!K8873-Sens!K8875)+(Sens!K8876+Sens!K8878+Sens!K8880-Sens!K8882)</f>
        <v>0</v>
      </c>
    </row>
    <row r="8885" customFormat="false" ht="17.15" hidden="false" customHeight="false" outlineLevel="0" collapsed="false">
      <c r="A8885" s="3" t="s">
        <v>1466</v>
      </c>
    </row>
    <row r="8886" customFormat="false" ht="15" hidden="false" customHeight="false" outlineLevel="0" collapsed="false">
      <c r="A8886" s="4" t="s">
        <v>43</v>
      </c>
      <c r="B8886" s="4" t="s">
        <v>65</v>
      </c>
      <c r="C8886" s="20" t="s">
        <v>788</v>
      </c>
      <c r="D8886" s="20" t="s">
        <v>789</v>
      </c>
      <c r="E8886" s="20" t="s">
        <v>790</v>
      </c>
      <c r="F8886" s="20" t="s">
        <v>791</v>
      </c>
      <c r="G8886" s="20" t="s">
        <v>792</v>
      </c>
      <c r="H8886" s="20" t="s">
        <v>793</v>
      </c>
      <c r="I8886" s="20" t="s">
        <v>794</v>
      </c>
      <c r="J8886" s="20" t="s">
        <v>795</v>
      </c>
      <c r="K8886" s="20" t="s">
        <v>796</v>
      </c>
      <c r="L8886" s="4" t="s">
        <v>47</v>
      </c>
    </row>
    <row r="8887" customFormat="false" ht="15" hidden="false" customHeight="false" outlineLevel="0" collapsed="false">
      <c r="A8887" s="0" t="s">
        <v>867</v>
      </c>
      <c r="B8887" s="0" t="s">
        <v>98</v>
      </c>
      <c r="D8887" s="6" t="n">
        <f aca="false">Sens!D8863</f>
        <v>72.61</v>
      </c>
      <c r="E8887" s="6" t="n">
        <f aca="false">Sens!E8863</f>
        <v>101.938</v>
      </c>
      <c r="F8887" s="6" t="n">
        <f aca="false">Sens!F8863</f>
        <v>145.143956312325</v>
      </c>
      <c r="G8887" s="6" t="n">
        <f aca="false">Sens!G8863</f>
        <v>196.478966522364</v>
      </c>
      <c r="H8887" s="6" t="n">
        <f aca="false">Sens!H8863</f>
        <v>249.10761332251</v>
      </c>
      <c r="I8887" s="6" t="n">
        <f aca="false">Sens!I8863</f>
        <v>297.09216264734</v>
      </c>
      <c r="J8887" s="6" t="n">
        <f aca="false">Sens!J8863</f>
        <v>334.013427040101</v>
      </c>
      <c r="K8887" s="6" t="n">
        <f aca="false">Sens!K8863</f>
        <v>360.097478472886</v>
      </c>
    </row>
    <row r="8888" customFormat="false" ht="17.15" hidden="false" customHeight="false" outlineLevel="0" collapsed="false">
      <c r="A8888" s="0" t="s">
        <v>864</v>
      </c>
      <c r="B8888" s="0" t="s">
        <v>98</v>
      </c>
      <c r="D8888" s="6" t="n">
        <f aca="false">Sens!D8860</f>
        <v>12.9359794422418</v>
      </c>
      <c r="E8888" s="6" t="n">
        <f aca="false">Sens!E8860</f>
        <v>27.8095064661409</v>
      </c>
      <c r="F8888" s="6" t="n">
        <f aca="false">Sens!F8860</f>
        <v>55.0640065749585</v>
      </c>
      <c r="G8888" s="6" t="n">
        <f aca="false">Sens!G8860</f>
        <v>89.4505413190538</v>
      </c>
      <c r="H8888" s="6" t="n">
        <f aca="false">Sens!H8860</f>
        <v>124.835630736874</v>
      </c>
      <c r="I8888" s="6" t="n">
        <f aca="false">Sens!I8860</f>
        <v>156.158460265485</v>
      </c>
      <c r="J8888" s="6" t="n">
        <f aca="false">Sens!J8860</f>
        <v>177.99455972577</v>
      </c>
      <c r="K8888" s="6" t="n">
        <f aca="false">Sens!K8860</f>
        <v>191.597101773408</v>
      </c>
    </row>
    <row r="8889" customFormat="false" ht="17.15" hidden="false" customHeight="false" outlineLevel="0" collapsed="false">
      <c r="A8889" s="0" t="s">
        <v>892</v>
      </c>
      <c r="B8889" s="0" t="s">
        <v>98</v>
      </c>
      <c r="D8889" s="6" t="n">
        <f aca="false">Sens!D8861</f>
        <v>59.6740205577583</v>
      </c>
      <c r="E8889" s="6" t="n">
        <f aca="false">Sens!E8861</f>
        <v>74.1284935338591</v>
      </c>
      <c r="F8889" s="6" t="n">
        <f aca="false">Sens!F8861</f>
        <v>90.0799497373663</v>
      </c>
      <c r="G8889" s="6" t="n">
        <f aca="false">Sens!G8861</f>
        <v>107.02842520331</v>
      </c>
      <c r="H8889" s="6" t="n">
        <f aca="false">Sens!H8861</f>
        <v>124.271982585636</v>
      </c>
      <c r="I8889" s="6" t="n">
        <f aca="false">Sens!I8861</f>
        <v>140.933702381855</v>
      </c>
      <c r="J8889" s="6" t="n">
        <f aca="false">Sens!J8861</f>
        <v>156.018867314332</v>
      </c>
      <c r="K8889" s="6" t="n">
        <f aca="false">Sens!K8861</f>
        <v>168.500376699478</v>
      </c>
    </row>
    <row r="8890" customFormat="false" ht="15" hidden="false" customHeight="false" outlineLevel="0" collapsed="false">
      <c r="A8890" s="0" t="s">
        <v>873</v>
      </c>
      <c r="B8890" s="0" t="s">
        <v>98</v>
      </c>
      <c r="D8890" s="6" t="n">
        <f aca="false">Sens!D8868</f>
        <v>84.605</v>
      </c>
      <c r="E8890" s="6" t="n">
        <f aca="false">Sens!E8868</f>
        <v>100.299</v>
      </c>
      <c r="F8890" s="6" t="n">
        <f aca="false">Sens!F8868</f>
        <v>118.89238776686</v>
      </c>
      <c r="G8890" s="6" t="n">
        <f aca="false">Sens!G8868</f>
        <v>137.044168448684</v>
      </c>
      <c r="H8890" s="6" t="n">
        <f aca="false">Sens!H8868</f>
        <v>155.277359388781</v>
      </c>
      <c r="I8890" s="6" t="n">
        <f aca="false">Sens!I8868</f>
        <v>171.834028071957</v>
      </c>
      <c r="J8890" s="6" t="n">
        <f aca="false">Sens!J8868</f>
        <v>186.432702785465</v>
      </c>
      <c r="K8890" s="6" t="n">
        <f aca="false">Sens!K8868</f>
        <v>200.277991980448</v>
      </c>
    </row>
    <row r="8891" customFormat="false" ht="17.15" hidden="false" customHeight="false" outlineLevel="0" collapsed="false">
      <c r="A8891" s="0" t="s">
        <v>893</v>
      </c>
      <c r="B8891" s="0" t="s">
        <v>98</v>
      </c>
      <c r="D8891" s="6" t="n">
        <f aca="false">Sens!D8866</f>
        <v>83.705</v>
      </c>
      <c r="E8891" s="6" t="n">
        <f aca="false">Sens!E8866</f>
        <v>95.049</v>
      </c>
      <c r="F8891" s="6" t="n">
        <f aca="false">Sens!F8866</f>
        <v>106.89238776686</v>
      </c>
      <c r="G8891" s="6" t="n">
        <f aca="false">Sens!G8866</f>
        <v>119.044168448684</v>
      </c>
      <c r="H8891" s="6" t="n">
        <f aca="false">Sens!H8866</f>
        <v>131.277359388781</v>
      </c>
      <c r="I8891" s="6" t="n">
        <f aca="false">Sens!I8866</f>
        <v>143.334028071957</v>
      </c>
      <c r="J8891" s="6" t="n">
        <f aca="false">Sens!J8866</f>
        <v>154.932702785465</v>
      </c>
      <c r="K8891" s="6" t="n">
        <f aca="false">Sens!K8866</f>
        <v>165.777991980448</v>
      </c>
    </row>
    <row r="8892" customFormat="false" ht="17.15" hidden="false" customHeight="false" outlineLevel="0" collapsed="false">
      <c r="A8892" s="0" t="s">
        <v>894</v>
      </c>
      <c r="B8892" s="0" t="s">
        <v>98</v>
      </c>
      <c r="D8892" s="6" t="n">
        <f aca="false">Sens!D8865</f>
        <v>0.9</v>
      </c>
      <c r="E8892" s="6" t="n">
        <f aca="false">Sens!E8865</f>
        <v>5.25</v>
      </c>
      <c r="F8892" s="6" t="n">
        <f aca="false">Sens!F8865</f>
        <v>12</v>
      </c>
      <c r="G8892" s="6" t="n">
        <f aca="false">Sens!G8865</f>
        <v>18</v>
      </c>
      <c r="H8892" s="6" t="n">
        <f aca="false">Sens!H8865</f>
        <v>24</v>
      </c>
      <c r="I8892" s="6" t="n">
        <f aca="false">Sens!I8865</f>
        <v>28.5</v>
      </c>
      <c r="J8892" s="6" t="n">
        <f aca="false">Sens!J8865</f>
        <v>31.5</v>
      </c>
      <c r="K8892" s="6" t="n">
        <f aca="false">Sens!K8865</f>
        <v>34.5</v>
      </c>
    </row>
    <row r="8893" customFormat="false" ht="15" hidden="false" customHeight="false" outlineLevel="0" collapsed="false">
      <c r="A8893" s="0" t="s">
        <v>874</v>
      </c>
      <c r="B8893" s="0" t="s">
        <v>98</v>
      </c>
      <c r="D8893" s="6" t="n">
        <f aca="false">Sens!D8869</f>
        <v>35.391</v>
      </c>
      <c r="E8893" s="6" t="n">
        <f aca="false">Sens!E8869</f>
        <v>37.285</v>
      </c>
      <c r="F8893" s="6" t="n">
        <f aca="false">Sens!F8869</f>
        <v>39.0720834331704</v>
      </c>
      <c r="G8893" s="6" t="n">
        <f aca="false">Sens!G8869</f>
        <v>40.726562953769</v>
      </c>
      <c r="H8893" s="6" t="n">
        <f aca="false">Sens!H8869</f>
        <v>42.2235987259198</v>
      </c>
      <c r="I8893" s="6" t="n">
        <f aca="false">Sens!I8869</f>
        <v>43.5397988077414</v>
      </c>
      <c r="J8893" s="6" t="n">
        <f aca="false">Sens!J8869</f>
        <v>44.653811225693</v>
      </c>
      <c r="K8893" s="6" t="n">
        <f aca="false">Sens!K8869</f>
        <v>45.5468874502068</v>
      </c>
    </row>
    <row r="8894" customFormat="false" ht="15" hidden="false" customHeight="false" outlineLevel="0" collapsed="false">
      <c r="A8894" s="0" t="s">
        <v>875</v>
      </c>
      <c r="B8894" s="0" t="s">
        <v>98</v>
      </c>
      <c r="D8894" s="6" t="n">
        <f aca="false">Sens!D8871</f>
        <v>18.417</v>
      </c>
      <c r="E8894" s="6" t="n">
        <f aca="false">Sens!E8871</f>
        <v>20.345</v>
      </c>
      <c r="F8894" s="6" t="n">
        <f aca="false">Sens!F8871</f>
        <v>22.3572203267814</v>
      </c>
      <c r="G8894" s="6" t="n">
        <f aca="false">Sens!G8871</f>
        <v>24.4392124437232</v>
      </c>
      <c r="H8894" s="6" t="n">
        <f aca="false">Sens!H8871</f>
        <v>26.5738052080665</v>
      </c>
      <c r="I8894" s="6" t="n">
        <f aca="false">Sens!I8871</f>
        <v>28.7412169166967</v>
      </c>
      <c r="J8894" s="6" t="n">
        <f aca="false">Sens!J8871</f>
        <v>30.9192545395413</v>
      </c>
      <c r="K8894" s="6" t="n">
        <f aca="false">Sens!K8871</f>
        <v>33.0836023573092</v>
      </c>
    </row>
    <row r="8895" customFormat="false" ht="15" hidden="false" customHeight="false" outlineLevel="0" collapsed="false">
      <c r="A8895" s="0" t="s">
        <v>876</v>
      </c>
      <c r="B8895" s="0" t="s">
        <v>98</v>
      </c>
      <c r="D8895" s="6" t="n">
        <f aca="false">Sens!D8873</f>
        <v>7.76</v>
      </c>
      <c r="E8895" s="6" t="n">
        <f aca="false">Sens!E8873</f>
        <v>8.26</v>
      </c>
      <c r="F8895" s="6" t="n">
        <f aca="false">Sens!F8873</f>
        <v>8.79988041237113</v>
      </c>
      <c r="G8895" s="6" t="n">
        <f aca="false">Sens!G8873</f>
        <v>9.38321269125306</v>
      </c>
      <c r="H8895" s="6" t="n">
        <f aca="false">Sens!H8873</f>
        <v>10.0139193587476</v>
      </c>
      <c r="I8895" s="6" t="n">
        <f aca="false">Sens!I8873</f>
        <v>10.6963111830911</v>
      </c>
      <c r="J8895" s="6" t="n">
        <f aca="false">Sens!J8873</f>
        <v>11.4351285534696</v>
      </c>
      <c r="K8895" s="6" t="n">
        <f aca="false">Sens!K8873</f>
        <v>12.2355875522124</v>
      </c>
    </row>
    <row r="8896" customFormat="false" ht="15" hidden="false" customHeight="false" outlineLevel="0" collapsed="false">
      <c r="A8896" s="0" t="s">
        <v>704</v>
      </c>
      <c r="B8896" s="0" t="s">
        <v>98</v>
      </c>
      <c r="D8896" s="6" t="n">
        <f aca="false">Sens!D8875</f>
        <v>218.783</v>
      </c>
      <c r="E8896" s="6" t="n">
        <f aca="false">Sens!E8875</f>
        <v>268.127</v>
      </c>
      <c r="F8896" s="6" t="n">
        <f aca="false">Sens!F8875</f>
        <v>334.265528251508</v>
      </c>
      <c r="G8896" s="6" t="n">
        <f aca="false">Sens!G8875</f>
        <v>408.072123059793</v>
      </c>
      <c r="H8896" s="6" t="n">
        <f aca="false">Sens!H8875</f>
        <v>483.196296004025</v>
      </c>
      <c r="I8896" s="6" t="n">
        <f aca="false">Sens!I8875</f>
        <v>551.903517626826</v>
      </c>
      <c r="J8896" s="6" t="n">
        <f aca="false">Sens!J8875</f>
        <v>607.45432414427</v>
      </c>
      <c r="K8896" s="6" t="n">
        <f aca="false">Sens!K8875</f>
        <v>651.241547813062</v>
      </c>
    </row>
    <row r="8897" customFormat="false" ht="15" hidden="false" customHeight="false" outlineLevel="0" collapsed="false">
      <c r="A8897" s="0" t="s">
        <v>877</v>
      </c>
      <c r="B8897" s="0" t="s">
        <v>98</v>
      </c>
      <c r="D8897" s="6" t="n">
        <f aca="false">Sens!D8876</f>
        <v>22.171</v>
      </c>
      <c r="E8897" s="6" t="n">
        <f aca="false">Sens!E8876</f>
        <v>24.835</v>
      </c>
      <c r="F8897" s="6" t="n">
        <f aca="false">Sens!F8876</f>
        <v>27.4873151218559</v>
      </c>
      <c r="G8897" s="6" t="n">
        <f aca="false">Sens!G8876</f>
        <v>30.0556741721455</v>
      </c>
      <c r="H8897" s="6" t="n">
        <f aca="false">Sens!H8876</f>
        <v>32.4624869022303</v>
      </c>
      <c r="I8897" s="6" t="n">
        <f aca="false">Sens!I8876</f>
        <v>34.6283511524715</v>
      </c>
      <c r="J8897" s="6" t="n">
        <f aca="false">Sens!J8876</f>
        <v>36.476102435307</v>
      </c>
      <c r="K8897" s="6" t="n">
        <f aca="false">Sens!K8876</f>
        <v>37.9351465327193</v>
      </c>
    </row>
    <row r="8898" customFormat="false" ht="15" hidden="false" customHeight="false" outlineLevel="0" collapsed="false">
      <c r="A8898" s="0" t="s">
        <v>878</v>
      </c>
      <c r="B8898" s="0" t="s">
        <v>98</v>
      </c>
      <c r="D8898" s="6" t="n">
        <f aca="false">Sens!D8878</f>
        <v>23.455</v>
      </c>
      <c r="E8898" s="6" t="n">
        <f aca="false">Sens!E8878</f>
        <v>21.79</v>
      </c>
      <c r="F8898" s="6" t="n">
        <f aca="false">Sens!F8878</f>
        <v>20.5736277908051</v>
      </c>
      <c r="G8898" s="6" t="n">
        <f aca="false">Sens!G8878</f>
        <v>19.7371452817919</v>
      </c>
      <c r="H8898" s="6" t="n">
        <f aca="false">Sens!H8878</f>
        <v>19.2339764043138</v>
      </c>
      <c r="I8898" s="6" t="n">
        <f aca="false">Sens!I8878</f>
        <v>19.0353086852681</v>
      </c>
      <c r="J8898" s="6" t="n">
        <f aca="false">Sens!J8878</f>
        <v>19.1273539319129</v>
      </c>
      <c r="K8898" s="6" t="n">
        <f aca="false">Sens!K8878</f>
        <v>19.5099010105511</v>
      </c>
    </row>
    <row r="8899" customFormat="false" ht="15" hidden="false" customHeight="false" outlineLevel="0" collapsed="false">
      <c r="A8899" s="0" t="s">
        <v>879</v>
      </c>
      <c r="B8899" s="0" t="s">
        <v>98</v>
      </c>
      <c r="D8899" s="6" t="n">
        <f aca="false">Sens!D8880</f>
        <v>17.315</v>
      </c>
      <c r="E8899" s="6" t="n">
        <f aca="false">Sens!E8880</f>
        <v>17.087</v>
      </c>
      <c r="F8899" s="6" t="n">
        <f aca="false">Sens!F8880</f>
        <v>16.9564585436519</v>
      </c>
      <c r="G8899" s="6" t="n">
        <f aca="false">Sens!G8880</f>
        <v>16.9206490624268</v>
      </c>
      <c r="H8899" s="6" t="n">
        <f aca="false">Sens!H8880</f>
        <v>16.9784519149849</v>
      </c>
      <c r="I8899" s="6" t="n">
        <f aca="false">Sens!I8880</f>
        <v>17.1303084701817</v>
      </c>
      <c r="J8899" s="6" t="n">
        <f aca="false">Sens!J8880</f>
        <v>17.3782189407267</v>
      </c>
      <c r="K8899" s="6" t="n">
        <f aca="false">Sens!K8880</f>
        <v>17.7257833195413</v>
      </c>
    </row>
    <row r="8900" customFormat="false" ht="15" hidden="false" customHeight="false" outlineLevel="0" collapsed="false">
      <c r="A8900" s="0" t="s">
        <v>718</v>
      </c>
      <c r="B8900" s="0" t="s">
        <v>98</v>
      </c>
      <c r="D8900" s="6" t="n">
        <f aca="false">Sens!D8882</f>
        <v>62.941</v>
      </c>
      <c r="E8900" s="6" t="n">
        <f aca="false">Sens!E8882</f>
        <v>63.712</v>
      </c>
      <c r="F8900" s="6" t="n">
        <f aca="false">Sens!F8882</f>
        <v>65.0174014563129</v>
      </c>
      <c r="G8900" s="6" t="n">
        <f aca="false">Sens!G8882</f>
        <v>66.7134685163642</v>
      </c>
      <c r="H8900" s="6" t="n">
        <f aca="false">Sens!H8882</f>
        <v>68.6749152215291</v>
      </c>
      <c r="I8900" s="6" t="n">
        <f aca="false">Sens!I8882</f>
        <v>70.7939683079213</v>
      </c>
      <c r="J8900" s="6" t="n">
        <f aca="false">Sens!J8882</f>
        <v>72.9816753079466</v>
      </c>
      <c r="K8900" s="6" t="n">
        <f aca="false">Sens!K8882</f>
        <v>75.1708308628117</v>
      </c>
    </row>
    <row r="8901" customFormat="false" ht="15" hidden="false" customHeight="false" outlineLevel="0" collapsed="false">
      <c r="A8901" s="1" t="s">
        <v>895</v>
      </c>
      <c r="B8901" s="0" t="s">
        <v>98</v>
      </c>
      <c r="D8901" s="6" t="n">
        <f aca="false">Sens!D8883</f>
        <v>281.724</v>
      </c>
      <c r="E8901" s="6" t="n">
        <f aca="false">Sens!E8883</f>
        <v>331.839</v>
      </c>
      <c r="F8901" s="6" t="n">
        <f aca="false">Sens!F8883</f>
        <v>399.282929707821</v>
      </c>
      <c r="G8901" s="6" t="n">
        <f aca="false">Sens!G8883</f>
        <v>474.785591576157</v>
      </c>
      <c r="H8901" s="6" t="n">
        <f aca="false">Sens!H8883</f>
        <v>551.871211225554</v>
      </c>
      <c r="I8901" s="6" t="n">
        <f aca="false">Sens!I8883</f>
        <v>622.697485934747</v>
      </c>
      <c r="J8901" s="6" t="n">
        <f aca="false">Sens!J8883</f>
        <v>680.435999452217</v>
      </c>
      <c r="K8901" s="6" t="n">
        <f aca="false">Sens!K8883</f>
        <v>726.412378675874</v>
      </c>
    </row>
    <row r="8902" customFormat="false" ht="15" hidden="false" customHeight="false" outlineLevel="0" collapsed="false">
      <c r="A8902" s="1" t="s">
        <v>896</v>
      </c>
      <c r="B8902" s="0" t="s">
        <v>129</v>
      </c>
      <c r="E8902" s="7" t="n">
        <f aca="false">Sens!E8901/Sens!D8901-1</f>
        <v>0.177886867998467</v>
      </c>
      <c r="F8902" s="7" t="n">
        <f aca="false">Sens!F8901/Sens!E8901-1</f>
        <v>0.203242927165946</v>
      </c>
      <c r="G8902" s="7" t="n">
        <f aca="false">Sens!G8901/Sens!F8901-1</f>
        <v>0.1890956418387</v>
      </c>
      <c r="H8902" s="7" t="n">
        <f aca="false">Sens!H8901/Sens!G8901-1</f>
        <v>0.162358801566606</v>
      </c>
      <c r="I8902" s="7" t="n">
        <f aca="false">Sens!I8901/Sens!H8901-1</f>
        <v>0.128338411695561</v>
      </c>
      <c r="J8902" s="7" t="n">
        <f aca="false">Sens!J8901/Sens!I8901-1</f>
        <v>0.0927232160425331</v>
      </c>
      <c r="K8902" s="7" t="n">
        <f aca="false">Sens!K8901/Sens!J8901-1</f>
        <v>0.0675689987899961</v>
      </c>
    </row>
    <row r="8903" customFormat="false" ht="17.15" hidden="false" customHeight="false" outlineLevel="0" collapsed="false">
      <c r="A8903" s="23" t="s">
        <v>897</v>
      </c>
      <c r="B8903" s="30" t="s">
        <v>98</v>
      </c>
      <c r="C8903" s="30"/>
      <c r="D8903" s="24" t="n">
        <f aca="false">(Sens!D8896+Sens!D8900-Sens!D8901)+(Sens!D8888+Sens!D8889-Sens!D8887)+(Sens!D8891+Sens!D8892-Sens!D8890)+(Sens!D8901-Q!L18)</f>
        <v>0</v>
      </c>
      <c r="E8903" s="24" t="n">
        <f aca="false">(Sens!E8896+Sens!E8900-Sens!E8901)+(Sens!E8888+Sens!E8889-Sens!E8887)+(Sens!E8891+Sens!E8892-Sens!E8890)+(Sens!E8901-Q!M18)</f>
        <v>0</v>
      </c>
      <c r="F8903" s="24" t="n">
        <f aca="false">(Sens!F8896+Sens!F8900-Sens!F8901)+(Sens!F8888+Sens!F8889-Sens!F8887)+(Sens!F8891+Sens!F8892-Sens!F8890)</f>
        <v>0</v>
      </c>
      <c r="G8903" s="24" t="n">
        <f aca="false">(Sens!G8896+Sens!G8900-Sens!G8901)+(Sens!G8888+Sens!G8889-Sens!G8887)+(Sens!G8891+Sens!G8892-Sens!G8890)</f>
        <v>0</v>
      </c>
      <c r="H8903" s="24" t="n">
        <f aca="false">(Sens!H8896+Sens!H8900-Sens!H8901)+(Sens!H8888+Sens!H8889-Sens!H8887)+(Sens!H8891+Sens!H8892-Sens!H8890)</f>
        <v>0</v>
      </c>
      <c r="I8903" s="24" t="n">
        <f aca="false">(Sens!I8896+Sens!I8900-Sens!I8901)+(Sens!I8888+Sens!I8889-Sens!I8887)+(Sens!I8891+Sens!I8892-Sens!I8890)</f>
        <v>0</v>
      </c>
      <c r="J8903" s="24" t="n">
        <f aca="false">(Sens!J8896+Sens!J8900-Sens!J8901)+(Sens!J8888+Sens!J8889-Sens!J8887)+(Sens!J8891+Sens!J8892-Sens!J8890)</f>
        <v>0</v>
      </c>
      <c r="K8903" s="24" t="n">
        <f aca="false">(Sens!K8896+Sens!K8900-Sens!K8901)+(Sens!K8888+Sens!K8889-Sens!K8887)+(Sens!K8891+Sens!K8892-Sens!K8890)</f>
        <v>0</v>
      </c>
    </row>
    <row r="8904" customFormat="false" ht="17.15" hidden="false" customHeight="false" outlineLevel="0" collapsed="false">
      <c r="A8904" s="0" t="s">
        <v>898</v>
      </c>
      <c r="B8904" s="0" t="s">
        <v>129</v>
      </c>
      <c r="E8904" s="7" t="n">
        <f aca="false">(Q!M21+Sens!E8841+Sens!E8842+Sens!E8843+Sens!E8856-Sens!E8839)/(Q!M5-Sens!E8839)</f>
        <v>0.570957350878296</v>
      </c>
      <c r="F8904" s="7" t="n">
        <f aca="false">Sens!$E$8904+dm_seg</f>
        <v>0.570957350878296</v>
      </c>
      <c r="G8904" s="7" t="n">
        <f aca="false">Sens!$E$8904+dm_seg</f>
        <v>0.570957350878296</v>
      </c>
      <c r="H8904" s="7" t="n">
        <f aca="false">Sens!$E$8904+dm_seg</f>
        <v>0.570957350878296</v>
      </c>
      <c r="I8904" s="7" t="n">
        <f aca="false">Sens!$E$8904+dm_seg</f>
        <v>0.570957350878296</v>
      </c>
      <c r="J8904" s="7" t="n">
        <f aca="false">Sens!$E$8904+dm_seg</f>
        <v>0.570957350878296</v>
      </c>
      <c r="K8904" s="7" t="n">
        <f aca="false">Sens!$E$8904+dm_seg</f>
        <v>0.570957350878296</v>
      </c>
      <c r="L8904" s="11" t="s">
        <v>899</v>
      </c>
    </row>
    <row r="8905" customFormat="false" ht="17.15" hidden="false" customHeight="false" outlineLevel="0" collapsed="false">
      <c r="A8905" s="0" t="s">
        <v>732</v>
      </c>
      <c r="B8905" s="0" t="s">
        <v>98</v>
      </c>
      <c r="D8905" s="6" t="n">
        <f aca="false">Q!L21</f>
        <v>110.814</v>
      </c>
      <c r="E8905" s="6" t="n">
        <f aca="false">Q!M21</f>
        <v>136.365</v>
      </c>
      <c r="F8905" s="6" t="n">
        <f aca="false">Sens!F8904*(Sens!F8875-Sens!F8839)+Sens!F8839-(Sens!F8841+Sens!F8842+Sens!F8843)-Sens!F8856</f>
        <v>157.597308087113</v>
      </c>
      <c r="G8905" s="6" t="n">
        <f aca="false">Sens!G8904*(Sens!G8875-Sens!G8839)+Sens!G8839-(Sens!G8841+Sens!G8842+Sens!G8843)-Sens!G8856</f>
        <v>177.17906869998</v>
      </c>
      <c r="H8905" s="6" t="n">
        <f aca="false">Sens!H8904*(Sens!H8875-Sens!H8839)+Sens!H8839-(Sens!H8841+Sens!H8842+Sens!H8843)-Sens!H8856</f>
        <v>196.820898921959</v>
      </c>
      <c r="I8905" s="6" t="n">
        <f aca="false">Sens!I8904*(Sens!I8875-Sens!I8839)+Sens!I8839-(Sens!I8841+Sens!I8842+Sens!I8843)-Sens!I8856</f>
        <v>215.544092111313</v>
      </c>
      <c r="J8905" s="6" t="n">
        <f aca="false">Sens!J8904*(Sens!J8875-Sens!J8839)+Sens!J8839-(Sens!J8841+Sens!J8842+Sens!J8843)-Sens!J8856</f>
        <v>232.896913860105</v>
      </c>
      <c r="K8905" s="6" t="n">
        <f aca="false">Sens!K8904*(Sens!K8875-Sens!K8839)+Sens!K8839-(Sens!K8841+Sens!K8842+Sens!K8843)-Sens!K8856</f>
        <v>249.761960967307</v>
      </c>
      <c r="L8905" s="1" t="s">
        <v>900</v>
      </c>
    </row>
    <row r="8906" customFormat="false" ht="17.15" hidden="false" customHeight="false" outlineLevel="0" collapsed="false">
      <c r="A8906" s="0" t="s">
        <v>901</v>
      </c>
      <c r="B8906" s="0" t="s">
        <v>129</v>
      </c>
      <c r="E8906" s="7" t="n">
        <f aca="false">Q!M22/Q!M12</f>
        <v>0.296207935710698</v>
      </c>
      <c r="F8906" s="7" t="n">
        <f aca="false">Sens!$E$8906+dm_seg</f>
        <v>0.296207935710698</v>
      </c>
      <c r="G8906" s="7" t="n">
        <f aca="false">Sens!$E$8906+dm_seg</f>
        <v>0.296207935710698</v>
      </c>
      <c r="H8906" s="7" t="n">
        <f aca="false">Sens!$E$8906+dm_seg</f>
        <v>0.296207935710698</v>
      </c>
      <c r="I8906" s="7" t="n">
        <f aca="false">Sens!$E$8906+dm_seg</f>
        <v>0.296207935710698</v>
      </c>
      <c r="J8906" s="7" t="n">
        <f aca="false">Sens!$E$8906+dm_seg</f>
        <v>0.296207935710698</v>
      </c>
      <c r="K8906" s="7" t="n">
        <f aca="false">Sens!$E$8906+dm_seg</f>
        <v>0.296207935710698</v>
      </c>
      <c r="L8906" s="11" t="s">
        <v>902</v>
      </c>
    </row>
    <row r="8907" customFormat="false" ht="17.15" hidden="false" customHeight="false" outlineLevel="0" collapsed="false">
      <c r="A8907" s="0" t="s">
        <v>734</v>
      </c>
      <c r="B8907" s="0" t="s">
        <v>98</v>
      </c>
      <c r="D8907" s="6" t="n">
        <f aca="false">Q!L22</f>
        <v>17.714</v>
      </c>
      <c r="E8907" s="6" t="n">
        <f aca="false">Q!M22</f>
        <v>18.872</v>
      </c>
      <c r="F8907" s="6" t="n">
        <f aca="false">Sens!F8882*Sens!F8906</f>
        <v>19.2586702706482</v>
      </c>
      <c r="G8907" s="6" t="n">
        <f aca="false">Sens!G8882*Sens!G8906</f>
        <v>19.7610587933329</v>
      </c>
      <c r="H8907" s="6" t="n">
        <f aca="false">Sens!H8882*Sens!H8906</f>
        <v>20.3420548728763</v>
      </c>
      <c r="I8907" s="6" t="n">
        <f aca="false">Sens!I8882*Sens!I8906</f>
        <v>20.969735213258</v>
      </c>
      <c r="J8907" s="6" t="n">
        <f aca="false">Sens!J8882*Sens!J8906</f>
        <v>21.6177513876753</v>
      </c>
      <c r="K8907" s="6" t="n">
        <f aca="false">Sens!K8882*Sens!K8906</f>
        <v>22.2661966355315</v>
      </c>
    </row>
    <row r="8908" customFormat="false" ht="15" hidden="false" customHeight="false" outlineLevel="0" collapsed="false">
      <c r="A8908" s="1" t="s">
        <v>903</v>
      </c>
      <c r="B8908" s="0" t="s">
        <v>98</v>
      </c>
      <c r="D8908" s="6" t="n">
        <f aca="false">Sens!D8905+Sens!D8907</f>
        <v>128.528</v>
      </c>
      <c r="E8908" s="6" t="n">
        <f aca="false">Sens!E8905+Sens!E8907</f>
        <v>155.237</v>
      </c>
      <c r="F8908" s="6" t="n">
        <f aca="false">Sens!F8905+Sens!F8907</f>
        <v>176.855978357761</v>
      </c>
      <c r="G8908" s="6" t="n">
        <f aca="false">Sens!G8905+Sens!G8907</f>
        <v>196.940127493313</v>
      </c>
      <c r="H8908" s="6" t="n">
        <f aca="false">Sens!H8905+Sens!H8907</f>
        <v>217.162953794835</v>
      </c>
      <c r="I8908" s="6" t="n">
        <f aca="false">Sens!I8905+Sens!I8907</f>
        <v>236.513827324571</v>
      </c>
      <c r="J8908" s="6" t="n">
        <f aca="false">Sens!J8905+Sens!J8907</f>
        <v>254.51466524778</v>
      </c>
      <c r="K8908" s="6" t="n">
        <f aca="false">Sens!K8905+Sens!K8907</f>
        <v>272.028157602839</v>
      </c>
    </row>
    <row r="8909" customFormat="false" ht="15" hidden="false" customHeight="false" outlineLevel="0" collapsed="false">
      <c r="A8909" s="23" t="s">
        <v>904</v>
      </c>
      <c r="B8909" s="30" t="s">
        <v>98</v>
      </c>
      <c r="C8909" s="30"/>
      <c r="D8909" s="24" t="n">
        <f aca="false">Sens!D8908-Q!L23</f>
        <v>0</v>
      </c>
      <c r="E8909" s="24" t="n">
        <f aca="false">Sens!E8908-Q!M23</f>
        <v>0</v>
      </c>
      <c r="F8909" s="30"/>
      <c r="G8909" s="30"/>
      <c r="H8909" s="30"/>
      <c r="I8909" s="30"/>
      <c r="J8909" s="30"/>
      <c r="K8909" s="30"/>
    </row>
    <row r="8910" customFormat="false" ht="15" hidden="false" customHeight="false" outlineLevel="0" collapsed="false">
      <c r="A8910" s="1" t="s">
        <v>905</v>
      </c>
      <c r="B8910" s="0" t="s">
        <v>129</v>
      </c>
      <c r="D8910" s="7" t="n">
        <f aca="false">Sens!D8908/Sens!D8901</f>
        <v>0.456219562408598</v>
      </c>
      <c r="E8910" s="7" t="n">
        <f aca="false">Sens!E8908/Sens!E8901</f>
        <v>0.467808184089272</v>
      </c>
      <c r="F8910" s="7" t="n">
        <f aca="false">Sens!F8908/Sens!F8901</f>
        <v>0.44293398289573</v>
      </c>
      <c r="G8910" s="7" t="n">
        <f aca="false">Sens!G8908/Sens!G8901</f>
        <v>0.41479802881028</v>
      </c>
      <c r="H8910" s="7" t="n">
        <f aca="false">Sens!H8908/Sens!H8901</f>
        <v>0.393502957533473</v>
      </c>
      <c r="I8910" s="7" t="n">
        <f aca="false">Sens!I8908/Sens!I8901</f>
        <v>0.379821394283509</v>
      </c>
      <c r="J8910" s="7" t="n">
        <f aca="false">Sens!J8908/Sens!J8901</f>
        <v>0.3740464429464</v>
      </c>
      <c r="K8910" s="7" t="n">
        <f aca="false">Sens!K8908/Sens!K8901</f>
        <v>0.374481720835622</v>
      </c>
    </row>
    <row r="8911" customFormat="false" ht="17.15" hidden="false" customHeight="false" outlineLevel="0" collapsed="false">
      <c r="A8911" s="1" t="s">
        <v>906</v>
      </c>
      <c r="B8911" s="0" t="s">
        <v>98</v>
      </c>
      <c r="F8911" s="6" t="n">
        <f aca="false">Sens!F8926</f>
        <v>19.9358184660572</v>
      </c>
      <c r="G8911" s="6" t="n">
        <f aca="false">Sens!G8926</f>
        <v>35.1359494439124</v>
      </c>
      <c r="H8911" s="6" t="n">
        <f aca="false">Sens!H8926</f>
        <v>51.688536514718</v>
      </c>
      <c r="I8911" s="6" t="n">
        <f aca="false">Sens!I8926</f>
        <v>66.8193432436896</v>
      </c>
      <c r="J8911" s="6" t="n">
        <f aca="false">Sens!J8926</f>
        <v>77.4328840229578</v>
      </c>
      <c r="K8911" s="6" t="n">
        <f aca="false">Sens!K8926</f>
        <v>83.3249638901295</v>
      </c>
      <c r="L8911" s="1" t="s">
        <v>907</v>
      </c>
    </row>
    <row r="8912" customFormat="false" ht="17.15" hidden="false" customHeight="false" outlineLevel="0" collapsed="false">
      <c r="A8912" s="1" t="s">
        <v>908</v>
      </c>
      <c r="B8912" s="0" t="s">
        <v>98</v>
      </c>
      <c r="D8912" s="6" t="n">
        <f aca="false">Sens!D8908</f>
        <v>128.528</v>
      </c>
      <c r="E8912" s="6" t="n">
        <f aca="false">Sens!E8908</f>
        <v>155.237</v>
      </c>
      <c r="F8912" s="6" t="n">
        <f aca="false">Sens!F8908+Sens!F8911</f>
        <v>196.791796823818</v>
      </c>
      <c r="G8912" s="6" t="n">
        <f aca="false">Sens!G8908+Sens!G8911</f>
        <v>232.076076937225</v>
      </c>
      <c r="H8912" s="6" t="n">
        <f aca="false">Sens!H8908+Sens!H8911</f>
        <v>268.851490309553</v>
      </c>
      <c r="I8912" s="6" t="n">
        <f aca="false">Sens!I8908+Sens!I8911</f>
        <v>303.333170568261</v>
      </c>
      <c r="J8912" s="6" t="n">
        <f aca="false">Sens!J8908+Sens!J8911</f>
        <v>331.947549270738</v>
      </c>
      <c r="K8912" s="6" t="n">
        <f aca="false">Sens!K8908+Sens!K8911</f>
        <v>355.353121492968</v>
      </c>
    </row>
    <row r="8913" customFormat="false" ht="17.15" hidden="false" customHeight="false" outlineLevel="0" collapsed="false">
      <c r="A8913" s="1" t="s">
        <v>909</v>
      </c>
      <c r="B8913" s="0" t="s">
        <v>98</v>
      </c>
      <c r="E8913" s="6" t="n">
        <f aca="false">Sens!E8856</f>
        <v>16.3054059770833</v>
      </c>
      <c r="F8913" s="6" t="n">
        <f aca="false">Sens!F8856</f>
        <v>34.7413632892031</v>
      </c>
      <c r="G8913" s="6" t="n">
        <f aca="false">Sens!G8856</f>
        <v>60.5083889270063</v>
      </c>
      <c r="H8913" s="6" t="n">
        <f aca="false">Sens!H8856</f>
        <v>87.7439716598062</v>
      </c>
      <c r="I8913" s="6" t="n">
        <f aca="false">Sens!I8856</f>
        <v>111.988695648888</v>
      </c>
      <c r="J8913" s="6" t="n">
        <f aca="false">Sens!J8856</f>
        <v>129.185366589332</v>
      </c>
      <c r="K8913" s="6" t="n">
        <f aca="false">Sens!K8856</f>
        <v>139.64930247114</v>
      </c>
    </row>
    <row r="8914" customFormat="false" ht="17.15" hidden="false" customHeight="false" outlineLevel="0" collapsed="false">
      <c r="A8914" s="1" t="s">
        <v>910</v>
      </c>
      <c r="B8914" s="0" t="s">
        <v>98</v>
      </c>
      <c r="E8914" s="6" t="n">
        <f aca="false">Sens!E8938</f>
        <v>22.2285940229167</v>
      </c>
      <c r="F8914" s="6" t="n">
        <f aca="false">Sens!F8938</f>
        <v>23.5626759435812</v>
      </c>
      <c r="G8914" s="6" t="n">
        <f aca="false">Sens!G8938</f>
        <v>25.3184025657684</v>
      </c>
      <c r="H8914" s="6" t="n">
        <f aca="false">Sens!H8938</f>
        <v>27.4604985552537</v>
      </c>
      <c r="I8914" s="6" t="n">
        <f aca="false">Sens!I8938</f>
        <v>29.9212539268856</v>
      </c>
      <c r="J8914" s="6" t="n">
        <f aca="false">Sens!J8938</f>
        <v>32.6162379843551</v>
      </c>
      <c r="K8914" s="6" t="n">
        <f aca="false">Sens!K8938</f>
        <v>35.4602795894137</v>
      </c>
    </row>
    <row r="8915" customFormat="false" ht="17.15" hidden="false" customHeight="false" outlineLevel="0" collapsed="false">
      <c r="A8915" s="1" t="s">
        <v>911</v>
      </c>
      <c r="B8915" s="0" t="s">
        <v>98</v>
      </c>
      <c r="D8915" s="6" t="n">
        <f aca="false">Q!L27</f>
        <v>-4.901</v>
      </c>
      <c r="E8915" s="6" t="n">
        <f aca="false">Q!M27</f>
        <v>10.697</v>
      </c>
      <c r="F8915" s="6" t="n">
        <f aca="false">oie_f</f>
        <v>-0.4</v>
      </c>
      <c r="G8915" s="6" t="n">
        <f aca="false">oie_f</f>
        <v>-0.4</v>
      </c>
      <c r="H8915" s="6" t="n">
        <f aca="false">oie_f</f>
        <v>-0.4</v>
      </c>
      <c r="I8915" s="6" t="n">
        <f aca="false">oie_f</f>
        <v>-0.4</v>
      </c>
      <c r="J8915" s="6" t="n">
        <f aca="false">oie_f</f>
        <v>-0.4</v>
      </c>
      <c r="K8915" s="6" t="n">
        <f aca="false">oie_f</f>
        <v>-0.4</v>
      </c>
      <c r="L8915" s="11" t="s">
        <v>912</v>
      </c>
    </row>
    <row r="8916" customFormat="false" ht="15" hidden="false" customHeight="false" outlineLevel="0" collapsed="false">
      <c r="A8916" s="1" t="s">
        <v>913</v>
      </c>
      <c r="B8916" s="0" t="s">
        <v>98</v>
      </c>
      <c r="D8916" s="6" t="n">
        <f aca="false">Sens!D8908+Sens!D8915</f>
        <v>123.627</v>
      </c>
      <c r="E8916" s="6" t="n">
        <f aca="false">Sens!E8908+Sens!E8915</f>
        <v>165.934</v>
      </c>
      <c r="F8916" s="6" t="n">
        <f aca="false">Sens!F8908+Sens!F8915</f>
        <v>176.455978357761</v>
      </c>
      <c r="G8916" s="6" t="n">
        <f aca="false">Sens!G8908+Sens!G8915</f>
        <v>196.540127493313</v>
      </c>
      <c r="H8916" s="6" t="n">
        <f aca="false">Sens!H8908+Sens!H8915</f>
        <v>216.762953794835</v>
      </c>
      <c r="I8916" s="6" t="n">
        <f aca="false">Sens!I8908+Sens!I8915</f>
        <v>236.113827324571</v>
      </c>
      <c r="J8916" s="6" t="n">
        <f aca="false">Sens!J8908+Sens!J8915</f>
        <v>254.11466524778</v>
      </c>
      <c r="K8916" s="6" t="n">
        <f aca="false">Sens!K8908+Sens!K8915</f>
        <v>271.628157602839</v>
      </c>
    </row>
    <row r="8917" customFormat="false" ht="15" hidden="false" customHeight="false" outlineLevel="0" collapsed="false">
      <c r="A8917" s="1" t="s">
        <v>914</v>
      </c>
      <c r="B8917" s="0" t="s">
        <v>98</v>
      </c>
      <c r="D8917" s="6" t="n">
        <f aca="false">Q!L29</f>
        <v>21.795</v>
      </c>
      <c r="E8917" s="6" t="n">
        <f aca="false">Q!M29</f>
        <v>32.185</v>
      </c>
      <c r="F8917" s="6" t="n">
        <f aca="false">Sens!F8916*tax_f</f>
        <v>35.2911956715522</v>
      </c>
      <c r="G8917" s="6" t="n">
        <f aca="false">Sens!G8916*tax_f</f>
        <v>39.3080254986625</v>
      </c>
      <c r="H8917" s="6" t="n">
        <f aca="false">Sens!H8916*tax_f</f>
        <v>43.3525907589671</v>
      </c>
      <c r="I8917" s="6" t="n">
        <f aca="false">Sens!I8916*tax_f</f>
        <v>47.2227654649142</v>
      </c>
      <c r="J8917" s="6" t="n">
        <f aca="false">Sens!J8916*tax_f</f>
        <v>50.822933049556</v>
      </c>
      <c r="K8917" s="6" t="n">
        <f aca="false">Sens!K8916*tax_f</f>
        <v>54.3256315205678</v>
      </c>
    </row>
    <row r="8918" customFormat="false" ht="15" hidden="false" customHeight="false" outlineLevel="0" collapsed="false">
      <c r="A8918" s="1" t="s">
        <v>915</v>
      </c>
      <c r="B8918" s="0" t="s">
        <v>98</v>
      </c>
      <c r="D8918" s="6" t="n">
        <f aca="false">Sens!D8916-Sens!D8917</f>
        <v>101.832</v>
      </c>
      <c r="E8918" s="6" t="n">
        <f aca="false">Sens!E8916-Sens!E8917</f>
        <v>133.749</v>
      </c>
      <c r="F8918" s="6" t="n">
        <f aca="false">Sens!F8916-Sens!F8917</f>
        <v>141.164782686209</v>
      </c>
      <c r="G8918" s="6" t="n">
        <f aca="false">Sens!G8916-Sens!G8917</f>
        <v>157.23210199465</v>
      </c>
      <c r="H8918" s="6" t="n">
        <f aca="false">Sens!H8916-Sens!H8917</f>
        <v>173.410363035868</v>
      </c>
      <c r="I8918" s="6" t="n">
        <f aca="false">Sens!I8916-Sens!I8917</f>
        <v>188.891061859657</v>
      </c>
      <c r="J8918" s="6" t="n">
        <f aca="false">Sens!J8916-Sens!J8917</f>
        <v>203.291732198224</v>
      </c>
      <c r="K8918" s="6" t="n">
        <f aca="false">Sens!K8916-Sens!K8917</f>
        <v>217.302526082271</v>
      </c>
    </row>
    <row r="8919" customFormat="false" ht="17.15" hidden="false" customHeight="false" outlineLevel="0" collapsed="false">
      <c r="A8919" s="1" t="s">
        <v>916</v>
      </c>
      <c r="B8919" s="1" t="s">
        <v>81</v>
      </c>
      <c r="D8919" s="14" t="n">
        <f aca="false">Q!L31</f>
        <v>7.465</v>
      </c>
      <c r="E8919" s="14" t="n">
        <f aca="false">Q!M31</f>
        <v>7.453</v>
      </c>
      <c r="F8919" s="14" t="n">
        <f aca="false">Sens!F8960</f>
        <v>7.4735</v>
      </c>
      <c r="G8919" s="14" t="n">
        <f aca="false">Sens!G8960</f>
        <v>7.51802988399152</v>
      </c>
      <c r="H8919" s="14" t="n">
        <f aca="false">Sens!H8960</f>
        <v>7.54531135383298</v>
      </c>
      <c r="I8919" s="14" t="n">
        <f aca="false">Sens!I8960</f>
        <v>7.5570921858403</v>
      </c>
      <c r="J8919" s="14" t="n">
        <f aca="false">Sens!J8960</f>
        <v>7.57133369695818</v>
      </c>
      <c r="K8919" s="14" t="n">
        <f aca="false">Sens!K8960</f>
        <v>7.58785361465992</v>
      </c>
    </row>
    <row r="8920" customFormat="false" ht="17.15" hidden="false" customHeight="false" outlineLevel="0" collapsed="false">
      <c r="A8920" s="0" t="s">
        <v>917</v>
      </c>
      <c r="B8920" s="0" t="s">
        <v>75</v>
      </c>
      <c r="D8920" s="8" t="n">
        <f aca="false">Sens!D8918/Sens!D8919</f>
        <v>13.641259209645</v>
      </c>
      <c r="E8920" s="8" t="n">
        <f aca="false">Sens!E8918/Sens!E8919</f>
        <v>17.9456594659869</v>
      </c>
      <c r="F8920" s="8" t="n">
        <f aca="false">Sens!F8918/Sens!F8919</f>
        <v>18.8887111375137</v>
      </c>
      <c r="G8920" s="8" t="n">
        <f aca="false">Sens!G8918/Sens!G8919</f>
        <v>20.9140033254525</v>
      </c>
      <c r="H8920" s="8" t="n">
        <f aca="false">Sens!H8918/Sens!H8919</f>
        <v>22.9825324501389</v>
      </c>
      <c r="I8920" s="8" t="n">
        <f aca="false">Sens!I8918/Sens!I8919</f>
        <v>24.9952041360011</v>
      </c>
      <c r="J8920" s="8" t="n">
        <f aca="false">Sens!J8918/Sens!J8919</f>
        <v>26.8501878711141</v>
      </c>
      <c r="K8920" s="8" t="n">
        <f aca="false">Sens!K8918/Sens!K8919</f>
        <v>28.638207471799</v>
      </c>
      <c r="L8920" s="1" t="s">
        <v>918</v>
      </c>
    </row>
    <row r="8921" customFormat="false" ht="17.15" hidden="false" customHeight="false" outlineLevel="0" collapsed="false">
      <c r="A8921" s="1" t="s">
        <v>919</v>
      </c>
      <c r="B8921" s="0" t="s">
        <v>98</v>
      </c>
      <c r="D8921" s="6" t="n">
        <f aca="false">Sens!D8918</f>
        <v>101.832</v>
      </c>
      <c r="E8921" s="6" t="n">
        <f aca="false">Sens!E8918</f>
        <v>133.749</v>
      </c>
      <c r="F8921" s="6" t="n">
        <f aca="false">Sens!F8918+Sens!F8911*(1-tax_f)</f>
        <v>157.113437459054</v>
      </c>
      <c r="G8921" s="6" t="n">
        <f aca="false">Sens!G8918+Sens!G8911*(1-tax_f)</f>
        <v>185.34086154978</v>
      </c>
      <c r="H8921" s="6" t="n">
        <f aca="false">Sens!H8918+Sens!H8911*(1-tax_f)</f>
        <v>214.761192247643</v>
      </c>
      <c r="I8921" s="6" t="n">
        <f aca="false">Sens!I8918+Sens!I8911*(1-tax_f)</f>
        <v>242.346536454609</v>
      </c>
      <c r="J8921" s="6" t="n">
        <f aca="false">Sens!J8918+Sens!J8911*(1-tax_f)</f>
        <v>265.23803941659</v>
      </c>
      <c r="K8921" s="6" t="n">
        <f aca="false">Sens!K8918+Sens!K8911*(1-tax_f)</f>
        <v>283.962497194375</v>
      </c>
    </row>
    <row r="8922" customFormat="false" ht="17.15" hidden="false" customHeight="false" outlineLevel="0" collapsed="false">
      <c r="A8922" s="0" t="s">
        <v>920</v>
      </c>
      <c r="B8922" s="0" t="s">
        <v>75</v>
      </c>
      <c r="D8922" s="8" t="n">
        <f aca="false">Sens!D8921/Sens!D8919</f>
        <v>13.641259209645</v>
      </c>
      <c r="E8922" s="8" t="n">
        <f aca="false">Sens!E8921/Sens!E8919</f>
        <v>17.9456594659869</v>
      </c>
      <c r="F8922" s="8" t="n">
        <f aca="false">Sens!F8921/Sens!F8919</f>
        <v>21.0227386711787</v>
      </c>
      <c r="G8922" s="8" t="n">
        <f aca="false">Sens!G8921/Sens!G8919</f>
        <v>24.6528498037012</v>
      </c>
      <c r="H8922" s="8" t="n">
        <f aca="false">Sens!H8921/Sens!H8919</f>
        <v>28.4628668290203</v>
      </c>
      <c r="I8922" s="8" t="n">
        <f aca="false">Sens!I8921/Sens!I8919</f>
        <v>32.0687548193064</v>
      </c>
      <c r="J8922" s="8" t="n">
        <f aca="false">Sens!J8921/Sens!J8919</f>
        <v>35.0318781383458</v>
      </c>
      <c r="K8922" s="8" t="n">
        <f aca="false">Sens!K8921/Sens!K8919</f>
        <v>37.4232967074842</v>
      </c>
      <c r="L8922" s="1" t="s">
        <v>921</v>
      </c>
    </row>
    <row r="8923" customFormat="false" ht="17.15" hidden="false" customHeight="false" outlineLevel="0" collapsed="false">
      <c r="A8923" s="0" t="s">
        <v>922</v>
      </c>
      <c r="B8923" s="0" t="s">
        <v>129</v>
      </c>
      <c r="E8923" s="7" t="n">
        <f aca="false">Sens!E8922/Sens!D8922-1</f>
        <v>0.315542736208578</v>
      </c>
      <c r="F8923" s="7" t="n">
        <f aca="false">Sens!F8922/Sens!E8922-1</f>
        <v>0.171466488095576</v>
      </c>
      <c r="G8923" s="7" t="n">
        <f aca="false">Sens!G8922/Sens!F8922-1</f>
        <v>0.17267546294999</v>
      </c>
      <c r="H8923" s="7" t="n">
        <f aca="false">Sens!H8922/Sens!G8922-1</f>
        <v>0.154546717951733</v>
      </c>
      <c r="I8923" s="7" t="n">
        <f aca="false">Sens!I8922/Sens!H8922-1</f>
        <v>0.126687449017245</v>
      </c>
      <c r="J8923" s="7" t="n">
        <f aca="false">Sens!J8922/Sens!I8922-1</f>
        <v>0.0923990761641784</v>
      </c>
      <c r="K8923" s="7" t="n">
        <f aca="false">Sens!K8922/Sens!J8922-1</f>
        <v>0.068264069648059</v>
      </c>
    </row>
    <row r="8924" customFormat="false" ht="17.15" hidden="false" customHeight="false" outlineLevel="0" collapsed="false">
      <c r="A8924" s="0" t="s">
        <v>846</v>
      </c>
      <c r="B8924" s="0" t="s">
        <v>98</v>
      </c>
      <c r="E8924" s="6" t="n">
        <f aca="false">Sens!E8865</f>
        <v>5.25</v>
      </c>
      <c r="F8924" s="6" t="n">
        <f aca="false">Sens!F8865</f>
        <v>12</v>
      </c>
      <c r="G8924" s="6" t="n">
        <f aca="false">Sens!G8865</f>
        <v>18</v>
      </c>
      <c r="H8924" s="6" t="n">
        <f aca="false">Sens!H8865</f>
        <v>24</v>
      </c>
      <c r="I8924" s="6" t="n">
        <f aca="false">Sens!I8865</f>
        <v>28.5</v>
      </c>
      <c r="J8924" s="6" t="n">
        <f aca="false">Sens!J8865</f>
        <v>31.5</v>
      </c>
      <c r="K8924" s="6" t="n">
        <f aca="false">Sens!K8865</f>
        <v>34.5</v>
      </c>
    </row>
    <row r="8925" customFormat="false" ht="17.15" hidden="false" customHeight="false" outlineLevel="0" collapsed="false">
      <c r="A8925" s="1" t="s">
        <v>847</v>
      </c>
      <c r="B8925" s="0" t="s">
        <v>98</v>
      </c>
      <c r="F8925" s="6" t="n">
        <f aca="false">MAX(0,(Sens!E8828+Sens!F8828)/2*Sens!F8836/1000-Sens!F8924*Sens!F8904)</f>
        <v>19.9358184660572</v>
      </c>
      <c r="G8925" s="6" t="n">
        <f aca="false">MAX(0,(Sens!F8828+Sens!G8828)/2*Sens!G8836/1000-Sens!G8924*Sens!G8904)</f>
        <v>35.1359494439124</v>
      </c>
      <c r="H8925" s="6" t="n">
        <f aca="false">MAX(0,(Sens!G8828+Sens!H8828)/2*Sens!H8836/1000-Sens!H8924*Sens!H8904)</f>
        <v>51.688536514718</v>
      </c>
      <c r="I8925" s="6" t="n">
        <f aca="false">MAX(0,(Sens!H8828+Sens!I8828)/2*Sens!I8836/1000-Sens!I8924*Sens!I8904)</f>
        <v>66.8193432436896</v>
      </c>
      <c r="J8925" s="6" t="n">
        <f aca="false">MAX(0,(Sens!I8828+Sens!J8828)/2*Sens!J8836/1000-Sens!J8924*Sens!J8904)</f>
        <v>77.4328840229578</v>
      </c>
      <c r="K8925" s="6" t="n">
        <f aca="false">MAX(0,(Sens!J8828+Sens!K8828)/2*Sens!K8836/1000-Sens!K8924*Sens!K8904)</f>
        <v>83.3249638901295</v>
      </c>
      <c r="L8925" s="1" t="s">
        <v>848</v>
      </c>
    </row>
    <row r="8926" customFormat="false" ht="17.15" hidden="false" customHeight="false" outlineLevel="0" collapsed="false">
      <c r="A8926" s="1" t="s">
        <v>849</v>
      </c>
      <c r="B8926" s="0" t="s">
        <v>98</v>
      </c>
      <c r="F8926" s="6" t="n">
        <f aca="false">IF(internal_ai_reading=2,1,0)*Sens!F8925</f>
        <v>19.9358184660572</v>
      </c>
      <c r="G8926" s="6" t="n">
        <f aca="false">IF(internal_ai_reading=2,1,0)*Sens!G8925</f>
        <v>35.1359494439124</v>
      </c>
      <c r="H8926" s="6" t="n">
        <f aca="false">IF(internal_ai_reading=2,1,0)*Sens!H8925</f>
        <v>51.688536514718</v>
      </c>
      <c r="I8926" s="6" t="n">
        <f aca="false">IF(internal_ai_reading=2,1,0)*Sens!I8925</f>
        <v>66.8193432436896</v>
      </c>
      <c r="J8926" s="6" t="n">
        <f aca="false">IF(internal_ai_reading=2,1,0)*Sens!J8925</f>
        <v>77.4328840229578</v>
      </c>
      <c r="K8926" s="6" t="n">
        <f aca="false">IF(internal_ai_reading=2,1,0)*Sens!K8925</f>
        <v>83.3249638901295</v>
      </c>
    </row>
    <row r="8927" customFormat="false" ht="17.15" hidden="false" customHeight="false" outlineLevel="0" collapsed="false">
      <c r="A8927" s="0" t="s">
        <v>850</v>
      </c>
      <c r="B8927" s="0" t="s">
        <v>98</v>
      </c>
      <c r="F8927" s="6" t="n">
        <f aca="false">Sens!F8845+Sens!F8924*Sens!F8904+Sens!F8926-Sens!F8846-Sens!F8856</f>
        <v>24.9724535860777</v>
      </c>
      <c r="G8927" s="6" t="n">
        <f aca="false">Sens!G8845+Sens!G8924*Sens!G8904+Sens!G8926-Sens!G8846-Sens!G8856</f>
        <v>40.6729162163565</v>
      </c>
      <c r="H8927" s="6" t="n">
        <f aca="false">Sens!H8845+Sens!H8924*Sens!H8904+Sens!H8926-Sens!H8846-Sens!H8856</f>
        <v>57.6037557578398</v>
      </c>
      <c r="I8927" s="6" t="n">
        <f aca="false">Sens!I8845+Sens!I8924*Sens!I8904+Sens!I8926-Sens!I8846-Sens!I8856</f>
        <v>72.6821702808237</v>
      </c>
      <c r="J8927" s="6" t="n">
        <f aca="false">Sens!J8845+Sens!J8924*Sens!J8904+Sens!J8926-Sens!J8846-Sens!J8856</f>
        <v>83.1117450345249</v>
      </c>
      <c r="K8927" s="6" t="n">
        <f aca="false">Sens!K8845+Sens!K8924*Sens!K8904+Sens!K8926-Sens!K8846-Sens!K8856</f>
        <v>90.3475782060151</v>
      </c>
    </row>
    <row r="8928" customFormat="false" ht="17.15" hidden="false" customHeight="false" outlineLevel="0" collapsed="false">
      <c r="A8928" s="0" t="s">
        <v>851</v>
      </c>
      <c r="B8928" s="0" t="s">
        <v>98</v>
      </c>
      <c r="E8928" s="6" t="n">
        <f aca="false">Sens!E8827*(cxit_open+self_build*tk_cxfac)/1000*ai_net_open</f>
        <v>126.6980382</v>
      </c>
      <c r="F8928" s="6" t="n">
        <f aca="false">Sens!E8928+Sens!F8853-Sens!F8856</f>
        <v>260.587261681234</v>
      </c>
      <c r="G8928" s="6" t="n">
        <f aca="false">Sens!F8928+Sens!G8853-Sens!G8856</f>
        <v>383.653053237428</v>
      </c>
      <c r="H8928" s="6" t="n">
        <f aca="false">Sens!G8928+Sens!H8853-Sens!H8856</f>
        <v>483.989367488022</v>
      </c>
      <c r="I8928" s="6" t="n">
        <f aca="false">Sens!H8928+Sens!I8853-Sens!I8856</f>
        <v>535.70734099338</v>
      </c>
      <c r="J8928" s="6" t="n">
        <f aca="false">Sens!I8928+Sens!J8853-Sens!J8856</f>
        <v>531.034451122138</v>
      </c>
      <c r="K8928" s="6" t="n">
        <f aca="false">Sens!J8928+Sens!K8853-Sens!K8856</f>
        <v>506.344584292934</v>
      </c>
      <c r="L8928" s="1" t="s">
        <v>852</v>
      </c>
    </row>
    <row r="8929" customFormat="false" ht="17.15" hidden="false" customHeight="false" outlineLevel="0" collapsed="false">
      <c r="A8929" s="0" t="s">
        <v>853</v>
      </c>
      <c r="B8929" s="0" t="s">
        <v>129</v>
      </c>
      <c r="F8929" s="7" t="n">
        <f aca="false">Sens!F8927*(1-tax_f)/((Sens!E8928+Sens!F8928)/2)</f>
        <v>0.103169228860422</v>
      </c>
      <c r="G8929" s="7" t="n">
        <f aca="false">Sens!G8927*(1-tax_f)/((Sens!F8928+Sens!G8928)/2)</f>
        <v>0.101013029515836</v>
      </c>
      <c r="H8929" s="7" t="n">
        <f aca="false">Sens!H8927*(1-tax_f)/((Sens!G8928+Sens!H8928)/2)</f>
        <v>0.106225798797945</v>
      </c>
      <c r="I8929" s="7" t="n">
        <f aca="false">Sens!I8927*(1-tax_f)/((Sens!H8928+Sens!I8928)/2)</f>
        <v>0.114045158214257</v>
      </c>
      <c r="J8929" s="7" t="n">
        <f aca="false">Sens!J8927*(1-tax_f)/((Sens!I8928+Sens!J8928)/2)</f>
        <v>0.12465883781634</v>
      </c>
      <c r="K8929" s="7" t="n">
        <f aca="false">Sens!K8927*(1-tax_f)/((Sens!J8928+Sens!K8928)/2)</f>
        <v>0.139347451794016</v>
      </c>
    </row>
    <row r="8930" customFormat="false" ht="17.15" hidden="false" customHeight="false" outlineLevel="0" collapsed="false">
      <c r="A8930" s="1" t="s">
        <v>854</v>
      </c>
      <c r="B8930" s="0" t="s">
        <v>129</v>
      </c>
      <c r="F8930" s="7" t="n">
        <f aca="false">(Sens!F8927-Sens!F8926)*(1-tax_f)/((Sens!E8928+Sens!F8928)/2)</f>
        <v>0.0208079578401351</v>
      </c>
      <c r="G8930" s="7" t="n">
        <f aca="false">(Sens!G8927-Sens!G8926)*(1-tax_f)/((Sens!F8928+Sens!G8928)/2)</f>
        <v>0.0137513077507871</v>
      </c>
      <c r="H8930" s="7" t="n">
        <f aca="false">(Sens!H8927-Sens!H8926)*(1-tax_f)/((Sens!G8928+Sens!H8928)/2)</f>
        <v>0.0109081236266452</v>
      </c>
      <c r="I8930" s="7" t="n">
        <f aca="false">(Sens!I8927-Sens!I8926)*(1-tax_f)/((Sens!H8928+Sens!I8928)/2)</f>
        <v>0.00919932680118644</v>
      </c>
      <c r="J8930" s="7" t="n">
        <f aca="false">(Sens!J8927-Sens!J8926)*(1-tax_f)/((Sens!I8928+Sens!J8928)/2)</f>
        <v>0.00851769161540775</v>
      </c>
      <c r="K8930" s="7" t="n">
        <f aca="false">(Sens!K8927-Sens!K8926)*(1-tax_f)/((Sens!J8928+Sens!K8928)/2)</f>
        <v>0.0108313186615741</v>
      </c>
    </row>
    <row r="8931" customFormat="false" ht="17.15" hidden="false" customHeight="false" outlineLevel="0" collapsed="false">
      <c r="A8931" s="1" t="s">
        <v>855</v>
      </c>
      <c r="B8931" s="0" t="s">
        <v>129</v>
      </c>
      <c r="F8931" s="7" t="n">
        <f aca="false">(Sens!F8927-Sens!F8926+Sens!F8925)*(1-tax_f)/((Sens!E8928+Sens!F8928)/2)</f>
        <v>0.103169228860422</v>
      </c>
      <c r="G8931" s="7" t="n">
        <f aca="false">(Sens!G8927-Sens!G8926+Sens!G8925)*(1-tax_f)/((Sens!F8928+Sens!G8928)/2)</f>
        <v>0.101013029515836</v>
      </c>
      <c r="H8931" s="7" t="n">
        <f aca="false">(Sens!H8927-Sens!H8926+Sens!H8925)*(1-tax_f)/((Sens!G8928+Sens!H8928)/2)</f>
        <v>0.106225798797945</v>
      </c>
      <c r="I8931" s="7" t="n">
        <f aca="false">(Sens!I8927-Sens!I8926+Sens!I8925)*(1-tax_f)/((Sens!H8928+Sens!I8928)/2)</f>
        <v>0.114045158214257</v>
      </c>
      <c r="J8931" s="7" t="n">
        <f aca="false">(Sens!J8927-Sens!J8926+Sens!J8925)*(1-tax_f)/((Sens!I8928+Sens!J8928)/2)</f>
        <v>0.12465883781634</v>
      </c>
      <c r="K8931" s="7" t="n">
        <f aca="false">(Sens!K8927-Sens!K8926+Sens!K8925)*(1-tax_f)/((Sens!J8928+Sens!K8928)/2)</f>
        <v>0.139347451794016</v>
      </c>
    </row>
    <row r="8932" customFormat="false" ht="17.15" hidden="false" customHeight="false" outlineLevel="0" collapsed="false">
      <c r="A8932" s="1" t="s">
        <v>856</v>
      </c>
      <c r="B8932" s="0" t="s">
        <v>129</v>
      </c>
      <c r="F8932" s="7" t="n">
        <f aca="false">Sens!F8857*(1-tax_f)/(Sens!F8844*(Sens!E8928+Sens!F8928)/2)</f>
        <v>0.128171645253979</v>
      </c>
      <c r="G8932" s="7" t="n">
        <f aca="false">Sens!G8857*(1-tax_f)/(Sens!G8844*(Sens!F8928+Sens!G8928)/2)</f>
        <v>0.125202642559125</v>
      </c>
      <c r="H8932" s="7" t="n">
        <f aca="false">Sens!H8857*(1-tax_f)/(Sens!H8844*(Sens!G8928+Sens!H8928)/2)</f>
        <v>0.130847335172567</v>
      </c>
      <c r="I8932" s="7" t="n">
        <f aca="false">Sens!I8857*(1-tax_f)/(Sens!I8844*(Sens!H8928+Sens!I8928)/2)</f>
        <v>0.13998769943578</v>
      </c>
      <c r="J8932" s="7" t="n">
        <f aca="false">Sens!J8857*(1-tax_f)/(Sens!J8844*(Sens!I8928+Sens!J8928)/2)</f>
        <v>0.15280351444605</v>
      </c>
      <c r="K8932" s="7" t="n">
        <f aca="false">Sens!K8857*(1-tax_f)/(Sens!K8844*(Sens!J8928+Sens!K8928)/2)</f>
        <v>0.170545843889916</v>
      </c>
    </row>
    <row r="8933" customFormat="false" ht="17.15" hidden="false" customHeight="false" outlineLevel="0" collapsed="false">
      <c r="A8933" s="0" t="s">
        <v>857</v>
      </c>
      <c r="B8933" s="0" t="s">
        <v>209</v>
      </c>
      <c r="F8933" s="7" t="n">
        <f aca="false">Sens!F8929-wacc</f>
        <v>0.000234808767546307</v>
      </c>
      <c r="G8933" s="7" t="n">
        <f aca="false">Sens!G8929-wacc</f>
        <v>-0.00192139057703965</v>
      </c>
      <c r="H8933" s="7" t="n">
        <f aca="false">Sens!H8929-wacc</f>
        <v>0.00329137870506945</v>
      </c>
      <c r="I8933" s="7" t="n">
        <f aca="false">Sens!I8929-wacc</f>
        <v>0.0111107381213808</v>
      </c>
      <c r="J8933" s="7" t="n">
        <f aca="false">Sens!J8929-wacc</f>
        <v>0.021724417723464</v>
      </c>
      <c r="K8933" s="7" t="n">
        <f aca="false">Sens!K8929-wacc</f>
        <v>0.0364130317011401</v>
      </c>
    </row>
    <row r="8934" customFormat="false" ht="17.15" hidden="false" customHeight="false" outlineLevel="0" collapsed="false">
      <c r="A8934" s="0" t="s">
        <v>858</v>
      </c>
      <c r="B8934" s="0" t="s">
        <v>98</v>
      </c>
      <c r="F8934" s="6" t="n">
        <f aca="false">Sens!F8927*(1-tax_f)-wacc*(Sens!E8928+Sens!F8928)/2</f>
        <v>0.0454689919769571</v>
      </c>
      <c r="G8934" s="6" t="n">
        <f aca="false">Sens!G8927*(1-tax_f)-wacc*(Sens!F8928+Sens!G8928)/2</f>
        <v>-0.618918635216886</v>
      </c>
      <c r="H8934" s="6" t="n">
        <f aca="false">Sens!H8927*(1-tax_f)-wacc*(Sens!G8928+Sens!H8928)/2</f>
        <v>1.42786989359532</v>
      </c>
      <c r="I8934" s="6" t="n">
        <f aca="false">Sens!I8927*(1-tax_f)-wacc*(Sens!H8928+Sens!I8928)/2</f>
        <v>5.6647915455854</v>
      </c>
      <c r="J8934" s="6" t="n">
        <f aca="false">Sens!J8927*(1-tax_f)-wacc*(Sens!I8928+Sens!J8928)/2</f>
        <v>11.5871721474971</v>
      </c>
      <c r="K8934" s="6" t="n">
        <f aca="false">Sens!K8927*(1-tax_f)-wacc*(Sens!J8928+Sens!K8928)/2</f>
        <v>18.8870578513335</v>
      </c>
    </row>
    <row r="8935" customFormat="false" ht="17.15" hidden="false" customHeight="false" outlineLevel="0" collapsed="false">
      <c r="A8935" s="3" t="s">
        <v>1467</v>
      </c>
    </row>
    <row r="8936" customFormat="false" ht="15" hidden="false" customHeight="false" outlineLevel="0" collapsed="false">
      <c r="A8936" s="4" t="s">
        <v>43</v>
      </c>
      <c r="B8936" s="4" t="s">
        <v>65</v>
      </c>
      <c r="C8936" s="20" t="s">
        <v>788</v>
      </c>
      <c r="D8936" s="20" t="s">
        <v>789</v>
      </c>
      <c r="E8936" s="20" t="s">
        <v>790</v>
      </c>
      <c r="F8936" s="20" t="s">
        <v>791</v>
      </c>
      <c r="G8936" s="20" t="s">
        <v>792</v>
      </c>
      <c r="H8936" s="20" t="s">
        <v>793</v>
      </c>
      <c r="I8936" s="20" t="s">
        <v>794</v>
      </c>
      <c r="J8936" s="20" t="s">
        <v>795</v>
      </c>
      <c r="K8936" s="20" t="s">
        <v>796</v>
      </c>
      <c r="L8936" s="4" t="s">
        <v>47</v>
      </c>
    </row>
    <row r="8937" customFormat="false" ht="15" hidden="false" customHeight="false" outlineLevel="0" collapsed="false">
      <c r="A8937" s="1" t="s">
        <v>915</v>
      </c>
      <c r="B8937" s="0" t="s">
        <v>98</v>
      </c>
      <c r="F8937" s="6" t="n">
        <f aca="false">Sens!F8918</f>
        <v>141.164782686209</v>
      </c>
      <c r="G8937" s="6" t="n">
        <f aca="false">Sens!G8918</f>
        <v>157.23210199465</v>
      </c>
      <c r="H8937" s="6" t="n">
        <f aca="false">Sens!H8918</f>
        <v>173.410363035868</v>
      </c>
      <c r="I8937" s="6" t="n">
        <f aca="false">Sens!I8918</f>
        <v>188.891061859657</v>
      </c>
      <c r="J8937" s="6" t="n">
        <f aca="false">Sens!J8918</f>
        <v>203.291732198224</v>
      </c>
      <c r="K8937" s="6" t="n">
        <f aca="false">Sens!K8918</f>
        <v>217.302526082271</v>
      </c>
    </row>
    <row r="8938" customFormat="false" ht="17.15" hidden="false" customHeight="false" outlineLevel="0" collapsed="false">
      <c r="A8938" s="1" t="s">
        <v>937</v>
      </c>
      <c r="B8938" s="0" t="s">
        <v>98</v>
      </c>
      <c r="E8938" s="6" t="n">
        <f aca="false">Q!M38-Sens!E8856</f>
        <v>22.2285940229167</v>
      </c>
      <c r="F8938" s="6" t="n">
        <f aca="false">Sens!E8938*(1-1/life_nonai)+Sens!F8944/life_nonai</f>
        <v>23.5626759435812</v>
      </c>
      <c r="G8938" s="6" t="n">
        <f aca="false">Sens!F8938*(1-1/life_nonai)+Sens!G8944/life_nonai</f>
        <v>25.3184025657684</v>
      </c>
      <c r="H8938" s="6" t="n">
        <f aca="false">Sens!G8938*(1-1/life_nonai)+Sens!H8944/life_nonai</f>
        <v>27.4604985552537</v>
      </c>
      <c r="I8938" s="6" t="n">
        <f aca="false">Sens!H8938*(1-1/life_nonai)+Sens!I8944/life_nonai</f>
        <v>29.9212539268856</v>
      </c>
      <c r="J8938" s="6" t="n">
        <f aca="false">Sens!I8938*(1-1/life_nonai)+Sens!J8944/life_nonai</f>
        <v>32.6162379843551</v>
      </c>
      <c r="K8938" s="6" t="n">
        <f aca="false">Sens!J8938*(1-1/life_nonai)+Sens!K8944/life_nonai</f>
        <v>35.4602795894137</v>
      </c>
      <c r="L8938" s="11" t="s">
        <v>938</v>
      </c>
    </row>
    <row r="8939" customFormat="false" ht="17.15" hidden="false" customHeight="false" outlineLevel="0" collapsed="false">
      <c r="A8939" s="1" t="s">
        <v>939</v>
      </c>
      <c r="B8939" s="0" t="s">
        <v>98</v>
      </c>
      <c r="E8939" s="6" t="n">
        <f aca="false">Sens!E8856+Sens!E8938</f>
        <v>38.534</v>
      </c>
      <c r="F8939" s="6" t="n">
        <f aca="false">Sens!F8856+Sens!F8938</f>
        <v>58.3040392327844</v>
      </c>
      <c r="G8939" s="6" t="n">
        <f aca="false">Sens!G8856+Sens!G8938</f>
        <v>85.8267914927747</v>
      </c>
      <c r="H8939" s="6" t="n">
        <f aca="false">Sens!H8856+Sens!H8938</f>
        <v>115.20447021506</v>
      </c>
      <c r="I8939" s="6" t="n">
        <f aca="false">Sens!I8856+Sens!I8938</f>
        <v>141.909949575773</v>
      </c>
      <c r="J8939" s="6" t="n">
        <f aca="false">Sens!J8856+Sens!J8938</f>
        <v>161.801604573688</v>
      </c>
      <c r="K8939" s="6" t="n">
        <f aca="false">Sens!K8856+Sens!K8938</f>
        <v>175.109582060554</v>
      </c>
    </row>
    <row r="8940" customFormat="false" ht="17.15" hidden="false" customHeight="false" outlineLevel="0" collapsed="false">
      <c r="A8940" s="1" t="s">
        <v>940</v>
      </c>
      <c r="B8940" s="0" t="s">
        <v>98</v>
      </c>
      <c r="F8940" s="6" t="n">
        <f aca="false">Sens!F8883*sbc_r</f>
        <v>14.9262285114936</v>
      </c>
      <c r="G8940" s="6" t="n">
        <f aca="false">Sens!G8883*sbc_r</f>
        <v>17.7487132721055</v>
      </c>
      <c r="H8940" s="6" t="n">
        <f aca="false">Sens!H8883*sbc_r</f>
        <v>20.6303730883139</v>
      </c>
      <c r="I8940" s="6" t="n">
        <f aca="false">Sens!I8883*sbc_r</f>
        <v>23.278042403155</v>
      </c>
      <c r="J8940" s="6" t="n">
        <f aca="false">Sens!J8883*sbc_r</f>
        <v>25.4364573579499</v>
      </c>
      <c r="K8940" s="6" t="n">
        <f aca="false">Sens!K8883*sbc_r</f>
        <v>27.155173314391</v>
      </c>
    </row>
    <row r="8941" customFormat="false" ht="17.15" hidden="false" customHeight="false" outlineLevel="0" collapsed="false">
      <c r="A8941" s="1" t="s">
        <v>941</v>
      </c>
      <c r="B8941" s="0" t="s">
        <v>98</v>
      </c>
      <c r="F8941" s="6" t="n">
        <f aca="false">wc27</f>
        <v>-4.895</v>
      </c>
      <c r="G8941" s="6" t="n">
        <f aca="false">wc_f</f>
        <v>0</v>
      </c>
      <c r="H8941" s="6" t="n">
        <f aca="false">wc_f</f>
        <v>0</v>
      </c>
      <c r="I8941" s="6" t="n">
        <f aca="false">wc_f</f>
        <v>0</v>
      </c>
      <c r="J8941" s="6" t="n">
        <f aca="false">wc_f</f>
        <v>0</v>
      </c>
      <c r="K8941" s="6" t="n">
        <f aca="false">wc_f</f>
        <v>0</v>
      </c>
      <c r="L8941" s="11" t="s">
        <v>942</v>
      </c>
    </row>
    <row r="8942" customFormat="false" ht="15" hidden="false" customHeight="false" outlineLevel="0" collapsed="false">
      <c r="A8942" s="1" t="s">
        <v>756</v>
      </c>
      <c r="B8942" s="0" t="s">
        <v>98</v>
      </c>
      <c r="E8942" s="6" t="n">
        <f aca="false">Q!M35</f>
        <v>182.935</v>
      </c>
      <c r="F8942" s="6" t="n">
        <f aca="false">Sens!F8937+Sens!F8939+Sens!F8940+Sens!F8941</f>
        <v>209.500050430487</v>
      </c>
      <c r="G8942" s="6" t="n">
        <f aca="false">Sens!G8937+Sens!G8939+Sens!G8940+Sens!G8941</f>
        <v>260.80760675953</v>
      </c>
      <c r="H8942" s="6" t="n">
        <f aca="false">Sens!H8937+Sens!H8939+Sens!H8940+Sens!H8941</f>
        <v>309.245206339242</v>
      </c>
      <c r="I8942" s="6" t="n">
        <f aca="false">Sens!I8937+Sens!I8939+Sens!I8940+Sens!I8941</f>
        <v>354.079053838585</v>
      </c>
      <c r="J8942" s="6" t="n">
        <f aca="false">Sens!J8937+Sens!J8939+Sens!J8940+Sens!J8941</f>
        <v>390.529794129862</v>
      </c>
      <c r="K8942" s="6" t="n">
        <f aca="false">Sens!K8937+Sens!K8939+Sens!K8940+Sens!K8941</f>
        <v>419.567281457216</v>
      </c>
    </row>
    <row r="8943" customFormat="false" ht="17.15" hidden="false" customHeight="false" outlineLevel="0" collapsed="false">
      <c r="A8943" s="0" t="s">
        <v>943</v>
      </c>
      <c r="B8943" s="0" t="s">
        <v>98</v>
      </c>
      <c r="F8943" s="6" t="n">
        <f aca="false">Sens!F8853</f>
        <v>168.630586770438</v>
      </c>
      <c r="G8943" s="6" t="n">
        <f aca="false">Sens!G8853</f>
        <v>183.5741804832</v>
      </c>
      <c r="H8943" s="6" t="n">
        <f aca="false">Sens!H8853</f>
        <v>188.0802859104</v>
      </c>
      <c r="I8943" s="6" t="n">
        <f aca="false">Sens!I8853</f>
        <v>163.706669154245</v>
      </c>
      <c r="J8943" s="6" t="n">
        <f aca="false">Sens!J8853</f>
        <v>124.51247671809</v>
      </c>
      <c r="K8943" s="6" t="n">
        <f aca="false">Sens!K8853</f>
        <v>114.959435641936</v>
      </c>
    </row>
    <row r="8944" customFormat="false" ht="17.15" hidden="false" customHeight="false" outlineLevel="0" collapsed="false">
      <c r="A8944" s="1" t="s">
        <v>944</v>
      </c>
      <c r="B8944" s="0" t="s">
        <v>98</v>
      </c>
      <c r="E8944" s="6" t="n">
        <f aca="false">Sens!E8861*cx_azo+Sens!E8868*cx_m365+Sens!E8869*cx_lic+(Sens!E8871+Sens!E8873)*cx_ind+Sens!E8876*cx_srch+(Sens!E8878+Sens!E8880)*cx_dev</f>
        <v>30.1846587067718</v>
      </c>
      <c r="F8944" s="6" t="n">
        <f aca="false">Sens!F8861*cx_azo+Sens!F8868*cx_m365+Sens!F8869*cx_lic+(Sens!F8871+Sens!F8873)*cx_ind+Sens!F8876*cx_srch+(Sens!F8878+Sens!F8880)*cx_dev</f>
        <v>35.5694132295625</v>
      </c>
      <c r="G8944" s="6" t="n">
        <f aca="false">Sens!G8861*cx_azo+Sens!G8868*cx_m365+Sens!G8869*cx_lic+(Sens!G8871+Sens!G8873)*cx_ind+Sens!G8876*cx_srch+(Sens!G8878+Sens!G8880)*cx_dev</f>
        <v>41.1199421654528</v>
      </c>
      <c r="H8944" s="6" t="n">
        <f aca="false">Sens!H8861*cx_azo+Sens!H8868*cx_m365+Sens!H8869*cx_lic+(Sens!H8871+Sens!H8873)*cx_ind+Sens!H8876*cx_srch+(Sens!H8878+Sens!H8880)*cx_dev</f>
        <v>46.7393624606218</v>
      </c>
      <c r="I8944" s="6" t="n">
        <f aca="false">Sens!I8861*cx_azo+Sens!I8868*cx_m365+Sens!I8869*cx_lic+(Sens!I8871+Sens!I8873)*cx_ind+Sens!I8876*cx_srch+(Sens!I8878+Sens!I8880)*cx_dev</f>
        <v>52.0680522715721</v>
      </c>
      <c r="J8944" s="6" t="n">
        <f aca="false">Sens!J8861*cx_azo+Sens!J8868*cx_m365+Sens!J8869*cx_lic+(Sens!J8871+Sens!J8873)*cx_ind+Sens!J8876*cx_srch+(Sens!J8878+Sens!J8880)*cx_dev</f>
        <v>56.871094501581</v>
      </c>
      <c r="K8944" s="6" t="n">
        <f aca="false">Sens!K8861*cx_azo+Sens!K8868*cx_m365+Sens!K8869*cx_lic+(Sens!K8871+Sens!K8873)*cx_ind+Sens!K8876*cx_srch+(Sens!K8878+Sens!K8880)*cx_dev</f>
        <v>61.0566540349409</v>
      </c>
    </row>
    <row r="8945" customFormat="false" ht="17.15" hidden="false" customHeight="false" outlineLevel="0" collapsed="false">
      <c r="A8945" s="1" t="s">
        <v>945</v>
      </c>
      <c r="B8945" s="0" t="s">
        <v>98</v>
      </c>
      <c r="E8945" s="6" t="n">
        <f aca="false">Q!M42</f>
        <v>145.3</v>
      </c>
      <c r="F8945" s="6" t="n">
        <f aca="false">Sens!F8943+Sens!F8944</f>
        <v>204.2</v>
      </c>
      <c r="G8945" s="6" t="n">
        <f aca="false">Sens!G8943+Sens!G8944</f>
        <v>224.694122648653</v>
      </c>
      <c r="H8945" s="6" t="n">
        <f aca="false">Sens!H8943+Sens!H8944</f>
        <v>234.819648371022</v>
      </c>
      <c r="I8945" s="6" t="n">
        <f aca="false">Sens!I8943+Sens!I8944</f>
        <v>215.774721425818</v>
      </c>
      <c r="J8945" s="6" t="n">
        <f aca="false">Sens!J8943+Sens!J8944</f>
        <v>181.383571219671</v>
      </c>
      <c r="K8945" s="6" t="n">
        <f aca="false">Sens!K8943+Sens!K8944</f>
        <v>176.016089676877</v>
      </c>
      <c r="L8945" s="1" t="s">
        <v>946</v>
      </c>
    </row>
    <row r="8946" customFormat="false" ht="15" hidden="false" customHeight="false" outlineLevel="0" collapsed="false">
      <c r="A8946" s="1" t="s">
        <v>947</v>
      </c>
      <c r="B8946" s="0" t="s">
        <v>98</v>
      </c>
      <c r="E8946" s="6" t="n">
        <f aca="false">fl_liab</f>
        <v>66.594</v>
      </c>
      <c r="F8946" s="6" t="n">
        <f aca="false">Sens!E8946-Sens!F8947</f>
        <v>62.46973</v>
      </c>
      <c r="G8946" s="6" t="n">
        <f aca="false">Sens!F8946-Sens!G8947</f>
        <v>57.98686785</v>
      </c>
      <c r="H8946" s="6" t="n">
        <f aca="false">Sens!G8946-Sens!H8947</f>
        <v>53.92827690325</v>
      </c>
      <c r="I8946" s="6" t="n">
        <f aca="false">Sens!H8946-Sens!I8947</f>
        <v>49.7850493638962</v>
      </c>
      <c r="J8946" s="6" t="n">
        <f aca="false">Sens!I8946-Sens!J8947</f>
        <v>45.4823765852716</v>
      </c>
      <c r="K8946" s="6" t="n">
        <f aca="false">Sens!J8946-Sens!K8947</f>
        <v>40.9860835316088</v>
      </c>
    </row>
    <row r="8947" customFormat="false" ht="15" hidden="false" customHeight="false" outlineLevel="0" collapsed="false">
      <c r="A8947" s="1" t="s">
        <v>948</v>
      </c>
      <c r="B8947" s="0" t="s">
        <v>98</v>
      </c>
      <c r="F8947" s="6" t="n">
        <f aca="false">fl_pay_27-Sens!E8946*fl_rate</f>
        <v>4.12427</v>
      </c>
      <c r="G8947" s="6" t="n">
        <f aca="false">fl_pay_28-Sens!F8946*fl_rate</f>
        <v>4.48286215</v>
      </c>
      <c r="H8947" s="6" t="n">
        <f aca="false">fl_pay_29-Sens!G8946*fl_rate</f>
        <v>4.05859094675</v>
      </c>
      <c r="I8947" s="6" t="n">
        <f aca="false">fl_pay_30-Sens!H8946*fl_rate</f>
        <v>4.14322753935375</v>
      </c>
      <c r="J8947" s="6" t="n">
        <f aca="false">fl_pay_31-Sens!I8946*fl_rate</f>
        <v>4.30267277862467</v>
      </c>
      <c r="K8947" s="6" t="n">
        <f aca="false">fl_pay_32-Sens!J8946*fl_rate</f>
        <v>4.49629305366278</v>
      </c>
    </row>
    <row r="8948" customFormat="false" ht="17.15" hidden="false" customHeight="false" outlineLevel="0" collapsed="false">
      <c r="A8948" s="1" t="s">
        <v>949</v>
      </c>
      <c r="B8948" s="0" t="s">
        <v>98</v>
      </c>
      <c r="E8948" s="6" t="n">
        <f aca="false">Q!M35-Q!M36-Q!M43</f>
        <v>63.886</v>
      </c>
      <c r="F8948" s="6" t="n">
        <f aca="false">Sens!F8942-Sens!F8945-Sens!F8947</f>
        <v>1.17578043048655</v>
      </c>
      <c r="G8948" s="6" t="n">
        <f aca="false">Sens!G8942-Sens!G8945-Sens!G8947</f>
        <v>31.6306219608774</v>
      </c>
      <c r="H8948" s="6" t="n">
        <f aca="false">Sens!H8942-Sens!H8945-Sens!H8947</f>
        <v>70.3669670214705</v>
      </c>
      <c r="I8948" s="6" t="n">
        <f aca="false">Sens!I8942-Sens!I8945-Sens!I8947</f>
        <v>134.161104873414</v>
      </c>
      <c r="J8948" s="6" t="n">
        <f aca="false">Sens!J8942-Sens!J8945-Sens!J8947</f>
        <v>204.843550131566</v>
      </c>
      <c r="K8948" s="6" t="n">
        <f aca="false">Sens!K8942-Sens!K8945-Sens!K8947</f>
        <v>239.054898726676</v>
      </c>
      <c r="L8948" s="11" t="s">
        <v>950</v>
      </c>
    </row>
    <row r="8949" customFormat="false" ht="15" hidden="false" customHeight="false" outlineLevel="0" collapsed="false">
      <c r="A8949" s="1" t="s">
        <v>951</v>
      </c>
      <c r="B8949" s="0" t="s">
        <v>75</v>
      </c>
      <c r="F8949" s="8" t="n">
        <f aca="false">dps_27</f>
        <v>3.85</v>
      </c>
      <c r="G8949" s="8" t="n">
        <f aca="false">Sens!F8949*(1+dps_g)</f>
        <v>4.158</v>
      </c>
      <c r="H8949" s="8" t="n">
        <f aca="false">Sens!G8949*(1+dps_g)</f>
        <v>4.49064</v>
      </c>
      <c r="I8949" s="8" t="n">
        <f aca="false">Sens!H8949*(1+dps_g)</f>
        <v>4.8498912</v>
      </c>
      <c r="J8949" s="8" t="n">
        <f aca="false">Sens!I8949*(1+dps_g)</f>
        <v>5.237882496</v>
      </c>
      <c r="K8949" s="8" t="n">
        <f aca="false">Sens!J8949*(1+dps_g)</f>
        <v>5.65691309568</v>
      </c>
    </row>
    <row r="8950" customFormat="false" ht="17.15" hidden="false" customHeight="false" outlineLevel="0" collapsed="false">
      <c r="A8950" s="1" t="s">
        <v>952</v>
      </c>
      <c r="B8950" s="0" t="s">
        <v>98</v>
      </c>
      <c r="E8950" s="6" t="n">
        <f aca="false">Q!M41</f>
        <v>26.445</v>
      </c>
      <c r="F8950" s="6" t="n">
        <f aca="false">Sens!F8949*Sens!E8959</f>
        <v>28.59395</v>
      </c>
      <c r="G8950" s="6" t="n">
        <f aca="false">Sens!G8949*Sens!F8959</f>
        <v>31.068576</v>
      </c>
      <c r="H8950" s="6" t="n">
        <f aca="false">Sens!H8949*Sens!G8959</f>
        <v>33.7519186364953</v>
      </c>
      <c r="I8950" s="6" t="n">
        <f aca="false">Sens!I8949*Sens!H8959</f>
        <v>36.5030113674144</v>
      </c>
      <c r="J8950" s="6" t="n">
        <f aca="false">Sens!J8949*Sens!I8959</f>
        <v>39.491651125127</v>
      </c>
      <c r="K8950" s="6" t="n">
        <f aca="false">Sens!K8949*Sens!J8959</f>
        <v>42.7382384404422</v>
      </c>
      <c r="L8950" s="1" t="s">
        <v>953</v>
      </c>
    </row>
    <row r="8951" customFormat="false" ht="15" hidden="false" customHeight="false" outlineLevel="0" collapsed="false">
      <c r="A8951" s="1" t="s">
        <v>954</v>
      </c>
      <c r="B8951" s="0" t="s">
        <v>98</v>
      </c>
      <c r="E8951" s="6" t="n">
        <f aca="false">Sens!E8948-Sens!E8950</f>
        <v>37.441</v>
      </c>
      <c r="F8951" s="6" t="n">
        <f aca="false">Sens!F8948-Sens!F8950</f>
        <v>-27.4181695695135</v>
      </c>
      <c r="G8951" s="6" t="n">
        <f aca="false">Sens!G8948-Sens!G8950</f>
        <v>0.562045960877438</v>
      </c>
      <c r="H8951" s="6" t="n">
        <f aca="false">Sens!H8948-Sens!H8950</f>
        <v>36.6150483849752</v>
      </c>
      <c r="I8951" s="6" t="n">
        <f aca="false">Sens!I8948-Sens!I8950</f>
        <v>97.6580935059995</v>
      </c>
      <c r="J8951" s="6" t="n">
        <f aca="false">Sens!J8948-Sens!J8950</f>
        <v>165.351899006439</v>
      </c>
      <c r="K8951" s="6" t="n">
        <f aca="false">Sens!K8948-Sens!K8950</f>
        <v>196.316660286234</v>
      </c>
    </row>
    <row r="8952" customFormat="false" ht="15" hidden="false" customHeight="false" outlineLevel="0" collapsed="false">
      <c r="A8952" s="1" t="s">
        <v>955</v>
      </c>
      <c r="B8952" s="0" t="s">
        <v>98</v>
      </c>
      <c r="F8952" s="6" t="n">
        <f aca="false">debt_mat_27</f>
        <v>9.25</v>
      </c>
      <c r="G8952" s="6" t="n">
        <f aca="false">debt_mat_28</f>
        <v>0</v>
      </c>
      <c r="H8952" s="6" t="n">
        <f aca="false">debt_mat_29</f>
        <v>2.001</v>
      </c>
      <c r="I8952" s="6" t="n">
        <f aca="false">debt_mat_30</f>
        <v>0</v>
      </c>
      <c r="J8952" s="6" t="n">
        <f aca="false">debt_mat_31</f>
        <v>0.5</v>
      </c>
      <c r="K8952" s="6" t="n">
        <f aca="false">debt_mat_32</f>
        <v>0</v>
      </c>
    </row>
    <row r="8953" customFormat="false" ht="15" hidden="false" customHeight="false" outlineLevel="0" collapsed="false">
      <c r="A8953" s="1" t="s">
        <v>956</v>
      </c>
      <c r="B8953" s="0" t="s">
        <v>98</v>
      </c>
      <c r="E8953" s="6" t="n">
        <f aca="false">Q!M40</f>
        <v>22.271</v>
      </c>
      <c r="F8953" s="6" t="n">
        <f aca="false">MAX(0,MIN(bb_target,Sens!E8955+Sens!F8951-Sens!F8952-min_cash))</f>
        <v>0</v>
      </c>
      <c r="G8953" s="6" t="n">
        <f aca="false">MAX(0,MIN(bb_target,Sens!F8955+Sens!G8951-Sens!G8952-min_cash))</f>
        <v>0.562045960877441</v>
      </c>
      <c r="H8953" s="6" t="n">
        <f aca="false">MAX(0,MIN(bb_target,Sens!G8955+Sens!H8951-Sens!H8952-min_cash))</f>
        <v>22.271</v>
      </c>
      <c r="I8953" s="6" t="n">
        <f aca="false">MAX(0,MIN(bb_target,Sens!H8955+Sens!I8951-Sens!I8952-min_cash))</f>
        <v>22.271</v>
      </c>
      <c r="J8953" s="6" t="n">
        <f aca="false">MAX(0,MIN(bb_target,Sens!I8955+Sens!J8951-Sens!J8952-min_cash))</f>
        <v>22.271</v>
      </c>
      <c r="K8953" s="6" t="n">
        <f aca="false">MAX(0,MIN(bb_target,Sens!J8955+Sens!K8951-Sens!K8952-min_cash))</f>
        <v>22.271</v>
      </c>
    </row>
    <row r="8954" customFormat="false" ht="15" hidden="false" customHeight="false" outlineLevel="0" collapsed="false">
      <c r="A8954" s="1" t="s">
        <v>957</v>
      </c>
      <c r="B8954" s="0" t="s">
        <v>98</v>
      </c>
      <c r="F8954" s="6" t="n">
        <f aca="false">MAX(0,min_cash-(Sens!E8955+Sens!F8951-Sens!F8952-Sens!F8953))</f>
        <v>9.82516956951345</v>
      </c>
      <c r="G8954" s="6" t="n">
        <f aca="false">MAX(0,min_cash-(Sens!F8955+Sens!G8951-Sens!G8952-Sens!G8953))</f>
        <v>0</v>
      </c>
      <c r="H8954" s="6" t="n">
        <f aca="false">MAX(0,min_cash-(Sens!G8955+Sens!H8951-Sens!H8952-Sens!H8953))</f>
        <v>0</v>
      </c>
      <c r="I8954" s="6" t="n">
        <f aca="false">MAX(0,min_cash-(Sens!H8955+Sens!I8951-Sens!I8952-Sens!I8953))</f>
        <v>0</v>
      </c>
      <c r="J8954" s="6" t="n">
        <f aca="false">MAX(0,min_cash-(Sens!I8955+Sens!J8951-Sens!J8952-Sens!J8953))</f>
        <v>0</v>
      </c>
      <c r="K8954" s="6" t="n">
        <f aca="false">MAX(0,min_cash-(Sens!J8955+Sens!K8951-Sens!K8952-Sens!K8953))</f>
        <v>0</v>
      </c>
    </row>
    <row r="8955" customFormat="false" ht="15" hidden="false" customHeight="false" outlineLevel="0" collapsed="false">
      <c r="A8955" s="1" t="s">
        <v>958</v>
      </c>
      <c r="B8955" s="0" t="s">
        <v>98</v>
      </c>
      <c r="E8955" s="6" t="n">
        <f aca="false">cash_open</f>
        <v>76.843</v>
      </c>
      <c r="F8955" s="6" t="n">
        <f aca="false">Sens!E8955+Sens!F8951-Sens!F8952-Sens!F8953+Sens!F8954</f>
        <v>50</v>
      </c>
      <c r="G8955" s="6" t="n">
        <f aca="false">Sens!F8955+Sens!G8951-Sens!G8952-Sens!G8953+Sens!G8954</f>
        <v>50</v>
      </c>
      <c r="H8955" s="6" t="n">
        <f aca="false">Sens!G8955+Sens!H8951-Sens!H8952-Sens!H8953+Sens!H8954</f>
        <v>62.3430483849752</v>
      </c>
      <c r="I8955" s="6" t="n">
        <f aca="false">Sens!H8955+Sens!I8951-Sens!I8952-Sens!I8953+Sens!I8954</f>
        <v>137.730141890975</v>
      </c>
      <c r="J8955" s="6" t="n">
        <f aca="false">Sens!I8955+Sens!J8951-Sens!J8952-Sens!J8953+Sens!J8954</f>
        <v>280.311040897413</v>
      </c>
      <c r="K8955" s="6" t="n">
        <f aca="false">Sens!J8955+Sens!K8951-Sens!K8952-Sens!K8953+Sens!K8954</f>
        <v>454.356701183647</v>
      </c>
    </row>
    <row r="8956" customFormat="false" ht="15" hidden="false" customHeight="false" outlineLevel="0" collapsed="false">
      <c r="A8956" s="1" t="s">
        <v>959</v>
      </c>
      <c r="B8956" s="0" t="s">
        <v>98</v>
      </c>
      <c r="E8956" s="6" t="n">
        <f aca="false">debt_face</f>
        <v>46.136</v>
      </c>
      <c r="F8956" s="6" t="n">
        <f aca="false">Sens!E8956-Sens!F8952+Sens!F8954</f>
        <v>46.7111695695135</v>
      </c>
      <c r="G8956" s="6" t="n">
        <f aca="false">Sens!F8956-Sens!G8952+Sens!G8954</f>
        <v>46.7111695695135</v>
      </c>
      <c r="H8956" s="6" t="n">
        <f aca="false">Sens!G8956-Sens!H8952+Sens!H8954</f>
        <v>44.7101695695135</v>
      </c>
      <c r="I8956" s="6" t="n">
        <f aca="false">Sens!H8956-Sens!I8952+Sens!I8954</f>
        <v>44.7101695695135</v>
      </c>
      <c r="J8956" s="6" t="n">
        <f aca="false">Sens!I8956-Sens!J8952+Sens!J8954</f>
        <v>44.2101695695135</v>
      </c>
      <c r="K8956" s="6" t="n">
        <f aca="false">Sens!J8956-Sens!K8952+Sens!K8954</f>
        <v>44.2101695695135</v>
      </c>
    </row>
    <row r="8957" customFormat="false" ht="15" hidden="false" customHeight="false" outlineLevel="0" collapsed="false">
      <c r="A8957" s="1" t="s">
        <v>960</v>
      </c>
      <c r="B8957" s="0" t="s">
        <v>98</v>
      </c>
      <c r="E8957" s="6" t="n">
        <f aca="false">Sens!E8955-Sens!E8956</f>
        <v>30.707</v>
      </c>
      <c r="F8957" s="6" t="n">
        <f aca="false">Sens!F8955-Sens!F8956</f>
        <v>3.28883043048655</v>
      </c>
      <c r="G8957" s="6" t="n">
        <f aca="false">Sens!G8955-Sens!G8956</f>
        <v>3.28883043048655</v>
      </c>
      <c r="H8957" s="6" t="n">
        <f aca="false">Sens!H8955-Sens!H8956</f>
        <v>17.6328788154617</v>
      </c>
      <c r="I8957" s="6" t="n">
        <f aca="false">Sens!I8955-Sens!I8956</f>
        <v>93.0199723214612</v>
      </c>
      <c r="J8957" s="6" t="n">
        <f aca="false">Sens!J8955-Sens!J8956</f>
        <v>236.1008713279</v>
      </c>
      <c r="K8957" s="6" t="n">
        <f aca="false">Sens!K8955-Sens!K8956</f>
        <v>410.146531614134</v>
      </c>
    </row>
    <row r="8958" customFormat="false" ht="15" hidden="false" customHeight="false" outlineLevel="0" collapsed="false">
      <c r="A8958" s="1" t="s">
        <v>961</v>
      </c>
      <c r="B8958" s="0" t="s">
        <v>75</v>
      </c>
      <c r="F8958" s="29" t="n">
        <f aca="false">px*(1+bb_g)^(Sens!F8822-base_fy-mid_yr)</f>
        <v>553.494156066711</v>
      </c>
      <c r="G8958" s="29" t="n">
        <f aca="false">px*(1+bb_g)^(Sens!G8822-base_fy-mid_yr)</f>
        <v>597.773688552047</v>
      </c>
      <c r="H8958" s="29" t="n">
        <f aca="false">px*(1+bb_g)^(Sens!H8822-base_fy-mid_yr)</f>
        <v>645.595583636211</v>
      </c>
      <c r="I8958" s="29" t="n">
        <f aca="false">px*(1+bb_g)^(Sens!I8822-base_fy-mid_yr)</f>
        <v>697.243230327108</v>
      </c>
      <c r="J8958" s="29" t="n">
        <f aca="false">px*(1+bb_g)^(Sens!J8822-base_fy-mid_yr)</f>
        <v>753.022688753277</v>
      </c>
      <c r="K8958" s="29" t="n">
        <f aca="false">px*(1+bb_g)^(Sens!K8822-base_fy-mid_yr)</f>
        <v>813.264503853539</v>
      </c>
    </row>
    <row r="8959" customFormat="false" ht="15" hidden="false" customHeight="false" outlineLevel="0" collapsed="false">
      <c r="A8959" s="1" t="s">
        <v>962</v>
      </c>
      <c r="B8959" s="1" t="s">
        <v>81</v>
      </c>
      <c r="E8959" s="14" t="n">
        <f aca="false">sh_out26</f>
        <v>7.427</v>
      </c>
      <c r="F8959" s="14" t="n">
        <f aca="false">Sens!E8959+sh_iss-Sens!F8953/Sens!F8958</f>
        <v>7.472</v>
      </c>
      <c r="G8959" s="14" t="n">
        <f aca="false">Sens!F8959+sh_iss-Sens!G8953/Sens!G8958</f>
        <v>7.51605976798303</v>
      </c>
      <c r="H8959" s="14" t="n">
        <f aca="false">Sens!G8959+sh_iss-Sens!H8953/Sens!H8958</f>
        <v>7.52656293968293</v>
      </c>
      <c r="I8959" s="14" t="n">
        <f aca="false">Sens!H8959+sh_iss-Sens!I8953/Sens!I8958</f>
        <v>7.53962143199766</v>
      </c>
      <c r="J8959" s="14" t="n">
        <f aca="false">Sens!I8959+sh_iss-Sens!J8953/Sens!J8958</f>
        <v>7.5550459619187</v>
      </c>
      <c r="K8959" s="14" t="n">
        <f aca="false">Sens!J8959+sh_iss-Sens!K8953/Sens!K8958</f>
        <v>7.57266126740114</v>
      </c>
    </row>
    <row r="8960" customFormat="false" ht="15" hidden="false" customHeight="false" outlineLevel="0" collapsed="false">
      <c r="A8960" s="1" t="s">
        <v>963</v>
      </c>
      <c r="B8960" s="1" t="s">
        <v>81</v>
      </c>
      <c r="E8960" s="14" t="n">
        <f aca="false">sh_dil26</f>
        <v>7.453</v>
      </c>
      <c r="F8960" s="14" t="n">
        <f aca="false">(Sens!E8959+Sens!F8959)/2+dil_gap</f>
        <v>7.4735</v>
      </c>
      <c r="G8960" s="14" t="n">
        <f aca="false">(Sens!F8959+Sens!G8959)/2+dil_gap</f>
        <v>7.51802988399152</v>
      </c>
      <c r="H8960" s="14" t="n">
        <f aca="false">(Sens!G8959+Sens!H8959)/2+dil_gap</f>
        <v>7.54531135383298</v>
      </c>
      <c r="I8960" s="14" t="n">
        <f aca="false">(Sens!H8959+Sens!I8959)/2+dil_gap</f>
        <v>7.5570921858403</v>
      </c>
      <c r="J8960" s="14" t="n">
        <f aca="false">(Sens!I8959+Sens!J8959)/2+dil_gap</f>
        <v>7.57133369695818</v>
      </c>
      <c r="K8960" s="14" t="n">
        <f aca="false">(Sens!J8959+Sens!K8959)/2+dil_gap</f>
        <v>7.58785361465992</v>
      </c>
    </row>
    <row r="8961" customFormat="false" ht="17.15" hidden="false" customHeight="false" outlineLevel="0" collapsed="false">
      <c r="A8961" s="1" t="s">
        <v>964</v>
      </c>
      <c r="B8961" s="0" t="s">
        <v>98</v>
      </c>
      <c r="C8961" s="6" t="n">
        <f aca="false">SUM(Sens!F8951:J8951)</f>
        <v>272.768917288777</v>
      </c>
    </row>
    <row r="8962" customFormat="false" ht="15" hidden="false" customHeight="false" outlineLevel="0" collapsed="false">
      <c r="A8962" s="23" t="s">
        <v>935</v>
      </c>
      <c r="B8962" s="30" t="s">
        <v>98</v>
      </c>
      <c r="C8962" s="24" t="n">
        <f aca="false">Sens!$C$8961-(Sens!F8951+Sens!G8951+Sens!H8951+Sens!I8951+Sens!J8951)</f>
        <v>0</v>
      </c>
      <c r="D8962" s="30"/>
      <c r="E8962" s="30"/>
      <c r="F8962" s="30"/>
      <c r="G8962" s="30"/>
      <c r="H8962" s="30"/>
      <c r="I8962" s="30"/>
      <c r="J8962" s="30"/>
      <c r="K8962" s="30"/>
    </row>
    <row r="8963" customFormat="false" ht="17.15" hidden="false" customHeight="false" outlineLevel="0" collapsed="false">
      <c r="A8963" s="1" t="s">
        <v>929</v>
      </c>
      <c r="B8963" s="1" t="s">
        <v>965</v>
      </c>
      <c r="C8963" s="32" t="str">
        <f aca="false">IF(SUM(Sens!F8954:J8954)&gt;0.05,"需要舉債 "&amp;TEXT(SUM(Sens!F8954:J8954),"0.0")&amp;" 十億美元","不需舉債")&amp;"；"&amp;IF(SUM(Sens!F8953:J8953)&lt;COUNT(Sens!F8953:J8953)*bb_target-0.05,"回購較每年 "&amp;TEXT(bb_target,"0.0")&amp;" 的目標少 "&amp;TEXT(COUNT(Sens!F8953:J8953)*bb_target-SUM(Sens!F8953:J8953),"0.0")&amp;" 十億美元（"&amp;TEXT(COUNTIF(Sens!F8953:J8953,"&lt;"&amp;(bb_target-0.05)),"0")&amp;" 年減少）","回購不減")</f>
        <v>需要舉債 9.8 十億美元；回購較每年 22.3 的目標少 44.0 十億美元（2 年減少）</v>
      </c>
    </row>
    <row r="8964" customFormat="false" ht="17.15" hidden="false" customHeight="false" outlineLevel="0" collapsed="false">
      <c r="A8964" s="3" t="s">
        <v>1468</v>
      </c>
    </row>
    <row r="8965" customFormat="false" ht="15" hidden="false" customHeight="false" outlineLevel="0" collapsed="false">
      <c r="A8965" s="4" t="s">
        <v>43</v>
      </c>
      <c r="B8965" s="4" t="s">
        <v>65</v>
      </c>
      <c r="C8965" s="20" t="s">
        <v>788</v>
      </c>
      <c r="D8965" s="20" t="s">
        <v>789</v>
      </c>
      <c r="E8965" s="20" t="s">
        <v>790</v>
      </c>
      <c r="F8965" s="20" t="s">
        <v>791</v>
      </c>
      <c r="G8965" s="20" t="s">
        <v>792</v>
      </c>
      <c r="H8965" s="20" t="s">
        <v>793</v>
      </c>
      <c r="I8965" s="20" t="s">
        <v>794</v>
      </c>
      <c r="J8965" s="20" t="s">
        <v>795</v>
      </c>
      <c r="K8965" s="20" t="s">
        <v>796</v>
      </c>
      <c r="L8965" s="4" t="s">
        <v>47</v>
      </c>
    </row>
    <row r="8966" customFormat="false" ht="15" hidden="false" customHeight="false" outlineLevel="0" collapsed="false">
      <c r="A8966" s="1" t="s">
        <v>1042</v>
      </c>
      <c r="B8966" s="1" t="s">
        <v>235</v>
      </c>
      <c r="F8966" s="36" t="n">
        <f aca="false">Sens!F8822-base_fy-mid_yr</f>
        <v>0.5</v>
      </c>
      <c r="G8966" s="36" t="n">
        <f aca="false">Sens!G8822-base_fy-mid_yr</f>
        <v>1.5</v>
      </c>
      <c r="H8966" s="36" t="n">
        <f aca="false">Sens!H8822-base_fy-mid_yr</f>
        <v>2.5</v>
      </c>
      <c r="I8966" s="36" t="n">
        <f aca="false">Sens!I8822-base_fy-mid_yr</f>
        <v>3.5</v>
      </c>
      <c r="J8966" s="36" t="n">
        <f aca="false">Sens!J8822-base_fy-mid_yr</f>
        <v>4.5</v>
      </c>
      <c r="K8966" s="36" t="n">
        <f aca="false">Sens!K8822-base_fy-mid_yr</f>
        <v>5.5</v>
      </c>
    </row>
    <row r="8967" customFormat="false" ht="15" hidden="false" customHeight="false" outlineLevel="0" collapsed="false">
      <c r="A8967" s="1" t="s">
        <v>1043</v>
      </c>
      <c r="B8967" s="0" t="s">
        <v>185</v>
      </c>
      <c r="F8967" s="14" t="n">
        <f aca="false">1/(1+wacc)^Sens!F8966</f>
        <v>0.952193373608246</v>
      </c>
      <c r="G8967" s="14" t="n">
        <f aca="false">1/(1+wacc)^Sens!G8966</f>
        <v>0.863327280626589</v>
      </c>
      <c r="H8967" s="14" t="n">
        <f aca="false">1/(1+wacc)^Sens!H8966</f>
        <v>0.782754862754115</v>
      </c>
      <c r="I8967" s="14" t="n">
        <f aca="false">1/(1+wacc)^Sens!I8966</f>
        <v>0.709702089711011</v>
      </c>
      <c r="J8967" s="14" t="n">
        <f aca="false">1/(1+wacc)^Sens!J8966</f>
        <v>0.643467169744551</v>
      </c>
      <c r="K8967" s="14" t="n">
        <f aca="false">1/(1+wacc)^Sens!K8966</f>
        <v>0.583413807767797</v>
      </c>
    </row>
    <row r="8968" customFormat="false" ht="17.15" hidden="false" customHeight="false" outlineLevel="0" collapsed="false">
      <c r="A8968" s="1" t="s">
        <v>1044</v>
      </c>
      <c r="B8968" s="0" t="s">
        <v>98</v>
      </c>
      <c r="F8968" s="6" t="n">
        <f aca="false">Sens!F8942-Sens!F8940-Sens!F8945+Sens!F8926*(1-tax_f)</f>
        <v>6.3224766918387</v>
      </c>
      <c r="G8968" s="6" t="n">
        <f aca="false">Sens!G8942-Sens!G8940-Sens!G8945+Sens!G8926*(1-tax_f)</f>
        <v>46.4735303939018</v>
      </c>
      <c r="H8968" s="6" t="n">
        <f aca="false">Sens!H8942-Sens!H8940-Sens!H8945+Sens!H8926*(1-tax_f)</f>
        <v>95.146014091681</v>
      </c>
      <c r="I8968" s="6" t="n">
        <f aca="false">Sens!I8942-Sens!I8940-Sens!I8945+Sens!I8926*(1-tax_f)</f>
        <v>168.481764604564</v>
      </c>
      <c r="J8968" s="6" t="n">
        <f aca="false">Sens!J8942-Sens!J8940-Sens!J8945+Sens!J8926*(1-tax_f)</f>
        <v>245.656072770607</v>
      </c>
      <c r="K8968" s="6" t="n">
        <f aca="false">Sens!K8942-Sens!K8940-Sens!K8945+Sens!K8926*(1-tax_f)</f>
        <v>283.055989578052</v>
      </c>
      <c r="L8968" s="1" t="s">
        <v>1045</v>
      </c>
    </row>
    <row r="8969" customFormat="false" ht="15" hidden="false" customHeight="false" outlineLevel="0" collapsed="false">
      <c r="A8969" s="1" t="s">
        <v>1046</v>
      </c>
      <c r="B8969" s="0" t="s">
        <v>98</v>
      </c>
      <c r="F8969" s="6" t="n">
        <f aca="false">Sens!F8968*Sens!F8967</f>
        <v>6.0202204107614</v>
      </c>
      <c r="G8969" s="6" t="n">
        <f aca="false">Sens!G8968*Sens!G8967</f>
        <v>40.1218666160844</v>
      </c>
      <c r="H8969" s="6" t="n">
        <f aca="false">Sens!H8968*Sens!H8967</f>
        <v>74.4760052019349</v>
      </c>
      <c r="I8969" s="6" t="n">
        <f aca="false">Sens!I8968*Sens!I8967</f>
        <v>119.571860418058</v>
      </c>
      <c r="J8969" s="6" t="n">
        <f aca="false">Sens!J8968*Sens!J8967</f>
        <v>158.071617876264</v>
      </c>
      <c r="K8969" s="6" t="n">
        <f aca="false">Sens!K8968*Sens!K8967</f>
        <v>165.138772691213</v>
      </c>
    </row>
    <row r="8970" customFormat="false" ht="17.15" hidden="false" customHeight="false" outlineLevel="0" collapsed="false">
      <c r="A8970" s="1" t="s">
        <v>1047</v>
      </c>
      <c r="B8970" s="0" t="s">
        <v>98</v>
      </c>
      <c r="C8970" s="6" t="n">
        <f aca="false">SUM(Sens!F8969:K8969)</f>
        <v>563.400343214315</v>
      </c>
    </row>
    <row r="8971" customFormat="false" ht="17.15" hidden="false" customHeight="false" outlineLevel="0" collapsed="false">
      <c r="A8971" s="1" t="s">
        <v>1048</v>
      </c>
      <c r="B8971" s="0" t="s">
        <v>98</v>
      </c>
      <c r="C8971" s="6" t="n">
        <f aca="false">Sens!K8912*(1+g_tv)*(1-tax_f)</f>
        <v>292.810972110206</v>
      </c>
    </row>
    <row r="8972" customFormat="false" ht="17.15" hidden="false" customHeight="false" outlineLevel="0" collapsed="false">
      <c r="A8972" s="1" t="s">
        <v>1049</v>
      </c>
      <c r="B8972" s="0" t="s">
        <v>98</v>
      </c>
      <c r="C8972" s="6" t="n">
        <f aca="false">Sens!$C$8971*(1-g_tv/(wacc+ronic_prem))</f>
        <v>207.471887716664</v>
      </c>
    </row>
    <row r="8973" customFormat="false" ht="17.15" hidden="false" customHeight="false" outlineLevel="0" collapsed="false">
      <c r="A8973" s="1" t="s">
        <v>1050</v>
      </c>
      <c r="B8973" s="0" t="s">
        <v>98</v>
      </c>
      <c r="C8973" s="6" t="n">
        <f aca="false">Sens!$C$8972/(wacc-g_tv)</f>
        <v>2844.63614645138</v>
      </c>
    </row>
    <row r="8974" customFormat="false" ht="15" hidden="false" customHeight="false" outlineLevel="0" collapsed="false">
      <c r="A8974" s="1" t="s">
        <v>1051</v>
      </c>
      <c r="B8974" s="0" t="s">
        <v>98</v>
      </c>
      <c r="C8974" s="6" t="n">
        <f aca="false">Sens!$C$8973/(1+wacc)^(Sens!K8966+mid_yr)</f>
        <v>1580.26012847258</v>
      </c>
    </row>
    <row r="8975" customFormat="false" ht="17.15" hidden="false" customHeight="false" outlineLevel="0" collapsed="false">
      <c r="A8975" s="0" t="s">
        <v>972</v>
      </c>
      <c r="B8975" s="0" t="s">
        <v>98</v>
      </c>
      <c r="C8975" s="6" t="n">
        <f aca="false">Sens!$C$8970+Sens!$C$8974</f>
        <v>2143.66047168689</v>
      </c>
    </row>
    <row r="8976" customFormat="false" ht="15" hidden="false" customHeight="false" outlineLevel="0" collapsed="false">
      <c r="A8976" s="1" t="s">
        <v>973</v>
      </c>
      <c r="B8976" s="0" t="s">
        <v>129</v>
      </c>
      <c r="C8976" s="7" t="n">
        <f aca="false">Sens!$C$8974/Sens!$C$8975</f>
        <v>0.73717836819048</v>
      </c>
    </row>
    <row r="8977" customFormat="false" ht="17.15" hidden="false" customHeight="false" outlineLevel="0" collapsed="false">
      <c r="A8977" s="1" t="s">
        <v>1052</v>
      </c>
      <c r="B8977" s="0" t="s">
        <v>98</v>
      </c>
      <c r="C8977" s="6" t="n">
        <f aca="false">Sens!$C$8975+Sens!E8957-Sens!E8946+oai_v</f>
        <v>2278.17347168689</v>
      </c>
    </row>
    <row r="8978" customFormat="false" ht="17.15" hidden="false" customHeight="false" outlineLevel="0" collapsed="false">
      <c r="A8978" s="0" t="s">
        <v>980</v>
      </c>
      <c r="B8978" s="0" t="s">
        <v>75</v>
      </c>
      <c r="C8978" s="5" t="n">
        <f aca="false">Sens!$C$8977/sh_dil26</f>
        <v>305.672007471742</v>
      </c>
    </row>
    <row r="8979" customFormat="false" ht="15" hidden="false" customHeight="false" outlineLevel="0" collapsed="false">
      <c r="A8979" s="1" t="s">
        <v>1053</v>
      </c>
      <c r="B8979" s="0" t="s">
        <v>75</v>
      </c>
      <c r="C8979" s="8" t="n">
        <f aca="false">dps_27+Sens!G8949*roll_div_q/q_per_yr</f>
        <v>4.8895</v>
      </c>
    </row>
    <row r="8980" customFormat="false" ht="17.15" hidden="false" customHeight="false" outlineLevel="0" collapsed="false">
      <c r="A8980" s="0" t="s">
        <v>1054</v>
      </c>
      <c r="B8980" s="0" t="s">
        <v>75</v>
      </c>
      <c r="C8980" s="5" t="n">
        <f aca="false">Sens!$C$8978*(1+wacc)^t_roll-Sens!$C$8979</f>
        <v>343.189421151435</v>
      </c>
    </row>
    <row r="8981" customFormat="false" ht="17.15" hidden="false" customHeight="false" outlineLevel="0" collapsed="false">
      <c r="A8981" s="1" t="s">
        <v>1055</v>
      </c>
      <c r="B8981" s="0" t="s">
        <v>129</v>
      </c>
      <c r="F8981" s="7" t="n">
        <f aca="false">Sens!F8938/(Sens!F8883-Sens!F8839)</f>
        <v>0.0684525874670943</v>
      </c>
      <c r="G8981" s="7" t="n">
        <f aca="false">Sens!G8938/(Sens!G8883-Sens!G8839)</f>
        <v>0.0657049042096624</v>
      </c>
      <c r="H8981" s="7" t="n">
        <f aca="false">Sens!H8938/(Sens!H8883-Sens!H8839)</f>
        <v>0.0643049427493353</v>
      </c>
      <c r="I8981" s="7" t="n">
        <f aca="false">Sens!I8938/(Sens!I8883-Sens!I8839)</f>
        <v>0.0641345145434785</v>
      </c>
      <c r="J8981" s="7" t="n">
        <f aca="false">Sens!J8938/(Sens!J8883-Sens!J8839)</f>
        <v>0.0649155014007462</v>
      </c>
      <c r="K8981" s="7" t="n">
        <f aca="false">Sens!K8938/(Sens!K8883-Sens!K8839)</f>
        <v>0.0663037895902898</v>
      </c>
    </row>
    <row r="8982" customFormat="false" ht="17.15" hidden="false" customHeight="false" outlineLevel="0" collapsed="false">
      <c r="A8982" s="0" t="s">
        <v>1056</v>
      </c>
      <c r="B8982" s="0" t="s">
        <v>98</v>
      </c>
      <c r="F8982" s="6" t="n">
        <f aca="false">Sens!F8868*(al_m365+Sens!F8981+sbc_r)</f>
        <v>83.918429159227</v>
      </c>
      <c r="G8982" s="6" t="n">
        <f aca="false">Sens!G8868*(al_m365+Sens!G8981+sbc_r)</f>
        <v>96.3540404607696</v>
      </c>
      <c r="H8982" s="6" t="n">
        <f aca="false">Sens!H8868*(al_m365+Sens!H8981+sbc_r)</f>
        <v>108.956186600987</v>
      </c>
      <c r="I8982" s="6" t="n">
        <f aca="false">Sens!I8868*(al_m365+Sens!I8981+sbc_r)</f>
        <v>120.544509170709</v>
      </c>
      <c r="J8982" s="6" t="n">
        <f aca="false">Sens!J8868*(al_m365+Sens!J8981+sbc_r)</f>
        <v>130.931330620098</v>
      </c>
      <c r="K8982" s="6" t="n">
        <f aca="false">Sens!K8868*(al_m365+Sens!K8981+sbc_r)</f>
        <v>140.932894313987</v>
      </c>
      <c r="L8982" s="11" t="s">
        <v>1057</v>
      </c>
    </row>
    <row r="8983" customFormat="false" ht="17.15" hidden="false" customHeight="false" outlineLevel="0" collapsed="false">
      <c r="A8983" s="0" t="s">
        <v>1058</v>
      </c>
      <c r="B8983" s="0" t="s">
        <v>98</v>
      </c>
      <c r="F8983" s="6" t="n">
        <f aca="false">Sens!F8869*(al_lic+Sens!F8981+sbc_r)</f>
        <v>33.4392633079696</v>
      </c>
      <c r="G8983" s="6" t="n">
        <f aca="false">Sens!G8869*(al_lic+Sens!G8981+sbc_r)</f>
        <v>34.7433213805392</v>
      </c>
      <c r="H8983" s="6" t="n">
        <f aca="false">Sens!H8869*(al_lic+Sens!H8981+sbc_r)</f>
        <v>35.9613124594248</v>
      </c>
      <c r="I8983" s="6" t="n">
        <f aca="false">Sens!I8869*(al_lic+Sens!I8981+sbc_r)</f>
        <v>37.0748832448329</v>
      </c>
      <c r="J8983" s="6" t="n">
        <f aca="false">Sens!J8869*(al_lic+Sens!J8981+sbc_r)</f>
        <v>38.0583579087795</v>
      </c>
      <c r="K8983" s="6" t="n">
        <f aca="false">Sens!K8869*(al_lic+Sens!K8981+sbc_r)</f>
        <v>38.8827572728727</v>
      </c>
    </row>
    <row r="8984" customFormat="false" ht="17.15" hidden="false" customHeight="false" outlineLevel="0" collapsed="false">
      <c r="A8984" s="0" t="s">
        <v>1059</v>
      </c>
      <c r="B8984" s="0" t="s">
        <v>98</v>
      </c>
      <c r="F8984" s="6" t="n">
        <f aca="false">Sens!F8871*(al_ind+Sens!F8981+sbc_r)</f>
        <v>9.07334639254913</v>
      </c>
      <c r="G8984" s="6" t="n">
        <f aca="false">Sens!G8871*(al_ind+Sens!G8981+sbc_r)</f>
        <v>9.85114080990713</v>
      </c>
      <c r="H8984" s="6" t="n">
        <f aca="false">Sens!H8871*(al_ind+Sens!H8981+sbc_r)</f>
        <v>10.6743661470457</v>
      </c>
      <c r="I8984" s="6" t="n">
        <f aca="false">Sens!I8871*(al_ind+Sens!I8981+sbc_r)</f>
        <v>11.5400900863241</v>
      </c>
      <c r="J8984" s="6" t="n">
        <f aca="false">Sens!J8871*(al_ind+Sens!J8981+sbc_r)</f>
        <v>12.4387569692463</v>
      </c>
      <c r="K8984" s="6" t="n">
        <f aca="false">Sens!K8871*(al_ind+Sens!K8981+sbc_r)</f>
        <v>13.3553995315137</v>
      </c>
    </row>
    <row r="8985" customFormat="false" ht="17.15" hidden="false" customHeight="false" outlineLevel="0" collapsed="false">
      <c r="A8985" s="0" t="s">
        <v>1060</v>
      </c>
      <c r="B8985" s="0" t="s">
        <v>98</v>
      </c>
      <c r="F8985" s="6" t="n">
        <f aca="false">Sens!F8873*(al_fro+Sens!F8981+sbc_r)</f>
        <v>3.57130099482032</v>
      </c>
      <c r="G8985" s="6" t="n">
        <f aca="false">Sens!G8873*(al_fro+Sens!G8981+sbc_r)</f>
        <v>3.78225565507459</v>
      </c>
      <c r="H8985" s="6" t="n">
        <f aca="false">Sens!H8873*(al_fro+Sens!H8981+sbc_r)</f>
        <v>4.02246652164868</v>
      </c>
      <c r="I8985" s="6" t="n">
        <f aca="false">Sens!I8873*(al_fro+Sens!I8981+sbc_r)</f>
        <v>4.29475185417495</v>
      </c>
      <c r="J8985" s="6" t="n">
        <f aca="false">Sens!J8873*(al_fro+Sens!J8981+sbc_r)</f>
        <v>4.60033034777063</v>
      </c>
      <c r="K8985" s="6" t="n">
        <f aca="false">Sens!K8873*(al_fro+Sens!K8981+sbc_r)</f>
        <v>4.93933999380544</v>
      </c>
    </row>
    <row r="8986" customFormat="false" ht="17.15" hidden="false" customHeight="false" outlineLevel="0" collapsed="false">
      <c r="A8986" s="0" t="s">
        <v>1061</v>
      </c>
      <c r="B8986" s="0" t="s">
        <v>98</v>
      </c>
      <c r="F8986" s="6" t="n">
        <f aca="false">Sens!F8876*(al_srch+Sens!F8981+sbc_r)</f>
        <v>11.1553193042964</v>
      </c>
      <c r="G8986" s="6" t="n">
        <f aca="false">Sens!G8876*(al_srch+Sens!G8981+sbc_r)</f>
        <v>12.1150662726261</v>
      </c>
      <c r="H8986" s="6" t="n">
        <f aca="false">Sens!H8876*(al_srch+Sens!H8981+sbc_r)</f>
        <v>13.0397761451528</v>
      </c>
      <c r="I8986" s="6" t="n">
        <f aca="false">Sens!I8876*(al_srch+Sens!I8981+sbc_r)</f>
        <v>13.9038751559694</v>
      </c>
      <c r="J8986" s="6" t="n">
        <f aca="false">Sens!J8876*(al_srch+Sens!J8981+sbc_r)</f>
        <v>14.6742662504323</v>
      </c>
      <c r="K8986" s="6" t="n">
        <f aca="false">Sens!K8876*(al_srch+Sens!K8981+sbc_r)</f>
        <v>15.3139018163495</v>
      </c>
    </row>
    <row r="8987" customFormat="false" ht="17.15" hidden="false" customHeight="false" outlineLevel="0" collapsed="false">
      <c r="A8987" s="0" t="s">
        <v>1062</v>
      </c>
      <c r="B8987" s="0" t="s">
        <v>98</v>
      </c>
      <c r="F8987" s="6" t="n">
        <f aca="false">Sens!F8845-Sens!F8846+Sens!F8926</f>
        <v>52.8623286647412</v>
      </c>
      <c r="G8987" s="6" t="n">
        <f aca="false">Sens!G8845-Sens!G8846+Sens!G8926</f>
        <v>90.9040728275534</v>
      </c>
      <c r="H8987" s="6" t="n">
        <f aca="false">Sens!H8845-Sens!H8846+Sens!H8926</f>
        <v>131.644750996567</v>
      </c>
      <c r="I8987" s="6" t="n">
        <f aca="false">Sens!I8845-Sens!I8846+Sens!I8926</f>
        <v>168.39858142968</v>
      </c>
      <c r="J8987" s="6" t="n">
        <f aca="false">Sens!J8845-Sens!J8846+Sens!J8926</f>
        <v>194.311955071191</v>
      </c>
      <c r="K8987" s="6" t="n">
        <f aca="false">Sens!K8845-Sens!K8846+Sens!K8926</f>
        <v>210.298852071854</v>
      </c>
    </row>
    <row r="8988" customFormat="false" ht="17.15" hidden="false" customHeight="false" outlineLevel="0" collapsed="false">
      <c r="A8988" s="0" t="s">
        <v>1063</v>
      </c>
      <c r="B8988" s="0" t="s">
        <v>98</v>
      </c>
      <c r="F8988" s="6" t="n">
        <f aca="false">Sens!F8905+Sens!F8926+Sens!F8856+Sens!F8981*(Sens!F8875-Sens!F8839)+sbc_r*Sens!F8875</f>
        <v>243.88226632725</v>
      </c>
      <c r="G8988" s="6" t="n">
        <f aca="false">Sens!G8905+Sens!G8926+Sens!G8856+Sens!G8981*(Sens!G8875-Sens!G8839)+sbc_r*Sens!G8875</f>
        <v>309.013198867323</v>
      </c>
      <c r="H8988" s="6" t="n">
        <f aca="false">Sens!H8905+Sens!H8926+Sens!H8856+Sens!H8981*(Sens!H8875-Sens!H8839)+sbc_r*Sens!H8875</f>
        <v>377.360896314926</v>
      </c>
      <c r="I8988" s="6" t="n">
        <f aca="false">Sens!I8905+Sens!I8926+Sens!I8856+Sens!I8981*(Sens!I8875-Sens!I8839)+sbc_r*Sens!I8875</f>
        <v>440.364628925883</v>
      </c>
      <c r="J8988" s="6" t="n">
        <f aca="false">Sens!J8905+Sens!J8926+Sens!J8856+Sens!J8981*(Sens!J8875-Sens!J8839)+sbc_r*Sens!J8875</f>
        <v>490.101974005642</v>
      </c>
      <c r="K8988" s="6" t="n">
        <f aca="false">Sens!K8905+Sens!K8926+Sens!K8856+Sens!K8981*(Sens!K8875-Sens!K8839)+sbc_r*Sens!K8875</f>
        <v>527.557489220061</v>
      </c>
    </row>
    <row r="8989" customFormat="false" ht="17.15" hidden="false" customHeight="false" outlineLevel="0" collapsed="false">
      <c r="A8989" s="0" t="s">
        <v>1064</v>
      </c>
      <c r="B8989" s="0" t="s">
        <v>98</v>
      </c>
      <c r="F8989" s="6" t="n">
        <f aca="false">Sens!F8988-Sens!F8982-Sens!F8983-Sens!F8984-Sens!F8985-Sens!F8987</f>
        <v>61.0175978079431</v>
      </c>
      <c r="G8989" s="6" t="n">
        <f aca="false">Sens!G8988-Sens!G8982-Sens!G8983-Sens!G8984-Sens!G8985-Sens!G8987</f>
        <v>73.3783677334796</v>
      </c>
      <c r="H8989" s="6" t="n">
        <f aca="false">Sens!H8988-Sens!H8982-Sens!H8983-Sens!H8984-Sens!H8985-Sens!H8987</f>
        <v>86.1018135892528</v>
      </c>
      <c r="I8989" s="6" t="n">
        <f aca="false">Sens!I8988-Sens!I8982-Sens!I8983-Sens!I8984-Sens!I8985-Sens!I8987</f>
        <v>98.5118131401622</v>
      </c>
      <c r="J8989" s="6" t="n">
        <f aca="false">Sens!J8988-Sens!J8982-Sens!J8983-Sens!J8984-Sens!J8985-Sens!J8987</f>
        <v>109.761243088556</v>
      </c>
      <c r="K8989" s="6" t="n">
        <f aca="false">Sens!K8988-Sens!K8982-Sens!K8983-Sens!K8984-Sens!K8985-Sens!K8987</f>
        <v>119.148246036027</v>
      </c>
    </row>
    <row r="8990" customFormat="false" ht="17.15" hidden="false" customHeight="false" outlineLevel="0" collapsed="false">
      <c r="A8990" s="0" t="s">
        <v>1065</v>
      </c>
      <c r="B8990" s="0" t="s">
        <v>98</v>
      </c>
      <c r="F8990" s="6" t="n">
        <f aca="false">Sens!F8907+Sens!F8981*Sens!F8882+sbc_r*Sens!F8882</f>
        <v>26.1397982408455</v>
      </c>
      <c r="G8990" s="6" t="n">
        <f aca="false">Sens!G8907+Sens!G8981*Sens!G8882+sbc_r*Sens!G8882</f>
        <v>26.6383828347816</v>
      </c>
      <c r="H8990" s="6" t="n">
        <f aca="false">Sens!H8907+Sens!H8981*Sens!H8882+sbc_r*Sens!H8882</f>
        <v>27.3254372980012</v>
      </c>
      <c r="I8990" s="6" t="n">
        <f aca="false">Sens!I8907+Sens!I8981*Sens!I8882+sbc_r*Sens!I8882</f>
        <v>28.1565336213057</v>
      </c>
      <c r="J8990" s="6" t="n">
        <f aca="false">Sens!J8907+Sens!J8981*Sens!J8882+sbc_r*Sens!J8882</f>
        <v>29.0836371967335</v>
      </c>
      <c r="K8990" s="6" t="n">
        <f aca="false">Sens!K8907+Sens!K8981*Sens!K8882+sbc_r*Sens!K8882</f>
        <v>30.0603876478527</v>
      </c>
    </row>
    <row r="8991" customFormat="false" ht="17.15" hidden="false" customHeight="false" outlineLevel="0" collapsed="false">
      <c r="A8991" s="0" t="s">
        <v>1066</v>
      </c>
      <c r="B8991" s="0" t="s">
        <v>98</v>
      </c>
      <c r="F8991" s="6" t="n">
        <f aca="false">(Sens!F8990-Sens!F8986)*Sens!F8878/(Sens!F8878+Sens!F8880)</f>
        <v>8.21434540630615</v>
      </c>
      <c r="G8991" s="6" t="n">
        <f aca="false">(Sens!G8990-Sens!G8986)*Sens!G8878/(Sens!G8878+Sens!G8880)</f>
        <v>7.81958691428814</v>
      </c>
      <c r="H8991" s="6" t="n">
        <f aca="false">(Sens!H8990-Sens!H8986)*Sens!H8878/(Sens!H8878+Sens!H8880)</f>
        <v>7.58772836527721</v>
      </c>
      <c r="I8991" s="6" t="n">
        <f aca="false">(Sens!I8990-Sens!I8986)*Sens!I8878/(Sens!I8878+Sens!I8880)</f>
        <v>7.501703961175</v>
      </c>
      <c r="J8991" s="6" t="n">
        <f aca="false">(Sens!J8990-Sens!J8986)*Sens!J8878/(Sens!J8878+Sens!J8880)</f>
        <v>7.54989214900652</v>
      </c>
      <c r="K8991" s="6" t="n">
        <f aca="false">(Sens!K8990-Sens!K8986)*Sens!K8878/(Sens!K8878+Sens!K8880)</f>
        <v>7.72652588510675</v>
      </c>
    </row>
    <row r="8992" customFormat="false" ht="17.15" hidden="false" customHeight="false" outlineLevel="0" collapsed="false">
      <c r="A8992" s="0" t="s">
        <v>1067</v>
      </c>
      <c r="B8992" s="0" t="s">
        <v>98</v>
      </c>
      <c r="F8992" s="6" t="n">
        <f aca="false">Sens!F8990-Sens!F8986-Sens!F8991</f>
        <v>6.77013353024297</v>
      </c>
      <c r="G8992" s="6" t="n">
        <f aca="false">Sens!G8990-Sens!G8986-Sens!G8991</f>
        <v>6.70372964786741</v>
      </c>
      <c r="H8992" s="6" t="n">
        <f aca="false">Sens!H8990-Sens!H8986-Sens!H8991</f>
        <v>6.69793278757126</v>
      </c>
      <c r="I8992" s="6" t="n">
        <f aca="false">Sens!I8990-Sens!I8986-Sens!I8991</f>
        <v>6.75095450416134</v>
      </c>
      <c r="J8992" s="6" t="n">
        <f aca="false">Sens!J8990-Sens!J8986-Sens!J8991</f>
        <v>6.85947879729477</v>
      </c>
      <c r="K8992" s="6" t="n">
        <f aca="false">Sens!K8990-Sens!K8986-Sens!K8991</f>
        <v>7.01995994639646</v>
      </c>
    </row>
    <row r="8993" customFormat="false" ht="17.15" hidden="false" customHeight="false" outlineLevel="0" collapsed="false">
      <c r="A8993" s="0" t="s">
        <v>1068</v>
      </c>
      <c r="B8993" s="0" t="s">
        <v>98</v>
      </c>
      <c r="F8993" s="6" t="n">
        <f aca="false">Sens!F8987-tax_f*(Sens!F8987-Sens!F8856)-Sens!F8853</f>
        <v>-119.392451180804</v>
      </c>
      <c r="G8993" s="6" t="n">
        <f aca="false">Sens!G8987-tax_f*(Sens!G8987-Sens!G8856)-Sens!G8853</f>
        <v>-98.749244435756</v>
      </c>
      <c r="H8993" s="6" t="n">
        <f aca="false">Sens!H8987-tax_f*(Sens!H8987-Sens!H8856)-Sens!H8853</f>
        <v>-65.2156907811851</v>
      </c>
      <c r="I8993" s="6" t="n">
        <f aca="false">Sens!I8987-tax_f*(Sens!I8987-Sens!I8856)-Sens!I8853</f>
        <v>-6.59006488072379</v>
      </c>
      <c r="J8993" s="6" t="n">
        <f aca="false">Sens!J8987-tax_f*(Sens!J8987-Sens!J8856)-Sens!J8853</f>
        <v>56.7741606567288</v>
      </c>
      <c r="K8993" s="6" t="n">
        <f aca="false">Sens!K8987-tax_f*(Sens!K8987-Sens!K8856)-Sens!K8853</f>
        <v>81.2095065097753</v>
      </c>
    </row>
    <row r="8994" customFormat="false" ht="17.15" hidden="false" customHeight="false" outlineLevel="0" collapsed="false">
      <c r="A8994" s="0" t="s">
        <v>1069</v>
      </c>
      <c r="B8994" s="0" t="s">
        <v>98</v>
      </c>
      <c r="F8994" s="6" t="n">
        <f aca="false">Sens!F8993*Sens!F8967</f>
        <v>-113.684700873208</v>
      </c>
      <c r="G8994" s="6" t="n">
        <f aca="false">Sens!G8993*Sens!G8967</f>
        <v>-85.2529166626515</v>
      </c>
      <c r="H8994" s="6" t="n">
        <f aca="false">Sens!H8993*Sens!H8967</f>
        <v>-51.0478990868414</v>
      </c>
      <c r="I8994" s="6" t="n">
        <f aca="false">Sens!I8993*Sens!I8967</f>
        <v>-4.67698281718081</v>
      </c>
      <c r="J8994" s="6" t="n">
        <f aca="false">Sens!J8993*Sens!J8967</f>
        <v>36.5323084724078</v>
      </c>
      <c r="K8994" s="6" t="n">
        <f aca="false">Sens!K8993*Sens!K8967</f>
        <v>47.3787474198117</v>
      </c>
    </row>
    <row r="8995" customFormat="false" ht="17.15" hidden="false" customHeight="false" outlineLevel="0" collapsed="false">
      <c r="A8995" s="0" t="s">
        <v>1070</v>
      </c>
      <c r="B8995" s="0" t="s">
        <v>98</v>
      </c>
      <c r="C8995" s="6" t="n">
        <f aca="false">(Sens!K8987-Sens!K8856)*(1-tax_f)*(1+g_tv)*(1-g_tv/(wacc+ronic_prem))/(wacc-g_tv)/(1+wacc)^(Sens!K8966+mid_yr)</f>
        <v>314.179500828623</v>
      </c>
    </row>
    <row r="8996" customFormat="false" ht="17.15" hidden="false" customHeight="false" outlineLevel="0" collapsed="false">
      <c r="A8996" s="1" t="s">
        <v>1071</v>
      </c>
      <c r="B8996" s="0" t="s">
        <v>98</v>
      </c>
      <c r="C8996" s="6" t="n">
        <f aca="false">(SUM(Sens!F8994:K8994)+Sens!$C$8995)*(1+wacc)^t_roll</f>
        <v>163.326317820642</v>
      </c>
      <c r="L8996" s="11" t="s">
        <v>1072</v>
      </c>
    </row>
    <row r="8997" customFormat="false" ht="17.15" hidden="false" customHeight="false" outlineLevel="0" collapsed="false">
      <c r="A8997" s="1" t="s">
        <v>1073</v>
      </c>
      <c r="B8997" s="0" t="s">
        <v>98</v>
      </c>
      <c r="C8997" s="6" t="n">
        <f aca="false">(w_ntm28*Sens!G8845+(1-w_ntm28)*Sens!H8845)*m_ai</f>
        <v>454.922440830797</v>
      </c>
    </row>
    <row r="8998" customFormat="false" ht="17.15" hidden="false" customHeight="false" outlineLevel="0" collapsed="false">
      <c r="A8998" s="1" t="s">
        <v>1074</v>
      </c>
      <c r="B8998" s="0" t="s">
        <v>98</v>
      </c>
      <c r="C8998" s="6" t="n">
        <f aca="false">(w_ntm28*Sens!G8989+(1-w_ntm28)*Sens!H8989)*m_cloud</f>
        <v>1070.93530663494</v>
      </c>
    </row>
    <row r="8999" customFormat="false" ht="17.15" hidden="false" customHeight="false" outlineLevel="0" collapsed="false">
      <c r="A8999" s="1" t="s">
        <v>1075</v>
      </c>
      <c r="B8999" s="0" t="s">
        <v>98</v>
      </c>
      <c r="C8999" s="6" t="n">
        <f aca="false">(w_ntm28*Sens!G8982+(1-w_ntm28)*Sens!H8982)*m_sw</f>
        <v>1084.62411654095</v>
      </c>
    </row>
    <row r="9000" customFormat="false" ht="17.15" hidden="false" customHeight="false" outlineLevel="0" collapsed="false">
      <c r="A9000" s="1" t="s">
        <v>1076</v>
      </c>
      <c r="B9000" s="0" t="s">
        <v>98</v>
      </c>
      <c r="C9000" s="6" t="n">
        <f aca="false">(w_ntm28*Sens!G8983+(1-w_ntm28)*Sens!H8983)*m_sw</f>
        <v>379.480495104157</v>
      </c>
    </row>
    <row r="9001" customFormat="false" ht="17.15" hidden="false" customHeight="false" outlineLevel="0" collapsed="false">
      <c r="A9001" s="1" t="s">
        <v>1077</v>
      </c>
      <c r="B9001" s="0" t="s">
        <v>98</v>
      </c>
      <c r="C9001" s="6" t="n">
        <f aca="false">(w_ntm28*Sens!G8984+(1-w_ntm28)*Sens!H8984)*m_sw</f>
        <v>109.266617650146</v>
      </c>
    </row>
    <row r="9002" customFormat="false" ht="17.15" hidden="false" customHeight="false" outlineLevel="0" collapsed="false">
      <c r="A9002" s="1" t="s">
        <v>1078</v>
      </c>
      <c r="B9002" s="0" t="s">
        <v>98</v>
      </c>
      <c r="C9002" s="6" t="n">
        <f aca="false">(w_ntm28*Sens!G8985+(1-w_ntm28)*Sens!H8985)*m_sw</f>
        <v>41.6870589607289</v>
      </c>
    </row>
    <row r="9003" customFormat="false" ht="17.15" hidden="false" customHeight="false" outlineLevel="0" collapsed="false">
      <c r="A9003" s="1" t="s">
        <v>1079</v>
      </c>
      <c r="B9003" s="0" t="s">
        <v>98</v>
      </c>
      <c r="C9003" s="6" t="n">
        <f aca="false">(w_ntm28*Sens!G8986+(1-w_ntm28)*Sens!H8986)*m_ads</f>
        <v>113.091663658058</v>
      </c>
    </row>
    <row r="9004" customFormat="false" ht="17.15" hidden="false" customHeight="false" outlineLevel="0" collapsed="false">
      <c r="A9004" s="1" t="s">
        <v>1080</v>
      </c>
      <c r="B9004" s="0" t="s">
        <v>98</v>
      </c>
      <c r="C9004" s="6" t="n">
        <f aca="false">(w_ntm28*Sens!G8991+(1-w_ntm28)*Sens!H8991)*m_game</f>
        <v>97.814675686547</v>
      </c>
    </row>
    <row r="9005" customFormat="false" ht="17.15" hidden="false" customHeight="false" outlineLevel="0" collapsed="false">
      <c r="A9005" s="1" t="s">
        <v>1081</v>
      </c>
      <c r="B9005" s="0" t="s">
        <v>98</v>
      </c>
      <c r="C9005" s="6" t="n">
        <f aca="false">(w_ntm28*Sens!G8992+(1-w_ntm28)*Sens!H8992)*m_pc</f>
        <v>96.9758504509941</v>
      </c>
    </row>
    <row r="9006" customFormat="false" ht="17.15" hidden="false" customHeight="false" outlineLevel="0" collapsed="false">
      <c r="A9006" s="1" t="s">
        <v>1082</v>
      </c>
      <c r="B9006" s="0" t="s">
        <v>98</v>
      </c>
      <c r="C9006" s="6" t="n">
        <f aca="false">Sens!$C$8996+Sens!$C$8998+Sens!$C$8999+Sens!$C$9000+Sens!$C$9001+Sens!$C$9002+Sens!$C$9003+Sens!$C$9004+Sens!$C$9005</f>
        <v>3157.20210250716</v>
      </c>
    </row>
    <row r="9007" customFormat="false" ht="17.15" hidden="false" customHeight="false" outlineLevel="0" collapsed="false">
      <c r="A9007" s="1" t="s">
        <v>1000</v>
      </c>
      <c r="B9007" s="0" t="s">
        <v>98</v>
      </c>
      <c r="C9007" s="6" t="n">
        <f aca="false">Sens!F8957+oai_v-Sens!F8946</f>
        <v>111.219100430487</v>
      </c>
      <c r="L9007" s="1" t="s">
        <v>1083</v>
      </c>
    </row>
    <row r="9008" customFormat="false" ht="15" hidden="false" customHeight="false" outlineLevel="0" collapsed="false">
      <c r="A9008" s="1" t="s">
        <v>1001</v>
      </c>
      <c r="B9008" s="0" t="s">
        <v>75</v>
      </c>
      <c r="C9008" s="5" t="n">
        <f aca="false">(Sens!$C$9006+Sens!$C$9007)/Sens!F8959</f>
        <v>437.422537866387</v>
      </c>
    </row>
    <row r="9009" customFormat="false" ht="17.15" hidden="false" customHeight="false" outlineLevel="0" collapsed="false">
      <c r="A9009" s="1" t="s">
        <v>1084</v>
      </c>
      <c r="B9009" s="0" t="s">
        <v>75</v>
      </c>
      <c r="C9009" s="5" t="n">
        <f aca="false">w_dcf*Sens!$C$8980+(1-w_dcf)*Sens!$C$9008</f>
        <v>390.305979508911</v>
      </c>
    </row>
    <row r="9010" customFormat="false" ht="17.15" hidden="false" customHeight="false" outlineLevel="0" collapsed="false">
      <c r="A9010" s="3" t="s">
        <v>1469</v>
      </c>
    </row>
    <row r="9011" customFormat="false" ht="15" hidden="false" customHeight="false" outlineLevel="0" collapsed="false">
      <c r="A9011" s="4" t="s">
        <v>43</v>
      </c>
      <c r="B9011" s="4" t="s">
        <v>65</v>
      </c>
      <c r="C9011" s="20" t="s">
        <v>788</v>
      </c>
      <c r="D9011" s="20" t="s">
        <v>789</v>
      </c>
      <c r="E9011" s="20" t="s">
        <v>790</v>
      </c>
      <c r="F9011" s="20" t="s">
        <v>791</v>
      </c>
      <c r="G9011" s="20" t="s">
        <v>792</v>
      </c>
      <c r="H9011" s="20" t="s">
        <v>793</v>
      </c>
      <c r="I9011" s="20" t="s">
        <v>794</v>
      </c>
      <c r="J9011" s="20" t="s">
        <v>795</v>
      </c>
      <c r="K9011" s="20" t="s">
        <v>796</v>
      </c>
      <c r="L9011" s="4" t="s">
        <v>47</v>
      </c>
    </row>
    <row r="9012" customFormat="false" ht="17.15" hidden="false" customHeight="false" outlineLevel="0" collapsed="false">
      <c r="A9012" s="1" t="s">
        <v>797</v>
      </c>
      <c r="B9012" s="1" t="s">
        <v>235</v>
      </c>
      <c r="C9012" s="28" t="n">
        <v>2024</v>
      </c>
      <c r="D9012" s="28" t="n">
        <v>2025</v>
      </c>
      <c r="E9012" s="28" t="n">
        <v>2026</v>
      </c>
      <c r="F9012" s="28" t="n">
        <v>2027</v>
      </c>
      <c r="G9012" s="28" t="n">
        <v>2028</v>
      </c>
      <c r="H9012" s="28" t="n">
        <v>2029</v>
      </c>
      <c r="I9012" s="28" t="n">
        <v>2030</v>
      </c>
      <c r="J9012" s="28" t="n">
        <v>2031</v>
      </c>
      <c r="K9012" s="28" t="n">
        <v>2032</v>
      </c>
    </row>
    <row r="9013" customFormat="false" ht="17.15" hidden="false" customHeight="false" outlineLevel="0" collapsed="false">
      <c r="A9013" s="1" t="s">
        <v>798</v>
      </c>
      <c r="B9013" s="0" t="s">
        <v>392</v>
      </c>
      <c r="F9013" s="29" t="n">
        <f aca="false">pace</f>
        <v>2527.2</v>
      </c>
      <c r="G9013" s="29" t="n">
        <f aca="false">pace</f>
        <v>2527.2</v>
      </c>
      <c r="H9013" s="29" t="n">
        <f aca="false">pace</f>
        <v>2527.2</v>
      </c>
      <c r="I9013" s="29" t="n">
        <f aca="false">pace+(g_tv*Sens!H9014-pace)*MIN(1,(Sens!I9012-pace_y0)/(pace_y1-pace_y0))</f>
        <v>1793.116</v>
      </c>
      <c r="J9013" s="29" t="n">
        <f aca="false">pace+(g_tv*Sens!H9014-pace)*MIN(1,(Sens!J9012-pace_y0)/(pace_y1-pace_y0))</f>
        <v>1059.032</v>
      </c>
      <c r="K9013" s="29" t="n">
        <f aca="false">pace+(g_tv*Sens!H9014-pace)*MIN(1,(Sens!K9012-pace_y0)/(pace_y1-pace_y0))</f>
        <v>324.948</v>
      </c>
      <c r="L9013" s="11" t="s">
        <v>799</v>
      </c>
    </row>
    <row r="9014" customFormat="false" ht="17.15" hidden="false" customHeight="false" outlineLevel="0" collapsed="false">
      <c r="A9014" s="1" t="s">
        <v>800</v>
      </c>
      <c r="B9014" s="0" t="s">
        <v>392</v>
      </c>
      <c r="C9014" s="29" t="n">
        <f aca="false">mw_ext_24</f>
        <v>640</v>
      </c>
      <c r="D9014" s="29" t="n">
        <f aca="false">mw_ext_25</f>
        <v>1630</v>
      </c>
      <c r="E9014" s="29" t="n">
        <f aca="false">mw_ext_26</f>
        <v>3250</v>
      </c>
      <c r="F9014" s="29" t="n">
        <f aca="false">Sens!E9014+Sens!F9013</f>
        <v>5777.2</v>
      </c>
      <c r="G9014" s="29" t="n">
        <f aca="false">Sens!F9014+Sens!G9013</f>
        <v>8304.4</v>
      </c>
      <c r="H9014" s="29" t="n">
        <f aca="false">Sens!G9014+Sens!H9013</f>
        <v>10831.6</v>
      </c>
      <c r="I9014" s="29" t="n">
        <f aca="false">Sens!H9014+Sens!I9013</f>
        <v>12624.716</v>
      </c>
      <c r="J9014" s="29" t="n">
        <f aca="false">Sens!I9014+Sens!J9013</f>
        <v>13683.748</v>
      </c>
      <c r="K9014" s="29" t="n">
        <f aca="false">Sens!J9014+Sens!K9013</f>
        <v>14008.696</v>
      </c>
      <c r="L9014" s="1" t="s">
        <v>801</v>
      </c>
    </row>
    <row r="9015" customFormat="false" ht="17.15" hidden="false" customHeight="false" outlineLevel="0" collapsed="false">
      <c r="A9015" s="1" t="s">
        <v>802</v>
      </c>
      <c r="B9015" s="0" t="s">
        <v>392</v>
      </c>
      <c r="C9015" s="29" t="n">
        <f aca="false">rent_ext_24</f>
        <v>150</v>
      </c>
      <c r="D9015" s="29" t="n">
        <f aca="false">rent_ext_25</f>
        <v>400</v>
      </c>
      <c r="E9015" s="29" t="n">
        <f aca="false">rent_ext_26</f>
        <v>550</v>
      </c>
      <c r="F9015" s="29" t="n">
        <f aca="false">rent_ext_f</f>
        <v>756</v>
      </c>
      <c r="G9015" s="29" t="n">
        <f aca="false">rent_ext_f</f>
        <v>756</v>
      </c>
      <c r="H9015" s="29" t="n">
        <f aca="false">rent_ext_f</f>
        <v>756</v>
      </c>
      <c r="I9015" s="29" t="n">
        <f aca="false">rent_ext_f</f>
        <v>756</v>
      </c>
      <c r="J9015" s="29" t="n">
        <f aca="false">rent_ext_f</f>
        <v>756</v>
      </c>
      <c r="K9015" s="29" t="n">
        <f aca="false">rent_ext_f</f>
        <v>756</v>
      </c>
      <c r="L9015" s="1" t="s">
        <v>803</v>
      </c>
    </row>
    <row r="9016" customFormat="false" ht="17.15" hidden="false" customHeight="false" outlineLevel="0" collapsed="false">
      <c r="A9016" s="1" t="s">
        <v>804</v>
      </c>
      <c r="B9016" s="0" t="s">
        <v>392</v>
      </c>
      <c r="C9016" s="29" t="n">
        <f aca="false">Sens!C9014-Sens!C9015</f>
        <v>490</v>
      </c>
      <c r="D9016" s="29" t="n">
        <f aca="false">Sens!D9014-Sens!D9015</f>
        <v>1230</v>
      </c>
      <c r="E9016" s="29" t="n">
        <f aca="false">Sens!E9014-Sens!E9015</f>
        <v>2700</v>
      </c>
      <c r="F9016" s="29" t="n">
        <f aca="false">Sens!F9014-Sens!F9015</f>
        <v>5021.2</v>
      </c>
      <c r="G9016" s="29" t="n">
        <f aca="false">Sens!G9014-Sens!G9015</f>
        <v>7548.4</v>
      </c>
      <c r="H9016" s="29" t="n">
        <f aca="false">Sens!H9014-Sens!H9015</f>
        <v>10075.6</v>
      </c>
      <c r="I9016" s="29" t="n">
        <f aca="false">Sens!I9014-Sens!I9015</f>
        <v>11868.716</v>
      </c>
      <c r="J9016" s="29" t="n">
        <f aca="false">Sens!J9014-Sens!J9015</f>
        <v>12927.748</v>
      </c>
      <c r="K9016" s="29" t="n">
        <f aca="false">Sens!K9014-Sens!K9015</f>
        <v>13252.696</v>
      </c>
    </row>
    <row r="9017" customFormat="false" ht="17.15" hidden="false" customHeight="false" outlineLevel="0" collapsed="false">
      <c r="A9017" s="1" t="s">
        <v>805</v>
      </c>
      <c r="B9017" s="0" t="s">
        <v>392</v>
      </c>
      <c r="C9017" s="29" t="n">
        <f aca="false">Sens!C9016/ext_sh</f>
        <v>816.666666666667</v>
      </c>
      <c r="D9017" s="29" t="n">
        <f aca="false">Sens!D9016/ext_sh</f>
        <v>2050</v>
      </c>
      <c r="E9017" s="29" t="n">
        <f aca="false">Sens!E9016/ext_sh</f>
        <v>4500</v>
      </c>
      <c r="F9017" s="29" t="n">
        <f aca="false">Sens!F9016/ext_sh</f>
        <v>8368.66666666667</v>
      </c>
      <c r="G9017" s="29" t="n">
        <f aca="false">Sens!G9016/ext_sh</f>
        <v>12580.6666666667</v>
      </c>
      <c r="H9017" s="29" t="n">
        <f aca="false">Sens!H9016/ext_sh</f>
        <v>16792.6666666667</v>
      </c>
      <c r="I9017" s="29" t="n">
        <f aca="false">Sens!I9016/ext_sh</f>
        <v>19781.1933333333</v>
      </c>
      <c r="J9017" s="29" t="n">
        <f aca="false">Sens!J9016/ext_sh</f>
        <v>21546.2466666667</v>
      </c>
      <c r="K9017" s="29" t="n">
        <f aca="false">Sens!K9016/ext_sh</f>
        <v>22087.8266666667</v>
      </c>
      <c r="L9017" s="1" t="s">
        <v>806</v>
      </c>
    </row>
    <row r="9018" customFormat="false" ht="17.15" hidden="false" customHeight="false" outlineLevel="0" collapsed="false">
      <c r="A9018" s="1" t="s">
        <v>807</v>
      </c>
      <c r="B9018" s="0" t="s">
        <v>392</v>
      </c>
      <c r="C9018" s="29" t="n">
        <f aca="false">Sens!C9017-Sens!C9016</f>
        <v>326.666666666667</v>
      </c>
      <c r="D9018" s="29" t="n">
        <f aca="false">Sens!D9017-Sens!D9016</f>
        <v>820</v>
      </c>
      <c r="E9018" s="29" t="n">
        <f aca="false">Sens!E9017-Sens!E9016</f>
        <v>1800</v>
      </c>
      <c r="F9018" s="29" t="n">
        <f aca="false">Sens!F9017-Sens!F9016</f>
        <v>3347.46666666667</v>
      </c>
      <c r="G9018" s="29" t="n">
        <f aca="false">Sens!G9017-Sens!G9016</f>
        <v>5032.26666666667</v>
      </c>
      <c r="H9018" s="29" t="n">
        <f aca="false">Sens!H9017-Sens!H9016</f>
        <v>6717.06666666667</v>
      </c>
      <c r="I9018" s="29" t="n">
        <f aca="false">Sens!I9017-Sens!I9016</f>
        <v>7912.47733333333</v>
      </c>
      <c r="J9018" s="29" t="n">
        <f aca="false">Sens!J9017-Sens!J9016</f>
        <v>8618.49866666667</v>
      </c>
      <c r="K9018" s="29" t="n">
        <f aca="false">Sens!K9017-Sens!K9016</f>
        <v>8835.13066666667</v>
      </c>
    </row>
    <row r="9019" customFormat="false" ht="17.15" hidden="false" customHeight="false" outlineLevel="0" collapsed="false">
      <c r="A9019" s="1" t="s">
        <v>808</v>
      </c>
      <c r="B9019" s="0" t="s">
        <v>392</v>
      </c>
      <c r="C9019" s="29" t="n">
        <f aca="false">Sens!C9017</f>
        <v>816.666666666667</v>
      </c>
      <c r="D9019" s="29" t="n">
        <f aca="false">Sens!D9017-Sens!C9017</f>
        <v>1233.33333333333</v>
      </c>
      <c r="E9019" s="29" t="n">
        <f aca="false">Sens!E9017-Sens!D9017</f>
        <v>2450</v>
      </c>
      <c r="F9019" s="29" t="n">
        <f aca="false">Sens!F9017-Sens!E9017</f>
        <v>3868.66666666667</v>
      </c>
      <c r="G9019" s="29" t="n">
        <f aca="false">Sens!G9017-Sens!F9017</f>
        <v>4212</v>
      </c>
      <c r="H9019" s="29" t="n">
        <f aca="false">Sens!H9017-Sens!G9017</f>
        <v>4212</v>
      </c>
      <c r="I9019" s="29" t="n">
        <f aca="false">Sens!I9017-Sens!H9017</f>
        <v>2988.52666666667</v>
      </c>
      <c r="J9019" s="29" t="n">
        <f aca="false">Sens!J9017-Sens!I9017</f>
        <v>1765.05333333333</v>
      </c>
      <c r="K9019" s="29" t="n">
        <f aca="false">Sens!K9017-Sens!J9017</f>
        <v>541.580000000002</v>
      </c>
    </row>
    <row r="9020" customFormat="false" ht="17.15" hidden="false" customHeight="false" outlineLevel="0" collapsed="false">
      <c r="A9020" s="1" t="s">
        <v>809</v>
      </c>
      <c r="B9020" s="0" t="s">
        <v>392</v>
      </c>
      <c r="D9020" s="29" t="n">
        <f aca="false">Sens!D9014-Sens!C9014</f>
        <v>990</v>
      </c>
      <c r="E9020" s="29" t="n">
        <f aca="false">Sens!E9014-Sens!D9014</f>
        <v>1620</v>
      </c>
      <c r="F9020" s="29" t="n">
        <f aca="false">Sens!F9014-Sens!E9014</f>
        <v>2527.2</v>
      </c>
      <c r="G9020" s="29" t="n">
        <f aca="false">Sens!G9014-Sens!F9014</f>
        <v>2527.2</v>
      </c>
      <c r="H9020" s="29" t="n">
        <f aca="false">Sens!H9014-Sens!G9014</f>
        <v>2527.2</v>
      </c>
      <c r="I9020" s="29" t="n">
        <f aca="false">Sens!I9014-Sens!H9014</f>
        <v>1793.116</v>
      </c>
      <c r="J9020" s="29" t="n">
        <f aca="false">Sens!J9014-Sens!I9014</f>
        <v>1059.032</v>
      </c>
      <c r="K9020" s="29" t="n">
        <f aca="false">Sens!K9014-Sens!J9014</f>
        <v>324.948</v>
      </c>
    </row>
    <row r="9021" customFormat="false" ht="17.15" hidden="false" customHeight="false" outlineLevel="0" collapsed="false">
      <c r="A9021" s="1" t="s">
        <v>810</v>
      </c>
      <c r="B9021" s="0" t="s">
        <v>392</v>
      </c>
      <c r="F9021" s="29" t="n">
        <f aca="false">Sens!F9038*ext_sh</f>
        <v>0</v>
      </c>
      <c r="G9021" s="29" t="n">
        <f aca="false">Sens!G9038*ext_sh</f>
        <v>0</v>
      </c>
      <c r="H9021" s="29" t="n">
        <f aca="false">Sens!H9038*ext_sh</f>
        <v>0</v>
      </c>
      <c r="I9021" s="29" t="n">
        <f aca="false">Sens!I9038*ext_sh</f>
        <v>490</v>
      </c>
      <c r="J9021" s="29" t="n">
        <f aca="false">Sens!J9038*ext_sh</f>
        <v>740</v>
      </c>
      <c r="K9021" s="29" t="n">
        <f aca="false">Sens!K9038*ext_sh</f>
        <v>1470</v>
      </c>
      <c r="L9021" s="1" t="s">
        <v>811</v>
      </c>
    </row>
    <row r="9022" customFormat="false" ht="17.15" hidden="false" customHeight="false" outlineLevel="0" collapsed="false">
      <c r="A9022" s="1" t="s">
        <v>812</v>
      </c>
      <c r="B9022" s="0" t="s">
        <v>392</v>
      </c>
      <c r="C9022" s="29" t="n">
        <f aca="false">mix_h*Sens!C9014</f>
        <v>128</v>
      </c>
      <c r="D9022" s="29" t="n">
        <f aca="false">mix_h*Sens!D9014</f>
        <v>326</v>
      </c>
      <c r="E9022" s="29" t="n">
        <f aca="false">mix_h*Sens!E9014</f>
        <v>650</v>
      </c>
      <c r="F9022" s="29" t="n">
        <f aca="false">Sens!E9022-Sens!F9021*mix_h</f>
        <v>650</v>
      </c>
      <c r="G9022" s="29" t="n">
        <f aca="false">Sens!F9022-Sens!G9021*mix_h</f>
        <v>650</v>
      </c>
      <c r="H9022" s="29" t="n">
        <f aca="false">Sens!G9022-Sens!H9021*mix_h</f>
        <v>650</v>
      </c>
      <c r="I9022" s="29" t="n">
        <f aca="false">Sens!H9022-Sens!I9021*mix_h</f>
        <v>552</v>
      </c>
      <c r="J9022" s="29" t="n">
        <f aca="false">Sens!I9022-Sens!J9021*mix_h</f>
        <v>404</v>
      </c>
      <c r="K9022" s="29" t="n">
        <f aca="false">Sens!J9022-Sens!K9021*mix_h</f>
        <v>110</v>
      </c>
    </row>
    <row r="9023" customFormat="false" ht="17.15" hidden="false" customHeight="false" outlineLevel="0" collapsed="false">
      <c r="A9023" s="1" t="s">
        <v>813</v>
      </c>
      <c r="B9023" s="0" t="s">
        <v>392</v>
      </c>
      <c r="C9023" s="29" t="n">
        <f aca="false">mix_g2*Sens!C9014</f>
        <v>288</v>
      </c>
      <c r="D9023" s="29" t="n">
        <f aca="false">mix_g2*Sens!D9014</f>
        <v>733.5</v>
      </c>
      <c r="E9023" s="29" t="n">
        <f aca="false">mix_g2*Sens!E9014</f>
        <v>1462.5</v>
      </c>
      <c r="F9023" s="29" t="n">
        <f aca="false">Sens!E9023-Sens!F9021*mix_g2</f>
        <v>1462.5</v>
      </c>
      <c r="G9023" s="29" t="n">
        <f aca="false">Sens!F9023-Sens!G9021*mix_g2</f>
        <v>1462.5</v>
      </c>
      <c r="H9023" s="29" t="n">
        <f aca="false">Sens!G9023-Sens!H9021*mix_g2</f>
        <v>1462.5</v>
      </c>
      <c r="I9023" s="29" t="n">
        <f aca="false">Sens!H9023-Sens!I9021*mix_g2</f>
        <v>1242</v>
      </c>
      <c r="J9023" s="29" t="n">
        <f aca="false">Sens!I9023-Sens!J9021*mix_g2</f>
        <v>909</v>
      </c>
      <c r="K9023" s="29" t="n">
        <f aca="false">Sens!J9023-Sens!K9021*mix_g2</f>
        <v>247.5</v>
      </c>
    </row>
    <row r="9024" customFormat="false" ht="17.15" hidden="false" customHeight="false" outlineLevel="0" collapsed="false">
      <c r="A9024" s="1" t="s">
        <v>814</v>
      </c>
      <c r="B9024" s="0" t="s">
        <v>392</v>
      </c>
      <c r="C9024" s="29" t="n">
        <f aca="false">mix_g3*Sens!C9014</f>
        <v>224</v>
      </c>
      <c r="D9024" s="29" t="n">
        <f aca="false">mix_g3*Sens!D9014</f>
        <v>570.5</v>
      </c>
      <c r="E9024" s="29" t="n">
        <f aca="false">mix_g3*Sens!E9014</f>
        <v>1137.5</v>
      </c>
      <c r="F9024" s="29" t="n">
        <f aca="false">Sens!E9024+(Sens!F9020+Sens!F9021)*a_g3_27-Sens!F9021*mix_g3</f>
        <v>2906.54</v>
      </c>
      <c r="G9024" s="29" t="n">
        <f aca="false">Sens!F9024+(Sens!G9020+Sens!G9021)*a_g3_28-Sens!G9021*mix_g3</f>
        <v>3664.7</v>
      </c>
      <c r="H9024" s="29" t="n">
        <f aca="false">Sens!G9024+(Sens!H9020+Sens!H9021)*a_g3_29-Sens!H9021*mix_g3</f>
        <v>3917.42</v>
      </c>
      <c r="I9024" s="29" t="n">
        <f aca="false">Sens!H9024+(Sens!I9020+Sens!I9021)*a_g3_29-Sens!I9021*mix_g3</f>
        <v>3974.2316</v>
      </c>
      <c r="J9024" s="29" t="n">
        <f aca="false">Sens!I9024+(Sens!J9020+Sens!J9021)*a_g3_29-Sens!J9021*mix_g3</f>
        <v>3895.1348</v>
      </c>
      <c r="K9024" s="29" t="n">
        <f aca="false">Sens!J9024+(Sens!K9020+Sens!K9021)*a_g3_29-Sens!K9021*mix_g3</f>
        <v>3560.1296</v>
      </c>
    </row>
    <row r="9025" customFormat="false" ht="17.15" hidden="false" customHeight="false" outlineLevel="0" collapsed="false">
      <c r="A9025" s="1" t="s">
        <v>815</v>
      </c>
      <c r="B9025" s="0" t="s">
        <v>392</v>
      </c>
      <c r="C9025" s="29" t="n">
        <v>0</v>
      </c>
      <c r="D9025" s="29" t="n">
        <v>0</v>
      </c>
      <c r="E9025" s="29" t="n">
        <v>0</v>
      </c>
      <c r="F9025" s="29" t="n">
        <f aca="false">Sens!E9025+(Sens!F9020+Sens!F9021)*(1-a_g3_27)</f>
        <v>758.16</v>
      </c>
      <c r="G9025" s="29" t="n">
        <f aca="false">Sens!F9025+(Sens!G9020+Sens!G9021)*(1-a_g3_28)</f>
        <v>2527.2</v>
      </c>
      <c r="H9025" s="29" t="n">
        <f aca="false">Sens!G9025+(Sens!H9020+Sens!H9021)*(1-a_g3_29)</f>
        <v>4801.68</v>
      </c>
      <c r="I9025" s="29" t="n">
        <f aca="false">Sens!H9025+(Sens!I9020+Sens!I9021)*(1-a_g3_29)</f>
        <v>6856.4844</v>
      </c>
      <c r="J9025" s="29" t="n">
        <f aca="false">Sens!I9025+(Sens!J9020+Sens!J9021)*(1-a_g3_29)</f>
        <v>8475.6132</v>
      </c>
      <c r="K9025" s="29" t="n">
        <f aca="false">Sens!J9025+(Sens!K9020+Sens!K9021)*(1-a_g3_29)</f>
        <v>10091.0664</v>
      </c>
    </row>
    <row r="9026" customFormat="false" ht="17.15" hidden="false" customHeight="false" outlineLevel="0" collapsed="false">
      <c r="A9026" s="1" t="s">
        <v>816</v>
      </c>
      <c r="B9026" s="0" t="s">
        <v>339</v>
      </c>
      <c r="C9026" s="14" t="n">
        <f aca="false">(Sens!C9022*tk_hold_h100+Sens!C9023*tk_hold_gb200+Sens!C9024*tk_hold_gb300+Sens!C9025*tk_hold_vr200)/Sens!C9014</f>
        <v>9.7235358126469</v>
      </c>
      <c r="D9026" s="14" t="n">
        <f aca="false">(Sens!D9022*tk_hold_h100+Sens!D9023*tk_hold_gb200+Sens!D9024*tk_hold_gb300+Sens!D9025*tk_hold_vr200)/Sens!D9014</f>
        <v>9.7235358126469</v>
      </c>
      <c r="E9026" s="14" t="n">
        <f aca="false">(Sens!E9022*tk_hold_h100+Sens!E9023*tk_hold_gb200+Sens!E9024*tk_hold_gb300+Sens!E9025*tk_hold_vr200)/Sens!E9014</f>
        <v>9.7235358126469</v>
      </c>
      <c r="F9026" s="14" t="n">
        <f aca="false">(Sens!F9022*tk_hold_h100+Sens!F9023*tk_hold_gb200+Sens!F9024*tk_hold_gb300+Sens!F9025*tk_hold_vr200)/Sens!F9014</f>
        <v>10.4079573161931</v>
      </c>
      <c r="G9026" s="14" t="n">
        <f aca="false">(Sens!G9022*tk_hold_h100+Sens!G9023*tk_hold_gb200+Sens!G9024*tk_hold_gb300+Sens!G9025*tk_hold_vr200)/Sens!G9014</f>
        <v>10.8388131109316</v>
      </c>
      <c r="H9026" s="14" t="n">
        <f aca="false">(Sens!H9022*tk_hold_h100+Sens!H9023*tk_hold_gb200+Sens!H9024*tk_hold_gb300+Sens!H9025*tk_hold_vr200)/Sens!H9014</f>
        <v>11.1311018388216</v>
      </c>
      <c r="I9026" s="14" t="n">
        <f aca="false">(Sens!I9022*tk_hold_h100+Sens!I9023*tk_hold_gb200+Sens!I9024*tk_hold_gb300+Sens!I9025*tk_hold_vr200)/Sens!I9014</f>
        <v>11.3594282560989</v>
      </c>
      <c r="J9026" s="14" t="n">
        <f aca="false">(Sens!J9022*tk_hold_h100+Sens!J9023*tk_hold_gb200+Sens!J9024*tk_hold_gb300+Sens!J9025*tk_hold_vr200)/Sens!J9014</f>
        <v>11.5441508808221</v>
      </c>
      <c r="K9026" s="14" t="n">
        <f aca="false">(Sens!K9022*tk_hold_h100+Sens!K9023*tk_hold_gb200+Sens!K9024*tk_hold_gb300+Sens!K9025*tk_hold_vr200)/Sens!K9014</f>
        <v>11.8053375063575</v>
      </c>
    </row>
    <row r="9027" customFormat="false" ht="17.15" hidden="false" customHeight="false" outlineLevel="0" collapsed="false">
      <c r="A9027" s="0" t="s">
        <v>817</v>
      </c>
      <c r="B9027" s="0" t="s">
        <v>185</v>
      </c>
      <c r="C9027" s="14" t="n">
        <f aca="false">k_B</f>
        <v>1.17213932619116</v>
      </c>
      <c r="D9027" s="14" t="n">
        <f aca="false">k_B</f>
        <v>1.17213932619116</v>
      </c>
      <c r="E9027" s="14" t="n">
        <f aca="false">k_B</f>
        <v>1.17213932619116</v>
      </c>
      <c r="F9027" s="14" t="n">
        <f aca="false">(k_B+((ls_C*k_long+(1-ls_C)*k_spot)-k_B)*MIN(1,(Sens!F9012-base_fy)/k_ramp))</f>
        <v>1.07843258004497</v>
      </c>
      <c r="G9027" s="14" t="n">
        <f aca="false">(k_B+((ls_C*k_long+(1-ls_C)*k_spot)-k_B)*MIN(1,(Sens!G9012-base_fy)/k_ramp))</f>
        <v>0.984725833898784</v>
      </c>
      <c r="H9027" s="14" t="n">
        <f aca="false">(k_B+((ls_C*k_long+(1-ls_C)*k_spot)-k_B)*MIN(1,(Sens!H9012-base_fy)/k_ramp))</f>
        <v>0.891019087752599</v>
      </c>
      <c r="I9027" s="14" t="n">
        <f aca="false">(k_B+((ls_C*k_long+(1-ls_C)*k_spot)-k_B)*MIN(1,(Sens!I9012-base_fy)/k_ramp))</f>
        <v>0.891019087752599</v>
      </c>
      <c r="J9027" s="14" t="n">
        <f aca="false">(k_B+((ls_C*k_long+(1-ls_C)*k_spot)-k_B)*MIN(1,(Sens!J9012-base_fy)/k_ramp))</f>
        <v>0.891019087752599</v>
      </c>
      <c r="K9027" s="14" t="n">
        <f aca="false">(k_B+((ls_C*k_long+(1-ls_C)*k_spot)-k_B)*MIN(1,(Sens!K9012-base_fy)/k_ramp))</f>
        <v>0.891019087752599</v>
      </c>
      <c r="L9027" s="1" t="s">
        <v>818</v>
      </c>
    </row>
    <row r="9028" customFormat="false" ht="17.15" hidden="false" customHeight="false" outlineLevel="0" collapsed="false">
      <c r="A9028" s="1" t="s">
        <v>819</v>
      </c>
      <c r="B9028" s="0" t="s">
        <v>339</v>
      </c>
      <c r="C9028" s="14" t="n">
        <f aca="false">Sens!C9026*Sens!C9027*chip_f</f>
        <v>11.3973387156315</v>
      </c>
      <c r="D9028" s="14" t="n">
        <f aca="false">Sens!D9026*Sens!D9027*chip_f</f>
        <v>11.3973387156315</v>
      </c>
      <c r="E9028" s="14" t="n">
        <f aca="false">Sens!E9026*Sens!E9027*chip_f</f>
        <v>11.3973387156315</v>
      </c>
      <c r="F9028" s="14" t="n">
        <f aca="false">Sens!F9026*Sens!F9027*chip_f</f>
        <v>11.2242802615</v>
      </c>
      <c r="G9028" s="14" t="n">
        <f aca="false">Sens!G9026*Sens!G9027*chip_f</f>
        <v>10.6732592791352</v>
      </c>
      <c r="H9028" s="14" t="n">
        <f aca="false">Sens!H9026*Sens!H9027*chip_f</f>
        <v>9.91802420610807</v>
      </c>
      <c r="I9028" s="14" t="n">
        <f aca="false">Sens!I9026*Sens!I9027*chip_f</f>
        <v>10.1214674021403</v>
      </c>
      <c r="J9028" s="14" t="n">
        <f aca="false">Sens!J9026*Sens!J9027*chip_f</f>
        <v>10.2860587867084</v>
      </c>
      <c r="K9028" s="14" t="n">
        <f aca="false">Sens!K9026*Sens!K9027*chip_f</f>
        <v>10.5187810555262</v>
      </c>
      <c r="L9028" s="1" t="s">
        <v>820</v>
      </c>
    </row>
    <row r="9029" customFormat="false" ht="17.15" hidden="false" customHeight="false" outlineLevel="0" collapsed="false">
      <c r="A9029" s="0" t="s">
        <v>821</v>
      </c>
      <c r="B9029" s="0" t="s">
        <v>98</v>
      </c>
      <c r="D9029" s="6" t="n">
        <f aca="false">(Sens!C9014+Sens!D9014)/2*Sens!D9028/1000</f>
        <v>12.9359794422418</v>
      </c>
      <c r="E9029" s="6" t="n">
        <f aca="false">(Sens!D9014+Sens!E9014)/2*Sens!E9028/1000</f>
        <v>27.8095064661409</v>
      </c>
      <c r="F9029" s="6" t="n">
        <f aca="false">(Sens!E9014+Sens!F9014)/2*Sens!F9028/1000</f>
        <v>50.6619113883066</v>
      </c>
      <c r="G9029" s="6" t="n">
        <f aca="false">(Sens!F9014+Sens!G9014)/2*Sens!G9028/1000</f>
        <v>75.1482839325348</v>
      </c>
      <c r="H9029" s="6" t="n">
        <f aca="false">(Sens!G9014+Sens!H9014)/2*Sens!H9028/1000</f>
        <v>94.895655604042</v>
      </c>
      <c r="I9029" s="6" t="n">
        <f aca="false">(Sens!H9014+Sens!I9014)/2*Sens!I9028/1000</f>
        <v>118.706168884151</v>
      </c>
      <c r="J9029" s="6" t="n">
        <f aca="false">(Sens!I9014+Sens!J9014)/2*Sens!J9028/1000</f>
        <v>135.305203646001</v>
      </c>
      <c r="K9029" s="6" t="n">
        <f aca="false">(Sens!J9014+Sens!K9014)/2*Sens!K9028/1000</f>
        <v>145.64537766421</v>
      </c>
      <c r="L9029" s="11" t="s">
        <v>822</v>
      </c>
    </row>
    <row r="9030" customFormat="false" ht="17.15" hidden="false" customHeight="false" outlineLevel="0" collapsed="false">
      <c r="A9030" s="1" t="s">
        <v>823</v>
      </c>
      <c r="B9030" s="0" t="s">
        <v>339</v>
      </c>
      <c r="C9030" s="14" t="n">
        <f aca="false">(Sens!C9022*tk_opex_h100+Sens!C9023*tk_opex_gb200+Sens!C9024*tk_opex_gb300+Sens!C9025*tk_opex_vr200)/Sens!C9014</f>
        <v>1.88636041306092</v>
      </c>
      <c r="D9030" s="14" t="n">
        <f aca="false">(Sens!D9022*tk_opex_h100+Sens!D9023*tk_opex_gb200+Sens!D9024*tk_opex_gb300+Sens!D9025*tk_opex_vr200)/Sens!D9014</f>
        <v>1.88636041306092</v>
      </c>
      <c r="E9030" s="14" t="n">
        <f aca="false">(Sens!E9022*tk_opex_h100+Sens!E9023*tk_opex_gb200+Sens!E9024*tk_opex_gb300+Sens!E9025*tk_opex_vr200)/Sens!E9014</f>
        <v>1.88636041306092</v>
      </c>
      <c r="F9030" s="14" t="n">
        <f aca="false">(Sens!F9022*tk_opex_h100+Sens!F9023*tk_opex_gb200+Sens!F9024*tk_opex_gb300+Sens!F9025*tk_opex_vr200)/Sens!F9014</f>
        <v>1.9430236476499</v>
      </c>
      <c r="G9030" s="14" t="n">
        <f aca="false">(Sens!G9022*tk_opex_h100+Sens!G9023*tk_opex_gb200+Sens!G9024*tk_opex_gb300+Sens!G9025*tk_opex_vr200)/Sens!G9014</f>
        <v>1.9786941852423</v>
      </c>
      <c r="H9030" s="14" t="n">
        <f aca="false">(Sens!H9022*tk_opex_h100+Sens!H9023*tk_opex_gb200+Sens!H9024*tk_opex_gb300+Sens!H9025*tk_opex_vr200)/Sens!H9014</f>
        <v>2.00289275976156</v>
      </c>
      <c r="I9030" s="14" t="n">
        <f aca="false">(Sens!I9022*tk_opex_h100+Sens!I9023*tk_opex_gb200+Sens!I9024*tk_opex_gb300+Sens!I9025*tk_opex_vr200)/Sens!I9014</f>
        <v>2.02179589661219</v>
      </c>
      <c r="J9030" s="14" t="n">
        <f aca="false">(Sens!J9022*tk_opex_h100+Sens!J9023*tk_opex_gb200+Sens!J9024*tk_opex_gb300+Sens!J9025*tk_opex_vr200)/Sens!J9014</f>
        <v>2.03708907685909</v>
      </c>
      <c r="K9030" s="14" t="n">
        <f aca="false">(Sens!K9022*tk_opex_h100+Sens!K9023*tk_opex_gb200+Sens!K9024*tk_opex_gb300+Sens!K9025*tk_opex_vr200)/Sens!K9014</f>
        <v>2.05871270931005</v>
      </c>
    </row>
    <row r="9031" customFormat="false" ht="17.15" hidden="false" customHeight="false" outlineLevel="0" collapsed="false">
      <c r="A9031" s="0" t="s">
        <v>824</v>
      </c>
      <c r="B9031" s="0" t="s">
        <v>98</v>
      </c>
      <c r="D9031" s="6" t="n">
        <f aca="false">(Sens!C9017+Sens!D9017)/2*Sens!D9030/1000</f>
        <v>2.70378325872065</v>
      </c>
      <c r="E9031" s="6" t="n">
        <f aca="false">(Sens!D9017+Sens!E9017)/2*Sens!E9030/1000</f>
        <v>6.17783035277451</v>
      </c>
      <c r="F9031" s="6" t="n">
        <f aca="false">(Sens!E9017+Sens!F9017)/2*Sens!F9030/1000</f>
        <v>12.5020618235287</v>
      </c>
      <c r="G9031" s="6" t="n">
        <f aca="false">(Sens!F9017+Sens!G9017)/2*Sens!G9030/1000</f>
        <v>20.7261620256847</v>
      </c>
      <c r="H9031" s="6" t="n">
        <f aca="false">(Sens!G9017+Sens!H9017)/2*Sens!H9030/1000</f>
        <v>29.4158183316982</v>
      </c>
      <c r="I9031" s="6" t="n">
        <f aca="false">(Sens!H9017+Sens!I9017)/2*Sens!I9030/1000</f>
        <v>36.9724400356344</v>
      </c>
      <c r="J9031" s="6" t="n">
        <f aca="false">(Sens!I9017+Sens!J9017)/2*Sens!J9030/1000</f>
        <v>42.0938382992747</v>
      </c>
      <c r="K9031" s="6" t="n">
        <f aca="false">(Sens!J9017+Sens!K9017)/2*Sens!K9030/1000</f>
        <v>44.9150106651501</v>
      </c>
    </row>
    <row r="9032" customFormat="false" ht="17.15" hidden="false" customHeight="false" outlineLevel="0" collapsed="false">
      <c r="A9032" s="0" t="s">
        <v>825</v>
      </c>
      <c r="B9032" s="0" t="s">
        <v>98</v>
      </c>
      <c r="D9032" s="6" t="n">
        <f aca="false">(Sens!C9015+Sens!D9015)/2*rent_mw/1000</f>
        <v>2.44475</v>
      </c>
      <c r="E9032" s="6" t="n">
        <f aca="false">(Sens!D9015+Sens!E9015)/2*rent_mw/1000</f>
        <v>4.22275</v>
      </c>
      <c r="F9032" s="6" t="n">
        <f aca="false">(Sens!E9015+Sens!F9015)/2*rent_mw/1000</f>
        <v>5.80517</v>
      </c>
      <c r="G9032" s="6" t="n">
        <f aca="false">(Sens!F9015+Sens!G9015)/2*rent_mw/1000</f>
        <v>6.72084</v>
      </c>
      <c r="H9032" s="6" t="n">
        <f aca="false">(Sens!G9015+Sens!H9015)/2*rent_mw/1000</f>
        <v>6.72084</v>
      </c>
      <c r="I9032" s="6" t="n">
        <f aca="false">(Sens!H9015+Sens!I9015)/2*rent_mw/1000</f>
        <v>6.72084</v>
      </c>
      <c r="J9032" s="6" t="n">
        <f aca="false">(Sens!I9015+Sens!J9015)/2*rent_mw/1000</f>
        <v>6.72084</v>
      </c>
      <c r="K9032" s="6" t="n">
        <f aca="false">(Sens!J9015+Sens!K9015)/2*rent_mw/1000</f>
        <v>6.72084</v>
      </c>
    </row>
    <row r="9033" customFormat="false" ht="17.15" hidden="false" customHeight="false" outlineLevel="0" collapsed="false">
      <c r="A9033" s="0" t="s">
        <v>826</v>
      </c>
      <c r="B9033" s="0" t="s">
        <v>98</v>
      </c>
      <c r="D9033" s="6" t="n">
        <f aca="false">(Sens!C9017+Sens!D9017)/2*(1-self_build)*fac_rent/1000</f>
        <v>0.853242375631075</v>
      </c>
      <c r="E9033" s="6" t="n">
        <f aca="false">(Sens!D9017+Sens!E9017)/2*(1-self_build)*fac_rent/1000</f>
        <v>1.94955961408728</v>
      </c>
      <c r="F9033" s="6" t="n">
        <f aca="false">(Sens!E9017+Sens!F9017)/2*(1-self_build)*fac_rent/1000</f>
        <v>3.83026455274573</v>
      </c>
      <c r="G9033" s="6" t="n">
        <f aca="false">(Sens!F9017+Sens!G9017)/2*(1-self_build)*fac_rent/1000</f>
        <v>6.23541590972812</v>
      </c>
      <c r="H9033" s="6" t="n">
        <f aca="false">(Sens!G9017+Sens!H9017)/2*(1-self_build)*fac_rent/1000</f>
        <v>8.74275792332679</v>
      </c>
      <c r="I9033" s="6" t="n">
        <f aca="false">(Sens!H9017+Sens!I9017)/2*(1-self_build)*fac_rent/1000</f>
        <v>10.8859420438599</v>
      </c>
      <c r="J9033" s="6" t="n">
        <f aca="false">(Sens!I9017+Sens!J9017)/2*(1-self_build)*fac_rent/1000</f>
        <v>12.3008103782619</v>
      </c>
      <c r="K9033" s="6" t="n">
        <f aca="false">(Sens!J9017+Sens!K9017)/2*(1-self_build)*fac_rent/1000</f>
        <v>12.9873629265328</v>
      </c>
      <c r="L9033" s="11" t="s">
        <v>827</v>
      </c>
    </row>
    <row r="9034" customFormat="false" ht="17.15" hidden="false" customHeight="false" outlineLevel="0" collapsed="false">
      <c r="A9034" s="1" t="s">
        <v>828</v>
      </c>
      <c r="B9034" s="0" t="s">
        <v>129</v>
      </c>
      <c r="D9034" s="7" t="n">
        <f aca="false">(Sens!C9016+Sens!D9016)/(Sens!C9017+Sens!D9017)</f>
        <v>0.6</v>
      </c>
      <c r="E9034" s="7" t="n">
        <f aca="false">(Sens!D9016+Sens!E9016)/(Sens!D9017+Sens!E9017)</f>
        <v>0.6</v>
      </c>
      <c r="F9034" s="7" t="n">
        <f aca="false">(Sens!E9016+Sens!F9016)/(Sens!E9017+Sens!F9017)</f>
        <v>0.6</v>
      </c>
      <c r="G9034" s="7" t="n">
        <f aca="false">(Sens!F9016+Sens!G9016)/(Sens!F9017+Sens!G9017)</f>
        <v>0.6</v>
      </c>
      <c r="H9034" s="7" t="n">
        <f aca="false">(Sens!G9016+Sens!H9016)/(Sens!G9017+Sens!H9017)</f>
        <v>0.6</v>
      </c>
      <c r="I9034" s="7" t="n">
        <f aca="false">(Sens!H9016+Sens!I9016)/(Sens!H9017+Sens!I9017)</f>
        <v>0.6</v>
      </c>
      <c r="J9034" s="7" t="n">
        <f aca="false">(Sens!I9016+Sens!J9016)/(Sens!I9017+Sens!J9017)</f>
        <v>0.6</v>
      </c>
      <c r="K9034" s="7" t="n">
        <f aca="false">(Sens!J9016+Sens!K9016)/(Sens!J9017+Sens!K9017)</f>
        <v>0.6</v>
      </c>
    </row>
    <row r="9035" customFormat="false" ht="17.15" hidden="false" customHeight="false" outlineLevel="0" collapsed="false">
      <c r="A9035" s="0" t="s">
        <v>829</v>
      </c>
      <c r="B9035" s="0" t="s">
        <v>98</v>
      </c>
      <c r="D9035" s="6" t="n">
        <f aca="false">Sens!D9029-Sens!D9034*(Sens!D9031+Sens!D9033)-Sens!D9032</f>
        <v>8.35701406163072</v>
      </c>
      <c r="E9035" s="6" t="n">
        <f aca="false">Sens!E9029-Sens!E9034*(Sens!E9031+Sens!E9033)-Sens!E9032</f>
        <v>18.7103224860238</v>
      </c>
      <c r="F9035" s="6" t="n">
        <f aca="false">Sens!F9029-Sens!F9034*(Sens!F9031+Sens!F9033)-Sens!F9032</f>
        <v>35.0573455625419</v>
      </c>
      <c r="G9035" s="6" t="n">
        <f aca="false">Sens!G9029-Sens!G9034*(Sens!G9031+Sens!G9033)-Sens!G9032</f>
        <v>52.2504971712871</v>
      </c>
      <c r="H9035" s="6" t="n">
        <f aca="false">Sens!H9029-Sens!H9034*(Sens!H9031+Sens!H9033)-Sens!H9032</f>
        <v>65.2796698510271</v>
      </c>
      <c r="I9035" s="6" t="n">
        <f aca="false">Sens!I9029-Sens!I9034*(Sens!I9031+Sens!I9033)-Sens!I9032</f>
        <v>83.2702996364549</v>
      </c>
      <c r="J9035" s="6" t="n">
        <f aca="false">Sens!J9029-Sens!J9034*(Sens!J9031+Sens!J9033)-Sens!J9032</f>
        <v>95.9475744394793</v>
      </c>
      <c r="K9035" s="6" t="n">
        <f aca="false">Sens!K9029-Sens!K9034*(Sens!K9031+Sens!K9033)-Sens!K9032</f>
        <v>104.1831135092</v>
      </c>
    </row>
    <row r="9036" customFormat="false" ht="17.15" hidden="false" customHeight="false" outlineLevel="0" collapsed="false">
      <c r="A9036" s="1" t="s">
        <v>830</v>
      </c>
      <c r="B9036" s="0" t="s">
        <v>98</v>
      </c>
      <c r="D9036" s="6" t="n">
        <f aca="false">(1-Sens!D9034)*(Sens!D9031+Sens!D9033)</f>
        <v>1.42281025374069</v>
      </c>
      <c r="E9036" s="6" t="n">
        <f aca="false">(1-Sens!E9034)*(Sens!E9031+Sens!E9033)</f>
        <v>3.25095598674472</v>
      </c>
      <c r="F9036" s="6" t="n">
        <f aca="false">(1-Sens!F9034)*(Sens!F9031+Sens!F9033)</f>
        <v>6.53293055050977</v>
      </c>
      <c r="G9036" s="6" t="n">
        <f aca="false">(1-Sens!G9034)*(Sens!G9031+Sens!G9033)</f>
        <v>10.7846311741651</v>
      </c>
      <c r="H9036" s="6" t="n">
        <f aca="false">(1-Sens!H9034)*(Sens!H9031+Sens!H9033)</f>
        <v>15.26343050201</v>
      </c>
      <c r="I9036" s="6" t="n">
        <f aca="false">(1-Sens!I9034)*(Sens!I9031+Sens!I9033)</f>
        <v>19.1433528317977</v>
      </c>
      <c r="J9036" s="6" t="n">
        <f aca="false">(1-Sens!J9034)*(Sens!J9031+Sens!J9033)</f>
        <v>21.7578594710146</v>
      </c>
      <c r="K9036" s="6" t="n">
        <f aca="false">(1-Sens!K9034)*(Sens!K9031+Sens!K9033)</f>
        <v>23.1609494366731</v>
      </c>
    </row>
    <row r="9037" customFormat="false" ht="17.15" hidden="false" customHeight="false" outlineLevel="0" collapsed="false">
      <c r="A9037" s="1" t="s">
        <v>831</v>
      </c>
      <c r="B9037" s="0" t="s">
        <v>350</v>
      </c>
      <c r="C9037" s="8" t="n">
        <f aca="false">cxit_open</f>
        <v>27.5918995</v>
      </c>
      <c r="D9037" s="8" t="n">
        <f aca="false">cxit_open</f>
        <v>27.5918995</v>
      </c>
      <c r="E9037" s="8" t="n">
        <f aca="false">cxit_open</f>
        <v>27.5918995</v>
      </c>
      <c r="F9037" s="8" t="n">
        <f aca="false">(a_g3_27*tk_cxit_gb300+(1-a_g3_27)*tk_cxit_vr200)</f>
        <v>33.8419624</v>
      </c>
      <c r="G9037" s="8" t="n">
        <f aca="false">(a_g3_28*tk_cxit_gb300+(1-a_g3_28)*tk_cxit_vr200)</f>
        <v>35.9816136</v>
      </c>
      <c r="H9037" s="8" t="n">
        <f aca="false">(a_g3_29*tk_cxit_gb300+(1-a_g3_29)*tk_cxit_vr200)</f>
        <v>37.0514392</v>
      </c>
      <c r="I9037" s="8" t="n">
        <f aca="false">(a_g3_29*tk_cxit_gb300+(1-a_g3_29)*tk_cxit_vr200)</f>
        <v>37.0514392</v>
      </c>
      <c r="J9037" s="8" t="n">
        <f aca="false">(a_g3_29*tk_cxit_gb300+(1-a_g3_29)*tk_cxit_vr200)</f>
        <v>37.0514392</v>
      </c>
      <c r="K9037" s="8" t="n">
        <f aca="false">(a_g3_29*tk_cxit_gb300+(1-a_g3_29)*tk_cxit_vr200)</f>
        <v>37.0514392</v>
      </c>
      <c r="L9037" s="11" t="s">
        <v>832</v>
      </c>
    </row>
    <row r="9038" customFormat="false" ht="17.15" hidden="false" customHeight="false" outlineLevel="0" collapsed="false">
      <c r="A9038" s="0" t="s">
        <v>833</v>
      </c>
      <c r="B9038" s="0" t="s">
        <v>392</v>
      </c>
      <c r="F9038" s="29" t="n">
        <f aca="false">Sens!C9019*IF(Sens!F9012-Sens!C9012=life_it,1,0)+Sens!D9019*IF(Sens!F9012-Sens!D9012=life_it,1,0)+Sens!E9019*IF(Sens!F9012-Sens!E9012=life_it,1,0)</f>
        <v>0</v>
      </c>
      <c r="G9038" s="29" t="n">
        <f aca="false">Sens!C9019*IF(Sens!G9012-Sens!C9012=life_it,1,0)+Sens!D9019*IF(Sens!G9012-Sens!D9012=life_it,1,0)+Sens!E9019*IF(Sens!G9012-Sens!E9012=life_it,1,0)+Sens!F9019*IF(Sens!G9012-Sens!F9012=life_it,1,0)</f>
        <v>0</v>
      </c>
      <c r="H9038" s="29" t="n">
        <f aca="false">Sens!C9019*IF(Sens!H9012-Sens!C9012=life_it,1,0)+Sens!D9019*IF(Sens!H9012-Sens!D9012=life_it,1,0)+Sens!E9019*IF(Sens!H9012-Sens!E9012=life_it,1,0)+Sens!F9019*IF(Sens!H9012-Sens!F9012=life_it,1,0)+Sens!G9019*IF(Sens!H9012-Sens!G9012=life_it,1,0)</f>
        <v>0</v>
      </c>
      <c r="I9038" s="29" t="n">
        <f aca="false">Sens!C9019*IF(Sens!I9012-Sens!C9012=life_it,1,0)+Sens!D9019*IF(Sens!I9012-Sens!D9012=life_it,1,0)+Sens!E9019*IF(Sens!I9012-Sens!E9012=life_it,1,0)+Sens!F9019*IF(Sens!I9012-Sens!F9012=life_it,1,0)+Sens!G9019*IF(Sens!I9012-Sens!G9012=life_it,1,0)+Sens!H9019*IF(Sens!I9012-Sens!H9012=life_it,1,0)</f>
        <v>816.666666666667</v>
      </c>
      <c r="J9038" s="29" t="n">
        <f aca="false">Sens!C9019*IF(Sens!J9012-Sens!C9012=life_it,1,0)+Sens!D9019*IF(Sens!J9012-Sens!D9012=life_it,1,0)+Sens!E9019*IF(Sens!J9012-Sens!E9012=life_it,1,0)+Sens!F9019*IF(Sens!J9012-Sens!F9012=life_it,1,0)+Sens!G9019*IF(Sens!J9012-Sens!G9012=life_it,1,0)+Sens!H9019*IF(Sens!J9012-Sens!H9012=life_it,1,0)+Sens!I9019*IF(Sens!J9012-Sens!I9012=life_it,1,0)</f>
        <v>1233.33333333333</v>
      </c>
      <c r="K9038" s="29" t="n">
        <f aca="false">Sens!C9019*IF(Sens!K9012-Sens!C9012=life_it,1,0)+Sens!D9019*IF(Sens!K9012-Sens!D9012=life_it,1,0)+Sens!E9019*IF(Sens!K9012-Sens!E9012=life_it,1,0)+Sens!F9019*IF(Sens!K9012-Sens!F9012=life_it,1,0)+Sens!G9019*IF(Sens!K9012-Sens!G9012=life_it,1,0)+Sens!H9019*IF(Sens!K9012-Sens!H9012=life_it,1,0)+Sens!I9019*IF(Sens!K9012-Sens!I9012=life_it,1,0)+Sens!J9019*IF(Sens!K9012-Sens!J9012=life_it,1,0)</f>
        <v>2450</v>
      </c>
      <c r="L9038" s="1" t="s">
        <v>834</v>
      </c>
    </row>
    <row r="9039" customFormat="false" ht="17.15" hidden="false" customHeight="false" outlineLevel="0" collapsed="false">
      <c r="A9039" s="0" t="s">
        <v>835</v>
      </c>
      <c r="B9039" s="0" t="s">
        <v>98</v>
      </c>
      <c r="C9039" s="6" t="n">
        <f aca="false">Sens!C9019*Sens!C9037/1000</f>
        <v>22.5333845916667</v>
      </c>
      <c r="D9039" s="6" t="n">
        <f aca="false">Sens!D9019*Sens!D9037/1000</f>
        <v>34.0300093833333</v>
      </c>
      <c r="E9039" s="6" t="n">
        <f aca="false">Sens!E9019*Sens!E9037/1000</f>
        <v>67.600153775</v>
      </c>
      <c r="F9039" s="6" t="n">
        <f aca="false">(Sens!F9019+Sens!F9038)*Sens!F9037/1000</f>
        <v>130.923271871467</v>
      </c>
      <c r="G9039" s="6" t="n">
        <f aca="false">(Sens!G9019+Sens!G9038)*Sens!G9037/1000</f>
        <v>151.5545564832</v>
      </c>
      <c r="H9039" s="6" t="n">
        <f aca="false">(Sens!H9019+Sens!H9038)*Sens!H9037/1000</f>
        <v>156.0606619104</v>
      </c>
      <c r="I9039" s="6" t="n">
        <f aca="false">(Sens!I9019+Sens!I9038)*Sens!I9037/1000</f>
        <v>140.987889434245</v>
      </c>
      <c r="J9039" s="6" t="n">
        <f aca="false">(Sens!J9019+Sens!J9038)*Sens!J9037/1000</f>
        <v>111.094541278091</v>
      </c>
      <c r="K9039" s="6" t="n">
        <f aca="false">(Sens!K9019+Sens!K9038)*Sens!K9037/1000</f>
        <v>110.842344481936</v>
      </c>
    </row>
    <row r="9040" customFormat="false" ht="17.15" hidden="false" customHeight="false" outlineLevel="0" collapsed="false">
      <c r="A9040" s="0" t="s">
        <v>836</v>
      </c>
      <c r="B9040" s="0" t="s">
        <v>98</v>
      </c>
      <c r="C9040" s="6" t="n">
        <f aca="false">Sens!C9019*self_build*tk_cxfac/1000</f>
        <v>6.2083</v>
      </c>
      <c r="D9040" s="6" t="n">
        <f aca="false">Sens!D9019*self_build*tk_cxfac/1000</f>
        <v>9.3758</v>
      </c>
      <c r="E9040" s="6" t="n">
        <f aca="false">Sens!E9019*self_build*tk_cxfac/1000</f>
        <v>18.6249</v>
      </c>
      <c r="F9040" s="6" t="n">
        <f aca="false">Sens!F9019*self_build*tk_cxfac/1000</f>
        <v>29.409604</v>
      </c>
      <c r="G9040" s="6" t="n">
        <f aca="false">Sens!G9019*self_build*tk_cxfac/1000</f>
        <v>32.019624</v>
      </c>
      <c r="H9040" s="6" t="n">
        <f aca="false">Sens!H9019*self_build*tk_cxfac/1000</f>
        <v>32.019624</v>
      </c>
      <c r="I9040" s="6" t="n">
        <f aca="false">Sens!I9019*self_build*tk_cxfac/1000</f>
        <v>22.71877972</v>
      </c>
      <c r="J9040" s="6" t="n">
        <f aca="false">Sens!J9019*self_build*tk_cxfac/1000</f>
        <v>13.41793544</v>
      </c>
      <c r="K9040" s="6" t="n">
        <f aca="false">Sens!K9019*self_build*tk_cxfac/1000</f>
        <v>4.11709116000001</v>
      </c>
    </row>
    <row r="9041" customFormat="false" ht="17.15" hidden="false" customHeight="false" outlineLevel="0" collapsed="false">
      <c r="A9041" s="0" t="s">
        <v>837</v>
      </c>
      <c r="B9041" s="0" t="s">
        <v>98</v>
      </c>
      <c r="F9041" s="6" t="n">
        <f aca="false">MAX(0,capex_floor27-Sens!F9039-Sens!F9040-Sens!F9134)</f>
        <v>8.44771089897088</v>
      </c>
      <c r="L9041" s="1" t="s">
        <v>838</v>
      </c>
    </row>
    <row r="9042" customFormat="false" ht="17.15" hidden="false" customHeight="false" outlineLevel="0" collapsed="false">
      <c r="A9042" s="0" t="s">
        <v>839</v>
      </c>
      <c r="B9042" s="0" t="s">
        <v>98</v>
      </c>
      <c r="C9042" s="6" t="n">
        <f aca="false">Sens!C9039</f>
        <v>22.5333845916667</v>
      </c>
      <c r="D9042" s="6" t="n">
        <f aca="false">Sens!D9039</f>
        <v>34.0300093833333</v>
      </c>
      <c r="E9042" s="6" t="n">
        <f aca="false">Sens!E9039</f>
        <v>67.600153775</v>
      </c>
      <c r="F9042" s="6" t="n">
        <f aca="false">Sens!F9039+Sens!F9041</f>
        <v>139.370982770438</v>
      </c>
      <c r="G9042" s="6" t="n">
        <f aca="false">Sens!G9039</f>
        <v>151.5545564832</v>
      </c>
      <c r="H9042" s="6" t="n">
        <f aca="false">Sens!H9039</f>
        <v>156.0606619104</v>
      </c>
      <c r="I9042" s="6" t="n">
        <f aca="false">Sens!I9039</f>
        <v>140.987889434245</v>
      </c>
      <c r="J9042" s="6" t="n">
        <f aca="false">Sens!J9039</f>
        <v>111.094541278091</v>
      </c>
      <c r="K9042" s="6" t="n">
        <f aca="false">Sens!K9039</f>
        <v>110.842344481936</v>
      </c>
    </row>
    <row r="9043" customFormat="false" ht="17.15" hidden="false" customHeight="false" outlineLevel="0" collapsed="false">
      <c r="A9043" s="0" t="s">
        <v>840</v>
      </c>
      <c r="B9043" s="0" t="s">
        <v>98</v>
      </c>
      <c r="C9043" s="6" t="n">
        <f aca="false">Sens!C9042+Sens!C9040</f>
        <v>28.7416845916667</v>
      </c>
      <c r="D9043" s="6" t="n">
        <f aca="false">Sens!D9042+Sens!D9040</f>
        <v>43.4058093833333</v>
      </c>
      <c r="E9043" s="6" t="n">
        <f aca="false">Sens!E9042+Sens!E9040</f>
        <v>86.225053775</v>
      </c>
      <c r="F9043" s="6" t="n">
        <f aca="false">Sens!F9042+Sens!F9040</f>
        <v>168.780586770438</v>
      </c>
      <c r="G9043" s="6" t="n">
        <f aca="false">Sens!G9042+Sens!G9040</f>
        <v>183.5741804832</v>
      </c>
      <c r="H9043" s="6" t="n">
        <f aca="false">Sens!H9042+Sens!H9040</f>
        <v>188.0802859104</v>
      </c>
      <c r="I9043" s="6" t="n">
        <f aca="false">Sens!I9042+Sens!I9040</f>
        <v>163.706669154245</v>
      </c>
      <c r="J9043" s="6" t="n">
        <f aca="false">Sens!J9042+Sens!J9040</f>
        <v>124.51247671809</v>
      </c>
      <c r="K9043" s="6" t="n">
        <f aca="false">Sens!K9042+Sens!K9040</f>
        <v>114.959435641936</v>
      </c>
      <c r="L9043" s="11" t="s">
        <v>841</v>
      </c>
    </row>
    <row r="9044" customFormat="false" ht="17.15" hidden="false" customHeight="false" outlineLevel="0" collapsed="false">
      <c r="A9044" s="0" t="s">
        <v>842</v>
      </c>
      <c r="B9044" s="0" t="s">
        <v>98</v>
      </c>
      <c r="E9044" s="6" t="n">
        <f aca="false">(Sens!C9042*IF(2&lt;life_it,1,IF(2=life_it,0.5,0))+Sens!D9042*IF(1&lt;life_it,1,IF(1=life_it,0.5,0))+Sens!E9042*0.5)/life_it</f>
        <v>15.0605784770833</v>
      </c>
      <c r="F9044" s="6" t="n">
        <f aca="false">(Sens!C9042*IF(3&lt;life_it,1,IF(3=life_it,0.5,0))+Sens!D9042*IF(2&lt;life_it,1,IF(2=life_it,0.5,0))+Sens!E9042*IF(1&lt;life_it,1,IF(1=life_it,0.5,0))+Sens!F9042*0.5)/life_it</f>
        <v>32.3081731892031</v>
      </c>
      <c r="G9044" s="6" t="n">
        <f aca="false">(Sens!C9042*IF(4&lt;life_it,1,IF(4=life_it,0.5,0))+Sens!D9042*IF(3&lt;life_it,1,IF(3=life_it,0.5,0))+Sens!E9042*IF(2&lt;life_it,1,IF(2=life_it,0.5,0))+Sens!F9042*IF(1&lt;life_it,1,IF(1=life_it,0.5,0))+Sens!G9042*0.5)/life_it</f>
        <v>56.5519681270063</v>
      </c>
      <c r="H9044" s="6" t="n">
        <f aca="false">(Sens!C9042*IF(5&lt;life_it,1,IF(5=life_it,0.5,0))+Sens!D9042*IF(4&lt;life_it,1,IF(4=life_it,0.5,0))+Sens!E9042*IF(3&lt;life_it,1,IF(3=life_it,0.5,0))+Sens!F9042*IF(2&lt;life_it,1,IF(2=life_it,0.5,0))+Sens!G9042*IF(1&lt;life_it,1,IF(1=life_it,0.5,0))+Sens!H9042*0.5)/life_it</f>
        <v>82.1865696598063</v>
      </c>
      <c r="I9044" s="6" t="n">
        <f aca="false">(Sens!C9042*IF(6&lt;life_it,1,IF(6=life_it,0.5,0))+Sens!D9042*IF(5&lt;life_it,1,IF(5=life_it,0.5,0))+Sens!E9042*IF(4&lt;life_it,1,IF(4=life_it,0.5,0))+Sens!F9042*IF(3&lt;life_it,1,IF(3=life_it,0.5,0))+Sens!G9042*IF(2&lt;life_it,1,IF(2=life_it,0.5,0))+Sens!H9042*IF(1&lt;life_it,1,IF(1=life_it,0.5,0))+Sens!I9042*0.5)/life_it</f>
        <v>105.062833555888</v>
      </c>
      <c r="J9044" s="6" t="n">
        <f aca="false">(Sens!C9042*IF(7&lt;life_it,1,IF(7=life_it,0.5,0))+Sens!D9042*IF(6&lt;life_it,1,IF(6=life_it,0.5,0))+Sens!E9042*IF(5&lt;life_it,1,IF(5=life_it,0.5,0))+Sens!F9042*IF(4&lt;life_it,1,IF(4=life_it,0.5,0))+Sens!G9042*IF(3&lt;life_it,1,IF(3=life_it,0.5,0))+Sens!H9042*IF(2&lt;life_it,1,IF(2=life_it,0.5,0))+Sens!I9042*IF(1&lt;life_it,1,IF(1=life_it,0.5,0))+Sens!J9042*0.5)/life_it</f>
        <v>121.356086617332</v>
      </c>
      <c r="K9044" s="6" t="n">
        <f aca="false">(Sens!C9042*IF(8&lt;life_it,1,IF(8=life_it,0.5,0))+Sens!D9042*IF(7&lt;life_it,1,IF(7=life_it,0.5,0))+Sens!E9042*IF(6&lt;life_it,1,IF(6=life_it,0.5,0))+Sens!F9042*IF(5&lt;life_it,1,IF(5=life_it,0.5,0))+Sens!G9042*IF(4&lt;life_it,1,IF(4=life_it,0.5,0))+Sens!H9042*IF(3&lt;life_it,1,IF(3=life_it,0.5,0))+Sens!I9042*IF(2&lt;life_it,1,IF(2=life_it,0.5,0))+Sens!J9042*IF(1&lt;life_it,1,IF(1=life_it,0.5,0))+Sens!K9042*0.5)/life_it</f>
        <v>131.38164683414</v>
      </c>
    </row>
    <row r="9045" customFormat="false" ht="17.15" hidden="false" customHeight="false" outlineLevel="0" collapsed="false">
      <c r="A9045" s="0" t="s">
        <v>843</v>
      </c>
      <c r="B9045" s="0" t="s">
        <v>98</v>
      </c>
      <c r="E9045" s="6" t="n">
        <f aca="false">(Sens!C9040*IF(2&lt;life_fac,1,IF(2=life_fac,0.5,0))+Sens!D9040*IF(1&lt;life_fac,1,IF(1=life_fac,0.5,0))+Sens!E9040*0.5)/life_fac</f>
        <v>1.2448275</v>
      </c>
      <c r="F9045" s="6" t="n">
        <f aca="false">(Sens!C9040*IF(3&lt;life_fac,1,IF(3=life_fac,0.5,0))+Sens!D9040*IF(2&lt;life_fac,1,IF(2=life_fac,0.5,0))+Sens!E9040*IF(1&lt;life_fac,1,IF(1=life_fac,0.5,0))+Sens!F9040*0.5)/life_fac</f>
        <v>2.4456901</v>
      </c>
      <c r="G9045" s="6" t="n">
        <f aca="false">(Sens!C9040*IF(4&lt;life_fac,1,IF(4=life_fac,0.5,0))+Sens!D9040*IF(3&lt;life_fac,1,IF(3=life_fac,0.5,0))+Sens!E9040*IF(2&lt;life_fac,1,IF(2=life_fac,0.5,0))+Sens!F9040*IF(1&lt;life_fac,1,IF(1=life_fac,0.5,0))+Sens!G9040*0.5)/life_fac</f>
        <v>3.9814208</v>
      </c>
      <c r="H9045" s="6" t="n">
        <f aca="false">(Sens!C9040*IF(5&lt;life_fac,1,IF(5=life_fac,0.5,0))+Sens!D9040*IF(4&lt;life_fac,1,IF(4=life_fac,0.5,0))+Sens!E9040*IF(3&lt;life_fac,1,IF(3=life_fac,0.5,0))+Sens!F9040*IF(2&lt;life_fac,1,IF(2=life_fac,0.5,0))+Sens!G9040*IF(1&lt;life_fac,1,IF(1=life_fac,0.5,0))+Sens!H9040*0.5)/life_fac</f>
        <v>5.582402</v>
      </c>
      <c r="I9045" s="6" t="n">
        <f aca="false">(Sens!C9040*IF(6&lt;life_fac,1,IF(6=life_fac,0.5,0))+Sens!D9040*IF(5&lt;life_fac,1,IF(5=life_fac,0.5,0))+Sens!E9040*IF(4&lt;life_fac,1,IF(4=life_fac,0.5,0))+Sens!F9040*IF(3&lt;life_fac,1,IF(3=life_fac,0.5,0))+Sens!G9040*IF(2&lt;life_fac,1,IF(2=life_fac,0.5,0))+Sens!H9040*IF(1&lt;life_fac,1,IF(1=life_fac,0.5,0))+Sens!I9040*0.5)/life_fac</f>
        <v>6.950862093</v>
      </c>
      <c r="J9045" s="6" t="n">
        <f aca="false">(Sens!C9040*IF(7&lt;life_fac,1,IF(7=life_fac,0.5,0))+Sens!D9040*IF(6&lt;life_fac,1,IF(6=life_fac,0.5,0))+Sens!E9040*IF(5&lt;life_fac,1,IF(5=life_fac,0.5,0))+Sens!F9040*IF(4&lt;life_fac,1,IF(4=life_fac,0.5,0))+Sens!G9040*IF(3&lt;life_fac,1,IF(3=life_fac,0.5,0))+Sens!H9040*IF(2&lt;life_fac,1,IF(2=life_fac,0.5,0))+Sens!I9040*IF(1&lt;life_fac,1,IF(1=life_fac,0.5,0))+Sens!J9040*0.5)/life_fac</f>
        <v>7.854279972</v>
      </c>
      <c r="K9045" s="6" t="n">
        <f aca="false">(Sens!C9040*IF(8&lt;life_fac,1,IF(8=life_fac,0.5,0))+Sens!D9040*IF(7&lt;life_fac,1,IF(7=life_fac,0.5,0))+Sens!E9040*IF(6&lt;life_fac,1,IF(6=life_fac,0.5,0))+Sens!F9040*IF(5&lt;life_fac,1,IF(5=life_fac,0.5,0))+Sens!G9040*IF(4&lt;life_fac,1,IF(4=life_fac,0.5,0))+Sens!H9040*IF(3&lt;life_fac,1,IF(3=life_fac,0.5,0))+Sens!I9040*IF(2&lt;life_fac,1,IF(2=life_fac,0.5,0))+Sens!J9040*IF(1&lt;life_fac,1,IF(1=life_fac,0.5,0))+Sens!K9040*0.5)/life_fac</f>
        <v>8.292655637</v>
      </c>
    </row>
    <row r="9046" customFormat="false" ht="17.15" hidden="false" customHeight="false" outlineLevel="0" collapsed="false">
      <c r="A9046" s="0" t="s">
        <v>844</v>
      </c>
      <c r="B9046" s="0" t="s">
        <v>98</v>
      </c>
      <c r="E9046" s="6" t="n">
        <f aca="false">Sens!E9044+Sens!E9045</f>
        <v>16.3054059770833</v>
      </c>
      <c r="F9046" s="6" t="n">
        <f aca="false">Sens!F9044+Sens!F9045</f>
        <v>34.7538632892031</v>
      </c>
      <c r="G9046" s="6" t="n">
        <f aca="false">Sens!G9044+Sens!G9045</f>
        <v>60.5333889270063</v>
      </c>
      <c r="H9046" s="6" t="n">
        <f aca="false">Sens!H9044+Sens!H9045</f>
        <v>87.7689716598063</v>
      </c>
      <c r="I9046" s="6" t="n">
        <f aca="false">Sens!I9044+Sens!I9045</f>
        <v>112.013695648888</v>
      </c>
      <c r="J9046" s="6" t="n">
        <f aca="false">Sens!J9044+Sens!J9045</f>
        <v>129.210366589332</v>
      </c>
      <c r="K9046" s="6" t="n">
        <f aca="false">Sens!K9044+Sens!K9045</f>
        <v>139.67430247114</v>
      </c>
    </row>
    <row r="9047" customFormat="false" ht="17.15" hidden="false" customHeight="false" outlineLevel="0" collapsed="false">
      <c r="A9047" s="0" t="s">
        <v>845</v>
      </c>
      <c r="B9047" s="0" t="s">
        <v>98</v>
      </c>
      <c r="E9047" s="6" t="n">
        <f aca="false">Sens!E9035-Sens!E9034*Sens!E9046</f>
        <v>8.92707889977379</v>
      </c>
      <c r="F9047" s="6" t="n">
        <f aca="false">Sens!F9035-Sens!F9034*Sens!F9046</f>
        <v>14.2050275890201</v>
      </c>
      <c r="G9047" s="6" t="n">
        <f aca="false">Sens!G9035-Sens!G9034*Sens!G9046</f>
        <v>15.9304638150833</v>
      </c>
      <c r="H9047" s="6" t="n">
        <f aca="false">Sens!H9035-Sens!H9034*Sens!H9046</f>
        <v>12.6182868551433</v>
      </c>
      <c r="I9047" s="6" t="n">
        <f aca="false">Sens!I9035-Sens!I9034*Sens!I9046</f>
        <v>16.0620822471222</v>
      </c>
      <c r="J9047" s="6" t="n">
        <f aca="false">Sens!J9035-Sens!J9034*Sens!J9046</f>
        <v>18.4213544858798</v>
      </c>
      <c r="K9047" s="6" t="n">
        <f aca="false">Sens!K9035-Sens!K9034*Sens!K9046</f>
        <v>20.3785320265162</v>
      </c>
    </row>
    <row r="9048" customFormat="false" ht="17.15" hidden="false" customHeight="false" outlineLevel="0" collapsed="false">
      <c r="A9048" s="3" t="s">
        <v>1470</v>
      </c>
    </row>
    <row r="9049" customFormat="false" ht="15" hidden="false" customHeight="false" outlineLevel="0" collapsed="false">
      <c r="A9049" s="4" t="s">
        <v>43</v>
      </c>
      <c r="B9049" s="4" t="s">
        <v>65</v>
      </c>
      <c r="C9049" s="20" t="s">
        <v>788</v>
      </c>
      <c r="D9049" s="20" t="s">
        <v>789</v>
      </c>
      <c r="E9049" s="20" t="s">
        <v>790</v>
      </c>
      <c r="F9049" s="20" t="s">
        <v>791</v>
      </c>
      <c r="G9049" s="20" t="s">
        <v>792</v>
      </c>
      <c r="H9049" s="20" t="s">
        <v>793</v>
      </c>
      <c r="I9049" s="20" t="s">
        <v>794</v>
      </c>
      <c r="J9049" s="20" t="s">
        <v>795</v>
      </c>
      <c r="K9049" s="20" t="s">
        <v>796</v>
      </c>
      <c r="L9049" s="4" t="s">
        <v>47</v>
      </c>
    </row>
    <row r="9050" customFormat="false" ht="17.15" hidden="false" customHeight="false" outlineLevel="0" collapsed="false">
      <c r="A9050" s="0" t="s">
        <v>864</v>
      </c>
      <c r="B9050" s="0" t="s">
        <v>98</v>
      </c>
      <c r="D9050" s="6" t="n">
        <f aca="false">Sens!D9029</f>
        <v>12.9359794422418</v>
      </c>
      <c r="E9050" s="6" t="n">
        <f aca="false">Sens!E9029</f>
        <v>27.8095064661409</v>
      </c>
      <c r="F9050" s="6" t="n">
        <f aca="false">Sens!F9029</f>
        <v>50.6619113883066</v>
      </c>
      <c r="G9050" s="6" t="n">
        <f aca="false">Sens!G9029</f>
        <v>75.1482839325348</v>
      </c>
      <c r="H9050" s="6" t="n">
        <f aca="false">Sens!H9029</f>
        <v>94.895655604042</v>
      </c>
      <c r="I9050" s="6" t="n">
        <f aca="false">Sens!I9029</f>
        <v>118.706168884151</v>
      </c>
      <c r="J9050" s="6" t="n">
        <f aca="false">Sens!J9029</f>
        <v>135.305203646001</v>
      </c>
      <c r="K9050" s="6" t="n">
        <f aca="false">Sens!K9029</f>
        <v>145.64537766421</v>
      </c>
    </row>
    <row r="9051" customFormat="false" ht="17.15" hidden="false" customHeight="false" outlineLevel="0" collapsed="false">
      <c r="A9051" s="0" t="s">
        <v>865</v>
      </c>
      <c r="B9051" s="0" t="s">
        <v>98</v>
      </c>
      <c r="D9051" s="6" t="n">
        <f aca="false">Q!L6-Sens!D9050</f>
        <v>59.6740205577583</v>
      </c>
      <c r="E9051" s="6" t="n">
        <f aca="false">Q!M6-Sens!E9050</f>
        <v>74.1284935338591</v>
      </c>
      <c r="F9051" s="6" t="n">
        <f aca="false">Sens!E9051*(1+Sens!F9052)</f>
        <v>90.0799497373663</v>
      </c>
      <c r="G9051" s="6" t="n">
        <f aca="false">Sens!F9051*(1+Sens!G9052)</f>
        <v>107.02842520331</v>
      </c>
      <c r="H9051" s="6" t="n">
        <f aca="false">Sens!G9051*(1+Sens!H9052)</f>
        <v>124.271982585636</v>
      </c>
      <c r="I9051" s="6" t="n">
        <f aca="false">Sens!H9051*(1+Sens!I9052)</f>
        <v>140.933702381855</v>
      </c>
      <c r="J9051" s="6" t="n">
        <f aca="false">Sens!I9051*(1+Sens!J9052)</f>
        <v>156.018867314332</v>
      </c>
      <c r="K9051" s="6" t="n">
        <f aca="false">Sens!J9051*(1+Sens!K9052)</f>
        <v>168.500376699478</v>
      </c>
    </row>
    <row r="9052" customFormat="false" ht="15" hidden="false" customHeight="false" outlineLevel="0" collapsed="false">
      <c r="A9052" s="1" t="s">
        <v>866</v>
      </c>
      <c r="B9052" s="0" t="s">
        <v>129</v>
      </c>
      <c r="E9052" s="7" t="n">
        <f aca="false">Sens!E9051/Sens!D9051-1</f>
        <v>0.242223883039864</v>
      </c>
      <c r="F9052" s="7" t="n">
        <f aca="false">Sens!$E$9052+(glt_azo-Sens!$E$9052)*MIN(1,(Sens!F9012-base_fy)/n_conv)</f>
        <v>0.215186569199887</v>
      </c>
      <c r="G9052" s="7" t="n">
        <f aca="false">Sens!$E$9052+(glt_azo-Sens!$E$9052)*MIN(1,(Sens!G9012-base_fy)/n_conv)</f>
        <v>0.18814925535991</v>
      </c>
      <c r="H9052" s="7" t="n">
        <f aca="false">Sens!$E$9052+(glt_azo-Sens!$E$9052)*MIN(1,(Sens!H9012-base_fy)/n_conv)</f>
        <v>0.161111941519932</v>
      </c>
      <c r="I9052" s="7" t="n">
        <f aca="false">Sens!$E$9052+(glt_azo-Sens!$E$9052)*MIN(1,(Sens!I9012-base_fy)/n_conv)</f>
        <v>0.134074627679955</v>
      </c>
      <c r="J9052" s="7" t="n">
        <f aca="false">Sens!$E$9052+(glt_azo-Sens!$E$9052)*MIN(1,(Sens!J9012-base_fy)/n_conv)</f>
        <v>0.107037313839977</v>
      </c>
      <c r="K9052" s="7" t="n">
        <f aca="false">Sens!$E$9052+(glt_azo-Sens!$E$9052)*MIN(1,(Sens!K9012-base_fy)/n_conv)</f>
        <v>0.08</v>
      </c>
    </row>
    <row r="9053" customFormat="false" ht="15" hidden="false" customHeight="false" outlineLevel="0" collapsed="false">
      <c r="A9053" s="0" t="s">
        <v>867</v>
      </c>
      <c r="B9053" s="0" t="s">
        <v>98</v>
      </c>
      <c r="D9053" s="6" t="n">
        <f aca="false">Sens!D9050+Sens!D9051</f>
        <v>72.61</v>
      </c>
      <c r="E9053" s="6" t="n">
        <f aca="false">Sens!E9050+Sens!E9051</f>
        <v>101.938</v>
      </c>
      <c r="F9053" s="6" t="n">
        <f aca="false">Sens!F9050+Sens!F9051</f>
        <v>140.741861125673</v>
      </c>
      <c r="G9053" s="6" t="n">
        <f aca="false">Sens!G9050+Sens!G9051</f>
        <v>182.176709135845</v>
      </c>
      <c r="H9053" s="6" t="n">
        <f aca="false">Sens!H9050+Sens!H9051</f>
        <v>219.167638189678</v>
      </c>
      <c r="I9053" s="6" t="n">
        <f aca="false">Sens!I9050+Sens!I9051</f>
        <v>259.639871266006</v>
      </c>
      <c r="J9053" s="6" t="n">
        <f aca="false">Sens!J9050+Sens!J9051</f>
        <v>291.324070960333</v>
      </c>
      <c r="K9053" s="6" t="n">
        <f aca="false">Sens!K9050+Sens!K9051</f>
        <v>314.145754363688</v>
      </c>
    </row>
    <row r="9054" customFormat="false" ht="17.15" hidden="false" customHeight="false" outlineLevel="0" collapsed="false">
      <c r="A9054" s="0" t="s">
        <v>868</v>
      </c>
      <c r="B9054" s="1" t="s">
        <v>521</v>
      </c>
      <c r="C9054" s="29" t="n">
        <f aca="false">cop_s24</f>
        <v>1</v>
      </c>
      <c r="D9054" s="29" t="n">
        <f aca="false">cop_s25</f>
        <v>5</v>
      </c>
      <c r="E9054" s="29" t="n">
        <f aca="false">cop_s26</f>
        <v>30</v>
      </c>
      <c r="F9054" s="29" t="n">
        <f aca="false">Sens!E9054+cop_add_C</f>
        <v>40</v>
      </c>
      <c r="G9054" s="29" t="n">
        <f aca="false">Sens!F9054+cop_add_C</f>
        <v>50</v>
      </c>
      <c r="H9054" s="29" t="n">
        <f aca="false">Sens!G9054+cop_add_C</f>
        <v>60</v>
      </c>
      <c r="I9054" s="29" t="n">
        <f aca="false">Sens!H9054+cop_add_C*cop_tail</f>
        <v>65</v>
      </c>
      <c r="J9054" s="29" t="n">
        <f aca="false">Sens!I9054+cop_add_C*cop_tail</f>
        <v>70</v>
      </c>
      <c r="K9054" s="29" t="n">
        <f aca="false">Sens!J9054+cop_add_C*cop_tail</f>
        <v>75</v>
      </c>
      <c r="L9054" s="11" t="s">
        <v>869</v>
      </c>
    </row>
    <row r="9055" customFormat="false" ht="17.15" hidden="false" customHeight="false" outlineLevel="0" collapsed="false">
      <c r="A9055" s="0" t="s">
        <v>870</v>
      </c>
      <c r="B9055" s="0" t="s">
        <v>98</v>
      </c>
      <c r="D9055" s="6" t="n">
        <f aca="false">(Sens!C9054+Sens!D9054)/2*cop_px*12/1000</f>
        <v>0.9</v>
      </c>
      <c r="E9055" s="6" t="n">
        <f aca="false">(Sens!D9054+Sens!E9054)/2*cop_px*12/1000</f>
        <v>5.25</v>
      </c>
      <c r="F9055" s="6" t="n">
        <f aca="false">(Sens!E9054+Sens!F9054)/2*cop_px*12/1000</f>
        <v>10.5</v>
      </c>
      <c r="G9055" s="6" t="n">
        <f aca="false">(Sens!F9054+Sens!G9054)/2*cop_px*12/1000</f>
        <v>13.5</v>
      </c>
      <c r="H9055" s="6" t="n">
        <f aca="false">(Sens!G9054+Sens!H9054)/2*cop_px*12/1000</f>
        <v>16.5</v>
      </c>
      <c r="I9055" s="6" t="n">
        <f aca="false">(Sens!H9054+Sens!I9054)/2*cop_px*12/1000</f>
        <v>18.75</v>
      </c>
      <c r="J9055" s="6" t="n">
        <f aca="false">(Sens!I9054+Sens!J9054)/2*cop_px*12/1000</f>
        <v>20.25</v>
      </c>
      <c r="K9055" s="6" t="n">
        <f aca="false">(Sens!J9054+Sens!K9054)/2*cop_px*12/1000</f>
        <v>21.75</v>
      </c>
      <c r="L9055" s="1" t="s">
        <v>871</v>
      </c>
    </row>
    <row r="9056" customFormat="false" ht="17.15" hidden="false" customHeight="false" outlineLevel="0" collapsed="false">
      <c r="A9056" s="0" t="s">
        <v>872</v>
      </c>
      <c r="B9056" s="0" t="s">
        <v>98</v>
      </c>
      <c r="D9056" s="6" t="n">
        <f aca="false">Q!L7-Sens!D9055</f>
        <v>83.705</v>
      </c>
      <c r="E9056" s="6" t="n">
        <f aca="false">Q!M7-Sens!E9055</f>
        <v>95.049</v>
      </c>
      <c r="F9056" s="6" t="n">
        <f aca="false">Sens!E9056*(1+Sens!F9057)</f>
        <v>106.89238776686</v>
      </c>
      <c r="G9056" s="6" t="n">
        <f aca="false">Sens!F9056*(1+Sens!G9057)</f>
        <v>119.044168448684</v>
      </c>
      <c r="H9056" s="6" t="n">
        <f aca="false">Sens!G9056*(1+Sens!H9057)</f>
        <v>131.277359388781</v>
      </c>
      <c r="I9056" s="6" t="n">
        <f aca="false">Sens!H9056*(1+Sens!I9057)</f>
        <v>143.334028071957</v>
      </c>
      <c r="J9056" s="6" t="n">
        <f aca="false">Sens!I9056*(1+Sens!J9057)</f>
        <v>154.932702785465</v>
      </c>
      <c r="K9056" s="6" t="n">
        <f aca="false">Sens!J9056*(1+Sens!K9057)</f>
        <v>165.777991980448</v>
      </c>
    </row>
    <row r="9057" customFormat="false" ht="15" hidden="false" customHeight="false" outlineLevel="0" collapsed="false">
      <c r="A9057" s="1" t="s">
        <v>866</v>
      </c>
      <c r="B9057" s="0" t="s">
        <v>129</v>
      </c>
      <c r="E9057" s="7" t="n">
        <f aca="false">Sens!E9056/Sens!D9056-1</f>
        <v>0.135523564900544</v>
      </c>
      <c r="F9057" s="7" t="n">
        <f aca="false">Sens!$E$9057+(glt_m365b-Sens!$E$9057)*MIN(1,(Sens!F9012-base_fy)/n_conv)</f>
        <v>0.124602970750453</v>
      </c>
      <c r="G9057" s="7" t="n">
        <f aca="false">Sens!$E$9057+(glt_m365b-Sens!$E$9057)*MIN(1,(Sens!G9012-base_fy)/n_conv)</f>
        <v>0.113682376600363</v>
      </c>
      <c r="H9057" s="7" t="n">
        <f aca="false">Sens!$E$9057+(glt_m365b-Sens!$E$9057)*MIN(1,(Sens!H9012-base_fy)/n_conv)</f>
        <v>0.102761782450272</v>
      </c>
      <c r="I9057" s="7" t="n">
        <f aca="false">Sens!$E$9057+(glt_m365b-Sens!$E$9057)*MIN(1,(Sens!I9012-base_fy)/n_conv)</f>
        <v>0.0918411883001813</v>
      </c>
      <c r="J9057" s="7" t="n">
        <f aca="false">Sens!$E$9057+(glt_m365b-Sens!$E$9057)*MIN(1,(Sens!J9012-base_fy)/n_conv)</f>
        <v>0.0809205941500906</v>
      </c>
      <c r="K9057" s="7" t="n">
        <f aca="false">Sens!$E$9057+(glt_m365b-Sens!$E$9057)*MIN(1,(Sens!K9012-base_fy)/n_conv)</f>
        <v>0.07</v>
      </c>
    </row>
    <row r="9058" customFormat="false" ht="15" hidden="false" customHeight="false" outlineLevel="0" collapsed="false">
      <c r="A9058" s="0" t="s">
        <v>873</v>
      </c>
      <c r="B9058" s="0" t="s">
        <v>98</v>
      </c>
      <c r="D9058" s="6" t="n">
        <f aca="false">Sens!D9056+Sens!D9055</f>
        <v>84.605</v>
      </c>
      <c r="E9058" s="6" t="n">
        <f aca="false">Sens!E9056+Sens!E9055</f>
        <v>100.299</v>
      </c>
      <c r="F9058" s="6" t="n">
        <f aca="false">Sens!F9056+Sens!F9055</f>
        <v>117.39238776686</v>
      </c>
      <c r="G9058" s="6" t="n">
        <f aca="false">Sens!G9056+Sens!G9055</f>
        <v>132.544168448684</v>
      </c>
      <c r="H9058" s="6" t="n">
        <f aca="false">Sens!H9056+Sens!H9055</f>
        <v>147.777359388781</v>
      </c>
      <c r="I9058" s="6" t="n">
        <f aca="false">Sens!I9056+Sens!I9055</f>
        <v>162.084028071957</v>
      </c>
      <c r="J9058" s="6" t="n">
        <f aca="false">Sens!J9056+Sens!J9055</f>
        <v>175.182702785465</v>
      </c>
      <c r="K9058" s="6" t="n">
        <f aca="false">Sens!K9056+Sens!K9055</f>
        <v>187.527991980448</v>
      </c>
    </row>
    <row r="9059" customFormat="false" ht="15" hidden="false" customHeight="false" outlineLevel="0" collapsed="false">
      <c r="A9059" s="0" t="s">
        <v>874</v>
      </c>
      <c r="B9059" s="0" t="s">
        <v>98</v>
      </c>
      <c r="D9059" s="6" t="n">
        <f aca="false">Q!L8</f>
        <v>35.391</v>
      </c>
      <c r="E9059" s="6" t="n">
        <f aca="false">Q!M8</f>
        <v>37.285</v>
      </c>
      <c r="F9059" s="6" t="n">
        <f aca="false">Sens!E9059*(1+Sens!F9060)</f>
        <v>39.0720834331704</v>
      </c>
      <c r="G9059" s="6" t="n">
        <f aca="false">Sens!F9059*(1+Sens!G9060)</f>
        <v>40.726562953769</v>
      </c>
      <c r="H9059" s="6" t="n">
        <f aca="false">Sens!G9059*(1+Sens!H9060)</f>
        <v>42.2235987259198</v>
      </c>
      <c r="I9059" s="6" t="n">
        <f aca="false">Sens!H9059*(1+Sens!I9060)</f>
        <v>43.5397988077414</v>
      </c>
      <c r="J9059" s="6" t="n">
        <f aca="false">Sens!I9059*(1+Sens!J9060)</f>
        <v>44.653811225693</v>
      </c>
      <c r="K9059" s="6" t="n">
        <f aca="false">Sens!J9059*(1+Sens!K9060)</f>
        <v>45.5468874502068</v>
      </c>
    </row>
    <row r="9060" customFormat="false" ht="15" hidden="false" customHeight="false" outlineLevel="0" collapsed="false">
      <c r="A9060" s="1" t="s">
        <v>866</v>
      </c>
      <c r="B9060" s="0" t="s">
        <v>129</v>
      </c>
      <c r="E9060" s="7" t="n">
        <f aca="false">Sens!E9059/Sens!D9059-1</f>
        <v>0.0535164307309768</v>
      </c>
      <c r="F9060" s="7" t="n">
        <f aca="false">Sens!$E$9060+(glt_lic-Sens!$E$9060)*MIN(1,(Sens!F9012-base_fy)/n_conv)</f>
        <v>0.0479303589424807</v>
      </c>
      <c r="G9060" s="7" t="n">
        <f aca="false">Sens!$E$9060+(glt_lic-Sens!$E$9060)*MIN(1,(Sens!G9012-base_fy)/n_conv)</f>
        <v>0.0423442871539845</v>
      </c>
      <c r="H9060" s="7" t="n">
        <f aca="false">Sens!$E$9060+(glt_lic-Sens!$E$9060)*MIN(1,(Sens!H9012-base_fy)/n_conv)</f>
        <v>0.0367582153654884</v>
      </c>
      <c r="I9060" s="7" t="n">
        <f aca="false">Sens!$E$9060+(glt_lic-Sens!$E$9060)*MIN(1,(Sens!I9012-base_fy)/n_conv)</f>
        <v>0.0311721435769923</v>
      </c>
      <c r="J9060" s="7" t="n">
        <f aca="false">Sens!$E$9060+(glt_lic-Sens!$E$9060)*MIN(1,(Sens!J9012-base_fy)/n_conv)</f>
        <v>0.0255860717884961</v>
      </c>
      <c r="K9060" s="7" t="n">
        <f aca="false">Sens!$E$9060+(glt_lic-Sens!$E$9060)*MIN(1,(Sens!K9012-base_fy)/n_conv)</f>
        <v>0.02</v>
      </c>
    </row>
    <row r="9061" customFormat="false" ht="15" hidden="false" customHeight="false" outlineLevel="0" collapsed="false">
      <c r="A9061" s="0" t="s">
        <v>875</v>
      </c>
      <c r="B9061" s="0" t="s">
        <v>98</v>
      </c>
      <c r="D9061" s="6" t="n">
        <f aca="false">Q!L9</f>
        <v>18.417</v>
      </c>
      <c r="E9061" s="6" t="n">
        <f aca="false">Q!M9</f>
        <v>20.345</v>
      </c>
      <c r="F9061" s="6" t="n">
        <f aca="false">Sens!E9061*(1+Sens!F9062)</f>
        <v>22.3572203267814</v>
      </c>
      <c r="G9061" s="6" t="n">
        <f aca="false">Sens!F9061*(1+Sens!G9062)</f>
        <v>24.4392124437232</v>
      </c>
      <c r="H9061" s="6" t="n">
        <f aca="false">Sens!G9061*(1+Sens!H9062)</f>
        <v>26.5738052080665</v>
      </c>
      <c r="I9061" s="6" t="n">
        <f aca="false">Sens!H9061*(1+Sens!I9062)</f>
        <v>28.7412169166967</v>
      </c>
      <c r="J9061" s="6" t="n">
        <f aca="false">Sens!I9061*(1+Sens!J9062)</f>
        <v>30.9192545395413</v>
      </c>
      <c r="K9061" s="6" t="n">
        <f aca="false">Sens!J9061*(1+Sens!K9062)</f>
        <v>33.0836023573092</v>
      </c>
    </row>
    <row r="9062" customFormat="false" ht="15" hidden="false" customHeight="false" outlineLevel="0" collapsed="false">
      <c r="A9062" s="1" t="s">
        <v>866</v>
      </c>
      <c r="B9062" s="0" t="s">
        <v>129</v>
      </c>
      <c r="E9062" s="7" t="n">
        <f aca="false">Sens!E9061/Sens!D9061-1</f>
        <v>0.104685888038225</v>
      </c>
      <c r="F9062" s="7" t="n">
        <f aca="false">Sens!$E$9062+(glt_ind-Sens!$E$9062)*MIN(1,(Sens!F9012-base_fy)/n_conv)</f>
        <v>0.0989049066985211</v>
      </c>
      <c r="G9062" s="7" t="n">
        <f aca="false">Sens!$E$9062+(glt_ind-Sens!$E$9062)*MIN(1,(Sens!G9012-base_fy)/n_conv)</f>
        <v>0.0931239253588169</v>
      </c>
      <c r="H9062" s="7" t="n">
        <f aca="false">Sens!$E$9062+(glt_ind-Sens!$E$9062)*MIN(1,(Sens!H9012-base_fy)/n_conv)</f>
        <v>0.0873429440191127</v>
      </c>
      <c r="I9062" s="7" t="n">
        <f aca="false">Sens!$E$9062+(glt_ind-Sens!$E$9062)*MIN(1,(Sens!I9012-base_fy)/n_conv)</f>
        <v>0.0815619626794085</v>
      </c>
      <c r="J9062" s="7" t="n">
        <f aca="false">Sens!$E$9062+(glt_ind-Sens!$E$9062)*MIN(1,(Sens!J9012-base_fy)/n_conv)</f>
        <v>0.0757809813397042</v>
      </c>
      <c r="K9062" s="7" t="n">
        <f aca="false">Sens!$E$9062+(glt_ind-Sens!$E$9062)*MIN(1,(Sens!K9012-base_fy)/n_conv)</f>
        <v>0.07</v>
      </c>
    </row>
    <row r="9063" customFormat="false" ht="15" hidden="false" customHeight="false" outlineLevel="0" collapsed="false">
      <c r="A9063" s="0" t="s">
        <v>876</v>
      </c>
      <c r="B9063" s="0" t="s">
        <v>98</v>
      </c>
      <c r="D9063" s="6" t="n">
        <f aca="false">Q!L10</f>
        <v>7.76</v>
      </c>
      <c r="E9063" s="6" t="n">
        <f aca="false">Q!M10</f>
        <v>8.26</v>
      </c>
      <c r="F9063" s="6" t="n">
        <f aca="false">Sens!E9063*(1+Sens!F9064)</f>
        <v>8.79988041237113</v>
      </c>
      <c r="G9063" s="6" t="n">
        <f aca="false">Sens!F9063*(1+Sens!G9064)</f>
        <v>9.38321269125306</v>
      </c>
      <c r="H9063" s="6" t="n">
        <f aca="false">Sens!G9063*(1+Sens!H9064)</f>
        <v>10.0139193587476</v>
      </c>
      <c r="I9063" s="6" t="n">
        <f aca="false">Sens!H9063*(1+Sens!I9064)</f>
        <v>10.6963111830911</v>
      </c>
      <c r="J9063" s="6" t="n">
        <f aca="false">Sens!I9063*(1+Sens!J9064)</f>
        <v>11.4351285534696</v>
      </c>
      <c r="K9063" s="6" t="n">
        <f aca="false">Sens!J9063*(1+Sens!K9064)</f>
        <v>12.2355875522124</v>
      </c>
    </row>
    <row r="9064" customFormat="false" ht="15" hidden="false" customHeight="false" outlineLevel="0" collapsed="false">
      <c r="A9064" s="1" t="s">
        <v>866</v>
      </c>
      <c r="B9064" s="0" t="s">
        <v>129</v>
      </c>
      <c r="E9064" s="7" t="n">
        <f aca="false">Sens!E9063/Sens!D9063-1</f>
        <v>0.0644329896907216</v>
      </c>
      <c r="F9064" s="7" t="n">
        <f aca="false">Sens!$E$9064+(glt_fro-Sens!$E$9064)*MIN(1,(Sens!F9012-base_fy)/n_conv)</f>
        <v>0.065360824742268</v>
      </c>
      <c r="G9064" s="7" t="n">
        <f aca="false">Sens!$E$9064+(glt_fro-Sens!$E$9064)*MIN(1,(Sens!G9012-base_fy)/n_conv)</f>
        <v>0.0662886597938144</v>
      </c>
      <c r="H9064" s="7" t="n">
        <f aca="false">Sens!$E$9064+(glt_fro-Sens!$E$9064)*MIN(1,(Sens!H9012-base_fy)/n_conv)</f>
        <v>0.0672164948453608</v>
      </c>
      <c r="I9064" s="7" t="n">
        <f aca="false">Sens!$E$9064+(glt_fro-Sens!$E$9064)*MIN(1,(Sens!I9012-base_fy)/n_conv)</f>
        <v>0.0681443298969072</v>
      </c>
      <c r="J9064" s="7" t="n">
        <f aca="false">Sens!$E$9064+(glt_fro-Sens!$E$9064)*MIN(1,(Sens!J9012-base_fy)/n_conv)</f>
        <v>0.0690721649484536</v>
      </c>
      <c r="K9064" s="7" t="n">
        <f aca="false">Sens!$E$9064+(glt_fro-Sens!$E$9064)*MIN(1,(Sens!K9012-base_fy)/n_conv)</f>
        <v>0.07</v>
      </c>
    </row>
    <row r="9065" customFormat="false" ht="15" hidden="false" customHeight="false" outlineLevel="0" collapsed="false">
      <c r="A9065" s="0" t="s">
        <v>704</v>
      </c>
      <c r="B9065" s="0" t="s">
        <v>98</v>
      </c>
      <c r="D9065" s="6" t="n">
        <f aca="false">Sens!D9053+Sens!D9058+Sens!D9059+Sens!D9061+Sens!D9063</f>
        <v>218.783</v>
      </c>
      <c r="E9065" s="6" t="n">
        <f aca="false">Sens!E9053+Sens!E9058+Sens!E9059+Sens!E9061+Sens!E9063</f>
        <v>268.127</v>
      </c>
      <c r="F9065" s="6" t="n">
        <f aca="false">Sens!F9053+Sens!F9058+Sens!F9059+Sens!F9061+Sens!F9063</f>
        <v>328.363433064856</v>
      </c>
      <c r="G9065" s="6" t="n">
        <f aca="false">Sens!G9053+Sens!G9058+Sens!G9059+Sens!G9061+Sens!G9063</f>
        <v>389.269865673274</v>
      </c>
      <c r="H9065" s="6" t="n">
        <f aca="false">Sens!H9053+Sens!H9058+Sens!H9059+Sens!H9061+Sens!H9063</f>
        <v>445.756320871193</v>
      </c>
      <c r="I9065" s="6" t="n">
        <f aca="false">Sens!I9053+Sens!I9058+Sens!I9059+Sens!I9061+Sens!I9063</f>
        <v>504.701226245492</v>
      </c>
      <c r="J9065" s="6" t="n">
        <f aca="false">Sens!J9053+Sens!J9058+Sens!J9059+Sens!J9061+Sens!J9063</f>
        <v>553.514968064502</v>
      </c>
      <c r="K9065" s="6" t="n">
        <f aca="false">Sens!K9053+Sens!K9058+Sens!K9059+Sens!K9061+Sens!K9063</f>
        <v>592.539823703865</v>
      </c>
    </row>
    <row r="9066" customFormat="false" ht="15" hidden="false" customHeight="false" outlineLevel="0" collapsed="false">
      <c r="A9066" s="0" t="s">
        <v>877</v>
      </c>
      <c r="B9066" s="0" t="s">
        <v>98</v>
      </c>
      <c r="D9066" s="6" t="n">
        <f aca="false">Q!L13</f>
        <v>22.171</v>
      </c>
      <c r="E9066" s="6" t="n">
        <f aca="false">Q!M13</f>
        <v>24.835</v>
      </c>
      <c r="F9066" s="6" t="n">
        <f aca="false">Sens!E9066*(1+Sens!F9067)</f>
        <v>27.4873151218559</v>
      </c>
      <c r="G9066" s="6" t="n">
        <f aca="false">Sens!F9066*(1+Sens!G9067)</f>
        <v>30.0556741721455</v>
      </c>
      <c r="H9066" s="6" t="n">
        <f aca="false">Sens!G9066*(1+Sens!H9067)</f>
        <v>32.4624869022303</v>
      </c>
      <c r="I9066" s="6" t="n">
        <f aca="false">Sens!H9066*(1+Sens!I9067)</f>
        <v>34.6283511524715</v>
      </c>
      <c r="J9066" s="6" t="n">
        <f aca="false">Sens!I9066*(1+Sens!J9067)</f>
        <v>36.476102435307</v>
      </c>
      <c r="K9066" s="6" t="n">
        <f aca="false">Sens!J9066*(1+Sens!K9067)</f>
        <v>37.9351465327193</v>
      </c>
    </row>
    <row r="9067" customFormat="false" ht="15" hidden="false" customHeight="false" outlineLevel="0" collapsed="false">
      <c r="A9067" s="1" t="s">
        <v>866</v>
      </c>
      <c r="B9067" s="0" t="s">
        <v>129</v>
      </c>
      <c r="E9067" s="7" t="n">
        <f aca="false">Sens!E9066/Sens!D9066-1</f>
        <v>0.120156961796942</v>
      </c>
      <c r="F9067" s="7" t="n">
        <f aca="false">Sens!$E$9067+(glt_srch_lo-Sens!$E$9067)*MIN(1,(Sens!F9012-base_fy)/n_conv)</f>
        <v>0.106797468164118</v>
      </c>
      <c r="G9067" s="7" t="n">
        <f aca="false">Sens!$E$9067+(glt_srch_lo-Sens!$E$9067)*MIN(1,(Sens!G9012-base_fy)/n_conv)</f>
        <v>0.0934379745312947</v>
      </c>
      <c r="H9067" s="7" t="n">
        <f aca="false">Sens!$E$9067+(glt_srch_lo-Sens!$E$9067)*MIN(1,(Sens!H9012-base_fy)/n_conv)</f>
        <v>0.080078480898471</v>
      </c>
      <c r="I9067" s="7" t="n">
        <f aca="false">Sens!$E$9067+(glt_srch_lo-Sens!$E$9067)*MIN(1,(Sens!I9012-base_fy)/n_conv)</f>
        <v>0.0667189872656473</v>
      </c>
      <c r="J9067" s="7" t="n">
        <f aca="false">Sens!$E$9067+(glt_srch_lo-Sens!$E$9067)*MIN(1,(Sens!J9012-base_fy)/n_conv)</f>
        <v>0.0533594936328237</v>
      </c>
      <c r="K9067" s="7" t="n">
        <f aca="false">Sens!$E$9067+(glt_srch_lo-Sens!$E$9067)*MIN(1,(Sens!K9012-base_fy)/n_conv)</f>
        <v>0.04</v>
      </c>
    </row>
    <row r="9068" customFormat="false" ht="15" hidden="false" customHeight="false" outlineLevel="0" collapsed="false">
      <c r="A9068" s="0" t="s">
        <v>878</v>
      </c>
      <c r="B9068" s="0" t="s">
        <v>98</v>
      </c>
      <c r="D9068" s="6" t="n">
        <f aca="false">Q!L14</f>
        <v>23.455</v>
      </c>
      <c r="E9068" s="6" t="n">
        <f aca="false">Q!M14</f>
        <v>21.79</v>
      </c>
      <c r="F9068" s="6" t="n">
        <f aca="false">Sens!E9068*(1+Sens!F9069)</f>
        <v>20.5736277908051</v>
      </c>
      <c r="G9068" s="6" t="n">
        <f aca="false">Sens!F9068*(1+Sens!G9069)</f>
        <v>19.7371452817919</v>
      </c>
      <c r="H9068" s="6" t="n">
        <f aca="false">Sens!G9068*(1+Sens!H9069)</f>
        <v>19.2339764043138</v>
      </c>
      <c r="I9068" s="6" t="n">
        <f aca="false">Sens!H9068*(1+Sens!I9069)</f>
        <v>19.0353086852681</v>
      </c>
      <c r="J9068" s="6" t="n">
        <f aca="false">Sens!I9068*(1+Sens!J9069)</f>
        <v>19.1273539319129</v>
      </c>
      <c r="K9068" s="6" t="n">
        <f aca="false">Sens!J9068*(1+Sens!K9069)</f>
        <v>19.5099010105511</v>
      </c>
    </row>
    <row r="9069" customFormat="false" ht="15" hidden="false" customHeight="false" outlineLevel="0" collapsed="false">
      <c r="A9069" s="1" t="s">
        <v>866</v>
      </c>
      <c r="B9069" s="0" t="s">
        <v>129</v>
      </c>
      <c r="E9069" s="7" t="n">
        <f aca="false">Sens!E9068/Sens!D9068-1</f>
        <v>-0.0709869963760392</v>
      </c>
      <c r="F9069" s="7" t="n">
        <f aca="false">Sens!$E$9069+(glt_xbox-Sens!$E$9069)*MIN(1,(Sens!F9012-base_fy)/n_conv)</f>
        <v>-0.0558224969800327</v>
      </c>
      <c r="G9069" s="7" t="n">
        <f aca="false">Sens!$E$9069+(glt_xbox-Sens!$E$9069)*MIN(1,(Sens!G9012-base_fy)/n_conv)</f>
        <v>-0.0406579975840262</v>
      </c>
      <c r="H9069" s="7" t="n">
        <f aca="false">Sens!$E$9069+(glt_xbox-Sens!$E$9069)*MIN(1,(Sens!H9012-base_fy)/n_conv)</f>
        <v>-0.0254934981880196</v>
      </c>
      <c r="I9069" s="7" t="n">
        <f aca="false">Sens!$E$9069+(glt_xbox-Sens!$E$9069)*MIN(1,(Sens!I9012-base_fy)/n_conv)</f>
        <v>-0.0103289987920131</v>
      </c>
      <c r="J9069" s="7" t="n">
        <f aca="false">Sens!$E$9069+(glt_xbox-Sens!$E$9069)*MIN(1,(Sens!J9012-base_fy)/n_conv)</f>
        <v>0.00483550060399347</v>
      </c>
      <c r="K9069" s="7" t="n">
        <f aca="false">Sens!$E$9069+(glt_xbox-Sens!$E$9069)*MIN(1,(Sens!K9012-base_fy)/n_conv)</f>
        <v>0.02</v>
      </c>
    </row>
    <row r="9070" customFormat="false" ht="15" hidden="false" customHeight="false" outlineLevel="0" collapsed="false">
      <c r="A9070" s="0" t="s">
        <v>879</v>
      </c>
      <c r="B9070" s="0" t="s">
        <v>98</v>
      </c>
      <c r="D9070" s="6" t="n">
        <f aca="false">Q!L15</f>
        <v>17.315</v>
      </c>
      <c r="E9070" s="6" t="n">
        <f aca="false">Q!M15</f>
        <v>17.087</v>
      </c>
      <c r="F9070" s="6" t="n">
        <f aca="false">Sens!E9070*(1+Sens!F9071)</f>
        <v>16.9564585436519</v>
      </c>
      <c r="G9070" s="6" t="n">
        <f aca="false">Sens!F9070*(1+Sens!G9071)</f>
        <v>16.9206490624268</v>
      </c>
      <c r="H9070" s="6" t="n">
        <f aca="false">Sens!G9070*(1+Sens!H9071)</f>
        <v>16.9784519149849</v>
      </c>
      <c r="I9070" s="6" t="n">
        <f aca="false">Sens!H9070*(1+Sens!I9071)</f>
        <v>17.1303084701817</v>
      </c>
      <c r="J9070" s="6" t="n">
        <f aca="false">Sens!I9070*(1+Sens!J9071)</f>
        <v>17.3782189407267</v>
      </c>
      <c r="K9070" s="6" t="n">
        <f aca="false">Sens!J9070*(1+Sens!K9071)</f>
        <v>17.7257833195413</v>
      </c>
    </row>
    <row r="9071" customFormat="false" ht="15" hidden="false" customHeight="false" outlineLevel="0" collapsed="false">
      <c r="A9071" s="1" t="s">
        <v>866</v>
      </c>
      <c r="B9071" s="0" t="s">
        <v>129</v>
      </c>
      <c r="E9071" s="7" t="n">
        <f aca="false">Sens!E9070/Sens!D9070-1</f>
        <v>-0.0131677736066995</v>
      </c>
      <c r="F9071" s="7" t="n">
        <f aca="false">Sens!$E$9071+(glt_win-Sens!$E$9071)*MIN(1,(Sens!F9012-base_fy)/n_conv)</f>
        <v>-0.00763981133891627</v>
      </c>
      <c r="G9071" s="7" t="n">
        <f aca="false">Sens!$E$9071+(glt_win-Sens!$E$9071)*MIN(1,(Sens!G9012-base_fy)/n_conv)</f>
        <v>-0.00211184907113301</v>
      </c>
      <c r="H9071" s="7" t="n">
        <f aca="false">Sens!$E$9071+(glt_win-Sens!$E$9071)*MIN(1,(Sens!H9012-base_fy)/n_conv)</f>
        <v>0.00341611319665024</v>
      </c>
      <c r="I9071" s="7" t="n">
        <f aca="false">Sens!$E$9071+(glt_win-Sens!$E$9071)*MIN(1,(Sens!I9012-base_fy)/n_conv)</f>
        <v>0.00894407546443349</v>
      </c>
      <c r="J9071" s="7" t="n">
        <f aca="false">Sens!$E$9071+(glt_win-Sens!$E$9071)*MIN(1,(Sens!J9012-base_fy)/n_conv)</f>
        <v>0.0144720377322168</v>
      </c>
      <c r="K9071" s="7" t="n">
        <f aca="false">Sens!$E$9071+(glt_win-Sens!$E$9071)*MIN(1,(Sens!K9012-base_fy)/n_conv)</f>
        <v>0.02</v>
      </c>
    </row>
    <row r="9072" customFormat="false" ht="15" hidden="false" customHeight="false" outlineLevel="0" collapsed="false">
      <c r="A9072" s="0" t="s">
        <v>718</v>
      </c>
      <c r="B9072" s="0" t="s">
        <v>98</v>
      </c>
      <c r="D9072" s="6" t="n">
        <f aca="false">Sens!D9066+Sens!D9068+Sens!D9070</f>
        <v>62.941</v>
      </c>
      <c r="E9072" s="6" t="n">
        <f aca="false">Sens!E9066+Sens!E9068+Sens!E9070</f>
        <v>63.712</v>
      </c>
      <c r="F9072" s="6" t="n">
        <f aca="false">Sens!F9066+Sens!F9068+Sens!F9070</f>
        <v>65.0174014563129</v>
      </c>
      <c r="G9072" s="6" t="n">
        <f aca="false">Sens!G9066+Sens!G9068+Sens!G9070</f>
        <v>66.7134685163642</v>
      </c>
      <c r="H9072" s="6" t="n">
        <f aca="false">Sens!H9066+Sens!H9068+Sens!H9070</f>
        <v>68.6749152215291</v>
      </c>
      <c r="I9072" s="6" t="n">
        <f aca="false">Sens!I9066+Sens!I9068+Sens!I9070</f>
        <v>70.7939683079213</v>
      </c>
      <c r="J9072" s="6" t="n">
        <f aca="false">Sens!J9066+Sens!J9068+Sens!J9070</f>
        <v>72.9816753079466</v>
      </c>
      <c r="K9072" s="6" t="n">
        <f aca="false">Sens!K9066+Sens!K9068+Sens!K9070</f>
        <v>75.1708308628117</v>
      </c>
    </row>
    <row r="9073" customFormat="false" ht="15" hidden="false" customHeight="false" outlineLevel="0" collapsed="false">
      <c r="A9073" s="1" t="s">
        <v>880</v>
      </c>
      <c r="B9073" s="0" t="s">
        <v>98</v>
      </c>
      <c r="D9073" s="6" t="n">
        <f aca="false">Sens!D9065+Sens!D9072</f>
        <v>281.724</v>
      </c>
      <c r="E9073" s="6" t="n">
        <f aca="false">Sens!E9065+Sens!E9072</f>
        <v>331.839</v>
      </c>
      <c r="F9073" s="6" t="n">
        <f aca="false">Sens!F9065+Sens!F9072</f>
        <v>393.380834521169</v>
      </c>
      <c r="G9073" s="6" t="n">
        <f aca="false">Sens!G9065+Sens!G9072</f>
        <v>455.983334189638</v>
      </c>
      <c r="H9073" s="6" t="n">
        <f aca="false">Sens!H9065+Sens!H9072</f>
        <v>514.431236092722</v>
      </c>
      <c r="I9073" s="6" t="n">
        <f aca="false">Sens!I9065+Sens!I9072</f>
        <v>575.495194553414</v>
      </c>
      <c r="J9073" s="6" t="n">
        <f aca="false">Sens!J9065+Sens!J9072</f>
        <v>626.496643372448</v>
      </c>
      <c r="K9073" s="6" t="n">
        <f aca="false">Sens!K9065+Sens!K9072</f>
        <v>667.710654566676</v>
      </c>
    </row>
    <row r="9074" customFormat="false" ht="15" hidden="false" customHeight="false" outlineLevel="0" collapsed="false">
      <c r="A9074" s="23" t="s">
        <v>881</v>
      </c>
      <c r="B9074" s="30" t="s">
        <v>98</v>
      </c>
      <c r="C9074" s="30"/>
      <c r="D9074" s="24" t="n">
        <f aca="false">(Sens!D9053+Sens!D9058+Sens!D9059+Sens!D9061+Sens!D9063-Sens!D9065)+(Sens!D9066+Sens!D9068+Sens!D9070-Sens!D9072)+(Sens!D9065-Q!L5)+(Sens!D9072-Q!L12)+(Sens!D9053-Q!L6)+(Sens!D9058-Q!L7)</f>
        <v>0</v>
      </c>
      <c r="E9074" s="24" t="n">
        <f aca="false">(Sens!E9053+Sens!E9058+Sens!E9059+Sens!E9061+Sens!E9063-Sens!E9065)+(Sens!E9066+Sens!E9068+Sens!E9070-Sens!E9072)+(Sens!E9065-Q!M5)+(Sens!E9072-Q!M12)+(Sens!E9053-Q!M6)+(Sens!E9058-Q!M7)</f>
        <v>0</v>
      </c>
      <c r="F9074" s="24" t="n">
        <f aca="false">(Sens!F9053+Sens!F9058+Sens!F9059+Sens!F9061+Sens!F9063-Sens!F9065)+(Sens!F9066+Sens!F9068+Sens!F9070-Sens!F9072)</f>
        <v>0</v>
      </c>
      <c r="G9074" s="24" t="n">
        <f aca="false">(Sens!G9053+Sens!G9058+Sens!G9059+Sens!G9061+Sens!G9063-Sens!G9065)+(Sens!G9066+Sens!G9068+Sens!G9070-Sens!G9072)</f>
        <v>0</v>
      </c>
      <c r="H9074" s="24" t="n">
        <f aca="false">(Sens!H9053+Sens!H9058+Sens!H9059+Sens!H9061+Sens!H9063-Sens!H9065)+(Sens!H9066+Sens!H9068+Sens!H9070-Sens!H9072)</f>
        <v>0</v>
      </c>
      <c r="I9074" s="24" t="n">
        <f aca="false">(Sens!I9053+Sens!I9058+Sens!I9059+Sens!I9061+Sens!I9063-Sens!I9065)+(Sens!I9066+Sens!I9068+Sens!I9070-Sens!I9072)</f>
        <v>0</v>
      </c>
      <c r="J9074" s="24" t="n">
        <f aca="false">(Sens!J9053+Sens!J9058+Sens!J9059+Sens!J9061+Sens!J9063-Sens!J9065)+(Sens!J9066+Sens!J9068+Sens!J9070-Sens!J9072)</f>
        <v>0</v>
      </c>
      <c r="K9074" s="24" t="n">
        <f aca="false">(Sens!K9053+Sens!K9058+Sens!K9059+Sens!K9061+Sens!K9063-Sens!K9065)+(Sens!K9066+Sens!K9068+Sens!K9070-Sens!K9072)</f>
        <v>0</v>
      </c>
    </row>
    <row r="9075" customFormat="false" ht="17.15" hidden="false" customHeight="false" outlineLevel="0" collapsed="false">
      <c r="A9075" s="3" t="s">
        <v>1471</v>
      </c>
    </row>
    <row r="9076" customFormat="false" ht="15" hidden="false" customHeight="false" outlineLevel="0" collapsed="false">
      <c r="A9076" s="4" t="s">
        <v>43</v>
      </c>
      <c r="B9076" s="4" t="s">
        <v>65</v>
      </c>
      <c r="C9076" s="20" t="s">
        <v>788</v>
      </c>
      <c r="D9076" s="20" t="s">
        <v>789</v>
      </c>
      <c r="E9076" s="20" t="s">
        <v>790</v>
      </c>
      <c r="F9076" s="20" t="s">
        <v>791</v>
      </c>
      <c r="G9076" s="20" t="s">
        <v>792</v>
      </c>
      <c r="H9076" s="20" t="s">
        <v>793</v>
      </c>
      <c r="I9076" s="20" t="s">
        <v>794</v>
      </c>
      <c r="J9076" s="20" t="s">
        <v>795</v>
      </c>
      <c r="K9076" s="20" t="s">
        <v>796</v>
      </c>
      <c r="L9076" s="4" t="s">
        <v>47</v>
      </c>
    </row>
    <row r="9077" customFormat="false" ht="15" hidden="false" customHeight="false" outlineLevel="0" collapsed="false">
      <c r="A9077" s="0" t="s">
        <v>867</v>
      </c>
      <c r="B9077" s="0" t="s">
        <v>98</v>
      </c>
      <c r="D9077" s="6" t="n">
        <f aca="false">Sens!D9053</f>
        <v>72.61</v>
      </c>
      <c r="E9077" s="6" t="n">
        <f aca="false">Sens!E9053</f>
        <v>101.938</v>
      </c>
      <c r="F9077" s="6" t="n">
        <f aca="false">Sens!F9053</f>
        <v>140.741861125673</v>
      </c>
      <c r="G9077" s="6" t="n">
        <f aca="false">Sens!G9053</f>
        <v>182.176709135845</v>
      </c>
      <c r="H9077" s="6" t="n">
        <f aca="false">Sens!H9053</f>
        <v>219.167638189678</v>
      </c>
      <c r="I9077" s="6" t="n">
        <f aca="false">Sens!I9053</f>
        <v>259.639871266006</v>
      </c>
      <c r="J9077" s="6" t="n">
        <f aca="false">Sens!J9053</f>
        <v>291.324070960333</v>
      </c>
      <c r="K9077" s="6" t="n">
        <f aca="false">Sens!K9053</f>
        <v>314.145754363688</v>
      </c>
    </row>
    <row r="9078" customFormat="false" ht="17.15" hidden="false" customHeight="false" outlineLevel="0" collapsed="false">
      <c r="A9078" s="0" t="s">
        <v>864</v>
      </c>
      <c r="B9078" s="0" t="s">
        <v>98</v>
      </c>
      <c r="D9078" s="6" t="n">
        <f aca="false">Sens!D9050</f>
        <v>12.9359794422418</v>
      </c>
      <c r="E9078" s="6" t="n">
        <f aca="false">Sens!E9050</f>
        <v>27.8095064661409</v>
      </c>
      <c r="F9078" s="6" t="n">
        <f aca="false">Sens!F9050</f>
        <v>50.6619113883066</v>
      </c>
      <c r="G9078" s="6" t="n">
        <f aca="false">Sens!G9050</f>
        <v>75.1482839325348</v>
      </c>
      <c r="H9078" s="6" t="n">
        <f aca="false">Sens!H9050</f>
        <v>94.895655604042</v>
      </c>
      <c r="I9078" s="6" t="n">
        <f aca="false">Sens!I9050</f>
        <v>118.706168884151</v>
      </c>
      <c r="J9078" s="6" t="n">
        <f aca="false">Sens!J9050</f>
        <v>135.305203646001</v>
      </c>
      <c r="K9078" s="6" t="n">
        <f aca="false">Sens!K9050</f>
        <v>145.64537766421</v>
      </c>
    </row>
    <row r="9079" customFormat="false" ht="17.15" hidden="false" customHeight="false" outlineLevel="0" collapsed="false">
      <c r="A9079" s="0" t="s">
        <v>892</v>
      </c>
      <c r="B9079" s="0" t="s">
        <v>98</v>
      </c>
      <c r="D9079" s="6" t="n">
        <f aca="false">Sens!D9051</f>
        <v>59.6740205577583</v>
      </c>
      <c r="E9079" s="6" t="n">
        <f aca="false">Sens!E9051</f>
        <v>74.1284935338591</v>
      </c>
      <c r="F9079" s="6" t="n">
        <f aca="false">Sens!F9051</f>
        <v>90.0799497373663</v>
      </c>
      <c r="G9079" s="6" t="n">
        <f aca="false">Sens!G9051</f>
        <v>107.02842520331</v>
      </c>
      <c r="H9079" s="6" t="n">
        <f aca="false">Sens!H9051</f>
        <v>124.271982585636</v>
      </c>
      <c r="I9079" s="6" t="n">
        <f aca="false">Sens!I9051</f>
        <v>140.933702381855</v>
      </c>
      <c r="J9079" s="6" t="n">
        <f aca="false">Sens!J9051</f>
        <v>156.018867314332</v>
      </c>
      <c r="K9079" s="6" t="n">
        <f aca="false">Sens!K9051</f>
        <v>168.500376699478</v>
      </c>
    </row>
    <row r="9080" customFormat="false" ht="15" hidden="false" customHeight="false" outlineLevel="0" collapsed="false">
      <c r="A9080" s="0" t="s">
        <v>873</v>
      </c>
      <c r="B9080" s="0" t="s">
        <v>98</v>
      </c>
      <c r="D9080" s="6" t="n">
        <f aca="false">Sens!D9058</f>
        <v>84.605</v>
      </c>
      <c r="E9080" s="6" t="n">
        <f aca="false">Sens!E9058</f>
        <v>100.299</v>
      </c>
      <c r="F9080" s="6" t="n">
        <f aca="false">Sens!F9058</f>
        <v>117.39238776686</v>
      </c>
      <c r="G9080" s="6" t="n">
        <f aca="false">Sens!G9058</f>
        <v>132.544168448684</v>
      </c>
      <c r="H9080" s="6" t="n">
        <f aca="false">Sens!H9058</f>
        <v>147.777359388781</v>
      </c>
      <c r="I9080" s="6" t="n">
        <f aca="false">Sens!I9058</f>
        <v>162.084028071957</v>
      </c>
      <c r="J9080" s="6" t="n">
        <f aca="false">Sens!J9058</f>
        <v>175.182702785465</v>
      </c>
      <c r="K9080" s="6" t="n">
        <f aca="false">Sens!K9058</f>
        <v>187.527991980448</v>
      </c>
    </row>
    <row r="9081" customFormat="false" ht="17.15" hidden="false" customHeight="false" outlineLevel="0" collapsed="false">
      <c r="A9081" s="0" t="s">
        <v>893</v>
      </c>
      <c r="B9081" s="0" t="s">
        <v>98</v>
      </c>
      <c r="D9081" s="6" t="n">
        <f aca="false">Sens!D9056</f>
        <v>83.705</v>
      </c>
      <c r="E9081" s="6" t="n">
        <f aca="false">Sens!E9056</f>
        <v>95.049</v>
      </c>
      <c r="F9081" s="6" t="n">
        <f aca="false">Sens!F9056</f>
        <v>106.89238776686</v>
      </c>
      <c r="G9081" s="6" t="n">
        <f aca="false">Sens!G9056</f>
        <v>119.044168448684</v>
      </c>
      <c r="H9081" s="6" t="n">
        <f aca="false">Sens!H9056</f>
        <v>131.277359388781</v>
      </c>
      <c r="I9081" s="6" t="n">
        <f aca="false">Sens!I9056</f>
        <v>143.334028071957</v>
      </c>
      <c r="J9081" s="6" t="n">
        <f aca="false">Sens!J9056</f>
        <v>154.932702785465</v>
      </c>
      <c r="K9081" s="6" t="n">
        <f aca="false">Sens!K9056</f>
        <v>165.777991980448</v>
      </c>
    </row>
    <row r="9082" customFormat="false" ht="17.15" hidden="false" customHeight="false" outlineLevel="0" collapsed="false">
      <c r="A9082" s="0" t="s">
        <v>894</v>
      </c>
      <c r="B9082" s="0" t="s">
        <v>98</v>
      </c>
      <c r="D9082" s="6" t="n">
        <f aca="false">Sens!D9055</f>
        <v>0.9</v>
      </c>
      <c r="E9082" s="6" t="n">
        <f aca="false">Sens!E9055</f>
        <v>5.25</v>
      </c>
      <c r="F9082" s="6" t="n">
        <f aca="false">Sens!F9055</f>
        <v>10.5</v>
      </c>
      <c r="G9082" s="6" t="n">
        <f aca="false">Sens!G9055</f>
        <v>13.5</v>
      </c>
      <c r="H9082" s="6" t="n">
        <f aca="false">Sens!H9055</f>
        <v>16.5</v>
      </c>
      <c r="I9082" s="6" t="n">
        <f aca="false">Sens!I9055</f>
        <v>18.75</v>
      </c>
      <c r="J9082" s="6" t="n">
        <f aca="false">Sens!J9055</f>
        <v>20.25</v>
      </c>
      <c r="K9082" s="6" t="n">
        <f aca="false">Sens!K9055</f>
        <v>21.75</v>
      </c>
    </row>
    <row r="9083" customFormat="false" ht="15" hidden="false" customHeight="false" outlineLevel="0" collapsed="false">
      <c r="A9083" s="0" t="s">
        <v>874</v>
      </c>
      <c r="B9083" s="0" t="s">
        <v>98</v>
      </c>
      <c r="D9083" s="6" t="n">
        <f aca="false">Sens!D9059</f>
        <v>35.391</v>
      </c>
      <c r="E9083" s="6" t="n">
        <f aca="false">Sens!E9059</f>
        <v>37.285</v>
      </c>
      <c r="F9083" s="6" t="n">
        <f aca="false">Sens!F9059</f>
        <v>39.0720834331704</v>
      </c>
      <c r="G9083" s="6" t="n">
        <f aca="false">Sens!G9059</f>
        <v>40.726562953769</v>
      </c>
      <c r="H9083" s="6" t="n">
        <f aca="false">Sens!H9059</f>
        <v>42.2235987259198</v>
      </c>
      <c r="I9083" s="6" t="n">
        <f aca="false">Sens!I9059</f>
        <v>43.5397988077414</v>
      </c>
      <c r="J9083" s="6" t="n">
        <f aca="false">Sens!J9059</f>
        <v>44.653811225693</v>
      </c>
      <c r="K9083" s="6" t="n">
        <f aca="false">Sens!K9059</f>
        <v>45.5468874502068</v>
      </c>
    </row>
    <row r="9084" customFormat="false" ht="15" hidden="false" customHeight="false" outlineLevel="0" collapsed="false">
      <c r="A9084" s="0" t="s">
        <v>875</v>
      </c>
      <c r="B9084" s="0" t="s">
        <v>98</v>
      </c>
      <c r="D9084" s="6" t="n">
        <f aca="false">Sens!D9061</f>
        <v>18.417</v>
      </c>
      <c r="E9084" s="6" t="n">
        <f aca="false">Sens!E9061</f>
        <v>20.345</v>
      </c>
      <c r="F9084" s="6" t="n">
        <f aca="false">Sens!F9061</f>
        <v>22.3572203267814</v>
      </c>
      <c r="G9084" s="6" t="n">
        <f aca="false">Sens!G9061</f>
        <v>24.4392124437232</v>
      </c>
      <c r="H9084" s="6" t="n">
        <f aca="false">Sens!H9061</f>
        <v>26.5738052080665</v>
      </c>
      <c r="I9084" s="6" t="n">
        <f aca="false">Sens!I9061</f>
        <v>28.7412169166967</v>
      </c>
      <c r="J9084" s="6" t="n">
        <f aca="false">Sens!J9061</f>
        <v>30.9192545395413</v>
      </c>
      <c r="K9084" s="6" t="n">
        <f aca="false">Sens!K9061</f>
        <v>33.0836023573092</v>
      </c>
    </row>
    <row r="9085" customFormat="false" ht="15" hidden="false" customHeight="false" outlineLevel="0" collapsed="false">
      <c r="A9085" s="0" t="s">
        <v>876</v>
      </c>
      <c r="B9085" s="0" t="s">
        <v>98</v>
      </c>
      <c r="D9085" s="6" t="n">
        <f aca="false">Sens!D9063</f>
        <v>7.76</v>
      </c>
      <c r="E9085" s="6" t="n">
        <f aca="false">Sens!E9063</f>
        <v>8.26</v>
      </c>
      <c r="F9085" s="6" t="n">
        <f aca="false">Sens!F9063</f>
        <v>8.79988041237113</v>
      </c>
      <c r="G9085" s="6" t="n">
        <f aca="false">Sens!G9063</f>
        <v>9.38321269125306</v>
      </c>
      <c r="H9085" s="6" t="n">
        <f aca="false">Sens!H9063</f>
        <v>10.0139193587476</v>
      </c>
      <c r="I9085" s="6" t="n">
        <f aca="false">Sens!I9063</f>
        <v>10.6963111830911</v>
      </c>
      <c r="J9085" s="6" t="n">
        <f aca="false">Sens!J9063</f>
        <v>11.4351285534696</v>
      </c>
      <c r="K9085" s="6" t="n">
        <f aca="false">Sens!K9063</f>
        <v>12.2355875522124</v>
      </c>
    </row>
    <row r="9086" customFormat="false" ht="15" hidden="false" customHeight="false" outlineLevel="0" collapsed="false">
      <c r="A9086" s="0" t="s">
        <v>704</v>
      </c>
      <c r="B9086" s="0" t="s">
        <v>98</v>
      </c>
      <c r="D9086" s="6" t="n">
        <f aca="false">Sens!D9065</f>
        <v>218.783</v>
      </c>
      <c r="E9086" s="6" t="n">
        <f aca="false">Sens!E9065</f>
        <v>268.127</v>
      </c>
      <c r="F9086" s="6" t="n">
        <f aca="false">Sens!F9065</f>
        <v>328.363433064856</v>
      </c>
      <c r="G9086" s="6" t="n">
        <f aca="false">Sens!G9065</f>
        <v>389.269865673274</v>
      </c>
      <c r="H9086" s="6" t="n">
        <f aca="false">Sens!H9065</f>
        <v>445.756320871193</v>
      </c>
      <c r="I9086" s="6" t="n">
        <f aca="false">Sens!I9065</f>
        <v>504.701226245492</v>
      </c>
      <c r="J9086" s="6" t="n">
        <f aca="false">Sens!J9065</f>
        <v>553.514968064502</v>
      </c>
      <c r="K9086" s="6" t="n">
        <f aca="false">Sens!K9065</f>
        <v>592.539823703865</v>
      </c>
    </row>
    <row r="9087" customFormat="false" ht="15" hidden="false" customHeight="false" outlineLevel="0" collapsed="false">
      <c r="A9087" s="0" t="s">
        <v>877</v>
      </c>
      <c r="B9087" s="0" t="s">
        <v>98</v>
      </c>
      <c r="D9087" s="6" t="n">
        <f aca="false">Sens!D9066</f>
        <v>22.171</v>
      </c>
      <c r="E9087" s="6" t="n">
        <f aca="false">Sens!E9066</f>
        <v>24.835</v>
      </c>
      <c r="F9087" s="6" t="n">
        <f aca="false">Sens!F9066</f>
        <v>27.4873151218559</v>
      </c>
      <c r="G9087" s="6" t="n">
        <f aca="false">Sens!G9066</f>
        <v>30.0556741721455</v>
      </c>
      <c r="H9087" s="6" t="n">
        <f aca="false">Sens!H9066</f>
        <v>32.4624869022303</v>
      </c>
      <c r="I9087" s="6" t="n">
        <f aca="false">Sens!I9066</f>
        <v>34.6283511524715</v>
      </c>
      <c r="J9087" s="6" t="n">
        <f aca="false">Sens!J9066</f>
        <v>36.476102435307</v>
      </c>
      <c r="K9087" s="6" t="n">
        <f aca="false">Sens!K9066</f>
        <v>37.9351465327193</v>
      </c>
    </row>
    <row r="9088" customFormat="false" ht="15" hidden="false" customHeight="false" outlineLevel="0" collapsed="false">
      <c r="A9088" s="0" t="s">
        <v>878</v>
      </c>
      <c r="B9088" s="0" t="s">
        <v>98</v>
      </c>
      <c r="D9088" s="6" t="n">
        <f aca="false">Sens!D9068</f>
        <v>23.455</v>
      </c>
      <c r="E9088" s="6" t="n">
        <f aca="false">Sens!E9068</f>
        <v>21.79</v>
      </c>
      <c r="F9088" s="6" t="n">
        <f aca="false">Sens!F9068</f>
        <v>20.5736277908051</v>
      </c>
      <c r="G9088" s="6" t="n">
        <f aca="false">Sens!G9068</f>
        <v>19.7371452817919</v>
      </c>
      <c r="H9088" s="6" t="n">
        <f aca="false">Sens!H9068</f>
        <v>19.2339764043138</v>
      </c>
      <c r="I9088" s="6" t="n">
        <f aca="false">Sens!I9068</f>
        <v>19.0353086852681</v>
      </c>
      <c r="J9088" s="6" t="n">
        <f aca="false">Sens!J9068</f>
        <v>19.1273539319129</v>
      </c>
      <c r="K9088" s="6" t="n">
        <f aca="false">Sens!K9068</f>
        <v>19.5099010105511</v>
      </c>
    </row>
    <row r="9089" customFormat="false" ht="15" hidden="false" customHeight="false" outlineLevel="0" collapsed="false">
      <c r="A9089" s="0" t="s">
        <v>879</v>
      </c>
      <c r="B9089" s="0" t="s">
        <v>98</v>
      </c>
      <c r="D9089" s="6" t="n">
        <f aca="false">Sens!D9070</f>
        <v>17.315</v>
      </c>
      <c r="E9089" s="6" t="n">
        <f aca="false">Sens!E9070</f>
        <v>17.087</v>
      </c>
      <c r="F9089" s="6" t="n">
        <f aca="false">Sens!F9070</f>
        <v>16.9564585436519</v>
      </c>
      <c r="G9089" s="6" t="n">
        <f aca="false">Sens!G9070</f>
        <v>16.9206490624268</v>
      </c>
      <c r="H9089" s="6" t="n">
        <f aca="false">Sens!H9070</f>
        <v>16.9784519149849</v>
      </c>
      <c r="I9089" s="6" t="n">
        <f aca="false">Sens!I9070</f>
        <v>17.1303084701817</v>
      </c>
      <c r="J9089" s="6" t="n">
        <f aca="false">Sens!J9070</f>
        <v>17.3782189407267</v>
      </c>
      <c r="K9089" s="6" t="n">
        <f aca="false">Sens!K9070</f>
        <v>17.7257833195413</v>
      </c>
    </row>
    <row r="9090" customFormat="false" ht="15" hidden="false" customHeight="false" outlineLevel="0" collapsed="false">
      <c r="A9090" s="0" t="s">
        <v>718</v>
      </c>
      <c r="B9090" s="0" t="s">
        <v>98</v>
      </c>
      <c r="D9090" s="6" t="n">
        <f aca="false">Sens!D9072</f>
        <v>62.941</v>
      </c>
      <c r="E9090" s="6" t="n">
        <f aca="false">Sens!E9072</f>
        <v>63.712</v>
      </c>
      <c r="F9090" s="6" t="n">
        <f aca="false">Sens!F9072</f>
        <v>65.0174014563129</v>
      </c>
      <c r="G9090" s="6" t="n">
        <f aca="false">Sens!G9072</f>
        <v>66.7134685163642</v>
      </c>
      <c r="H9090" s="6" t="n">
        <f aca="false">Sens!H9072</f>
        <v>68.6749152215291</v>
      </c>
      <c r="I9090" s="6" t="n">
        <f aca="false">Sens!I9072</f>
        <v>70.7939683079213</v>
      </c>
      <c r="J9090" s="6" t="n">
        <f aca="false">Sens!J9072</f>
        <v>72.9816753079466</v>
      </c>
      <c r="K9090" s="6" t="n">
        <f aca="false">Sens!K9072</f>
        <v>75.1708308628117</v>
      </c>
    </row>
    <row r="9091" customFormat="false" ht="15" hidden="false" customHeight="false" outlineLevel="0" collapsed="false">
      <c r="A9091" s="1" t="s">
        <v>895</v>
      </c>
      <c r="B9091" s="0" t="s">
        <v>98</v>
      </c>
      <c r="D9091" s="6" t="n">
        <f aca="false">Sens!D9073</f>
        <v>281.724</v>
      </c>
      <c r="E9091" s="6" t="n">
        <f aca="false">Sens!E9073</f>
        <v>331.839</v>
      </c>
      <c r="F9091" s="6" t="n">
        <f aca="false">Sens!F9073</f>
        <v>393.380834521169</v>
      </c>
      <c r="G9091" s="6" t="n">
        <f aca="false">Sens!G9073</f>
        <v>455.983334189638</v>
      </c>
      <c r="H9091" s="6" t="n">
        <f aca="false">Sens!H9073</f>
        <v>514.431236092722</v>
      </c>
      <c r="I9091" s="6" t="n">
        <f aca="false">Sens!I9073</f>
        <v>575.495194553414</v>
      </c>
      <c r="J9091" s="6" t="n">
        <f aca="false">Sens!J9073</f>
        <v>626.496643372448</v>
      </c>
      <c r="K9091" s="6" t="n">
        <f aca="false">Sens!K9073</f>
        <v>667.710654566676</v>
      </c>
    </row>
    <row r="9092" customFormat="false" ht="15" hidden="false" customHeight="false" outlineLevel="0" collapsed="false">
      <c r="A9092" s="1" t="s">
        <v>896</v>
      </c>
      <c r="B9092" s="0" t="s">
        <v>129</v>
      </c>
      <c r="E9092" s="7" t="n">
        <f aca="false">Sens!E9091/Sens!D9091-1</f>
        <v>0.177886867998467</v>
      </c>
      <c r="F9092" s="7" t="n">
        <f aca="false">Sens!F9091/Sens!E9091-1</f>
        <v>0.185456906877036</v>
      </c>
      <c r="G9092" s="7" t="n">
        <f aca="false">Sens!G9091/Sens!F9091-1</f>
        <v>0.159139678842439</v>
      </c>
      <c r="H9092" s="7" t="n">
        <f aca="false">Sens!H9091/Sens!G9091-1</f>
        <v>0.128179908169136</v>
      </c>
      <c r="I9092" s="7" t="n">
        <f aca="false">Sens!I9091/Sens!H9091-1</f>
        <v>0.11870188700922</v>
      </c>
      <c r="J9092" s="7" t="n">
        <f aca="false">Sens!J9091/Sens!I9091-1</f>
        <v>0.0886218500201585</v>
      </c>
      <c r="K9092" s="7" t="n">
        <f aca="false">Sens!K9091/Sens!J9091-1</f>
        <v>0.065784887485385</v>
      </c>
    </row>
    <row r="9093" customFormat="false" ht="17.15" hidden="false" customHeight="false" outlineLevel="0" collapsed="false">
      <c r="A9093" s="23" t="s">
        <v>897</v>
      </c>
      <c r="B9093" s="30" t="s">
        <v>98</v>
      </c>
      <c r="C9093" s="30"/>
      <c r="D9093" s="24" t="n">
        <f aca="false">(Sens!D9086+Sens!D9090-Sens!D9091)+(Sens!D9078+Sens!D9079-Sens!D9077)+(Sens!D9081+Sens!D9082-Sens!D9080)+(Sens!D9091-Q!L18)</f>
        <v>0</v>
      </c>
      <c r="E9093" s="24" t="n">
        <f aca="false">(Sens!E9086+Sens!E9090-Sens!E9091)+(Sens!E9078+Sens!E9079-Sens!E9077)+(Sens!E9081+Sens!E9082-Sens!E9080)+(Sens!E9091-Q!M18)</f>
        <v>0</v>
      </c>
      <c r="F9093" s="24" t="n">
        <f aca="false">(Sens!F9086+Sens!F9090-Sens!F9091)+(Sens!F9078+Sens!F9079-Sens!F9077)+(Sens!F9081+Sens!F9082-Sens!F9080)</f>
        <v>0</v>
      </c>
      <c r="G9093" s="24" t="n">
        <f aca="false">(Sens!G9086+Sens!G9090-Sens!G9091)+(Sens!G9078+Sens!G9079-Sens!G9077)+(Sens!G9081+Sens!G9082-Sens!G9080)</f>
        <v>0</v>
      </c>
      <c r="H9093" s="24" t="n">
        <f aca="false">(Sens!H9086+Sens!H9090-Sens!H9091)+(Sens!H9078+Sens!H9079-Sens!H9077)+(Sens!H9081+Sens!H9082-Sens!H9080)</f>
        <v>0</v>
      </c>
      <c r="I9093" s="24" t="n">
        <f aca="false">(Sens!I9086+Sens!I9090-Sens!I9091)+(Sens!I9078+Sens!I9079-Sens!I9077)+(Sens!I9081+Sens!I9082-Sens!I9080)</f>
        <v>0</v>
      </c>
      <c r="J9093" s="24" t="n">
        <f aca="false">(Sens!J9086+Sens!J9090-Sens!J9091)+(Sens!J9078+Sens!J9079-Sens!J9077)+(Sens!J9081+Sens!J9082-Sens!J9080)</f>
        <v>0</v>
      </c>
      <c r="K9093" s="24" t="n">
        <f aca="false">(Sens!K9086+Sens!K9090-Sens!K9091)+(Sens!K9078+Sens!K9079-Sens!K9077)+(Sens!K9081+Sens!K9082-Sens!K9080)</f>
        <v>0</v>
      </c>
    </row>
    <row r="9094" customFormat="false" ht="17.15" hidden="false" customHeight="false" outlineLevel="0" collapsed="false">
      <c r="A9094" s="0" t="s">
        <v>898</v>
      </c>
      <c r="B9094" s="0" t="s">
        <v>129</v>
      </c>
      <c r="E9094" s="7" t="n">
        <f aca="false">(Q!M21+Sens!E9031+Sens!E9032+Sens!E9033+Sens!E9046-Sens!E9029)/(Q!M5-Sens!E9029)</f>
        <v>0.570957350878296</v>
      </c>
      <c r="F9094" s="7" t="n">
        <f aca="false">Sens!$E$9094+dm_seg</f>
        <v>0.570957350878296</v>
      </c>
      <c r="G9094" s="7" t="n">
        <f aca="false">Sens!$E$9094+dm_seg</f>
        <v>0.570957350878296</v>
      </c>
      <c r="H9094" s="7" t="n">
        <f aca="false">Sens!$E$9094+dm_seg</f>
        <v>0.570957350878296</v>
      </c>
      <c r="I9094" s="7" t="n">
        <f aca="false">Sens!$E$9094+dm_seg</f>
        <v>0.570957350878296</v>
      </c>
      <c r="J9094" s="7" t="n">
        <f aca="false">Sens!$E$9094+dm_seg</f>
        <v>0.570957350878296</v>
      </c>
      <c r="K9094" s="7" t="n">
        <f aca="false">Sens!$E$9094+dm_seg</f>
        <v>0.570957350878296</v>
      </c>
      <c r="L9094" s="11" t="s">
        <v>899</v>
      </c>
    </row>
    <row r="9095" customFormat="false" ht="17.15" hidden="false" customHeight="false" outlineLevel="0" collapsed="false">
      <c r="A9095" s="0" t="s">
        <v>732</v>
      </c>
      <c r="B9095" s="0" t="s">
        <v>98</v>
      </c>
      <c r="D9095" s="6" t="n">
        <f aca="false">Q!L21</f>
        <v>110.814</v>
      </c>
      <c r="E9095" s="6" t="n">
        <f aca="false">Q!M21</f>
        <v>136.365</v>
      </c>
      <c r="F9095" s="6" t="n">
        <f aca="false">Sens!F9094*(Sens!F9065-Sens!F9029)+Sens!F9029-(Sens!F9031+Sens!F9032+Sens!F9033)-Sens!F9046</f>
        <v>152.326276874143</v>
      </c>
      <c r="G9095" s="6" t="n">
        <f aca="false">Sens!G9094*(Sens!G9065-Sens!G9029)+Sens!G9029-(Sens!G9031+Sens!G9032+Sens!G9033)-Sens!G9046</f>
        <v>160.282503234508</v>
      </c>
      <c r="H9095" s="6" t="n">
        <f aca="false">Sens!H9094*(Sens!H9065-Sens!H9029)+Sens!H9029-(Sens!H9031+Sens!H9032+Sens!H9033)-Sens!H9046</f>
        <v>162.57374365754</v>
      </c>
      <c r="I9095" s="6" t="n">
        <f aca="false">Sens!I9094*(Sens!I9065-Sens!I9029)+Sens!I9029-(Sens!I9031+Sens!I9032+Sens!I9033)-Sens!I9046</f>
        <v>172.499966558916</v>
      </c>
      <c r="J9095" s="6" t="n">
        <f aca="false">Sens!J9094*(Sens!J9065-Sens!J9029)+Sens!J9029-(Sens!J9031+Sens!J9032+Sens!J9033)-Sens!J9046</f>
        <v>183.759287582956</v>
      </c>
      <c r="K9095" s="6" t="n">
        <f aca="false">Sens!K9094*(Sens!K9065-Sens!K9029)+Sens!K9029-(Sens!K9031+Sens!K9032+Sens!K9033)-Sens!K9046</f>
        <v>196.505530634412</v>
      </c>
      <c r="L9095" s="1" t="s">
        <v>900</v>
      </c>
    </row>
    <row r="9096" customFormat="false" ht="17.15" hidden="false" customHeight="false" outlineLevel="0" collapsed="false">
      <c r="A9096" s="0" t="s">
        <v>901</v>
      </c>
      <c r="B9096" s="0" t="s">
        <v>129</v>
      </c>
      <c r="E9096" s="7" t="n">
        <f aca="false">Q!M22/Q!M12</f>
        <v>0.296207935710698</v>
      </c>
      <c r="F9096" s="7" t="n">
        <f aca="false">Sens!$E$9096+dm_seg</f>
        <v>0.296207935710698</v>
      </c>
      <c r="G9096" s="7" t="n">
        <f aca="false">Sens!$E$9096+dm_seg</f>
        <v>0.296207935710698</v>
      </c>
      <c r="H9096" s="7" t="n">
        <f aca="false">Sens!$E$9096+dm_seg</f>
        <v>0.296207935710698</v>
      </c>
      <c r="I9096" s="7" t="n">
        <f aca="false">Sens!$E$9096+dm_seg</f>
        <v>0.296207935710698</v>
      </c>
      <c r="J9096" s="7" t="n">
        <f aca="false">Sens!$E$9096+dm_seg</f>
        <v>0.296207935710698</v>
      </c>
      <c r="K9096" s="7" t="n">
        <f aca="false">Sens!$E$9096+dm_seg</f>
        <v>0.296207935710698</v>
      </c>
      <c r="L9096" s="11" t="s">
        <v>902</v>
      </c>
    </row>
    <row r="9097" customFormat="false" ht="17.15" hidden="false" customHeight="false" outlineLevel="0" collapsed="false">
      <c r="A9097" s="0" t="s">
        <v>734</v>
      </c>
      <c r="B9097" s="0" t="s">
        <v>98</v>
      </c>
      <c r="D9097" s="6" t="n">
        <f aca="false">Q!L22</f>
        <v>17.714</v>
      </c>
      <c r="E9097" s="6" t="n">
        <f aca="false">Q!M22</f>
        <v>18.872</v>
      </c>
      <c r="F9097" s="6" t="n">
        <f aca="false">Sens!F9072*Sens!F9096</f>
        <v>19.2586702706482</v>
      </c>
      <c r="G9097" s="6" t="n">
        <f aca="false">Sens!G9072*Sens!G9096</f>
        <v>19.7610587933329</v>
      </c>
      <c r="H9097" s="6" t="n">
        <f aca="false">Sens!H9072*Sens!H9096</f>
        <v>20.3420548728763</v>
      </c>
      <c r="I9097" s="6" t="n">
        <f aca="false">Sens!I9072*Sens!I9096</f>
        <v>20.969735213258</v>
      </c>
      <c r="J9097" s="6" t="n">
        <f aca="false">Sens!J9072*Sens!J9096</f>
        <v>21.6177513876753</v>
      </c>
      <c r="K9097" s="6" t="n">
        <f aca="false">Sens!K9072*Sens!K9096</f>
        <v>22.2661966355315</v>
      </c>
    </row>
    <row r="9098" customFormat="false" ht="15" hidden="false" customHeight="false" outlineLevel="0" collapsed="false">
      <c r="A9098" s="1" t="s">
        <v>903</v>
      </c>
      <c r="B9098" s="0" t="s">
        <v>98</v>
      </c>
      <c r="D9098" s="6" t="n">
        <f aca="false">Sens!D9095+Sens!D9097</f>
        <v>128.528</v>
      </c>
      <c r="E9098" s="6" t="n">
        <f aca="false">Sens!E9095+Sens!E9097</f>
        <v>155.237</v>
      </c>
      <c r="F9098" s="6" t="n">
        <f aca="false">Sens!F9095+Sens!F9097</f>
        <v>171.584947144791</v>
      </c>
      <c r="G9098" s="6" t="n">
        <f aca="false">Sens!G9095+Sens!G9097</f>
        <v>180.043562027841</v>
      </c>
      <c r="H9098" s="6" t="n">
        <f aca="false">Sens!H9095+Sens!H9097</f>
        <v>182.915798530416</v>
      </c>
      <c r="I9098" s="6" t="n">
        <f aca="false">Sens!I9095+Sens!I9097</f>
        <v>193.469701772174</v>
      </c>
      <c r="J9098" s="6" t="n">
        <f aca="false">Sens!J9095+Sens!J9097</f>
        <v>205.377038970631</v>
      </c>
      <c r="K9098" s="6" t="n">
        <f aca="false">Sens!K9095+Sens!K9097</f>
        <v>218.771727269943</v>
      </c>
    </row>
    <row r="9099" customFormat="false" ht="15" hidden="false" customHeight="false" outlineLevel="0" collapsed="false">
      <c r="A9099" s="23" t="s">
        <v>904</v>
      </c>
      <c r="B9099" s="30" t="s">
        <v>98</v>
      </c>
      <c r="C9099" s="30"/>
      <c r="D9099" s="24" t="n">
        <f aca="false">Sens!D9098-Q!L23</f>
        <v>0</v>
      </c>
      <c r="E9099" s="24" t="n">
        <f aca="false">Sens!E9098-Q!M23</f>
        <v>0</v>
      </c>
      <c r="F9099" s="30"/>
      <c r="G9099" s="30"/>
      <c r="H9099" s="30"/>
      <c r="I9099" s="30"/>
      <c r="J9099" s="30"/>
      <c r="K9099" s="30"/>
    </row>
    <row r="9100" customFormat="false" ht="15" hidden="false" customHeight="false" outlineLevel="0" collapsed="false">
      <c r="A9100" s="1" t="s">
        <v>905</v>
      </c>
      <c r="B9100" s="0" t="s">
        <v>129</v>
      </c>
      <c r="D9100" s="7" t="n">
        <f aca="false">Sens!D9098/Sens!D9091</f>
        <v>0.456219562408598</v>
      </c>
      <c r="E9100" s="7" t="n">
        <f aca="false">Sens!E9098/Sens!E9091</f>
        <v>0.467808184089272</v>
      </c>
      <c r="F9100" s="7" t="n">
        <f aca="false">Sens!F9098/Sens!F9091</f>
        <v>0.436180240843833</v>
      </c>
      <c r="G9100" s="7" t="n">
        <f aca="false">Sens!G9098/Sens!G9091</f>
        <v>0.394846803661827</v>
      </c>
      <c r="H9100" s="7" t="n">
        <f aca="false">Sens!H9098/Sens!H9091</f>
        <v>0.355568996781228</v>
      </c>
      <c r="I9100" s="7" t="n">
        <f aca="false">Sens!I9098/Sens!I9091</f>
        <v>0.336179526090235</v>
      </c>
      <c r="J9100" s="7" t="n">
        <f aca="false">Sens!J9098/Sens!J9091</f>
        <v>0.327818259113218</v>
      </c>
      <c r="K9100" s="7" t="n">
        <f aca="false">Sens!K9098/Sens!K9091</f>
        <v>0.327644505555957</v>
      </c>
    </row>
    <row r="9101" customFormat="false" ht="17.15" hidden="false" customHeight="false" outlineLevel="0" collapsed="false">
      <c r="A9101" s="1" t="s">
        <v>906</v>
      </c>
      <c r="B9101" s="0" t="s">
        <v>98</v>
      </c>
      <c r="F9101" s="6" t="n">
        <f aca="false">Sens!F9116</f>
        <v>20.7922544923746</v>
      </c>
      <c r="G9101" s="6" t="n">
        <f aca="false">Sens!G9116</f>
        <v>37.7052575228648</v>
      </c>
      <c r="H9101" s="6" t="n">
        <f aca="false">Sens!H9116</f>
        <v>55.9707166463052</v>
      </c>
      <c r="I9101" s="6" t="n">
        <f aca="false">Sens!I9116</f>
        <v>72.386177414753</v>
      </c>
      <c r="J9101" s="6" t="n">
        <f aca="false">Sens!J9116</f>
        <v>83.8561542203386</v>
      </c>
      <c r="K9101" s="6" t="n">
        <f aca="false">Sens!K9116</f>
        <v>90.6046701138278</v>
      </c>
      <c r="L9101" s="1" t="s">
        <v>907</v>
      </c>
    </row>
    <row r="9102" customFormat="false" ht="17.15" hidden="false" customHeight="false" outlineLevel="0" collapsed="false">
      <c r="A9102" s="1" t="s">
        <v>908</v>
      </c>
      <c r="B9102" s="0" t="s">
        <v>98</v>
      </c>
      <c r="D9102" s="6" t="n">
        <f aca="false">Sens!D9098</f>
        <v>128.528</v>
      </c>
      <c r="E9102" s="6" t="n">
        <f aca="false">Sens!E9098</f>
        <v>155.237</v>
      </c>
      <c r="F9102" s="6" t="n">
        <f aca="false">Sens!F9098+Sens!F9101</f>
        <v>192.377201637166</v>
      </c>
      <c r="G9102" s="6" t="n">
        <f aca="false">Sens!G9098+Sens!G9101</f>
        <v>217.748819550706</v>
      </c>
      <c r="H9102" s="6" t="n">
        <f aca="false">Sens!H9098+Sens!H9101</f>
        <v>238.886515176722</v>
      </c>
      <c r="I9102" s="6" t="n">
        <f aca="false">Sens!I9098+Sens!I9101</f>
        <v>265.855879186927</v>
      </c>
      <c r="J9102" s="6" t="n">
        <f aca="false">Sens!J9098+Sens!J9101</f>
        <v>289.23319319097</v>
      </c>
      <c r="K9102" s="6" t="n">
        <f aca="false">Sens!K9098+Sens!K9101</f>
        <v>309.376397383771</v>
      </c>
    </row>
    <row r="9103" customFormat="false" ht="17.15" hidden="false" customHeight="false" outlineLevel="0" collapsed="false">
      <c r="A9103" s="1" t="s">
        <v>909</v>
      </c>
      <c r="B9103" s="0" t="s">
        <v>98</v>
      </c>
      <c r="E9103" s="6" t="n">
        <f aca="false">Sens!E9046</f>
        <v>16.3054059770833</v>
      </c>
      <c r="F9103" s="6" t="n">
        <f aca="false">Sens!F9046</f>
        <v>34.7538632892031</v>
      </c>
      <c r="G9103" s="6" t="n">
        <f aca="false">Sens!G9046</f>
        <v>60.5333889270063</v>
      </c>
      <c r="H9103" s="6" t="n">
        <f aca="false">Sens!H9046</f>
        <v>87.7689716598063</v>
      </c>
      <c r="I9103" s="6" t="n">
        <f aca="false">Sens!I9046</f>
        <v>112.013695648888</v>
      </c>
      <c r="J9103" s="6" t="n">
        <f aca="false">Sens!J9046</f>
        <v>129.210366589332</v>
      </c>
      <c r="K9103" s="6" t="n">
        <f aca="false">Sens!K9046</f>
        <v>139.67430247114</v>
      </c>
    </row>
    <row r="9104" customFormat="false" ht="17.15" hidden="false" customHeight="false" outlineLevel="0" collapsed="false">
      <c r="A9104" s="1" t="s">
        <v>910</v>
      </c>
      <c r="B9104" s="0" t="s">
        <v>98</v>
      </c>
      <c r="E9104" s="6" t="n">
        <f aca="false">Sens!E9128</f>
        <v>22.2285940229167</v>
      </c>
      <c r="F9104" s="6" t="n">
        <f aca="false">Sens!F9128</f>
        <v>23.5476759435813</v>
      </c>
      <c r="G9104" s="6" t="n">
        <f aca="false">Sens!G9128</f>
        <v>25.2599025657684</v>
      </c>
      <c r="H9104" s="6" t="n">
        <f aca="false">Sens!H9128</f>
        <v>27.3328485552537</v>
      </c>
      <c r="I9104" s="6" t="n">
        <f aca="false">Sens!I9128</f>
        <v>29.7088689268856</v>
      </c>
      <c r="J9104" s="6" t="n">
        <f aca="false">Sens!J9128</f>
        <v>32.3125914843551</v>
      </c>
      <c r="K9104" s="6" t="n">
        <f aca="false">Sens!K9128</f>
        <v>35.0594977394137</v>
      </c>
    </row>
    <row r="9105" customFormat="false" ht="17.15" hidden="false" customHeight="false" outlineLevel="0" collapsed="false">
      <c r="A9105" s="1" t="s">
        <v>911</v>
      </c>
      <c r="B9105" s="0" t="s">
        <v>98</v>
      </c>
      <c r="D9105" s="6" t="n">
        <f aca="false">Q!L27</f>
        <v>-4.901</v>
      </c>
      <c r="E9105" s="6" t="n">
        <f aca="false">Q!M27</f>
        <v>10.697</v>
      </c>
      <c r="F9105" s="6" t="n">
        <f aca="false">oie_f</f>
        <v>-0.4</v>
      </c>
      <c r="G9105" s="6" t="n">
        <f aca="false">oie_f</f>
        <v>-0.4</v>
      </c>
      <c r="H9105" s="6" t="n">
        <f aca="false">oie_f</f>
        <v>-0.4</v>
      </c>
      <c r="I9105" s="6" t="n">
        <f aca="false">oie_f</f>
        <v>-0.4</v>
      </c>
      <c r="J9105" s="6" t="n">
        <f aca="false">oie_f</f>
        <v>-0.4</v>
      </c>
      <c r="K9105" s="6" t="n">
        <f aca="false">oie_f</f>
        <v>-0.4</v>
      </c>
      <c r="L9105" s="11" t="s">
        <v>912</v>
      </c>
    </row>
    <row r="9106" customFormat="false" ht="15" hidden="false" customHeight="false" outlineLevel="0" collapsed="false">
      <c r="A9106" s="1" t="s">
        <v>913</v>
      </c>
      <c r="B9106" s="0" t="s">
        <v>98</v>
      </c>
      <c r="D9106" s="6" t="n">
        <f aca="false">Sens!D9098+Sens!D9105</f>
        <v>123.627</v>
      </c>
      <c r="E9106" s="6" t="n">
        <f aca="false">Sens!E9098+Sens!E9105</f>
        <v>165.934</v>
      </c>
      <c r="F9106" s="6" t="n">
        <f aca="false">Sens!F9098+Sens!F9105</f>
        <v>171.184947144791</v>
      </c>
      <c r="G9106" s="6" t="n">
        <f aca="false">Sens!G9098+Sens!G9105</f>
        <v>179.643562027841</v>
      </c>
      <c r="H9106" s="6" t="n">
        <f aca="false">Sens!H9098+Sens!H9105</f>
        <v>182.515798530416</v>
      </c>
      <c r="I9106" s="6" t="n">
        <f aca="false">Sens!I9098+Sens!I9105</f>
        <v>193.069701772174</v>
      </c>
      <c r="J9106" s="6" t="n">
        <f aca="false">Sens!J9098+Sens!J9105</f>
        <v>204.977038970631</v>
      </c>
      <c r="K9106" s="6" t="n">
        <f aca="false">Sens!K9098+Sens!K9105</f>
        <v>218.371727269943</v>
      </c>
    </row>
    <row r="9107" customFormat="false" ht="15" hidden="false" customHeight="false" outlineLevel="0" collapsed="false">
      <c r="A9107" s="1" t="s">
        <v>914</v>
      </c>
      <c r="B9107" s="0" t="s">
        <v>98</v>
      </c>
      <c r="D9107" s="6" t="n">
        <f aca="false">Q!L29</f>
        <v>21.795</v>
      </c>
      <c r="E9107" s="6" t="n">
        <f aca="false">Q!M29</f>
        <v>32.185</v>
      </c>
      <c r="F9107" s="6" t="n">
        <f aca="false">Sens!F9106*tax_f</f>
        <v>34.2369894289583</v>
      </c>
      <c r="G9107" s="6" t="n">
        <f aca="false">Sens!G9106*tax_f</f>
        <v>35.9287124055682</v>
      </c>
      <c r="H9107" s="6" t="n">
        <f aca="false">Sens!H9106*tax_f</f>
        <v>36.5031597060833</v>
      </c>
      <c r="I9107" s="6" t="n">
        <f aca="false">Sens!I9106*tax_f</f>
        <v>38.6139403544349</v>
      </c>
      <c r="J9107" s="6" t="n">
        <f aca="false">Sens!J9106*tax_f</f>
        <v>40.9954077941262</v>
      </c>
      <c r="K9107" s="6" t="n">
        <f aca="false">Sens!K9106*tax_f</f>
        <v>43.6743454539886</v>
      </c>
    </row>
    <row r="9108" customFormat="false" ht="15" hidden="false" customHeight="false" outlineLevel="0" collapsed="false">
      <c r="A9108" s="1" t="s">
        <v>915</v>
      </c>
      <c r="B9108" s="0" t="s">
        <v>98</v>
      </c>
      <c r="D9108" s="6" t="n">
        <f aca="false">Sens!D9106-Sens!D9107</f>
        <v>101.832</v>
      </c>
      <c r="E9108" s="6" t="n">
        <f aca="false">Sens!E9106-Sens!E9107</f>
        <v>133.749</v>
      </c>
      <c r="F9108" s="6" t="n">
        <f aca="false">Sens!F9106-Sens!F9107</f>
        <v>136.947957715833</v>
      </c>
      <c r="G9108" s="6" t="n">
        <f aca="false">Sens!G9106-Sens!G9107</f>
        <v>143.714849622273</v>
      </c>
      <c r="H9108" s="6" t="n">
        <f aca="false">Sens!H9106-Sens!H9107</f>
        <v>146.012638824333</v>
      </c>
      <c r="I9108" s="6" t="n">
        <f aca="false">Sens!I9106-Sens!I9107</f>
        <v>154.455761417739</v>
      </c>
      <c r="J9108" s="6" t="n">
        <f aca="false">Sens!J9106-Sens!J9107</f>
        <v>163.981631176505</v>
      </c>
      <c r="K9108" s="6" t="n">
        <f aca="false">Sens!K9106-Sens!K9107</f>
        <v>174.697381815955</v>
      </c>
    </row>
    <row r="9109" customFormat="false" ht="17.15" hidden="false" customHeight="false" outlineLevel="0" collapsed="false">
      <c r="A9109" s="1" t="s">
        <v>916</v>
      </c>
      <c r="B9109" s="1" t="s">
        <v>81</v>
      </c>
      <c r="D9109" s="14" t="n">
        <f aca="false">Q!L31</f>
        <v>7.465</v>
      </c>
      <c r="E9109" s="14" t="n">
        <f aca="false">Q!M31</f>
        <v>7.453</v>
      </c>
      <c r="F9109" s="14" t="n">
        <f aca="false">Sens!F9150</f>
        <v>7.4735</v>
      </c>
      <c r="G9109" s="14" t="n">
        <f aca="false">Sens!G9150</f>
        <v>7.5185</v>
      </c>
      <c r="H9109" s="14" t="n">
        <f aca="false">Sens!H9150</f>
        <v>7.55849698495589</v>
      </c>
      <c r="I9109" s="14" t="n">
        <f aca="false">Sens!I9150</f>
        <v>7.58252321606913</v>
      </c>
      <c r="J9109" s="14" t="n">
        <f aca="false">Sens!J9150</f>
        <v>7.59676472718702</v>
      </c>
      <c r="K9109" s="14" t="n">
        <f aca="false">Sens!K9150</f>
        <v>7.61328464488876</v>
      </c>
    </row>
    <row r="9110" customFormat="false" ht="17.15" hidden="false" customHeight="false" outlineLevel="0" collapsed="false">
      <c r="A9110" s="0" t="s">
        <v>917</v>
      </c>
      <c r="B9110" s="0" t="s">
        <v>75</v>
      </c>
      <c r="D9110" s="8" t="n">
        <f aca="false">Sens!D9108/Sens!D9109</f>
        <v>13.641259209645</v>
      </c>
      <c r="E9110" s="8" t="n">
        <f aca="false">Sens!E9108/Sens!E9109</f>
        <v>17.9456594659869</v>
      </c>
      <c r="F9110" s="8" t="n">
        <f aca="false">Sens!F9108/Sens!F9109</f>
        <v>18.3244741708481</v>
      </c>
      <c r="G9110" s="8" t="n">
        <f aca="false">Sens!G9108/Sens!G9109</f>
        <v>19.1148300355487</v>
      </c>
      <c r="H9110" s="8" t="n">
        <f aca="false">Sens!H9108/Sens!H9109</f>
        <v>19.3176816918695</v>
      </c>
      <c r="I9110" s="8" t="n">
        <f aca="false">Sens!I9108/Sens!I9109</f>
        <v>20.3699688107003</v>
      </c>
      <c r="J9110" s="8" t="n">
        <f aca="false">Sens!J9108/Sens!J9109</f>
        <v>21.5857193246558</v>
      </c>
      <c r="K9110" s="8" t="n">
        <f aca="false">Sens!K9108/Sens!K9109</f>
        <v>22.9463877898272</v>
      </c>
      <c r="L9110" s="1" t="s">
        <v>918</v>
      </c>
    </row>
    <row r="9111" customFormat="false" ht="17.15" hidden="false" customHeight="false" outlineLevel="0" collapsed="false">
      <c r="A9111" s="1" t="s">
        <v>919</v>
      </c>
      <c r="B9111" s="0" t="s">
        <v>98</v>
      </c>
      <c r="D9111" s="6" t="n">
        <f aca="false">Sens!D9108</f>
        <v>101.832</v>
      </c>
      <c r="E9111" s="6" t="n">
        <f aca="false">Sens!E9108</f>
        <v>133.749</v>
      </c>
      <c r="F9111" s="6" t="n">
        <f aca="false">Sens!F9108+Sens!F9101*(1-tax_f)</f>
        <v>153.581761309733</v>
      </c>
      <c r="G9111" s="6" t="n">
        <f aca="false">Sens!G9108+Sens!G9101*(1-tax_f)</f>
        <v>173.879055640565</v>
      </c>
      <c r="H9111" s="6" t="n">
        <f aca="false">Sens!H9108+Sens!H9101*(1-tax_f)</f>
        <v>190.789212141377</v>
      </c>
      <c r="I9111" s="6" t="n">
        <f aca="false">Sens!I9108+Sens!I9101*(1-tax_f)</f>
        <v>212.364703349542</v>
      </c>
      <c r="J9111" s="6" t="n">
        <f aca="false">Sens!J9108+Sens!J9101*(1-tax_f)</f>
        <v>231.066554552776</v>
      </c>
      <c r="K9111" s="6" t="n">
        <f aca="false">Sens!K9108+Sens!K9101*(1-tax_f)</f>
        <v>247.181117907017</v>
      </c>
    </row>
    <row r="9112" customFormat="false" ht="17.15" hidden="false" customHeight="false" outlineLevel="0" collapsed="false">
      <c r="A9112" s="0" t="s">
        <v>920</v>
      </c>
      <c r="B9112" s="0" t="s">
        <v>75</v>
      </c>
      <c r="D9112" s="8" t="n">
        <f aca="false">Sens!D9111/Sens!D9109</f>
        <v>13.641259209645</v>
      </c>
      <c r="E9112" s="8" t="n">
        <f aca="false">Sens!E9111/Sens!E9109</f>
        <v>17.9456594659869</v>
      </c>
      <c r="F9112" s="8" t="n">
        <f aca="false">Sens!F9111/Sens!F9109</f>
        <v>20.5501788064137</v>
      </c>
      <c r="G9112" s="8" t="n">
        <f aca="false">Sens!G9111/Sens!G9109</f>
        <v>23.1268279098976</v>
      </c>
      <c r="H9112" s="8" t="n">
        <f aca="false">Sens!H9111/Sens!H9109</f>
        <v>25.2416866105941</v>
      </c>
      <c r="I9112" s="8" t="n">
        <f aca="false">Sens!I9111/Sens!I9109</f>
        <v>28.0071286691865</v>
      </c>
      <c r="J9112" s="8" t="n">
        <f aca="false">Sens!J9111/Sens!J9109</f>
        <v>30.4164421106584</v>
      </c>
      <c r="K9112" s="8" t="n">
        <f aca="false">Sens!K9111/Sens!K9109</f>
        <v>32.467079511202</v>
      </c>
      <c r="L9112" s="1" t="s">
        <v>921</v>
      </c>
    </row>
    <row r="9113" customFormat="false" ht="17.15" hidden="false" customHeight="false" outlineLevel="0" collapsed="false">
      <c r="A9113" s="0" t="s">
        <v>922</v>
      </c>
      <c r="B9113" s="0" t="s">
        <v>129</v>
      </c>
      <c r="E9113" s="7" t="n">
        <f aca="false">Sens!E9112/Sens!D9112-1</f>
        <v>0.315542736208578</v>
      </c>
      <c r="F9113" s="7" t="n">
        <f aca="false">Sens!F9112/Sens!E9112-1</f>
        <v>0.145133665628912</v>
      </c>
      <c r="G9113" s="7" t="n">
        <f aca="false">Sens!G9112/Sens!F9112-1</f>
        <v>0.125383293632447</v>
      </c>
      <c r="H9113" s="7" t="n">
        <f aca="false">Sens!H9112/Sens!G9112-1</f>
        <v>0.0914461208833359</v>
      </c>
      <c r="I9113" s="7" t="n">
        <f aca="false">Sens!I9112/Sens!H9112-1</f>
        <v>0.109558529160712</v>
      </c>
      <c r="J9113" s="7" t="n">
        <f aca="false">Sens!J9112/Sens!I9112-1</f>
        <v>0.0860250070591015</v>
      </c>
      <c r="K9113" s="7" t="n">
        <f aca="false">Sens!K9112/Sens!J9112-1</f>
        <v>0.0674187136379449</v>
      </c>
    </row>
    <row r="9114" customFormat="false" ht="17.15" hidden="false" customHeight="false" outlineLevel="0" collapsed="false">
      <c r="A9114" s="0" t="s">
        <v>846</v>
      </c>
      <c r="B9114" s="0" t="s">
        <v>98</v>
      </c>
      <c r="E9114" s="6" t="n">
        <f aca="false">Sens!E9055</f>
        <v>5.25</v>
      </c>
      <c r="F9114" s="6" t="n">
        <f aca="false">Sens!F9055</f>
        <v>10.5</v>
      </c>
      <c r="G9114" s="6" t="n">
        <f aca="false">Sens!G9055</f>
        <v>13.5</v>
      </c>
      <c r="H9114" s="6" t="n">
        <f aca="false">Sens!H9055</f>
        <v>16.5</v>
      </c>
      <c r="I9114" s="6" t="n">
        <f aca="false">Sens!I9055</f>
        <v>18.75</v>
      </c>
      <c r="J9114" s="6" t="n">
        <f aca="false">Sens!J9055</f>
        <v>20.25</v>
      </c>
      <c r="K9114" s="6" t="n">
        <f aca="false">Sens!K9055</f>
        <v>21.75</v>
      </c>
    </row>
    <row r="9115" customFormat="false" ht="17.15" hidden="false" customHeight="false" outlineLevel="0" collapsed="false">
      <c r="A9115" s="1" t="s">
        <v>847</v>
      </c>
      <c r="B9115" s="0" t="s">
        <v>98</v>
      </c>
      <c r="F9115" s="6" t="n">
        <f aca="false">MAX(0,(Sens!E9018+Sens!F9018)/2*Sens!F9026/1000-Sens!F9114*Sens!F9094)</f>
        <v>20.7922544923746</v>
      </c>
      <c r="G9115" s="6" t="n">
        <f aca="false">MAX(0,(Sens!F9018+Sens!G9018)/2*Sens!G9026/1000-Sens!G9114*Sens!G9094)</f>
        <v>37.7052575228648</v>
      </c>
      <c r="H9115" s="6" t="n">
        <f aca="false">MAX(0,(Sens!G9018+Sens!H9018)/2*Sens!H9026/1000-Sens!H9114*Sens!H9094)</f>
        <v>55.9707166463052</v>
      </c>
      <c r="I9115" s="6" t="n">
        <f aca="false">MAX(0,(Sens!H9018+Sens!I9018)/2*Sens!I9026/1000-Sens!I9114*Sens!I9094)</f>
        <v>72.386177414753</v>
      </c>
      <c r="J9115" s="6" t="n">
        <f aca="false">MAX(0,(Sens!I9018+Sens!J9018)/2*Sens!J9026/1000-Sens!J9114*Sens!J9094)</f>
        <v>83.8561542203386</v>
      </c>
      <c r="K9115" s="6" t="n">
        <f aca="false">MAX(0,(Sens!J9018+Sens!K9018)/2*Sens!K9026/1000-Sens!K9114*Sens!K9094)</f>
        <v>90.6046701138278</v>
      </c>
      <c r="L9115" s="1" t="s">
        <v>848</v>
      </c>
    </row>
    <row r="9116" customFormat="false" ht="17.15" hidden="false" customHeight="false" outlineLevel="0" collapsed="false">
      <c r="A9116" s="1" t="s">
        <v>849</v>
      </c>
      <c r="B9116" s="0" t="s">
        <v>98</v>
      </c>
      <c r="F9116" s="6" t="n">
        <f aca="false">IF(internal_ai_reading=2,1,0)*Sens!F9115</f>
        <v>20.7922544923746</v>
      </c>
      <c r="G9116" s="6" t="n">
        <f aca="false">IF(internal_ai_reading=2,1,0)*Sens!G9115</f>
        <v>37.7052575228648</v>
      </c>
      <c r="H9116" s="6" t="n">
        <f aca="false">IF(internal_ai_reading=2,1,0)*Sens!H9115</f>
        <v>55.9707166463052</v>
      </c>
      <c r="I9116" s="6" t="n">
        <f aca="false">IF(internal_ai_reading=2,1,0)*Sens!I9115</f>
        <v>72.386177414753</v>
      </c>
      <c r="J9116" s="6" t="n">
        <f aca="false">IF(internal_ai_reading=2,1,0)*Sens!J9115</f>
        <v>83.8561542203386</v>
      </c>
      <c r="K9116" s="6" t="n">
        <f aca="false">IF(internal_ai_reading=2,1,0)*Sens!K9115</f>
        <v>90.6046701138278</v>
      </c>
    </row>
    <row r="9117" customFormat="false" ht="17.15" hidden="false" customHeight="false" outlineLevel="0" collapsed="false">
      <c r="A9117" s="0" t="s">
        <v>850</v>
      </c>
      <c r="B9117" s="0" t="s">
        <v>98</v>
      </c>
      <c r="F9117" s="6" t="n">
        <f aca="false">Sens!F9035+Sens!F9114*Sens!F9094+Sens!F9116-Sens!F9036-Sens!F9046</f>
        <v>20.5578583994257</v>
      </c>
      <c r="G9117" s="6" t="n">
        <f aca="false">Sens!G9035+Sens!G9114*Sens!G9094+Sens!G9116-Sens!G9036-Sens!G9046</f>
        <v>26.3456588298375</v>
      </c>
      <c r="H9117" s="6" t="n">
        <f aca="false">Sens!H9035+Sens!H9114*Sens!H9094+Sens!H9116-Sens!H9036-Sens!H9046</f>
        <v>27.6387806250079</v>
      </c>
      <c r="I9117" s="6" t="n">
        <f aca="false">Sens!I9035+Sens!I9114*Sens!I9094+Sens!I9116-Sens!I9036-Sens!I9046</f>
        <v>35.2048788994904</v>
      </c>
      <c r="J9117" s="6" t="n">
        <f aca="false">Sens!J9035+Sens!J9114*Sens!J9094+Sens!J9116-Sens!J9036-Sens!J9046</f>
        <v>40.3973889547563</v>
      </c>
      <c r="K9117" s="6" t="n">
        <f aca="false">Sens!K9035+Sens!K9114*Sens!K9094+Sens!K9116-Sens!K9036-Sens!K9046</f>
        <v>44.3708540968177</v>
      </c>
    </row>
    <row r="9118" customFormat="false" ht="17.15" hidden="false" customHeight="false" outlineLevel="0" collapsed="false">
      <c r="A9118" s="0" t="s">
        <v>851</v>
      </c>
      <c r="B9118" s="0" t="s">
        <v>98</v>
      </c>
      <c r="E9118" s="6" t="n">
        <f aca="false">Sens!E9017*(cxit_open+self_build*tk_cxfac)/1000*ai_net_open</f>
        <v>126.6980382</v>
      </c>
      <c r="F9118" s="6" t="n">
        <f aca="false">Sens!E9118+Sens!F9043-Sens!F9046</f>
        <v>260.724761681234</v>
      </c>
      <c r="G9118" s="6" t="n">
        <f aca="false">Sens!F9118+Sens!G9043-Sens!G9046</f>
        <v>383.765553237428</v>
      </c>
      <c r="H9118" s="6" t="n">
        <f aca="false">Sens!G9118+Sens!H9043-Sens!H9046</f>
        <v>484.076867488022</v>
      </c>
      <c r="I9118" s="6" t="n">
        <f aca="false">Sens!H9118+Sens!I9043-Sens!I9046</f>
        <v>535.769840993379</v>
      </c>
      <c r="J9118" s="6" t="n">
        <f aca="false">Sens!I9118+Sens!J9043-Sens!J9046</f>
        <v>531.071951122137</v>
      </c>
      <c r="K9118" s="6" t="n">
        <f aca="false">Sens!J9118+Sens!K9043-Sens!K9046</f>
        <v>506.357084292933</v>
      </c>
      <c r="L9118" s="1" t="s">
        <v>852</v>
      </c>
    </row>
    <row r="9119" customFormat="false" ht="17.15" hidden="false" customHeight="false" outlineLevel="0" collapsed="false">
      <c r="A9119" s="0" t="s">
        <v>853</v>
      </c>
      <c r="B9119" s="0" t="s">
        <v>129</v>
      </c>
      <c r="F9119" s="7" t="n">
        <f aca="false">Sens!F9117*(1-tax_f)/((Sens!E9118+Sens!F9118)/2)</f>
        <v>0.0849009749791817</v>
      </c>
      <c r="G9119" s="7" t="n">
        <f aca="false">Sens!G9117*(1-tax_f)/((Sens!F9118+Sens!G9118)/2)</f>
        <v>0.0654052561411413</v>
      </c>
      <c r="H9119" s="7" t="n">
        <f aca="false">Sens!H9117*(1-tax_f)/((Sens!G9118+Sens!H9118)/2)</f>
        <v>0.050956311818736</v>
      </c>
      <c r="I9119" s="7" t="n">
        <f aca="false">Sens!I9117*(1-tax_f)/((Sens!H9118+Sens!I9118)/2)</f>
        <v>0.0552316399815217</v>
      </c>
      <c r="J9119" s="7" t="n">
        <f aca="false">Sens!J9117*(1-tax_f)/((Sens!I9118+Sens!J9118)/2)</f>
        <v>0.0605861363937001</v>
      </c>
      <c r="K9119" s="7" t="n">
        <f aca="false">Sens!K9117*(1-tax_f)/((Sens!J9118+Sens!K9118)/2)</f>
        <v>0.0684320219806689</v>
      </c>
    </row>
    <row r="9120" customFormat="false" ht="17.15" hidden="false" customHeight="false" outlineLevel="0" collapsed="false">
      <c r="A9120" s="1" t="s">
        <v>854</v>
      </c>
      <c r="B9120" s="0" t="s">
        <v>129</v>
      </c>
      <c r="F9120" s="7" t="n">
        <f aca="false">(Sens!F9117-Sens!F9116)*(1-tax_f)/((Sens!E9118+Sens!F9118)/2)</f>
        <v>-0.000968021884187346</v>
      </c>
      <c r="G9120" s="7" t="n">
        <f aca="false">(Sens!G9117-Sens!G9116)*(1-tax_f)/((Sens!F9118+Sens!G9118)/2)</f>
        <v>-0.0282011342732706</v>
      </c>
      <c r="H9120" s="7" t="n">
        <f aca="false">(Sens!H9117-Sens!H9116)*(1-tax_f)/((Sens!G9118+Sens!H9118)/2)</f>
        <v>-0.052234249618937</v>
      </c>
      <c r="I9120" s="7" t="n">
        <f aca="false">(Sens!I9117-Sens!I9116)*(1-tax_f)/((Sens!H9118+Sens!I9118)/2)</f>
        <v>-0.0583323720414843</v>
      </c>
      <c r="J9120" s="7" t="n">
        <f aca="false">(Sens!J9117-Sens!J9116)*(1-tax_f)/((Sens!I9118+Sens!J9118)/2)</f>
        <v>-0.065177447058057</v>
      </c>
      <c r="K9120" s="7" t="n">
        <f aca="false">(Sens!K9117-Sens!K9116)*(1-tax_f)/((Sens!J9118+Sens!K9118)/2)</f>
        <v>-0.0713052200217429</v>
      </c>
    </row>
    <row r="9121" customFormat="false" ht="17.15" hidden="false" customHeight="false" outlineLevel="0" collapsed="false">
      <c r="A9121" s="1" t="s">
        <v>855</v>
      </c>
      <c r="B9121" s="0" t="s">
        <v>129</v>
      </c>
      <c r="F9121" s="7" t="n">
        <f aca="false">(Sens!F9117-Sens!F9116+Sens!F9115)*(1-tax_f)/((Sens!E9118+Sens!F9118)/2)</f>
        <v>0.0849009749791817</v>
      </c>
      <c r="G9121" s="7" t="n">
        <f aca="false">(Sens!G9117-Sens!G9116+Sens!G9115)*(1-tax_f)/((Sens!F9118+Sens!G9118)/2)</f>
        <v>0.0654052561411413</v>
      </c>
      <c r="H9121" s="7" t="n">
        <f aca="false">(Sens!H9117-Sens!H9116+Sens!H9115)*(1-tax_f)/((Sens!G9118+Sens!H9118)/2)</f>
        <v>0.050956311818736</v>
      </c>
      <c r="I9121" s="7" t="n">
        <f aca="false">(Sens!I9117-Sens!I9116+Sens!I9115)*(1-tax_f)/((Sens!H9118+Sens!I9118)/2)</f>
        <v>0.0552316399815217</v>
      </c>
      <c r="J9121" s="7" t="n">
        <f aca="false">(Sens!J9117-Sens!J9116+Sens!J9115)*(1-tax_f)/((Sens!I9118+Sens!J9118)/2)</f>
        <v>0.0605861363937001</v>
      </c>
      <c r="K9121" s="7" t="n">
        <f aca="false">(Sens!K9117-Sens!K9116+Sens!K9115)*(1-tax_f)/((Sens!J9118+Sens!K9118)/2)</f>
        <v>0.0684320219806689</v>
      </c>
    </row>
    <row r="9122" customFormat="false" ht="17.15" hidden="false" customHeight="false" outlineLevel="0" collapsed="false">
      <c r="A9122" s="1" t="s">
        <v>856</v>
      </c>
      <c r="B9122" s="0" t="s">
        <v>129</v>
      </c>
      <c r="F9122" s="7" t="n">
        <f aca="false">Sens!F9047*(1-tax_f)/(Sens!F9034*(Sens!E9118+Sens!F9118)/2)</f>
        <v>0.0977745078047353</v>
      </c>
      <c r="G9122" s="7" t="n">
        <f aca="false">Sens!G9047*(1-tax_f)/(Sens!G9034*(Sens!F9118+Sens!G9118)/2)</f>
        <v>0.0659144689328397</v>
      </c>
      <c r="H9122" s="7" t="n">
        <f aca="false">Sens!H9047*(1-tax_f)/(Sens!H9034*(Sens!G9118+Sens!H9118)/2)</f>
        <v>0.038772897179791</v>
      </c>
      <c r="I9122" s="7" t="n">
        <f aca="false">Sens!I9047*(1-tax_f)/(Sens!I9034*(Sens!H9118+Sens!I9118)/2)</f>
        <v>0.041998683693786</v>
      </c>
      <c r="J9122" s="7" t="n">
        <f aca="false">Sens!J9047*(1-tax_f)/(Sens!J9034*(Sens!I9118+Sens!J9118)/2)</f>
        <v>0.0460458264059336</v>
      </c>
      <c r="K9122" s="7" t="n">
        <f aca="false">Sens!K9047*(1-tax_f)/(Sens!K9034*(Sens!J9118+Sens!K9118)/2)</f>
        <v>0.0523821391300926</v>
      </c>
    </row>
    <row r="9123" customFormat="false" ht="17.15" hidden="false" customHeight="false" outlineLevel="0" collapsed="false">
      <c r="A9123" s="0" t="s">
        <v>857</v>
      </c>
      <c r="B9123" s="0" t="s">
        <v>209</v>
      </c>
      <c r="F9123" s="7" t="n">
        <f aca="false">Sens!F9119-wacc</f>
        <v>-0.018033445113694</v>
      </c>
      <c r="G9123" s="7" t="n">
        <f aca="false">Sens!G9119-wacc</f>
        <v>-0.0375291639517344</v>
      </c>
      <c r="H9123" s="7" t="n">
        <f aca="false">Sens!H9119-wacc</f>
        <v>-0.0519781082741398</v>
      </c>
      <c r="I9123" s="7" t="n">
        <f aca="false">Sens!I9119-wacc</f>
        <v>-0.0477027801113541</v>
      </c>
      <c r="J9123" s="7" t="n">
        <f aca="false">Sens!J9119-wacc</f>
        <v>-0.0423482836991756</v>
      </c>
      <c r="K9123" s="7" t="n">
        <f aca="false">Sens!K9119-wacc</f>
        <v>-0.0345023981122068</v>
      </c>
    </row>
    <row r="9124" customFormat="false" ht="17.15" hidden="false" customHeight="false" outlineLevel="0" collapsed="false">
      <c r="A9124" s="0" t="s">
        <v>858</v>
      </c>
      <c r="B9124" s="0" t="s">
        <v>98</v>
      </c>
      <c r="F9124" s="6" t="n">
        <f aca="false">Sens!F9117*(1-tax_f)-wacc*(Sens!E9118+Sens!F9118)/2</f>
        <v>-3.49328389872596</v>
      </c>
      <c r="G9124" s="6" t="n">
        <f aca="false">Sens!G9117*(1-tax_f)-wacc*(Sens!F9118+Sens!G9118)/2</f>
        <v>-12.0935913469437</v>
      </c>
      <c r="H9124" s="6" t="n">
        <f aca="false">Sens!H9117*(1-tax_f)-wacc*(Sens!G9118+Sens!H9118)/2</f>
        <v>-22.5544036546795</v>
      </c>
      <c r="I9124" s="6" t="n">
        <f aca="false">Sens!I9117*(1-tax_f)-wacc*(Sens!H9118+Sens!I9118)/2</f>
        <v>-24.3247616409883</v>
      </c>
      <c r="J9124" s="6" t="n">
        <f aca="false">Sens!J9117*(1-tax_f)-wacc*(Sens!I9118+Sens!J9118)/2</f>
        <v>-22.5894594373224</v>
      </c>
      <c r="K9124" s="6" t="n">
        <f aca="false">Sens!K9117*(1-tax_f)-wacc*(Sens!J9118+Sens!K9118)/2</f>
        <v>-17.8968947965267</v>
      </c>
    </row>
    <row r="9125" customFormat="false" ht="17.15" hidden="false" customHeight="false" outlineLevel="0" collapsed="false">
      <c r="A9125" s="3" t="s">
        <v>1472</v>
      </c>
    </row>
    <row r="9126" customFormat="false" ht="15" hidden="false" customHeight="false" outlineLevel="0" collapsed="false">
      <c r="A9126" s="4" t="s">
        <v>43</v>
      </c>
      <c r="B9126" s="4" t="s">
        <v>65</v>
      </c>
      <c r="C9126" s="20" t="s">
        <v>788</v>
      </c>
      <c r="D9126" s="20" t="s">
        <v>789</v>
      </c>
      <c r="E9126" s="20" t="s">
        <v>790</v>
      </c>
      <c r="F9126" s="20" t="s">
        <v>791</v>
      </c>
      <c r="G9126" s="20" t="s">
        <v>792</v>
      </c>
      <c r="H9126" s="20" t="s">
        <v>793</v>
      </c>
      <c r="I9126" s="20" t="s">
        <v>794</v>
      </c>
      <c r="J9126" s="20" t="s">
        <v>795</v>
      </c>
      <c r="K9126" s="20" t="s">
        <v>796</v>
      </c>
      <c r="L9126" s="4" t="s">
        <v>47</v>
      </c>
    </row>
    <row r="9127" customFormat="false" ht="15" hidden="false" customHeight="false" outlineLevel="0" collapsed="false">
      <c r="A9127" s="1" t="s">
        <v>915</v>
      </c>
      <c r="B9127" s="0" t="s">
        <v>98</v>
      </c>
      <c r="F9127" s="6" t="n">
        <f aca="false">Sens!F9108</f>
        <v>136.947957715833</v>
      </c>
      <c r="G9127" s="6" t="n">
        <f aca="false">Sens!G9108</f>
        <v>143.714849622273</v>
      </c>
      <c r="H9127" s="6" t="n">
        <f aca="false">Sens!H9108</f>
        <v>146.012638824333</v>
      </c>
      <c r="I9127" s="6" t="n">
        <f aca="false">Sens!I9108</f>
        <v>154.455761417739</v>
      </c>
      <c r="J9127" s="6" t="n">
        <f aca="false">Sens!J9108</f>
        <v>163.981631176505</v>
      </c>
      <c r="K9127" s="6" t="n">
        <f aca="false">Sens!K9108</f>
        <v>174.697381815955</v>
      </c>
    </row>
    <row r="9128" customFormat="false" ht="17.15" hidden="false" customHeight="false" outlineLevel="0" collapsed="false">
      <c r="A9128" s="1" t="s">
        <v>937</v>
      </c>
      <c r="B9128" s="0" t="s">
        <v>98</v>
      </c>
      <c r="E9128" s="6" t="n">
        <f aca="false">Q!M38-Sens!E9046</f>
        <v>22.2285940229167</v>
      </c>
      <c r="F9128" s="6" t="n">
        <f aca="false">Sens!E9128*(1-1/life_nonai)+Sens!F9134/life_nonai</f>
        <v>23.5476759435813</v>
      </c>
      <c r="G9128" s="6" t="n">
        <f aca="false">Sens!F9128*(1-1/life_nonai)+Sens!G9134/life_nonai</f>
        <v>25.2599025657684</v>
      </c>
      <c r="H9128" s="6" t="n">
        <f aca="false">Sens!G9128*(1-1/life_nonai)+Sens!H9134/life_nonai</f>
        <v>27.3328485552537</v>
      </c>
      <c r="I9128" s="6" t="n">
        <f aca="false">Sens!H9128*(1-1/life_nonai)+Sens!I9134/life_nonai</f>
        <v>29.7088689268856</v>
      </c>
      <c r="J9128" s="6" t="n">
        <f aca="false">Sens!I9128*(1-1/life_nonai)+Sens!J9134/life_nonai</f>
        <v>32.3125914843551</v>
      </c>
      <c r="K9128" s="6" t="n">
        <f aca="false">Sens!J9128*(1-1/life_nonai)+Sens!K9134/life_nonai</f>
        <v>35.0594977394137</v>
      </c>
      <c r="L9128" s="11" t="s">
        <v>938</v>
      </c>
    </row>
    <row r="9129" customFormat="false" ht="17.15" hidden="false" customHeight="false" outlineLevel="0" collapsed="false">
      <c r="A9129" s="1" t="s">
        <v>939</v>
      </c>
      <c r="B9129" s="0" t="s">
        <v>98</v>
      </c>
      <c r="E9129" s="6" t="n">
        <f aca="false">Sens!E9046+Sens!E9128</f>
        <v>38.534</v>
      </c>
      <c r="F9129" s="6" t="n">
        <f aca="false">Sens!F9046+Sens!F9128</f>
        <v>58.3015392327844</v>
      </c>
      <c r="G9129" s="6" t="n">
        <f aca="false">Sens!G9046+Sens!G9128</f>
        <v>85.7932914927747</v>
      </c>
      <c r="H9129" s="6" t="n">
        <f aca="false">Sens!H9046+Sens!H9128</f>
        <v>115.10182021506</v>
      </c>
      <c r="I9129" s="6" t="n">
        <f aca="false">Sens!I9046+Sens!I9128</f>
        <v>141.722564575773</v>
      </c>
      <c r="J9129" s="6" t="n">
        <f aca="false">Sens!J9046+Sens!J9128</f>
        <v>161.522958073688</v>
      </c>
      <c r="K9129" s="6" t="n">
        <f aca="false">Sens!K9046+Sens!K9128</f>
        <v>174.733800210554</v>
      </c>
    </row>
    <row r="9130" customFormat="false" ht="17.15" hidden="false" customHeight="false" outlineLevel="0" collapsed="false">
      <c r="A9130" s="1" t="s">
        <v>940</v>
      </c>
      <c r="B9130" s="0" t="s">
        <v>98</v>
      </c>
      <c r="F9130" s="6" t="n">
        <f aca="false">Sens!F9073*sbc_r</f>
        <v>14.7055929298096</v>
      </c>
      <c r="G9130" s="6" t="n">
        <f aca="false">Sens!G9073*sbc_r</f>
        <v>17.0458362658472</v>
      </c>
      <c r="H9130" s="6" t="n">
        <f aca="false">Sens!H9073*sbc_r</f>
        <v>19.2307699930696</v>
      </c>
      <c r="I9130" s="6" t="n">
        <f aca="false">Sens!I9073*sbc_r</f>
        <v>21.5134986798872</v>
      </c>
      <c r="J9130" s="6" t="n">
        <f aca="false">Sens!J9073*sbc_r</f>
        <v>23.4200647333051</v>
      </c>
      <c r="K9130" s="6" t="n">
        <f aca="false">Sens!K9073*sbc_r</f>
        <v>24.960751056686</v>
      </c>
    </row>
    <row r="9131" customFormat="false" ht="17.15" hidden="false" customHeight="false" outlineLevel="0" collapsed="false">
      <c r="A9131" s="1" t="s">
        <v>941</v>
      </c>
      <c r="B9131" s="0" t="s">
        <v>98</v>
      </c>
      <c r="F9131" s="6" t="n">
        <f aca="false">wc27</f>
        <v>-4.895</v>
      </c>
      <c r="G9131" s="6" t="n">
        <f aca="false">wc_f</f>
        <v>0</v>
      </c>
      <c r="H9131" s="6" t="n">
        <f aca="false">wc_f</f>
        <v>0</v>
      </c>
      <c r="I9131" s="6" t="n">
        <f aca="false">wc_f</f>
        <v>0</v>
      </c>
      <c r="J9131" s="6" t="n">
        <f aca="false">wc_f</f>
        <v>0</v>
      </c>
      <c r="K9131" s="6" t="n">
        <f aca="false">wc_f</f>
        <v>0</v>
      </c>
      <c r="L9131" s="11" t="s">
        <v>942</v>
      </c>
    </row>
    <row r="9132" customFormat="false" ht="15" hidden="false" customHeight="false" outlineLevel="0" collapsed="false">
      <c r="A9132" s="1" t="s">
        <v>756</v>
      </c>
      <c r="B9132" s="0" t="s">
        <v>98</v>
      </c>
      <c r="E9132" s="6" t="n">
        <f aca="false">Q!M35</f>
        <v>182.935</v>
      </c>
      <c r="F9132" s="6" t="n">
        <f aca="false">Sens!F9127+Sens!F9129+Sens!F9130+Sens!F9131</f>
        <v>205.060089878427</v>
      </c>
      <c r="G9132" s="6" t="n">
        <f aca="false">Sens!G9127+Sens!G9129+Sens!G9130+Sens!G9131</f>
        <v>246.553977380895</v>
      </c>
      <c r="H9132" s="6" t="n">
        <f aca="false">Sens!H9127+Sens!H9129+Sens!H9130+Sens!H9131</f>
        <v>280.345229032463</v>
      </c>
      <c r="I9132" s="6" t="n">
        <f aca="false">Sens!I9127+Sens!I9129+Sens!I9130+Sens!I9131</f>
        <v>317.6918246734</v>
      </c>
      <c r="J9132" s="6" t="n">
        <f aca="false">Sens!J9127+Sens!J9129+Sens!J9130+Sens!J9131</f>
        <v>348.924653983497</v>
      </c>
      <c r="K9132" s="6" t="n">
        <f aca="false">Sens!K9127+Sens!K9129+Sens!K9130+Sens!K9131</f>
        <v>374.391933083194</v>
      </c>
    </row>
    <row r="9133" customFormat="false" ht="17.15" hidden="false" customHeight="false" outlineLevel="0" collapsed="false">
      <c r="A9133" s="0" t="s">
        <v>943</v>
      </c>
      <c r="B9133" s="0" t="s">
        <v>98</v>
      </c>
      <c r="F9133" s="6" t="n">
        <f aca="false">Sens!F9043</f>
        <v>168.780586770438</v>
      </c>
      <c r="G9133" s="6" t="n">
        <f aca="false">Sens!G9043</f>
        <v>183.5741804832</v>
      </c>
      <c r="H9133" s="6" t="n">
        <f aca="false">Sens!H9043</f>
        <v>188.0802859104</v>
      </c>
      <c r="I9133" s="6" t="n">
        <f aca="false">Sens!I9043</f>
        <v>163.706669154245</v>
      </c>
      <c r="J9133" s="6" t="n">
        <f aca="false">Sens!J9043</f>
        <v>124.51247671809</v>
      </c>
      <c r="K9133" s="6" t="n">
        <f aca="false">Sens!K9043</f>
        <v>114.959435641936</v>
      </c>
    </row>
    <row r="9134" customFormat="false" ht="17.15" hidden="false" customHeight="false" outlineLevel="0" collapsed="false">
      <c r="A9134" s="1" t="s">
        <v>944</v>
      </c>
      <c r="B9134" s="0" t="s">
        <v>98</v>
      </c>
      <c r="E9134" s="6" t="n">
        <f aca="false">Sens!E9051*cx_azo+Sens!E9058*cx_m365+Sens!E9059*cx_lic+(Sens!E9061+Sens!E9063)*cx_ind+Sens!E9066*cx_srch+(Sens!E9068+Sens!E9070)*cx_dev</f>
        <v>30.1846587067718</v>
      </c>
      <c r="F9134" s="6" t="n">
        <f aca="false">Sens!F9051*cx_azo+Sens!F9058*cx_m365+Sens!F9059*cx_lic+(Sens!F9061+Sens!F9063)*cx_ind+Sens!F9066*cx_srch+(Sens!F9068+Sens!F9070)*cx_dev</f>
        <v>35.4194132295625</v>
      </c>
      <c r="G9134" s="6" t="n">
        <f aca="false">Sens!G9051*cx_azo+Sens!G9058*cx_m365+Sens!G9059*cx_lic+(Sens!G9061+Sens!G9063)*cx_ind+Sens!G9066*cx_srch+(Sens!G9068+Sens!G9070)*cx_dev</f>
        <v>40.6699421654528</v>
      </c>
      <c r="H9134" s="6" t="n">
        <f aca="false">Sens!H9051*cx_azo+Sens!H9058*cx_m365+Sens!H9059*cx_lic+(Sens!H9061+Sens!H9063)*cx_ind+Sens!H9066*cx_srch+(Sens!H9068+Sens!H9070)*cx_dev</f>
        <v>45.9893624606218</v>
      </c>
      <c r="I9134" s="6" t="n">
        <f aca="false">Sens!I9051*cx_azo+Sens!I9058*cx_m365+Sens!I9059*cx_lic+(Sens!I9061+Sens!I9063)*cx_ind+Sens!I9066*cx_srch+(Sens!I9068+Sens!I9070)*cx_dev</f>
        <v>51.0930522715721</v>
      </c>
      <c r="J9134" s="6" t="n">
        <f aca="false">Sens!J9051*cx_azo+Sens!J9058*cx_m365+Sens!J9059*cx_lic+(Sens!J9061+Sens!J9063)*cx_ind+Sens!J9066*cx_srch+(Sens!J9068+Sens!J9070)*cx_dev</f>
        <v>55.746094501581</v>
      </c>
      <c r="K9134" s="6" t="n">
        <f aca="false">Sens!K9051*cx_azo+Sens!K9058*cx_m365+Sens!K9059*cx_lic+(Sens!K9061+Sens!K9063)*cx_ind+Sens!K9066*cx_srch+(Sens!K9068+Sens!K9070)*cx_dev</f>
        <v>59.7816540349409</v>
      </c>
    </row>
    <row r="9135" customFormat="false" ht="17.15" hidden="false" customHeight="false" outlineLevel="0" collapsed="false">
      <c r="A9135" s="1" t="s">
        <v>945</v>
      </c>
      <c r="B9135" s="0" t="s">
        <v>98</v>
      </c>
      <c r="E9135" s="6" t="n">
        <f aca="false">Q!M42</f>
        <v>145.3</v>
      </c>
      <c r="F9135" s="6" t="n">
        <f aca="false">Sens!F9133+Sens!F9134</f>
        <v>204.2</v>
      </c>
      <c r="G9135" s="6" t="n">
        <f aca="false">Sens!G9133+Sens!G9134</f>
        <v>224.244122648653</v>
      </c>
      <c r="H9135" s="6" t="n">
        <f aca="false">Sens!H9133+Sens!H9134</f>
        <v>234.069648371022</v>
      </c>
      <c r="I9135" s="6" t="n">
        <f aca="false">Sens!I9133+Sens!I9134</f>
        <v>214.799721425818</v>
      </c>
      <c r="J9135" s="6" t="n">
        <f aca="false">Sens!J9133+Sens!J9134</f>
        <v>180.258571219671</v>
      </c>
      <c r="K9135" s="6" t="n">
        <f aca="false">Sens!K9133+Sens!K9134</f>
        <v>174.741089676877</v>
      </c>
      <c r="L9135" s="1" t="s">
        <v>946</v>
      </c>
    </row>
    <row r="9136" customFormat="false" ht="15" hidden="false" customHeight="false" outlineLevel="0" collapsed="false">
      <c r="A9136" s="1" t="s">
        <v>947</v>
      </c>
      <c r="B9136" s="0" t="s">
        <v>98</v>
      </c>
      <c r="E9136" s="6" t="n">
        <f aca="false">fl_liab</f>
        <v>66.594</v>
      </c>
      <c r="F9136" s="6" t="n">
        <f aca="false">Sens!E9136-Sens!F9137</f>
        <v>62.46973</v>
      </c>
      <c r="G9136" s="6" t="n">
        <f aca="false">Sens!F9136-Sens!G9137</f>
        <v>57.98686785</v>
      </c>
      <c r="H9136" s="6" t="n">
        <f aca="false">Sens!G9136-Sens!H9137</f>
        <v>53.92827690325</v>
      </c>
      <c r="I9136" s="6" t="n">
        <f aca="false">Sens!H9136-Sens!I9137</f>
        <v>49.7850493638962</v>
      </c>
      <c r="J9136" s="6" t="n">
        <f aca="false">Sens!I9136-Sens!J9137</f>
        <v>45.4823765852716</v>
      </c>
      <c r="K9136" s="6" t="n">
        <f aca="false">Sens!J9136-Sens!K9137</f>
        <v>40.9860835316088</v>
      </c>
    </row>
    <row r="9137" customFormat="false" ht="15" hidden="false" customHeight="false" outlineLevel="0" collapsed="false">
      <c r="A9137" s="1" t="s">
        <v>948</v>
      </c>
      <c r="B9137" s="0" t="s">
        <v>98</v>
      </c>
      <c r="F9137" s="6" t="n">
        <f aca="false">fl_pay_27-Sens!E9136*fl_rate</f>
        <v>4.12427</v>
      </c>
      <c r="G9137" s="6" t="n">
        <f aca="false">fl_pay_28-Sens!F9136*fl_rate</f>
        <v>4.48286215</v>
      </c>
      <c r="H9137" s="6" t="n">
        <f aca="false">fl_pay_29-Sens!G9136*fl_rate</f>
        <v>4.05859094675</v>
      </c>
      <c r="I9137" s="6" t="n">
        <f aca="false">fl_pay_30-Sens!H9136*fl_rate</f>
        <v>4.14322753935375</v>
      </c>
      <c r="J9137" s="6" t="n">
        <f aca="false">fl_pay_31-Sens!I9136*fl_rate</f>
        <v>4.30267277862467</v>
      </c>
      <c r="K9137" s="6" t="n">
        <f aca="false">fl_pay_32-Sens!J9136*fl_rate</f>
        <v>4.49629305366278</v>
      </c>
    </row>
    <row r="9138" customFormat="false" ht="17.15" hidden="false" customHeight="false" outlineLevel="0" collapsed="false">
      <c r="A9138" s="1" t="s">
        <v>949</v>
      </c>
      <c r="B9138" s="0" t="s">
        <v>98</v>
      </c>
      <c r="E9138" s="6" t="n">
        <f aca="false">Q!M35-Q!M36-Q!M43</f>
        <v>63.886</v>
      </c>
      <c r="F9138" s="6" t="n">
        <f aca="false">Sens!F9132-Sens!F9135-Sens!F9137</f>
        <v>-3.26418012157288</v>
      </c>
      <c r="G9138" s="6" t="n">
        <f aca="false">Sens!G9132-Sens!G9135-Sens!G9137</f>
        <v>17.826992582242</v>
      </c>
      <c r="H9138" s="6" t="n">
        <f aca="false">Sens!H9132-Sens!H9135-Sens!H9137</f>
        <v>42.216989714691</v>
      </c>
      <c r="I9138" s="6" t="n">
        <f aca="false">Sens!I9132-Sens!I9135-Sens!I9137</f>
        <v>98.7488757082288</v>
      </c>
      <c r="J9138" s="6" t="n">
        <f aca="false">Sens!J9132-Sens!J9135-Sens!J9137</f>
        <v>164.363409985201</v>
      </c>
      <c r="K9138" s="6" t="n">
        <f aca="false">Sens!K9132-Sens!K9135-Sens!K9137</f>
        <v>195.154550352655</v>
      </c>
      <c r="L9138" s="11" t="s">
        <v>950</v>
      </c>
    </row>
    <row r="9139" customFormat="false" ht="15" hidden="false" customHeight="false" outlineLevel="0" collapsed="false">
      <c r="A9139" s="1" t="s">
        <v>951</v>
      </c>
      <c r="B9139" s="0" t="s">
        <v>75</v>
      </c>
      <c r="F9139" s="8" t="n">
        <f aca="false">dps_27</f>
        <v>3.85</v>
      </c>
      <c r="G9139" s="8" t="n">
        <f aca="false">Sens!F9139*(1+dps_g)</f>
        <v>4.158</v>
      </c>
      <c r="H9139" s="8" t="n">
        <f aca="false">Sens!G9139*(1+dps_g)</f>
        <v>4.49064</v>
      </c>
      <c r="I9139" s="8" t="n">
        <f aca="false">Sens!H9139*(1+dps_g)</f>
        <v>4.8498912</v>
      </c>
      <c r="J9139" s="8" t="n">
        <f aca="false">Sens!I9139*(1+dps_g)</f>
        <v>5.237882496</v>
      </c>
      <c r="K9139" s="8" t="n">
        <f aca="false">Sens!J9139*(1+dps_g)</f>
        <v>5.65691309568</v>
      </c>
    </row>
    <row r="9140" customFormat="false" ht="17.15" hidden="false" customHeight="false" outlineLevel="0" collapsed="false">
      <c r="A9140" s="1" t="s">
        <v>952</v>
      </c>
      <c r="B9140" s="0" t="s">
        <v>98</v>
      </c>
      <c r="E9140" s="6" t="n">
        <f aca="false">Q!M41</f>
        <v>26.445</v>
      </c>
      <c r="F9140" s="6" t="n">
        <f aca="false">Sens!F9139*Sens!E9149</f>
        <v>28.59395</v>
      </c>
      <c r="G9140" s="6" t="n">
        <f aca="false">Sens!G9139*Sens!F9149</f>
        <v>31.068576</v>
      </c>
      <c r="H9140" s="6" t="n">
        <f aca="false">Sens!H9139*Sens!G9149</f>
        <v>33.75614088</v>
      </c>
      <c r="I9140" s="6" t="n">
        <f aca="false">Sens!I9139*Sens!H9149</f>
        <v>36.6263490971282</v>
      </c>
      <c r="J9140" s="6" t="n">
        <f aca="false">Sens!J9139*Sens!I9149</f>
        <v>39.6248558732179</v>
      </c>
      <c r="K9140" s="6" t="n">
        <f aca="false">Sens!K9139*Sens!J9149</f>
        <v>42.8820995683804</v>
      </c>
      <c r="L9140" s="1" t="s">
        <v>953</v>
      </c>
    </row>
    <row r="9141" customFormat="false" ht="15" hidden="false" customHeight="false" outlineLevel="0" collapsed="false">
      <c r="A9141" s="1" t="s">
        <v>954</v>
      </c>
      <c r="B9141" s="0" t="s">
        <v>98</v>
      </c>
      <c r="E9141" s="6" t="n">
        <f aca="false">Sens!E9138-Sens!E9140</f>
        <v>37.441</v>
      </c>
      <c r="F9141" s="6" t="n">
        <f aca="false">Sens!F9138-Sens!F9140</f>
        <v>-31.8581301215729</v>
      </c>
      <c r="G9141" s="6" t="n">
        <f aca="false">Sens!G9138-Sens!G9140</f>
        <v>-13.241583417758</v>
      </c>
      <c r="H9141" s="6" t="n">
        <f aca="false">Sens!H9138-Sens!H9140</f>
        <v>8.46084883469095</v>
      </c>
      <c r="I9141" s="6" t="n">
        <f aca="false">Sens!I9138-Sens!I9140</f>
        <v>62.1225266111007</v>
      </c>
      <c r="J9141" s="6" t="n">
        <f aca="false">Sens!J9138-Sens!J9140</f>
        <v>124.738554111983</v>
      </c>
      <c r="K9141" s="6" t="n">
        <f aca="false">Sens!K9138-Sens!K9140</f>
        <v>152.272450784274</v>
      </c>
    </row>
    <row r="9142" customFormat="false" ht="15" hidden="false" customHeight="false" outlineLevel="0" collapsed="false">
      <c r="A9142" s="1" t="s">
        <v>955</v>
      </c>
      <c r="B9142" s="0" t="s">
        <v>98</v>
      </c>
      <c r="F9142" s="6" t="n">
        <f aca="false">debt_mat_27</f>
        <v>9.25</v>
      </c>
      <c r="G9142" s="6" t="n">
        <f aca="false">debt_mat_28</f>
        <v>0</v>
      </c>
      <c r="H9142" s="6" t="n">
        <f aca="false">debt_mat_29</f>
        <v>2.001</v>
      </c>
      <c r="I9142" s="6" t="n">
        <f aca="false">debt_mat_30</f>
        <v>0</v>
      </c>
      <c r="J9142" s="6" t="n">
        <f aca="false">debt_mat_31</f>
        <v>0.5</v>
      </c>
      <c r="K9142" s="6" t="n">
        <f aca="false">debt_mat_32</f>
        <v>0</v>
      </c>
    </row>
    <row r="9143" customFormat="false" ht="15" hidden="false" customHeight="false" outlineLevel="0" collapsed="false">
      <c r="A9143" s="1" t="s">
        <v>956</v>
      </c>
      <c r="B9143" s="0" t="s">
        <v>98</v>
      </c>
      <c r="E9143" s="6" t="n">
        <f aca="false">Q!M40</f>
        <v>22.271</v>
      </c>
      <c r="F9143" s="6" t="n">
        <f aca="false">MAX(0,MIN(bb_target,Sens!E9145+Sens!F9141-Sens!F9142-min_cash))</f>
        <v>0</v>
      </c>
      <c r="G9143" s="6" t="n">
        <f aca="false">MAX(0,MIN(bb_target,Sens!F9145+Sens!G9141-Sens!G9142-min_cash))</f>
        <v>0</v>
      </c>
      <c r="H9143" s="6" t="n">
        <f aca="false">MAX(0,MIN(bb_target,Sens!G9145+Sens!H9141-Sens!H9142-min_cash))</f>
        <v>6.45984883469095</v>
      </c>
      <c r="I9143" s="6" t="n">
        <f aca="false">MAX(0,MIN(bb_target,Sens!H9145+Sens!I9141-Sens!I9142-min_cash))</f>
        <v>22.271</v>
      </c>
      <c r="J9143" s="6" t="n">
        <f aca="false">MAX(0,MIN(bb_target,Sens!I9145+Sens!J9141-Sens!J9142-min_cash))</f>
        <v>22.271</v>
      </c>
      <c r="K9143" s="6" t="n">
        <f aca="false">MAX(0,MIN(bb_target,Sens!J9145+Sens!K9141-Sens!K9142-min_cash))</f>
        <v>22.271</v>
      </c>
    </row>
    <row r="9144" customFormat="false" ht="15" hidden="false" customHeight="false" outlineLevel="0" collapsed="false">
      <c r="A9144" s="1" t="s">
        <v>957</v>
      </c>
      <c r="B9144" s="0" t="s">
        <v>98</v>
      </c>
      <c r="F9144" s="6" t="n">
        <f aca="false">MAX(0,min_cash-(Sens!E9145+Sens!F9141-Sens!F9142-Sens!F9143))</f>
        <v>14.2651301215729</v>
      </c>
      <c r="G9144" s="6" t="n">
        <f aca="false">MAX(0,min_cash-(Sens!F9145+Sens!G9141-Sens!G9142-Sens!G9143))</f>
        <v>13.241583417758</v>
      </c>
      <c r="H9144" s="6" t="n">
        <f aca="false">MAX(0,min_cash-(Sens!G9145+Sens!H9141-Sens!H9142-Sens!H9143))</f>
        <v>0</v>
      </c>
      <c r="I9144" s="6" t="n">
        <f aca="false">MAX(0,min_cash-(Sens!H9145+Sens!I9141-Sens!I9142-Sens!I9143))</f>
        <v>0</v>
      </c>
      <c r="J9144" s="6" t="n">
        <f aca="false">MAX(0,min_cash-(Sens!I9145+Sens!J9141-Sens!J9142-Sens!J9143))</f>
        <v>0</v>
      </c>
      <c r="K9144" s="6" t="n">
        <f aca="false">MAX(0,min_cash-(Sens!J9145+Sens!K9141-Sens!K9142-Sens!K9143))</f>
        <v>0</v>
      </c>
    </row>
    <row r="9145" customFormat="false" ht="15" hidden="false" customHeight="false" outlineLevel="0" collapsed="false">
      <c r="A9145" s="1" t="s">
        <v>958</v>
      </c>
      <c r="B9145" s="0" t="s">
        <v>98</v>
      </c>
      <c r="E9145" s="6" t="n">
        <f aca="false">cash_open</f>
        <v>76.843</v>
      </c>
      <c r="F9145" s="6" t="n">
        <f aca="false">Sens!E9145+Sens!F9141-Sens!F9142-Sens!F9143+Sens!F9144</f>
        <v>50</v>
      </c>
      <c r="G9145" s="6" t="n">
        <f aca="false">Sens!F9145+Sens!G9141-Sens!G9142-Sens!G9143+Sens!G9144</f>
        <v>50</v>
      </c>
      <c r="H9145" s="6" t="n">
        <f aca="false">Sens!G9145+Sens!H9141-Sens!H9142-Sens!H9143+Sens!H9144</f>
        <v>50</v>
      </c>
      <c r="I9145" s="6" t="n">
        <f aca="false">Sens!H9145+Sens!I9141-Sens!I9142-Sens!I9143+Sens!I9144</f>
        <v>89.8515266111007</v>
      </c>
      <c r="J9145" s="6" t="n">
        <f aca="false">Sens!I9145+Sens!J9141-Sens!J9142-Sens!J9143+Sens!J9144</f>
        <v>191.819080723084</v>
      </c>
      <c r="K9145" s="6" t="n">
        <f aca="false">Sens!J9145+Sens!K9141-Sens!K9142-Sens!K9143+Sens!K9144</f>
        <v>321.820531507358</v>
      </c>
    </row>
    <row r="9146" customFormat="false" ht="15" hidden="false" customHeight="false" outlineLevel="0" collapsed="false">
      <c r="A9146" s="1" t="s">
        <v>959</v>
      </c>
      <c r="B9146" s="0" t="s">
        <v>98</v>
      </c>
      <c r="E9146" s="6" t="n">
        <f aca="false">debt_face</f>
        <v>46.136</v>
      </c>
      <c r="F9146" s="6" t="n">
        <f aca="false">Sens!E9146-Sens!F9142+Sens!F9144</f>
        <v>51.1511301215729</v>
      </c>
      <c r="G9146" s="6" t="n">
        <f aca="false">Sens!F9146-Sens!G9142+Sens!G9144</f>
        <v>64.3927135393309</v>
      </c>
      <c r="H9146" s="6" t="n">
        <f aca="false">Sens!G9146-Sens!H9142+Sens!H9144</f>
        <v>62.3917135393309</v>
      </c>
      <c r="I9146" s="6" t="n">
        <f aca="false">Sens!H9146-Sens!I9142+Sens!I9144</f>
        <v>62.3917135393309</v>
      </c>
      <c r="J9146" s="6" t="n">
        <f aca="false">Sens!I9146-Sens!J9142+Sens!J9144</f>
        <v>61.8917135393309</v>
      </c>
      <c r="K9146" s="6" t="n">
        <f aca="false">Sens!J9146-Sens!K9142+Sens!K9144</f>
        <v>61.8917135393309</v>
      </c>
    </row>
    <row r="9147" customFormat="false" ht="15" hidden="false" customHeight="false" outlineLevel="0" collapsed="false">
      <c r="A9147" s="1" t="s">
        <v>960</v>
      </c>
      <c r="B9147" s="0" t="s">
        <v>98</v>
      </c>
      <c r="E9147" s="6" t="n">
        <f aca="false">Sens!E9145-Sens!E9146</f>
        <v>30.707</v>
      </c>
      <c r="F9147" s="6" t="n">
        <f aca="false">Sens!F9145-Sens!F9146</f>
        <v>-1.15113012157288</v>
      </c>
      <c r="G9147" s="6" t="n">
        <f aca="false">Sens!G9145-Sens!G9146</f>
        <v>-14.3927135393309</v>
      </c>
      <c r="H9147" s="6" t="n">
        <f aca="false">Sens!H9145-Sens!H9146</f>
        <v>-12.3917135393309</v>
      </c>
      <c r="I9147" s="6" t="n">
        <f aca="false">Sens!I9145-Sens!I9146</f>
        <v>27.4598130717698</v>
      </c>
      <c r="J9147" s="6" t="n">
        <f aca="false">Sens!J9145-Sens!J9146</f>
        <v>129.927367183753</v>
      </c>
      <c r="K9147" s="6" t="n">
        <f aca="false">Sens!K9145-Sens!K9146</f>
        <v>259.928817968027</v>
      </c>
    </row>
    <row r="9148" customFormat="false" ht="15" hidden="false" customHeight="false" outlineLevel="0" collapsed="false">
      <c r="A9148" s="1" t="s">
        <v>961</v>
      </c>
      <c r="B9148" s="0" t="s">
        <v>75</v>
      </c>
      <c r="F9148" s="29" t="n">
        <f aca="false">px*(1+bb_g)^(Sens!F9012-base_fy-mid_yr)</f>
        <v>553.494156066711</v>
      </c>
      <c r="G9148" s="29" t="n">
        <f aca="false">px*(1+bb_g)^(Sens!G9012-base_fy-mid_yr)</f>
        <v>597.773688552047</v>
      </c>
      <c r="H9148" s="29" t="n">
        <f aca="false">px*(1+bb_g)^(Sens!H9012-base_fy-mid_yr)</f>
        <v>645.595583636211</v>
      </c>
      <c r="I9148" s="29" t="n">
        <f aca="false">px*(1+bb_g)^(Sens!I9012-base_fy-mid_yr)</f>
        <v>697.243230327108</v>
      </c>
      <c r="J9148" s="29" t="n">
        <f aca="false">px*(1+bb_g)^(Sens!J9012-base_fy-mid_yr)</f>
        <v>753.022688753277</v>
      </c>
      <c r="K9148" s="29" t="n">
        <f aca="false">px*(1+bb_g)^(Sens!K9012-base_fy-mid_yr)</f>
        <v>813.264503853539</v>
      </c>
    </row>
    <row r="9149" customFormat="false" ht="15" hidden="false" customHeight="false" outlineLevel="0" collapsed="false">
      <c r="A9149" s="1" t="s">
        <v>962</v>
      </c>
      <c r="B9149" s="1" t="s">
        <v>81</v>
      </c>
      <c r="E9149" s="14" t="n">
        <f aca="false">sh_out26</f>
        <v>7.427</v>
      </c>
      <c r="F9149" s="14" t="n">
        <f aca="false">Sens!E9149+sh_iss-Sens!F9143/Sens!F9148</f>
        <v>7.472</v>
      </c>
      <c r="G9149" s="14" t="n">
        <f aca="false">Sens!F9149+sh_iss-Sens!G9143/Sens!G9148</f>
        <v>7.517</v>
      </c>
      <c r="H9149" s="14" t="n">
        <f aca="false">Sens!G9149+sh_iss-Sens!H9143/Sens!H9148</f>
        <v>7.55199396991177</v>
      </c>
      <c r="I9149" s="14" t="n">
        <f aca="false">Sens!H9149+sh_iss-Sens!I9143/Sens!I9148</f>
        <v>7.5650524622265</v>
      </c>
      <c r="J9149" s="14" t="n">
        <f aca="false">Sens!I9149+sh_iss-Sens!J9143/Sens!J9148</f>
        <v>7.58047699214754</v>
      </c>
      <c r="K9149" s="14" t="n">
        <f aca="false">Sens!J9149+sh_iss-Sens!K9143/Sens!K9148</f>
        <v>7.59809229762998</v>
      </c>
    </row>
    <row r="9150" customFormat="false" ht="15" hidden="false" customHeight="false" outlineLevel="0" collapsed="false">
      <c r="A9150" s="1" t="s">
        <v>963</v>
      </c>
      <c r="B9150" s="1" t="s">
        <v>81</v>
      </c>
      <c r="E9150" s="14" t="n">
        <f aca="false">sh_dil26</f>
        <v>7.453</v>
      </c>
      <c r="F9150" s="14" t="n">
        <f aca="false">(Sens!E9149+Sens!F9149)/2+dil_gap</f>
        <v>7.4735</v>
      </c>
      <c r="G9150" s="14" t="n">
        <f aca="false">(Sens!F9149+Sens!G9149)/2+dil_gap</f>
        <v>7.5185</v>
      </c>
      <c r="H9150" s="14" t="n">
        <f aca="false">(Sens!G9149+Sens!H9149)/2+dil_gap</f>
        <v>7.55849698495589</v>
      </c>
      <c r="I9150" s="14" t="n">
        <f aca="false">(Sens!H9149+Sens!I9149)/2+dil_gap</f>
        <v>7.58252321606913</v>
      </c>
      <c r="J9150" s="14" t="n">
        <f aca="false">(Sens!I9149+Sens!J9149)/2+dil_gap</f>
        <v>7.59676472718702</v>
      </c>
      <c r="K9150" s="14" t="n">
        <f aca="false">(Sens!J9149+Sens!K9149)/2+dil_gap</f>
        <v>7.61328464488876</v>
      </c>
    </row>
    <row r="9151" customFormat="false" ht="17.15" hidden="false" customHeight="false" outlineLevel="0" collapsed="false">
      <c r="A9151" s="1" t="s">
        <v>964</v>
      </c>
      <c r="B9151" s="0" t="s">
        <v>98</v>
      </c>
      <c r="C9151" s="6" t="n">
        <f aca="false">SUM(Sens!F9141:J9141)</f>
        <v>150.222216018444</v>
      </c>
    </row>
    <row r="9152" customFormat="false" ht="15" hidden="false" customHeight="false" outlineLevel="0" collapsed="false">
      <c r="A9152" s="23" t="s">
        <v>935</v>
      </c>
      <c r="B9152" s="30" t="s">
        <v>98</v>
      </c>
      <c r="C9152" s="24" t="n">
        <f aca="false">Sens!$C$9151-(Sens!F9141+Sens!G9141+Sens!H9141+Sens!I9141+Sens!J9141)</f>
        <v>0</v>
      </c>
      <c r="D9152" s="30"/>
      <c r="E9152" s="30"/>
      <c r="F9152" s="30"/>
      <c r="G9152" s="30"/>
      <c r="H9152" s="30"/>
      <c r="I9152" s="30"/>
      <c r="J9152" s="30"/>
      <c r="K9152" s="30"/>
    </row>
    <row r="9153" customFormat="false" ht="17.15" hidden="false" customHeight="false" outlineLevel="0" collapsed="false">
      <c r="A9153" s="1" t="s">
        <v>929</v>
      </c>
      <c r="B9153" s="1" t="s">
        <v>965</v>
      </c>
      <c r="C9153" s="32" t="str">
        <f aca="false">IF(SUM(Sens!F9144:J9144)&gt;0.05,"需要舉債 "&amp;TEXT(SUM(Sens!F9144:J9144),"0.0")&amp;" 十億美元","不需舉債")&amp;"；"&amp;IF(SUM(Sens!F9143:J9143)&lt;COUNT(Sens!F9143:J9143)*bb_target-0.05,"回購較每年 "&amp;TEXT(bb_target,"0.0")&amp;" 的目標少 "&amp;TEXT(COUNT(Sens!F9143:J9143)*bb_target-SUM(Sens!F9143:J9143),"0.0")&amp;" 十億美元（"&amp;TEXT(COUNTIF(Sens!F9143:J9143,"&lt;"&amp;(bb_target-0.05)),"0")&amp;" 年減少）","回購不減")</f>
        <v>需要舉債 27.5 十億美元；回購較每年 22.3 的目標少 60.4 十億美元（3 年減少）</v>
      </c>
    </row>
    <row r="9154" customFormat="false" ht="17.15" hidden="false" customHeight="false" outlineLevel="0" collapsed="false">
      <c r="A9154" s="3" t="s">
        <v>1473</v>
      </c>
    </row>
    <row r="9155" customFormat="false" ht="15" hidden="false" customHeight="false" outlineLevel="0" collapsed="false">
      <c r="A9155" s="4" t="s">
        <v>43</v>
      </c>
      <c r="B9155" s="4" t="s">
        <v>65</v>
      </c>
      <c r="C9155" s="20" t="s">
        <v>788</v>
      </c>
      <c r="D9155" s="20" t="s">
        <v>789</v>
      </c>
      <c r="E9155" s="20" t="s">
        <v>790</v>
      </c>
      <c r="F9155" s="20" t="s">
        <v>791</v>
      </c>
      <c r="G9155" s="20" t="s">
        <v>792</v>
      </c>
      <c r="H9155" s="20" t="s">
        <v>793</v>
      </c>
      <c r="I9155" s="20" t="s">
        <v>794</v>
      </c>
      <c r="J9155" s="20" t="s">
        <v>795</v>
      </c>
      <c r="K9155" s="20" t="s">
        <v>796</v>
      </c>
      <c r="L9155" s="4" t="s">
        <v>47</v>
      </c>
    </row>
    <row r="9156" customFormat="false" ht="15" hidden="false" customHeight="false" outlineLevel="0" collapsed="false">
      <c r="A9156" s="1" t="s">
        <v>1042</v>
      </c>
      <c r="B9156" s="1" t="s">
        <v>235</v>
      </c>
      <c r="F9156" s="36" t="n">
        <f aca="false">Sens!F9012-base_fy-mid_yr</f>
        <v>0.5</v>
      </c>
      <c r="G9156" s="36" t="n">
        <f aca="false">Sens!G9012-base_fy-mid_yr</f>
        <v>1.5</v>
      </c>
      <c r="H9156" s="36" t="n">
        <f aca="false">Sens!H9012-base_fy-mid_yr</f>
        <v>2.5</v>
      </c>
      <c r="I9156" s="36" t="n">
        <f aca="false">Sens!I9012-base_fy-mid_yr</f>
        <v>3.5</v>
      </c>
      <c r="J9156" s="36" t="n">
        <f aca="false">Sens!J9012-base_fy-mid_yr</f>
        <v>4.5</v>
      </c>
      <c r="K9156" s="36" t="n">
        <f aca="false">Sens!K9012-base_fy-mid_yr</f>
        <v>5.5</v>
      </c>
    </row>
    <row r="9157" customFormat="false" ht="15" hidden="false" customHeight="false" outlineLevel="0" collapsed="false">
      <c r="A9157" s="1" t="s">
        <v>1043</v>
      </c>
      <c r="B9157" s="0" t="s">
        <v>185</v>
      </c>
      <c r="F9157" s="14" t="n">
        <f aca="false">1/(1+wacc)^Sens!F9156</f>
        <v>0.952193373608246</v>
      </c>
      <c r="G9157" s="14" t="n">
        <f aca="false">1/(1+wacc)^Sens!G9156</f>
        <v>0.863327280626589</v>
      </c>
      <c r="H9157" s="14" t="n">
        <f aca="false">1/(1+wacc)^Sens!H9156</f>
        <v>0.782754862754115</v>
      </c>
      <c r="I9157" s="14" t="n">
        <f aca="false">1/(1+wacc)^Sens!I9156</f>
        <v>0.709702089711011</v>
      </c>
      <c r="J9157" s="14" t="n">
        <f aca="false">1/(1+wacc)^Sens!J9156</f>
        <v>0.643467169744551</v>
      </c>
      <c r="K9157" s="14" t="n">
        <f aca="false">1/(1+wacc)^Sens!K9156</f>
        <v>0.583413807767797</v>
      </c>
    </row>
    <row r="9158" customFormat="false" ht="17.15" hidden="false" customHeight="false" outlineLevel="0" collapsed="false">
      <c r="A9158" s="1" t="s">
        <v>1044</v>
      </c>
      <c r="B9158" s="0" t="s">
        <v>98</v>
      </c>
      <c r="F9158" s="6" t="n">
        <f aca="false">Sens!F9132-Sens!F9130-Sens!F9135+Sens!F9116*(1-tax_f)</f>
        <v>2.78830054251717</v>
      </c>
      <c r="G9158" s="6" t="n">
        <f aca="false">Sens!G9132-Sens!G9130-Sens!G9135+Sens!G9116*(1-tax_f)</f>
        <v>35.4282244846866</v>
      </c>
      <c r="H9158" s="6" t="n">
        <f aca="false">Sens!H9132-Sens!H9130-Sens!H9135+Sens!H9116*(1-tax_f)</f>
        <v>71.8213839854155</v>
      </c>
      <c r="I9158" s="6" t="n">
        <f aca="false">Sens!I9132-Sens!I9130-Sens!I9135+Sens!I9116*(1-tax_f)</f>
        <v>139.287546499498</v>
      </c>
      <c r="J9158" s="6" t="n">
        <f aca="false">Sens!J9132-Sens!J9130-Sens!J9135+Sens!J9116*(1-tax_f)</f>
        <v>212.330941406792</v>
      </c>
      <c r="K9158" s="6" t="n">
        <f aca="false">Sens!K9132-Sens!K9130-Sens!K9135+Sens!K9116*(1-tax_f)</f>
        <v>247.173828440694</v>
      </c>
      <c r="L9158" s="1" t="s">
        <v>1045</v>
      </c>
    </row>
    <row r="9159" customFormat="false" ht="15" hidden="false" customHeight="false" outlineLevel="0" collapsed="false">
      <c r="A9159" s="1" t="s">
        <v>1046</v>
      </c>
      <c r="B9159" s="0" t="s">
        <v>98</v>
      </c>
      <c r="F9159" s="6" t="n">
        <f aca="false">Sens!F9158*Sens!F9157</f>
        <v>2.65500130021313</v>
      </c>
      <c r="G9159" s="6" t="n">
        <f aca="false">Sens!G9158*Sens!G9157</f>
        <v>30.5861527017928</v>
      </c>
      <c r="H9159" s="6" t="n">
        <f aca="false">Sens!H9158*Sens!H9157</f>
        <v>56.2185375643146</v>
      </c>
      <c r="I9159" s="6" t="n">
        <f aca="false">Sens!I9158*Sens!I9157</f>
        <v>98.8526628214131</v>
      </c>
      <c r="J9159" s="6" t="n">
        <f aca="false">Sens!J9158*Sens!J9157</f>
        <v>136.627989916224</v>
      </c>
      <c r="K9159" s="6" t="n">
        <f aca="false">Sens!K9158*Sens!K9157</f>
        <v>144.204624431129</v>
      </c>
    </row>
    <row r="9160" customFormat="false" ht="17.15" hidden="false" customHeight="false" outlineLevel="0" collapsed="false">
      <c r="A9160" s="1" t="s">
        <v>1047</v>
      </c>
      <c r="B9160" s="0" t="s">
        <v>98</v>
      </c>
      <c r="C9160" s="6" t="n">
        <f aca="false">SUM(Sens!F9159:K9159)</f>
        <v>469.144968735087</v>
      </c>
    </row>
    <row r="9161" customFormat="false" ht="17.15" hidden="false" customHeight="false" outlineLevel="0" collapsed="false">
      <c r="A9161" s="1" t="s">
        <v>1048</v>
      </c>
      <c r="B9161" s="0" t="s">
        <v>98</v>
      </c>
      <c r="C9161" s="6" t="n">
        <f aca="false">Sens!K9102*(1+g_tv)*(1-tax_f)</f>
        <v>254.926151444227</v>
      </c>
    </row>
    <row r="9162" customFormat="false" ht="17.15" hidden="false" customHeight="false" outlineLevel="0" collapsed="false">
      <c r="A9162" s="1" t="s">
        <v>1049</v>
      </c>
      <c r="B9162" s="0" t="s">
        <v>98</v>
      </c>
      <c r="C9162" s="6" t="n">
        <f aca="false">Sens!$C$9161*(1-g_tv/(wacc+ronic_prem))</f>
        <v>180.628510903518</v>
      </c>
    </row>
    <row r="9163" customFormat="false" ht="17.15" hidden="false" customHeight="false" outlineLevel="0" collapsed="false">
      <c r="A9163" s="1" t="s">
        <v>1050</v>
      </c>
      <c r="B9163" s="0" t="s">
        <v>98</v>
      </c>
      <c r="C9163" s="6" t="n">
        <f aca="false">Sens!$C$9162/(wacc-g_tv)</f>
        <v>2476.58801802363</v>
      </c>
    </row>
    <row r="9164" customFormat="false" ht="15" hidden="false" customHeight="false" outlineLevel="0" collapsed="false">
      <c r="A9164" s="1" t="s">
        <v>1051</v>
      </c>
      <c r="B9164" s="0" t="s">
        <v>98</v>
      </c>
      <c r="C9164" s="6" t="n">
        <f aca="false">Sens!$C$9163/(1+wacc)^(Sens!K9156+mid_yr)</f>
        <v>1375.80101568275</v>
      </c>
    </row>
    <row r="9165" customFormat="false" ht="17.15" hidden="false" customHeight="false" outlineLevel="0" collapsed="false">
      <c r="A9165" s="0" t="s">
        <v>972</v>
      </c>
      <c r="B9165" s="0" t="s">
        <v>98</v>
      </c>
      <c r="C9165" s="6" t="n">
        <f aca="false">Sens!$C$9160+Sens!$C$9164</f>
        <v>1844.94598441784</v>
      </c>
    </row>
    <row r="9166" customFormat="false" ht="15" hidden="false" customHeight="false" outlineLevel="0" collapsed="false">
      <c r="A9166" s="1" t="s">
        <v>973</v>
      </c>
      <c r="B9166" s="0" t="s">
        <v>129</v>
      </c>
      <c r="C9166" s="7" t="n">
        <f aca="false">Sens!$C$9164/Sens!$C$9165</f>
        <v>0.745713439473338</v>
      </c>
    </row>
    <row r="9167" customFormat="false" ht="17.15" hidden="false" customHeight="false" outlineLevel="0" collapsed="false">
      <c r="A9167" s="1" t="s">
        <v>1052</v>
      </c>
      <c r="B9167" s="0" t="s">
        <v>98</v>
      </c>
      <c r="C9167" s="6" t="n">
        <f aca="false">Sens!$C$9165+Sens!E9147-Sens!E9136+oai_v</f>
        <v>1979.45898441784</v>
      </c>
    </row>
    <row r="9168" customFormat="false" ht="17.15" hidden="false" customHeight="false" outlineLevel="0" collapsed="false">
      <c r="A9168" s="0" t="s">
        <v>980</v>
      </c>
      <c r="B9168" s="0" t="s">
        <v>75</v>
      </c>
      <c r="C9168" s="5" t="n">
        <f aca="false">Sens!$C$9167/sh_dil26</f>
        <v>265.592242642941</v>
      </c>
    </row>
    <row r="9169" customFormat="false" ht="15" hidden="false" customHeight="false" outlineLevel="0" collapsed="false">
      <c r="A9169" s="1" t="s">
        <v>1053</v>
      </c>
      <c r="B9169" s="0" t="s">
        <v>75</v>
      </c>
      <c r="C9169" s="8" t="n">
        <f aca="false">dps_27+Sens!G9139*roll_div_q/q_per_yr</f>
        <v>4.8895</v>
      </c>
    </row>
    <row r="9170" customFormat="false" ht="17.15" hidden="false" customHeight="false" outlineLevel="0" collapsed="false">
      <c r="A9170" s="0" t="s">
        <v>1054</v>
      </c>
      <c r="B9170" s="0" t="s">
        <v>75</v>
      </c>
      <c r="C9170" s="5" t="n">
        <f aca="false">Sens!$C$9168*(1+wacc)^t_roll-Sens!$C$9169</f>
        <v>297.549254696539</v>
      </c>
    </row>
    <row r="9171" customFormat="false" ht="17.15" hidden="false" customHeight="false" outlineLevel="0" collapsed="false">
      <c r="A9171" s="1" t="s">
        <v>1055</v>
      </c>
      <c r="B9171" s="0" t="s">
        <v>129</v>
      </c>
      <c r="F9171" s="7" t="n">
        <f aca="false">Sens!F9128/(Sens!F9073-Sens!F9029)</f>
        <v>0.0687084206740826</v>
      </c>
      <c r="G9171" s="7" t="n">
        <f aca="false">Sens!G9128/(Sens!G9073-Sens!G9029)</f>
        <v>0.0663276726990211</v>
      </c>
      <c r="H9171" s="7" t="n">
        <f aca="false">Sens!H9128/(Sens!H9073-Sens!H9029)</f>
        <v>0.0651502514361621</v>
      </c>
      <c r="I9171" s="7" t="n">
        <f aca="false">Sens!I9128/(Sens!I9073-Sens!I9029)</f>
        <v>0.0650384909824788</v>
      </c>
      <c r="J9171" s="7" t="n">
        <f aca="false">Sens!J9128/(Sens!J9073-Sens!J9029)</f>
        <v>0.0657841095568574</v>
      </c>
      <c r="K9171" s="7" t="n">
        <f aca="false">Sens!K9128/(Sens!K9073-Sens!K9029)</f>
        <v>0.0671553908879552</v>
      </c>
    </row>
    <row r="9172" customFormat="false" ht="17.15" hidden="false" customHeight="false" outlineLevel="0" collapsed="false">
      <c r="A9172" s="0" t="s">
        <v>1056</v>
      </c>
      <c r="B9172" s="0" t="s">
        <v>98</v>
      </c>
      <c r="F9172" s="6" t="n">
        <f aca="false">Sens!F9058*(al_m365+Sens!F9171+sbc_r)</f>
        <v>82.8897092698643</v>
      </c>
      <c r="G9172" s="6" t="n">
        <f aca="false">Sens!G9058*(al_m365+Sens!G9171+sbc_r)</f>
        <v>93.2726910857828</v>
      </c>
      <c r="H9172" s="6" t="n">
        <f aca="false">Sens!H9058*(al_m365+Sens!H9171+sbc_r)</f>
        <v>103.818447619972</v>
      </c>
      <c r="I9172" s="6" t="n">
        <f aca="false">Sens!I9058*(al_m365+Sens!I9171+sbc_r)</f>
        <v>113.851237581623</v>
      </c>
      <c r="J9172" s="6" t="n">
        <f aca="false">Sens!J9058*(al_m365+Sens!J9171+sbc_r)</f>
        <v>123.182642259786</v>
      </c>
      <c r="K9172" s="6" t="n">
        <f aca="false">Sens!K9058*(al_m365+Sens!K9171+sbc_r)</f>
        <v>132.120592104826</v>
      </c>
      <c r="L9172" s="11" t="s">
        <v>1057</v>
      </c>
    </row>
    <row r="9173" customFormat="false" ht="17.15" hidden="false" customHeight="false" outlineLevel="0" collapsed="false">
      <c r="A9173" s="0" t="s">
        <v>1058</v>
      </c>
      <c r="B9173" s="0" t="s">
        <v>98</v>
      </c>
      <c r="F9173" s="6" t="n">
        <f aca="false">Sens!F9059*(al_lic+Sens!F9171+sbc_r)</f>
        <v>33.4492592443781</v>
      </c>
      <c r="G9173" s="6" t="n">
        <f aca="false">Sens!G9059*(al_lic+Sens!G9171+sbc_r)</f>
        <v>34.7686846006267</v>
      </c>
      <c r="H9173" s="6" t="n">
        <f aca="false">Sens!H9059*(al_lic+Sens!H9171+sbc_r)</f>
        <v>35.9970044342169</v>
      </c>
      <c r="I9173" s="6" t="n">
        <f aca="false">Sens!I9059*(al_lic+Sens!I9171+sbc_r)</f>
        <v>37.1142421971139</v>
      </c>
      <c r="J9173" s="6" t="n">
        <f aca="false">Sens!J9059*(al_lic+Sens!J9171+sbc_r)</f>
        <v>38.0971445734116</v>
      </c>
      <c r="K9173" s="6" t="n">
        <f aca="false">Sens!K9059*(al_lic+Sens!K9171+sbc_r)</f>
        <v>38.9215450613299</v>
      </c>
    </row>
    <row r="9174" customFormat="false" ht="17.15" hidden="false" customHeight="false" outlineLevel="0" collapsed="false">
      <c r="A9174" s="0" t="s">
        <v>1059</v>
      </c>
      <c r="B9174" s="0" t="s">
        <v>98</v>
      </c>
      <c r="F9174" s="6" t="n">
        <f aca="false">Sens!F9061*(al_ind+Sens!F9171+sbc_r)</f>
        <v>9.07906611192468</v>
      </c>
      <c r="G9174" s="6" t="n">
        <f aca="false">Sens!G9061*(al_ind+Sens!G9171+sbc_r)</f>
        <v>9.86636078132183</v>
      </c>
      <c r="H9174" s="6" t="n">
        <f aca="false">Sens!H9061*(al_ind+Sens!H9171+sbc_r)</f>
        <v>10.6968292154301</v>
      </c>
      <c r="I9174" s="6" t="n">
        <f aca="false">Sens!I9061*(al_ind+Sens!I9171+sbc_r)</f>
        <v>11.566071469245</v>
      </c>
      <c r="J9174" s="6" t="n">
        <f aca="false">Sens!J9061*(al_ind+Sens!J9171+sbc_r)</f>
        <v>12.4656136859202</v>
      </c>
      <c r="K9174" s="6" t="n">
        <f aca="false">Sens!K9061*(al_ind+Sens!K9171+sbc_r)</f>
        <v>13.3835735702127</v>
      </c>
    </row>
    <row r="9175" customFormat="false" ht="17.15" hidden="false" customHeight="false" outlineLevel="0" collapsed="false">
      <c r="A9175" s="0" t="s">
        <v>1060</v>
      </c>
      <c r="B9175" s="0" t="s">
        <v>98</v>
      </c>
      <c r="F9175" s="6" t="n">
        <f aca="false">Sens!F9063*(al_fro+Sens!F9171+sbc_r)</f>
        <v>3.57355229644733</v>
      </c>
      <c r="G9175" s="6" t="n">
        <f aca="false">Sens!G9063*(al_fro+Sens!G9171+sbc_r)</f>
        <v>3.78809922426765</v>
      </c>
      <c r="H9175" s="6" t="n">
        <f aca="false">Sens!H9063*(al_fro+Sens!H9171+sbc_r)</f>
        <v>4.03093137467181</v>
      </c>
      <c r="I9175" s="6" t="n">
        <f aca="false">Sens!I9063*(al_fro+Sens!I9171+sbc_r)</f>
        <v>4.30442106746868</v>
      </c>
      <c r="J9175" s="6" t="n">
        <f aca="false">Sens!J9063*(al_fro+Sens!J9171+sbc_r)</f>
        <v>4.61026299369835</v>
      </c>
      <c r="K9175" s="6" t="n">
        <f aca="false">Sens!K9063*(al_fro+Sens!K9171+sbc_r)</f>
        <v>4.9497598360426</v>
      </c>
    </row>
    <row r="9176" customFormat="false" ht="17.15" hidden="false" customHeight="false" outlineLevel="0" collapsed="false">
      <c r="A9176" s="0" t="s">
        <v>1061</v>
      </c>
      <c r="B9176" s="0" t="s">
        <v>98</v>
      </c>
      <c r="F9176" s="6" t="n">
        <f aca="false">Sens!F9066*(al_srch+Sens!F9171+sbc_r)</f>
        <v>11.1623514722755</v>
      </c>
      <c r="G9176" s="6" t="n">
        <f aca="false">Sens!G9066*(al_srch+Sens!G9171+sbc_r)</f>
        <v>12.1337839994269</v>
      </c>
      <c r="H9176" s="6" t="n">
        <f aca="false">Sens!H9066*(al_srch+Sens!H9171+sbc_r)</f>
        <v>13.0672169673272</v>
      </c>
      <c r="I9176" s="6" t="n">
        <f aca="false">Sens!I9066*(al_srch+Sens!I9171+sbc_r)</f>
        <v>13.9351783695327</v>
      </c>
      <c r="J9176" s="6" t="n">
        <f aca="false">Sens!J9066*(al_srch+Sens!J9171+sbc_r)</f>
        <v>14.7059496905107</v>
      </c>
      <c r="K9176" s="6" t="n">
        <f aca="false">Sens!K9066*(al_srch+Sens!K9171+sbc_r)</f>
        <v>15.3462074363639</v>
      </c>
    </row>
    <row r="9177" customFormat="false" ht="17.15" hidden="false" customHeight="false" outlineLevel="0" collapsed="false">
      <c r="A9177" s="0" t="s">
        <v>1062</v>
      </c>
      <c r="B9177" s="0" t="s">
        <v>98</v>
      </c>
      <c r="F9177" s="6" t="n">
        <f aca="false">Sens!F9035-Sens!F9036+Sens!F9116</f>
        <v>49.3166695044068</v>
      </c>
      <c r="G9177" s="6" t="n">
        <f aca="false">Sens!G9035-Sens!G9036+Sens!G9116</f>
        <v>79.1711235199867</v>
      </c>
      <c r="H9177" s="6" t="n">
        <f aca="false">Sens!H9035-Sens!H9036+Sens!H9116</f>
        <v>105.986955995322</v>
      </c>
      <c r="I9177" s="6" t="n">
        <f aca="false">Sens!I9035-Sens!I9036+Sens!I9116</f>
        <v>136.51312421941</v>
      </c>
      <c r="J9177" s="6" t="n">
        <f aca="false">Sens!J9035-Sens!J9036+Sens!J9116</f>
        <v>158.045869188803</v>
      </c>
      <c r="K9177" s="6" t="n">
        <f aca="false">Sens!K9035-Sens!K9036+Sens!K9116</f>
        <v>171.626834186355</v>
      </c>
    </row>
    <row r="9178" customFormat="false" ht="17.15" hidden="false" customHeight="false" outlineLevel="0" collapsed="false">
      <c r="A9178" s="0" t="s">
        <v>1063</v>
      </c>
      <c r="B9178" s="0" t="s">
        <v>98</v>
      </c>
      <c r="F9178" s="6" t="n">
        <f aca="false">Sens!F9095+Sens!F9116+Sens!F9046+Sens!F9171*(Sens!F9065-Sens!F9029)+sbc_r*Sens!F9065</f>
        <v>239.22790194859</v>
      </c>
      <c r="G9178" s="6" t="n">
        <f aca="false">Sens!G9095+Sens!G9116+Sens!G9046+Sens!G9171*(Sens!G9065-Sens!G9029)+sbc_r*Sens!G9065</f>
        <v>293.908017428538</v>
      </c>
      <c r="H9178" s="6" t="n">
        <f aca="false">Sens!H9095+Sens!H9116+Sens!H9046+Sens!H9171*(Sens!H9065-Sens!H9029)+sbc_r*Sens!H9065</f>
        <v>345.835616584446</v>
      </c>
      <c r="I9178" s="6" t="n">
        <f aca="false">Sens!I9095+Sens!I9116+Sens!I9046+Sens!I9171*(Sens!I9065-Sens!I9029)+sbc_r*Sens!I9065</f>
        <v>400.871412741909</v>
      </c>
      <c r="J9178" s="6" t="n">
        <f aca="false">Sens!J9095+Sens!J9116+Sens!J9046+Sens!J9171*(Sens!J9065-Sens!J9029)+sbc_r*Sens!J9065</f>
        <v>445.029186322809</v>
      </c>
      <c r="K9178" s="6" t="n">
        <f aca="false">Sens!K9095+Sens!K9116+Sens!K9046+Sens!K9171*(Sens!K9065-Sens!K9029)+sbc_r*Sens!K9065</f>
        <v>478.946545426049</v>
      </c>
    </row>
    <row r="9179" customFormat="false" ht="17.15" hidden="false" customHeight="false" outlineLevel="0" collapsed="false">
      <c r="A9179" s="0" t="s">
        <v>1064</v>
      </c>
      <c r="B9179" s="0" t="s">
        <v>98</v>
      </c>
      <c r="F9179" s="6" t="n">
        <f aca="false">Sens!F9178-Sens!F9172-Sens!F9173-Sens!F9174-Sens!F9175-Sens!F9177</f>
        <v>60.9196455215688</v>
      </c>
      <c r="G9179" s="6" t="n">
        <f aca="false">Sens!G9178-Sens!G9172-Sens!G9173-Sens!G9174-Sens!G9175-Sens!G9177</f>
        <v>73.0410582165526</v>
      </c>
      <c r="H9179" s="6" t="n">
        <f aca="false">Sens!H9178-Sens!H9172-Sens!H9173-Sens!H9174-Sens!H9175-Sens!H9177</f>
        <v>85.3054479448324</v>
      </c>
      <c r="I9179" s="6" t="n">
        <f aca="false">Sens!I9178-Sens!I9172-Sens!I9173-Sens!I9174-Sens!I9175-Sens!I9177</f>
        <v>97.5223162070481</v>
      </c>
      <c r="J9179" s="6" t="n">
        <f aca="false">Sens!J9178-Sens!J9172-Sens!J9173-Sens!J9174-Sens!J9175-Sens!J9177</f>
        <v>108.62765362119</v>
      </c>
      <c r="K9179" s="6" t="n">
        <f aca="false">Sens!K9178-Sens!K9172-Sens!K9173-Sens!K9174-Sens!K9175-Sens!K9177</f>
        <v>117.944240667283</v>
      </c>
    </row>
    <row r="9180" customFormat="false" ht="17.15" hidden="false" customHeight="false" outlineLevel="0" collapsed="false">
      <c r="A9180" s="0" t="s">
        <v>1065</v>
      </c>
      <c r="B9180" s="0" t="s">
        <v>98</v>
      </c>
      <c r="F9180" s="6" t="n">
        <f aca="false">Sens!F9097+Sens!F9171*Sens!F9072+sbc_r*Sens!F9072</f>
        <v>26.1564318511701</v>
      </c>
      <c r="G9180" s="6" t="n">
        <f aca="false">Sens!G9097+Sens!G9171*Sens!G9072+sbc_r*Sens!G9072</f>
        <v>26.6799298807894</v>
      </c>
      <c r="H9180" s="6" t="n">
        <f aca="false">Sens!H9097+Sens!H9171*Sens!H9072+sbc_r*Sens!H9072</f>
        <v>27.3834888004051</v>
      </c>
      <c r="I9180" s="6" t="n">
        <f aca="false">Sens!I9097+Sens!I9171*Sens!I9072+sbc_r*Sens!I9072</f>
        <v>28.2205297006794</v>
      </c>
      <c r="J9180" s="6" t="n">
        <f aca="false">Sens!J9097+Sens!J9171*Sens!J9072+sbc_r*Sens!J9072</f>
        <v>29.1470296751527</v>
      </c>
      <c r="K9180" s="6" t="n">
        <f aca="false">Sens!K9097+Sens!K9171*Sens!K9072+sbc_r*Sens!K9072</f>
        <v>30.1244032249621</v>
      </c>
    </row>
    <row r="9181" customFormat="false" ht="17.15" hidden="false" customHeight="false" outlineLevel="0" collapsed="false">
      <c r="A9181" s="0" t="s">
        <v>1066</v>
      </c>
      <c r="B9181" s="0" t="s">
        <v>98</v>
      </c>
      <c r="F9181" s="6" t="n">
        <f aca="false">(Sens!F9180-Sens!F9176)*Sens!F9068/(Sens!F9068+Sens!F9070)</f>
        <v>8.21960882348326</v>
      </c>
      <c r="G9181" s="6" t="n">
        <f aca="false">(Sens!G9180-Sens!G9176)*Sens!G9068/(Sens!G9068+Sens!G9070)</f>
        <v>7.83187858643953</v>
      </c>
      <c r="H9181" s="6" t="n">
        <f aca="false">(Sens!H9180-Sens!H9176)*Sens!H9068/(Sens!H9068+Sens!H9070)</f>
        <v>7.603987012614</v>
      </c>
      <c r="I9181" s="6" t="n">
        <f aca="false">(Sens!I9180-Sens!I9176)*Sens!I9068/(Sens!I9068+Sens!I9070)</f>
        <v>7.51891143173557</v>
      </c>
      <c r="J9181" s="6" t="n">
        <f aca="false">(Sens!J9180-Sens!J9176)*Sens!J9068/(Sens!J9068+Sens!J9070)</f>
        <v>7.56650632463661</v>
      </c>
      <c r="K9181" s="6" t="n">
        <f aca="false">(Sens!K9180-Sens!K9176)*Sens!K9068/(Sens!K9068+Sens!K9070)</f>
        <v>7.74314054212466</v>
      </c>
    </row>
    <row r="9182" customFormat="false" ht="17.15" hidden="false" customHeight="false" outlineLevel="0" collapsed="false">
      <c r="A9182" s="0" t="s">
        <v>1067</v>
      </c>
      <c r="B9182" s="0" t="s">
        <v>98</v>
      </c>
      <c r="F9182" s="6" t="n">
        <f aca="false">Sens!F9180-Sens!F9176-Sens!F9181</f>
        <v>6.77447155541135</v>
      </c>
      <c r="G9182" s="6" t="n">
        <f aca="false">Sens!G9180-Sens!G9176-Sens!G9181</f>
        <v>6.71426729492299</v>
      </c>
      <c r="H9182" s="6" t="n">
        <f aca="false">Sens!H9180-Sens!H9176-Sens!H9181</f>
        <v>6.71228482046387</v>
      </c>
      <c r="I9182" s="6" t="n">
        <f aca="false">Sens!I9180-Sens!I9176-Sens!I9181</f>
        <v>6.76643989941119</v>
      </c>
      <c r="J9182" s="6" t="n">
        <f aca="false">Sens!J9180-Sens!J9176-Sens!J9181</f>
        <v>6.87457366000537</v>
      </c>
      <c r="K9182" s="6" t="n">
        <f aca="false">Sens!K9180-Sens!K9176-Sens!K9181</f>
        <v>7.03505524647352</v>
      </c>
    </row>
    <row r="9183" customFormat="false" ht="17.15" hidden="false" customHeight="false" outlineLevel="0" collapsed="false">
      <c r="A9183" s="0" t="s">
        <v>1068</v>
      </c>
      <c r="B9183" s="0" t="s">
        <v>98</v>
      </c>
      <c r="F9183" s="6" t="n">
        <f aca="false">Sens!F9177-tax_f*(Sens!F9177-Sens!F9046)-Sens!F9043</f>
        <v>-122.376478509072</v>
      </c>
      <c r="G9183" s="6" t="n">
        <f aca="false">Sens!G9177-tax_f*(Sens!G9177-Sens!G9046)-Sens!G9043</f>
        <v>-108.130603881809</v>
      </c>
      <c r="H9183" s="6" t="n">
        <f aca="false">Sens!H9177-tax_f*(Sens!H9177-Sens!H9046)-Sens!H9043</f>
        <v>-85.7369267821808</v>
      </c>
      <c r="I9183" s="6" t="n">
        <f aca="false">Sens!I9177-tax_f*(Sens!I9177-Sens!I9046)-Sens!I9043</f>
        <v>-32.0934306489397</v>
      </c>
      <c r="J9183" s="6" t="n">
        <f aca="false">Sens!J9177-tax_f*(Sens!J9177-Sens!J9046)-Sens!J9043</f>
        <v>27.7662919508186</v>
      </c>
      <c r="K9183" s="6" t="n">
        <f aca="false">Sens!K9177-tax_f*(Sens!K9177-Sens!K9046)-Sens!K9043</f>
        <v>50.276892201376</v>
      </c>
    </row>
    <row r="9184" customFormat="false" ht="17.15" hidden="false" customHeight="false" outlineLevel="0" collapsed="false">
      <c r="A9184" s="0" t="s">
        <v>1069</v>
      </c>
      <c r="B9184" s="0" t="s">
        <v>98</v>
      </c>
      <c r="F9184" s="6" t="n">
        <f aca="false">Sens!F9183*Sens!F9157</f>
        <v>-116.52607192185</v>
      </c>
      <c r="G9184" s="6" t="n">
        <f aca="false">Sens!G9183*Sens!G9157</f>
        <v>-93.3521002017933</v>
      </c>
      <c r="H9184" s="6" t="n">
        <f aca="false">Sens!H9183*Sens!H9157</f>
        <v>-67.1109963563456</v>
      </c>
      <c r="I9184" s="6" t="n">
        <f aca="false">Sens!I9183*Sens!I9157</f>
        <v>-22.7767747975479</v>
      </c>
      <c r="J9184" s="6" t="n">
        <f aca="false">Sens!J9183*Sens!J9157</f>
        <v>17.8666972958942</v>
      </c>
      <c r="K9184" s="6" t="n">
        <f aca="false">Sens!K9183*Sens!K9157</f>
        <v>29.3322331219358</v>
      </c>
    </row>
    <row r="9185" customFormat="false" ht="17.15" hidden="false" customHeight="false" outlineLevel="0" collapsed="false">
      <c r="A9185" s="0" t="s">
        <v>1070</v>
      </c>
      <c r="B9185" s="0" t="s">
        <v>98</v>
      </c>
      <c r="C9185" s="6" t="n">
        <f aca="false">(Sens!K9177-Sens!K9046)*(1-tax_f)*(1+g_tv)*(1-g_tv/(wacc+ronic_prem))/(wacc-g_tv)/(1+wacc)^(Sens!K9156+mid_yr)</f>
        <v>142.093339890103</v>
      </c>
    </row>
    <row r="9186" customFormat="false" ht="17.15" hidden="false" customHeight="false" outlineLevel="0" collapsed="false">
      <c r="A9186" s="1" t="s">
        <v>1071</v>
      </c>
      <c r="B9186" s="0" t="s">
        <v>98</v>
      </c>
      <c r="C9186" s="6" t="n">
        <f aca="false">(SUM(Sens!F9184:K9184)+Sens!$C$9185)*(1+wacc)^t_roll</f>
        <v>-125.800060074035</v>
      </c>
      <c r="L9186" s="11" t="s">
        <v>1072</v>
      </c>
    </row>
    <row r="9187" customFormat="false" ht="17.15" hidden="false" customHeight="false" outlineLevel="0" collapsed="false">
      <c r="A9187" s="1" t="s">
        <v>1073</v>
      </c>
      <c r="B9187" s="0" t="s">
        <v>98</v>
      </c>
      <c r="C9187" s="6" t="n">
        <f aca="false">(w_ntm28*Sens!G9035+(1-w_ntm28)*Sens!H9035)*m_ai</f>
        <v>338.776008390068</v>
      </c>
    </row>
    <row r="9188" customFormat="false" ht="17.15" hidden="false" customHeight="false" outlineLevel="0" collapsed="false">
      <c r="A9188" s="1" t="s">
        <v>1074</v>
      </c>
      <c r="B9188" s="0" t="s">
        <v>98</v>
      </c>
      <c r="C9188" s="6" t="n">
        <f aca="false">(w_ntm28*Sens!G9179+(1-w_ntm28)*Sens!H9179)*m_cloud</f>
        <v>1064.22270179465</v>
      </c>
    </row>
    <row r="9189" customFormat="false" ht="17.15" hidden="false" customHeight="false" outlineLevel="0" collapsed="false">
      <c r="A9189" s="1" t="s">
        <v>1075</v>
      </c>
      <c r="B9189" s="0" t="s">
        <v>98</v>
      </c>
      <c r="C9189" s="6" t="n">
        <f aca="false">(w_ntm28*Sens!G9172+(1-w_ntm28)*Sens!H9172)*m_sw</f>
        <v>1044.16564489679</v>
      </c>
    </row>
    <row r="9190" customFormat="false" ht="17.15" hidden="false" customHeight="false" outlineLevel="0" collapsed="false">
      <c r="A9190" s="1" t="s">
        <v>1076</v>
      </c>
      <c r="B9190" s="0" t="s">
        <v>98</v>
      </c>
      <c r="C9190" s="6" t="n">
        <f aca="false">(w_ntm28*Sens!G9173+(1-w_ntm28)*Sens!H9173)*m_sw</f>
        <v>379.790480798898</v>
      </c>
    </row>
    <row r="9191" customFormat="false" ht="17.15" hidden="false" customHeight="false" outlineLevel="0" collapsed="false">
      <c r="A9191" s="1" t="s">
        <v>1077</v>
      </c>
      <c r="B9191" s="0" t="s">
        <v>98</v>
      </c>
      <c r="C9191" s="6" t="n">
        <f aca="false">(w_ntm28*Sens!G9174+(1-w_ntm28)*Sens!H9174)*m_sw</f>
        <v>109.456282664105</v>
      </c>
    </row>
    <row r="9192" customFormat="false" ht="17.15" hidden="false" customHeight="false" outlineLevel="0" collapsed="false">
      <c r="A9192" s="1" t="s">
        <v>1078</v>
      </c>
      <c r="B9192" s="0" t="s">
        <v>98</v>
      </c>
      <c r="C9192" s="6" t="n">
        <f aca="false">(w_ntm28*Sens!G9175+(1-w_ntm28)*Sens!H9175)*m_sw</f>
        <v>41.7593217384607</v>
      </c>
    </row>
    <row r="9193" customFormat="false" ht="17.15" hidden="false" customHeight="false" outlineLevel="0" collapsed="false">
      <c r="A9193" s="1" t="s">
        <v>1079</v>
      </c>
      <c r="B9193" s="0" t="s">
        <v>98</v>
      </c>
      <c r="C9193" s="6" t="n">
        <f aca="false">(w_ntm28*Sens!G9176+(1-w_ntm28)*Sens!H9176)*m_ads</f>
        <v>113.287872979528</v>
      </c>
    </row>
    <row r="9194" customFormat="false" ht="17.15" hidden="false" customHeight="false" outlineLevel="0" collapsed="false">
      <c r="A9194" s="1" t="s">
        <v>1080</v>
      </c>
      <c r="B9194" s="0" t="s">
        <v>98</v>
      </c>
      <c r="C9194" s="6" t="n">
        <f aca="false">(w_ntm28*Sens!G9181+(1-w_ntm28)*Sens!H9181)*m_game</f>
        <v>97.9861171545802</v>
      </c>
    </row>
    <row r="9195" customFormat="false" ht="17.15" hidden="false" customHeight="false" outlineLevel="0" collapsed="false">
      <c r="A9195" s="1" t="s">
        <v>1081</v>
      </c>
      <c r="B9195" s="0" t="s">
        <v>98</v>
      </c>
      <c r="C9195" s="6" t="n">
        <f aca="false">(w_ntm28*Sens!G9182+(1-w_ntm28)*Sens!H9182)*m_pc</f>
        <v>97.1461737963303</v>
      </c>
    </row>
    <row r="9196" customFormat="false" ht="17.15" hidden="false" customHeight="false" outlineLevel="0" collapsed="false">
      <c r="A9196" s="1" t="s">
        <v>1082</v>
      </c>
      <c r="B9196" s="0" t="s">
        <v>98</v>
      </c>
      <c r="C9196" s="6" t="n">
        <f aca="false">Sens!$C$9186+Sens!$C$9188+Sens!$C$9189+Sens!$C$9190+Sens!$C$9191+Sens!$C$9192+Sens!$C$9193+Sens!$C$9194+Sens!$C$9195</f>
        <v>2822.0145357493</v>
      </c>
    </row>
    <row r="9197" customFormat="false" ht="17.15" hidden="false" customHeight="false" outlineLevel="0" collapsed="false">
      <c r="A9197" s="1" t="s">
        <v>1000</v>
      </c>
      <c r="B9197" s="0" t="s">
        <v>98</v>
      </c>
      <c r="C9197" s="6" t="n">
        <f aca="false">Sens!F9147+oai_v-Sens!F9136</f>
        <v>106.779139878427</v>
      </c>
      <c r="L9197" s="1" t="s">
        <v>1083</v>
      </c>
    </row>
    <row r="9198" customFormat="false" ht="15" hidden="false" customHeight="false" outlineLevel="0" collapsed="false">
      <c r="A9198" s="1" t="s">
        <v>1001</v>
      </c>
      <c r="B9198" s="0" t="s">
        <v>75</v>
      </c>
      <c r="C9198" s="5" t="n">
        <f aca="false">(Sens!$C$9196+Sens!$C$9197)/Sens!F9149</f>
        <v>391.969175003711</v>
      </c>
    </row>
    <row r="9199" customFormat="false" ht="17.15" hidden="false" customHeight="false" outlineLevel="0" collapsed="false">
      <c r="A9199" s="1" t="s">
        <v>1084</v>
      </c>
      <c r="B9199" s="0" t="s">
        <v>75</v>
      </c>
      <c r="C9199" s="5" t="n">
        <f aca="false">w_dcf*Sens!$C$9170+(1-w_dcf)*Sens!$C$9198</f>
        <v>344.759214850125</v>
      </c>
    </row>
    <row r="9200" customFormat="false" ht="17.15" hidden="false" customHeight="false" outlineLevel="0" collapsed="false">
      <c r="A9200" s="3" t="s">
        <v>1474</v>
      </c>
    </row>
    <row r="9201" customFormat="false" ht="15" hidden="false" customHeight="false" outlineLevel="0" collapsed="false">
      <c r="A9201" s="4" t="s">
        <v>43</v>
      </c>
      <c r="B9201" s="4" t="s">
        <v>65</v>
      </c>
      <c r="C9201" s="20" t="s">
        <v>788</v>
      </c>
      <c r="D9201" s="20" t="s">
        <v>789</v>
      </c>
      <c r="E9201" s="20" t="s">
        <v>790</v>
      </c>
      <c r="F9201" s="20" t="s">
        <v>791</v>
      </c>
      <c r="G9201" s="20" t="s">
        <v>792</v>
      </c>
      <c r="H9201" s="20" t="s">
        <v>793</v>
      </c>
      <c r="I9201" s="20" t="s">
        <v>794</v>
      </c>
      <c r="J9201" s="20" t="s">
        <v>795</v>
      </c>
      <c r="K9201" s="20" t="s">
        <v>796</v>
      </c>
      <c r="L9201" s="4" t="s">
        <v>47</v>
      </c>
    </row>
    <row r="9202" customFormat="false" ht="17.15" hidden="false" customHeight="false" outlineLevel="0" collapsed="false">
      <c r="A9202" s="1" t="s">
        <v>797</v>
      </c>
      <c r="B9202" s="1" t="s">
        <v>235</v>
      </c>
      <c r="C9202" s="28" t="n">
        <v>2024</v>
      </c>
      <c r="D9202" s="28" t="n">
        <v>2025</v>
      </c>
      <c r="E9202" s="28" t="n">
        <v>2026</v>
      </c>
      <c r="F9202" s="28" t="n">
        <v>2027</v>
      </c>
      <c r="G9202" s="28" t="n">
        <v>2028</v>
      </c>
      <c r="H9202" s="28" t="n">
        <v>2029</v>
      </c>
      <c r="I9202" s="28" t="n">
        <v>2030</v>
      </c>
      <c r="J9202" s="28" t="n">
        <v>2031</v>
      </c>
      <c r="K9202" s="28" t="n">
        <v>2032</v>
      </c>
    </row>
    <row r="9203" customFormat="false" ht="17.15" hidden="false" customHeight="false" outlineLevel="0" collapsed="false">
      <c r="A9203" s="1" t="s">
        <v>798</v>
      </c>
      <c r="B9203" s="0" t="s">
        <v>392</v>
      </c>
      <c r="F9203" s="29" t="n">
        <f aca="false">pace</f>
        <v>2527.2</v>
      </c>
      <c r="G9203" s="29" t="n">
        <f aca="false">pace</f>
        <v>2527.2</v>
      </c>
      <c r="H9203" s="29" t="n">
        <f aca="false">pace</f>
        <v>2527.2</v>
      </c>
      <c r="I9203" s="29" t="n">
        <f aca="false">pace+(g_tv*Sens!H9204-pace)*MIN(1,(Sens!I9202-pace_y0)/(pace_y1-pace_y0))</f>
        <v>1793.116</v>
      </c>
      <c r="J9203" s="29" t="n">
        <f aca="false">pace+(g_tv*Sens!H9204-pace)*MIN(1,(Sens!J9202-pace_y0)/(pace_y1-pace_y0))</f>
        <v>1059.032</v>
      </c>
      <c r="K9203" s="29" t="n">
        <f aca="false">pace+(g_tv*Sens!H9204-pace)*MIN(1,(Sens!K9202-pace_y0)/(pace_y1-pace_y0))</f>
        <v>324.948</v>
      </c>
      <c r="L9203" s="11" t="s">
        <v>799</v>
      </c>
    </row>
    <row r="9204" customFormat="false" ht="17.15" hidden="false" customHeight="false" outlineLevel="0" collapsed="false">
      <c r="A9204" s="1" t="s">
        <v>800</v>
      </c>
      <c r="B9204" s="0" t="s">
        <v>392</v>
      </c>
      <c r="C9204" s="29" t="n">
        <f aca="false">mw_ext_24</f>
        <v>640</v>
      </c>
      <c r="D9204" s="29" t="n">
        <f aca="false">mw_ext_25</f>
        <v>1630</v>
      </c>
      <c r="E9204" s="29" t="n">
        <f aca="false">mw_ext_26</f>
        <v>3250</v>
      </c>
      <c r="F9204" s="29" t="n">
        <f aca="false">Sens!E9204+Sens!F9203</f>
        <v>5777.2</v>
      </c>
      <c r="G9204" s="29" t="n">
        <f aca="false">Sens!F9204+Sens!G9203</f>
        <v>8304.4</v>
      </c>
      <c r="H9204" s="29" t="n">
        <f aca="false">Sens!G9204+Sens!H9203</f>
        <v>10831.6</v>
      </c>
      <c r="I9204" s="29" t="n">
        <f aca="false">Sens!H9204+Sens!I9203</f>
        <v>12624.716</v>
      </c>
      <c r="J9204" s="29" t="n">
        <f aca="false">Sens!I9204+Sens!J9203</f>
        <v>13683.748</v>
      </c>
      <c r="K9204" s="29" t="n">
        <f aca="false">Sens!J9204+Sens!K9203</f>
        <v>14008.696</v>
      </c>
      <c r="L9204" s="1" t="s">
        <v>801</v>
      </c>
    </row>
    <row r="9205" customFormat="false" ht="17.15" hidden="false" customHeight="false" outlineLevel="0" collapsed="false">
      <c r="A9205" s="1" t="s">
        <v>802</v>
      </c>
      <c r="B9205" s="0" t="s">
        <v>392</v>
      </c>
      <c r="C9205" s="29" t="n">
        <f aca="false">rent_ext_24</f>
        <v>150</v>
      </c>
      <c r="D9205" s="29" t="n">
        <f aca="false">rent_ext_25</f>
        <v>400</v>
      </c>
      <c r="E9205" s="29" t="n">
        <f aca="false">rent_ext_26</f>
        <v>550</v>
      </c>
      <c r="F9205" s="29" t="n">
        <f aca="false">rent_ext_f</f>
        <v>756</v>
      </c>
      <c r="G9205" s="29" t="n">
        <f aca="false">rent_ext_f</f>
        <v>756</v>
      </c>
      <c r="H9205" s="29" t="n">
        <f aca="false">rent_ext_f</f>
        <v>756</v>
      </c>
      <c r="I9205" s="29" t="n">
        <f aca="false">rent_ext_f</f>
        <v>756</v>
      </c>
      <c r="J9205" s="29" t="n">
        <f aca="false">rent_ext_f</f>
        <v>756</v>
      </c>
      <c r="K9205" s="29" t="n">
        <f aca="false">rent_ext_f</f>
        <v>756</v>
      </c>
      <c r="L9205" s="1" t="s">
        <v>803</v>
      </c>
    </row>
    <row r="9206" customFormat="false" ht="17.15" hidden="false" customHeight="false" outlineLevel="0" collapsed="false">
      <c r="A9206" s="1" t="s">
        <v>804</v>
      </c>
      <c r="B9206" s="0" t="s">
        <v>392</v>
      </c>
      <c r="C9206" s="29" t="n">
        <f aca="false">Sens!C9204-Sens!C9205</f>
        <v>490</v>
      </c>
      <c r="D9206" s="29" t="n">
        <f aca="false">Sens!D9204-Sens!D9205</f>
        <v>1230</v>
      </c>
      <c r="E9206" s="29" t="n">
        <f aca="false">Sens!E9204-Sens!E9205</f>
        <v>2700</v>
      </c>
      <c r="F9206" s="29" t="n">
        <f aca="false">Sens!F9204-Sens!F9205</f>
        <v>5021.2</v>
      </c>
      <c r="G9206" s="29" t="n">
        <f aca="false">Sens!G9204-Sens!G9205</f>
        <v>7548.4</v>
      </c>
      <c r="H9206" s="29" t="n">
        <f aca="false">Sens!H9204-Sens!H9205</f>
        <v>10075.6</v>
      </c>
      <c r="I9206" s="29" t="n">
        <f aca="false">Sens!I9204-Sens!I9205</f>
        <v>11868.716</v>
      </c>
      <c r="J9206" s="29" t="n">
        <f aca="false">Sens!J9204-Sens!J9205</f>
        <v>12927.748</v>
      </c>
      <c r="K9206" s="29" t="n">
        <f aca="false">Sens!K9204-Sens!K9205</f>
        <v>13252.696</v>
      </c>
    </row>
    <row r="9207" customFormat="false" ht="17.15" hidden="false" customHeight="false" outlineLevel="0" collapsed="false">
      <c r="A9207" s="1" t="s">
        <v>805</v>
      </c>
      <c r="B9207" s="0" t="s">
        <v>392</v>
      </c>
      <c r="C9207" s="29" t="n">
        <f aca="false">Sens!C9206/ext_sh</f>
        <v>816.666666666667</v>
      </c>
      <c r="D9207" s="29" t="n">
        <f aca="false">Sens!D9206/ext_sh</f>
        <v>2050</v>
      </c>
      <c r="E9207" s="29" t="n">
        <f aca="false">Sens!E9206/ext_sh</f>
        <v>4500</v>
      </c>
      <c r="F9207" s="29" t="n">
        <f aca="false">Sens!F9206/ext_sh</f>
        <v>8368.66666666667</v>
      </c>
      <c r="G9207" s="29" t="n">
        <f aca="false">Sens!G9206/ext_sh</f>
        <v>12580.6666666667</v>
      </c>
      <c r="H9207" s="29" t="n">
        <f aca="false">Sens!H9206/ext_sh</f>
        <v>16792.6666666667</v>
      </c>
      <c r="I9207" s="29" t="n">
        <f aca="false">Sens!I9206/ext_sh</f>
        <v>19781.1933333333</v>
      </c>
      <c r="J9207" s="29" t="n">
        <f aca="false">Sens!J9206/ext_sh</f>
        <v>21546.2466666667</v>
      </c>
      <c r="K9207" s="29" t="n">
        <f aca="false">Sens!K9206/ext_sh</f>
        <v>22087.8266666667</v>
      </c>
      <c r="L9207" s="1" t="s">
        <v>806</v>
      </c>
    </row>
    <row r="9208" customFormat="false" ht="17.15" hidden="false" customHeight="false" outlineLevel="0" collapsed="false">
      <c r="A9208" s="1" t="s">
        <v>807</v>
      </c>
      <c r="B9208" s="0" t="s">
        <v>392</v>
      </c>
      <c r="C9208" s="29" t="n">
        <f aca="false">Sens!C9207-Sens!C9206</f>
        <v>326.666666666667</v>
      </c>
      <c r="D9208" s="29" t="n">
        <f aca="false">Sens!D9207-Sens!D9206</f>
        <v>820</v>
      </c>
      <c r="E9208" s="29" t="n">
        <f aca="false">Sens!E9207-Sens!E9206</f>
        <v>1800</v>
      </c>
      <c r="F9208" s="29" t="n">
        <f aca="false">Sens!F9207-Sens!F9206</f>
        <v>3347.46666666667</v>
      </c>
      <c r="G9208" s="29" t="n">
        <f aca="false">Sens!G9207-Sens!G9206</f>
        <v>5032.26666666667</v>
      </c>
      <c r="H9208" s="29" t="n">
        <f aca="false">Sens!H9207-Sens!H9206</f>
        <v>6717.06666666667</v>
      </c>
      <c r="I9208" s="29" t="n">
        <f aca="false">Sens!I9207-Sens!I9206</f>
        <v>7912.47733333333</v>
      </c>
      <c r="J9208" s="29" t="n">
        <f aca="false">Sens!J9207-Sens!J9206</f>
        <v>8618.49866666667</v>
      </c>
      <c r="K9208" s="29" t="n">
        <f aca="false">Sens!K9207-Sens!K9206</f>
        <v>8835.13066666667</v>
      </c>
    </row>
    <row r="9209" customFormat="false" ht="17.15" hidden="false" customHeight="false" outlineLevel="0" collapsed="false">
      <c r="A9209" s="1" t="s">
        <v>808</v>
      </c>
      <c r="B9209" s="0" t="s">
        <v>392</v>
      </c>
      <c r="C9209" s="29" t="n">
        <f aca="false">Sens!C9207</f>
        <v>816.666666666667</v>
      </c>
      <c r="D9209" s="29" t="n">
        <f aca="false">Sens!D9207-Sens!C9207</f>
        <v>1233.33333333333</v>
      </c>
      <c r="E9209" s="29" t="n">
        <f aca="false">Sens!E9207-Sens!D9207</f>
        <v>2450</v>
      </c>
      <c r="F9209" s="29" t="n">
        <f aca="false">Sens!F9207-Sens!E9207</f>
        <v>3868.66666666667</v>
      </c>
      <c r="G9209" s="29" t="n">
        <f aca="false">Sens!G9207-Sens!F9207</f>
        <v>4212</v>
      </c>
      <c r="H9209" s="29" t="n">
        <f aca="false">Sens!H9207-Sens!G9207</f>
        <v>4212</v>
      </c>
      <c r="I9209" s="29" t="n">
        <f aca="false">Sens!I9207-Sens!H9207</f>
        <v>2988.52666666667</v>
      </c>
      <c r="J9209" s="29" t="n">
        <f aca="false">Sens!J9207-Sens!I9207</f>
        <v>1765.05333333333</v>
      </c>
      <c r="K9209" s="29" t="n">
        <f aca="false">Sens!K9207-Sens!J9207</f>
        <v>541.580000000002</v>
      </c>
    </row>
    <row r="9210" customFormat="false" ht="17.15" hidden="false" customHeight="false" outlineLevel="0" collapsed="false">
      <c r="A9210" s="1" t="s">
        <v>809</v>
      </c>
      <c r="B9210" s="0" t="s">
        <v>392</v>
      </c>
      <c r="D9210" s="29" t="n">
        <f aca="false">Sens!D9204-Sens!C9204</f>
        <v>990</v>
      </c>
      <c r="E9210" s="29" t="n">
        <f aca="false">Sens!E9204-Sens!D9204</f>
        <v>1620</v>
      </c>
      <c r="F9210" s="29" t="n">
        <f aca="false">Sens!F9204-Sens!E9204</f>
        <v>2527.2</v>
      </c>
      <c r="G9210" s="29" t="n">
        <f aca="false">Sens!G9204-Sens!F9204</f>
        <v>2527.2</v>
      </c>
      <c r="H9210" s="29" t="n">
        <f aca="false">Sens!H9204-Sens!G9204</f>
        <v>2527.2</v>
      </c>
      <c r="I9210" s="29" t="n">
        <f aca="false">Sens!I9204-Sens!H9204</f>
        <v>1793.116</v>
      </c>
      <c r="J9210" s="29" t="n">
        <f aca="false">Sens!J9204-Sens!I9204</f>
        <v>1059.032</v>
      </c>
      <c r="K9210" s="29" t="n">
        <f aca="false">Sens!K9204-Sens!J9204</f>
        <v>324.948</v>
      </c>
    </row>
    <row r="9211" customFormat="false" ht="17.15" hidden="false" customHeight="false" outlineLevel="0" collapsed="false">
      <c r="A9211" s="1" t="s">
        <v>810</v>
      </c>
      <c r="B9211" s="0" t="s">
        <v>392</v>
      </c>
      <c r="F9211" s="29" t="n">
        <f aca="false">Sens!F9228*ext_sh</f>
        <v>0</v>
      </c>
      <c r="G9211" s="29" t="n">
        <f aca="false">Sens!G9228*ext_sh</f>
        <v>0</v>
      </c>
      <c r="H9211" s="29" t="n">
        <f aca="false">Sens!H9228*ext_sh</f>
        <v>0</v>
      </c>
      <c r="I9211" s="29" t="n">
        <f aca="false">Sens!I9228*ext_sh</f>
        <v>490</v>
      </c>
      <c r="J9211" s="29" t="n">
        <f aca="false">Sens!J9228*ext_sh</f>
        <v>740</v>
      </c>
      <c r="K9211" s="29" t="n">
        <f aca="false">Sens!K9228*ext_sh</f>
        <v>1470</v>
      </c>
      <c r="L9211" s="1" t="s">
        <v>811</v>
      </c>
    </row>
    <row r="9212" customFormat="false" ht="17.15" hidden="false" customHeight="false" outlineLevel="0" collapsed="false">
      <c r="A9212" s="1" t="s">
        <v>812</v>
      </c>
      <c r="B9212" s="0" t="s">
        <v>392</v>
      </c>
      <c r="C9212" s="29" t="n">
        <f aca="false">mix_h*Sens!C9204</f>
        <v>128</v>
      </c>
      <c r="D9212" s="29" t="n">
        <f aca="false">mix_h*Sens!D9204</f>
        <v>326</v>
      </c>
      <c r="E9212" s="29" t="n">
        <f aca="false">mix_h*Sens!E9204</f>
        <v>650</v>
      </c>
      <c r="F9212" s="29" t="n">
        <f aca="false">Sens!E9212-Sens!F9211*mix_h</f>
        <v>650</v>
      </c>
      <c r="G9212" s="29" t="n">
        <f aca="false">Sens!F9212-Sens!G9211*mix_h</f>
        <v>650</v>
      </c>
      <c r="H9212" s="29" t="n">
        <f aca="false">Sens!G9212-Sens!H9211*mix_h</f>
        <v>650</v>
      </c>
      <c r="I9212" s="29" t="n">
        <f aca="false">Sens!H9212-Sens!I9211*mix_h</f>
        <v>552</v>
      </c>
      <c r="J9212" s="29" t="n">
        <f aca="false">Sens!I9212-Sens!J9211*mix_h</f>
        <v>404</v>
      </c>
      <c r="K9212" s="29" t="n">
        <f aca="false">Sens!J9212-Sens!K9211*mix_h</f>
        <v>110</v>
      </c>
    </row>
    <row r="9213" customFormat="false" ht="17.15" hidden="false" customHeight="false" outlineLevel="0" collapsed="false">
      <c r="A9213" s="1" t="s">
        <v>813</v>
      </c>
      <c r="B9213" s="0" t="s">
        <v>392</v>
      </c>
      <c r="C9213" s="29" t="n">
        <f aca="false">mix_g2*Sens!C9204</f>
        <v>288</v>
      </c>
      <c r="D9213" s="29" t="n">
        <f aca="false">mix_g2*Sens!D9204</f>
        <v>733.5</v>
      </c>
      <c r="E9213" s="29" t="n">
        <f aca="false">mix_g2*Sens!E9204</f>
        <v>1462.5</v>
      </c>
      <c r="F9213" s="29" t="n">
        <f aca="false">Sens!E9213-Sens!F9211*mix_g2</f>
        <v>1462.5</v>
      </c>
      <c r="G9213" s="29" t="n">
        <f aca="false">Sens!F9213-Sens!G9211*mix_g2</f>
        <v>1462.5</v>
      </c>
      <c r="H9213" s="29" t="n">
        <f aca="false">Sens!G9213-Sens!H9211*mix_g2</f>
        <v>1462.5</v>
      </c>
      <c r="I9213" s="29" t="n">
        <f aca="false">Sens!H9213-Sens!I9211*mix_g2</f>
        <v>1242</v>
      </c>
      <c r="J9213" s="29" t="n">
        <f aca="false">Sens!I9213-Sens!J9211*mix_g2</f>
        <v>909</v>
      </c>
      <c r="K9213" s="29" t="n">
        <f aca="false">Sens!J9213-Sens!K9211*mix_g2</f>
        <v>247.5</v>
      </c>
    </row>
    <row r="9214" customFormat="false" ht="17.15" hidden="false" customHeight="false" outlineLevel="0" collapsed="false">
      <c r="A9214" s="1" t="s">
        <v>814</v>
      </c>
      <c r="B9214" s="0" t="s">
        <v>392</v>
      </c>
      <c r="C9214" s="29" t="n">
        <f aca="false">mix_g3*Sens!C9204</f>
        <v>224</v>
      </c>
      <c r="D9214" s="29" t="n">
        <f aca="false">mix_g3*Sens!D9204</f>
        <v>570.5</v>
      </c>
      <c r="E9214" s="29" t="n">
        <f aca="false">mix_g3*Sens!E9204</f>
        <v>1137.5</v>
      </c>
      <c r="F9214" s="29" t="n">
        <f aca="false">Sens!E9214+(Sens!F9210+Sens!F9211)*a_g3_27-Sens!F9211*mix_g3</f>
        <v>2906.54</v>
      </c>
      <c r="G9214" s="29" t="n">
        <f aca="false">Sens!F9214+(Sens!G9210+Sens!G9211)*a_g3_28-Sens!G9211*mix_g3</f>
        <v>3664.7</v>
      </c>
      <c r="H9214" s="29" t="n">
        <f aca="false">Sens!G9214+(Sens!H9210+Sens!H9211)*a_g3_29-Sens!H9211*mix_g3</f>
        <v>3917.42</v>
      </c>
      <c r="I9214" s="29" t="n">
        <f aca="false">Sens!H9214+(Sens!I9210+Sens!I9211)*a_g3_29-Sens!I9211*mix_g3</f>
        <v>3974.2316</v>
      </c>
      <c r="J9214" s="29" t="n">
        <f aca="false">Sens!I9214+(Sens!J9210+Sens!J9211)*a_g3_29-Sens!J9211*mix_g3</f>
        <v>3895.1348</v>
      </c>
      <c r="K9214" s="29" t="n">
        <f aca="false">Sens!J9214+(Sens!K9210+Sens!K9211)*a_g3_29-Sens!K9211*mix_g3</f>
        <v>3560.1296</v>
      </c>
    </row>
    <row r="9215" customFormat="false" ht="17.15" hidden="false" customHeight="false" outlineLevel="0" collapsed="false">
      <c r="A9215" s="1" t="s">
        <v>815</v>
      </c>
      <c r="B9215" s="0" t="s">
        <v>392</v>
      </c>
      <c r="C9215" s="29" t="n">
        <v>0</v>
      </c>
      <c r="D9215" s="29" t="n">
        <v>0</v>
      </c>
      <c r="E9215" s="29" t="n">
        <v>0</v>
      </c>
      <c r="F9215" s="29" t="n">
        <f aca="false">Sens!E9215+(Sens!F9210+Sens!F9211)*(1-a_g3_27)</f>
        <v>758.16</v>
      </c>
      <c r="G9215" s="29" t="n">
        <f aca="false">Sens!F9215+(Sens!G9210+Sens!G9211)*(1-a_g3_28)</f>
        <v>2527.2</v>
      </c>
      <c r="H9215" s="29" t="n">
        <f aca="false">Sens!G9215+(Sens!H9210+Sens!H9211)*(1-a_g3_29)</f>
        <v>4801.68</v>
      </c>
      <c r="I9215" s="29" t="n">
        <f aca="false">Sens!H9215+(Sens!I9210+Sens!I9211)*(1-a_g3_29)</f>
        <v>6856.4844</v>
      </c>
      <c r="J9215" s="29" t="n">
        <f aca="false">Sens!I9215+(Sens!J9210+Sens!J9211)*(1-a_g3_29)</f>
        <v>8475.6132</v>
      </c>
      <c r="K9215" s="29" t="n">
        <f aca="false">Sens!J9215+(Sens!K9210+Sens!K9211)*(1-a_g3_29)</f>
        <v>10091.0664</v>
      </c>
    </row>
    <row r="9216" customFormat="false" ht="17.15" hidden="false" customHeight="false" outlineLevel="0" collapsed="false">
      <c r="A9216" s="1" t="s">
        <v>816</v>
      </c>
      <c r="B9216" s="0" t="s">
        <v>339</v>
      </c>
      <c r="C9216" s="14" t="n">
        <f aca="false">(Sens!C9212*tk_hold_h100+Sens!C9213*tk_hold_gb200+Sens!C9214*tk_hold_gb300+Sens!C9215*tk_hold_vr200)/Sens!C9204</f>
        <v>9.7235358126469</v>
      </c>
      <c r="D9216" s="14" t="n">
        <f aca="false">(Sens!D9212*tk_hold_h100+Sens!D9213*tk_hold_gb200+Sens!D9214*tk_hold_gb300+Sens!D9215*tk_hold_vr200)/Sens!D9204</f>
        <v>9.7235358126469</v>
      </c>
      <c r="E9216" s="14" t="n">
        <f aca="false">(Sens!E9212*tk_hold_h100+Sens!E9213*tk_hold_gb200+Sens!E9214*tk_hold_gb300+Sens!E9215*tk_hold_vr200)/Sens!E9204</f>
        <v>9.7235358126469</v>
      </c>
      <c r="F9216" s="14" t="n">
        <f aca="false">(Sens!F9212*tk_hold_h100+Sens!F9213*tk_hold_gb200+Sens!F9214*tk_hold_gb300+Sens!F9215*tk_hold_vr200)/Sens!F9204</f>
        <v>10.4079573161931</v>
      </c>
      <c r="G9216" s="14" t="n">
        <f aca="false">(Sens!G9212*tk_hold_h100+Sens!G9213*tk_hold_gb200+Sens!G9214*tk_hold_gb300+Sens!G9215*tk_hold_vr200)/Sens!G9204</f>
        <v>10.8388131109316</v>
      </c>
      <c r="H9216" s="14" t="n">
        <f aca="false">(Sens!H9212*tk_hold_h100+Sens!H9213*tk_hold_gb200+Sens!H9214*tk_hold_gb300+Sens!H9215*tk_hold_vr200)/Sens!H9204</f>
        <v>11.1311018388216</v>
      </c>
      <c r="I9216" s="14" t="n">
        <f aca="false">(Sens!I9212*tk_hold_h100+Sens!I9213*tk_hold_gb200+Sens!I9214*tk_hold_gb300+Sens!I9215*tk_hold_vr200)/Sens!I9204</f>
        <v>11.3594282560989</v>
      </c>
      <c r="J9216" s="14" t="n">
        <f aca="false">(Sens!J9212*tk_hold_h100+Sens!J9213*tk_hold_gb200+Sens!J9214*tk_hold_gb300+Sens!J9215*tk_hold_vr200)/Sens!J9204</f>
        <v>11.5441508808221</v>
      </c>
      <c r="K9216" s="14" t="n">
        <f aca="false">(Sens!K9212*tk_hold_h100+Sens!K9213*tk_hold_gb200+Sens!K9214*tk_hold_gb300+Sens!K9215*tk_hold_vr200)/Sens!K9204</f>
        <v>11.8053375063575</v>
      </c>
    </row>
    <row r="9217" customFormat="false" ht="17.15" hidden="false" customHeight="false" outlineLevel="0" collapsed="false">
      <c r="A9217" s="0" t="s">
        <v>817</v>
      </c>
      <c r="B9217" s="0" t="s">
        <v>185</v>
      </c>
      <c r="C9217" s="14" t="n">
        <f aca="false">k_B</f>
        <v>1.17213932619116</v>
      </c>
      <c r="D9217" s="14" t="n">
        <f aca="false">k_B</f>
        <v>1.17213932619116</v>
      </c>
      <c r="E9217" s="14" t="n">
        <f aca="false">k_B</f>
        <v>1.17213932619116</v>
      </c>
      <c r="F9217" s="14" t="n">
        <f aca="false">(k_B+((ls_A*k_long+(1-ls_A)*k_spot)-k_B)*MIN(1,(Sens!F9202-base_fy)/k_ramp))</f>
        <v>1.25022828131298</v>
      </c>
      <c r="G9217" s="14" t="n">
        <f aca="false">(k_B+((ls_A*k_long+(1-ls_A)*k_spot)-k_B)*MIN(1,(Sens!G9202-base_fy)/k_ramp))</f>
        <v>1.3283172364348</v>
      </c>
      <c r="H9217" s="14" t="n">
        <f aca="false">(k_B+((ls_A*k_long+(1-ls_A)*k_spot)-k_B)*MIN(1,(Sens!H9202-base_fy)/k_ramp))</f>
        <v>1.40640619155662</v>
      </c>
      <c r="I9217" s="14" t="n">
        <f aca="false">(k_B+((ls_A*k_long+(1-ls_A)*k_spot)-k_B)*MIN(1,(Sens!I9202-base_fy)/k_ramp))</f>
        <v>1.40640619155662</v>
      </c>
      <c r="J9217" s="14" t="n">
        <f aca="false">(k_B+((ls_A*k_long+(1-ls_A)*k_spot)-k_B)*MIN(1,(Sens!J9202-base_fy)/k_ramp))</f>
        <v>1.40640619155662</v>
      </c>
      <c r="K9217" s="14" t="n">
        <f aca="false">(k_B+((ls_A*k_long+(1-ls_A)*k_spot)-k_B)*MIN(1,(Sens!K9202-base_fy)/k_ramp))</f>
        <v>1.40640619155662</v>
      </c>
      <c r="L9217" s="1" t="s">
        <v>818</v>
      </c>
    </row>
    <row r="9218" customFormat="false" ht="17.15" hidden="false" customHeight="false" outlineLevel="0" collapsed="false">
      <c r="A9218" s="1" t="s">
        <v>819</v>
      </c>
      <c r="B9218" s="0" t="s">
        <v>339</v>
      </c>
      <c r="C9218" s="14" t="n">
        <f aca="false">Sens!C9216*Sens!C9217*chip_f</f>
        <v>11.3973387156315</v>
      </c>
      <c r="D9218" s="14" t="n">
        <f aca="false">Sens!D9216*Sens!D9217*chip_f</f>
        <v>11.3973387156315</v>
      </c>
      <c r="E9218" s="14" t="n">
        <f aca="false">Sens!E9216*Sens!E9217*chip_f</f>
        <v>11.3973387156315</v>
      </c>
      <c r="F9218" s="14" t="n">
        <f aca="false">Sens!F9216*Sens!F9217*chip_f</f>
        <v>13.0123225874029</v>
      </c>
      <c r="G9218" s="14" t="n">
        <f aca="false">Sens!G9216*Sens!G9217*chip_f</f>
        <v>14.3973822777458</v>
      </c>
      <c r="H9218" s="14" t="n">
        <f aca="false">Sens!H9216*Sens!H9217*chip_f</f>
        <v>15.6548505449659</v>
      </c>
      <c r="I9218" s="14" t="n">
        <f aca="false">Sens!I9216*Sens!I9217*chip_f</f>
        <v>15.9759702319207</v>
      </c>
      <c r="J9218" s="14" t="n">
        <f aca="false">Sens!J9216*Sens!J9217*chip_f</f>
        <v>16.2357652750519</v>
      </c>
      <c r="K9218" s="14" t="n">
        <f aca="false">Sens!K9216*Sens!K9217*chip_f</f>
        <v>16.6030997623568</v>
      </c>
      <c r="L9218" s="1" t="s">
        <v>820</v>
      </c>
    </row>
    <row r="9219" customFormat="false" ht="17.15" hidden="false" customHeight="false" outlineLevel="0" collapsed="false">
      <c r="A9219" s="0" t="s">
        <v>821</v>
      </c>
      <c r="B9219" s="0" t="s">
        <v>98</v>
      </c>
      <c r="D9219" s="6" t="n">
        <f aca="false">(Sens!C9204+Sens!D9204)/2*Sens!D9218/1000</f>
        <v>12.9359794422418</v>
      </c>
      <c r="E9219" s="6" t="n">
        <f aca="false">(Sens!D9204+Sens!E9204)/2*Sens!E9218/1000</f>
        <v>27.8095064661409</v>
      </c>
      <c r="F9219" s="6" t="n">
        <f aca="false">(Sens!E9204+Sens!F9204)/2*Sens!F9218/1000</f>
        <v>58.7324192305018</v>
      </c>
      <c r="G9219" s="6" t="n">
        <f aca="false">(Sens!F9204+Sens!G9204)/2*Sens!G9218/1000</f>
        <v>101.369089141153</v>
      </c>
      <c r="H9219" s="6" t="n">
        <f aca="false">(Sens!G9204+Sens!H9204)/2*Sens!H9218/1000</f>
        <v>149.785610014234</v>
      </c>
      <c r="I9219" s="6" t="n">
        <f aca="false">(Sens!H9204+Sens!I9204)/2*Sens!I9218/1000</f>
        <v>187.368703083263</v>
      </c>
      <c r="J9219" s="6" t="n">
        <f aca="false">(Sens!I9204+Sens!J9204)/2*Sens!J9218/1000</f>
        <v>213.569023125577</v>
      </c>
      <c r="K9219" s="6" t="n">
        <f aca="false">(Sens!J9204+Sens!K9204)/2*Sens!K9218/1000</f>
        <v>229.890205197739</v>
      </c>
      <c r="L9219" s="11" t="s">
        <v>822</v>
      </c>
    </row>
    <row r="9220" customFormat="false" ht="17.15" hidden="false" customHeight="false" outlineLevel="0" collapsed="false">
      <c r="A9220" s="1" t="s">
        <v>823</v>
      </c>
      <c r="B9220" s="0" t="s">
        <v>339</v>
      </c>
      <c r="C9220" s="14" t="n">
        <f aca="false">(Sens!C9212*tk_opex_h100+Sens!C9213*tk_opex_gb200+Sens!C9214*tk_opex_gb300+Sens!C9215*tk_opex_vr200)/Sens!C9204</f>
        <v>1.88636041306092</v>
      </c>
      <c r="D9220" s="14" t="n">
        <f aca="false">(Sens!D9212*tk_opex_h100+Sens!D9213*tk_opex_gb200+Sens!D9214*tk_opex_gb300+Sens!D9215*tk_opex_vr200)/Sens!D9204</f>
        <v>1.88636041306092</v>
      </c>
      <c r="E9220" s="14" t="n">
        <f aca="false">(Sens!E9212*tk_opex_h100+Sens!E9213*tk_opex_gb200+Sens!E9214*tk_opex_gb300+Sens!E9215*tk_opex_vr200)/Sens!E9204</f>
        <v>1.88636041306092</v>
      </c>
      <c r="F9220" s="14" t="n">
        <f aca="false">(Sens!F9212*tk_opex_h100+Sens!F9213*tk_opex_gb200+Sens!F9214*tk_opex_gb300+Sens!F9215*tk_opex_vr200)/Sens!F9204</f>
        <v>1.9430236476499</v>
      </c>
      <c r="G9220" s="14" t="n">
        <f aca="false">(Sens!G9212*tk_opex_h100+Sens!G9213*tk_opex_gb200+Sens!G9214*tk_opex_gb300+Sens!G9215*tk_opex_vr200)/Sens!G9204</f>
        <v>1.9786941852423</v>
      </c>
      <c r="H9220" s="14" t="n">
        <f aca="false">(Sens!H9212*tk_opex_h100+Sens!H9213*tk_opex_gb200+Sens!H9214*tk_opex_gb300+Sens!H9215*tk_opex_vr200)/Sens!H9204</f>
        <v>2.00289275976156</v>
      </c>
      <c r="I9220" s="14" t="n">
        <f aca="false">(Sens!I9212*tk_opex_h100+Sens!I9213*tk_opex_gb200+Sens!I9214*tk_opex_gb300+Sens!I9215*tk_opex_vr200)/Sens!I9204</f>
        <v>2.02179589661219</v>
      </c>
      <c r="J9220" s="14" t="n">
        <f aca="false">(Sens!J9212*tk_opex_h100+Sens!J9213*tk_opex_gb200+Sens!J9214*tk_opex_gb300+Sens!J9215*tk_opex_vr200)/Sens!J9204</f>
        <v>2.03708907685909</v>
      </c>
      <c r="K9220" s="14" t="n">
        <f aca="false">(Sens!K9212*tk_opex_h100+Sens!K9213*tk_opex_gb200+Sens!K9214*tk_opex_gb300+Sens!K9215*tk_opex_vr200)/Sens!K9204</f>
        <v>2.05871270931005</v>
      </c>
    </row>
    <row r="9221" customFormat="false" ht="17.15" hidden="false" customHeight="false" outlineLevel="0" collapsed="false">
      <c r="A9221" s="0" t="s">
        <v>824</v>
      </c>
      <c r="B9221" s="0" t="s">
        <v>98</v>
      </c>
      <c r="D9221" s="6" t="n">
        <f aca="false">(Sens!C9207+Sens!D9207)/2*Sens!D9220/1000</f>
        <v>2.70378325872065</v>
      </c>
      <c r="E9221" s="6" t="n">
        <f aca="false">(Sens!D9207+Sens!E9207)/2*Sens!E9220/1000</f>
        <v>6.17783035277451</v>
      </c>
      <c r="F9221" s="6" t="n">
        <f aca="false">(Sens!E9207+Sens!F9207)/2*Sens!F9220/1000</f>
        <v>12.5020618235287</v>
      </c>
      <c r="G9221" s="6" t="n">
        <f aca="false">(Sens!F9207+Sens!G9207)/2*Sens!G9220/1000</f>
        <v>20.7261620256847</v>
      </c>
      <c r="H9221" s="6" t="n">
        <f aca="false">(Sens!G9207+Sens!H9207)/2*Sens!H9220/1000</f>
        <v>29.4158183316982</v>
      </c>
      <c r="I9221" s="6" t="n">
        <f aca="false">(Sens!H9207+Sens!I9207)/2*Sens!I9220/1000</f>
        <v>36.9724400356344</v>
      </c>
      <c r="J9221" s="6" t="n">
        <f aca="false">(Sens!I9207+Sens!J9207)/2*Sens!J9220/1000</f>
        <v>42.0938382992747</v>
      </c>
      <c r="K9221" s="6" t="n">
        <f aca="false">(Sens!J9207+Sens!K9207)/2*Sens!K9220/1000</f>
        <v>44.9150106651501</v>
      </c>
    </row>
    <row r="9222" customFormat="false" ht="17.15" hidden="false" customHeight="false" outlineLevel="0" collapsed="false">
      <c r="A9222" s="0" t="s">
        <v>825</v>
      </c>
      <c r="B9222" s="0" t="s">
        <v>98</v>
      </c>
      <c r="D9222" s="6" t="n">
        <f aca="false">(Sens!C9205+Sens!D9205)/2*rent_mw/1000</f>
        <v>2.44475</v>
      </c>
      <c r="E9222" s="6" t="n">
        <f aca="false">(Sens!D9205+Sens!E9205)/2*rent_mw/1000</f>
        <v>4.22275</v>
      </c>
      <c r="F9222" s="6" t="n">
        <f aca="false">(Sens!E9205+Sens!F9205)/2*rent_mw/1000</f>
        <v>5.80517</v>
      </c>
      <c r="G9222" s="6" t="n">
        <f aca="false">(Sens!F9205+Sens!G9205)/2*rent_mw/1000</f>
        <v>6.72084</v>
      </c>
      <c r="H9222" s="6" t="n">
        <f aca="false">(Sens!G9205+Sens!H9205)/2*rent_mw/1000</f>
        <v>6.72084</v>
      </c>
      <c r="I9222" s="6" t="n">
        <f aca="false">(Sens!H9205+Sens!I9205)/2*rent_mw/1000</f>
        <v>6.72084</v>
      </c>
      <c r="J9222" s="6" t="n">
        <f aca="false">(Sens!I9205+Sens!J9205)/2*rent_mw/1000</f>
        <v>6.72084</v>
      </c>
      <c r="K9222" s="6" t="n">
        <f aca="false">(Sens!J9205+Sens!K9205)/2*rent_mw/1000</f>
        <v>6.72084</v>
      </c>
    </row>
    <row r="9223" customFormat="false" ht="17.15" hidden="false" customHeight="false" outlineLevel="0" collapsed="false">
      <c r="A9223" s="0" t="s">
        <v>826</v>
      </c>
      <c r="B9223" s="0" t="s">
        <v>98</v>
      </c>
      <c r="D9223" s="6" t="n">
        <f aca="false">(Sens!C9207+Sens!D9207)/2*(1-self_build)*fac_rent/1000</f>
        <v>0.853242375631075</v>
      </c>
      <c r="E9223" s="6" t="n">
        <f aca="false">(Sens!D9207+Sens!E9207)/2*(1-self_build)*fac_rent/1000</f>
        <v>1.94955961408728</v>
      </c>
      <c r="F9223" s="6" t="n">
        <f aca="false">(Sens!E9207+Sens!F9207)/2*(1-self_build)*fac_rent/1000</f>
        <v>3.83026455274573</v>
      </c>
      <c r="G9223" s="6" t="n">
        <f aca="false">(Sens!F9207+Sens!G9207)/2*(1-self_build)*fac_rent/1000</f>
        <v>6.23541590972812</v>
      </c>
      <c r="H9223" s="6" t="n">
        <f aca="false">(Sens!G9207+Sens!H9207)/2*(1-self_build)*fac_rent/1000</f>
        <v>8.74275792332679</v>
      </c>
      <c r="I9223" s="6" t="n">
        <f aca="false">(Sens!H9207+Sens!I9207)/2*(1-self_build)*fac_rent/1000</f>
        <v>10.8859420438599</v>
      </c>
      <c r="J9223" s="6" t="n">
        <f aca="false">(Sens!I9207+Sens!J9207)/2*(1-self_build)*fac_rent/1000</f>
        <v>12.3008103782619</v>
      </c>
      <c r="K9223" s="6" t="n">
        <f aca="false">(Sens!J9207+Sens!K9207)/2*(1-self_build)*fac_rent/1000</f>
        <v>12.9873629265328</v>
      </c>
      <c r="L9223" s="11" t="s">
        <v>827</v>
      </c>
    </row>
    <row r="9224" customFormat="false" ht="17.15" hidden="false" customHeight="false" outlineLevel="0" collapsed="false">
      <c r="A9224" s="1" t="s">
        <v>828</v>
      </c>
      <c r="B9224" s="0" t="s">
        <v>129</v>
      </c>
      <c r="D9224" s="7" t="n">
        <f aca="false">(Sens!C9206+Sens!D9206)/(Sens!C9207+Sens!D9207)</f>
        <v>0.6</v>
      </c>
      <c r="E9224" s="7" t="n">
        <f aca="false">(Sens!D9206+Sens!E9206)/(Sens!D9207+Sens!E9207)</f>
        <v>0.6</v>
      </c>
      <c r="F9224" s="7" t="n">
        <f aca="false">(Sens!E9206+Sens!F9206)/(Sens!E9207+Sens!F9207)</f>
        <v>0.6</v>
      </c>
      <c r="G9224" s="7" t="n">
        <f aca="false">(Sens!F9206+Sens!G9206)/(Sens!F9207+Sens!G9207)</f>
        <v>0.6</v>
      </c>
      <c r="H9224" s="7" t="n">
        <f aca="false">(Sens!G9206+Sens!H9206)/(Sens!G9207+Sens!H9207)</f>
        <v>0.6</v>
      </c>
      <c r="I9224" s="7" t="n">
        <f aca="false">(Sens!H9206+Sens!I9206)/(Sens!H9207+Sens!I9207)</f>
        <v>0.6</v>
      </c>
      <c r="J9224" s="7" t="n">
        <f aca="false">(Sens!I9206+Sens!J9206)/(Sens!I9207+Sens!J9207)</f>
        <v>0.6</v>
      </c>
      <c r="K9224" s="7" t="n">
        <f aca="false">(Sens!J9206+Sens!K9206)/(Sens!J9207+Sens!K9207)</f>
        <v>0.6</v>
      </c>
    </row>
    <row r="9225" customFormat="false" ht="17.15" hidden="false" customHeight="false" outlineLevel="0" collapsed="false">
      <c r="A9225" s="0" t="s">
        <v>829</v>
      </c>
      <c r="B9225" s="0" t="s">
        <v>98</v>
      </c>
      <c r="D9225" s="6" t="n">
        <f aca="false">Sens!D9219-Sens!D9224*(Sens!D9221+Sens!D9223)-Sens!D9222</f>
        <v>8.35701406163072</v>
      </c>
      <c r="E9225" s="6" t="n">
        <f aca="false">Sens!E9219-Sens!E9224*(Sens!E9221+Sens!E9223)-Sens!E9222</f>
        <v>18.7103224860238</v>
      </c>
      <c r="F9225" s="6" t="n">
        <f aca="false">Sens!F9219-Sens!F9224*(Sens!F9221+Sens!F9223)-Sens!F9222</f>
        <v>43.1278534047371</v>
      </c>
      <c r="G9225" s="6" t="n">
        <f aca="false">Sens!G9219-Sens!G9224*(Sens!G9221+Sens!G9223)-Sens!G9222</f>
        <v>78.4713023799053</v>
      </c>
      <c r="H9225" s="6" t="n">
        <f aca="false">Sens!H9219-Sens!H9224*(Sens!H9221+Sens!H9223)-Sens!H9222</f>
        <v>120.169624261219</v>
      </c>
      <c r="I9225" s="6" t="n">
        <f aca="false">Sens!I9219-Sens!I9224*(Sens!I9221+Sens!I9223)-Sens!I9222</f>
        <v>151.932833835566</v>
      </c>
      <c r="J9225" s="6" t="n">
        <f aca="false">Sens!J9219-Sens!J9224*(Sens!J9221+Sens!J9223)-Sens!J9222</f>
        <v>174.211393919055</v>
      </c>
      <c r="K9225" s="6" t="n">
        <f aca="false">Sens!K9219-Sens!K9224*(Sens!K9221+Sens!K9223)-Sens!K9222</f>
        <v>188.427941042729</v>
      </c>
    </row>
    <row r="9226" customFormat="false" ht="17.15" hidden="false" customHeight="false" outlineLevel="0" collapsed="false">
      <c r="A9226" s="1" t="s">
        <v>830</v>
      </c>
      <c r="B9226" s="0" t="s">
        <v>98</v>
      </c>
      <c r="D9226" s="6" t="n">
        <f aca="false">(1-Sens!D9224)*(Sens!D9221+Sens!D9223)</f>
        <v>1.42281025374069</v>
      </c>
      <c r="E9226" s="6" t="n">
        <f aca="false">(1-Sens!E9224)*(Sens!E9221+Sens!E9223)</f>
        <v>3.25095598674472</v>
      </c>
      <c r="F9226" s="6" t="n">
        <f aca="false">(1-Sens!F9224)*(Sens!F9221+Sens!F9223)</f>
        <v>6.53293055050977</v>
      </c>
      <c r="G9226" s="6" t="n">
        <f aca="false">(1-Sens!G9224)*(Sens!G9221+Sens!G9223)</f>
        <v>10.7846311741651</v>
      </c>
      <c r="H9226" s="6" t="n">
        <f aca="false">(1-Sens!H9224)*(Sens!H9221+Sens!H9223)</f>
        <v>15.26343050201</v>
      </c>
      <c r="I9226" s="6" t="n">
        <f aca="false">(1-Sens!I9224)*(Sens!I9221+Sens!I9223)</f>
        <v>19.1433528317977</v>
      </c>
      <c r="J9226" s="6" t="n">
        <f aca="false">(1-Sens!J9224)*(Sens!J9221+Sens!J9223)</f>
        <v>21.7578594710146</v>
      </c>
      <c r="K9226" s="6" t="n">
        <f aca="false">(1-Sens!K9224)*(Sens!K9221+Sens!K9223)</f>
        <v>23.1609494366731</v>
      </c>
    </row>
    <row r="9227" customFormat="false" ht="17.15" hidden="false" customHeight="false" outlineLevel="0" collapsed="false">
      <c r="A9227" s="1" t="s">
        <v>831</v>
      </c>
      <c r="B9227" s="0" t="s">
        <v>350</v>
      </c>
      <c r="C9227" s="8" t="n">
        <f aca="false">cxit_open</f>
        <v>27.5918995</v>
      </c>
      <c r="D9227" s="8" t="n">
        <f aca="false">cxit_open</f>
        <v>27.5918995</v>
      </c>
      <c r="E9227" s="8" t="n">
        <f aca="false">cxit_open</f>
        <v>27.5918995</v>
      </c>
      <c r="F9227" s="8" t="n">
        <f aca="false">(a_g3_27*tk_cxit_gb300+(1-a_g3_27)*tk_cxit_vr200)</f>
        <v>33.8419624</v>
      </c>
      <c r="G9227" s="8" t="n">
        <f aca="false">(a_g3_28*tk_cxit_gb300+(1-a_g3_28)*tk_cxit_vr200)</f>
        <v>35.9816136</v>
      </c>
      <c r="H9227" s="8" t="n">
        <f aca="false">(a_g3_29*tk_cxit_gb300+(1-a_g3_29)*tk_cxit_vr200)</f>
        <v>37.0514392</v>
      </c>
      <c r="I9227" s="8" t="n">
        <f aca="false">(a_g3_29*tk_cxit_gb300+(1-a_g3_29)*tk_cxit_vr200)</f>
        <v>37.0514392</v>
      </c>
      <c r="J9227" s="8" t="n">
        <f aca="false">(a_g3_29*tk_cxit_gb300+(1-a_g3_29)*tk_cxit_vr200)</f>
        <v>37.0514392</v>
      </c>
      <c r="K9227" s="8" t="n">
        <f aca="false">(a_g3_29*tk_cxit_gb300+(1-a_g3_29)*tk_cxit_vr200)</f>
        <v>37.0514392</v>
      </c>
      <c r="L9227" s="11" t="s">
        <v>832</v>
      </c>
    </row>
    <row r="9228" customFormat="false" ht="17.15" hidden="false" customHeight="false" outlineLevel="0" collapsed="false">
      <c r="A9228" s="0" t="s">
        <v>833</v>
      </c>
      <c r="B9228" s="0" t="s">
        <v>392</v>
      </c>
      <c r="F9228" s="29" t="n">
        <f aca="false">Sens!C9209*IF(Sens!F9202-Sens!C9202=life_it,1,0)+Sens!D9209*IF(Sens!F9202-Sens!D9202=life_it,1,0)+Sens!E9209*IF(Sens!F9202-Sens!E9202=life_it,1,0)</f>
        <v>0</v>
      </c>
      <c r="G9228" s="29" t="n">
        <f aca="false">Sens!C9209*IF(Sens!G9202-Sens!C9202=life_it,1,0)+Sens!D9209*IF(Sens!G9202-Sens!D9202=life_it,1,0)+Sens!E9209*IF(Sens!G9202-Sens!E9202=life_it,1,0)+Sens!F9209*IF(Sens!G9202-Sens!F9202=life_it,1,0)</f>
        <v>0</v>
      </c>
      <c r="H9228" s="29" t="n">
        <f aca="false">Sens!C9209*IF(Sens!H9202-Sens!C9202=life_it,1,0)+Sens!D9209*IF(Sens!H9202-Sens!D9202=life_it,1,0)+Sens!E9209*IF(Sens!H9202-Sens!E9202=life_it,1,0)+Sens!F9209*IF(Sens!H9202-Sens!F9202=life_it,1,0)+Sens!G9209*IF(Sens!H9202-Sens!G9202=life_it,1,0)</f>
        <v>0</v>
      </c>
      <c r="I9228" s="29" t="n">
        <f aca="false">Sens!C9209*IF(Sens!I9202-Sens!C9202=life_it,1,0)+Sens!D9209*IF(Sens!I9202-Sens!D9202=life_it,1,0)+Sens!E9209*IF(Sens!I9202-Sens!E9202=life_it,1,0)+Sens!F9209*IF(Sens!I9202-Sens!F9202=life_it,1,0)+Sens!G9209*IF(Sens!I9202-Sens!G9202=life_it,1,0)+Sens!H9209*IF(Sens!I9202-Sens!H9202=life_it,1,0)</f>
        <v>816.666666666667</v>
      </c>
      <c r="J9228" s="29" t="n">
        <f aca="false">Sens!C9209*IF(Sens!J9202-Sens!C9202=life_it,1,0)+Sens!D9209*IF(Sens!J9202-Sens!D9202=life_it,1,0)+Sens!E9209*IF(Sens!J9202-Sens!E9202=life_it,1,0)+Sens!F9209*IF(Sens!J9202-Sens!F9202=life_it,1,0)+Sens!G9209*IF(Sens!J9202-Sens!G9202=life_it,1,0)+Sens!H9209*IF(Sens!J9202-Sens!H9202=life_it,1,0)+Sens!I9209*IF(Sens!J9202-Sens!I9202=life_it,1,0)</f>
        <v>1233.33333333333</v>
      </c>
      <c r="K9228" s="29" t="n">
        <f aca="false">Sens!C9209*IF(Sens!K9202-Sens!C9202=life_it,1,0)+Sens!D9209*IF(Sens!K9202-Sens!D9202=life_it,1,0)+Sens!E9209*IF(Sens!K9202-Sens!E9202=life_it,1,0)+Sens!F9209*IF(Sens!K9202-Sens!F9202=life_it,1,0)+Sens!G9209*IF(Sens!K9202-Sens!G9202=life_it,1,0)+Sens!H9209*IF(Sens!K9202-Sens!H9202=life_it,1,0)+Sens!I9209*IF(Sens!K9202-Sens!I9202=life_it,1,0)+Sens!J9209*IF(Sens!K9202-Sens!J9202=life_it,1,0)</f>
        <v>2450</v>
      </c>
      <c r="L9228" s="1" t="s">
        <v>834</v>
      </c>
    </row>
    <row r="9229" customFormat="false" ht="17.15" hidden="false" customHeight="false" outlineLevel="0" collapsed="false">
      <c r="A9229" s="0" t="s">
        <v>835</v>
      </c>
      <c r="B9229" s="0" t="s">
        <v>98</v>
      </c>
      <c r="C9229" s="6" t="n">
        <f aca="false">Sens!C9209*Sens!C9227/1000</f>
        <v>22.5333845916667</v>
      </c>
      <c r="D9229" s="6" t="n">
        <f aca="false">Sens!D9209*Sens!D9227/1000</f>
        <v>34.0300093833333</v>
      </c>
      <c r="E9229" s="6" t="n">
        <f aca="false">Sens!E9209*Sens!E9227/1000</f>
        <v>67.600153775</v>
      </c>
      <c r="F9229" s="6" t="n">
        <f aca="false">(Sens!F9209+Sens!F9228)*Sens!F9227/1000</f>
        <v>130.923271871467</v>
      </c>
      <c r="G9229" s="6" t="n">
        <f aca="false">(Sens!G9209+Sens!G9228)*Sens!G9227/1000</f>
        <v>151.5545564832</v>
      </c>
      <c r="H9229" s="6" t="n">
        <f aca="false">(Sens!H9209+Sens!H9228)*Sens!H9227/1000</f>
        <v>156.0606619104</v>
      </c>
      <c r="I9229" s="6" t="n">
        <f aca="false">(Sens!I9209+Sens!I9228)*Sens!I9227/1000</f>
        <v>140.987889434245</v>
      </c>
      <c r="J9229" s="6" t="n">
        <f aca="false">(Sens!J9209+Sens!J9228)*Sens!J9227/1000</f>
        <v>111.094541278091</v>
      </c>
      <c r="K9229" s="6" t="n">
        <f aca="false">(Sens!K9209+Sens!K9228)*Sens!K9227/1000</f>
        <v>110.842344481936</v>
      </c>
    </row>
    <row r="9230" customFormat="false" ht="17.15" hidden="false" customHeight="false" outlineLevel="0" collapsed="false">
      <c r="A9230" s="0" t="s">
        <v>836</v>
      </c>
      <c r="B9230" s="0" t="s">
        <v>98</v>
      </c>
      <c r="C9230" s="6" t="n">
        <f aca="false">Sens!C9209*self_build*tk_cxfac/1000</f>
        <v>6.2083</v>
      </c>
      <c r="D9230" s="6" t="n">
        <f aca="false">Sens!D9209*self_build*tk_cxfac/1000</f>
        <v>9.3758</v>
      </c>
      <c r="E9230" s="6" t="n">
        <f aca="false">Sens!E9209*self_build*tk_cxfac/1000</f>
        <v>18.6249</v>
      </c>
      <c r="F9230" s="6" t="n">
        <f aca="false">Sens!F9209*self_build*tk_cxfac/1000</f>
        <v>29.409604</v>
      </c>
      <c r="G9230" s="6" t="n">
        <f aca="false">Sens!G9209*self_build*tk_cxfac/1000</f>
        <v>32.019624</v>
      </c>
      <c r="H9230" s="6" t="n">
        <f aca="false">Sens!H9209*self_build*tk_cxfac/1000</f>
        <v>32.019624</v>
      </c>
      <c r="I9230" s="6" t="n">
        <f aca="false">Sens!I9209*self_build*tk_cxfac/1000</f>
        <v>22.71877972</v>
      </c>
      <c r="J9230" s="6" t="n">
        <f aca="false">Sens!J9209*self_build*tk_cxfac/1000</f>
        <v>13.41793544</v>
      </c>
      <c r="K9230" s="6" t="n">
        <f aca="false">Sens!K9209*self_build*tk_cxfac/1000</f>
        <v>4.11709116000001</v>
      </c>
    </row>
    <row r="9231" customFormat="false" ht="17.15" hidden="false" customHeight="false" outlineLevel="0" collapsed="false">
      <c r="A9231" s="0" t="s">
        <v>837</v>
      </c>
      <c r="B9231" s="0" t="s">
        <v>98</v>
      </c>
      <c r="F9231" s="6" t="n">
        <f aca="false">MAX(0,capex_floor27-Sens!F9229-Sens!F9230-Sens!F9324)</f>
        <v>8.12784289897089</v>
      </c>
      <c r="L9231" s="1" t="s">
        <v>838</v>
      </c>
    </row>
    <row r="9232" customFormat="false" ht="17.15" hidden="false" customHeight="false" outlineLevel="0" collapsed="false">
      <c r="A9232" s="0" t="s">
        <v>839</v>
      </c>
      <c r="B9232" s="0" t="s">
        <v>98</v>
      </c>
      <c r="C9232" s="6" t="n">
        <f aca="false">Sens!C9229</f>
        <v>22.5333845916667</v>
      </c>
      <c r="D9232" s="6" t="n">
        <f aca="false">Sens!D9229</f>
        <v>34.0300093833333</v>
      </c>
      <c r="E9232" s="6" t="n">
        <f aca="false">Sens!E9229</f>
        <v>67.600153775</v>
      </c>
      <c r="F9232" s="6" t="n">
        <f aca="false">Sens!F9229+Sens!F9231</f>
        <v>139.051114770438</v>
      </c>
      <c r="G9232" s="6" t="n">
        <f aca="false">Sens!G9229</f>
        <v>151.5545564832</v>
      </c>
      <c r="H9232" s="6" t="n">
        <f aca="false">Sens!H9229</f>
        <v>156.0606619104</v>
      </c>
      <c r="I9232" s="6" t="n">
        <f aca="false">Sens!I9229</f>
        <v>140.987889434245</v>
      </c>
      <c r="J9232" s="6" t="n">
        <f aca="false">Sens!J9229</f>
        <v>111.094541278091</v>
      </c>
      <c r="K9232" s="6" t="n">
        <f aca="false">Sens!K9229</f>
        <v>110.842344481936</v>
      </c>
    </row>
    <row r="9233" customFormat="false" ht="17.15" hidden="false" customHeight="false" outlineLevel="0" collapsed="false">
      <c r="A9233" s="0" t="s">
        <v>840</v>
      </c>
      <c r="B9233" s="0" t="s">
        <v>98</v>
      </c>
      <c r="C9233" s="6" t="n">
        <f aca="false">Sens!C9232+Sens!C9230</f>
        <v>28.7416845916667</v>
      </c>
      <c r="D9233" s="6" t="n">
        <f aca="false">Sens!D9232+Sens!D9230</f>
        <v>43.4058093833333</v>
      </c>
      <c r="E9233" s="6" t="n">
        <f aca="false">Sens!E9232+Sens!E9230</f>
        <v>86.225053775</v>
      </c>
      <c r="F9233" s="6" t="n">
        <f aca="false">Sens!F9232+Sens!F9230</f>
        <v>168.460718770438</v>
      </c>
      <c r="G9233" s="6" t="n">
        <f aca="false">Sens!G9232+Sens!G9230</f>
        <v>183.5741804832</v>
      </c>
      <c r="H9233" s="6" t="n">
        <f aca="false">Sens!H9232+Sens!H9230</f>
        <v>188.0802859104</v>
      </c>
      <c r="I9233" s="6" t="n">
        <f aca="false">Sens!I9232+Sens!I9230</f>
        <v>163.706669154245</v>
      </c>
      <c r="J9233" s="6" t="n">
        <f aca="false">Sens!J9232+Sens!J9230</f>
        <v>124.51247671809</v>
      </c>
      <c r="K9233" s="6" t="n">
        <f aca="false">Sens!K9232+Sens!K9230</f>
        <v>114.959435641936</v>
      </c>
      <c r="L9233" s="11" t="s">
        <v>841</v>
      </c>
    </row>
    <row r="9234" customFormat="false" ht="17.15" hidden="false" customHeight="false" outlineLevel="0" collapsed="false">
      <c r="A9234" s="0" t="s">
        <v>842</v>
      </c>
      <c r="B9234" s="0" t="s">
        <v>98</v>
      </c>
      <c r="E9234" s="6" t="n">
        <f aca="false">(Sens!C9232*IF(2&lt;life_it,1,IF(2=life_it,0.5,0))+Sens!D9232*IF(1&lt;life_it,1,IF(1=life_it,0.5,0))+Sens!E9232*0.5)/life_it</f>
        <v>15.0605784770833</v>
      </c>
      <c r="F9234" s="6" t="n">
        <f aca="false">(Sens!C9232*IF(3&lt;life_it,1,IF(3=life_it,0.5,0))+Sens!D9232*IF(2&lt;life_it,1,IF(2=life_it,0.5,0))+Sens!E9232*IF(1&lt;life_it,1,IF(1=life_it,0.5,0))+Sens!F9232*0.5)/life_it</f>
        <v>32.2815175225365</v>
      </c>
      <c r="G9234" s="6" t="n">
        <f aca="false">(Sens!C9232*IF(4&lt;life_it,1,IF(4=life_it,0.5,0))+Sens!D9232*IF(3&lt;life_it,1,IF(3=life_it,0.5,0))+Sens!E9232*IF(2&lt;life_it,1,IF(2=life_it,0.5,0))+Sens!F9232*IF(1&lt;life_it,1,IF(1=life_it,0.5,0))+Sens!G9232*0.5)/life_it</f>
        <v>56.4986567936729</v>
      </c>
      <c r="H9234" s="6" t="n">
        <f aca="false">(Sens!C9232*IF(5&lt;life_it,1,IF(5=life_it,0.5,0))+Sens!D9232*IF(4&lt;life_it,1,IF(4=life_it,0.5,0))+Sens!E9232*IF(3&lt;life_it,1,IF(3=life_it,0.5,0))+Sens!F9232*IF(2&lt;life_it,1,IF(2=life_it,0.5,0))+Sens!G9232*IF(1&lt;life_it,1,IF(1=life_it,0.5,0))+Sens!H9232*0.5)/life_it</f>
        <v>82.1332583264729</v>
      </c>
      <c r="I9234" s="6" t="n">
        <f aca="false">(Sens!C9232*IF(6&lt;life_it,1,IF(6=life_it,0.5,0))+Sens!D9232*IF(5&lt;life_it,1,IF(5=life_it,0.5,0))+Sens!E9232*IF(4&lt;life_it,1,IF(4=life_it,0.5,0))+Sens!F9232*IF(3&lt;life_it,1,IF(3=life_it,0.5,0))+Sens!G9232*IF(2&lt;life_it,1,IF(2=life_it,0.5,0))+Sens!H9232*IF(1&lt;life_it,1,IF(1=life_it,0.5,0))+Sens!I9232*0.5)/life_it</f>
        <v>105.009522222554</v>
      </c>
      <c r="J9234" s="6" t="n">
        <f aca="false">(Sens!C9232*IF(7&lt;life_it,1,IF(7=life_it,0.5,0))+Sens!D9232*IF(6&lt;life_it,1,IF(6=life_it,0.5,0))+Sens!E9232*IF(5&lt;life_it,1,IF(5=life_it,0.5,0))+Sens!F9232*IF(4&lt;life_it,1,IF(4=life_it,0.5,0))+Sens!G9232*IF(3&lt;life_it,1,IF(3=life_it,0.5,0))+Sens!H9232*IF(2&lt;life_it,1,IF(2=life_it,0.5,0))+Sens!I9232*IF(1&lt;life_it,1,IF(1=life_it,0.5,0))+Sens!J9232*0.5)/life_it</f>
        <v>121.302775283999</v>
      </c>
      <c r="K9234" s="6" t="n">
        <f aca="false">(Sens!C9232*IF(8&lt;life_it,1,IF(8=life_it,0.5,0))+Sens!D9232*IF(7&lt;life_it,1,IF(7=life_it,0.5,0))+Sens!E9232*IF(6&lt;life_it,1,IF(6=life_it,0.5,0))+Sens!F9232*IF(5&lt;life_it,1,IF(5=life_it,0.5,0))+Sens!G9232*IF(4&lt;life_it,1,IF(4=life_it,0.5,0))+Sens!H9232*IF(3&lt;life_it,1,IF(3=life_it,0.5,0))+Sens!I9232*IF(2&lt;life_it,1,IF(2=life_it,0.5,0))+Sens!J9232*IF(1&lt;life_it,1,IF(1=life_it,0.5,0))+Sens!K9232*0.5)/life_it</f>
        <v>131.328335500807</v>
      </c>
    </row>
    <row r="9235" customFormat="false" ht="17.15" hidden="false" customHeight="false" outlineLevel="0" collapsed="false">
      <c r="A9235" s="0" t="s">
        <v>843</v>
      </c>
      <c r="B9235" s="0" t="s">
        <v>98</v>
      </c>
      <c r="E9235" s="6" t="n">
        <f aca="false">(Sens!C9230*IF(2&lt;life_fac,1,IF(2=life_fac,0.5,0))+Sens!D9230*IF(1&lt;life_fac,1,IF(1=life_fac,0.5,0))+Sens!E9230*0.5)/life_fac</f>
        <v>1.2448275</v>
      </c>
      <c r="F9235" s="6" t="n">
        <f aca="false">(Sens!C9230*IF(3&lt;life_fac,1,IF(3=life_fac,0.5,0))+Sens!D9230*IF(2&lt;life_fac,1,IF(2=life_fac,0.5,0))+Sens!E9230*IF(1&lt;life_fac,1,IF(1=life_fac,0.5,0))+Sens!F9230*0.5)/life_fac</f>
        <v>2.4456901</v>
      </c>
      <c r="G9235" s="6" t="n">
        <f aca="false">(Sens!C9230*IF(4&lt;life_fac,1,IF(4=life_fac,0.5,0))+Sens!D9230*IF(3&lt;life_fac,1,IF(3=life_fac,0.5,0))+Sens!E9230*IF(2&lt;life_fac,1,IF(2=life_fac,0.5,0))+Sens!F9230*IF(1&lt;life_fac,1,IF(1=life_fac,0.5,0))+Sens!G9230*0.5)/life_fac</f>
        <v>3.9814208</v>
      </c>
      <c r="H9235" s="6" t="n">
        <f aca="false">(Sens!C9230*IF(5&lt;life_fac,1,IF(5=life_fac,0.5,0))+Sens!D9230*IF(4&lt;life_fac,1,IF(4=life_fac,0.5,0))+Sens!E9230*IF(3&lt;life_fac,1,IF(3=life_fac,0.5,0))+Sens!F9230*IF(2&lt;life_fac,1,IF(2=life_fac,0.5,0))+Sens!G9230*IF(1&lt;life_fac,1,IF(1=life_fac,0.5,0))+Sens!H9230*0.5)/life_fac</f>
        <v>5.582402</v>
      </c>
      <c r="I9235" s="6" t="n">
        <f aca="false">(Sens!C9230*IF(6&lt;life_fac,1,IF(6=life_fac,0.5,0))+Sens!D9230*IF(5&lt;life_fac,1,IF(5=life_fac,0.5,0))+Sens!E9230*IF(4&lt;life_fac,1,IF(4=life_fac,0.5,0))+Sens!F9230*IF(3&lt;life_fac,1,IF(3=life_fac,0.5,0))+Sens!G9230*IF(2&lt;life_fac,1,IF(2=life_fac,0.5,0))+Sens!H9230*IF(1&lt;life_fac,1,IF(1=life_fac,0.5,0))+Sens!I9230*0.5)/life_fac</f>
        <v>6.950862093</v>
      </c>
      <c r="J9235" s="6" t="n">
        <f aca="false">(Sens!C9230*IF(7&lt;life_fac,1,IF(7=life_fac,0.5,0))+Sens!D9230*IF(6&lt;life_fac,1,IF(6=life_fac,0.5,0))+Sens!E9230*IF(5&lt;life_fac,1,IF(5=life_fac,0.5,0))+Sens!F9230*IF(4&lt;life_fac,1,IF(4=life_fac,0.5,0))+Sens!G9230*IF(3&lt;life_fac,1,IF(3=life_fac,0.5,0))+Sens!H9230*IF(2&lt;life_fac,1,IF(2=life_fac,0.5,0))+Sens!I9230*IF(1&lt;life_fac,1,IF(1=life_fac,0.5,0))+Sens!J9230*0.5)/life_fac</f>
        <v>7.854279972</v>
      </c>
      <c r="K9235" s="6" t="n">
        <f aca="false">(Sens!C9230*IF(8&lt;life_fac,1,IF(8=life_fac,0.5,0))+Sens!D9230*IF(7&lt;life_fac,1,IF(7=life_fac,0.5,0))+Sens!E9230*IF(6&lt;life_fac,1,IF(6=life_fac,0.5,0))+Sens!F9230*IF(5&lt;life_fac,1,IF(5=life_fac,0.5,0))+Sens!G9230*IF(4&lt;life_fac,1,IF(4=life_fac,0.5,0))+Sens!H9230*IF(3&lt;life_fac,1,IF(3=life_fac,0.5,0))+Sens!I9230*IF(2&lt;life_fac,1,IF(2=life_fac,0.5,0))+Sens!J9230*IF(1&lt;life_fac,1,IF(1=life_fac,0.5,0))+Sens!K9230*0.5)/life_fac</f>
        <v>8.292655637</v>
      </c>
    </row>
    <row r="9236" customFormat="false" ht="17.15" hidden="false" customHeight="false" outlineLevel="0" collapsed="false">
      <c r="A9236" s="0" t="s">
        <v>844</v>
      </c>
      <c r="B9236" s="0" t="s">
        <v>98</v>
      </c>
      <c r="E9236" s="6" t="n">
        <f aca="false">Sens!E9234+Sens!E9235</f>
        <v>16.3054059770833</v>
      </c>
      <c r="F9236" s="6" t="n">
        <f aca="false">Sens!F9234+Sens!F9235</f>
        <v>34.7272076225365</v>
      </c>
      <c r="G9236" s="6" t="n">
        <f aca="false">Sens!G9234+Sens!G9235</f>
        <v>60.4800775936729</v>
      </c>
      <c r="H9236" s="6" t="n">
        <f aca="false">Sens!H9234+Sens!H9235</f>
        <v>87.7156603264729</v>
      </c>
      <c r="I9236" s="6" t="n">
        <f aca="false">Sens!I9234+Sens!I9235</f>
        <v>111.960384315554</v>
      </c>
      <c r="J9236" s="6" t="n">
        <f aca="false">Sens!J9234+Sens!J9235</f>
        <v>129.157055255999</v>
      </c>
      <c r="K9236" s="6" t="n">
        <f aca="false">Sens!K9234+Sens!K9235</f>
        <v>139.620991137807</v>
      </c>
    </row>
    <row r="9237" customFormat="false" ht="17.15" hidden="false" customHeight="false" outlineLevel="0" collapsed="false">
      <c r="A9237" s="0" t="s">
        <v>845</v>
      </c>
      <c r="B9237" s="0" t="s">
        <v>98</v>
      </c>
      <c r="E9237" s="6" t="n">
        <f aca="false">Sens!E9225-Sens!E9224*Sens!E9236</f>
        <v>8.92707889977379</v>
      </c>
      <c r="F9237" s="6" t="n">
        <f aca="false">Sens!F9225-Sens!F9224*Sens!F9236</f>
        <v>22.2915288312152</v>
      </c>
      <c r="G9237" s="6" t="n">
        <f aca="false">Sens!G9225-Sens!G9224*Sens!G9236</f>
        <v>42.1832558237015</v>
      </c>
      <c r="H9237" s="6" t="n">
        <f aca="false">Sens!H9225-Sens!H9224*Sens!H9236</f>
        <v>67.5402280653351</v>
      </c>
      <c r="I9237" s="6" t="n">
        <f aca="false">Sens!I9225-Sens!I9224*Sens!I9236</f>
        <v>84.7566032462332</v>
      </c>
      <c r="J9237" s="6" t="n">
        <f aca="false">Sens!J9225-Sens!J9224*Sens!J9236</f>
        <v>96.7171607654555</v>
      </c>
      <c r="K9237" s="6" t="n">
        <f aca="false">Sens!K9225-Sens!K9224*Sens!K9236</f>
        <v>104.655346360045</v>
      </c>
    </row>
    <row r="9238" customFormat="false" ht="17.15" hidden="false" customHeight="false" outlineLevel="0" collapsed="false">
      <c r="A9238" s="3" t="s">
        <v>1475</v>
      </c>
    </row>
    <row r="9239" customFormat="false" ht="15" hidden="false" customHeight="false" outlineLevel="0" collapsed="false">
      <c r="A9239" s="4" t="s">
        <v>43</v>
      </c>
      <c r="B9239" s="4" t="s">
        <v>65</v>
      </c>
      <c r="C9239" s="20" t="s">
        <v>788</v>
      </c>
      <c r="D9239" s="20" t="s">
        <v>789</v>
      </c>
      <c r="E9239" s="20" t="s">
        <v>790</v>
      </c>
      <c r="F9239" s="20" t="s">
        <v>791</v>
      </c>
      <c r="G9239" s="20" t="s">
        <v>792</v>
      </c>
      <c r="H9239" s="20" t="s">
        <v>793</v>
      </c>
      <c r="I9239" s="20" t="s">
        <v>794</v>
      </c>
      <c r="J9239" s="20" t="s">
        <v>795</v>
      </c>
      <c r="K9239" s="20" t="s">
        <v>796</v>
      </c>
      <c r="L9239" s="4" t="s">
        <v>47</v>
      </c>
    </row>
    <row r="9240" customFormat="false" ht="17.15" hidden="false" customHeight="false" outlineLevel="0" collapsed="false">
      <c r="A9240" s="0" t="s">
        <v>864</v>
      </c>
      <c r="B9240" s="0" t="s">
        <v>98</v>
      </c>
      <c r="D9240" s="6" t="n">
        <f aca="false">Sens!D9219</f>
        <v>12.9359794422418</v>
      </c>
      <c r="E9240" s="6" t="n">
        <f aca="false">Sens!E9219</f>
        <v>27.8095064661409</v>
      </c>
      <c r="F9240" s="6" t="n">
        <f aca="false">Sens!F9219</f>
        <v>58.7324192305018</v>
      </c>
      <c r="G9240" s="6" t="n">
        <f aca="false">Sens!G9219</f>
        <v>101.369089141153</v>
      </c>
      <c r="H9240" s="6" t="n">
        <f aca="false">Sens!H9219</f>
        <v>149.785610014234</v>
      </c>
      <c r="I9240" s="6" t="n">
        <f aca="false">Sens!I9219</f>
        <v>187.368703083263</v>
      </c>
      <c r="J9240" s="6" t="n">
        <f aca="false">Sens!J9219</f>
        <v>213.569023125577</v>
      </c>
      <c r="K9240" s="6" t="n">
        <f aca="false">Sens!K9219</f>
        <v>229.890205197739</v>
      </c>
    </row>
    <row r="9241" customFormat="false" ht="17.15" hidden="false" customHeight="false" outlineLevel="0" collapsed="false">
      <c r="A9241" s="0" t="s">
        <v>865</v>
      </c>
      <c r="B9241" s="0" t="s">
        <v>98</v>
      </c>
      <c r="D9241" s="6" t="n">
        <f aca="false">Q!L6-Sens!D9240</f>
        <v>59.6740205577583</v>
      </c>
      <c r="E9241" s="6" t="n">
        <f aca="false">Q!M6-Sens!E9240</f>
        <v>74.1284935338591</v>
      </c>
      <c r="F9241" s="6" t="n">
        <f aca="false">Sens!E9241*(1+Sens!F9242)</f>
        <v>90.0799497373663</v>
      </c>
      <c r="G9241" s="6" t="n">
        <f aca="false">Sens!F9241*(1+Sens!G9242)</f>
        <v>107.02842520331</v>
      </c>
      <c r="H9241" s="6" t="n">
        <f aca="false">Sens!G9241*(1+Sens!H9242)</f>
        <v>124.271982585636</v>
      </c>
      <c r="I9241" s="6" t="n">
        <f aca="false">Sens!H9241*(1+Sens!I9242)</f>
        <v>140.933702381855</v>
      </c>
      <c r="J9241" s="6" t="n">
        <f aca="false">Sens!I9241*(1+Sens!J9242)</f>
        <v>156.018867314332</v>
      </c>
      <c r="K9241" s="6" t="n">
        <f aca="false">Sens!J9241*(1+Sens!K9242)</f>
        <v>168.500376699478</v>
      </c>
    </row>
    <row r="9242" customFormat="false" ht="15" hidden="false" customHeight="false" outlineLevel="0" collapsed="false">
      <c r="A9242" s="1" t="s">
        <v>866</v>
      </c>
      <c r="B9242" s="0" t="s">
        <v>129</v>
      </c>
      <c r="E9242" s="7" t="n">
        <f aca="false">Sens!E9241/Sens!D9241-1</f>
        <v>0.242223883039864</v>
      </c>
      <c r="F9242" s="7" t="n">
        <f aca="false">Sens!$E$9242+(glt_azo-Sens!$E$9242)*MIN(1,(Sens!F9202-base_fy)/n_conv)</f>
        <v>0.215186569199887</v>
      </c>
      <c r="G9242" s="7" t="n">
        <f aca="false">Sens!$E$9242+(glt_azo-Sens!$E$9242)*MIN(1,(Sens!G9202-base_fy)/n_conv)</f>
        <v>0.18814925535991</v>
      </c>
      <c r="H9242" s="7" t="n">
        <f aca="false">Sens!$E$9242+(glt_azo-Sens!$E$9242)*MIN(1,(Sens!H9202-base_fy)/n_conv)</f>
        <v>0.161111941519932</v>
      </c>
      <c r="I9242" s="7" t="n">
        <f aca="false">Sens!$E$9242+(glt_azo-Sens!$E$9242)*MIN(1,(Sens!I9202-base_fy)/n_conv)</f>
        <v>0.134074627679955</v>
      </c>
      <c r="J9242" s="7" t="n">
        <f aca="false">Sens!$E$9242+(glt_azo-Sens!$E$9242)*MIN(1,(Sens!J9202-base_fy)/n_conv)</f>
        <v>0.107037313839977</v>
      </c>
      <c r="K9242" s="7" t="n">
        <f aca="false">Sens!$E$9242+(glt_azo-Sens!$E$9242)*MIN(1,(Sens!K9202-base_fy)/n_conv)</f>
        <v>0.08</v>
      </c>
    </row>
    <row r="9243" customFormat="false" ht="15" hidden="false" customHeight="false" outlineLevel="0" collapsed="false">
      <c r="A9243" s="0" t="s">
        <v>867</v>
      </c>
      <c r="B9243" s="0" t="s">
        <v>98</v>
      </c>
      <c r="D9243" s="6" t="n">
        <f aca="false">Sens!D9240+Sens!D9241</f>
        <v>72.61</v>
      </c>
      <c r="E9243" s="6" t="n">
        <f aca="false">Sens!E9240+Sens!E9241</f>
        <v>101.938</v>
      </c>
      <c r="F9243" s="6" t="n">
        <f aca="false">Sens!F9240+Sens!F9241</f>
        <v>148.812368967868</v>
      </c>
      <c r="G9243" s="6" t="n">
        <f aca="false">Sens!G9240+Sens!G9241</f>
        <v>208.397514344463</v>
      </c>
      <c r="H9243" s="6" t="n">
        <f aca="false">Sens!H9240+Sens!H9241</f>
        <v>274.05759259987</v>
      </c>
      <c r="I9243" s="6" t="n">
        <f aca="false">Sens!I9240+Sens!I9241</f>
        <v>328.302405465117</v>
      </c>
      <c r="J9243" s="6" t="n">
        <f aca="false">Sens!J9240+Sens!J9241</f>
        <v>369.587890439908</v>
      </c>
      <c r="K9243" s="6" t="n">
        <f aca="false">Sens!K9240+Sens!K9241</f>
        <v>398.390581897217</v>
      </c>
    </row>
    <row r="9244" customFormat="false" ht="17.15" hidden="false" customHeight="false" outlineLevel="0" collapsed="false">
      <c r="A9244" s="0" t="s">
        <v>868</v>
      </c>
      <c r="B9244" s="1" t="s">
        <v>521</v>
      </c>
      <c r="C9244" s="29" t="n">
        <f aca="false">cop_s24</f>
        <v>1</v>
      </c>
      <c r="D9244" s="29" t="n">
        <f aca="false">cop_s25</f>
        <v>5</v>
      </c>
      <c r="E9244" s="29" t="n">
        <f aca="false">cop_s26</f>
        <v>30</v>
      </c>
      <c r="F9244" s="29" t="n">
        <f aca="false">Sens!E9244+cop_add_A</f>
        <v>60</v>
      </c>
      <c r="G9244" s="29" t="n">
        <f aca="false">Sens!F9244+cop_add_A</f>
        <v>90</v>
      </c>
      <c r="H9244" s="29" t="n">
        <f aca="false">Sens!G9244+cop_add_A</f>
        <v>120</v>
      </c>
      <c r="I9244" s="29" t="n">
        <f aca="false">Sens!H9244+cop_add_A*cop_tail</f>
        <v>135</v>
      </c>
      <c r="J9244" s="29" t="n">
        <f aca="false">Sens!I9244+cop_add_A*cop_tail</f>
        <v>150</v>
      </c>
      <c r="K9244" s="29" t="n">
        <f aca="false">Sens!J9244+cop_add_A*cop_tail</f>
        <v>165</v>
      </c>
      <c r="L9244" s="11" t="s">
        <v>869</v>
      </c>
    </row>
    <row r="9245" customFormat="false" ht="17.15" hidden="false" customHeight="false" outlineLevel="0" collapsed="false">
      <c r="A9245" s="0" t="s">
        <v>870</v>
      </c>
      <c r="B9245" s="0" t="s">
        <v>98</v>
      </c>
      <c r="D9245" s="6" t="n">
        <f aca="false">(Sens!C9244+Sens!D9244)/2*cop_px*12/1000</f>
        <v>0.9</v>
      </c>
      <c r="E9245" s="6" t="n">
        <f aca="false">(Sens!D9244+Sens!E9244)/2*cop_px*12/1000</f>
        <v>5.25</v>
      </c>
      <c r="F9245" s="6" t="n">
        <f aca="false">(Sens!E9244+Sens!F9244)/2*cop_px*12/1000</f>
        <v>13.5</v>
      </c>
      <c r="G9245" s="6" t="n">
        <f aca="false">(Sens!F9244+Sens!G9244)/2*cop_px*12/1000</f>
        <v>22.5</v>
      </c>
      <c r="H9245" s="6" t="n">
        <f aca="false">(Sens!G9244+Sens!H9244)/2*cop_px*12/1000</f>
        <v>31.5</v>
      </c>
      <c r="I9245" s="6" t="n">
        <f aca="false">(Sens!H9244+Sens!I9244)/2*cop_px*12/1000</f>
        <v>38.25</v>
      </c>
      <c r="J9245" s="6" t="n">
        <f aca="false">(Sens!I9244+Sens!J9244)/2*cop_px*12/1000</f>
        <v>42.75</v>
      </c>
      <c r="K9245" s="6" t="n">
        <f aca="false">(Sens!J9244+Sens!K9244)/2*cop_px*12/1000</f>
        <v>47.25</v>
      </c>
      <c r="L9245" s="1" t="s">
        <v>871</v>
      </c>
    </row>
    <row r="9246" customFormat="false" ht="17.15" hidden="false" customHeight="false" outlineLevel="0" collapsed="false">
      <c r="A9246" s="0" t="s">
        <v>872</v>
      </c>
      <c r="B9246" s="0" t="s">
        <v>98</v>
      </c>
      <c r="D9246" s="6" t="n">
        <f aca="false">Q!L7-Sens!D9245</f>
        <v>83.705</v>
      </c>
      <c r="E9246" s="6" t="n">
        <f aca="false">Q!M7-Sens!E9245</f>
        <v>95.049</v>
      </c>
      <c r="F9246" s="6" t="n">
        <f aca="false">Sens!E9246*(1+Sens!F9247)</f>
        <v>106.89238776686</v>
      </c>
      <c r="G9246" s="6" t="n">
        <f aca="false">Sens!F9246*(1+Sens!G9247)</f>
        <v>119.044168448684</v>
      </c>
      <c r="H9246" s="6" t="n">
        <f aca="false">Sens!G9246*(1+Sens!H9247)</f>
        <v>131.277359388781</v>
      </c>
      <c r="I9246" s="6" t="n">
        <f aca="false">Sens!H9246*(1+Sens!I9247)</f>
        <v>143.334028071957</v>
      </c>
      <c r="J9246" s="6" t="n">
        <f aca="false">Sens!I9246*(1+Sens!J9247)</f>
        <v>154.932702785465</v>
      </c>
      <c r="K9246" s="6" t="n">
        <f aca="false">Sens!J9246*(1+Sens!K9247)</f>
        <v>165.777991980448</v>
      </c>
    </row>
    <row r="9247" customFormat="false" ht="15" hidden="false" customHeight="false" outlineLevel="0" collapsed="false">
      <c r="A9247" s="1" t="s">
        <v>866</v>
      </c>
      <c r="B9247" s="0" t="s">
        <v>129</v>
      </c>
      <c r="E9247" s="7" t="n">
        <f aca="false">Sens!E9246/Sens!D9246-1</f>
        <v>0.135523564900544</v>
      </c>
      <c r="F9247" s="7" t="n">
        <f aca="false">Sens!$E$9247+(glt_m365b-Sens!$E$9247)*MIN(1,(Sens!F9202-base_fy)/n_conv)</f>
        <v>0.124602970750453</v>
      </c>
      <c r="G9247" s="7" t="n">
        <f aca="false">Sens!$E$9247+(glt_m365b-Sens!$E$9247)*MIN(1,(Sens!G9202-base_fy)/n_conv)</f>
        <v>0.113682376600363</v>
      </c>
      <c r="H9247" s="7" t="n">
        <f aca="false">Sens!$E$9247+(glt_m365b-Sens!$E$9247)*MIN(1,(Sens!H9202-base_fy)/n_conv)</f>
        <v>0.102761782450272</v>
      </c>
      <c r="I9247" s="7" t="n">
        <f aca="false">Sens!$E$9247+(glt_m365b-Sens!$E$9247)*MIN(1,(Sens!I9202-base_fy)/n_conv)</f>
        <v>0.0918411883001813</v>
      </c>
      <c r="J9247" s="7" t="n">
        <f aca="false">Sens!$E$9247+(glt_m365b-Sens!$E$9247)*MIN(1,(Sens!J9202-base_fy)/n_conv)</f>
        <v>0.0809205941500906</v>
      </c>
      <c r="K9247" s="7" t="n">
        <f aca="false">Sens!$E$9247+(glt_m365b-Sens!$E$9247)*MIN(1,(Sens!K9202-base_fy)/n_conv)</f>
        <v>0.07</v>
      </c>
    </row>
    <row r="9248" customFormat="false" ht="15" hidden="false" customHeight="false" outlineLevel="0" collapsed="false">
      <c r="A9248" s="0" t="s">
        <v>873</v>
      </c>
      <c r="B9248" s="0" t="s">
        <v>98</v>
      </c>
      <c r="D9248" s="6" t="n">
        <f aca="false">Sens!D9246+Sens!D9245</f>
        <v>84.605</v>
      </c>
      <c r="E9248" s="6" t="n">
        <f aca="false">Sens!E9246+Sens!E9245</f>
        <v>100.299</v>
      </c>
      <c r="F9248" s="6" t="n">
        <f aca="false">Sens!F9246+Sens!F9245</f>
        <v>120.39238776686</v>
      </c>
      <c r="G9248" s="6" t="n">
        <f aca="false">Sens!G9246+Sens!G9245</f>
        <v>141.544168448684</v>
      </c>
      <c r="H9248" s="6" t="n">
        <f aca="false">Sens!H9246+Sens!H9245</f>
        <v>162.777359388781</v>
      </c>
      <c r="I9248" s="6" t="n">
        <f aca="false">Sens!I9246+Sens!I9245</f>
        <v>181.584028071957</v>
      </c>
      <c r="J9248" s="6" t="n">
        <f aca="false">Sens!J9246+Sens!J9245</f>
        <v>197.682702785465</v>
      </c>
      <c r="K9248" s="6" t="n">
        <f aca="false">Sens!K9246+Sens!K9245</f>
        <v>213.027991980448</v>
      </c>
    </row>
    <row r="9249" customFormat="false" ht="15" hidden="false" customHeight="false" outlineLevel="0" collapsed="false">
      <c r="A9249" s="0" t="s">
        <v>874</v>
      </c>
      <c r="B9249" s="0" t="s">
        <v>98</v>
      </c>
      <c r="D9249" s="6" t="n">
        <f aca="false">Q!L8</f>
        <v>35.391</v>
      </c>
      <c r="E9249" s="6" t="n">
        <f aca="false">Q!M8</f>
        <v>37.285</v>
      </c>
      <c r="F9249" s="6" t="n">
        <f aca="false">Sens!E9249*(1+Sens!F9250)</f>
        <v>39.0720834331704</v>
      </c>
      <c r="G9249" s="6" t="n">
        <f aca="false">Sens!F9249*(1+Sens!G9250)</f>
        <v>40.726562953769</v>
      </c>
      <c r="H9249" s="6" t="n">
        <f aca="false">Sens!G9249*(1+Sens!H9250)</f>
        <v>42.2235987259198</v>
      </c>
      <c r="I9249" s="6" t="n">
        <f aca="false">Sens!H9249*(1+Sens!I9250)</f>
        <v>43.5397988077414</v>
      </c>
      <c r="J9249" s="6" t="n">
        <f aca="false">Sens!I9249*(1+Sens!J9250)</f>
        <v>44.653811225693</v>
      </c>
      <c r="K9249" s="6" t="n">
        <f aca="false">Sens!J9249*(1+Sens!K9250)</f>
        <v>45.5468874502068</v>
      </c>
    </row>
    <row r="9250" customFormat="false" ht="15" hidden="false" customHeight="false" outlineLevel="0" collapsed="false">
      <c r="A9250" s="1" t="s">
        <v>866</v>
      </c>
      <c r="B9250" s="0" t="s">
        <v>129</v>
      </c>
      <c r="E9250" s="7" t="n">
        <f aca="false">Sens!E9249/Sens!D9249-1</f>
        <v>0.0535164307309768</v>
      </c>
      <c r="F9250" s="7" t="n">
        <f aca="false">Sens!$E$9250+(glt_lic-Sens!$E$9250)*MIN(1,(Sens!F9202-base_fy)/n_conv)</f>
        <v>0.0479303589424807</v>
      </c>
      <c r="G9250" s="7" t="n">
        <f aca="false">Sens!$E$9250+(glt_lic-Sens!$E$9250)*MIN(1,(Sens!G9202-base_fy)/n_conv)</f>
        <v>0.0423442871539845</v>
      </c>
      <c r="H9250" s="7" t="n">
        <f aca="false">Sens!$E$9250+(glt_lic-Sens!$E$9250)*MIN(1,(Sens!H9202-base_fy)/n_conv)</f>
        <v>0.0367582153654884</v>
      </c>
      <c r="I9250" s="7" t="n">
        <f aca="false">Sens!$E$9250+(glt_lic-Sens!$E$9250)*MIN(1,(Sens!I9202-base_fy)/n_conv)</f>
        <v>0.0311721435769923</v>
      </c>
      <c r="J9250" s="7" t="n">
        <f aca="false">Sens!$E$9250+(glt_lic-Sens!$E$9250)*MIN(1,(Sens!J9202-base_fy)/n_conv)</f>
        <v>0.0255860717884961</v>
      </c>
      <c r="K9250" s="7" t="n">
        <f aca="false">Sens!$E$9250+(glt_lic-Sens!$E$9250)*MIN(1,(Sens!K9202-base_fy)/n_conv)</f>
        <v>0.02</v>
      </c>
    </row>
    <row r="9251" customFormat="false" ht="15" hidden="false" customHeight="false" outlineLevel="0" collapsed="false">
      <c r="A9251" s="0" t="s">
        <v>875</v>
      </c>
      <c r="B9251" s="0" t="s">
        <v>98</v>
      </c>
      <c r="D9251" s="6" t="n">
        <f aca="false">Q!L9</f>
        <v>18.417</v>
      </c>
      <c r="E9251" s="6" t="n">
        <f aca="false">Q!M9</f>
        <v>20.345</v>
      </c>
      <c r="F9251" s="6" t="n">
        <f aca="false">Sens!E9251*(1+Sens!F9252)</f>
        <v>22.3572203267814</v>
      </c>
      <c r="G9251" s="6" t="n">
        <f aca="false">Sens!F9251*(1+Sens!G9252)</f>
        <v>24.4392124437232</v>
      </c>
      <c r="H9251" s="6" t="n">
        <f aca="false">Sens!G9251*(1+Sens!H9252)</f>
        <v>26.5738052080665</v>
      </c>
      <c r="I9251" s="6" t="n">
        <f aca="false">Sens!H9251*(1+Sens!I9252)</f>
        <v>28.7412169166967</v>
      </c>
      <c r="J9251" s="6" t="n">
        <f aca="false">Sens!I9251*(1+Sens!J9252)</f>
        <v>30.9192545395413</v>
      </c>
      <c r="K9251" s="6" t="n">
        <f aca="false">Sens!J9251*(1+Sens!K9252)</f>
        <v>33.0836023573092</v>
      </c>
    </row>
    <row r="9252" customFormat="false" ht="15" hidden="false" customHeight="false" outlineLevel="0" collapsed="false">
      <c r="A9252" s="1" t="s">
        <v>866</v>
      </c>
      <c r="B9252" s="0" t="s">
        <v>129</v>
      </c>
      <c r="E9252" s="7" t="n">
        <f aca="false">Sens!E9251/Sens!D9251-1</f>
        <v>0.104685888038225</v>
      </c>
      <c r="F9252" s="7" t="n">
        <f aca="false">Sens!$E$9252+(glt_ind-Sens!$E$9252)*MIN(1,(Sens!F9202-base_fy)/n_conv)</f>
        <v>0.0989049066985211</v>
      </c>
      <c r="G9252" s="7" t="n">
        <f aca="false">Sens!$E$9252+(glt_ind-Sens!$E$9252)*MIN(1,(Sens!G9202-base_fy)/n_conv)</f>
        <v>0.0931239253588169</v>
      </c>
      <c r="H9252" s="7" t="n">
        <f aca="false">Sens!$E$9252+(glt_ind-Sens!$E$9252)*MIN(1,(Sens!H9202-base_fy)/n_conv)</f>
        <v>0.0873429440191127</v>
      </c>
      <c r="I9252" s="7" t="n">
        <f aca="false">Sens!$E$9252+(glt_ind-Sens!$E$9252)*MIN(1,(Sens!I9202-base_fy)/n_conv)</f>
        <v>0.0815619626794085</v>
      </c>
      <c r="J9252" s="7" t="n">
        <f aca="false">Sens!$E$9252+(glt_ind-Sens!$E$9252)*MIN(1,(Sens!J9202-base_fy)/n_conv)</f>
        <v>0.0757809813397042</v>
      </c>
      <c r="K9252" s="7" t="n">
        <f aca="false">Sens!$E$9252+(glt_ind-Sens!$E$9252)*MIN(1,(Sens!K9202-base_fy)/n_conv)</f>
        <v>0.07</v>
      </c>
    </row>
    <row r="9253" customFormat="false" ht="15" hidden="false" customHeight="false" outlineLevel="0" collapsed="false">
      <c r="A9253" s="0" t="s">
        <v>876</v>
      </c>
      <c r="B9253" s="0" t="s">
        <v>98</v>
      </c>
      <c r="D9253" s="6" t="n">
        <f aca="false">Q!L10</f>
        <v>7.76</v>
      </c>
      <c r="E9253" s="6" t="n">
        <f aca="false">Q!M10</f>
        <v>8.26</v>
      </c>
      <c r="F9253" s="6" t="n">
        <f aca="false">Sens!E9253*(1+Sens!F9254)</f>
        <v>8.79988041237113</v>
      </c>
      <c r="G9253" s="6" t="n">
        <f aca="false">Sens!F9253*(1+Sens!G9254)</f>
        <v>9.38321269125306</v>
      </c>
      <c r="H9253" s="6" t="n">
        <f aca="false">Sens!G9253*(1+Sens!H9254)</f>
        <v>10.0139193587476</v>
      </c>
      <c r="I9253" s="6" t="n">
        <f aca="false">Sens!H9253*(1+Sens!I9254)</f>
        <v>10.6963111830911</v>
      </c>
      <c r="J9253" s="6" t="n">
        <f aca="false">Sens!I9253*(1+Sens!J9254)</f>
        <v>11.4351285534696</v>
      </c>
      <c r="K9253" s="6" t="n">
        <f aca="false">Sens!J9253*(1+Sens!K9254)</f>
        <v>12.2355875522124</v>
      </c>
    </row>
    <row r="9254" customFormat="false" ht="15" hidden="false" customHeight="false" outlineLevel="0" collapsed="false">
      <c r="A9254" s="1" t="s">
        <v>866</v>
      </c>
      <c r="B9254" s="0" t="s">
        <v>129</v>
      </c>
      <c r="E9254" s="7" t="n">
        <f aca="false">Sens!E9253/Sens!D9253-1</f>
        <v>0.0644329896907216</v>
      </c>
      <c r="F9254" s="7" t="n">
        <f aca="false">Sens!$E$9254+(glt_fro-Sens!$E$9254)*MIN(1,(Sens!F9202-base_fy)/n_conv)</f>
        <v>0.065360824742268</v>
      </c>
      <c r="G9254" s="7" t="n">
        <f aca="false">Sens!$E$9254+(glt_fro-Sens!$E$9254)*MIN(1,(Sens!G9202-base_fy)/n_conv)</f>
        <v>0.0662886597938144</v>
      </c>
      <c r="H9254" s="7" t="n">
        <f aca="false">Sens!$E$9254+(glt_fro-Sens!$E$9254)*MIN(1,(Sens!H9202-base_fy)/n_conv)</f>
        <v>0.0672164948453608</v>
      </c>
      <c r="I9254" s="7" t="n">
        <f aca="false">Sens!$E$9254+(glt_fro-Sens!$E$9254)*MIN(1,(Sens!I9202-base_fy)/n_conv)</f>
        <v>0.0681443298969072</v>
      </c>
      <c r="J9254" s="7" t="n">
        <f aca="false">Sens!$E$9254+(glt_fro-Sens!$E$9254)*MIN(1,(Sens!J9202-base_fy)/n_conv)</f>
        <v>0.0690721649484536</v>
      </c>
      <c r="K9254" s="7" t="n">
        <f aca="false">Sens!$E$9254+(glt_fro-Sens!$E$9254)*MIN(1,(Sens!K9202-base_fy)/n_conv)</f>
        <v>0.07</v>
      </c>
    </row>
    <row r="9255" customFormat="false" ht="15" hidden="false" customHeight="false" outlineLevel="0" collapsed="false">
      <c r="A9255" s="0" t="s">
        <v>704</v>
      </c>
      <c r="B9255" s="0" t="s">
        <v>98</v>
      </c>
      <c r="D9255" s="6" t="n">
        <f aca="false">Sens!D9243+Sens!D9248+Sens!D9249+Sens!D9251+Sens!D9253</f>
        <v>218.783</v>
      </c>
      <c r="E9255" s="6" t="n">
        <f aca="false">Sens!E9243+Sens!E9248+Sens!E9249+Sens!E9251+Sens!E9253</f>
        <v>268.127</v>
      </c>
      <c r="F9255" s="6" t="n">
        <f aca="false">Sens!F9243+Sens!F9248+Sens!F9249+Sens!F9251+Sens!F9253</f>
        <v>339.433940907051</v>
      </c>
      <c r="G9255" s="6" t="n">
        <f aca="false">Sens!G9243+Sens!G9248+Sens!G9249+Sens!G9251+Sens!G9253</f>
        <v>424.490670881892</v>
      </c>
      <c r="H9255" s="6" t="n">
        <f aca="false">Sens!H9243+Sens!H9248+Sens!H9249+Sens!H9251+Sens!H9253</f>
        <v>515.646275281385</v>
      </c>
      <c r="I9255" s="6" t="n">
        <f aca="false">Sens!I9243+Sens!I9248+Sens!I9249+Sens!I9251+Sens!I9253</f>
        <v>592.863760444604</v>
      </c>
      <c r="J9255" s="6" t="n">
        <f aca="false">Sens!J9243+Sens!J9248+Sens!J9249+Sens!J9251+Sens!J9253</f>
        <v>654.278787544077</v>
      </c>
      <c r="K9255" s="6" t="n">
        <f aca="false">Sens!K9243+Sens!K9248+Sens!K9249+Sens!K9251+Sens!K9253</f>
        <v>702.284651237393</v>
      </c>
    </row>
    <row r="9256" customFormat="false" ht="15" hidden="false" customHeight="false" outlineLevel="0" collapsed="false">
      <c r="A9256" s="0" t="s">
        <v>877</v>
      </c>
      <c r="B9256" s="0" t="s">
        <v>98</v>
      </c>
      <c r="D9256" s="6" t="n">
        <f aca="false">Q!L13</f>
        <v>22.171</v>
      </c>
      <c r="E9256" s="6" t="n">
        <f aca="false">Q!M13</f>
        <v>24.835</v>
      </c>
      <c r="F9256" s="6" t="n">
        <f aca="false">Sens!E9256*(1+Sens!F9257)</f>
        <v>27.7356651218559</v>
      </c>
      <c r="G9256" s="6" t="n">
        <f aca="false">Sens!F9256*(1+Sens!G9257)</f>
        <v>30.8819427955575</v>
      </c>
      <c r="H9256" s="6" t="n">
        <f aca="false">Sens!G9256*(1+Sens!H9257)</f>
        <v>34.2813801456859</v>
      </c>
      <c r="I9256" s="6" t="n">
        <f aca="false">Sens!H9256*(1+Sens!I9257)</f>
        <v>37.9398543169022</v>
      </c>
      <c r="J9256" s="6" t="n">
        <f aca="false">Sens!I9256*(1+Sens!J9257)</f>
        <v>41.8612984476003</v>
      </c>
      <c r="K9256" s="6" t="n">
        <f aca="false">Sens!J9256*(1+Sens!K9257)</f>
        <v>46.0474282923604</v>
      </c>
    </row>
    <row r="9257" customFormat="false" ht="15" hidden="false" customHeight="false" outlineLevel="0" collapsed="false">
      <c r="A9257" s="1" t="s">
        <v>866</v>
      </c>
      <c r="B9257" s="0" t="s">
        <v>129</v>
      </c>
      <c r="E9257" s="7" t="n">
        <f aca="false">Sens!E9256/Sens!D9256-1</f>
        <v>0.120156961796942</v>
      </c>
      <c r="F9257" s="7" t="n">
        <f aca="false">Sens!$E$9257+(glt_srch_hi-Sens!$E$9257)*MIN(1,(Sens!F9202-base_fy)/n_conv)</f>
        <v>0.116797468164118</v>
      </c>
      <c r="G9257" s="7" t="n">
        <f aca="false">Sens!$E$9257+(glt_srch_hi-Sens!$E$9257)*MIN(1,(Sens!G9202-base_fy)/n_conv)</f>
        <v>0.113437974531295</v>
      </c>
      <c r="H9257" s="7" t="n">
        <f aca="false">Sens!$E$9257+(glt_srch_hi-Sens!$E$9257)*MIN(1,(Sens!H9202-base_fy)/n_conv)</f>
        <v>0.110078480898471</v>
      </c>
      <c r="I9257" s="7" t="n">
        <f aca="false">Sens!$E$9257+(glt_srch_hi-Sens!$E$9257)*MIN(1,(Sens!I9202-base_fy)/n_conv)</f>
        <v>0.106718987265647</v>
      </c>
      <c r="J9257" s="7" t="n">
        <f aca="false">Sens!$E$9257+(glt_srch_hi-Sens!$E$9257)*MIN(1,(Sens!J9202-base_fy)/n_conv)</f>
        <v>0.103359493632824</v>
      </c>
      <c r="K9257" s="7" t="n">
        <f aca="false">Sens!$E$9257+(glt_srch_hi-Sens!$E$9257)*MIN(1,(Sens!K9202-base_fy)/n_conv)</f>
        <v>0.1</v>
      </c>
    </row>
    <row r="9258" customFormat="false" ht="15" hidden="false" customHeight="false" outlineLevel="0" collapsed="false">
      <c r="A9258" s="0" t="s">
        <v>878</v>
      </c>
      <c r="B9258" s="0" t="s">
        <v>98</v>
      </c>
      <c r="D9258" s="6" t="n">
        <f aca="false">Q!L14</f>
        <v>23.455</v>
      </c>
      <c r="E9258" s="6" t="n">
        <f aca="false">Q!M14</f>
        <v>21.79</v>
      </c>
      <c r="F9258" s="6" t="n">
        <f aca="false">Sens!E9258*(1+Sens!F9259)</f>
        <v>20.5736277908051</v>
      </c>
      <c r="G9258" s="6" t="n">
        <f aca="false">Sens!F9258*(1+Sens!G9259)</f>
        <v>19.7371452817919</v>
      </c>
      <c r="H9258" s="6" t="n">
        <f aca="false">Sens!G9258*(1+Sens!H9259)</f>
        <v>19.2339764043138</v>
      </c>
      <c r="I9258" s="6" t="n">
        <f aca="false">Sens!H9258*(1+Sens!I9259)</f>
        <v>19.0353086852681</v>
      </c>
      <c r="J9258" s="6" t="n">
        <f aca="false">Sens!I9258*(1+Sens!J9259)</f>
        <v>19.1273539319129</v>
      </c>
      <c r="K9258" s="6" t="n">
        <f aca="false">Sens!J9258*(1+Sens!K9259)</f>
        <v>19.5099010105511</v>
      </c>
    </row>
    <row r="9259" customFormat="false" ht="15" hidden="false" customHeight="false" outlineLevel="0" collapsed="false">
      <c r="A9259" s="1" t="s">
        <v>866</v>
      </c>
      <c r="B9259" s="0" t="s">
        <v>129</v>
      </c>
      <c r="E9259" s="7" t="n">
        <f aca="false">Sens!E9258/Sens!D9258-1</f>
        <v>-0.0709869963760392</v>
      </c>
      <c r="F9259" s="7" t="n">
        <f aca="false">Sens!$E$9259+(glt_xbox-Sens!$E$9259)*MIN(1,(Sens!F9202-base_fy)/n_conv)</f>
        <v>-0.0558224969800327</v>
      </c>
      <c r="G9259" s="7" t="n">
        <f aca="false">Sens!$E$9259+(glt_xbox-Sens!$E$9259)*MIN(1,(Sens!G9202-base_fy)/n_conv)</f>
        <v>-0.0406579975840262</v>
      </c>
      <c r="H9259" s="7" t="n">
        <f aca="false">Sens!$E$9259+(glt_xbox-Sens!$E$9259)*MIN(1,(Sens!H9202-base_fy)/n_conv)</f>
        <v>-0.0254934981880196</v>
      </c>
      <c r="I9259" s="7" t="n">
        <f aca="false">Sens!$E$9259+(glt_xbox-Sens!$E$9259)*MIN(1,(Sens!I9202-base_fy)/n_conv)</f>
        <v>-0.0103289987920131</v>
      </c>
      <c r="J9259" s="7" t="n">
        <f aca="false">Sens!$E$9259+(glt_xbox-Sens!$E$9259)*MIN(1,(Sens!J9202-base_fy)/n_conv)</f>
        <v>0.00483550060399347</v>
      </c>
      <c r="K9259" s="7" t="n">
        <f aca="false">Sens!$E$9259+(glt_xbox-Sens!$E$9259)*MIN(1,(Sens!K9202-base_fy)/n_conv)</f>
        <v>0.02</v>
      </c>
    </row>
    <row r="9260" customFormat="false" ht="15" hidden="false" customHeight="false" outlineLevel="0" collapsed="false">
      <c r="A9260" s="0" t="s">
        <v>879</v>
      </c>
      <c r="B9260" s="0" t="s">
        <v>98</v>
      </c>
      <c r="D9260" s="6" t="n">
        <f aca="false">Q!L15</f>
        <v>17.315</v>
      </c>
      <c r="E9260" s="6" t="n">
        <f aca="false">Q!M15</f>
        <v>17.087</v>
      </c>
      <c r="F9260" s="6" t="n">
        <f aca="false">Sens!E9260*(1+Sens!F9261)</f>
        <v>16.9564585436519</v>
      </c>
      <c r="G9260" s="6" t="n">
        <f aca="false">Sens!F9260*(1+Sens!G9261)</f>
        <v>16.9206490624268</v>
      </c>
      <c r="H9260" s="6" t="n">
        <f aca="false">Sens!G9260*(1+Sens!H9261)</f>
        <v>16.9784519149849</v>
      </c>
      <c r="I9260" s="6" t="n">
        <f aca="false">Sens!H9260*(1+Sens!I9261)</f>
        <v>17.1303084701817</v>
      </c>
      <c r="J9260" s="6" t="n">
        <f aca="false">Sens!I9260*(1+Sens!J9261)</f>
        <v>17.3782189407267</v>
      </c>
      <c r="K9260" s="6" t="n">
        <f aca="false">Sens!J9260*(1+Sens!K9261)</f>
        <v>17.7257833195413</v>
      </c>
    </row>
    <row r="9261" customFormat="false" ht="15" hidden="false" customHeight="false" outlineLevel="0" collapsed="false">
      <c r="A9261" s="1" t="s">
        <v>866</v>
      </c>
      <c r="B9261" s="0" t="s">
        <v>129</v>
      </c>
      <c r="E9261" s="7" t="n">
        <f aca="false">Sens!E9260/Sens!D9260-1</f>
        <v>-0.0131677736066995</v>
      </c>
      <c r="F9261" s="7" t="n">
        <f aca="false">Sens!$E$9261+(glt_win-Sens!$E$9261)*MIN(1,(Sens!F9202-base_fy)/n_conv)</f>
        <v>-0.00763981133891627</v>
      </c>
      <c r="G9261" s="7" t="n">
        <f aca="false">Sens!$E$9261+(glt_win-Sens!$E$9261)*MIN(1,(Sens!G9202-base_fy)/n_conv)</f>
        <v>-0.00211184907113301</v>
      </c>
      <c r="H9261" s="7" t="n">
        <f aca="false">Sens!$E$9261+(glt_win-Sens!$E$9261)*MIN(1,(Sens!H9202-base_fy)/n_conv)</f>
        <v>0.00341611319665024</v>
      </c>
      <c r="I9261" s="7" t="n">
        <f aca="false">Sens!$E$9261+(glt_win-Sens!$E$9261)*MIN(1,(Sens!I9202-base_fy)/n_conv)</f>
        <v>0.00894407546443349</v>
      </c>
      <c r="J9261" s="7" t="n">
        <f aca="false">Sens!$E$9261+(glt_win-Sens!$E$9261)*MIN(1,(Sens!J9202-base_fy)/n_conv)</f>
        <v>0.0144720377322168</v>
      </c>
      <c r="K9261" s="7" t="n">
        <f aca="false">Sens!$E$9261+(glt_win-Sens!$E$9261)*MIN(1,(Sens!K9202-base_fy)/n_conv)</f>
        <v>0.02</v>
      </c>
    </row>
    <row r="9262" customFormat="false" ht="15" hidden="false" customHeight="false" outlineLevel="0" collapsed="false">
      <c r="A9262" s="0" t="s">
        <v>718</v>
      </c>
      <c r="B9262" s="0" t="s">
        <v>98</v>
      </c>
      <c r="D9262" s="6" t="n">
        <f aca="false">Sens!D9256+Sens!D9258+Sens!D9260</f>
        <v>62.941</v>
      </c>
      <c r="E9262" s="6" t="n">
        <f aca="false">Sens!E9256+Sens!E9258+Sens!E9260</f>
        <v>63.712</v>
      </c>
      <c r="F9262" s="6" t="n">
        <f aca="false">Sens!F9256+Sens!F9258+Sens!F9260</f>
        <v>65.2657514563129</v>
      </c>
      <c r="G9262" s="6" t="n">
        <f aca="false">Sens!G9256+Sens!G9258+Sens!G9260</f>
        <v>67.5397371397762</v>
      </c>
      <c r="H9262" s="6" t="n">
        <f aca="false">Sens!H9256+Sens!H9258+Sens!H9260</f>
        <v>70.4938084649846</v>
      </c>
      <c r="I9262" s="6" t="n">
        <f aca="false">Sens!I9256+Sens!I9258+Sens!I9260</f>
        <v>74.105471472352</v>
      </c>
      <c r="J9262" s="6" t="n">
        <f aca="false">Sens!J9256+Sens!J9258+Sens!J9260</f>
        <v>78.3668713202399</v>
      </c>
      <c r="K9262" s="6" t="n">
        <f aca="false">Sens!K9256+Sens!K9258+Sens!K9260</f>
        <v>83.2831126224528</v>
      </c>
    </row>
    <row r="9263" customFormat="false" ht="15" hidden="false" customHeight="false" outlineLevel="0" collapsed="false">
      <c r="A9263" s="1" t="s">
        <v>880</v>
      </c>
      <c r="B9263" s="0" t="s">
        <v>98</v>
      </c>
      <c r="D9263" s="6" t="n">
        <f aca="false">Sens!D9255+Sens!D9262</f>
        <v>281.724</v>
      </c>
      <c r="E9263" s="6" t="n">
        <f aca="false">Sens!E9255+Sens!E9262</f>
        <v>331.839</v>
      </c>
      <c r="F9263" s="6" t="n">
        <f aca="false">Sens!F9255+Sens!F9262</f>
        <v>404.699692363364</v>
      </c>
      <c r="G9263" s="6" t="n">
        <f aca="false">Sens!G9255+Sens!G9262</f>
        <v>492.030408021668</v>
      </c>
      <c r="H9263" s="6" t="n">
        <f aca="false">Sens!H9255+Sens!H9262</f>
        <v>586.140083746369</v>
      </c>
      <c r="I9263" s="6" t="n">
        <f aca="false">Sens!I9255+Sens!I9262</f>
        <v>666.969231916956</v>
      </c>
      <c r="J9263" s="6" t="n">
        <f aca="false">Sens!J9255+Sens!J9262</f>
        <v>732.645658864317</v>
      </c>
      <c r="K9263" s="6" t="n">
        <f aca="false">Sens!K9255+Sens!K9262</f>
        <v>785.567763859846</v>
      </c>
    </row>
    <row r="9264" customFormat="false" ht="15" hidden="false" customHeight="false" outlineLevel="0" collapsed="false">
      <c r="A9264" s="23" t="s">
        <v>881</v>
      </c>
      <c r="B9264" s="30" t="s">
        <v>98</v>
      </c>
      <c r="C9264" s="30"/>
      <c r="D9264" s="24" t="n">
        <f aca="false">(Sens!D9243+Sens!D9248+Sens!D9249+Sens!D9251+Sens!D9253-Sens!D9255)+(Sens!D9256+Sens!D9258+Sens!D9260-Sens!D9262)+(Sens!D9255-Q!L5)+(Sens!D9262-Q!L12)+(Sens!D9243-Q!L6)+(Sens!D9248-Q!L7)</f>
        <v>0</v>
      </c>
      <c r="E9264" s="24" t="n">
        <f aca="false">(Sens!E9243+Sens!E9248+Sens!E9249+Sens!E9251+Sens!E9253-Sens!E9255)+(Sens!E9256+Sens!E9258+Sens!E9260-Sens!E9262)+(Sens!E9255-Q!M5)+(Sens!E9262-Q!M12)+(Sens!E9243-Q!M6)+(Sens!E9248-Q!M7)</f>
        <v>0</v>
      </c>
      <c r="F9264" s="24" t="n">
        <f aca="false">(Sens!F9243+Sens!F9248+Sens!F9249+Sens!F9251+Sens!F9253-Sens!F9255)+(Sens!F9256+Sens!F9258+Sens!F9260-Sens!F9262)</f>
        <v>0</v>
      </c>
      <c r="G9264" s="24" t="n">
        <f aca="false">(Sens!G9243+Sens!G9248+Sens!G9249+Sens!G9251+Sens!G9253-Sens!G9255)+(Sens!G9256+Sens!G9258+Sens!G9260-Sens!G9262)</f>
        <v>0</v>
      </c>
      <c r="H9264" s="24" t="n">
        <f aca="false">(Sens!H9243+Sens!H9248+Sens!H9249+Sens!H9251+Sens!H9253-Sens!H9255)+(Sens!H9256+Sens!H9258+Sens!H9260-Sens!H9262)</f>
        <v>0</v>
      </c>
      <c r="I9264" s="24" t="n">
        <f aca="false">(Sens!I9243+Sens!I9248+Sens!I9249+Sens!I9251+Sens!I9253-Sens!I9255)+(Sens!I9256+Sens!I9258+Sens!I9260-Sens!I9262)</f>
        <v>0</v>
      </c>
      <c r="J9264" s="24" t="n">
        <f aca="false">(Sens!J9243+Sens!J9248+Sens!J9249+Sens!J9251+Sens!J9253-Sens!J9255)+(Sens!J9256+Sens!J9258+Sens!J9260-Sens!J9262)</f>
        <v>0</v>
      </c>
      <c r="K9264" s="24" t="n">
        <f aca="false">(Sens!K9243+Sens!K9248+Sens!K9249+Sens!K9251+Sens!K9253-Sens!K9255)+(Sens!K9256+Sens!K9258+Sens!K9260-Sens!K9262)</f>
        <v>0</v>
      </c>
    </row>
    <row r="9265" customFormat="false" ht="17.15" hidden="false" customHeight="false" outlineLevel="0" collapsed="false">
      <c r="A9265" s="3" t="s">
        <v>1476</v>
      </c>
    </row>
    <row r="9266" customFormat="false" ht="15" hidden="false" customHeight="false" outlineLevel="0" collapsed="false">
      <c r="A9266" s="4" t="s">
        <v>43</v>
      </c>
      <c r="B9266" s="4" t="s">
        <v>65</v>
      </c>
      <c r="C9266" s="20" t="s">
        <v>788</v>
      </c>
      <c r="D9266" s="20" t="s">
        <v>789</v>
      </c>
      <c r="E9266" s="20" t="s">
        <v>790</v>
      </c>
      <c r="F9266" s="20" t="s">
        <v>791</v>
      </c>
      <c r="G9266" s="20" t="s">
        <v>792</v>
      </c>
      <c r="H9266" s="20" t="s">
        <v>793</v>
      </c>
      <c r="I9266" s="20" t="s">
        <v>794</v>
      </c>
      <c r="J9266" s="20" t="s">
        <v>795</v>
      </c>
      <c r="K9266" s="20" t="s">
        <v>796</v>
      </c>
      <c r="L9266" s="4" t="s">
        <v>47</v>
      </c>
    </row>
    <row r="9267" customFormat="false" ht="15" hidden="false" customHeight="false" outlineLevel="0" collapsed="false">
      <c r="A9267" s="0" t="s">
        <v>867</v>
      </c>
      <c r="B9267" s="0" t="s">
        <v>98</v>
      </c>
      <c r="D9267" s="6" t="n">
        <f aca="false">Sens!D9243</f>
        <v>72.61</v>
      </c>
      <c r="E9267" s="6" t="n">
        <f aca="false">Sens!E9243</f>
        <v>101.938</v>
      </c>
      <c r="F9267" s="6" t="n">
        <f aca="false">Sens!F9243</f>
        <v>148.812368967868</v>
      </c>
      <c r="G9267" s="6" t="n">
        <f aca="false">Sens!G9243</f>
        <v>208.397514344463</v>
      </c>
      <c r="H9267" s="6" t="n">
        <f aca="false">Sens!H9243</f>
        <v>274.05759259987</v>
      </c>
      <c r="I9267" s="6" t="n">
        <f aca="false">Sens!I9243</f>
        <v>328.302405465117</v>
      </c>
      <c r="J9267" s="6" t="n">
        <f aca="false">Sens!J9243</f>
        <v>369.587890439908</v>
      </c>
      <c r="K9267" s="6" t="n">
        <f aca="false">Sens!K9243</f>
        <v>398.390581897217</v>
      </c>
    </row>
    <row r="9268" customFormat="false" ht="17.15" hidden="false" customHeight="false" outlineLevel="0" collapsed="false">
      <c r="A9268" s="0" t="s">
        <v>864</v>
      </c>
      <c r="B9268" s="0" t="s">
        <v>98</v>
      </c>
      <c r="D9268" s="6" t="n">
        <f aca="false">Sens!D9240</f>
        <v>12.9359794422418</v>
      </c>
      <c r="E9268" s="6" t="n">
        <f aca="false">Sens!E9240</f>
        <v>27.8095064661409</v>
      </c>
      <c r="F9268" s="6" t="n">
        <f aca="false">Sens!F9240</f>
        <v>58.7324192305018</v>
      </c>
      <c r="G9268" s="6" t="n">
        <f aca="false">Sens!G9240</f>
        <v>101.369089141153</v>
      </c>
      <c r="H9268" s="6" t="n">
        <f aca="false">Sens!H9240</f>
        <v>149.785610014234</v>
      </c>
      <c r="I9268" s="6" t="n">
        <f aca="false">Sens!I9240</f>
        <v>187.368703083263</v>
      </c>
      <c r="J9268" s="6" t="n">
        <f aca="false">Sens!J9240</f>
        <v>213.569023125577</v>
      </c>
      <c r="K9268" s="6" t="n">
        <f aca="false">Sens!K9240</f>
        <v>229.890205197739</v>
      </c>
    </row>
    <row r="9269" customFormat="false" ht="17.15" hidden="false" customHeight="false" outlineLevel="0" collapsed="false">
      <c r="A9269" s="0" t="s">
        <v>892</v>
      </c>
      <c r="B9269" s="0" t="s">
        <v>98</v>
      </c>
      <c r="D9269" s="6" t="n">
        <f aca="false">Sens!D9241</f>
        <v>59.6740205577583</v>
      </c>
      <c r="E9269" s="6" t="n">
        <f aca="false">Sens!E9241</f>
        <v>74.1284935338591</v>
      </c>
      <c r="F9269" s="6" t="n">
        <f aca="false">Sens!F9241</f>
        <v>90.0799497373663</v>
      </c>
      <c r="G9269" s="6" t="n">
        <f aca="false">Sens!G9241</f>
        <v>107.02842520331</v>
      </c>
      <c r="H9269" s="6" t="n">
        <f aca="false">Sens!H9241</f>
        <v>124.271982585636</v>
      </c>
      <c r="I9269" s="6" t="n">
        <f aca="false">Sens!I9241</f>
        <v>140.933702381855</v>
      </c>
      <c r="J9269" s="6" t="n">
        <f aca="false">Sens!J9241</f>
        <v>156.018867314332</v>
      </c>
      <c r="K9269" s="6" t="n">
        <f aca="false">Sens!K9241</f>
        <v>168.500376699478</v>
      </c>
    </row>
    <row r="9270" customFormat="false" ht="15" hidden="false" customHeight="false" outlineLevel="0" collapsed="false">
      <c r="A9270" s="0" t="s">
        <v>873</v>
      </c>
      <c r="B9270" s="0" t="s">
        <v>98</v>
      </c>
      <c r="D9270" s="6" t="n">
        <f aca="false">Sens!D9248</f>
        <v>84.605</v>
      </c>
      <c r="E9270" s="6" t="n">
        <f aca="false">Sens!E9248</f>
        <v>100.299</v>
      </c>
      <c r="F9270" s="6" t="n">
        <f aca="false">Sens!F9248</f>
        <v>120.39238776686</v>
      </c>
      <c r="G9270" s="6" t="n">
        <f aca="false">Sens!G9248</f>
        <v>141.544168448684</v>
      </c>
      <c r="H9270" s="6" t="n">
        <f aca="false">Sens!H9248</f>
        <v>162.777359388781</v>
      </c>
      <c r="I9270" s="6" t="n">
        <f aca="false">Sens!I9248</f>
        <v>181.584028071957</v>
      </c>
      <c r="J9270" s="6" t="n">
        <f aca="false">Sens!J9248</f>
        <v>197.682702785465</v>
      </c>
      <c r="K9270" s="6" t="n">
        <f aca="false">Sens!K9248</f>
        <v>213.027991980448</v>
      </c>
    </row>
    <row r="9271" customFormat="false" ht="17.15" hidden="false" customHeight="false" outlineLevel="0" collapsed="false">
      <c r="A9271" s="0" t="s">
        <v>893</v>
      </c>
      <c r="B9271" s="0" t="s">
        <v>98</v>
      </c>
      <c r="D9271" s="6" t="n">
        <f aca="false">Sens!D9246</f>
        <v>83.705</v>
      </c>
      <c r="E9271" s="6" t="n">
        <f aca="false">Sens!E9246</f>
        <v>95.049</v>
      </c>
      <c r="F9271" s="6" t="n">
        <f aca="false">Sens!F9246</f>
        <v>106.89238776686</v>
      </c>
      <c r="G9271" s="6" t="n">
        <f aca="false">Sens!G9246</f>
        <v>119.044168448684</v>
      </c>
      <c r="H9271" s="6" t="n">
        <f aca="false">Sens!H9246</f>
        <v>131.277359388781</v>
      </c>
      <c r="I9271" s="6" t="n">
        <f aca="false">Sens!I9246</f>
        <v>143.334028071957</v>
      </c>
      <c r="J9271" s="6" t="n">
        <f aca="false">Sens!J9246</f>
        <v>154.932702785465</v>
      </c>
      <c r="K9271" s="6" t="n">
        <f aca="false">Sens!K9246</f>
        <v>165.777991980448</v>
      </c>
    </row>
    <row r="9272" customFormat="false" ht="17.15" hidden="false" customHeight="false" outlineLevel="0" collapsed="false">
      <c r="A9272" s="0" t="s">
        <v>894</v>
      </c>
      <c r="B9272" s="0" t="s">
        <v>98</v>
      </c>
      <c r="D9272" s="6" t="n">
        <f aca="false">Sens!D9245</f>
        <v>0.9</v>
      </c>
      <c r="E9272" s="6" t="n">
        <f aca="false">Sens!E9245</f>
        <v>5.25</v>
      </c>
      <c r="F9272" s="6" t="n">
        <f aca="false">Sens!F9245</f>
        <v>13.5</v>
      </c>
      <c r="G9272" s="6" t="n">
        <f aca="false">Sens!G9245</f>
        <v>22.5</v>
      </c>
      <c r="H9272" s="6" t="n">
        <f aca="false">Sens!H9245</f>
        <v>31.5</v>
      </c>
      <c r="I9272" s="6" t="n">
        <f aca="false">Sens!I9245</f>
        <v>38.25</v>
      </c>
      <c r="J9272" s="6" t="n">
        <f aca="false">Sens!J9245</f>
        <v>42.75</v>
      </c>
      <c r="K9272" s="6" t="n">
        <f aca="false">Sens!K9245</f>
        <v>47.25</v>
      </c>
    </row>
    <row r="9273" customFormat="false" ht="15" hidden="false" customHeight="false" outlineLevel="0" collapsed="false">
      <c r="A9273" s="0" t="s">
        <v>874</v>
      </c>
      <c r="B9273" s="0" t="s">
        <v>98</v>
      </c>
      <c r="D9273" s="6" t="n">
        <f aca="false">Sens!D9249</f>
        <v>35.391</v>
      </c>
      <c r="E9273" s="6" t="n">
        <f aca="false">Sens!E9249</f>
        <v>37.285</v>
      </c>
      <c r="F9273" s="6" t="n">
        <f aca="false">Sens!F9249</f>
        <v>39.0720834331704</v>
      </c>
      <c r="G9273" s="6" t="n">
        <f aca="false">Sens!G9249</f>
        <v>40.726562953769</v>
      </c>
      <c r="H9273" s="6" t="n">
        <f aca="false">Sens!H9249</f>
        <v>42.2235987259198</v>
      </c>
      <c r="I9273" s="6" t="n">
        <f aca="false">Sens!I9249</f>
        <v>43.5397988077414</v>
      </c>
      <c r="J9273" s="6" t="n">
        <f aca="false">Sens!J9249</f>
        <v>44.653811225693</v>
      </c>
      <c r="K9273" s="6" t="n">
        <f aca="false">Sens!K9249</f>
        <v>45.5468874502068</v>
      </c>
    </row>
    <row r="9274" customFormat="false" ht="15" hidden="false" customHeight="false" outlineLevel="0" collapsed="false">
      <c r="A9274" s="0" t="s">
        <v>875</v>
      </c>
      <c r="B9274" s="0" t="s">
        <v>98</v>
      </c>
      <c r="D9274" s="6" t="n">
        <f aca="false">Sens!D9251</f>
        <v>18.417</v>
      </c>
      <c r="E9274" s="6" t="n">
        <f aca="false">Sens!E9251</f>
        <v>20.345</v>
      </c>
      <c r="F9274" s="6" t="n">
        <f aca="false">Sens!F9251</f>
        <v>22.3572203267814</v>
      </c>
      <c r="G9274" s="6" t="n">
        <f aca="false">Sens!G9251</f>
        <v>24.4392124437232</v>
      </c>
      <c r="H9274" s="6" t="n">
        <f aca="false">Sens!H9251</f>
        <v>26.5738052080665</v>
      </c>
      <c r="I9274" s="6" t="n">
        <f aca="false">Sens!I9251</f>
        <v>28.7412169166967</v>
      </c>
      <c r="J9274" s="6" t="n">
        <f aca="false">Sens!J9251</f>
        <v>30.9192545395413</v>
      </c>
      <c r="K9274" s="6" t="n">
        <f aca="false">Sens!K9251</f>
        <v>33.0836023573092</v>
      </c>
    </row>
    <row r="9275" customFormat="false" ht="15" hidden="false" customHeight="false" outlineLevel="0" collapsed="false">
      <c r="A9275" s="0" t="s">
        <v>876</v>
      </c>
      <c r="B9275" s="0" t="s">
        <v>98</v>
      </c>
      <c r="D9275" s="6" t="n">
        <f aca="false">Sens!D9253</f>
        <v>7.76</v>
      </c>
      <c r="E9275" s="6" t="n">
        <f aca="false">Sens!E9253</f>
        <v>8.26</v>
      </c>
      <c r="F9275" s="6" t="n">
        <f aca="false">Sens!F9253</f>
        <v>8.79988041237113</v>
      </c>
      <c r="G9275" s="6" t="n">
        <f aca="false">Sens!G9253</f>
        <v>9.38321269125306</v>
      </c>
      <c r="H9275" s="6" t="n">
        <f aca="false">Sens!H9253</f>
        <v>10.0139193587476</v>
      </c>
      <c r="I9275" s="6" t="n">
        <f aca="false">Sens!I9253</f>
        <v>10.6963111830911</v>
      </c>
      <c r="J9275" s="6" t="n">
        <f aca="false">Sens!J9253</f>
        <v>11.4351285534696</v>
      </c>
      <c r="K9275" s="6" t="n">
        <f aca="false">Sens!K9253</f>
        <v>12.2355875522124</v>
      </c>
    </row>
    <row r="9276" customFormat="false" ht="15" hidden="false" customHeight="false" outlineLevel="0" collapsed="false">
      <c r="A9276" s="0" t="s">
        <v>704</v>
      </c>
      <c r="B9276" s="0" t="s">
        <v>98</v>
      </c>
      <c r="D9276" s="6" t="n">
        <f aca="false">Sens!D9255</f>
        <v>218.783</v>
      </c>
      <c r="E9276" s="6" t="n">
        <f aca="false">Sens!E9255</f>
        <v>268.127</v>
      </c>
      <c r="F9276" s="6" t="n">
        <f aca="false">Sens!F9255</f>
        <v>339.433940907051</v>
      </c>
      <c r="G9276" s="6" t="n">
        <f aca="false">Sens!G9255</f>
        <v>424.490670881892</v>
      </c>
      <c r="H9276" s="6" t="n">
        <f aca="false">Sens!H9255</f>
        <v>515.646275281385</v>
      </c>
      <c r="I9276" s="6" t="n">
        <f aca="false">Sens!I9255</f>
        <v>592.863760444604</v>
      </c>
      <c r="J9276" s="6" t="n">
        <f aca="false">Sens!J9255</f>
        <v>654.278787544077</v>
      </c>
      <c r="K9276" s="6" t="n">
        <f aca="false">Sens!K9255</f>
        <v>702.284651237393</v>
      </c>
    </row>
    <row r="9277" customFormat="false" ht="15" hidden="false" customHeight="false" outlineLevel="0" collapsed="false">
      <c r="A9277" s="0" t="s">
        <v>877</v>
      </c>
      <c r="B9277" s="0" t="s">
        <v>98</v>
      </c>
      <c r="D9277" s="6" t="n">
        <f aca="false">Sens!D9256</f>
        <v>22.171</v>
      </c>
      <c r="E9277" s="6" t="n">
        <f aca="false">Sens!E9256</f>
        <v>24.835</v>
      </c>
      <c r="F9277" s="6" t="n">
        <f aca="false">Sens!F9256</f>
        <v>27.7356651218559</v>
      </c>
      <c r="G9277" s="6" t="n">
        <f aca="false">Sens!G9256</f>
        <v>30.8819427955575</v>
      </c>
      <c r="H9277" s="6" t="n">
        <f aca="false">Sens!H9256</f>
        <v>34.2813801456859</v>
      </c>
      <c r="I9277" s="6" t="n">
        <f aca="false">Sens!I9256</f>
        <v>37.9398543169022</v>
      </c>
      <c r="J9277" s="6" t="n">
        <f aca="false">Sens!J9256</f>
        <v>41.8612984476003</v>
      </c>
      <c r="K9277" s="6" t="n">
        <f aca="false">Sens!K9256</f>
        <v>46.0474282923604</v>
      </c>
    </row>
    <row r="9278" customFormat="false" ht="15" hidden="false" customHeight="false" outlineLevel="0" collapsed="false">
      <c r="A9278" s="0" t="s">
        <v>878</v>
      </c>
      <c r="B9278" s="0" t="s">
        <v>98</v>
      </c>
      <c r="D9278" s="6" t="n">
        <f aca="false">Sens!D9258</f>
        <v>23.455</v>
      </c>
      <c r="E9278" s="6" t="n">
        <f aca="false">Sens!E9258</f>
        <v>21.79</v>
      </c>
      <c r="F9278" s="6" t="n">
        <f aca="false">Sens!F9258</f>
        <v>20.5736277908051</v>
      </c>
      <c r="G9278" s="6" t="n">
        <f aca="false">Sens!G9258</f>
        <v>19.7371452817919</v>
      </c>
      <c r="H9278" s="6" t="n">
        <f aca="false">Sens!H9258</f>
        <v>19.2339764043138</v>
      </c>
      <c r="I9278" s="6" t="n">
        <f aca="false">Sens!I9258</f>
        <v>19.0353086852681</v>
      </c>
      <c r="J9278" s="6" t="n">
        <f aca="false">Sens!J9258</f>
        <v>19.1273539319129</v>
      </c>
      <c r="K9278" s="6" t="n">
        <f aca="false">Sens!K9258</f>
        <v>19.5099010105511</v>
      </c>
    </row>
    <row r="9279" customFormat="false" ht="15" hidden="false" customHeight="false" outlineLevel="0" collapsed="false">
      <c r="A9279" s="0" t="s">
        <v>879</v>
      </c>
      <c r="B9279" s="0" t="s">
        <v>98</v>
      </c>
      <c r="D9279" s="6" t="n">
        <f aca="false">Sens!D9260</f>
        <v>17.315</v>
      </c>
      <c r="E9279" s="6" t="n">
        <f aca="false">Sens!E9260</f>
        <v>17.087</v>
      </c>
      <c r="F9279" s="6" t="n">
        <f aca="false">Sens!F9260</f>
        <v>16.9564585436519</v>
      </c>
      <c r="G9279" s="6" t="n">
        <f aca="false">Sens!G9260</f>
        <v>16.9206490624268</v>
      </c>
      <c r="H9279" s="6" t="n">
        <f aca="false">Sens!H9260</f>
        <v>16.9784519149849</v>
      </c>
      <c r="I9279" s="6" t="n">
        <f aca="false">Sens!I9260</f>
        <v>17.1303084701817</v>
      </c>
      <c r="J9279" s="6" t="n">
        <f aca="false">Sens!J9260</f>
        <v>17.3782189407267</v>
      </c>
      <c r="K9279" s="6" t="n">
        <f aca="false">Sens!K9260</f>
        <v>17.7257833195413</v>
      </c>
    </row>
    <row r="9280" customFormat="false" ht="15" hidden="false" customHeight="false" outlineLevel="0" collapsed="false">
      <c r="A9280" s="0" t="s">
        <v>718</v>
      </c>
      <c r="B9280" s="0" t="s">
        <v>98</v>
      </c>
      <c r="D9280" s="6" t="n">
        <f aca="false">Sens!D9262</f>
        <v>62.941</v>
      </c>
      <c r="E9280" s="6" t="n">
        <f aca="false">Sens!E9262</f>
        <v>63.712</v>
      </c>
      <c r="F9280" s="6" t="n">
        <f aca="false">Sens!F9262</f>
        <v>65.2657514563129</v>
      </c>
      <c r="G9280" s="6" t="n">
        <f aca="false">Sens!G9262</f>
        <v>67.5397371397762</v>
      </c>
      <c r="H9280" s="6" t="n">
        <f aca="false">Sens!H9262</f>
        <v>70.4938084649846</v>
      </c>
      <c r="I9280" s="6" t="n">
        <f aca="false">Sens!I9262</f>
        <v>74.105471472352</v>
      </c>
      <c r="J9280" s="6" t="n">
        <f aca="false">Sens!J9262</f>
        <v>78.3668713202399</v>
      </c>
      <c r="K9280" s="6" t="n">
        <f aca="false">Sens!K9262</f>
        <v>83.2831126224528</v>
      </c>
    </row>
    <row r="9281" customFormat="false" ht="15" hidden="false" customHeight="false" outlineLevel="0" collapsed="false">
      <c r="A9281" s="1" t="s">
        <v>895</v>
      </c>
      <c r="B9281" s="0" t="s">
        <v>98</v>
      </c>
      <c r="D9281" s="6" t="n">
        <f aca="false">Sens!D9263</f>
        <v>281.724</v>
      </c>
      <c r="E9281" s="6" t="n">
        <f aca="false">Sens!E9263</f>
        <v>331.839</v>
      </c>
      <c r="F9281" s="6" t="n">
        <f aca="false">Sens!F9263</f>
        <v>404.699692363364</v>
      </c>
      <c r="G9281" s="6" t="n">
        <f aca="false">Sens!G9263</f>
        <v>492.030408021668</v>
      </c>
      <c r="H9281" s="6" t="n">
        <f aca="false">Sens!H9263</f>
        <v>586.140083746369</v>
      </c>
      <c r="I9281" s="6" t="n">
        <f aca="false">Sens!I9263</f>
        <v>666.969231916956</v>
      </c>
      <c r="J9281" s="6" t="n">
        <f aca="false">Sens!J9263</f>
        <v>732.645658864317</v>
      </c>
      <c r="K9281" s="6" t="n">
        <f aca="false">Sens!K9263</f>
        <v>785.567763859846</v>
      </c>
    </row>
    <row r="9282" customFormat="false" ht="15" hidden="false" customHeight="false" outlineLevel="0" collapsed="false">
      <c r="A9282" s="1" t="s">
        <v>896</v>
      </c>
      <c r="B9282" s="0" t="s">
        <v>129</v>
      </c>
      <c r="E9282" s="7" t="n">
        <f aca="false">Sens!E9281/Sens!D9281-1</f>
        <v>0.177886867998467</v>
      </c>
      <c r="F9282" s="7" t="n">
        <f aca="false">Sens!F9281/Sens!E9281-1</f>
        <v>0.219566393230946</v>
      </c>
      <c r="G9282" s="7" t="n">
        <f aca="false">Sens!G9281/Sens!F9281-1</f>
        <v>0.215791406087588</v>
      </c>
      <c r="H9282" s="7" t="n">
        <f aca="false">Sens!H9281/Sens!G9281-1</f>
        <v>0.191268007404447</v>
      </c>
      <c r="I9282" s="7" t="n">
        <f aca="false">Sens!I9281/Sens!H9281-1</f>
        <v>0.13790073467414</v>
      </c>
      <c r="J9282" s="7" t="n">
        <f aca="false">Sens!J9281/Sens!I9281-1</f>
        <v>0.0984699500434214</v>
      </c>
      <c r="K9282" s="7" t="n">
        <f aca="false">Sens!K9281/Sens!J9281-1</f>
        <v>0.0722342436008749</v>
      </c>
    </row>
    <row r="9283" customFormat="false" ht="17.15" hidden="false" customHeight="false" outlineLevel="0" collapsed="false">
      <c r="A9283" s="23" t="s">
        <v>897</v>
      </c>
      <c r="B9283" s="30" t="s">
        <v>98</v>
      </c>
      <c r="C9283" s="30"/>
      <c r="D9283" s="24" t="n">
        <f aca="false">(Sens!D9276+Sens!D9280-Sens!D9281)+(Sens!D9268+Sens!D9269-Sens!D9267)+(Sens!D9271+Sens!D9272-Sens!D9270)+(Sens!D9281-Q!L18)</f>
        <v>0</v>
      </c>
      <c r="E9283" s="24" t="n">
        <f aca="false">(Sens!E9276+Sens!E9280-Sens!E9281)+(Sens!E9268+Sens!E9269-Sens!E9267)+(Sens!E9271+Sens!E9272-Sens!E9270)+(Sens!E9281-Q!M18)</f>
        <v>0</v>
      </c>
      <c r="F9283" s="24" t="n">
        <f aca="false">(Sens!F9276+Sens!F9280-Sens!F9281)+(Sens!F9268+Sens!F9269-Sens!F9267)+(Sens!F9271+Sens!F9272-Sens!F9270)</f>
        <v>0</v>
      </c>
      <c r="G9283" s="24" t="n">
        <f aca="false">(Sens!G9276+Sens!G9280-Sens!G9281)+(Sens!G9268+Sens!G9269-Sens!G9267)+(Sens!G9271+Sens!G9272-Sens!G9270)</f>
        <v>0</v>
      </c>
      <c r="H9283" s="24" t="n">
        <f aca="false">(Sens!H9276+Sens!H9280-Sens!H9281)+(Sens!H9268+Sens!H9269-Sens!H9267)+(Sens!H9271+Sens!H9272-Sens!H9270)</f>
        <v>0</v>
      </c>
      <c r="I9283" s="24" t="n">
        <f aca="false">(Sens!I9276+Sens!I9280-Sens!I9281)+(Sens!I9268+Sens!I9269-Sens!I9267)+(Sens!I9271+Sens!I9272-Sens!I9270)</f>
        <v>0</v>
      </c>
      <c r="J9283" s="24" t="n">
        <f aca="false">(Sens!J9276+Sens!J9280-Sens!J9281)+(Sens!J9268+Sens!J9269-Sens!J9267)+(Sens!J9271+Sens!J9272-Sens!J9270)</f>
        <v>0</v>
      </c>
      <c r="K9283" s="24" t="n">
        <f aca="false">(Sens!K9276+Sens!K9280-Sens!K9281)+(Sens!K9268+Sens!K9269-Sens!K9267)+(Sens!K9271+Sens!K9272-Sens!K9270)</f>
        <v>0</v>
      </c>
    </row>
    <row r="9284" customFormat="false" ht="17.15" hidden="false" customHeight="false" outlineLevel="0" collapsed="false">
      <c r="A9284" s="0" t="s">
        <v>898</v>
      </c>
      <c r="B9284" s="0" t="s">
        <v>129</v>
      </c>
      <c r="E9284" s="7" t="n">
        <f aca="false">(Q!M21+Sens!E9221+Sens!E9222+Sens!E9223+Sens!E9236-Sens!E9219)/(Q!M5-Sens!E9219)</f>
        <v>0.570957350878296</v>
      </c>
      <c r="F9284" s="7" t="n">
        <f aca="false">Sens!$E$9284+dm_seg</f>
        <v>0.570957350878296</v>
      </c>
      <c r="G9284" s="7" t="n">
        <f aca="false">Sens!$E$9284+dm_seg</f>
        <v>0.570957350878296</v>
      </c>
      <c r="H9284" s="7" t="n">
        <f aca="false">Sens!$E$9284+dm_seg</f>
        <v>0.570957350878296</v>
      </c>
      <c r="I9284" s="7" t="n">
        <f aca="false">Sens!$E$9284+dm_seg</f>
        <v>0.570957350878296</v>
      </c>
      <c r="J9284" s="7" t="n">
        <f aca="false">Sens!$E$9284+dm_seg</f>
        <v>0.570957350878296</v>
      </c>
      <c r="K9284" s="7" t="n">
        <f aca="false">Sens!$E$9284+dm_seg</f>
        <v>0.570957350878296</v>
      </c>
      <c r="L9284" s="11" t="s">
        <v>899</v>
      </c>
    </row>
    <row r="9285" customFormat="false" ht="17.15" hidden="false" customHeight="false" outlineLevel="0" collapsed="false">
      <c r="A9285" s="0" t="s">
        <v>732</v>
      </c>
      <c r="B9285" s="0" t="s">
        <v>98</v>
      </c>
      <c r="D9285" s="6" t="n">
        <f aca="false">Q!L21</f>
        <v>110.814</v>
      </c>
      <c r="E9285" s="6" t="n">
        <f aca="false">Q!M21</f>
        <v>136.365</v>
      </c>
      <c r="F9285" s="6" t="n">
        <f aca="false">Sens!F9284*(Sens!F9255-Sens!F9219)+Sens!F9219-(Sens!F9221+Sens!F9222+Sens!F9223)-Sens!F9236</f>
        <v>162.13631243564</v>
      </c>
      <c r="G9285" s="6" t="n">
        <f aca="false">Sens!G9284*(Sens!G9255-Sens!G9219)+Sens!G9219-(Sens!G9221+Sens!G9222+Sens!G9223)-Sens!G9236</f>
        <v>191.695235934364</v>
      </c>
      <c r="H9285" s="6" t="n">
        <f aca="false">Sens!H9284*(Sens!H9255-Sens!H9219)+Sens!H9219-(Sens!H9221+Sens!H9222+Sens!H9223)-Sens!H9236</f>
        <v>226.08136966424</v>
      </c>
      <c r="I9285" s="6" t="n">
        <f aca="false">Sens!I9284*(Sens!I9255-Sens!I9219)+Sens!I9219-(Sens!I9221+Sens!I9222+Sens!I9223)-Sens!I9236</f>
        <v>252.349480433488</v>
      </c>
      <c r="J9285" s="6" t="n">
        <f aca="false">Sens!J9284*(Sens!J9255-Sens!J9219)+Sens!J9219-(Sens!J9221+Sens!J9222+Sens!J9223)-Sens!J9236</f>
        <v>274.922958790626</v>
      </c>
      <c r="K9285" s="6" t="n">
        <f aca="false">Sens!K9284*(Sens!K9255-Sens!K9219)+Sens!K9219-(Sens!K9221+Sens!K9222+Sens!K9223)-Sens!K9236</f>
        <v>295.36308194867</v>
      </c>
      <c r="L9285" s="1" t="s">
        <v>900</v>
      </c>
    </row>
    <row r="9286" customFormat="false" ht="17.15" hidden="false" customHeight="false" outlineLevel="0" collapsed="false">
      <c r="A9286" s="0" t="s">
        <v>901</v>
      </c>
      <c r="B9286" s="0" t="s">
        <v>129</v>
      </c>
      <c r="E9286" s="7" t="n">
        <f aca="false">Q!M22/Q!M12</f>
        <v>0.296207935710698</v>
      </c>
      <c r="F9286" s="7" t="n">
        <f aca="false">Sens!$E$9286+dm_seg</f>
        <v>0.296207935710698</v>
      </c>
      <c r="G9286" s="7" t="n">
        <f aca="false">Sens!$E$9286+dm_seg</f>
        <v>0.296207935710698</v>
      </c>
      <c r="H9286" s="7" t="n">
        <f aca="false">Sens!$E$9286+dm_seg</f>
        <v>0.296207935710698</v>
      </c>
      <c r="I9286" s="7" t="n">
        <f aca="false">Sens!$E$9286+dm_seg</f>
        <v>0.296207935710698</v>
      </c>
      <c r="J9286" s="7" t="n">
        <f aca="false">Sens!$E$9286+dm_seg</f>
        <v>0.296207935710698</v>
      </c>
      <c r="K9286" s="7" t="n">
        <f aca="false">Sens!$E$9286+dm_seg</f>
        <v>0.296207935710698</v>
      </c>
      <c r="L9286" s="11" t="s">
        <v>902</v>
      </c>
    </row>
    <row r="9287" customFormat="false" ht="17.15" hidden="false" customHeight="false" outlineLevel="0" collapsed="false">
      <c r="A9287" s="0" t="s">
        <v>734</v>
      </c>
      <c r="B9287" s="0" t="s">
        <v>98</v>
      </c>
      <c r="D9287" s="6" t="n">
        <f aca="false">Q!L22</f>
        <v>17.714</v>
      </c>
      <c r="E9287" s="6" t="n">
        <f aca="false">Q!M22</f>
        <v>18.872</v>
      </c>
      <c r="F9287" s="6" t="n">
        <f aca="false">Sens!F9262*Sens!F9286</f>
        <v>19.3322335114819</v>
      </c>
      <c r="G9287" s="6" t="n">
        <f aca="false">Sens!G9262*Sens!G9286</f>
        <v>20.0058061166163</v>
      </c>
      <c r="H9287" s="6" t="n">
        <f aca="false">Sens!H9262*Sens!H9286</f>
        <v>20.8808254857984</v>
      </c>
      <c r="I9287" s="6" t="n">
        <f aca="false">Sens!I9262*Sens!I9286</f>
        <v>21.9506287296934</v>
      </c>
      <c r="J9287" s="6" t="n">
        <f aca="false">Sens!J9262*Sens!J9286</f>
        <v>23.2128891818742</v>
      </c>
      <c r="K9287" s="6" t="n">
        <f aca="false">Sens!K9262*Sens!K9286</f>
        <v>24.6691188694583</v>
      </c>
    </row>
    <row r="9288" customFormat="false" ht="15" hidden="false" customHeight="false" outlineLevel="0" collapsed="false">
      <c r="A9288" s="1" t="s">
        <v>903</v>
      </c>
      <c r="B9288" s="0" t="s">
        <v>98</v>
      </c>
      <c r="D9288" s="6" t="n">
        <f aca="false">Sens!D9285+Sens!D9287</f>
        <v>128.528</v>
      </c>
      <c r="E9288" s="6" t="n">
        <f aca="false">Sens!E9285+Sens!E9287</f>
        <v>155.237</v>
      </c>
      <c r="F9288" s="6" t="n">
        <f aca="false">Sens!F9285+Sens!F9287</f>
        <v>181.468545947122</v>
      </c>
      <c r="G9288" s="6" t="n">
        <f aca="false">Sens!G9285+Sens!G9287</f>
        <v>211.701042050981</v>
      </c>
      <c r="H9288" s="6" t="n">
        <f aca="false">Sens!H9285+Sens!H9287</f>
        <v>246.962195150038</v>
      </c>
      <c r="I9288" s="6" t="n">
        <f aca="false">Sens!I9285+Sens!I9287</f>
        <v>274.300109163181</v>
      </c>
      <c r="J9288" s="6" t="n">
        <f aca="false">Sens!J9285+Sens!J9287</f>
        <v>298.1358479725</v>
      </c>
      <c r="K9288" s="6" t="n">
        <f aca="false">Sens!K9285+Sens!K9287</f>
        <v>320.032200818129</v>
      </c>
    </row>
    <row r="9289" customFormat="false" ht="15" hidden="false" customHeight="false" outlineLevel="0" collapsed="false">
      <c r="A9289" s="23" t="s">
        <v>904</v>
      </c>
      <c r="B9289" s="30" t="s">
        <v>98</v>
      </c>
      <c r="C9289" s="30"/>
      <c r="D9289" s="24" t="n">
        <f aca="false">Sens!D9288-Q!L23</f>
        <v>0</v>
      </c>
      <c r="E9289" s="24" t="n">
        <f aca="false">Sens!E9288-Q!M23</f>
        <v>0</v>
      </c>
      <c r="F9289" s="30"/>
      <c r="G9289" s="30"/>
      <c r="H9289" s="30"/>
      <c r="I9289" s="30"/>
      <c r="J9289" s="30"/>
      <c r="K9289" s="30"/>
    </row>
    <row r="9290" customFormat="false" ht="15" hidden="false" customHeight="false" outlineLevel="0" collapsed="false">
      <c r="A9290" s="1" t="s">
        <v>905</v>
      </c>
      <c r="B9290" s="0" t="s">
        <v>129</v>
      </c>
      <c r="D9290" s="7" t="n">
        <f aca="false">Sens!D9288/Sens!D9281</f>
        <v>0.456219562408598</v>
      </c>
      <c r="E9290" s="7" t="n">
        <f aca="false">Sens!E9288/Sens!E9281</f>
        <v>0.467808184089272</v>
      </c>
      <c r="F9290" s="7" t="n">
        <f aca="false">Sens!F9288/Sens!F9281</f>
        <v>0.448402974777131</v>
      </c>
      <c r="G9290" s="7" t="n">
        <f aca="false">Sens!G9288/Sens!G9281</f>
        <v>0.430260078644688</v>
      </c>
      <c r="H9290" s="7" t="n">
        <f aca="false">Sens!H9288/Sens!H9281</f>
        <v>0.421336472284161</v>
      </c>
      <c r="I9290" s="7" t="n">
        <f aca="false">Sens!I9288/Sens!I9281</f>
        <v>0.411263512673302</v>
      </c>
      <c r="J9290" s="7" t="n">
        <f aca="false">Sens!J9288/Sens!J9281</f>
        <v>0.406930477735505</v>
      </c>
      <c r="K9290" s="7" t="n">
        <f aca="false">Sens!K9288/Sens!K9281</f>
        <v>0.407389681121419</v>
      </c>
    </row>
    <row r="9291" customFormat="false" ht="17.15" hidden="false" customHeight="false" outlineLevel="0" collapsed="false">
      <c r="A9291" s="1" t="s">
        <v>906</v>
      </c>
      <c r="B9291" s="0" t="s">
        <v>98</v>
      </c>
      <c r="F9291" s="6" t="n">
        <f aca="false">Sens!F9306</f>
        <v>19.0793824397397</v>
      </c>
      <c r="G9291" s="6" t="n">
        <f aca="false">Sens!G9306</f>
        <v>32.5666413649601</v>
      </c>
      <c r="H9291" s="6" t="n">
        <f aca="false">Sens!H9306</f>
        <v>47.4063563831308</v>
      </c>
      <c r="I9291" s="6" t="n">
        <f aca="false">Sens!I9306</f>
        <v>61.2525090726263</v>
      </c>
      <c r="J9291" s="6" t="n">
        <f aca="false">Sens!J9306</f>
        <v>71.009613825577</v>
      </c>
      <c r="K9291" s="6" t="n">
        <f aca="false">Sens!K9306</f>
        <v>76.0452576664312</v>
      </c>
      <c r="L9291" s="1" t="s">
        <v>907</v>
      </c>
    </row>
    <row r="9292" customFormat="false" ht="17.15" hidden="false" customHeight="false" outlineLevel="0" collapsed="false">
      <c r="A9292" s="1" t="s">
        <v>908</v>
      </c>
      <c r="B9292" s="0" t="s">
        <v>98</v>
      </c>
      <c r="D9292" s="6" t="n">
        <f aca="false">Sens!D9288</f>
        <v>128.528</v>
      </c>
      <c r="E9292" s="6" t="n">
        <f aca="false">Sens!E9288</f>
        <v>155.237</v>
      </c>
      <c r="F9292" s="6" t="n">
        <f aca="false">Sens!F9288+Sens!F9291</f>
        <v>200.547928386862</v>
      </c>
      <c r="G9292" s="6" t="n">
        <f aca="false">Sens!G9288+Sens!G9291</f>
        <v>244.267683415941</v>
      </c>
      <c r="H9292" s="6" t="n">
        <f aca="false">Sens!H9288+Sens!H9291</f>
        <v>294.368551533169</v>
      </c>
      <c r="I9292" s="6" t="n">
        <f aca="false">Sens!I9288+Sens!I9291</f>
        <v>335.552618235807</v>
      </c>
      <c r="J9292" s="6" t="n">
        <f aca="false">Sens!J9288+Sens!J9291</f>
        <v>369.145461798077</v>
      </c>
      <c r="K9292" s="6" t="n">
        <f aca="false">Sens!K9288+Sens!K9291</f>
        <v>396.07745848456</v>
      </c>
    </row>
    <row r="9293" customFormat="false" ht="17.15" hidden="false" customHeight="false" outlineLevel="0" collapsed="false">
      <c r="A9293" s="1" t="s">
        <v>909</v>
      </c>
      <c r="B9293" s="0" t="s">
        <v>98</v>
      </c>
      <c r="E9293" s="6" t="n">
        <f aca="false">Sens!E9236</f>
        <v>16.3054059770833</v>
      </c>
      <c r="F9293" s="6" t="n">
        <f aca="false">Sens!F9236</f>
        <v>34.7272076225365</v>
      </c>
      <c r="G9293" s="6" t="n">
        <f aca="false">Sens!G9236</f>
        <v>60.4800775936729</v>
      </c>
      <c r="H9293" s="6" t="n">
        <f aca="false">Sens!H9236</f>
        <v>87.7156603264729</v>
      </c>
      <c r="I9293" s="6" t="n">
        <f aca="false">Sens!I9236</f>
        <v>111.960384315554</v>
      </c>
      <c r="J9293" s="6" t="n">
        <f aca="false">Sens!J9236</f>
        <v>129.157055255999</v>
      </c>
      <c r="K9293" s="6" t="n">
        <f aca="false">Sens!K9236</f>
        <v>139.620991137807</v>
      </c>
    </row>
    <row r="9294" customFormat="false" ht="17.15" hidden="false" customHeight="false" outlineLevel="0" collapsed="false">
      <c r="A9294" s="1" t="s">
        <v>910</v>
      </c>
      <c r="B9294" s="0" t="s">
        <v>98</v>
      </c>
      <c r="E9294" s="6" t="n">
        <f aca="false">Sens!E9318</f>
        <v>22.2285940229167</v>
      </c>
      <c r="F9294" s="6" t="n">
        <f aca="false">Sens!F9318</f>
        <v>23.5796627435813</v>
      </c>
      <c r="G9294" s="6" t="n">
        <f aca="false">Sens!G9318</f>
        <v>25.3853008347557</v>
      </c>
      <c r="H9294" s="6" t="n">
        <f aca="false">Sens!H9318</f>
        <v>27.61025814329</v>
      </c>
      <c r="I9294" s="6" t="n">
        <f aca="false">Sens!I9318</f>
        <v>30.1800295814336</v>
      </c>
      <c r="J9294" s="6" t="n">
        <f aca="false">Sens!J9318</f>
        <v>33.0047176415467</v>
      </c>
      <c r="K9294" s="6" t="n">
        <f aca="false">Sens!K9318</f>
        <v>36.0023095349632</v>
      </c>
    </row>
    <row r="9295" customFormat="false" ht="17.15" hidden="false" customHeight="false" outlineLevel="0" collapsed="false">
      <c r="A9295" s="1" t="s">
        <v>911</v>
      </c>
      <c r="B9295" s="0" t="s">
        <v>98</v>
      </c>
      <c r="D9295" s="6" t="n">
        <f aca="false">Q!L27</f>
        <v>-4.901</v>
      </c>
      <c r="E9295" s="6" t="n">
        <f aca="false">Q!M27</f>
        <v>10.697</v>
      </c>
      <c r="F9295" s="6" t="n">
        <f aca="false">oie_f</f>
        <v>-0.4</v>
      </c>
      <c r="G9295" s="6" t="n">
        <f aca="false">oie_f</f>
        <v>-0.4</v>
      </c>
      <c r="H9295" s="6" t="n">
        <f aca="false">oie_f</f>
        <v>-0.4</v>
      </c>
      <c r="I9295" s="6" t="n">
        <f aca="false">oie_f</f>
        <v>-0.4</v>
      </c>
      <c r="J9295" s="6" t="n">
        <f aca="false">oie_f</f>
        <v>-0.4</v>
      </c>
      <c r="K9295" s="6" t="n">
        <f aca="false">oie_f</f>
        <v>-0.4</v>
      </c>
      <c r="L9295" s="11" t="s">
        <v>912</v>
      </c>
    </row>
    <row r="9296" customFormat="false" ht="15" hidden="false" customHeight="false" outlineLevel="0" collapsed="false">
      <c r="A9296" s="1" t="s">
        <v>913</v>
      </c>
      <c r="B9296" s="0" t="s">
        <v>98</v>
      </c>
      <c r="D9296" s="6" t="n">
        <f aca="false">Sens!D9288+Sens!D9295</f>
        <v>123.627</v>
      </c>
      <c r="E9296" s="6" t="n">
        <f aca="false">Sens!E9288+Sens!E9295</f>
        <v>165.934</v>
      </c>
      <c r="F9296" s="6" t="n">
        <f aca="false">Sens!F9288+Sens!F9295</f>
        <v>181.068545947122</v>
      </c>
      <c r="G9296" s="6" t="n">
        <f aca="false">Sens!G9288+Sens!G9295</f>
        <v>211.301042050981</v>
      </c>
      <c r="H9296" s="6" t="n">
        <f aca="false">Sens!H9288+Sens!H9295</f>
        <v>246.562195150038</v>
      </c>
      <c r="I9296" s="6" t="n">
        <f aca="false">Sens!I9288+Sens!I9295</f>
        <v>273.900109163181</v>
      </c>
      <c r="J9296" s="6" t="n">
        <f aca="false">Sens!J9288+Sens!J9295</f>
        <v>297.7358479725</v>
      </c>
      <c r="K9296" s="6" t="n">
        <f aca="false">Sens!K9288+Sens!K9295</f>
        <v>319.632200818129</v>
      </c>
    </row>
    <row r="9297" customFormat="false" ht="15" hidden="false" customHeight="false" outlineLevel="0" collapsed="false">
      <c r="A9297" s="1" t="s">
        <v>914</v>
      </c>
      <c r="B9297" s="0" t="s">
        <v>98</v>
      </c>
      <c r="D9297" s="6" t="n">
        <f aca="false">Q!L29</f>
        <v>21.795</v>
      </c>
      <c r="E9297" s="6" t="n">
        <f aca="false">Q!M29</f>
        <v>32.185</v>
      </c>
      <c r="F9297" s="6" t="n">
        <f aca="false">Sens!F9296*tax_f</f>
        <v>36.2137091894244</v>
      </c>
      <c r="G9297" s="6" t="n">
        <f aca="false">Sens!G9296*tax_f</f>
        <v>42.2602084101961</v>
      </c>
      <c r="H9297" s="6" t="n">
        <f aca="false">Sens!H9296*tax_f</f>
        <v>49.3124390300076</v>
      </c>
      <c r="I9297" s="6" t="n">
        <f aca="false">Sens!I9296*tax_f</f>
        <v>54.7800218326362</v>
      </c>
      <c r="J9297" s="6" t="n">
        <f aca="false">Sens!J9296*tax_f</f>
        <v>59.5471695945001</v>
      </c>
      <c r="K9297" s="6" t="n">
        <f aca="false">Sens!K9296*tax_f</f>
        <v>63.9264401636257</v>
      </c>
    </row>
    <row r="9298" customFormat="false" ht="15" hidden="false" customHeight="false" outlineLevel="0" collapsed="false">
      <c r="A9298" s="1" t="s">
        <v>915</v>
      </c>
      <c r="B9298" s="0" t="s">
        <v>98</v>
      </c>
      <c r="D9298" s="6" t="n">
        <f aca="false">Sens!D9296-Sens!D9297</f>
        <v>101.832</v>
      </c>
      <c r="E9298" s="6" t="n">
        <f aca="false">Sens!E9296-Sens!E9297</f>
        <v>133.749</v>
      </c>
      <c r="F9298" s="6" t="n">
        <f aca="false">Sens!F9296-Sens!F9297</f>
        <v>144.854836757697</v>
      </c>
      <c r="G9298" s="6" t="n">
        <f aca="false">Sens!G9296-Sens!G9297</f>
        <v>169.040833640785</v>
      </c>
      <c r="H9298" s="6" t="n">
        <f aca="false">Sens!H9296-Sens!H9297</f>
        <v>197.24975612003</v>
      </c>
      <c r="I9298" s="6" t="n">
        <f aca="false">Sens!I9296-Sens!I9297</f>
        <v>219.120087330545</v>
      </c>
      <c r="J9298" s="6" t="n">
        <f aca="false">Sens!J9296-Sens!J9297</f>
        <v>238.188678378</v>
      </c>
      <c r="K9298" s="6" t="n">
        <f aca="false">Sens!K9296-Sens!K9297</f>
        <v>255.705760654503</v>
      </c>
    </row>
    <row r="9299" customFormat="false" ht="17.15" hidden="false" customHeight="false" outlineLevel="0" collapsed="false">
      <c r="A9299" s="1" t="s">
        <v>916</v>
      </c>
      <c r="B9299" s="1" t="s">
        <v>81</v>
      </c>
      <c r="D9299" s="14" t="n">
        <f aca="false">Q!L31</f>
        <v>7.465</v>
      </c>
      <c r="E9299" s="14" t="n">
        <f aca="false">Q!M31</f>
        <v>7.453</v>
      </c>
      <c r="F9299" s="14" t="n">
        <f aca="false">Sens!F9340</f>
        <v>7.4735</v>
      </c>
      <c r="G9299" s="14" t="n">
        <f aca="false">Sens!G9340</f>
        <v>7.50801282138287</v>
      </c>
      <c r="H9299" s="14" t="n">
        <f aca="false">Sens!H9340</f>
        <v>7.5252772286157</v>
      </c>
      <c r="I9299" s="14" t="n">
        <f aca="false">Sens!I9340</f>
        <v>7.53705806062301</v>
      </c>
      <c r="J9299" s="14" t="n">
        <f aca="false">Sens!J9340</f>
        <v>7.5512995717409</v>
      </c>
      <c r="K9299" s="14" t="n">
        <f aca="false">Sens!K9340</f>
        <v>7.56781948944264</v>
      </c>
    </row>
    <row r="9300" customFormat="false" ht="17.15" hidden="false" customHeight="false" outlineLevel="0" collapsed="false">
      <c r="A9300" s="0" t="s">
        <v>917</v>
      </c>
      <c r="B9300" s="0" t="s">
        <v>75</v>
      </c>
      <c r="D9300" s="8" t="n">
        <f aca="false">Sens!D9298/Sens!D9299</f>
        <v>13.641259209645</v>
      </c>
      <c r="E9300" s="8" t="n">
        <f aca="false">Sens!E9298/Sens!E9299</f>
        <v>17.9456594659869</v>
      </c>
      <c r="F9300" s="8" t="n">
        <f aca="false">Sens!F9298/Sens!F9299</f>
        <v>19.3824629367361</v>
      </c>
      <c r="G9300" s="8" t="n">
        <f aca="false">Sens!G9298/Sens!G9299</f>
        <v>22.5147236242531</v>
      </c>
      <c r="H9300" s="8" t="n">
        <f aca="false">Sens!H9298/Sens!H9299</f>
        <v>26.211626512571</v>
      </c>
      <c r="I9300" s="8" t="n">
        <f aca="false">Sens!I9298/Sens!I9299</f>
        <v>29.0723629257053</v>
      </c>
      <c r="J9300" s="8" t="n">
        <f aca="false">Sens!J9298/Sens!J9299</f>
        <v>31.5427399105407</v>
      </c>
      <c r="K9300" s="8" t="n">
        <f aca="false">Sens!K9298/Sens!K9299</f>
        <v>33.7885649903808</v>
      </c>
      <c r="L9300" s="1" t="s">
        <v>918</v>
      </c>
    </row>
    <row r="9301" customFormat="false" ht="17.15" hidden="false" customHeight="false" outlineLevel="0" collapsed="false">
      <c r="A9301" s="1" t="s">
        <v>919</v>
      </c>
      <c r="B9301" s="0" t="s">
        <v>98</v>
      </c>
      <c r="D9301" s="6" t="n">
        <f aca="false">Sens!D9298</f>
        <v>101.832</v>
      </c>
      <c r="E9301" s="6" t="n">
        <f aca="false">Sens!E9298</f>
        <v>133.749</v>
      </c>
      <c r="F9301" s="6" t="n">
        <f aca="false">Sens!F9298+Sens!F9291*(1-tax_f)</f>
        <v>160.118342709489</v>
      </c>
      <c r="G9301" s="6" t="n">
        <f aca="false">Sens!G9298+Sens!G9291*(1-tax_f)</f>
        <v>195.094146732753</v>
      </c>
      <c r="H9301" s="6" t="n">
        <f aca="false">Sens!H9298+Sens!H9291*(1-tax_f)</f>
        <v>235.174841226535</v>
      </c>
      <c r="I9301" s="6" t="n">
        <f aca="false">Sens!I9298+Sens!I9291*(1-tax_f)</f>
        <v>268.122094588646</v>
      </c>
      <c r="J9301" s="6" t="n">
        <f aca="false">Sens!J9298+Sens!J9291*(1-tax_f)</f>
        <v>294.996369438462</v>
      </c>
      <c r="K9301" s="6" t="n">
        <f aca="false">Sens!K9298+Sens!K9291*(1-tax_f)</f>
        <v>316.541966787648</v>
      </c>
    </row>
    <row r="9302" customFormat="false" ht="17.15" hidden="false" customHeight="false" outlineLevel="0" collapsed="false">
      <c r="A9302" s="0" t="s">
        <v>920</v>
      </c>
      <c r="B9302" s="0" t="s">
        <v>75</v>
      </c>
      <c r="D9302" s="8" t="n">
        <f aca="false">Sens!D9301/Sens!D9299</f>
        <v>13.641259209645</v>
      </c>
      <c r="E9302" s="8" t="n">
        <f aca="false">Sens!E9301/Sens!E9299</f>
        <v>17.9456594659869</v>
      </c>
      <c r="F9302" s="8" t="n">
        <f aca="false">Sens!F9301/Sens!F9299</f>
        <v>21.4248133685006</v>
      </c>
      <c r="G9302" s="8" t="n">
        <f aca="false">Sens!G9301/Sens!G9299</f>
        <v>25.9847913654493</v>
      </c>
      <c r="H9302" s="8" t="n">
        <f aca="false">Sens!H9301/Sens!H9299</f>
        <v>31.2513192646587</v>
      </c>
      <c r="I9302" s="8" t="n">
        <f aca="false">Sens!I9301/Sens!I9299</f>
        <v>35.5738396111656</v>
      </c>
      <c r="J9302" s="8" t="n">
        <f aca="false">Sens!J9301/Sens!J9299</f>
        <v>39.0656424944948</v>
      </c>
      <c r="K9302" s="8" t="n">
        <f aca="false">Sens!K9301/Sens!K9299</f>
        <v>41.8273674774133</v>
      </c>
      <c r="L9302" s="1" t="s">
        <v>921</v>
      </c>
    </row>
    <row r="9303" customFormat="false" ht="17.15" hidden="false" customHeight="false" outlineLevel="0" collapsed="false">
      <c r="A9303" s="0" t="s">
        <v>922</v>
      </c>
      <c r="B9303" s="0" t="s">
        <v>129</v>
      </c>
      <c r="E9303" s="7" t="n">
        <f aca="false">Sens!E9302/Sens!D9302-1</f>
        <v>0.315542736208578</v>
      </c>
      <c r="F9303" s="7" t="n">
        <f aca="false">Sens!F9302/Sens!E9302-1</f>
        <v>0.193871610519966</v>
      </c>
      <c r="G9303" s="7" t="n">
        <f aca="false">Sens!G9302/Sens!F9302-1</f>
        <v>0.212836299598901</v>
      </c>
      <c r="H9303" s="7" t="n">
        <f aca="false">Sens!H9302/Sens!G9302-1</f>
        <v>0.202677320942894</v>
      </c>
      <c r="I9303" s="7" t="n">
        <f aca="false">Sens!I9302/Sens!H9302-1</f>
        <v>0.138314811925241</v>
      </c>
      <c r="J9303" s="7" t="n">
        <f aca="false">Sens!J9302/Sens!I9302-1</f>
        <v>0.09815648019713</v>
      </c>
      <c r="K9303" s="7" t="n">
        <f aca="false">Sens!K9302/Sens!J9302-1</f>
        <v>0.0706944723437653</v>
      </c>
    </row>
    <row r="9304" customFormat="false" ht="17.15" hidden="false" customHeight="false" outlineLevel="0" collapsed="false">
      <c r="A9304" s="0" t="s">
        <v>846</v>
      </c>
      <c r="B9304" s="0" t="s">
        <v>98</v>
      </c>
      <c r="E9304" s="6" t="n">
        <f aca="false">Sens!E9245</f>
        <v>5.25</v>
      </c>
      <c r="F9304" s="6" t="n">
        <f aca="false">Sens!F9245</f>
        <v>13.5</v>
      </c>
      <c r="G9304" s="6" t="n">
        <f aca="false">Sens!G9245</f>
        <v>22.5</v>
      </c>
      <c r="H9304" s="6" t="n">
        <f aca="false">Sens!H9245</f>
        <v>31.5</v>
      </c>
      <c r="I9304" s="6" t="n">
        <f aca="false">Sens!I9245</f>
        <v>38.25</v>
      </c>
      <c r="J9304" s="6" t="n">
        <f aca="false">Sens!J9245</f>
        <v>42.75</v>
      </c>
      <c r="K9304" s="6" t="n">
        <f aca="false">Sens!K9245</f>
        <v>47.25</v>
      </c>
    </row>
    <row r="9305" customFormat="false" ht="17.15" hidden="false" customHeight="false" outlineLevel="0" collapsed="false">
      <c r="A9305" s="1" t="s">
        <v>847</v>
      </c>
      <c r="B9305" s="0" t="s">
        <v>98</v>
      </c>
      <c r="F9305" s="6" t="n">
        <f aca="false">MAX(0,(Sens!E9208+Sens!F9208)/2*Sens!F9216/1000-Sens!F9304*Sens!F9284)</f>
        <v>19.0793824397397</v>
      </c>
      <c r="G9305" s="6" t="n">
        <f aca="false">MAX(0,(Sens!F9208+Sens!G9208)/2*Sens!G9216/1000-Sens!G9304*Sens!G9284)</f>
        <v>32.5666413649601</v>
      </c>
      <c r="H9305" s="6" t="n">
        <f aca="false">MAX(0,(Sens!G9208+Sens!H9208)/2*Sens!H9216/1000-Sens!H9304*Sens!H9284)</f>
        <v>47.4063563831308</v>
      </c>
      <c r="I9305" s="6" t="n">
        <f aca="false">MAX(0,(Sens!H9208+Sens!I9208)/2*Sens!I9216/1000-Sens!I9304*Sens!I9284)</f>
        <v>61.2525090726263</v>
      </c>
      <c r="J9305" s="6" t="n">
        <f aca="false">MAX(0,(Sens!I9208+Sens!J9208)/2*Sens!J9216/1000-Sens!J9304*Sens!J9284)</f>
        <v>71.009613825577</v>
      </c>
      <c r="K9305" s="6" t="n">
        <f aca="false">MAX(0,(Sens!J9208+Sens!K9208)/2*Sens!K9216/1000-Sens!K9304*Sens!K9284)</f>
        <v>76.0452576664312</v>
      </c>
      <c r="L9305" s="1" t="s">
        <v>848</v>
      </c>
    </row>
    <row r="9306" customFormat="false" ht="17.15" hidden="false" customHeight="false" outlineLevel="0" collapsed="false">
      <c r="A9306" s="1" t="s">
        <v>849</v>
      </c>
      <c r="B9306" s="0" t="s">
        <v>98</v>
      </c>
      <c r="F9306" s="6" t="n">
        <f aca="false">IF(internal_ai_reading=2,1,0)*Sens!F9305</f>
        <v>19.0793824397397</v>
      </c>
      <c r="G9306" s="6" t="n">
        <f aca="false">IF(internal_ai_reading=2,1,0)*Sens!G9305</f>
        <v>32.5666413649601</v>
      </c>
      <c r="H9306" s="6" t="n">
        <f aca="false">IF(internal_ai_reading=2,1,0)*Sens!H9305</f>
        <v>47.4063563831308</v>
      </c>
      <c r="I9306" s="6" t="n">
        <f aca="false">IF(internal_ai_reading=2,1,0)*Sens!I9305</f>
        <v>61.2525090726263</v>
      </c>
      <c r="J9306" s="6" t="n">
        <f aca="false">IF(internal_ai_reading=2,1,0)*Sens!J9305</f>
        <v>71.009613825577</v>
      </c>
      <c r="K9306" s="6" t="n">
        <f aca="false">IF(internal_ai_reading=2,1,0)*Sens!K9305</f>
        <v>76.0452576664312</v>
      </c>
    </row>
    <row r="9307" customFormat="false" ht="17.15" hidden="false" customHeight="false" outlineLevel="0" collapsed="false">
      <c r="A9307" s="0" t="s">
        <v>850</v>
      </c>
      <c r="B9307" s="0" t="s">
        <v>98</v>
      </c>
      <c r="F9307" s="6" t="n">
        <f aca="false">Sens!F9225+Sens!F9304*Sens!F9284+Sens!F9306-Sens!F9226-Sens!F9236</f>
        <v>28.6550219082876</v>
      </c>
      <c r="G9307" s="6" t="n">
        <f aca="false">Sens!G9225+Sens!G9304*Sens!G9284+Sens!G9306-Sens!G9226-Sens!G9236</f>
        <v>52.619775371789</v>
      </c>
      <c r="H9307" s="6" t="n">
        <f aca="false">Sens!H9225+Sens!H9304*Sens!H9284+Sens!H9306-Sens!H9226-Sens!H9236</f>
        <v>82.5820463685331</v>
      </c>
      <c r="I9307" s="6" t="n">
        <f aca="false">Sens!I9225+Sens!I9304*Sens!I9284+Sens!I9306-Sens!I9226-Sens!I9236</f>
        <v>103.920724431935</v>
      </c>
      <c r="J9307" s="6" t="n">
        <f aca="false">Sens!J9225+Sens!J9304*Sens!J9284+Sens!J9306-Sens!J9226-Sens!J9236</f>
        <v>118.714519767665</v>
      </c>
      <c r="K9307" s="6" t="n">
        <f aca="false">Sens!K9225+Sens!K9304*Sens!K9284+Sens!K9306-Sens!K9226-Sens!K9236</f>
        <v>128.66899296368</v>
      </c>
    </row>
    <row r="9308" customFormat="false" ht="17.15" hidden="false" customHeight="false" outlineLevel="0" collapsed="false">
      <c r="A9308" s="0" t="s">
        <v>851</v>
      </c>
      <c r="B9308" s="0" t="s">
        <v>98</v>
      </c>
      <c r="E9308" s="6" t="n">
        <f aca="false">Sens!E9207*(cxit_open+self_build*tk_cxfac)/1000*ai_net_open</f>
        <v>126.6980382</v>
      </c>
      <c r="F9308" s="6" t="n">
        <f aca="false">Sens!E9308+Sens!F9233-Sens!F9236</f>
        <v>260.431549347901</v>
      </c>
      <c r="G9308" s="6" t="n">
        <f aca="false">Sens!F9308+Sens!G9233-Sens!G9236</f>
        <v>383.525652237428</v>
      </c>
      <c r="H9308" s="6" t="n">
        <f aca="false">Sens!G9308+Sens!H9233-Sens!H9236</f>
        <v>483.890277821355</v>
      </c>
      <c r="I9308" s="6" t="n">
        <f aca="false">Sens!H9308+Sens!I9233-Sens!I9236</f>
        <v>535.636562660046</v>
      </c>
      <c r="J9308" s="6" t="n">
        <f aca="false">Sens!I9308+Sens!J9233-Sens!J9236</f>
        <v>530.991984122137</v>
      </c>
      <c r="K9308" s="6" t="n">
        <f aca="false">Sens!J9308+Sens!K9233-Sens!K9236</f>
        <v>506.330428626267</v>
      </c>
      <c r="L9308" s="1" t="s">
        <v>852</v>
      </c>
    </row>
    <row r="9309" customFormat="false" ht="17.15" hidden="false" customHeight="false" outlineLevel="0" collapsed="false">
      <c r="A9309" s="0" t="s">
        <v>853</v>
      </c>
      <c r="B9309" s="0" t="s">
        <v>129</v>
      </c>
      <c r="F9309" s="7" t="n">
        <f aca="false">Sens!F9307*(1-tax_f)/((Sens!E9308+Sens!F9308)/2)</f>
        <v>0.118430718105697</v>
      </c>
      <c r="G9309" s="7" t="n">
        <f aca="false">Sens!G9307*(1-tax_f)/((Sens!F9308+Sens!G9308)/2)</f>
        <v>0.130741049851752</v>
      </c>
      <c r="H9309" s="7" t="n">
        <f aca="false">Sens!H9307*(1-tax_f)/((Sens!G9308+Sens!H9308)/2)</f>
        <v>0.152327470145376</v>
      </c>
      <c r="I9309" s="7" t="n">
        <f aca="false">Sens!I9307*(1-tax_f)/((Sens!H9308+Sens!I9308)/2)</f>
        <v>0.163088554895313</v>
      </c>
      <c r="J9309" s="7" t="n">
        <f aca="false">Sens!J9307*(1-tax_f)/((Sens!I9308+Sens!J9308)/2)</f>
        <v>0.178078143699873</v>
      </c>
      <c r="K9309" s="7" t="n">
        <f aca="false">Sens!K9307*(1-tax_f)/((Sens!J9308+Sens!K9308)/2)</f>
        <v>0.198463260999471</v>
      </c>
    </row>
    <row r="9310" customFormat="false" ht="17.15" hidden="false" customHeight="false" outlineLevel="0" collapsed="false">
      <c r="A9310" s="1" t="s">
        <v>854</v>
      </c>
      <c r="B9310" s="0" t="s">
        <v>129</v>
      </c>
      <c r="F9310" s="7" t="n">
        <f aca="false">(Sens!F9307-Sens!F9306)*(1-tax_f)/((Sens!E9308+Sens!F9308)/2)</f>
        <v>0.0395759550354205</v>
      </c>
      <c r="G9310" s="7" t="n">
        <f aca="false">(Sens!G9307-Sens!G9306)*(1-tax_f)/((Sens!F9308+Sens!G9308)/2)</f>
        <v>0.049824762161115</v>
      </c>
      <c r="H9310" s="7" t="n">
        <f aca="false">(Sens!H9307-Sens!H9306)*(1-tax_f)/((Sens!G9308+Sens!H9308)/2)</f>
        <v>0.0648836411994758</v>
      </c>
      <c r="I9310" s="7" t="n">
        <f aca="false">(Sens!I9307-Sens!I9306)*(1-tax_f)/((Sens!H9308+Sens!I9308)/2)</f>
        <v>0.0669615961681384</v>
      </c>
      <c r="J9310" s="7" t="n">
        <f aca="false">(Sens!J9307-Sens!J9306)*(1-tax_f)/((Sens!I9308+Sens!J9308)/2)</f>
        <v>0.0715599162778908</v>
      </c>
      <c r="K9310" s="7" t="n">
        <f aca="false">(Sens!K9307-Sens!K9306)*(1-tax_f)/((Sens!J9308+Sens!K9308)/2)</f>
        <v>0.0811685696181128</v>
      </c>
    </row>
    <row r="9311" customFormat="false" ht="17.15" hidden="false" customHeight="false" outlineLevel="0" collapsed="false">
      <c r="A9311" s="1" t="s">
        <v>855</v>
      </c>
      <c r="B9311" s="0" t="s">
        <v>129</v>
      </c>
      <c r="F9311" s="7" t="n">
        <f aca="false">(Sens!F9307-Sens!F9306+Sens!F9305)*(1-tax_f)/((Sens!E9308+Sens!F9308)/2)</f>
        <v>0.118430718105697</v>
      </c>
      <c r="G9311" s="7" t="n">
        <f aca="false">(Sens!G9307-Sens!G9306+Sens!G9305)*(1-tax_f)/((Sens!F9308+Sens!G9308)/2)</f>
        <v>0.130741049851752</v>
      </c>
      <c r="H9311" s="7" t="n">
        <f aca="false">(Sens!H9307-Sens!H9306+Sens!H9305)*(1-tax_f)/((Sens!G9308+Sens!H9308)/2)</f>
        <v>0.152327470145376</v>
      </c>
      <c r="I9311" s="7" t="n">
        <f aca="false">(Sens!I9307-Sens!I9306+Sens!I9305)*(1-tax_f)/((Sens!H9308+Sens!I9308)/2)</f>
        <v>0.163088554895313</v>
      </c>
      <c r="J9311" s="7" t="n">
        <f aca="false">(Sens!J9307-Sens!J9306+Sens!J9305)*(1-tax_f)/((Sens!I9308+Sens!J9308)/2)</f>
        <v>0.178078143699873</v>
      </c>
      <c r="K9311" s="7" t="n">
        <f aca="false">(Sens!K9307-Sens!K9306+Sens!K9305)*(1-tax_f)/((Sens!J9308+Sens!K9308)/2)</f>
        <v>0.198463260999471</v>
      </c>
    </row>
    <row r="9312" customFormat="false" ht="17.15" hidden="false" customHeight="false" outlineLevel="0" collapsed="false">
      <c r="A9312" s="1" t="s">
        <v>856</v>
      </c>
      <c r="B9312" s="0" t="s">
        <v>129</v>
      </c>
      <c r="F9312" s="7" t="n">
        <f aca="false">Sens!F9237*(1-tax_f)/(Sens!F9224*(Sens!E9308+Sens!F9308)/2)</f>
        <v>0.153550849109112</v>
      </c>
      <c r="G9312" s="7" t="n">
        <f aca="false">Sens!G9237*(1-tax_f)/(Sens!G9224*(Sens!F9308+Sens!G9308)/2)</f>
        <v>0.174683475733491</v>
      </c>
      <c r="H9312" s="7" t="n">
        <f aca="false">Sens!H9237*(1-tax_f)/(Sens!H9224*(Sens!G9308+Sens!H9308)/2)</f>
        <v>0.20763657733227</v>
      </c>
      <c r="I9312" s="7" t="n">
        <f aca="false">Sens!I9237*(1-tax_f)/(Sens!I9224*(Sens!H9308+Sens!I9308)/2)</f>
        <v>0.221688728224066</v>
      </c>
      <c r="J9312" s="7" t="n">
        <f aca="false">Sens!J9237*(1-tax_f)/(Sens!J9224*(Sens!I9308+Sens!J9308)/2)</f>
        <v>0.241801543270105</v>
      </c>
      <c r="K9312" s="7" t="n">
        <f aca="false">Sens!K9237*(1-tax_f)/(Sens!K9224*(Sens!J9308+Sens!K9308)/2)</f>
        <v>0.269039712433627</v>
      </c>
    </row>
    <row r="9313" customFormat="false" ht="17.15" hidden="false" customHeight="false" outlineLevel="0" collapsed="false">
      <c r="A9313" s="0" t="s">
        <v>857</v>
      </c>
      <c r="B9313" s="0" t="s">
        <v>209</v>
      </c>
      <c r="F9313" s="7" t="n">
        <f aca="false">Sens!F9309-wacc</f>
        <v>0.0154962980128211</v>
      </c>
      <c r="G9313" s="7" t="n">
        <f aca="false">Sens!G9309-wacc</f>
        <v>0.0278066297588765</v>
      </c>
      <c r="H9313" s="7" t="n">
        <f aca="false">Sens!H9309-wacc</f>
        <v>0.0493930500525003</v>
      </c>
      <c r="I9313" s="7" t="n">
        <f aca="false">Sens!I9309-wacc</f>
        <v>0.0601541348024369</v>
      </c>
      <c r="J9313" s="7" t="n">
        <f aca="false">Sens!J9309-wacc</f>
        <v>0.0751437236069974</v>
      </c>
      <c r="K9313" s="7" t="n">
        <f aca="false">Sens!K9309-wacc</f>
        <v>0.0955288409065953</v>
      </c>
    </row>
    <row r="9314" customFormat="false" ht="17.15" hidden="false" customHeight="false" outlineLevel="0" collapsed="false">
      <c r="A9314" s="0" t="s">
        <v>858</v>
      </c>
      <c r="B9314" s="0" t="s">
        <v>98</v>
      </c>
      <c r="F9314" s="6" t="n">
        <f aca="false">Sens!F9307*(1-tax_f)-wacc*(Sens!E9308+Sens!F9308)/2</f>
        <v>2.9995377291114</v>
      </c>
      <c r="G9314" s="6" t="n">
        <f aca="false">Sens!G9307*(1-tax_f)-wacc*(Sens!F9308+Sens!G9308)/2</f>
        <v>8.95313974252272</v>
      </c>
      <c r="H9314" s="6" t="n">
        <f aca="false">Sens!H9307*(1-tax_f)-wacc*(Sens!G9308+Sens!H9308)/2</f>
        <v>21.4221592248648</v>
      </c>
      <c r="I9314" s="6" t="n">
        <f aca="false">Sens!I9307*(1-tax_f)-wacc*(Sens!H9308+Sens!I9308)/2</f>
        <v>30.6643774985104</v>
      </c>
      <c r="J9314" s="6" t="n">
        <f aca="false">Sens!J9307*(1-tax_f)-wacc*(Sens!I9308+Sens!J9308)/2</f>
        <v>40.0752203553669</v>
      </c>
      <c r="K9314" s="6" t="n">
        <f aca="false">Sens!K9307*(1-tax_f)-wacc*(Sens!J9308+Sens!K9308)/2</f>
        <v>49.5471038681439</v>
      </c>
    </row>
    <row r="9315" customFormat="false" ht="17.15" hidden="false" customHeight="false" outlineLevel="0" collapsed="false">
      <c r="A9315" s="3" t="s">
        <v>1477</v>
      </c>
    </row>
    <row r="9316" customFormat="false" ht="15" hidden="false" customHeight="false" outlineLevel="0" collapsed="false">
      <c r="A9316" s="4" t="s">
        <v>43</v>
      </c>
      <c r="B9316" s="4" t="s">
        <v>65</v>
      </c>
      <c r="C9316" s="20" t="s">
        <v>788</v>
      </c>
      <c r="D9316" s="20" t="s">
        <v>789</v>
      </c>
      <c r="E9316" s="20" t="s">
        <v>790</v>
      </c>
      <c r="F9316" s="20" t="s">
        <v>791</v>
      </c>
      <c r="G9316" s="20" t="s">
        <v>792</v>
      </c>
      <c r="H9316" s="20" t="s">
        <v>793</v>
      </c>
      <c r="I9316" s="20" t="s">
        <v>794</v>
      </c>
      <c r="J9316" s="20" t="s">
        <v>795</v>
      </c>
      <c r="K9316" s="20" t="s">
        <v>796</v>
      </c>
      <c r="L9316" s="4" t="s">
        <v>47</v>
      </c>
    </row>
    <row r="9317" customFormat="false" ht="15" hidden="false" customHeight="false" outlineLevel="0" collapsed="false">
      <c r="A9317" s="1" t="s">
        <v>915</v>
      </c>
      <c r="B9317" s="0" t="s">
        <v>98</v>
      </c>
      <c r="F9317" s="6" t="n">
        <f aca="false">Sens!F9298</f>
        <v>144.854836757697</v>
      </c>
      <c r="G9317" s="6" t="n">
        <f aca="false">Sens!G9298</f>
        <v>169.040833640785</v>
      </c>
      <c r="H9317" s="6" t="n">
        <f aca="false">Sens!H9298</f>
        <v>197.24975612003</v>
      </c>
      <c r="I9317" s="6" t="n">
        <f aca="false">Sens!I9298</f>
        <v>219.120087330545</v>
      </c>
      <c r="J9317" s="6" t="n">
        <f aca="false">Sens!J9298</f>
        <v>238.188678378</v>
      </c>
      <c r="K9317" s="6" t="n">
        <f aca="false">Sens!K9298</f>
        <v>255.705760654503</v>
      </c>
    </row>
    <row r="9318" customFormat="false" ht="17.15" hidden="false" customHeight="false" outlineLevel="0" collapsed="false">
      <c r="A9318" s="1" t="s">
        <v>937</v>
      </c>
      <c r="B9318" s="0" t="s">
        <v>98</v>
      </c>
      <c r="E9318" s="6" t="n">
        <f aca="false">Q!M38-Sens!E9236</f>
        <v>22.2285940229167</v>
      </c>
      <c r="F9318" s="6" t="n">
        <f aca="false">Sens!E9318*(1-1/life_nonai)+Sens!F9324/life_nonai</f>
        <v>23.5796627435813</v>
      </c>
      <c r="G9318" s="6" t="n">
        <f aca="false">Sens!F9318*(1-1/life_nonai)+Sens!G9324/life_nonai</f>
        <v>25.3853008347557</v>
      </c>
      <c r="H9318" s="6" t="n">
        <f aca="false">Sens!G9318*(1-1/life_nonai)+Sens!H9324/life_nonai</f>
        <v>27.61025814329</v>
      </c>
      <c r="I9318" s="6" t="n">
        <f aca="false">Sens!H9318*(1-1/life_nonai)+Sens!I9324/life_nonai</f>
        <v>30.1800295814336</v>
      </c>
      <c r="J9318" s="6" t="n">
        <f aca="false">Sens!I9318*(1-1/life_nonai)+Sens!J9324/life_nonai</f>
        <v>33.0047176415467</v>
      </c>
      <c r="K9318" s="6" t="n">
        <f aca="false">Sens!J9318*(1-1/life_nonai)+Sens!K9324/life_nonai</f>
        <v>36.0023095349632</v>
      </c>
      <c r="L9318" s="11" t="s">
        <v>938</v>
      </c>
    </row>
    <row r="9319" customFormat="false" ht="17.15" hidden="false" customHeight="false" outlineLevel="0" collapsed="false">
      <c r="A9319" s="1" t="s">
        <v>939</v>
      </c>
      <c r="B9319" s="0" t="s">
        <v>98</v>
      </c>
      <c r="E9319" s="6" t="n">
        <f aca="false">Sens!E9236+Sens!E9318</f>
        <v>38.534</v>
      </c>
      <c r="F9319" s="6" t="n">
        <f aca="false">Sens!F9236+Sens!F9318</f>
        <v>58.3068703661177</v>
      </c>
      <c r="G9319" s="6" t="n">
        <f aca="false">Sens!G9236+Sens!G9318</f>
        <v>85.8653784284286</v>
      </c>
      <c r="H9319" s="6" t="n">
        <f aca="false">Sens!H9236+Sens!H9318</f>
        <v>115.325918469763</v>
      </c>
      <c r="I9319" s="6" t="n">
        <f aca="false">Sens!I9236+Sens!I9318</f>
        <v>142.140413896988</v>
      </c>
      <c r="J9319" s="6" t="n">
        <f aca="false">Sens!J9236+Sens!J9318</f>
        <v>162.161772897546</v>
      </c>
      <c r="K9319" s="6" t="n">
        <f aca="false">Sens!K9236+Sens!K9318</f>
        <v>175.62330067277</v>
      </c>
    </row>
    <row r="9320" customFormat="false" ht="17.15" hidden="false" customHeight="false" outlineLevel="0" collapsed="false">
      <c r="A9320" s="1" t="s">
        <v>940</v>
      </c>
      <c r="B9320" s="0" t="s">
        <v>98</v>
      </c>
      <c r="F9320" s="6" t="n">
        <f aca="false">Sens!F9263*sbc_r</f>
        <v>15.1287211080299</v>
      </c>
      <c r="G9320" s="6" t="n">
        <f aca="false">Sens!G9263*sbc_r</f>
        <v>18.3933691082386</v>
      </c>
      <c r="H9320" s="6" t="n">
        <f aca="false">Sens!H9263*sbc_r</f>
        <v>21.9114321670259</v>
      </c>
      <c r="I9320" s="6" t="n">
        <f aca="false">Sens!I9263*sbc_r</f>
        <v>24.9330347606214</v>
      </c>
      <c r="J9320" s="6" t="n">
        <f aca="false">Sens!J9263*sbc_r</f>
        <v>27.3881894479306</v>
      </c>
      <c r="K9320" s="6" t="n">
        <f aca="false">Sens!K9263*sbc_r</f>
        <v>29.3665545962994</v>
      </c>
    </row>
    <row r="9321" customFormat="false" ht="17.15" hidden="false" customHeight="false" outlineLevel="0" collapsed="false">
      <c r="A9321" s="1" t="s">
        <v>941</v>
      </c>
      <c r="B9321" s="0" t="s">
        <v>98</v>
      </c>
      <c r="F9321" s="6" t="n">
        <f aca="false">wc27</f>
        <v>-4.895</v>
      </c>
      <c r="G9321" s="6" t="n">
        <f aca="false">wc_f</f>
        <v>0</v>
      </c>
      <c r="H9321" s="6" t="n">
        <f aca="false">wc_f</f>
        <v>0</v>
      </c>
      <c r="I9321" s="6" t="n">
        <f aca="false">wc_f</f>
        <v>0</v>
      </c>
      <c r="J9321" s="6" t="n">
        <f aca="false">wc_f</f>
        <v>0</v>
      </c>
      <c r="K9321" s="6" t="n">
        <f aca="false">wc_f</f>
        <v>0</v>
      </c>
      <c r="L9321" s="11" t="s">
        <v>942</v>
      </c>
    </row>
    <row r="9322" customFormat="false" ht="15" hidden="false" customHeight="false" outlineLevel="0" collapsed="false">
      <c r="A9322" s="1" t="s">
        <v>756</v>
      </c>
      <c r="B9322" s="0" t="s">
        <v>98</v>
      </c>
      <c r="E9322" s="6" t="n">
        <f aca="false">Q!M35</f>
        <v>182.935</v>
      </c>
      <c r="F9322" s="6" t="n">
        <f aca="false">Sens!F9317+Sens!F9319+Sens!F9320+Sens!F9321</f>
        <v>213.395428231845</v>
      </c>
      <c r="G9322" s="6" t="n">
        <f aca="false">Sens!G9317+Sens!G9319+Sens!G9320+Sens!G9321</f>
        <v>273.299581177452</v>
      </c>
      <c r="H9322" s="6" t="n">
        <f aca="false">Sens!H9317+Sens!H9319+Sens!H9320+Sens!H9321</f>
        <v>334.487106756819</v>
      </c>
      <c r="I9322" s="6" t="n">
        <f aca="false">Sens!I9317+Sens!I9319+Sens!I9320+Sens!I9321</f>
        <v>386.193535988154</v>
      </c>
      <c r="J9322" s="6" t="n">
        <f aca="false">Sens!J9317+Sens!J9319+Sens!J9320+Sens!J9321</f>
        <v>427.738640723477</v>
      </c>
      <c r="K9322" s="6" t="n">
        <f aca="false">Sens!K9317+Sens!K9319+Sens!K9320+Sens!K9321</f>
        <v>460.695615923572</v>
      </c>
    </row>
    <row r="9323" customFormat="false" ht="17.15" hidden="false" customHeight="false" outlineLevel="0" collapsed="false">
      <c r="A9323" s="0" t="s">
        <v>943</v>
      </c>
      <c r="B9323" s="0" t="s">
        <v>98</v>
      </c>
      <c r="F9323" s="6" t="n">
        <f aca="false">Sens!F9233</f>
        <v>168.460718770438</v>
      </c>
      <c r="G9323" s="6" t="n">
        <f aca="false">Sens!G9233</f>
        <v>183.5741804832</v>
      </c>
      <c r="H9323" s="6" t="n">
        <f aca="false">Sens!H9233</f>
        <v>188.0802859104</v>
      </c>
      <c r="I9323" s="6" t="n">
        <f aca="false">Sens!I9233</f>
        <v>163.706669154245</v>
      </c>
      <c r="J9323" s="6" t="n">
        <f aca="false">Sens!J9233</f>
        <v>124.51247671809</v>
      </c>
      <c r="K9323" s="6" t="n">
        <f aca="false">Sens!K9233</f>
        <v>114.959435641936</v>
      </c>
    </row>
    <row r="9324" customFormat="false" ht="17.15" hidden="false" customHeight="false" outlineLevel="0" collapsed="false">
      <c r="A9324" s="1" t="s">
        <v>944</v>
      </c>
      <c r="B9324" s="0" t="s">
        <v>98</v>
      </c>
      <c r="E9324" s="6" t="n">
        <f aca="false">Sens!E9241*cx_azo+Sens!E9248*cx_m365+Sens!E9249*cx_lic+(Sens!E9251+Sens!E9253)*cx_ind+Sens!E9256*cx_srch+(Sens!E9258+Sens!E9260)*cx_dev</f>
        <v>30.1846587067718</v>
      </c>
      <c r="F9324" s="6" t="n">
        <f aca="false">Sens!F9241*cx_azo+Sens!F9248*cx_m365+Sens!F9249*cx_lic+(Sens!F9251+Sens!F9253)*cx_ind+Sens!F9256*cx_srch+(Sens!F9258+Sens!F9260)*cx_dev</f>
        <v>35.7392812295625</v>
      </c>
      <c r="G9324" s="6" t="n">
        <f aca="false">Sens!G9241*cx_azo+Sens!G9248*cx_m365+Sens!G9249*cx_lic+(Sens!G9251+Sens!G9253)*cx_ind+Sens!G9256*cx_srch+(Sens!G9258+Sens!G9260)*cx_dev</f>
        <v>41.6360436553257</v>
      </c>
      <c r="H9324" s="6" t="n">
        <f aca="false">Sens!H9241*cx_azo+Sens!H9248*cx_m365+Sens!H9249*cx_lic+(Sens!H9251+Sens!H9253)*cx_ind+Sens!H9256*cx_srch+(Sens!H9258+Sens!H9260)*cx_dev</f>
        <v>47.6348739200982</v>
      </c>
      <c r="I9324" s="6" t="n">
        <f aca="false">Sens!I9241*cx_azo+Sens!I9248*cx_m365+Sens!I9249*cx_lic+(Sens!I9251+Sens!I9253)*cx_ind+Sens!I9256*cx_srch+(Sens!I9258+Sens!I9260)*cx_dev</f>
        <v>53.3079725247266</v>
      </c>
      <c r="J9324" s="6" t="n">
        <f aca="false">Sens!J9241*cx_azo+Sens!J9248*cx_m365+Sens!J9249*cx_lic+(Sens!J9251+Sens!J9253)*cx_ind+Sens!J9256*cx_srch+(Sens!J9258+Sens!J9260)*cx_dev</f>
        <v>58.4269101825644</v>
      </c>
      <c r="K9324" s="6" t="n">
        <f aca="false">Sens!K9241*cx_azo+Sens!K9248*cx_m365+Sens!K9249*cx_lic+(Sens!K9251+Sens!K9253)*cx_ind+Sens!K9256*cx_srch+(Sens!K9258+Sens!K9260)*cx_dev</f>
        <v>62.9806365757122</v>
      </c>
    </row>
    <row r="9325" customFormat="false" ht="17.15" hidden="false" customHeight="false" outlineLevel="0" collapsed="false">
      <c r="A9325" s="1" t="s">
        <v>945</v>
      </c>
      <c r="B9325" s="0" t="s">
        <v>98</v>
      </c>
      <c r="E9325" s="6" t="n">
        <f aca="false">Q!M42</f>
        <v>145.3</v>
      </c>
      <c r="F9325" s="6" t="n">
        <f aca="false">Sens!F9323+Sens!F9324</f>
        <v>204.2</v>
      </c>
      <c r="G9325" s="6" t="n">
        <f aca="false">Sens!G9323+Sens!G9324</f>
        <v>225.210224138526</v>
      </c>
      <c r="H9325" s="6" t="n">
        <f aca="false">Sens!H9323+Sens!H9324</f>
        <v>235.715159830498</v>
      </c>
      <c r="I9325" s="6" t="n">
        <f aca="false">Sens!I9323+Sens!I9324</f>
        <v>217.014641678972</v>
      </c>
      <c r="J9325" s="6" t="n">
        <f aca="false">Sens!J9323+Sens!J9324</f>
        <v>182.939386900655</v>
      </c>
      <c r="K9325" s="6" t="n">
        <f aca="false">Sens!K9323+Sens!K9324</f>
        <v>177.940072217648</v>
      </c>
      <c r="L9325" s="1" t="s">
        <v>946</v>
      </c>
    </row>
    <row r="9326" customFormat="false" ht="15" hidden="false" customHeight="false" outlineLevel="0" collapsed="false">
      <c r="A9326" s="1" t="s">
        <v>947</v>
      </c>
      <c r="B9326" s="0" t="s">
        <v>98</v>
      </c>
      <c r="E9326" s="6" t="n">
        <f aca="false">fl_liab</f>
        <v>66.594</v>
      </c>
      <c r="F9326" s="6" t="n">
        <f aca="false">Sens!E9326-Sens!F9327</f>
        <v>62.46973</v>
      </c>
      <c r="G9326" s="6" t="n">
        <f aca="false">Sens!F9326-Sens!G9327</f>
        <v>57.98686785</v>
      </c>
      <c r="H9326" s="6" t="n">
        <f aca="false">Sens!G9326-Sens!H9327</f>
        <v>53.92827690325</v>
      </c>
      <c r="I9326" s="6" t="n">
        <f aca="false">Sens!H9326-Sens!I9327</f>
        <v>49.7850493638962</v>
      </c>
      <c r="J9326" s="6" t="n">
        <f aca="false">Sens!I9326-Sens!J9327</f>
        <v>45.4823765852716</v>
      </c>
      <c r="K9326" s="6" t="n">
        <f aca="false">Sens!J9326-Sens!K9327</f>
        <v>40.9860835316088</v>
      </c>
    </row>
    <row r="9327" customFormat="false" ht="15" hidden="false" customHeight="false" outlineLevel="0" collapsed="false">
      <c r="A9327" s="1" t="s">
        <v>948</v>
      </c>
      <c r="B9327" s="0" t="s">
        <v>98</v>
      </c>
      <c r="F9327" s="6" t="n">
        <f aca="false">fl_pay_27-Sens!E9326*fl_rate</f>
        <v>4.12427</v>
      </c>
      <c r="G9327" s="6" t="n">
        <f aca="false">fl_pay_28-Sens!F9326*fl_rate</f>
        <v>4.48286215</v>
      </c>
      <c r="H9327" s="6" t="n">
        <f aca="false">fl_pay_29-Sens!G9326*fl_rate</f>
        <v>4.05859094675</v>
      </c>
      <c r="I9327" s="6" t="n">
        <f aca="false">fl_pay_30-Sens!H9326*fl_rate</f>
        <v>4.14322753935375</v>
      </c>
      <c r="J9327" s="6" t="n">
        <f aca="false">fl_pay_31-Sens!I9326*fl_rate</f>
        <v>4.30267277862467</v>
      </c>
      <c r="K9327" s="6" t="n">
        <f aca="false">fl_pay_32-Sens!J9326*fl_rate</f>
        <v>4.49629305366278</v>
      </c>
    </row>
    <row r="9328" customFormat="false" ht="17.15" hidden="false" customHeight="false" outlineLevel="0" collapsed="false">
      <c r="A9328" s="1" t="s">
        <v>949</v>
      </c>
      <c r="B9328" s="0" t="s">
        <v>98</v>
      </c>
      <c r="E9328" s="6" t="n">
        <f aca="false">Q!M35-Q!M36-Q!M43</f>
        <v>63.886</v>
      </c>
      <c r="F9328" s="6" t="n">
        <f aca="false">Sens!F9322-Sens!F9325-Sens!F9327</f>
        <v>5.07115823184503</v>
      </c>
      <c r="G9328" s="6" t="n">
        <f aca="false">Sens!G9322-Sens!G9325-Sens!G9327</f>
        <v>43.606494888926</v>
      </c>
      <c r="H9328" s="6" t="n">
        <f aca="false">Sens!H9322-Sens!H9325-Sens!H9327</f>
        <v>94.713355979571</v>
      </c>
      <c r="I9328" s="6" t="n">
        <f aca="false">Sens!I9322-Sens!I9325-Sens!I9327</f>
        <v>165.035666769829</v>
      </c>
      <c r="J9328" s="6" t="n">
        <f aca="false">Sens!J9322-Sens!J9325-Sens!J9327</f>
        <v>240.496581044197</v>
      </c>
      <c r="K9328" s="6" t="n">
        <f aca="false">Sens!K9322-Sens!K9325-Sens!K9327</f>
        <v>278.259250652261</v>
      </c>
      <c r="L9328" s="11" t="s">
        <v>950</v>
      </c>
    </row>
    <row r="9329" customFormat="false" ht="15" hidden="false" customHeight="false" outlineLevel="0" collapsed="false">
      <c r="A9329" s="1" t="s">
        <v>951</v>
      </c>
      <c r="B9329" s="0" t="s">
        <v>75</v>
      </c>
      <c r="F9329" s="8" t="n">
        <f aca="false">dps_27</f>
        <v>3.85</v>
      </c>
      <c r="G9329" s="8" t="n">
        <f aca="false">Sens!F9329*(1+dps_g)</f>
        <v>4.158</v>
      </c>
      <c r="H9329" s="8" t="n">
        <f aca="false">Sens!G9329*(1+dps_g)</f>
        <v>4.49064</v>
      </c>
      <c r="I9329" s="8" t="n">
        <f aca="false">Sens!H9329*(1+dps_g)</f>
        <v>4.8498912</v>
      </c>
      <c r="J9329" s="8" t="n">
        <f aca="false">Sens!I9329*(1+dps_g)</f>
        <v>5.237882496</v>
      </c>
      <c r="K9329" s="8" t="n">
        <f aca="false">Sens!J9329*(1+dps_g)</f>
        <v>5.65691309568</v>
      </c>
    </row>
    <row r="9330" customFormat="false" ht="17.15" hidden="false" customHeight="false" outlineLevel="0" collapsed="false">
      <c r="A9330" s="1" t="s">
        <v>952</v>
      </c>
      <c r="B9330" s="0" t="s">
        <v>98</v>
      </c>
      <c r="E9330" s="6" t="n">
        <f aca="false">Q!M41</f>
        <v>26.445</v>
      </c>
      <c r="F9330" s="6" t="n">
        <f aca="false">Sens!F9329*Sens!E9339</f>
        <v>28.59395</v>
      </c>
      <c r="G9330" s="6" t="n">
        <f aca="false">Sens!G9329*Sens!F9339</f>
        <v>31.068576</v>
      </c>
      <c r="H9330" s="6" t="n">
        <f aca="false">Sens!H9329*Sens!G9339</f>
        <v>33.6619525924296</v>
      </c>
      <c r="I9330" s="6" t="n">
        <f aca="false">Sens!I9329*Sens!H9339</f>
        <v>36.4058480398234</v>
      </c>
      <c r="J9330" s="6" t="n">
        <f aca="false">Sens!J9329*Sens!I9339</f>
        <v>39.3867147313287</v>
      </c>
      <c r="K9330" s="6" t="n">
        <f aca="false">Sens!K9329*Sens!J9339</f>
        <v>42.6249071351401</v>
      </c>
      <c r="L9330" s="1" t="s">
        <v>953</v>
      </c>
    </row>
    <row r="9331" customFormat="false" ht="15" hidden="false" customHeight="false" outlineLevel="0" collapsed="false">
      <c r="A9331" s="1" t="s">
        <v>954</v>
      </c>
      <c r="B9331" s="0" t="s">
        <v>98</v>
      </c>
      <c r="E9331" s="6" t="n">
        <f aca="false">Sens!E9328-Sens!E9330</f>
        <v>37.441</v>
      </c>
      <c r="F9331" s="6" t="n">
        <f aca="false">Sens!F9328-Sens!F9330</f>
        <v>-23.522791768155</v>
      </c>
      <c r="G9331" s="6" t="n">
        <f aca="false">Sens!G9328-Sens!G9330</f>
        <v>12.537918888926</v>
      </c>
      <c r="H9331" s="6" t="n">
        <f aca="false">Sens!H9328-Sens!H9330</f>
        <v>61.0514033871414</v>
      </c>
      <c r="I9331" s="6" t="n">
        <f aca="false">Sens!I9328-Sens!I9330</f>
        <v>128.629818730005</v>
      </c>
      <c r="J9331" s="6" t="n">
        <f aca="false">Sens!J9328-Sens!J9330</f>
        <v>201.109866312868</v>
      </c>
      <c r="K9331" s="6" t="n">
        <f aca="false">Sens!K9328-Sens!K9330</f>
        <v>235.634343517121</v>
      </c>
    </row>
    <row r="9332" customFormat="false" ht="15" hidden="false" customHeight="false" outlineLevel="0" collapsed="false">
      <c r="A9332" s="1" t="s">
        <v>955</v>
      </c>
      <c r="B9332" s="0" t="s">
        <v>98</v>
      </c>
      <c r="F9332" s="6" t="n">
        <f aca="false">debt_mat_27</f>
        <v>9.25</v>
      </c>
      <c r="G9332" s="6" t="n">
        <f aca="false">debt_mat_28</f>
        <v>0</v>
      </c>
      <c r="H9332" s="6" t="n">
        <f aca="false">debt_mat_29</f>
        <v>2.001</v>
      </c>
      <c r="I9332" s="6" t="n">
        <f aca="false">debt_mat_30</f>
        <v>0</v>
      </c>
      <c r="J9332" s="6" t="n">
        <f aca="false">debt_mat_31</f>
        <v>0.5</v>
      </c>
      <c r="K9332" s="6" t="n">
        <f aca="false">debt_mat_32</f>
        <v>0</v>
      </c>
    </row>
    <row r="9333" customFormat="false" ht="15" hidden="false" customHeight="false" outlineLevel="0" collapsed="false">
      <c r="A9333" s="1" t="s">
        <v>956</v>
      </c>
      <c r="B9333" s="0" t="s">
        <v>98</v>
      </c>
      <c r="E9333" s="6" t="n">
        <f aca="false">Q!M40</f>
        <v>22.271</v>
      </c>
      <c r="F9333" s="6" t="n">
        <f aca="false">MAX(0,MIN(bb_target,Sens!E9335+Sens!F9331-Sens!F9332-min_cash))</f>
        <v>0</v>
      </c>
      <c r="G9333" s="6" t="n">
        <f aca="false">MAX(0,MIN(bb_target,Sens!F9335+Sens!G9331-Sens!G9332-min_cash))</f>
        <v>12.537918888926</v>
      </c>
      <c r="H9333" s="6" t="n">
        <f aca="false">MAX(0,MIN(bb_target,Sens!G9335+Sens!H9331-Sens!H9332-min_cash))</f>
        <v>22.271</v>
      </c>
      <c r="I9333" s="6" t="n">
        <f aca="false">MAX(0,MIN(bb_target,Sens!H9335+Sens!I9331-Sens!I9332-min_cash))</f>
        <v>22.271</v>
      </c>
      <c r="J9333" s="6" t="n">
        <f aca="false">MAX(0,MIN(bb_target,Sens!I9335+Sens!J9331-Sens!J9332-min_cash))</f>
        <v>22.271</v>
      </c>
      <c r="K9333" s="6" t="n">
        <f aca="false">MAX(0,MIN(bb_target,Sens!J9335+Sens!K9331-Sens!K9332-min_cash))</f>
        <v>22.271</v>
      </c>
    </row>
    <row r="9334" customFormat="false" ht="15" hidden="false" customHeight="false" outlineLevel="0" collapsed="false">
      <c r="A9334" s="1" t="s">
        <v>957</v>
      </c>
      <c r="B9334" s="0" t="s">
        <v>98</v>
      </c>
      <c r="F9334" s="6" t="n">
        <f aca="false">MAX(0,min_cash-(Sens!E9335+Sens!F9331-Sens!F9332-Sens!F9333))</f>
        <v>5.92979176815497</v>
      </c>
      <c r="G9334" s="6" t="n">
        <f aca="false">MAX(0,min_cash-(Sens!F9335+Sens!G9331-Sens!G9332-Sens!G9333))</f>
        <v>0</v>
      </c>
      <c r="H9334" s="6" t="n">
        <f aca="false">MAX(0,min_cash-(Sens!G9335+Sens!H9331-Sens!H9332-Sens!H9333))</f>
        <v>0</v>
      </c>
      <c r="I9334" s="6" t="n">
        <f aca="false">MAX(0,min_cash-(Sens!H9335+Sens!I9331-Sens!I9332-Sens!I9333))</f>
        <v>0</v>
      </c>
      <c r="J9334" s="6" t="n">
        <f aca="false">MAX(0,min_cash-(Sens!I9335+Sens!J9331-Sens!J9332-Sens!J9333))</f>
        <v>0</v>
      </c>
      <c r="K9334" s="6" t="n">
        <f aca="false">MAX(0,min_cash-(Sens!J9335+Sens!K9331-Sens!K9332-Sens!K9333))</f>
        <v>0</v>
      </c>
    </row>
    <row r="9335" customFormat="false" ht="15" hidden="false" customHeight="false" outlineLevel="0" collapsed="false">
      <c r="A9335" s="1" t="s">
        <v>958</v>
      </c>
      <c r="B9335" s="0" t="s">
        <v>98</v>
      </c>
      <c r="E9335" s="6" t="n">
        <f aca="false">cash_open</f>
        <v>76.843</v>
      </c>
      <c r="F9335" s="6" t="n">
        <f aca="false">Sens!E9335+Sens!F9331-Sens!F9332-Sens!F9333+Sens!F9334</f>
        <v>50</v>
      </c>
      <c r="G9335" s="6" t="n">
        <f aca="false">Sens!F9335+Sens!G9331-Sens!G9332-Sens!G9333+Sens!G9334</f>
        <v>50</v>
      </c>
      <c r="H9335" s="6" t="n">
        <f aca="false">Sens!G9335+Sens!H9331-Sens!H9332-Sens!H9333+Sens!H9334</f>
        <v>86.7794033871414</v>
      </c>
      <c r="I9335" s="6" t="n">
        <f aca="false">Sens!H9335+Sens!I9331-Sens!I9332-Sens!I9333+Sens!I9334</f>
        <v>193.138222117146</v>
      </c>
      <c r="J9335" s="6" t="n">
        <f aca="false">Sens!I9335+Sens!J9331-Sens!J9332-Sens!J9333+Sens!J9334</f>
        <v>371.477088430015</v>
      </c>
      <c r="K9335" s="6" t="n">
        <f aca="false">Sens!J9335+Sens!K9331-Sens!K9332-Sens!K9333+Sens!K9334</f>
        <v>584.840431947136</v>
      </c>
    </row>
    <row r="9336" customFormat="false" ht="15" hidden="false" customHeight="false" outlineLevel="0" collapsed="false">
      <c r="A9336" s="1" t="s">
        <v>959</v>
      </c>
      <c r="B9336" s="0" t="s">
        <v>98</v>
      </c>
      <c r="E9336" s="6" t="n">
        <f aca="false">debt_face</f>
        <v>46.136</v>
      </c>
      <c r="F9336" s="6" t="n">
        <f aca="false">Sens!E9336-Sens!F9332+Sens!F9334</f>
        <v>42.815791768155</v>
      </c>
      <c r="G9336" s="6" t="n">
        <f aca="false">Sens!F9336-Sens!G9332+Sens!G9334</f>
        <v>42.815791768155</v>
      </c>
      <c r="H9336" s="6" t="n">
        <f aca="false">Sens!G9336-Sens!H9332+Sens!H9334</f>
        <v>40.814791768155</v>
      </c>
      <c r="I9336" s="6" t="n">
        <f aca="false">Sens!H9336-Sens!I9332+Sens!I9334</f>
        <v>40.814791768155</v>
      </c>
      <c r="J9336" s="6" t="n">
        <f aca="false">Sens!I9336-Sens!J9332+Sens!J9334</f>
        <v>40.314791768155</v>
      </c>
      <c r="K9336" s="6" t="n">
        <f aca="false">Sens!J9336-Sens!K9332+Sens!K9334</f>
        <v>40.314791768155</v>
      </c>
    </row>
    <row r="9337" customFormat="false" ht="15" hidden="false" customHeight="false" outlineLevel="0" collapsed="false">
      <c r="A9337" s="1" t="s">
        <v>960</v>
      </c>
      <c r="B9337" s="0" t="s">
        <v>98</v>
      </c>
      <c r="E9337" s="6" t="n">
        <f aca="false">Sens!E9335-Sens!E9336</f>
        <v>30.707</v>
      </c>
      <c r="F9337" s="6" t="n">
        <f aca="false">Sens!F9335-Sens!F9336</f>
        <v>7.18420823184503</v>
      </c>
      <c r="G9337" s="6" t="n">
        <f aca="false">Sens!G9335-Sens!G9336</f>
        <v>7.18420823184503</v>
      </c>
      <c r="H9337" s="6" t="n">
        <f aca="false">Sens!H9335-Sens!H9336</f>
        <v>45.9646116189864</v>
      </c>
      <c r="I9337" s="6" t="n">
        <f aca="false">Sens!I9335-Sens!I9336</f>
        <v>152.323430348992</v>
      </c>
      <c r="J9337" s="6" t="n">
        <f aca="false">Sens!J9335-Sens!J9336</f>
        <v>331.16229666186</v>
      </c>
      <c r="K9337" s="6" t="n">
        <f aca="false">Sens!K9335-Sens!K9336</f>
        <v>544.525640178981</v>
      </c>
    </row>
    <row r="9338" customFormat="false" ht="15" hidden="false" customHeight="false" outlineLevel="0" collapsed="false">
      <c r="A9338" s="1" t="s">
        <v>961</v>
      </c>
      <c r="B9338" s="0" t="s">
        <v>75</v>
      </c>
      <c r="F9338" s="29" t="n">
        <f aca="false">px*(1+bb_g)^(Sens!F9202-base_fy-mid_yr)</f>
        <v>553.494156066711</v>
      </c>
      <c r="G9338" s="29" t="n">
        <f aca="false">px*(1+bb_g)^(Sens!G9202-base_fy-mid_yr)</f>
        <v>597.773688552047</v>
      </c>
      <c r="H9338" s="29" t="n">
        <f aca="false">px*(1+bb_g)^(Sens!H9202-base_fy-mid_yr)</f>
        <v>645.595583636211</v>
      </c>
      <c r="I9338" s="29" t="n">
        <f aca="false">px*(1+bb_g)^(Sens!I9202-base_fy-mid_yr)</f>
        <v>697.243230327108</v>
      </c>
      <c r="J9338" s="29" t="n">
        <f aca="false">px*(1+bb_g)^(Sens!J9202-base_fy-mid_yr)</f>
        <v>753.022688753277</v>
      </c>
      <c r="K9338" s="29" t="n">
        <f aca="false">px*(1+bb_g)^(Sens!K9202-base_fy-mid_yr)</f>
        <v>813.264503853539</v>
      </c>
    </row>
    <row r="9339" customFormat="false" ht="15" hidden="false" customHeight="false" outlineLevel="0" collapsed="false">
      <c r="A9339" s="1" t="s">
        <v>962</v>
      </c>
      <c r="B9339" s="1" t="s">
        <v>81</v>
      </c>
      <c r="E9339" s="14" t="n">
        <f aca="false">sh_out26</f>
        <v>7.427</v>
      </c>
      <c r="F9339" s="14" t="n">
        <f aca="false">Sens!E9339+sh_iss-Sens!F9333/Sens!F9338</f>
        <v>7.472</v>
      </c>
      <c r="G9339" s="14" t="n">
        <f aca="false">Sens!F9339+sh_iss-Sens!G9333/Sens!G9338</f>
        <v>7.49602564276575</v>
      </c>
      <c r="H9339" s="14" t="n">
        <f aca="false">Sens!G9339+sh_iss-Sens!H9333/Sens!H9338</f>
        <v>7.50652881446565</v>
      </c>
      <c r="I9339" s="14" t="n">
        <f aca="false">Sens!H9339+sh_iss-Sens!I9333/Sens!I9338</f>
        <v>7.51958730678038</v>
      </c>
      <c r="J9339" s="14" t="n">
        <f aca="false">Sens!I9339+sh_iss-Sens!J9333/Sens!J9338</f>
        <v>7.53501183670142</v>
      </c>
      <c r="K9339" s="14" t="n">
        <f aca="false">Sens!J9339+sh_iss-Sens!K9333/Sens!K9338</f>
        <v>7.55262714218386</v>
      </c>
    </row>
    <row r="9340" customFormat="false" ht="15" hidden="false" customHeight="false" outlineLevel="0" collapsed="false">
      <c r="A9340" s="1" t="s">
        <v>963</v>
      </c>
      <c r="B9340" s="1" t="s">
        <v>81</v>
      </c>
      <c r="E9340" s="14" t="n">
        <f aca="false">sh_dil26</f>
        <v>7.453</v>
      </c>
      <c r="F9340" s="14" t="n">
        <f aca="false">(Sens!E9339+Sens!F9339)/2+dil_gap</f>
        <v>7.4735</v>
      </c>
      <c r="G9340" s="14" t="n">
        <f aca="false">(Sens!F9339+Sens!G9339)/2+dil_gap</f>
        <v>7.50801282138287</v>
      </c>
      <c r="H9340" s="14" t="n">
        <f aca="false">(Sens!G9339+Sens!H9339)/2+dil_gap</f>
        <v>7.5252772286157</v>
      </c>
      <c r="I9340" s="14" t="n">
        <f aca="false">(Sens!H9339+Sens!I9339)/2+dil_gap</f>
        <v>7.53705806062301</v>
      </c>
      <c r="J9340" s="14" t="n">
        <f aca="false">(Sens!I9339+Sens!J9339)/2+dil_gap</f>
        <v>7.5512995717409</v>
      </c>
      <c r="K9340" s="14" t="n">
        <f aca="false">(Sens!J9339+Sens!K9339)/2+dil_gap</f>
        <v>7.56781948944264</v>
      </c>
    </row>
    <row r="9341" customFormat="false" ht="17.15" hidden="false" customHeight="false" outlineLevel="0" collapsed="false">
      <c r="A9341" s="1" t="s">
        <v>964</v>
      </c>
      <c r="B9341" s="0" t="s">
        <v>98</v>
      </c>
      <c r="C9341" s="6" t="n">
        <f aca="false">SUM(Sens!F9331:J9331)</f>
        <v>379.806215550786</v>
      </c>
    </row>
    <row r="9342" customFormat="false" ht="15" hidden="false" customHeight="false" outlineLevel="0" collapsed="false">
      <c r="A9342" s="23" t="s">
        <v>935</v>
      </c>
      <c r="B9342" s="30" t="s">
        <v>98</v>
      </c>
      <c r="C9342" s="24" t="n">
        <f aca="false">Sens!$C$9341-(Sens!F9331+Sens!G9331+Sens!H9331+Sens!I9331+Sens!J9331)</f>
        <v>0</v>
      </c>
      <c r="D9342" s="30"/>
      <c r="E9342" s="30"/>
      <c r="F9342" s="30"/>
      <c r="G9342" s="30"/>
      <c r="H9342" s="30"/>
      <c r="I9342" s="30"/>
      <c r="J9342" s="30"/>
      <c r="K9342" s="30"/>
    </row>
    <row r="9343" customFormat="false" ht="17.15" hidden="false" customHeight="false" outlineLevel="0" collapsed="false">
      <c r="A9343" s="1" t="s">
        <v>929</v>
      </c>
      <c r="B9343" s="1" t="s">
        <v>965</v>
      </c>
      <c r="C9343" s="32" t="str">
        <f aca="false">IF(SUM(Sens!F9334:J9334)&gt;0.05,"需要舉債 "&amp;TEXT(SUM(Sens!F9334:J9334),"0.0")&amp;" 十億美元","不需舉債")&amp;"；"&amp;IF(SUM(Sens!F9333:J9333)&lt;COUNT(Sens!F9333:J9333)*bb_target-0.05,"回購較每年 "&amp;TEXT(bb_target,"0.0")&amp;" 的目標少 "&amp;TEXT(COUNT(Sens!F9333:J9333)*bb_target-SUM(Sens!F9333:J9333),"0.0")&amp;" 十億美元（"&amp;TEXT(COUNTIF(Sens!F9333:J9333,"&lt;"&amp;(bb_target-0.05)),"0")&amp;" 年減少）","回購不減")</f>
        <v>需要舉債 5.9 十億美元；回購較每年 22.3 的目標少 32.0 十億美元（2 年減少）</v>
      </c>
    </row>
    <row r="9344" customFormat="false" ht="17.15" hidden="false" customHeight="false" outlineLevel="0" collapsed="false">
      <c r="A9344" s="3" t="s">
        <v>1478</v>
      </c>
    </row>
    <row r="9345" customFormat="false" ht="15" hidden="false" customHeight="false" outlineLevel="0" collapsed="false">
      <c r="A9345" s="4" t="s">
        <v>43</v>
      </c>
      <c r="B9345" s="4" t="s">
        <v>65</v>
      </c>
      <c r="C9345" s="20" t="s">
        <v>788</v>
      </c>
      <c r="D9345" s="20" t="s">
        <v>789</v>
      </c>
      <c r="E9345" s="20" t="s">
        <v>790</v>
      </c>
      <c r="F9345" s="20" t="s">
        <v>791</v>
      </c>
      <c r="G9345" s="20" t="s">
        <v>792</v>
      </c>
      <c r="H9345" s="20" t="s">
        <v>793</v>
      </c>
      <c r="I9345" s="20" t="s">
        <v>794</v>
      </c>
      <c r="J9345" s="20" t="s">
        <v>795</v>
      </c>
      <c r="K9345" s="20" t="s">
        <v>796</v>
      </c>
      <c r="L9345" s="4" t="s">
        <v>47</v>
      </c>
    </row>
    <row r="9346" customFormat="false" ht="15" hidden="false" customHeight="false" outlineLevel="0" collapsed="false">
      <c r="A9346" s="1" t="s">
        <v>1042</v>
      </c>
      <c r="B9346" s="1" t="s">
        <v>235</v>
      </c>
      <c r="F9346" s="36" t="n">
        <f aca="false">Sens!F9202-base_fy-mid_yr</f>
        <v>0.5</v>
      </c>
      <c r="G9346" s="36" t="n">
        <f aca="false">Sens!G9202-base_fy-mid_yr</f>
        <v>1.5</v>
      </c>
      <c r="H9346" s="36" t="n">
        <f aca="false">Sens!H9202-base_fy-mid_yr</f>
        <v>2.5</v>
      </c>
      <c r="I9346" s="36" t="n">
        <f aca="false">Sens!I9202-base_fy-mid_yr</f>
        <v>3.5</v>
      </c>
      <c r="J9346" s="36" t="n">
        <f aca="false">Sens!J9202-base_fy-mid_yr</f>
        <v>4.5</v>
      </c>
      <c r="K9346" s="36" t="n">
        <f aca="false">Sens!K9202-base_fy-mid_yr</f>
        <v>5.5</v>
      </c>
    </row>
    <row r="9347" customFormat="false" ht="15" hidden="false" customHeight="false" outlineLevel="0" collapsed="false">
      <c r="A9347" s="1" t="s">
        <v>1043</v>
      </c>
      <c r="B9347" s="0" t="s">
        <v>185</v>
      </c>
      <c r="F9347" s="14" t="n">
        <f aca="false">1/(1+wacc)^Sens!F9346</f>
        <v>0.952193373608246</v>
      </c>
      <c r="G9347" s="14" t="n">
        <f aca="false">1/(1+wacc)^Sens!G9346</f>
        <v>0.863327280626589</v>
      </c>
      <c r="H9347" s="14" t="n">
        <f aca="false">1/(1+wacc)^Sens!H9346</f>
        <v>0.782754862754115</v>
      </c>
      <c r="I9347" s="14" t="n">
        <f aca="false">1/(1+wacc)^Sens!I9346</f>
        <v>0.709702089711011</v>
      </c>
      <c r="J9347" s="14" t="n">
        <f aca="false">1/(1+wacc)^Sens!J9346</f>
        <v>0.643467169744551</v>
      </c>
      <c r="K9347" s="14" t="n">
        <f aca="false">1/(1+wacc)^Sens!K9346</f>
        <v>0.583413807767797</v>
      </c>
    </row>
    <row r="9348" customFormat="false" ht="17.15" hidden="false" customHeight="false" outlineLevel="0" collapsed="false">
      <c r="A9348" s="1" t="s">
        <v>1044</v>
      </c>
      <c r="B9348" s="0" t="s">
        <v>98</v>
      </c>
      <c r="F9348" s="6" t="n">
        <f aca="false">Sens!F9322-Sens!F9320-Sens!F9325+Sens!F9306*(1-tax_f)</f>
        <v>9.33021307560692</v>
      </c>
      <c r="G9348" s="6" t="n">
        <f aca="false">Sens!G9322-Sens!G9320-Sens!G9325+Sens!G9306*(1-tax_f)</f>
        <v>55.7493010226555</v>
      </c>
      <c r="H9348" s="6" t="n">
        <f aca="false">Sens!H9322-Sens!H9320-Sens!H9325+Sens!H9306*(1-tax_f)</f>
        <v>114.7855998658</v>
      </c>
      <c r="I9348" s="6" t="n">
        <f aca="false">Sens!I9322-Sens!I9320-Sens!I9325+Sens!I9306*(1-tax_f)</f>
        <v>193.247866806662</v>
      </c>
      <c r="J9348" s="6" t="n">
        <f aca="false">Sens!J9322-Sens!J9320-Sens!J9325+Sens!J9306*(1-tax_f)</f>
        <v>274.218755435353</v>
      </c>
      <c r="K9348" s="6" t="n">
        <f aca="false">Sens!K9322-Sens!K9320-Sens!K9325+Sens!K9306*(1-tax_f)</f>
        <v>314.22519524277</v>
      </c>
      <c r="L9348" s="1" t="s">
        <v>1045</v>
      </c>
    </row>
    <row r="9349" customFormat="false" ht="15" hidden="false" customHeight="false" outlineLevel="0" collapsed="false">
      <c r="A9349" s="1" t="s">
        <v>1046</v>
      </c>
      <c r="B9349" s="0" t="s">
        <v>98</v>
      </c>
      <c r="F9349" s="6" t="n">
        <f aca="false">Sens!F9348*Sens!F9347</f>
        <v>8.88416706494592</v>
      </c>
      <c r="G9349" s="6" t="n">
        <f aca="false">Sens!G9348*Sens!G9347</f>
        <v>48.1298924487223</v>
      </c>
      <c r="H9349" s="6" t="n">
        <f aca="false">Sens!H9348*Sens!H9347</f>
        <v>89.8489864691028</v>
      </c>
      <c r="I9349" s="6" t="n">
        <f aca="false">Sens!I9348*Sens!I9347</f>
        <v>137.148414904883</v>
      </c>
      <c r="J9349" s="6" t="n">
        <f aca="false">Sens!J9348*Sens!J9347</f>
        <v>176.45076645086</v>
      </c>
      <c r="K9349" s="6" t="n">
        <f aca="false">Sens!K9348*Sens!K9347</f>
        <v>183.323317653164</v>
      </c>
    </row>
    <row r="9350" customFormat="false" ht="17.15" hidden="false" customHeight="false" outlineLevel="0" collapsed="false">
      <c r="A9350" s="1" t="s">
        <v>1047</v>
      </c>
      <c r="B9350" s="0" t="s">
        <v>98</v>
      </c>
      <c r="C9350" s="6" t="n">
        <f aca="false">SUM(Sens!F9349:K9349)</f>
        <v>643.785544991677</v>
      </c>
    </row>
    <row r="9351" customFormat="false" ht="17.15" hidden="false" customHeight="false" outlineLevel="0" collapsed="false">
      <c r="A9351" s="1" t="s">
        <v>1048</v>
      </c>
      <c r="B9351" s="0" t="s">
        <v>98</v>
      </c>
      <c r="C9351" s="6" t="n">
        <f aca="false">Sens!K9292*(1+g_tv)*(1-tax_f)</f>
        <v>326.367825791277</v>
      </c>
    </row>
    <row r="9352" customFormat="false" ht="17.15" hidden="false" customHeight="false" outlineLevel="0" collapsed="false">
      <c r="A9352" s="1" t="s">
        <v>1049</v>
      </c>
      <c r="B9352" s="0" t="s">
        <v>98</v>
      </c>
      <c r="C9352" s="6" t="n">
        <f aca="false">Sens!$C$9351*(1-g_tv/(wacc+ronic_prem))</f>
        <v>231.248673568881</v>
      </c>
    </row>
    <row r="9353" customFormat="false" ht="17.15" hidden="false" customHeight="false" outlineLevel="0" collapsed="false">
      <c r="A9353" s="1" t="s">
        <v>1050</v>
      </c>
      <c r="B9353" s="0" t="s">
        <v>98</v>
      </c>
      <c r="C9353" s="6" t="n">
        <f aca="false">Sens!$C$9352/(wacc-g_tv)</f>
        <v>3170.6384074132</v>
      </c>
    </row>
    <row r="9354" customFormat="false" ht="15" hidden="false" customHeight="false" outlineLevel="0" collapsed="false">
      <c r="A9354" s="1" t="s">
        <v>1051</v>
      </c>
      <c r="B9354" s="0" t="s">
        <v>98</v>
      </c>
      <c r="C9354" s="6" t="n">
        <f aca="false">Sens!$C$9353/(1+wacc)^(Sens!K9346+mid_yr)</f>
        <v>1761.36180484428</v>
      </c>
    </row>
    <row r="9355" customFormat="false" ht="17.15" hidden="false" customHeight="false" outlineLevel="0" collapsed="false">
      <c r="A9355" s="0" t="s">
        <v>972</v>
      </c>
      <c r="B9355" s="0" t="s">
        <v>98</v>
      </c>
      <c r="C9355" s="6" t="n">
        <f aca="false">Sens!$C$9350+Sens!$C$9354</f>
        <v>2405.14734983595</v>
      </c>
    </row>
    <row r="9356" customFormat="false" ht="15" hidden="false" customHeight="false" outlineLevel="0" collapsed="false">
      <c r="A9356" s="1" t="s">
        <v>973</v>
      </c>
      <c r="B9356" s="0" t="s">
        <v>129</v>
      </c>
      <c r="C9356" s="7" t="n">
        <f aca="false">Sens!$C$9354/Sens!$C$9355</f>
        <v>0.732330102338392</v>
      </c>
    </row>
    <row r="9357" customFormat="false" ht="17.15" hidden="false" customHeight="false" outlineLevel="0" collapsed="false">
      <c r="A9357" s="1" t="s">
        <v>1052</v>
      </c>
      <c r="B9357" s="0" t="s">
        <v>98</v>
      </c>
      <c r="C9357" s="6" t="n">
        <f aca="false">Sens!$C$9355+Sens!E9337-Sens!E9326+oai_v</f>
        <v>2539.66034983595</v>
      </c>
    </row>
    <row r="9358" customFormat="false" ht="17.15" hidden="false" customHeight="false" outlineLevel="0" collapsed="false">
      <c r="A9358" s="0" t="s">
        <v>980</v>
      </c>
      <c r="B9358" s="0" t="s">
        <v>75</v>
      </c>
      <c r="C9358" s="5" t="n">
        <f aca="false">Sens!$C$9357/sh_dil26</f>
        <v>340.756789190387</v>
      </c>
    </row>
    <row r="9359" customFormat="false" ht="15" hidden="false" customHeight="false" outlineLevel="0" collapsed="false">
      <c r="A9359" s="1" t="s">
        <v>1053</v>
      </c>
      <c r="B9359" s="0" t="s">
        <v>75</v>
      </c>
      <c r="C9359" s="8" t="n">
        <f aca="false">dps_27+Sens!G9329*roll_div_q/q_per_yr</f>
        <v>4.8895</v>
      </c>
    </row>
    <row r="9360" customFormat="false" ht="17.15" hidden="false" customHeight="false" outlineLevel="0" collapsed="false">
      <c r="A9360" s="0" t="s">
        <v>1054</v>
      </c>
      <c r="B9360" s="0" t="s">
        <v>75</v>
      </c>
      <c r="C9360" s="5" t="n">
        <f aca="false">Sens!$C$9358*(1+wacc)^t_roll-Sens!$C$9359</f>
        <v>383.141633558678</v>
      </c>
    </row>
    <row r="9361" customFormat="false" ht="17.15" hidden="false" customHeight="false" outlineLevel="0" collapsed="false">
      <c r="A9361" s="1" t="s">
        <v>1055</v>
      </c>
      <c r="B9361" s="0" t="s">
        <v>129</v>
      </c>
      <c r="F9361" s="7" t="n">
        <f aca="false">Sens!F9318/(Sens!F9263-Sens!F9219)</f>
        <v>0.0681557608904989</v>
      </c>
      <c r="G9361" s="7" t="n">
        <f aca="false">Sens!G9318/(Sens!G9263-Sens!G9219)</f>
        <v>0.0649803285042404</v>
      </c>
      <c r="H9361" s="7" t="n">
        <f aca="false">Sens!H9318/(Sens!H9263-Sens!H9219)</f>
        <v>0.0632748368709038</v>
      </c>
      <c r="I9361" s="7" t="n">
        <f aca="false">Sens!I9318/(Sens!I9263-Sens!I9219)</f>
        <v>0.0629274318250364</v>
      </c>
      <c r="J9361" s="7" t="n">
        <f aca="false">Sens!J9318/(Sens!J9263-Sens!J9219)</f>
        <v>0.0635835161306673</v>
      </c>
      <c r="K9361" s="7" t="n">
        <f aca="false">Sens!K9318/(Sens!K9263-Sens!K9219)</f>
        <v>0.0647899289322484</v>
      </c>
    </row>
    <row r="9362" customFormat="false" ht="17.15" hidden="false" customHeight="false" outlineLevel="0" collapsed="false">
      <c r="A9362" s="0" t="s">
        <v>1056</v>
      </c>
      <c r="B9362" s="0" t="s">
        <v>98</v>
      </c>
      <c r="F9362" s="6" t="n">
        <f aca="false">Sens!F9248*(al_m365+Sens!F9361+sbc_r)</f>
        <v>84.9414462593191</v>
      </c>
      <c r="G9362" s="6" t="n">
        <f aca="false">Sens!G9248*(al_m365+Sens!G9361+sbc_r)</f>
        <v>99.4153747016124</v>
      </c>
      <c r="H9362" s="6" t="n">
        <f aca="false">Sens!H9248*(al_m365+Sens!H9361+sbc_r)</f>
        <v>114.051165152827</v>
      </c>
      <c r="I9362" s="6" t="n">
        <f aca="false">Sens!I9248*(al_m365+Sens!I9361+sbc_r)</f>
        <v>127.16511396008</v>
      </c>
      <c r="J9362" s="6" t="n">
        <f aca="false">Sens!J9248*(al_m365+Sens!J9361+sbc_r)</f>
        <v>138.568873656601</v>
      </c>
      <c r="K9362" s="6" t="n">
        <f aca="false">Sens!K9248*(al_m365+Sens!K9361+sbc_r)</f>
        <v>149.582400908346</v>
      </c>
      <c r="L9362" s="11" t="s">
        <v>1057</v>
      </c>
    </row>
    <row r="9363" customFormat="false" ht="17.15" hidden="false" customHeight="false" outlineLevel="0" collapsed="false">
      <c r="A9363" s="0" t="s">
        <v>1058</v>
      </c>
      <c r="B9363" s="0" t="s">
        <v>98</v>
      </c>
      <c r="F9363" s="6" t="n">
        <f aca="false">Sens!F9249*(al_lic+Sens!F9361+sbc_r)</f>
        <v>33.4276656752037</v>
      </c>
      <c r="G9363" s="6" t="n">
        <f aca="false">Sens!G9249*(al_lic+Sens!G9361+sbc_r)</f>
        <v>34.7138119024575</v>
      </c>
      <c r="H9363" s="6" t="n">
        <f aca="false">Sens!H9249*(al_lic+Sens!H9361+sbc_r)</f>
        <v>35.9178176821687</v>
      </c>
      <c r="I9363" s="6" t="n">
        <f aca="false">Sens!I9249*(al_lic+Sens!I9361+sbc_r)</f>
        <v>37.0223271061276</v>
      </c>
      <c r="J9363" s="6" t="n">
        <f aca="false">Sens!J9249*(al_lic+Sens!J9361+sbc_r)</f>
        <v>37.998879689974</v>
      </c>
      <c r="K9363" s="6" t="n">
        <f aca="false">Sens!K9249*(al_lic+Sens!K9361+sbc_r)</f>
        <v>38.8138056318656</v>
      </c>
    </row>
    <row r="9364" customFormat="false" ht="17.15" hidden="false" customHeight="false" outlineLevel="0" collapsed="false">
      <c r="A9364" s="0" t="s">
        <v>1059</v>
      </c>
      <c r="B9364" s="0" t="s">
        <v>98</v>
      </c>
      <c r="F9364" s="6" t="n">
        <f aca="false">Sens!F9251*(al_ind+Sens!F9361+sbc_r)</f>
        <v>9.06671017537735</v>
      </c>
      <c r="G9364" s="6" t="n">
        <f aca="false">Sens!G9251*(al_ind+Sens!G9361+sbc_r)</f>
        <v>9.83343275031076</v>
      </c>
      <c r="H9364" s="6" t="n">
        <f aca="false">Sens!H9251*(al_ind+Sens!H9361+sbc_r)</f>
        <v>10.6469923140886</v>
      </c>
      <c r="I9364" s="6" t="n">
        <f aca="false">Sens!I9251*(al_ind+Sens!I9361+sbc_r)</f>
        <v>11.505397060077</v>
      </c>
      <c r="J9364" s="6" t="n">
        <f aca="false">Sens!J9251*(al_ind+Sens!J9361+sbc_r)</f>
        <v>12.3975729776378</v>
      </c>
      <c r="K9364" s="6" t="n">
        <f aca="false">Sens!K9251*(al_ind+Sens!K9361+sbc_r)</f>
        <v>13.3053155674787</v>
      </c>
    </row>
    <row r="9365" customFormat="false" ht="17.15" hidden="false" customHeight="false" outlineLevel="0" collapsed="false">
      <c r="A9365" s="0" t="s">
        <v>1060</v>
      </c>
      <c r="B9365" s="0" t="s">
        <v>98</v>
      </c>
      <c r="F9365" s="6" t="n">
        <f aca="false">Sens!F9253*(al_fro+Sens!F9361+sbc_r)</f>
        <v>3.56868895644306</v>
      </c>
      <c r="G9365" s="6" t="n">
        <f aca="false">Sens!G9253*(al_fro+Sens!G9361+sbc_r)</f>
        <v>3.7754568071197</v>
      </c>
      <c r="H9365" s="6" t="n">
        <f aca="false">Sens!H9253*(al_fro+Sens!H9361+sbc_r)</f>
        <v>4.01215112445109</v>
      </c>
      <c r="I9365" s="6" t="n">
        <f aca="false">Sens!I9253*(al_fro+Sens!I9361+sbc_r)</f>
        <v>4.28184052179476</v>
      </c>
      <c r="J9365" s="6" t="n">
        <f aca="false">Sens!J9253*(al_fro+Sens!J9361+sbc_r)</f>
        <v>4.58509892497595</v>
      </c>
      <c r="K9365" s="6" t="n">
        <f aca="false">Sens!K9253*(al_fro+Sens!K9361+sbc_r)</f>
        <v>4.92081701918212</v>
      </c>
    </row>
    <row r="9366" customFormat="false" ht="17.15" hidden="false" customHeight="false" outlineLevel="0" collapsed="false">
      <c r="A9366" s="0" t="s">
        <v>1061</v>
      </c>
      <c r="B9366" s="0" t="s">
        <v>98</v>
      </c>
      <c r="F9366" s="6" t="n">
        <f aca="false">Sens!F9256*(al_srch+Sens!F9361+sbc_r)</f>
        <v>11.2478757871324</v>
      </c>
      <c r="G9366" s="6" t="n">
        <f aca="false">Sens!G9256*(al_srch+Sens!G9361+sbc_r)</f>
        <v>12.4257485129007</v>
      </c>
      <c r="H9366" s="6" t="n">
        <f aca="false">Sens!H9256*(al_srch+Sens!H9361+sbc_r)</f>
        <v>13.7350894262096</v>
      </c>
      <c r="I9366" s="6" t="n">
        <f aca="false">Sens!I9256*(al_srch+Sens!I9361+sbc_r)</f>
        <v>15.1877037629486</v>
      </c>
      <c r="J9366" s="6" t="n">
        <f aca="false">Sens!J9256*(al_srch+Sens!J9361+sbc_r)</f>
        <v>16.7849616742571</v>
      </c>
      <c r="K9366" s="6" t="n">
        <f aca="false">Sens!K9256*(al_srch+Sens!K9361+sbc_r)</f>
        <v>18.5190100486546</v>
      </c>
    </row>
    <row r="9367" customFormat="false" ht="17.15" hidden="false" customHeight="false" outlineLevel="0" collapsed="false">
      <c r="A9367" s="0" t="s">
        <v>1062</v>
      </c>
      <c r="B9367" s="0" t="s">
        <v>98</v>
      </c>
      <c r="F9367" s="6" t="n">
        <f aca="false">Sens!F9225-Sens!F9226+Sens!F9306</f>
        <v>55.6743052939671</v>
      </c>
      <c r="G9367" s="6" t="n">
        <f aca="false">Sens!G9225-Sens!G9226+Sens!G9306</f>
        <v>100.2533125707</v>
      </c>
      <c r="H9367" s="6" t="n">
        <f aca="false">Sens!H9225-Sens!H9226+Sens!H9306</f>
        <v>152.31255014234</v>
      </c>
      <c r="I9367" s="6" t="n">
        <f aca="false">Sens!I9225-Sens!I9226+Sens!I9306</f>
        <v>194.041990076394</v>
      </c>
      <c r="J9367" s="6" t="n">
        <f aca="false">Sens!J9225-Sens!J9226+Sens!J9306</f>
        <v>223.463148273617</v>
      </c>
      <c r="K9367" s="6" t="n">
        <f aca="false">Sens!K9225-Sens!K9226+Sens!K9306</f>
        <v>241.312249272487</v>
      </c>
    </row>
    <row r="9368" customFormat="false" ht="17.15" hidden="false" customHeight="false" outlineLevel="0" collapsed="false">
      <c r="A9368" s="0" t="s">
        <v>1063</v>
      </c>
      <c r="B9368" s="0" t="s">
        <v>98</v>
      </c>
      <c r="F9368" s="6" t="n">
        <f aca="false">Sens!F9285+Sens!F9306+Sens!F9236+Sens!F9361*(Sens!F9255-Sens!F9219)+sbc_r*Sens!F9255</f>
        <v>247.76324682354</v>
      </c>
      <c r="G9368" s="6" t="n">
        <f aca="false">Sens!G9285+Sens!G9306+Sens!G9236+Sens!G9361*(Sens!G9255-Sens!G9219)+sbc_r*Sens!G9255</f>
        <v>321.607060488488</v>
      </c>
      <c r="H9368" s="6" t="n">
        <f aca="false">Sens!H9285+Sens!H9306+Sens!H9236+Sens!H9361*(Sens!H9255-Sens!H9219)+sbc_r*Sens!H9255</f>
        <v>403.629351586298</v>
      </c>
      <c r="I9368" s="6" t="n">
        <f aca="false">Sens!I9285+Sens!I9306+Sens!I9236+Sens!I9361*(Sens!I9255-Sens!I9219)+sbc_r*Sens!I9255</f>
        <v>473.241916989496</v>
      </c>
      <c r="J9368" s="6" t="n">
        <f aca="false">Sens!J9285+Sens!J9306+Sens!J9236+Sens!J9361*(Sens!J9255-Sens!J9219)+sbc_r*Sens!J9255</f>
        <v>527.570137417827</v>
      </c>
      <c r="K9368" s="6" t="n">
        <f aca="false">Sens!K9285+Sens!K9306+Sens!K9236+Sens!K9361*(Sens!K9255-Sens!K9219)+sbc_r*Sens!K9255</f>
        <v>567.88894980502</v>
      </c>
    </row>
    <row r="9369" customFormat="false" ht="17.15" hidden="false" customHeight="false" outlineLevel="0" collapsed="false">
      <c r="A9369" s="0" t="s">
        <v>1064</v>
      </c>
      <c r="B9369" s="0" t="s">
        <v>98</v>
      </c>
      <c r="F9369" s="6" t="n">
        <f aca="false">Sens!F9368-Sens!F9362-Sens!F9363-Sens!F9364-Sens!F9365-Sens!F9367</f>
        <v>61.0844304632296</v>
      </c>
      <c r="G9369" s="6" t="n">
        <f aca="false">Sens!G9368-Sens!G9362-Sens!G9363-Sens!G9364-Sens!G9365-Sens!G9367</f>
        <v>73.6156717562876</v>
      </c>
      <c r="H9369" s="6" t="n">
        <f aca="false">Sens!H9368-Sens!H9362-Sens!H9363-Sens!H9364-Sens!H9365-Sens!H9367</f>
        <v>86.6886751704227</v>
      </c>
      <c r="I9369" s="6" t="n">
        <f aca="false">Sens!I9368-Sens!I9362-Sens!I9363-Sens!I9364-Sens!I9365-Sens!I9367</f>
        <v>99.2252482650217</v>
      </c>
      <c r="J9369" s="6" t="n">
        <f aca="false">Sens!J9368-Sens!J9362-Sens!J9363-Sens!J9364-Sens!J9365-Sens!J9367</f>
        <v>110.556563895021</v>
      </c>
      <c r="K9369" s="6" t="n">
        <f aca="false">Sens!K9368-Sens!K9362-Sens!K9363-Sens!K9364-Sens!K9365-Sens!K9367</f>
        <v>119.95436140566</v>
      </c>
    </row>
    <row r="9370" customFormat="false" ht="17.15" hidden="false" customHeight="false" outlineLevel="0" collapsed="false">
      <c r="A9370" s="0" t="s">
        <v>1065</v>
      </c>
      <c r="B9370" s="0" t="s">
        <v>98</v>
      </c>
      <c r="F9370" s="6" t="n">
        <f aca="false">Sens!F9287+Sens!F9361*Sens!F9262+sbc_r*Sens!F9262</f>
        <v>26.2202730374693</v>
      </c>
      <c r="G9370" s="6" t="n">
        <f aca="false">Sens!G9287+Sens!G9361*Sens!G9262+sbc_r*Sens!G9262</f>
        <v>26.9193704641199</v>
      </c>
      <c r="H9370" s="6" t="n">
        <f aca="false">Sens!H9287+Sens!H9361*Sens!H9262+sbc_r*Sens!H9262</f>
        <v>27.9765505836595</v>
      </c>
      <c r="I9370" s="6" t="n">
        <f aca="false">Sens!I9287+Sens!I9361*Sens!I9262+sbc_r*Sens!I9262</f>
        <v>29.384149903921</v>
      </c>
      <c r="J9370" s="6" t="n">
        <f aca="false">Sens!J9287+Sens!J9361*Sens!J9262+sbc_r*Sens!J9262</f>
        <v>31.1252867257271</v>
      </c>
      <c r="K9370" s="6" t="n">
        <f aca="false">Sens!K9287+Sens!K9361*Sens!K9262+sbc_r*Sens!K9262</f>
        <v>33.1783639486097</v>
      </c>
    </row>
    <row r="9371" customFormat="false" ht="17.15" hidden="false" customHeight="false" outlineLevel="0" collapsed="false">
      <c r="A9371" s="0" t="s">
        <v>1066</v>
      </c>
      <c r="B9371" s="0" t="s">
        <v>98</v>
      </c>
      <c r="F9371" s="6" t="n">
        <f aca="false">(Sens!F9370-Sens!F9366)*Sens!F9258/(Sens!F9258+Sens!F9260)</f>
        <v>8.20772234359852</v>
      </c>
      <c r="G9371" s="6" t="n">
        <f aca="false">(Sens!G9370-Sens!G9366)*Sens!G9258/(Sens!G9258+Sens!G9260)</f>
        <v>7.80359885879755</v>
      </c>
      <c r="H9371" s="6" t="n">
        <f aca="false">(Sens!H9370-Sens!H9366)*Sens!H9258/(Sens!H9258+Sens!H9260)</f>
        <v>7.56425184884284</v>
      </c>
      <c r="I9371" s="6" t="n">
        <f aca="false">(Sens!I9370-Sens!I9366)*Sens!I9258/(Sens!I9258+Sens!I9260)</f>
        <v>7.47211732529418</v>
      </c>
      <c r="J9371" s="6" t="n">
        <f aca="false">(Sens!J9370-Sens!J9366)*Sens!J9258/(Sens!J9258+Sens!J9260)</f>
        <v>7.51371506249454</v>
      </c>
      <c r="K9371" s="6" t="n">
        <f aca="false">(Sens!K9370-Sens!K9366)*Sens!K9258/(Sens!K9258+Sens!K9260)</f>
        <v>7.68087249132751</v>
      </c>
    </row>
    <row r="9372" customFormat="false" ht="17.15" hidden="false" customHeight="false" outlineLevel="0" collapsed="false">
      <c r="A9372" s="0" t="s">
        <v>1067</v>
      </c>
      <c r="B9372" s="0" t="s">
        <v>98</v>
      </c>
      <c r="F9372" s="6" t="n">
        <f aca="false">Sens!F9370-Sens!F9366-Sens!F9371</f>
        <v>6.76467490673836</v>
      </c>
      <c r="G9372" s="6" t="n">
        <f aca="false">Sens!G9370-Sens!G9366-Sens!G9371</f>
        <v>6.6900230924216</v>
      </c>
      <c r="H9372" s="6" t="n">
        <f aca="false">Sens!H9370-Sens!H9366-Sens!H9371</f>
        <v>6.67720930860709</v>
      </c>
      <c r="I9372" s="6" t="n">
        <f aca="false">Sens!I9370-Sens!I9366-Sens!I9371</f>
        <v>6.72432881567825</v>
      </c>
      <c r="J9372" s="6" t="n">
        <f aca="false">Sens!J9370-Sens!J9366-Sens!J9371</f>
        <v>6.8266099889755</v>
      </c>
      <c r="K9372" s="6" t="n">
        <f aca="false">Sens!K9370-Sens!K9366-Sens!K9371</f>
        <v>6.97848140862763</v>
      </c>
    </row>
    <row r="9373" customFormat="false" ht="17.15" hidden="false" customHeight="false" outlineLevel="0" collapsed="false">
      <c r="A9373" s="0" t="s">
        <v>1068</v>
      </c>
      <c r="B9373" s="0" t="s">
        <v>98</v>
      </c>
      <c r="F9373" s="6" t="n">
        <f aca="false">Sens!F9367-tax_f*(Sens!F9367-Sens!F9236)-Sens!F9233</f>
        <v>-116.975833010757</v>
      </c>
      <c r="G9373" s="6" t="n">
        <f aca="false">Sens!G9367-tax_f*(Sens!G9367-Sens!G9236)-Sens!G9233</f>
        <v>-91.2755149079052</v>
      </c>
      <c r="H9373" s="6" t="n">
        <f aca="false">Sens!H9367-tax_f*(Sens!H9367-Sens!H9236)-Sens!H9233</f>
        <v>-48.6871137312336</v>
      </c>
      <c r="I9373" s="6" t="n">
        <f aca="false">Sens!I9367-tax_f*(Sens!I9367-Sens!I9236)-Sens!I9233</f>
        <v>13.918999769981</v>
      </c>
      <c r="J9373" s="6" t="n">
        <f aca="false">Sens!J9367-tax_f*(Sens!J9367-Sens!J9236)-Sens!J9233</f>
        <v>80.0894529520031</v>
      </c>
      <c r="K9373" s="6" t="n">
        <f aca="false">Sens!K9367-tax_f*(Sens!K9367-Sens!K9236)-Sens!K9233</f>
        <v>106.014562003615</v>
      </c>
    </row>
    <row r="9374" customFormat="false" ht="17.15" hidden="false" customHeight="false" outlineLevel="0" collapsed="false">
      <c r="A9374" s="0" t="s">
        <v>1069</v>
      </c>
      <c r="B9374" s="0" t="s">
        <v>98</v>
      </c>
      <c r="F9374" s="6" t="n">
        <f aca="false">Sens!F9373*Sens!F9347</f>
        <v>-111.383613065147</v>
      </c>
      <c r="G9374" s="6" t="n">
        <f aca="false">Sens!G9373*Sens!G9347</f>
        <v>-78.8006420732335</v>
      </c>
      <c r="H9374" s="6" t="n">
        <f aca="false">Sens!H9373*Sens!H9347</f>
        <v>-38.1100750265858</v>
      </c>
      <c r="I9374" s="6" t="n">
        <f aca="false">Sens!I9373*Sens!I9347</f>
        <v>9.8783432234426</v>
      </c>
      <c r="J9374" s="6" t="n">
        <f aca="false">Sens!J9373*Sens!J9347</f>
        <v>51.5349336174149</v>
      </c>
      <c r="K9374" s="6" t="n">
        <f aca="false">Sens!K9373*Sens!K9347</f>
        <v>61.8503592973642</v>
      </c>
    </row>
    <row r="9375" customFormat="false" ht="17.15" hidden="false" customHeight="false" outlineLevel="0" collapsed="false">
      <c r="A9375" s="0" t="s">
        <v>1070</v>
      </c>
      <c r="B9375" s="0" t="s">
        <v>98</v>
      </c>
      <c r="C9375" s="6" t="n">
        <f aca="false">(Sens!K9367-Sens!K9236)*(1-tax_f)*(1+g_tv)*(1-g_tv/(wacc+ronic_prem))/(wacc-g_tv)/(1+wacc)^(Sens!K9346+mid_yr)</f>
        <v>452.22239773579</v>
      </c>
    </row>
    <row r="9376" customFormat="false" ht="17.15" hidden="false" customHeight="false" outlineLevel="0" collapsed="false">
      <c r="A9376" s="1" t="s">
        <v>1071</v>
      </c>
      <c r="B9376" s="0" t="s">
        <v>98</v>
      </c>
      <c r="C9376" s="6" t="n">
        <f aca="false">(SUM(Sens!F9374:K9374)+Sens!$C$9375)*(1+wacc)^t_roll</f>
        <v>395.358785579819</v>
      </c>
      <c r="L9376" s="11" t="s">
        <v>1072</v>
      </c>
    </row>
    <row r="9377" customFormat="false" ht="17.15" hidden="false" customHeight="false" outlineLevel="0" collapsed="false">
      <c r="A9377" s="1" t="s">
        <v>1073</v>
      </c>
      <c r="B9377" s="0" t="s">
        <v>98</v>
      </c>
      <c r="C9377" s="6" t="n">
        <f aca="false">(w_ntm28*Sens!G9225+(1-w_ntm28)*Sens!H9225)*m_ai</f>
        <v>551.711134531404</v>
      </c>
    </row>
    <row r="9378" customFormat="false" ht="17.15" hidden="false" customHeight="false" outlineLevel="0" collapsed="false">
      <c r="A9378" s="1" t="s">
        <v>1074</v>
      </c>
      <c r="B9378" s="0" t="s">
        <v>98</v>
      </c>
      <c r="C9378" s="6" t="n">
        <f aca="false">(w_ntm28*Sens!G9369+(1-w_ntm28)*Sens!H9369)*m_cloud</f>
        <v>1075.77661393939</v>
      </c>
    </row>
    <row r="9379" customFormat="false" ht="17.15" hidden="false" customHeight="false" outlineLevel="0" collapsed="false">
      <c r="A9379" s="1" t="s">
        <v>1075</v>
      </c>
      <c r="B9379" s="0" t="s">
        <v>98</v>
      </c>
      <c r="C9379" s="6" t="n">
        <f aca="false">(w_ntm28*Sens!G9362+(1-w_ntm28)*Sens!H9362)*m_sw</f>
        <v>1124.78700938297</v>
      </c>
    </row>
    <row r="9380" customFormat="false" ht="17.15" hidden="false" customHeight="false" outlineLevel="0" collapsed="false">
      <c r="A9380" s="1" t="s">
        <v>1076</v>
      </c>
      <c r="B9380" s="0" t="s">
        <v>98</v>
      </c>
      <c r="C9380" s="6" t="n">
        <f aca="false">(w_ntm28*Sens!G9363+(1-w_ntm28)*Sens!H9363)*m_sw</f>
        <v>379.112962973018</v>
      </c>
    </row>
    <row r="9381" customFormat="false" ht="17.15" hidden="false" customHeight="false" outlineLevel="0" collapsed="false">
      <c r="A9381" s="1" t="s">
        <v>1077</v>
      </c>
      <c r="B9381" s="0" t="s">
        <v>98</v>
      </c>
      <c r="C9381" s="6" t="n">
        <f aca="false">(w_ntm28*Sens!G9364+(1-w_ntm28)*Sens!H9364)*m_sw</f>
        <v>109.041622492612</v>
      </c>
    </row>
    <row r="9382" customFormat="false" ht="17.15" hidden="false" customHeight="false" outlineLevel="0" collapsed="false">
      <c r="A9382" s="1" t="s">
        <v>1078</v>
      </c>
      <c r="B9382" s="0" t="s">
        <v>98</v>
      </c>
      <c r="C9382" s="6" t="n">
        <f aca="false">(w_ntm28*Sens!G9365+(1-w_ntm28)*Sens!H9365)*m_sw</f>
        <v>41.6013533470493</v>
      </c>
    </row>
    <row r="9383" customFormat="false" ht="17.15" hidden="false" customHeight="false" outlineLevel="0" collapsed="false">
      <c r="A9383" s="1" t="s">
        <v>1079</v>
      </c>
      <c r="B9383" s="0" t="s">
        <v>98</v>
      </c>
      <c r="C9383" s="6" t="n">
        <f aca="false">(w_ntm28*Sens!G9366+(1-w_ntm28)*Sens!H9366)*m_ads</f>
        <v>117.054775240166</v>
      </c>
    </row>
    <row r="9384" customFormat="false" ht="17.15" hidden="false" customHeight="false" outlineLevel="0" collapsed="false">
      <c r="A9384" s="1" t="s">
        <v>1080</v>
      </c>
      <c r="B9384" s="0" t="s">
        <v>98</v>
      </c>
      <c r="C9384" s="6" t="n">
        <f aca="false">(w_ntm28*Sens!G9371+(1-w_ntm28)*Sens!H9371)*m_game</f>
        <v>97.5821702364325</v>
      </c>
    </row>
    <row r="9385" customFormat="false" ht="17.15" hidden="false" customHeight="false" outlineLevel="0" collapsed="false">
      <c r="A9385" s="1" t="s">
        <v>1081</v>
      </c>
      <c r="B9385" s="0" t="s">
        <v>98</v>
      </c>
      <c r="C9385" s="6" t="n">
        <f aca="false">(w_ntm28*Sens!G9372+(1-w_ntm28)*Sens!H9372)*m_pc</f>
        <v>96.7446916177189</v>
      </c>
    </row>
    <row r="9386" customFormat="false" ht="17.15" hidden="false" customHeight="false" outlineLevel="0" collapsed="false">
      <c r="A9386" s="1" t="s">
        <v>1082</v>
      </c>
      <c r="B9386" s="0" t="s">
        <v>98</v>
      </c>
      <c r="C9386" s="6" t="n">
        <f aca="false">Sens!$C$9376+Sens!$C$9378+Sens!$C$9379+Sens!$C$9380+Sens!$C$9381+Sens!$C$9382+Sens!$C$9383+Sens!$C$9384+Sens!$C$9385</f>
        <v>3437.05998480917</v>
      </c>
    </row>
    <row r="9387" customFormat="false" ht="17.15" hidden="false" customHeight="false" outlineLevel="0" collapsed="false">
      <c r="A9387" s="1" t="s">
        <v>1000</v>
      </c>
      <c r="B9387" s="0" t="s">
        <v>98</v>
      </c>
      <c r="C9387" s="6" t="n">
        <f aca="false">Sens!F9337+oai_v-Sens!F9326</f>
        <v>115.114478231845</v>
      </c>
      <c r="L9387" s="1" t="s">
        <v>1083</v>
      </c>
    </row>
    <row r="9388" customFormat="false" ht="15" hidden="false" customHeight="false" outlineLevel="0" collapsed="false">
      <c r="A9388" s="1" t="s">
        <v>1001</v>
      </c>
      <c r="B9388" s="0" t="s">
        <v>75</v>
      </c>
      <c r="C9388" s="5" t="n">
        <f aca="false">(Sens!$C$9386+Sens!$C$9387)/Sens!F9339</f>
        <v>475.398081242106</v>
      </c>
    </row>
    <row r="9389" customFormat="false" ht="17.15" hidden="false" customHeight="false" outlineLevel="0" collapsed="false">
      <c r="A9389" s="1" t="s">
        <v>1084</v>
      </c>
      <c r="B9389" s="0" t="s">
        <v>75</v>
      </c>
      <c r="C9389" s="5" t="n">
        <f aca="false">w_dcf*Sens!$C$9360+(1-w_dcf)*Sens!$C$9388</f>
        <v>429.269857400392</v>
      </c>
    </row>
    <row r="9390" customFormat="false" ht="17.15" hidden="false" customHeight="false" outlineLevel="0" collapsed="false">
      <c r="A9390" s="3" t="s">
        <v>1479</v>
      </c>
    </row>
    <row r="9391" customFormat="false" ht="15" hidden="false" customHeight="false" outlineLevel="0" collapsed="false">
      <c r="A9391" s="4" t="s">
        <v>43</v>
      </c>
      <c r="B9391" s="4" t="s">
        <v>65</v>
      </c>
      <c r="C9391" s="20" t="s">
        <v>788</v>
      </c>
      <c r="D9391" s="20" t="s">
        <v>789</v>
      </c>
      <c r="E9391" s="20" t="s">
        <v>790</v>
      </c>
      <c r="F9391" s="20" t="s">
        <v>791</v>
      </c>
      <c r="G9391" s="20" t="s">
        <v>792</v>
      </c>
      <c r="H9391" s="20" t="s">
        <v>793</v>
      </c>
      <c r="I9391" s="20" t="s">
        <v>794</v>
      </c>
      <c r="J9391" s="20" t="s">
        <v>795</v>
      </c>
      <c r="K9391" s="20" t="s">
        <v>796</v>
      </c>
      <c r="L9391" s="4" t="s">
        <v>47</v>
      </c>
    </row>
    <row r="9392" customFormat="false" ht="17.15" hidden="false" customHeight="false" outlineLevel="0" collapsed="false">
      <c r="A9392" s="1" t="s">
        <v>797</v>
      </c>
      <c r="B9392" s="1" t="s">
        <v>235</v>
      </c>
      <c r="C9392" s="28" t="n">
        <v>2024</v>
      </c>
      <c r="D9392" s="28" t="n">
        <v>2025</v>
      </c>
      <c r="E9392" s="28" t="n">
        <v>2026</v>
      </c>
      <c r="F9392" s="28" t="n">
        <v>2027</v>
      </c>
      <c r="G9392" s="28" t="n">
        <v>2028</v>
      </c>
      <c r="H9392" s="28" t="n">
        <v>2029</v>
      </c>
      <c r="I9392" s="28" t="n">
        <v>2030</v>
      </c>
      <c r="J9392" s="28" t="n">
        <v>2031</v>
      </c>
      <c r="K9392" s="28" t="n">
        <v>2032</v>
      </c>
    </row>
    <row r="9393" customFormat="false" ht="17.15" hidden="false" customHeight="false" outlineLevel="0" collapsed="false">
      <c r="A9393" s="1" t="s">
        <v>798</v>
      </c>
      <c r="B9393" s="0" t="s">
        <v>392</v>
      </c>
      <c r="F9393" s="29" t="n">
        <f aca="false">pace</f>
        <v>2527.2</v>
      </c>
      <c r="G9393" s="29" t="n">
        <f aca="false">pace</f>
        <v>2527.2</v>
      </c>
      <c r="H9393" s="29" t="n">
        <f aca="false">pace</f>
        <v>2527.2</v>
      </c>
      <c r="I9393" s="29" t="n">
        <f aca="false">pace+(g_tv*Sens!H9394-pace)*MIN(1,(Sens!I9392-pace_y0)/(pace_y1-pace_y0))</f>
        <v>1793.116</v>
      </c>
      <c r="J9393" s="29" t="n">
        <f aca="false">pace+(g_tv*Sens!H9394-pace)*MIN(1,(Sens!J9392-pace_y0)/(pace_y1-pace_y0))</f>
        <v>1059.032</v>
      </c>
      <c r="K9393" s="29" t="n">
        <f aca="false">pace+(g_tv*Sens!H9394-pace)*MIN(1,(Sens!K9392-pace_y0)/(pace_y1-pace_y0))</f>
        <v>324.948</v>
      </c>
      <c r="L9393" s="11" t="s">
        <v>799</v>
      </c>
    </row>
    <row r="9394" customFormat="false" ht="17.15" hidden="false" customHeight="false" outlineLevel="0" collapsed="false">
      <c r="A9394" s="1" t="s">
        <v>800</v>
      </c>
      <c r="B9394" s="0" t="s">
        <v>392</v>
      </c>
      <c r="C9394" s="29" t="n">
        <f aca="false">mw_ext_24</f>
        <v>640</v>
      </c>
      <c r="D9394" s="29" t="n">
        <f aca="false">mw_ext_25</f>
        <v>1630</v>
      </c>
      <c r="E9394" s="29" t="n">
        <f aca="false">mw_ext_26</f>
        <v>3250</v>
      </c>
      <c r="F9394" s="29" t="n">
        <f aca="false">Sens!E9394+Sens!F9393</f>
        <v>5777.2</v>
      </c>
      <c r="G9394" s="29" t="n">
        <f aca="false">Sens!F9394+Sens!G9393</f>
        <v>8304.4</v>
      </c>
      <c r="H9394" s="29" t="n">
        <f aca="false">Sens!G9394+Sens!H9393</f>
        <v>10831.6</v>
      </c>
      <c r="I9394" s="29" t="n">
        <f aca="false">Sens!H9394+Sens!I9393</f>
        <v>12624.716</v>
      </c>
      <c r="J9394" s="29" t="n">
        <f aca="false">Sens!I9394+Sens!J9393</f>
        <v>13683.748</v>
      </c>
      <c r="K9394" s="29" t="n">
        <f aca="false">Sens!J9394+Sens!K9393</f>
        <v>14008.696</v>
      </c>
      <c r="L9394" s="1" t="s">
        <v>801</v>
      </c>
    </row>
    <row r="9395" customFormat="false" ht="17.15" hidden="false" customHeight="false" outlineLevel="0" collapsed="false">
      <c r="A9395" s="1" t="s">
        <v>802</v>
      </c>
      <c r="B9395" s="0" t="s">
        <v>392</v>
      </c>
      <c r="C9395" s="29" t="n">
        <f aca="false">rent_ext_24</f>
        <v>150</v>
      </c>
      <c r="D9395" s="29" t="n">
        <f aca="false">rent_ext_25</f>
        <v>400</v>
      </c>
      <c r="E9395" s="29" t="n">
        <f aca="false">rent_ext_26</f>
        <v>550</v>
      </c>
      <c r="F9395" s="29" t="n">
        <f aca="false">rent_ext_f</f>
        <v>756</v>
      </c>
      <c r="G9395" s="29" t="n">
        <f aca="false">rent_ext_f</f>
        <v>756</v>
      </c>
      <c r="H9395" s="29" t="n">
        <f aca="false">rent_ext_f</f>
        <v>756</v>
      </c>
      <c r="I9395" s="29" t="n">
        <f aca="false">rent_ext_f</f>
        <v>756</v>
      </c>
      <c r="J9395" s="29" t="n">
        <f aca="false">rent_ext_f</f>
        <v>756</v>
      </c>
      <c r="K9395" s="29" t="n">
        <f aca="false">rent_ext_f</f>
        <v>756</v>
      </c>
      <c r="L9395" s="1" t="s">
        <v>803</v>
      </c>
    </row>
    <row r="9396" customFormat="false" ht="17.15" hidden="false" customHeight="false" outlineLevel="0" collapsed="false">
      <c r="A9396" s="1" t="s">
        <v>804</v>
      </c>
      <c r="B9396" s="0" t="s">
        <v>392</v>
      </c>
      <c r="C9396" s="29" t="n">
        <f aca="false">Sens!C9394-Sens!C9395</f>
        <v>490</v>
      </c>
      <c r="D9396" s="29" t="n">
        <f aca="false">Sens!D9394-Sens!D9395</f>
        <v>1230</v>
      </c>
      <c r="E9396" s="29" t="n">
        <f aca="false">Sens!E9394-Sens!E9395</f>
        <v>2700</v>
      </c>
      <c r="F9396" s="29" t="n">
        <f aca="false">Sens!F9394-Sens!F9395</f>
        <v>5021.2</v>
      </c>
      <c r="G9396" s="29" t="n">
        <f aca="false">Sens!G9394-Sens!G9395</f>
        <v>7548.4</v>
      </c>
      <c r="H9396" s="29" t="n">
        <f aca="false">Sens!H9394-Sens!H9395</f>
        <v>10075.6</v>
      </c>
      <c r="I9396" s="29" t="n">
        <f aca="false">Sens!I9394-Sens!I9395</f>
        <v>11868.716</v>
      </c>
      <c r="J9396" s="29" t="n">
        <f aca="false">Sens!J9394-Sens!J9395</f>
        <v>12927.748</v>
      </c>
      <c r="K9396" s="29" t="n">
        <f aca="false">Sens!K9394-Sens!K9395</f>
        <v>13252.696</v>
      </c>
    </row>
    <row r="9397" customFormat="false" ht="17.15" hidden="false" customHeight="false" outlineLevel="0" collapsed="false">
      <c r="A9397" s="1" t="s">
        <v>805</v>
      </c>
      <c r="B9397" s="0" t="s">
        <v>392</v>
      </c>
      <c r="C9397" s="29" t="n">
        <f aca="false">Sens!C9396/ext_sh</f>
        <v>816.666666666667</v>
      </c>
      <c r="D9397" s="29" t="n">
        <f aca="false">Sens!D9396/ext_sh</f>
        <v>2050</v>
      </c>
      <c r="E9397" s="29" t="n">
        <f aca="false">Sens!E9396/ext_sh</f>
        <v>4500</v>
      </c>
      <c r="F9397" s="29" t="n">
        <f aca="false">Sens!F9396/ext_sh</f>
        <v>8368.66666666667</v>
      </c>
      <c r="G9397" s="29" t="n">
        <f aca="false">Sens!G9396/ext_sh</f>
        <v>12580.6666666667</v>
      </c>
      <c r="H9397" s="29" t="n">
        <f aca="false">Sens!H9396/ext_sh</f>
        <v>16792.6666666667</v>
      </c>
      <c r="I9397" s="29" t="n">
        <f aca="false">Sens!I9396/ext_sh</f>
        <v>19781.1933333333</v>
      </c>
      <c r="J9397" s="29" t="n">
        <f aca="false">Sens!J9396/ext_sh</f>
        <v>21546.2466666667</v>
      </c>
      <c r="K9397" s="29" t="n">
        <f aca="false">Sens!K9396/ext_sh</f>
        <v>22087.8266666667</v>
      </c>
      <c r="L9397" s="1" t="s">
        <v>806</v>
      </c>
    </row>
    <row r="9398" customFormat="false" ht="17.15" hidden="false" customHeight="false" outlineLevel="0" collapsed="false">
      <c r="A9398" s="1" t="s">
        <v>807</v>
      </c>
      <c r="B9398" s="0" t="s">
        <v>392</v>
      </c>
      <c r="C9398" s="29" t="n">
        <f aca="false">Sens!C9397-Sens!C9396</f>
        <v>326.666666666667</v>
      </c>
      <c r="D9398" s="29" t="n">
        <f aca="false">Sens!D9397-Sens!D9396</f>
        <v>820</v>
      </c>
      <c r="E9398" s="29" t="n">
        <f aca="false">Sens!E9397-Sens!E9396</f>
        <v>1800</v>
      </c>
      <c r="F9398" s="29" t="n">
        <f aca="false">Sens!F9397-Sens!F9396</f>
        <v>3347.46666666667</v>
      </c>
      <c r="G9398" s="29" t="n">
        <f aca="false">Sens!G9397-Sens!G9396</f>
        <v>5032.26666666667</v>
      </c>
      <c r="H9398" s="29" t="n">
        <f aca="false">Sens!H9397-Sens!H9396</f>
        <v>6717.06666666667</v>
      </c>
      <c r="I9398" s="29" t="n">
        <f aca="false">Sens!I9397-Sens!I9396</f>
        <v>7912.47733333333</v>
      </c>
      <c r="J9398" s="29" t="n">
        <f aca="false">Sens!J9397-Sens!J9396</f>
        <v>8618.49866666667</v>
      </c>
      <c r="K9398" s="29" t="n">
        <f aca="false">Sens!K9397-Sens!K9396</f>
        <v>8835.13066666667</v>
      </c>
    </row>
    <row r="9399" customFormat="false" ht="17.15" hidden="false" customHeight="false" outlineLevel="0" collapsed="false">
      <c r="A9399" s="1" t="s">
        <v>808</v>
      </c>
      <c r="B9399" s="0" t="s">
        <v>392</v>
      </c>
      <c r="C9399" s="29" t="n">
        <f aca="false">Sens!C9397</f>
        <v>816.666666666667</v>
      </c>
      <c r="D9399" s="29" t="n">
        <f aca="false">Sens!D9397-Sens!C9397</f>
        <v>1233.33333333333</v>
      </c>
      <c r="E9399" s="29" t="n">
        <f aca="false">Sens!E9397-Sens!D9397</f>
        <v>2450</v>
      </c>
      <c r="F9399" s="29" t="n">
        <f aca="false">Sens!F9397-Sens!E9397</f>
        <v>3868.66666666667</v>
      </c>
      <c r="G9399" s="29" t="n">
        <f aca="false">Sens!G9397-Sens!F9397</f>
        <v>4212</v>
      </c>
      <c r="H9399" s="29" t="n">
        <f aca="false">Sens!H9397-Sens!G9397</f>
        <v>4212</v>
      </c>
      <c r="I9399" s="29" t="n">
        <f aca="false">Sens!I9397-Sens!H9397</f>
        <v>2988.52666666667</v>
      </c>
      <c r="J9399" s="29" t="n">
        <f aca="false">Sens!J9397-Sens!I9397</f>
        <v>1765.05333333333</v>
      </c>
      <c r="K9399" s="29" t="n">
        <f aca="false">Sens!K9397-Sens!J9397</f>
        <v>541.580000000002</v>
      </c>
    </row>
    <row r="9400" customFormat="false" ht="17.15" hidden="false" customHeight="false" outlineLevel="0" collapsed="false">
      <c r="A9400" s="1" t="s">
        <v>809</v>
      </c>
      <c r="B9400" s="0" t="s">
        <v>392</v>
      </c>
      <c r="D9400" s="29" t="n">
        <f aca="false">Sens!D9394-Sens!C9394</f>
        <v>990</v>
      </c>
      <c r="E9400" s="29" t="n">
        <f aca="false">Sens!E9394-Sens!D9394</f>
        <v>1620</v>
      </c>
      <c r="F9400" s="29" t="n">
        <f aca="false">Sens!F9394-Sens!E9394</f>
        <v>2527.2</v>
      </c>
      <c r="G9400" s="29" t="n">
        <f aca="false">Sens!G9394-Sens!F9394</f>
        <v>2527.2</v>
      </c>
      <c r="H9400" s="29" t="n">
        <f aca="false">Sens!H9394-Sens!G9394</f>
        <v>2527.2</v>
      </c>
      <c r="I9400" s="29" t="n">
        <f aca="false">Sens!I9394-Sens!H9394</f>
        <v>1793.116</v>
      </c>
      <c r="J9400" s="29" t="n">
        <f aca="false">Sens!J9394-Sens!I9394</f>
        <v>1059.032</v>
      </c>
      <c r="K9400" s="29" t="n">
        <f aca="false">Sens!K9394-Sens!J9394</f>
        <v>324.948</v>
      </c>
    </row>
    <row r="9401" customFormat="false" ht="17.15" hidden="false" customHeight="false" outlineLevel="0" collapsed="false">
      <c r="A9401" s="1" t="s">
        <v>810</v>
      </c>
      <c r="B9401" s="0" t="s">
        <v>392</v>
      </c>
      <c r="F9401" s="29" t="n">
        <f aca="false">Sens!F9418*ext_sh</f>
        <v>0</v>
      </c>
      <c r="G9401" s="29" t="n">
        <f aca="false">Sens!G9418*ext_sh</f>
        <v>0</v>
      </c>
      <c r="H9401" s="29" t="n">
        <f aca="false">Sens!H9418*ext_sh</f>
        <v>0</v>
      </c>
      <c r="I9401" s="29" t="n">
        <f aca="false">Sens!I9418*ext_sh</f>
        <v>490</v>
      </c>
      <c r="J9401" s="29" t="n">
        <f aca="false">Sens!J9418*ext_sh</f>
        <v>740</v>
      </c>
      <c r="K9401" s="29" t="n">
        <f aca="false">Sens!K9418*ext_sh</f>
        <v>1470</v>
      </c>
      <c r="L9401" s="1" t="s">
        <v>811</v>
      </c>
    </row>
    <row r="9402" customFormat="false" ht="17.15" hidden="false" customHeight="false" outlineLevel="0" collapsed="false">
      <c r="A9402" s="1" t="s">
        <v>812</v>
      </c>
      <c r="B9402" s="0" t="s">
        <v>392</v>
      </c>
      <c r="C9402" s="29" t="n">
        <f aca="false">mix_h*Sens!C9394</f>
        <v>128</v>
      </c>
      <c r="D9402" s="29" t="n">
        <f aca="false">mix_h*Sens!D9394</f>
        <v>326</v>
      </c>
      <c r="E9402" s="29" t="n">
        <f aca="false">mix_h*Sens!E9394</f>
        <v>650</v>
      </c>
      <c r="F9402" s="29" t="n">
        <f aca="false">Sens!E9402-Sens!F9401*mix_h</f>
        <v>650</v>
      </c>
      <c r="G9402" s="29" t="n">
        <f aca="false">Sens!F9402-Sens!G9401*mix_h</f>
        <v>650</v>
      </c>
      <c r="H9402" s="29" t="n">
        <f aca="false">Sens!G9402-Sens!H9401*mix_h</f>
        <v>650</v>
      </c>
      <c r="I9402" s="29" t="n">
        <f aca="false">Sens!H9402-Sens!I9401*mix_h</f>
        <v>552</v>
      </c>
      <c r="J9402" s="29" t="n">
        <f aca="false">Sens!I9402-Sens!J9401*mix_h</f>
        <v>404</v>
      </c>
      <c r="K9402" s="29" t="n">
        <f aca="false">Sens!J9402-Sens!K9401*mix_h</f>
        <v>110</v>
      </c>
    </row>
    <row r="9403" customFormat="false" ht="17.15" hidden="false" customHeight="false" outlineLevel="0" collapsed="false">
      <c r="A9403" s="1" t="s">
        <v>813</v>
      </c>
      <c r="B9403" s="0" t="s">
        <v>392</v>
      </c>
      <c r="C9403" s="29" t="n">
        <f aca="false">mix_g2*Sens!C9394</f>
        <v>288</v>
      </c>
      <c r="D9403" s="29" t="n">
        <f aca="false">mix_g2*Sens!D9394</f>
        <v>733.5</v>
      </c>
      <c r="E9403" s="29" t="n">
        <f aca="false">mix_g2*Sens!E9394</f>
        <v>1462.5</v>
      </c>
      <c r="F9403" s="29" t="n">
        <f aca="false">Sens!E9403-Sens!F9401*mix_g2</f>
        <v>1462.5</v>
      </c>
      <c r="G9403" s="29" t="n">
        <f aca="false">Sens!F9403-Sens!G9401*mix_g2</f>
        <v>1462.5</v>
      </c>
      <c r="H9403" s="29" t="n">
        <f aca="false">Sens!G9403-Sens!H9401*mix_g2</f>
        <v>1462.5</v>
      </c>
      <c r="I9403" s="29" t="n">
        <f aca="false">Sens!H9403-Sens!I9401*mix_g2</f>
        <v>1242</v>
      </c>
      <c r="J9403" s="29" t="n">
        <f aca="false">Sens!I9403-Sens!J9401*mix_g2</f>
        <v>909</v>
      </c>
      <c r="K9403" s="29" t="n">
        <f aca="false">Sens!J9403-Sens!K9401*mix_g2</f>
        <v>247.5</v>
      </c>
    </row>
    <row r="9404" customFormat="false" ht="17.15" hidden="false" customHeight="false" outlineLevel="0" collapsed="false">
      <c r="A9404" s="1" t="s">
        <v>814</v>
      </c>
      <c r="B9404" s="0" t="s">
        <v>392</v>
      </c>
      <c r="C9404" s="29" t="n">
        <f aca="false">mix_g3*Sens!C9394</f>
        <v>224</v>
      </c>
      <c r="D9404" s="29" t="n">
        <f aca="false">mix_g3*Sens!D9394</f>
        <v>570.5</v>
      </c>
      <c r="E9404" s="29" t="n">
        <f aca="false">mix_g3*Sens!E9394</f>
        <v>1137.5</v>
      </c>
      <c r="F9404" s="29" t="n">
        <f aca="false">Sens!E9404+(Sens!F9400+Sens!F9401)*a_g3_27-Sens!F9401*mix_g3</f>
        <v>2906.54</v>
      </c>
      <c r="G9404" s="29" t="n">
        <f aca="false">Sens!F9404+(Sens!G9400+Sens!G9401)*a_g3_28-Sens!G9401*mix_g3</f>
        <v>3664.7</v>
      </c>
      <c r="H9404" s="29" t="n">
        <f aca="false">Sens!G9404+(Sens!H9400+Sens!H9401)*a_g3_29-Sens!H9401*mix_g3</f>
        <v>3917.42</v>
      </c>
      <c r="I9404" s="29" t="n">
        <f aca="false">Sens!H9404+(Sens!I9400+Sens!I9401)*a_g3_29-Sens!I9401*mix_g3</f>
        <v>3974.2316</v>
      </c>
      <c r="J9404" s="29" t="n">
        <f aca="false">Sens!I9404+(Sens!J9400+Sens!J9401)*a_g3_29-Sens!J9401*mix_g3</f>
        <v>3895.1348</v>
      </c>
      <c r="K9404" s="29" t="n">
        <f aca="false">Sens!J9404+(Sens!K9400+Sens!K9401)*a_g3_29-Sens!K9401*mix_g3</f>
        <v>3560.1296</v>
      </c>
    </row>
    <row r="9405" customFormat="false" ht="17.15" hidden="false" customHeight="false" outlineLevel="0" collapsed="false">
      <c r="A9405" s="1" t="s">
        <v>815</v>
      </c>
      <c r="B9405" s="0" t="s">
        <v>392</v>
      </c>
      <c r="C9405" s="29" t="n">
        <v>0</v>
      </c>
      <c r="D9405" s="29" t="n">
        <v>0</v>
      </c>
      <c r="E9405" s="29" t="n">
        <v>0</v>
      </c>
      <c r="F9405" s="29" t="n">
        <f aca="false">Sens!E9405+(Sens!F9400+Sens!F9401)*(1-a_g3_27)</f>
        <v>758.16</v>
      </c>
      <c r="G9405" s="29" t="n">
        <f aca="false">Sens!F9405+(Sens!G9400+Sens!G9401)*(1-a_g3_28)</f>
        <v>2527.2</v>
      </c>
      <c r="H9405" s="29" t="n">
        <f aca="false">Sens!G9405+(Sens!H9400+Sens!H9401)*(1-a_g3_29)</f>
        <v>4801.68</v>
      </c>
      <c r="I9405" s="29" t="n">
        <f aca="false">Sens!H9405+(Sens!I9400+Sens!I9401)*(1-a_g3_29)</f>
        <v>6856.4844</v>
      </c>
      <c r="J9405" s="29" t="n">
        <f aca="false">Sens!I9405+(Sens!J9400+Sens!J9401)*(1-a_g3_29)</f>
        <v>8475.6132</v>
      </c>
      <c r="K9405" s="29" t="n">
        <f aca="false">Sens!J9405+(Sens!K9400+Sens!K9401)*(1-a_g3_29)</f>
        <v>10091.0664</v>
      </c>
    </row>
    <row r="9406" customFormat="false" ht="17.15" hidden="false" customHeight="false" outlineLevel="0" collapsed="false">
      <c r="A9406" s="1" t="s">
        <v>816</v>
      </c>
      <c r="B9406" s="0" t="s">
        <v>339</v>
      </c>
      <c r="C9406" s="14" t="n">
        <f aca="false">(Sens!C9402*tk_hold_h100+Sens!C9403*tk_hold_gb200+Sens!C9404*tk_hold_gb300+Sens!C9405*tk_hold_vr200)/Sens!C9394</f>
        <v>9.7235358126469</v>
      </c>
      <c r="D9406" s="14" t="n">
        <f aca="false">(Sens!D9402*tk_hold_h100+Sens!D9403*tk_hold_gb200+Sens!D9404*tk_hold_gb300+Sens!D9405*tk_hold_vr200)/Sens!D9394</f>
        <v>9.7235358126469</v>
      </c>
      <c r="E9406" s="14" t="n">
        <f aca="false">(Sens!E9402*tk_hold_h100+Sens!E9403*tk_hold_gb200+Sens!E9404*tk_hold_gb300+Sens!E9405*tk_hold_vr200)/Sens!E9394</f>
        <v>9.7235358126469</v>
      </c>
      <c r="F9406" s="14" t="n">
        <f aca="false">(Sens!F9402*tk_hold_h100+Sens!F9403*tk_hold_gb200+Sens!F9404*tk_hold_gb300+Sens!F9405*tk_hold_vr200)/Sens!F9394</f>
        <v>10.4079573161931</v>
      </c>
      <c r="G9406" s="14" t="n">
        <f aca="false">(Sens!G9402*tk_hold_h100+Sens!G9403*tk_hold_gb200+Sens!G9404*tk_hold_gb300+Sens!G9405*tk_hold_vr200)/Sens!G9394</f>
        <v>10.8388131109316</v>
      </c>
      <c r="H9406" s="14" t="n">
        <f aca="false">(Sens!H9402*tk_hold_h100+Sens!H9403*tk_hold_gb200+Sens!H9404*tk_hold_gb300+Sens!H9405*tk_hold_vr200)/Sens!H9394</f>
        <v>11.1311018388216</v>
      </c>
      <c r="I9406" s="14" t="n">
        <f aca="false">(Sens!I9402*tk_hold_h100+Sens!I9403*tk_hold_gb200+Sens!I9404*tk_hold_gb300+Sens!I9405*tk_hold_vr200)/Sens!I9394</f>
        <v>11.3594282560989</v>
      </c>
      <c r="J9406" s="14" t="n">
        <f aca="false">(Sens!J9402*tk_hold_h100+Sens!J9403*tk_hold_gb200+Sens!J9404*tk_hold_gb300+Sens!J9405*tk_hold_vr200)/Sens!J9394</f>
        <v>11.5441508808221</v>
      </c>
      <c r="K9406" s="14" t="n">
        <f aca="false">(Sens!K9402*tk_hold_h100+Sens!K9403*tk_hold_gb200+Sens!K9404*tk_hold_gb300+Sens!K9405*tk_hold_vr200)/Sens!K9394</f>
        <v>11.8053375063575</v>
      </c>
    </row>
    <row r="9407" customFormat="false" ht="17.15" hidden="false" customHeight="false" outlineLevel="0" collapsed="false">
      <c r="A9407" s="0" t="s">
        <v>817</v>
      </c>
      <c r="B9407" s="0" t="s">
        <v>185</v>
      </c>
      <c r="C9407" s="14" t="n">
        <f aca="false">k_B</f>
        <v>1.17213932619116</v>
      </c>
      <c r="D9407" s="14" t="n">
        <f aca="false">k_B</f>
        <v>1.17213932619116</v>
      </c>
      <c r="E9407" s="14" t="n">
        <f aca="false">k_B</f>
        <v>1.17213932619116</v>
      </c>
      <c r="F9407" s="14" t="n">
        <f aca="false">(k_B+((ls_B*k_long+(1-ls_B)*k_spot)-k_B)*MIN(1,(Sens!F9392-base_fy)/k_ramp))</f>
        <v>1.17213932619116</v>
      </c>
      <c r="G9407" s="14" t="n">
        <f aca="false">(k_B+((ls_B*k_long+(1-ls_B)*k_spot)-k_B)*MIN(1,(Sens!G9392-base_fy)/k_ramp))</f>
        <v>1.17213932619116</v>
      </c>
      <c r="H9407" s="14" t="n">
        <f aca="false">(k_B+((ls_B*k_long+(1-ls_B)*k_spot)-k_B)*MIN(1,(Sens!H9392-base_fy)/k_ramp))</f>
        <v>1.17213932619116</v>
      </c>
      <c r="I9407" s="14" t="n">
        <f aca="false">(k_B+((ls_B*k_long+(1-ls_B)*k_spot)-k_B)*MIN(1,(Sens!I9392-base_fy)/k_ramp))</f>
        <v>1.17213932619116</v>
      </c>
      <c r="J9407" s="14" t="n">
        <f aca="false">(k_B+((ls_B*k_long+(1-ls_B)*k_spot)-k_B)*MIN(1,(Sens!J9392-base_fy)/k_ramp))</f>
        <v>1.17213932619116</v>
      </c>
      <c r="K9407" s="14" t="n">
        <f aca="false">(k_B+((ls_B*k_long+(1-ls_B)*k_spot)-k_B)*MIN(1,(Sens!K9392-base_fy)/k_ramp))</f>
        <v>1.17213932619116</v>
      </c>
      <c r="L9407" s="1" t="s">
        <v>818</v>
      </c>
    </row>
    <row r="9408" customFormat="false" ht="17.15" hidden="false" customHeight="false" outlineLevel="0" collapsed="false">
      <c r="A9408" s="1" t="s">
        <v>819</v>
      </c>
      <c r="B9408" s="0" t="s">
        <v>339</v>
      </c>
      <c r="C9408" s="14" t="n">
        <f aca="false">Sens!C9406*Sens!C9407*chip_f</f>
        <v>11.3973387156315</v>
      </c>
      <c r="D9408" s="14" t="n">
        <f aca="false">Sens!D9406*Sens!D9407*chip_f</f>
        <v>11.3973387156315</v>
      </c>
      <c r="E9408" s="14" t="n">
        <f aca="false">Sens!E9406*Sens!E9407*chip_f</f>
        <v>11.3973387156315</v>
      </c>
      <c r="F9408" s="14" t="n">
        <f aca="false">Sens!F9406*Sens!F9407*chip_f</f>
        <v>12.1995760756289</v>
      </c>
      <c r="G9408" s="14" t="n">
        <f aca="false">Sens!G9406*Sens!G9407*chip_f</f>
        <v>12.7045990965592</v>
      </c>
      <c r="H9408" s="14" t="n">
        <f aca="false">Sens!H9406*Sens!H9407*chip_f</f>
        <v>13.0472022091214</v>
      </c>
      <c r="I9408" s="14" t="n">
        <f aca="false">Sens!I9406*Sens!I9407*chip_f</f>
        <v>13.3148325820205</v>
      </c>
      <c r="J9408" s="14" t="n">
        <f aca="false">Sens!J9406*Sens!J9407*chip_f</f>
        <v>13.5313532348958</v>
      </c>
      <c r="K9408" s="14" t="n">
        <f aca="false">Sens!K9406*Sens!K9407*chip_f</f>
        <v>13.8375003501611</v>
      </c>
      <c r="L9408" s="1" t="s">
        <v>820</v>
      </c>
    </row>
    <row r="9409" customFormat="false" ht="17.15" hidden="false" customHeight="false" outlineLevel="0" collapsed="false">
      <c r="A9409" s="0" t="s">
        <v>821</v>
      </c>
      <c r="B9409" s="0" t="s">
        <v>98</v>
      </c>
      <c r="D9409" s="6" t="n">
        <f aca="false">(Sens!C9394+Sens!D9394)/2*Sens!D9408/1000</f>
        <v>12.9359794422418</v>
      </c>
      <c r="E9409" s="6" t="n">
        <f aca="false">(Sens!D9394+Sens!E9394)/2*Sens!E9408/1000</f>
        <v>27.8095064661409</v>
      </c>
      <c r="F9409" s="6" t="n">
        <f aca="false">(Sens!E9394+Sens!F9394)/2*Sens!F9408/1000</f>
        <v>55.0640065749585</v>
      </c>
      <c r="G9409" s="6" t="n">
        <f aca="false">(Sens!F9394+Sens!G9394)/2*Sens!G9408/1000</f>
        <v>89.4505413190538</v>
      </c>
      <c r="H9409" s="6" t="n">
        <f aca="false">(Sens!G9394+Sens!H9394)/2*Sens!H9408/1000</f>
        <v>124.835630736874</v>
      </c>
      <c r="I9409" s="6" t="n">
        <f aca="false">(Sens!H9394+Sens!I9394)/2*Sens!I9408/1000</f>
        <v>156.158460265485</v>
      </c>
      <c r="J9409" s="6" t="n">
        <f aca="false">(Sens!I9394+Sens!J9394)/2*Sens!J9408/1000</f>
        <v>177.99455972577</v>
      </c>
      <c r="K9409" s="6" t="n">
        <f aca="false">(Sens!J9394+Sens!K9394)/2*Sens!K9408/1000</f>
        <v>191.597101773408</v>
      </c>
      <c r="L9409" s="11" t="s">
        <v>822</v>
      </c>
    </row>
    <row r="9410" customFormat="false" ht="17.15" hidden="false" customHeight="false" outlineLevel="0" collapsed="false">
      <c r="A9410" s="1" t="s">
        <v>823</v>
      </c>
      <c r="B9410" s="0" t="s">
        <v>339</v>
      </c>
      <c r="C9410" s="14" t="n">
        <f aca="false">(Sens!C9402*tk_opex_h100+Sens!C9403*tk_opex_gb200+Sens!C9404*tk_opex_gb300+Sens!C9405*tk_opex_vr200)/Sens!C9394</f>
        <v>1.88636041306092</v>
      </c>
      <c r="D9410" s="14" t="n">
        <f aca="false">(Sens!D9402*tk_opex_h100+Sens!D9403*tk_opex_gb200+Sens!D9404*tk_opex_gb300+Sens!D9405*tk_opex_vr200)/Sens!D9394</f>
        <v>1.88636041306092</v>
      </c>
      <c r="E9410" s="14" t="n">
        <f aca="false">(Sens!E9402*tk_opex_h100+Sens!E9403*tk_opex_gb200+Sens!E9404*tk_opex_gb300+Sens!E9405*tk_opex_vr200)/Sens!E9394</f>
        <v>1.88636041306092</v>
      </c>
      <c r="F9410" s="14" t="n">
        <f aca="false">(Sens!F9402*tk_opex_h100+Sens!F9403*tk_opex_gb200+Sens!F9404*tk_opex_gb300+Sens!F9405*tk_opex_vr200)/Sens!F9394</f>
        <v>1.9430236476499</v>
      </c>
      <c r="G9410" s="14" t="n">
        <f aca="false">(Sens!G9402*tk_opex_h100+Sens!G9403*tk_opex_gb200+Sens!G9404*tk_opex_gb300+Sens!G9405*tk_opex_vr200)/Sens!G9394</f>
        <v>1.9786941852423</v>
      </c>
      <c r="H9410" s="14" t="n">
        <f aca="false">(Sens!H9402*tk_opex_h100+Sens!H9403*tk_opex_gb200+Sens!H9404*tk_opex_gb300+Sens!H9405*tk_opex_vr200)/Sens!H9394</f>
        <v>2.00289275976156</v>
      </c>
      <c r="I9410" s="14" t="n">
        <f aca="false">(Sens!I9402*tk_opex_h100+Sens!I9403*tk_opex_gb200+Sens!I9404*tk_opex_gb300+Sens!I9405*tk_opex_vr200)/Sens!I9394</f>
        <v>2.02179589661219</v>
      </c>
      <c r="J9410" s="14" t="n">
        <f aca="false">(Sens!J9402*tk_opex_h100+Sens!J9403*tk_opex_gb200+Sens!J9404*tk_opex_gb300+Sens!J9405*tk_opex_vr200)/Sens!J9394</f>
        <v>2.03708907685909</v>
      </c>
      <c r="K9410" s="14" t="n">
        <f aca="false">(Sens!K9402*tk_opex_h100+Sens!K9403*tk_opex_gb200+Sens!K9404*tk_opex_gb300+Sens!K9405*tk_opex_vr200)/Sens!K9394</f>
        <v>2.05871270931005</v>
      </c>
    </row>
    <row r="9411" customFormat="false" ht="17.15" hidden="false" customHeight="false" outlineLevel="0" collapsed="false">
      <c r="A9411" s="0" t="s">
        <v>824</v>
      </c>
      <c r="B9411" s="0" t="s">
        <v>98</v>
      </c>
      <c r="D9411" s="6" t="n">
        <f aca="false">(Sens!C9397+Sens!D9397)/2*Sens!D9410/1000</f>
        <v>2.70378325872065</v>
      </c>
      <c r="E9411" s="6" t="n">
        <f aca="false">(Sens!D9397+Sens!E9397)/2*Sens!E9410/1000</f>
        <v>6.17783035277451</v>
      </c>
      <c r="F9411" s="6" t="n">
        <f aca="false">(Sens!E9397+Sens!F9397)/2*Sens!F9410/1000</f>
        <v>12.5020618235287</v>
      </c>
      <c r="G9411" s="6" t="n">
        <f aca="false">(Sens!F9397+Sens!G9397)/2*Sens!G9410/1000</f>
        <v>20.7261620256847</v>
      </c>
      <c r="H9411" s="6" t="n">
        <f aca="false">(Sens!G9397+Sens!H9397)/2*Sens!H9410/1000</f>
        <v>29.4158183316982</v>
      </c>
      <c r="I9411" s="6" t="n">
        <f aca="false">(Sens!H9397+Sens!I9397)/2*Sens!I9410/1000</f>
        <v>36.9724400356344</v>
      </c>
      <c r="J9411" s="6" t="n">
        <f aca="false">(Sens!I9397+Sens!J9397)/2*Sens!J9410/1000</f>
        <v>42.0938382992747</v>
      </c>
      <c r="K9411" s="6" t="n">
        <f aca="false">(Sens!J9397+Sens!K9397)/2*Sens!K9410/1000</f>
        <v>44.9150106651501</v>
      </c>
    </row>
    <row r="9412" customFormat="false" ht="17.15" hidden="false" customHeight="false" outlineLevel="0" collapsed="false">
      <c r="A9412" s="0" t="s">
        <v>825</v>
      </c>
      <c r="B9412" s="0" t="s">
        <v>98</v>
      </c>
      <c r="D9412" s="6" t="n">
        <f aca="false">(Sens!C9395+Sens!D9395)/2*rent_mw/1000</f>
        <v>2.44475</v>
      </c>
      <c r="E9412" s="6" t="n">
        <f aca="false">(Sens!D9395+Sens!E9395)/2*rent_mw/1000</f>
        <v>4.22275</v>
      </c>
      <c r="F9412" s="6" t="n">
        <f aca="false">(Sens!E9395+Sens!F9395)/2*rent_mw/1000</f>
        <v>5.80517</v>
      </c>
      <c r="G9412" s="6" t="n">
        <f aca="false">(Sens!F9395+Sens!G9395)/2*rent_mw/1000</f>
        <v>6.72084</v>
      </c>
      <c r="H9412" s="6" t="n">
        <f aca="false">(Sens!G9395+Sens!H9395)/2*rent_mw/1000</f>
        <v>6.72084</v>
      </c>
      <c r="I9412" s="6" t="n">
        <f aca="false">(Sens!H9395+Sens!I9395)/2*rent_mw/1000</f>
        <v>6.72084</v>
      </c>
      <c r="J9412" s="6" t="n">
        <f aca="false">(Sens!I9395+Sens!J9395)/2*rent_mw/1000</f>
        <v>6.72084</v>
      </c>
      <c r="K9412" s="6" t="n">
        <f aca="false">(Sens!J9395+Sens!K9395)/2*rent_mw/1000</f>
        <v>6.72084</v>
      </c>
    </row>
    <row r="9413" customFormat="false" ht="17.15" hidden="false" customHeight="false" outlineLevel="0" collapsed="false">
      <c r="A9413" s="0" t="s">
        <v>826</v>
      </c>
      <c r="B9413" s="0" t="s">
        <v>98</v>
      </c>
      <c r="D9413" s="6" t="n">
        <f aca="false">(Sens!C9397+Sens!D9397)/2*(1-self_build)*fac_rent/1000</f>
        <v>0.853242375631075</v>
      </c>
      <c r="E9413" s="6" t="n">
        <f aca="false">(Sens!D9397+Sens!E9397)/2*(1-self_build)*fac_rent/1000</f>
        <v>1.94955961408728</v>
      </c>
      <c r="F9413" s="6" t="n">
        <f aca="false">(Sens!E9397+Sens!F9397)/2*(1-self_build)*fac_rent/1000</f>
        <v>3.83026455274573</v>
      </c>
      <c r="G9413" s="6" t="n">
        <f aca="false">(Sens!F9397+Sens!G9397)/2*(1-self_build)*fac_rent/1000</f>
        <v>6.23541590972812</v>
      </c>
      <c r="H9413" s="6" t="n">
        <f aca="false">(Sens!G9397+Sens!H9397)/2*(1-self_build)*fac_rent/1000</f>
        <v>8.74275792332679</v>
      </c>
      <c r="I9413" s="6" t="n">
        <f aca="false">(Sens!H9397+Sens!I9397)/2*(1-self_build)*fac_rent/1000</f>
        <v>10.8859420438599</v>
      </c>
      <c r="J9413" s="6" t="n">
        <f aca="false">(Sens!I9397+Sens!J9397)/2*(1-self_build)*fac_rent/1000</f>
        <v>12.3008103782619</v>
      </c>
      <c r="K9413" s="6" t="n">
        <f aca="false">(Sens!J9397+Sens!K9397)/2*(1-self_build)*fac_rent/1000</f>
        <v>12.9873629265328</v>
      </c>
      <c r="L9413" s="11" t="s">
        <v>827</v>
      </c>
    </row>
    <row r="9414" customFormat="false" ht="17.15" hidden="false" customHeight="false" outlineLevel="0" collapsed="false">
      <c r="A9414" s="1" t="s">
        <v>828</v>
      </c>
      <c r="B9414" s="0" t="s">
        <v>129</v>
      </c>
      <c r="D9414" s="7" t="n">
        <f aca="false">(Sens!C9396+Sens!D9396)/(Sens!C9397+Sens!D9397)</f>
        <v>0.6</v>
      </c>
      <c r="E9414" s="7" t="n">
        <f aca="false">(Sens!D9396+Sens!E9396)/(Sens!D9397+Sens!E9397)</f>
        <v>0.6</v>
      </c>
      <c r="F9414" s="7" t="n">
        <f aca="false">(Sens!E9396+Sens!F9396)/(Sens!E9397+Sens!F9397)</f>
        <v>0.6</v>
      </c>
      <c r="G9414" s="7" t="n">
        <f aca="false">(Sens!F9396+Sens!G9396)/(Sens!F9397+Sens!G9397)</f>
        <v>0.6</v>
      </c>
      <c r="H9414" s="7" t="n">
        <f aca="false">(Sens!G9396+Sens!H9396)/(Sens!G9397+Sens!H9397)</f>
        <v>0.6</v>
      </c>
      <c r="I9414" s="7" t="n">
        <f aca="false">(Sens!H9396+Sens!I9396)/(Sens!H9397+Sens!I9397)</f>
        <v>0.6</v>
      </c>
      <c r="J9414" s="7" t="n">
        <f aca="false">(Sens!I9396+Sens!J9396)/(Sens!I9397+Sens!J9397)</f>
        <v>0.6</v>
      </c>
      <c r="K9414" s="7" t="n">
        <f aca="false">(Sens!J9396+Sens!K9396)/(Sens!J9397+Sens!K9397)</f>
        <v>0.6</v>
      </c>
    </row>
    <row r="9415" customFormat="false" ht="17.15" hidden="false" customHeight="false" outlineLevel="0" collapsed="false">
      <c r="A9415" s="0" t="s">
        <v>829</v>
      </c>
      <c r="B9415" s="0" t="s">
        <v>98</v>
      </c>
      <c r="D9415" s="6" t="n">
        <f aca="false">Sens!D9409-Sens!D9414*(Sens!D9411+Sens!D9413)-Sens!D9412</f>
        <v>8.35701406163072</v>
      </c>
      <c r="E9415" s="6" t="n">
        <f aca="false">Sens!E9409-Sens!E9414*(Sens!E9411+Sens!E9413)-Sens!E9412</f>
        <v>18.7103224860238</v>
      </c>
      <c r="F9415" s="6" t="n">
        <f aca="false">Sens!F9409-Sens!F9414*(Sens!F9411+Sens!F9413)-Sens!F9412</f>
        <v>39.4594407491938</v>
      </c>
      <c r="G9415" s="6" t="n">
        <f aca="false">Sens!G9409-Sens!G9414*(Sens!G9411+Sens!G9413)-Sens!G9412</f>
        <v>66.5527545578061</v>
      </c>
      <c r="H9415" s="6" t="n">
        <f aca="false">Sens!H9409-Sens!H9414*(Sens!H9411+Sens!H9413)-Sens!H9412</f>
        <v>95.219644983859</v>
      </c>
      <c r="I9415" s="6" t="n">
        <f aca="false">Sens!I9409-Sens!I9414*(Sens!I9411+Sens!I9413)-Sens!I9412</f>
        <v>120.722591017788</v>
      </c>
      <c r="J9415" s="6" t="n">
        <f aca="false">Sens!J9409-Sens!J9414*(Sens!J9411+Sens!J9413)-Sens!J9412</f>
        <v>138.636930519248</v>
      </c>
      <c r="K9415" s="6" t="n">
        <f aca="false">Sens!K9409-Sens!K9414*(Sens!K9411+Sens!K9413)-Sens!K9412</f>
        <v>150.134837618398</v>
      </c>
    </row>
    <row r="9416" customFormat="false" ht="17.15" hidden="false" customHeight="false" outlineLevel="0" collapsed="false">
      <c r="A9416" s="1" t="s">
        <v>830</v>
      </c>
      <c r="B9416" s="0" t="s">
        <v>98</v>
      </c>
      <c r="D9416" s="6" t="n">
        <f aca="false">(1-Sens!D9414)*(Sens!D9411+Sens!D9413)</f>
        <v>1.42281025374069</v>
      </c>
      <c r="E9416" s="6" t="n">
        <f aca="false">(1-Sens!E9414)*(Sens!E9411+Sens!E9413)</f>
        <v>3.25095598674472</v>
      </c>
      <c r="F9416" s="6" t="n">
        <f aca="false">(1-Sens!F9414)*(Sens!F9411+Sens!F9413)</f>
        <v>6.53293055050977</v>
      </c>
      <c r="G9416" s="6" t="n">
        <f aca="false">(1-Sens!G9414)*(Sens!G9411+Sens!G9413)</f>
        <v>10.7846311741651</v>
      </c>
      <c r="H9416" s="6" t="n">
        <f aca="false">(1-Sens!H9414)*(Sens!H9411+Sens!H9413)</f>
        <v>15.26343050201</v>
      </c>
      <c r="I9416" s="6" t="n">
        <f aca="false">(1-Sens!I9414)*(Sens!I9411+Sens!I9413)</f>
        <v>19.1433528317977</v>
      </c>
      <c r="J9416" s="6" t="n">
        <f aca="false">(1-Sens!J9414)*(Sens!J9411+Sens!J9413)</f>
        <v>21.7578594710146</v>
      </c>
      <c r="K9416" s="6" t="n">
        <f aca="false">(1-Sens!K9414)*(Sens!K9411+Sens!K9413)</f>
        <v>23.1609494366731</v>
      </c>
    </row>
    <row r="9417" customFormat="false" ht="17.15" hidden="false" customHeight="false" outlineLevel="0" collapsed="false">
      <c r="A9417" s="1" t="s">
        <v>831</v>
      </c>
      <c r="B9417" s="0" t="s">
        <v>350</v>
      </c>
      <c r="C9417" s="8" t="n">
        <f aca="false">cxit_open</f>
        <v>27.5918995</v>
      </c>
      <c r="D9417" s="8" t="n">
        <f aca="false">cxit_open</f>
        <v>27.5918995</v>
      </c>
      <c r="E9417" s="8" t="n">
        <f aca="false">cxit_open</f>
        <v>27.5918995</v>
      </c>
      <c r="F9417" s="8" t="n">
        <f aca="false">(a_g3_27*tk_cxit_gb300+(1-a_g3_27)*tk_cxit_vr200)</f>
        <v>33.8419624</v>
      </c>
      <c r="G9417" s="8" t="n">
        <f aca="false">(a_g3_28*tk_cxit_gb300+(1-a_g3_28)*tk_cxit_vr200)</f>
        <v>35.9816136</v>
      </c>
      <c r="H9417" s="8" t="n">
        <f aca="false">(a_g3_29*tk_cxit_gb300+(1-a_g3_29)*tk_cxit_vr200)</f>
        <v>37.0514392</v>
      </c>
      <c r="I9417" s="8" t="n">
        <f aca="false">(a_g3_29*tk_cxit_gb300+(1-a_g3_29)*tk_cxit_vr200)</f>
        <v>37.0514392</v>
      </c>
      <c r="J9417" s="8" t="n">
        <f aca="false">(a_g3_29*tk_cxit_gb300+(1-a_g3_29)*tk_cxit_vr200)</f>
        <v>37.0514392</v>
      </c>
      <c r="K9417" s="8" t="n">
        <f aca="false">(a_g3_29*tk_cxit_gb300+(1-a_g3_29)*tk_cxit_vr200)</f>
        <v>37.0514392</v>
      </c>
      <c r="L9417" s="11" t="s">
        <v>832</v>
      </c>
    </row>
    <row r="9418" customFormat="false" ht="17.15" hidden="false" customHeight="false" outlineLevel="0" collapsed="false">
      <c r="A9418" s="0" t="s">
        <v>833</v>
      </c>
      <c r="B9418" s="0" t="s">
        <v>392</v>
      </c>
      <c r="F9418" s="29" t="n">
        <f aca="false">Sens!C9399*IF(Sens!F9392-Sens!C9392=life_it,1,0)+Sens!D9399*IF(Sens!F9392-Sens!D9392=life_it,1,0)+Sens!E9399*IF(Sens!F9392-Sens!E9392=life_it,1,0)</f>
        <v>0</v>
      </c>
      <c r="G9418" s="29" t="n">
        <f aca="false">Sens!C9399*IF(Sens!G9392-Sens!C9392=life_it,1,0)+Sens!D9399*IF(Sens!G9392-Sens!D9392=life_it,1,0)+Sens!E9399*IF(Sens!G9392-Sens!E9392=life_it,1,0)+Sens!F9399*IF(Sens!G9392-Sens!F9392=life_it,1,0)</f>
        <v>0</v>
      </c>
      <c r="H9418" s="29" t="n">
        <f aca="false">Sens!C9399*IF(Sens!H9392-Sens!C9392=life_it,1,0)+Sens!D9399*IF(Sens!H9392-Sens!D9392=life_it,1,0)+Sens!E9399*IF(Sens!H9392-Sens!E9392=life_it,1,0)+Sens!F9399*IF(Sens!H9392-Sens!F9392=life_it,1,0)+Sens!G9399*IF(Sens!H9392-Sens!G9392=life_it,1,0)</f>
        <v>0</v>
      </c>
      <c r="I9418" s="29" t="n">
        <f aca="false">Sens!C9399*IF(Sens!I9392-Sens!C9392=life_it,1,0)+Sens!D9399*IF(Sens!I9392-Sens!D9392=life_it,1,0)+Sens!E9399*IF(Sens!I9392-Sens!E9392=life_it,1,0)+Sens!F9399*IF(Sens!I9392-Sens!F9392=life_it,1,0)+Sens!G9399*IF(Sens!I9392-Sens!G9392=life_it,1,0)+Sens!H9399*IF(Sens!I9392-Sens!H9392=life_it,1,0)</f>
        <v>816.666666666667</v>
      </c>
      <c r="J9418" s="29" t="n">
        <f aca="false">Sens!C9399*IF(Sens!J9392-Sens!C9392=life_it,1,0)+Sens!D9399*IF(Sens!J9392-Sens!D9392=life_it,1,0)+Sens!E9399*IF(Sens!J9392-Sens!E9392=life_it,1,0)+Sens!F9399*IF(Sens!J9392-Sens!F9392=life_it,1,0)+Sens!G9399*IF(Sens!J9392-Sens!G9392=life_it,1,0)+Sens!H9399*IF(Sens!J9392-Sens!H9392=life_it,1,0)+Sens!I9399*IF(Sens!J9392-Sens!I9392=life_it,1,0)</f>
        <v>1233.33333333333</v>
      </c>
      <c r="K9418" s="29" t="n">
        <f aca="false">Sens!C9399*IF(Sens!K9392-Sens!C9392=life_it,1,0)+Sens!D9399*IF(Sens!K9392-Sens!D9392=life_it,1,0)+Sens!E9399*IF(Sens!K9392-Sens!E9392=life_it,1,0)+Sens!F9399*IF(Sens!K9392-Sens!F9392=life_it,1,0)+Sens!G9399*IF(Sens!K9392-Sens!G9392=life_it,1,0)+Sens!H9399*IF(Sens!K9392-Sens!H9392=life_it,1,0)+Sens!I9399*IF(Sens!K9392-Sens!I9392=life_it,1,0)+Sens!J9399*IF(Sens!K9392-Sens!J9392=life_it,1,0)</f>
        <v>2450</v>
      </c>
      <c r="L9418" s="1" t="s">
        <v>834</v>
      </c>
    </row>
    <row r="9419" customFormat="false" ht="17.15" hidden="false" customHeight="false" outlineLevel="0" collapsed="false">
      <c r="A9419" s="0" t="s">
        <v>835</v>
      </c>
      <c r="B9419" s="0" t="s">
        <v>98</v>
      </c>
      <c r="C9419" s="6" t="n">
        <f aca="false">Sens!C9399*Sens!C9417/1000</f>
        <v>22.5333845916667</v>
      </c>
      <c r="D9419" s="6" t="n">
        <f aca="false">Sens!D9399*Sens!D9417/1000</f>
        <v>34.0300093833333</v>
      </c>
      <c r="E9419" s="6" t="n">
        <f aca="false">Sens!E9399*Sens!E9417/1000</f>
        <v>67.600153775</v>
      </c>
      <c r="F9419" s="6" t="n">
        <f aca="false">(Sens!F9399+Sens!F9418)*Sens!F9417/1000</f>
        <v>130.923271871467</v>
      </c>
      <c r="G9419" s="6" t="n">
        <f aca="false">(Sens!G9399+Sens!G9418)*Sens!G9417/1000</f>
        <v>151.5545564832</v>
      </c>
      <c r="H9419" s="6" t="n">
        <f aca="false">(Sens!H9399+Sens!H9418)*Sens!H9417/1000</f>
        <v>156.0606619104</v>
      </c>
      <c r="I9419" s="6" t="n">
        <f aca="false">(Sens!I9399+Sens!I9418)*Sens!I9417/1000</f>
        <v>140.987889434245</v>
      </c>
      <c r="J9419" s="6" t="n">
        <f aca="false">(Sens!J9399+Sens!J9418)*Sens!J9417/1000</f>
        <v>111.094541278091</v>
      </c>
      <c r="K9419" s="6" t="n">
        <f aca="false">(Sens!K9399+Sens!K9418)*Sens!K9417/1000</f>
        <v>110.842344481936</v>
      </c>
    </row>
    <row r="9420" customFormat="false" ht="17.15" hidden="false" customHeight="false" outlineLevel="0" collapsed="false">
      <c r="A9420" s="0" t="s">
        <v>836</v>
      </c>
      <c r="B9420" s="0" t="s">
        <v>98</v>
      </c>
      <c r="C9420" s="6" t="n">
        <f aca="false">Sens!C9399*self_build*tk_cxfac/1000</f>
        <v>6.2083</v>
      </c>
      <c r="D9420" s="6" t="n">
        <f aca="false">Sens!D9399*self_build*tk_cxfac/1000</f>
        <v>9.3758</v>
      </c>
      <c r="E9420" s="6" t="n">
        <f aca="false">Sens!E9399*self_build*tk_cxfac/1000</f>
        <v>18.6249</v>
      </c>
      <c r="F9420" s="6" t="n">
        <f aca="false">Sens!F9399*self_build*tk_cxfac/1000</f>
        <v>29.409604</v>
      </c>
      <c r="G9420" s="6" t="n">
        <f aca="false">Sens!G9399*self_build*tk_cxfac/1000</f>
        <v>32.019624</v>
      </c>
      <c r="H9420" s="6" t="n">
        <f aca="false">Sens!H9399*self_build*tk_cxfac/1000</f>
        <v>32.019624</v>
      </c>
      <c r="I9420" s="6" t="n">
        <f aca="false">Sens!I9399*self_build*tk_cxfac/1000</f>
        <v>22.71877972</v>
      </c>
      <c r="J9420" s="6" t="n">
        <f aca="false">Sens!J9399*self_build*tk_cxfac/1000</f>
        <v>13.41793544</v>
      </c>
      <c r="K9420" s="6" t="n">
        <f aca="false">Sens!K9399*self_build*tk_cxfac/1000</f>
        <v>4.11709116000001</v>
      </c>
    </row>
    <row r="9421" customFormat="false" ht="17.15" hidden="false" customHeight="false" outlineLevel="0" collapsed="false">
      <c r="A9421" s="0" t="s">
        <v>837</v>
      </c>
      <c r="B9421" s="0" t="s">
        <v>98</v>
      </c>
      <c r="F9421" s="6" t="n">
        <f aca="false">MAX(0,capex_floor27-Sens!F9419-Sens!F9420-Sens!F9514)</f>
        <v>8.27784289897088</v>
      </c>
      <c r="L9421" s="1" t="s">
        <v>838</v>
      </c>
    </row>
    <row r="9422" customFormat="false" ht="17.15" hidden="false" customHeight="false" outlineLevel="0" collapsed="false">
      <c r="A9422" s="0" t="s">
        <v>839</v>
      </c>
      <c r="B9422" s="0" t="s">
        <v>98</v>
      </c>
      <c r="C9422" s="6" t="n">
        <f aca="false">Sens!C9419</f>
        <v>22.5333845916667</v>
      </c>
      <c r="D9422" s="6" t="n">
        <f aca="false">Sens!D9419</f>
        <v>34.0300093833333</v>
      </c>
      <c r="E9422" s="6" t="n">
        <f aca="false">Sens!E9419</f>
        <v>67.600153775</v>
      </c>
      <c r="F9422" s="6" t="n">
        <f aca="false">Sens!F9419+Sens!F9421</f>
        <v>139.201114770438</v>
      </c>
      <c r="G9422" s="6" t="n">
        <f aca="false">Sens!G9419</f>
        <v>151.5545564832</v>
      </c>
      <c r="H9422" s="6" t="n">
        <f aca="false">Sens!H9419</f>
        <v>156.0606619104</v>
      </c>
      <c r="I9422" s="6" t="n">
        <f aca="false">Sens!I9419</f>
        <v>140.987889434245</v>
      </c>
      <c r="J9422" s="6" t="n">
        <f aca="false">Sens!J9419</f>
        <v>111.094541278091</v>
      </c>
      <c r="K9422" s="6" t="n">
        <f aca="false">Sens!K9419</f>
        <v>110.842344481936</v>
      </c>
    </row>
    <row r="9423" customFormat="false" ht="17.15" hidden="false" customHeight="false" outlineLevel="0" collapsed="false">
      <c r="A9423" s="0" t="s">
        <v>840</v>
      </c>
      <c r="B9423" s="0" t="s">
        <v>98</v>
      </c>
      <c r="C9423" s="6" t="n">
        <f aca="false">Sens!C9422+Sens!C9420</f>
        <v>28.7416845916667</v>
      </c>
      <c r="D9423" s="6" t="n">
        <f aca="false">Sens!D9422+Sens!D9420</f>
        <v>43.4058093833333</v>
      </c>
      <c r="E9423" s="6" t="n">
        <f aca="false">Sens!E9422+Sens!E9420</f>
        <v>86.225053775</v>
      </c>
      <c r="F9423" s="6" t="n">
        <f aca="false">Sens!F9422+Sens!F9420</f>
        <v>168.610718770438</v>
      </c>
      <c r="G9423" s="6" t="n">
        <f aca="false">Sens!G9422+Sens!G9420</f>
        <v>183.5741804832</v>
      </c>
      <c r="H9423" s="6" t="n">
        <f aca="false">Sens!H9422+Sens!H9420</f>
        <v>188.0802859104</v>
      </c>
      <c r="I9423" s="6" t="n">
        <f aca="false">Sens!I9422+Sens!I9420</f>
        <v>163.706669154245</v>
      </c>
      <c r="J9423" s="6" t="n">
        <f aca="false">Sens!J9422+Sens!J9420</f>
        <v>124.51247671809</v>
      </c>
      <c r="K9423" s="6" t="n">
        <f aca="false">Sens!K9422+Sens!K9420</f>
        <v>114.959435641936</v>
      </c>
      <c r="L9423" s="11" t="s">
        <v>841</v>
      </c>
    </row>
    <row r="9424" customFormat="false" ht="17.15" hidden="false" customHeight="false" outlineLevel="0" collapsed="false">
      <c r="A9424" s="0" t="s">
        <v>842</v>
      </c>
      <c r="B9424" s="0" t="s">
        <v>98</v>
      </c>
      <c r="E9424" s="6" t="n">
        <f aca="false">(Sens!C9422*IF(2&lt;life_it,1,IF(2=life_it,0.5,0))+Sens!D9422*IF(1&lt;life_it,1,IF(1=life_it,0.5,0))+Sens!E9422*0.5)/life_it</f>
        <v>15.0605784770833</v>
      </c>
      <c r="F9424" s="6" t="n">
        <f aca="false">(Sens!C9422*IF(3&lt;life_it,1,IF(3=life_it,0.5,0))+Sens!D9422*IF(2&lt;life_it,1,IF(2=life_it,0.5,0))+Sens!E9422*IF(1&lt;life_it,1,IF(1=life_it,0.5,0))+Sens!F9422*0.5)/life_it</f>
        <v>32.2940175225365</v>
      </c>
      <c r="G9424" s="6" t="n">
        <f aca="false">(Sens!C9422*IF(4&lt;life_it,1,IF(4=life_it,0.5,0))+Sens!D9422*IF(3&lt;life_it,1,IF(3=life_it,0.5,0))+Sens!E9422*IF(2&lt;life_it,1,IF(2=life_it,0.5,0))+Sens!F9422*IF(1&lt;life_it,1,IF(1=life_it,0.5,0))+Sens!G9422*0.5)/life_it</f>
        <v>56.5236567936729</v>
      </c>
      <c r="H9424" s="6" t="n">
        <f aca="false">(Sens!C9422*IF(5&lt;life_it,1,IF(5=life_it,0.5,0))+Sens!D9422*IF(4&lt;life_it,1,IF(4=life_it,0.5,0))+Sens!E9422*IF(3&lt;life_it,1,IF(3=life_it,0.5,0))+Sens!F9422*IF(2&lt;life_it,1,IF(2=life_it,0.5,0))+Sens!G9422*IF(1&lt;life_it,1,IF(1=life_it,0.5,0))+Sens!H9422*0.5)/life_it</f>
        <v>82.1582583264729</v>
      </c>
      <c r="I9424" s="6" t="n">
        <f aca="false">(Sens!C9422*IF(6&lt;life_it,1,IF(6=life_it,0.5,0))+Sens!D9422*IF(5&lt;life_it,1,IF(5=life_it,0.5,0))+Sens!E9422*IF(4&lt;life_it,1,IF(4=life_it,0.5,0))+Sens!F9422*IF(3&lt;life_it,1,IF(3=life_it,0.5,0))+Sens!G9422*IF(2&lt;life_it,1,IF(2=life_it,0.5,0))+Sens!H9422*IF(1&lt;life_it,1,IF(1=life_it,0.5,0))+Sens!I9422*0.5)/life_it</f>
        <v>105.034522222554</v>
      </c>
      <c r="J9424" s="6" t="n">
        <f aca="false">(Sens!C9422*IF(7&lt;life_it,1,IF(7=life_it,0.5,0))+Sens!D9422*IF(6&lt;life_it,1,IF(6=life_it,0.5,0))+Sens!E9422*IF(5&lt;life_it,1,IF(5=life_it,0.5,0))+Sens!F9422*IF(4&lt;life_it,1,IF(4=life_it,0.5,0))+Sens!G9422*IF(3&lt;life_it,1,IF(3=life_it,0.5,0))+Sens!H9422*IF(2&lt;life_it,1,IF(2=life_it,0.5,0))+Sens!I9422*IF(1&lt;life_it,1,IF(1=life_it,0.5,0))+Sens!J9422*0.5)/life_it</f>
        <v>121.327775283999</v>
      </c>
      <c r="K9424" s="6" t="n">
        <f aca="false">(Sens!C9422*IF(8&lt;life_it,1,IF(8=life_it,0.5,0))+Sens!D9422*IF(7&lt;life_it,1,IF(7=life_it,0.5,0))+Sens!E9422*IF(6&lt;life_it,1,IF(6=life_it,0.5,0))+Sens!F9422*IF(5&lt;life_it,1,IF(5=life_it,0.5,0))+Sens!G9422*IF(4&lt;life_it,1,IF(4=life_it,0.5,0))+Sens!H9422*IF(3&lt;life_it,1,IF(3=life_it,0.5,0))+Sens!I9422*IF(2&lt;life_it,1,IF(2=life_it,0.5,0))+Sens!J9422*IF(1&lt;life_it,1,IF(1=life_it,0.5,0))+Sens!K9422*0.5)/life_it</f>
        <v>131.353335500807</v>
      </c>
    </row>
    <row r="9425" customFormat="false" ht="17.15" hidden="false" customHeight="false" outlineLevel="0" collapsed="false">
      <c r="A9425" s="0" t="s">
        <v>843</v>
      </c>
      <c r="B9425" s="0" t="s">
        <v>98</v>
      </c>
      <c r="E9425" s="6" t="n">
        <f aca="false">(Sens!C9420*IF(2&lt;life_fac,1,IF(2=life_fac,0.5,0))+Sens!D9420*IF(1&lt;life_fac,1,IF(1=life_fac,0.5,0))+Sens!E9420*0.5)/life_fac</f>
        <v>1.2448275</v>
      </c>
      <c r="F9425" s="6" t="n">
        <f aca="false">(Sens!C9420*IF(3&lt;life_fac,1,IF(3=life_fac,0.5,0))+Sens!D9420*IF(2&lt;life_fac,1,IF(2=life_fac,0.5,0))+Sens!E9420*IF(1&lt;life_fac,1,IF(1=life_fac,0.5,0))+Sens!F9420*0.5)/life_fac</f>
        <v>2.4456901</v>
      </c>
      <c r="G9425" s="6" t="n">
        <f aca="false">(Sens!C9420*IF(4&lt;life_fac,1,IF(4=life_fac,0.5,0))+Sens!D9420*IF(3&lt;life_fac,1,IF(3=life_fac,0.5,0))+Sens!E9420*IF(2&lt;life_fac,1,IF(2=life_fac,0.5,0))+Sens!F9420*IF(1&lt;life_fac,1,IF(1=life_fac,0.5,0))+Sens!G9420*0.5)/life_fac</f>
        <v>3.9814208</v>
      </c>
      <c r="H9425" s="6" t="n">
        <f aca="false">(Sens!C9420*IF(5&lt;life_fac,1,IF(5=life_fac,0.5,0))+Sens!D9420*IF(4&lt;life_fac,1,IF(4=life_fac,0.5,0))+Sens!E9420*IF(3&lt;life_fac,1,IF(3=life_fac,0.5,0))+Sens!F9420*IF(2&lt;life_fac,1,IF(2=life_fac,0.5,0))+Sens!G9420*IF(1&lt;life_fac,1,IF(1=life_fac,0.5,0))+Sens!H9420*0.5)/life_fac</f>
        <v>5.582402</v>
      </c>
      <c r="I9425" s="6" t="n">
        <f aca="false">(Sens!C9420*IF(6&lt;life_fac,1,IF(6=life_fac,0.5,0))+Sens!D9420*IF(5&lt;life_fac,1,IF(5=life_fac,0.5,0))+Sens!E9420*IF(4&lt;life_fac,1,IF(4=life_fac,0.5,0))+Sens!F9420*IF(3&lt;life_fac,1,IF(3=life_fac,0.5,0))+Sens!G9420*IF(2&lt;life_fac,1,IF(2=life_fac,0.5,0))+Sens!H9420*IF(1&lt;life_fac,1,IF(1=life_fac,0.5,0))+Sens!I9420*0.5)/life_fac</f>
        <v>6.950862093</v>
      </c>
      <c r="J9425" s="6" t="n">
        <f aca="false">(Sens!C9420*IF(7&lt;life_fac,1,IF(7=life_fac,0.5,0))+Sens!D9420*IF(6&lt;life_fac,1,IF(6=life_fac,0.5,0))+Sens!E9420*IF(5&lt;life_fac,1,IF(5=life_fac,0.5,0))+Sens!F9420*IF(4&lt;life_fac,1,IF(4=life_fac,0.5,0))+Sens!G9420*IF(3&lt;life_fac,1,IF(3=life_fac,0.5,0))+Sens!H9420*IF(2&lt;life_fac,1,IF(2=life_fac,0.5,0))+Sens!I9420*IF(1&lt;life_fac,1,IF(1=life_fac,0.5,0))+Sens!J9420*0.5)/life_fac</f>
        <v>7.854279972</v>
      </c>
      <c r="K9425" s="6" t="n">
        <f aca="false">(Sens!C9420*IF(8&lt;life_fac,1,IF(8=life_fac,0.5,0))+Sens!D9420*IF(7&lt;life_fac,1,IF(7=life_fac,0.5,0))+Sens!E9420*IF(6&lt;life_fac,1,IF(6=life_fac,0.5,0))+Sens!F9420*IF(5&lt;life_fac,1,IF(5=life_fac,0.5,0))+Sens!G9420*IF(4&lt;life_fac,1,IF(4=life_fac,0.5,0))+Sens!H9420*IF(3&lt;life_fac,1,IF(3=life_fac,0.5,0))+Sens!I9420*IF(2&lt;life_fac,1,IF(2=life_fac,0.5,0))+Sens!J9420*IF(1&lt;life_fac,1,IF(1=life_fac,0.5,0))+Sens!K9420*0.5)/life_fac</f>
        <v>8.292655637</v>
      </c>
    </row>
    <row r="9426" customFormat="false" ht="17.15" hidden="false" customHeight="false" outlineLevel="0" collapsed="false">
      <c r="A9426" s="0" t="s">
        <v>844</v>
      </c>
      <c r="B9426" s="0" t="s">
        <v>98</v>
      </c>
      <c r="E9426" s="6" t="n">
        <f aca="false">Sens!E9424+Sens!E9425</f>
        <v>16.3054059770833</v>
      </c>
      <c r="F9426" s="6" t="n">
        <f aca="false">Sens!F9424+Sens!F9425</f>
        <v>34.7397076225365</v>
      </c>
      <c r="G9426" s="6" t="n">
        <f aca="false">Sens!G9424+Sens!G9425</f>
        <v>60.5050775936729</v>
      </c>
      <c r="H9426" s="6" t="n">
        <f aca="false">Sens!H9424+Sens!H9425</f>
        <v>87.7406603264729</v>
      </c>
      <c r="I9426" s="6" t="n">
        <f aca="false">Sens!I9424+Sens!I9425</f>
        <v>111.985384315554</v>
      </c>
      <c r="J9426" s="6" t="n">
        <f aca="false">Sens!J9424+Sens!J9425</f>
        <v>129.182055255999</v>
      </c>
      <c r="K9426" s="6" t="n">
        <f aca="false">Sens!K9424+Sens!K9425</f>
        <v>139.645991137807</v>
      </c>
    </row>
    <row r="9427" customFormat="false" ht="17.15" hidden="false" customHeight="false" outlineLevel="0" collapsed="false">
      <c r="A9427" s="0" t="s">
        <v>845</v>
      </c>
      <c r="B9427" s="0" t="s">
        <v>98</v>
      </c>
      <c r="E9427" s="6" t="n">
        <f aca="false">Sens!E9415-Sens!E9414*Sens!E9426</f>
        <v>8.92707889977379</v>
      </c>
      <c r="F9427" s="6" t="n">
        <f aca="false">Sens!F9415-Sens!F9414*Sens!F9426</f>
        <v>18.615616175672</v>
      </c>
      <c r="G9427" s="6" t="n">
        <f aca="false">Sens!G9415-Sens!G9414*Sens!G9426</f>
        <v>30.2497080016024</v>
      </c>
      <c r="H9427" s="6" t="n">
        <f aca="false">Sens!H9415-Sens!H9414*Sens!H9426</f>
        <v>42.5752487879752</v>
      </c>
      <c r="I9427" s="6" t="n">
        <f aca="false">Sens!I9415-Sens!I9414*Sens!I9426</f>
        <v>53.5313604284555</v>
      </c>
      <c r="J9427" s="6" t="n">
        <f aca="false">Sens!J9415-Sens!J9414*Sens!J9426</f>
        <v>61.1276973656484</v>
      </c>
      <c r="K9427" s="6" t="n">
        <f aca="false">Sens!K9415-Sens!K9414*Sens!K9426</f>
        <v>66.3472429357137</v>
      </c>
    </row>
    <row r="9428" customFormat="false" ht="17.15" hidden="false" customHeight="false" outlineLevel="0" collapsed="false">
      <c r="A9428" s="3" t="s">
        <v>1480</v>
      </c>
    </row>
    <row r="9429" customFormat="false" ht="15" hidden="false" customHeight="false" outlineLevel="0" collapsed="false">
      <c r="A9429" s="4" t="s">
        <v>43</v>
      </c>
      <c r="B9429" s="4" t="s">
        <v>65</v>
      </c>
      <c r="C9429" s="20" t="s">
        <v>788</v>
      </c>
      <c r="D9429" s="20" t="s">
        <v>789</v>
      </c>
      <c r="E9429" s="20" t="s">
        <v>790</v>
      </c>
      <c r="F9429" s="20" t="s">
        <v>791</v>
      </c>
      <c r="G9429" s="20" t="s">
        <v>792</v>
      </c>
      <c r="H9429" s="20" t="s">
        <v>793</v>
      </c>
      <c r="I9429" s="20" t="s">
        <v>794</v>
      </c>
      <c r="J9429" s="20" t="s">
        <v>795</v>
      </c>
      <c r="K9429" s="20" t="s">
        <v>796</v>
      </c>
      <c r="L9429" s="4" t="s">
        <v>47</v>
      </c>
    </row>
    <row r="9430" customFormat="false" ht="17.15" hidden="false" customHeight="false" outlineLevel="0" collapsed="false">
      <c r="A9430" s="0" t="s">
        <v>864</v>
      </c>
      <c r="B9430" s="0" t="s">
        <v>98</v>
      </c>
      <c r="D9430" s="6" t="n">
        <f aca="false">Sens!D9409</f>
        <v>12.9359794422418</v>
      </c>
      <c r="E9430" s="6" t="n">
        <f aca="false">Sens!E9409</f>
        <v>27.8095064661409</v>
      </c>
      <c r="F9430" s="6" t="n">
        <f aca="false">Sens!F9409</f>
        <v>55.0640065749585</v>
      </c>
      <c r="G9430" s="6" t="n">
        <f aca="false">Sens!G9409</f>
        <v>89.4505413190538</v>
      </c>
      <c r="H9430" s="6" t="n">
        <f aca="false">Sens!H9409</f>
        <v>124.835630736874</v>
      </c>
      <c r="I9430" s="6" t="n">
        <f aca="false">Sens!I9409</f>
        <v>156.158460265485</v>
      </c>
      <c r="J9430" s="6" t="n">
        <f aca="false">Sens!J9409</f>
        <v>177.99455972577</v>
      </c>
      <c r="K9430" s="6" t="n">
        <f aca="false">Sens!K9409</f>
        <v>191.597101773408</v>
      </c>
    </row>
    <row r="9431" customFormat="false" ht="17.15" hidden="false" customHeight="false" outlineLevel="0" collapsed="false">
      <c r="A9431" s="0" t="s">
        <v>865</v>
      </c>
      <c r="B9431" s="0" t="s">
        <v>98</v>
      </c>
      <c r="D9431" s="6" t="n">
        <f aca="false">Q!L6-Sens!D9430</f>
        <v>59.6740205577583</v>
      </c>
      <c r="E9431" s="6" t="n">
        <f aca="false">Q!M6-Sens!E9430</f>
        <v>74.1284935338591</v>
      </c>
      <c r="F9431" s="6" t="n">
        <f aca="false">Sens!E9431*(1+Sens!F9432)</f>
        <v>90.0799497373663</v>
      </c>
      <c r="G9431" s="6" t="n">
        <f aca="false">Sens!F9431*(1+Sens!G9432)</f>
        <v>107.02842520331</v>
      </c>
      <c r="H9431" s="6" t="n">
        <f aca="false">Sens!G9431*(1+Sens!H9432)</f>
        <v>124.271982585636</v>
      </c>
      <c r="I9431" s="6" t="n">
        <f aca="false">Sens!H9431*(1+Sens!I9432)</f>
        <v>140.933702381855</v>
      </c>
      <c r="J9431" s="6" t="n">
        <f aca="false">Sens!I9431*(1+Sens!J9432)</f>
        <v>156.018867314332</v>
      </c>
      <c r="K9431" s="6" t="n">
        <f aca="false">Sens!J9431*(1+Sens!K9432)</f>
        <v>168.500376699478</v>
      </c>
    </row>
    <row r="9432" customFormat="false" ht="15" hidden="false" customHeight="false" outlineLevel="0" collapsed="false">
      <c r="A9432" s="1" t="s">
        <v>866</v>
      </c>
      <c r="B9432" s="0" t="s">
        <v>129</v>
      </c>
      <c r="E9432" s="7" t="n">
        <f aca="false">Sens!E9431/Sens!D9431-1</f>
        <v>0.242223883039864</v>
      </c>
      <c r="F9432" s="7" t="n">
        <f aca="false">Sens!$E$9432+(glt_azo-Sens!$E$9432)*MIN(1,(Sens!F9392-base_fy)/n_conv)</f>
        <v>0.215186569199887</v>
      </c>
      <c r="G9432" s="7" t="n">
        <f aca="false">Sens!$E$9432+(glt_azo-Sens!$E$9432)*MIN(1,(Sens!G9392-base_fy)/n_conv)</f>
        <v>0.18814925535991</v>
      </c>
      <c r="H9432" s="7" t="n">
        <f aca="false">Sens!$E$9432+(glt_azo-Sens!$E$9432)*MIN(1,(Sens!H9392-base_fy)/n_conv)</f>
        <v>0.161111941519932</v>
      </c>
      <c r="I9432" s="7" t="n">
        <f aca="false">Sens!$E$9432+(glt_azo-Sens!$E$9432)*MIN(1,(Sens!I9392-base_fy)/n_conv)</f>
        <v>0.134074627679955</v>
      </c>
      <c r="J9432" s="7" t="n">
        <f aca="false">Sens!$E$9432+(glt_azo-Sens!$E$9432)*MIN(1,(Sens!J9392-base_fy)/n_conv)</f>
        <v>0.107037313839977</v>
      </c>
      <c r="K9432" s="7" t="n">
        <f aca="false">Sens!$E$9432+(glt_azo-Sens!$E$9432)*MIN(1,(Sens!K9392-base_fy)/n_conv)</f>
        <v>0.08</v>
      </c>
    </row>
    <row r="9433" customFormat="false" ht="15" hidden="false" customHeight="false" outlineLevel="0" collapsed="false">
      <c r="A9433" s="0" t="s">
        <v>867</v>
      </c>
      <c r="B9433" s="0" t="s">
        <v>98</v>
      </c>
      <c r="D9433" s="6" t="n">
        <f aca="false">Sens!D9430+Sens!D9431</f>
        <v>72.61</v>
      </c>
      <c r="E9433" s="6" t="n">
        <f aca="false">Sens!E9430+Sens!E9431</f>
        <v>101.938</v>
      </c>
      <c r="F9433" s="6" t="n">
        <f aca="false">Sens!F9430+Sens!F9431</f>
        <v>145.143956312325</v>
      </c>
      <c r="G9433" s="6" t="n">
        <f aca="false">Sens!G9430+Sens!G9431</f>
        <v>196.478966522364</v>
      </c>
      <c r="H9433" s="6" t="n">
        <f aca="false">Sens!H9430+Sens!H9431</f>
        <v>249.10761332251</v>
      </c>
      <c r="I9433" s="6" t="n">
        <f aca="false">Sens!I9430+Sens!I9431</f>
        <v>297.09216264734</v>
      </c>
      <c r="J9433" s="6" t="n">
        <f aca="false">Sens!J9430+Sens!J9431</f>
        <v>334.013427040101</v>
      </c>
      <c r="K9433" s="6" t="n">
        <f aca="false">Sens!K9430+Sens!K9431</f>
        <v>360.097478472886</v>
      </c>
    </row>
    <row r="9434" customFormat="false" ht="17.15" hidden="false" customHeight="false" outlineLevel="0" collapsed="false">
      <c r="A9434" s="0" t="s">
        <v>868</v>
      </c>
      <c r="B9434" s="1" t="s">
        <v>521</v>
      </c>
      <c r="C9434" s="29" t="n">
        <f aca="false">cop_s24</f>
        <v>1</v>
      </c>
      <c r="D9434" s="29" t="n">
        <f aca="false">cop_s25</f>
        <v>5</v>
      </c>
      <c r="E9434" s="29" t="n">
        <f aca="false">cop_s26</f>
        <v>30</v>
      </c>
      <c r="F9434" s="29" t="n">
        <f aca="false">Sens!E9434+cop_add_B</f>
        <v>50</v>
      </c>
      <c r="G9434" s="29" t="n">
        <f aca="false">Sens!F9434+cop_add_B</f>
        <v>70</v>
      </c>
      <c r="H9434" s="29" t="n">
        <f aca="false">Sens!G9434+cop_add_B</f>
        <v>90</v>
      </c>
      <c r="I9434" s="29" t="n">
        <f aca="false">Sens!H9434+cop_add_B*cop_tail</f>
        <v>100</v>
      </c>
      <c r="J9434" s="29" t="n">
        <f aca="false">Sens!I9434+cop_add_B*cop_tail</f>
        <v>110</v>
      </c>
      <c r="K9434" s="29" t="n">
        <f aca="false">Sens!J9434+cop_add_B*cop_tail</f>
        <v>120</v>
      </c>
      <c r="L9434" s="11" t="s">
        <v>869</v>
      </c>
    </row>
    <row r="9435" customFormat="false" ht="17.15" hidden="false" customHeight="false" outlineLevel="0" collapsed="false">
      <c r="A9435" s="0" t="s">
        <v>870</v>
      </c>
      <c r="B9435" s="0" t="s">
        <v>98</v>
      </c>
      <c r="D9435" s="6" t="n">
        <f aca="false">(Sens!C9434+Sens!D9434)/2*cop_px*12/1000</f>
        <v>0.9</v>
      </c>
      <c r="E9435" s="6" t="n">
        <f aca="false">(Sens!D9434+Sens!E9434)/2*cop_px*12/1000</f>
        <v>5.25</v>
      </c>
      <c r="F9435" s="6" t="n">
        <f aca="false">(Sens!E9434+Sens!F9434)/2*cop_px*12/1000</f>
        <v>12</v>
      </c>
      <c r="G9435" s="6" t="n">
        <f aca="false">(Sens!F9434+Sens!G9434)/2*cop_px*12/1000</f>
        <v>18</v>
      </c>
      <c r="H9435" s="6" t="n">
        <f aca="false">(Sens!G9434+Sens!H9434)/2*cop_px*12/1000</f>
        <v>24</v>
      </c>
      <c r="I9435" s="6" t="n">
        <f aca="false">(Sens!H9434+Sens!I9434)/2*cop_px*12/1000</f>
        <v>28.5</v>
      </c>
      <c r="J9435" s="6" t="n">
        <f aca="false">(Sens!I9434+Sens!J9434)/2*cop_px*12/1000</f>
        <v>31.5</v>
      </c>
      <c r="K9435" s="6" t="n">
        <f aca="false">(Sens!J9434+Sens!K9434)/2*cop_px*12/1000</f>
        <v>34.5</v>
      </c>
      <c r="L9435" s="1" t="s">
        <v>871</v>
      </c>
    </row>
    <row r="9436" customFormat="false" ht="17.15" hidden="false" customHeight="false" outlineLevel="0" collapsed="false">
      <c r="A9436" s="0" t="s">
        <v>872</v>
      </c>
      <c r="B9436" s="0" t="s">
        <v>98</v>
      </c>
      <c r="D9436" s="6" t="n">
        <f aca="false">Q!L7-Sens!D9435</f>
        <v>83.705</v>
      </c>
      <c r="E9436" s="6" t="n">
        <f aca="false">Q!M7-Sens!E9435</f>
        <v>95.049</v>
      </c>
      <c r="F9436" s="6" t="n">
        <f aca="false">Sens!E9436*(1+Sens!F9437)</f>
        <v>106.89238776686</v>
      </c>
      <c r="G9436" s="6" t="n">
        <f aca="false">Sens!F9436*(1+Sens!G9437)</f>
        <v>119.044168448684</v>
      </c>
      <c r="H9436" s="6" t="n">
        <f aca="false">Sens!G9436*(1+Sens!H9437)</f>
        <v>131.277359388781</v>
      </c>
      <c r="I9436" s="6" t="n">
        <f aca="false">Sens!H9436*(1+Sens!I9437)</f>
        <v>143.334028071957</v>
      </c>
      <c r="J9436" s="6" t="n">
        <f aca="false">Sens!I9436*(1+Sens!J9437)</f>
        <v>154.932702785465</v>
      </c>
      <c r="K9436" s="6" t="n">
        <f aca="false">Sens!J9436*(1+Sens!K9437)</f>
        <v>165.777991980448</v>
      </c>
    </row>
    <row r="9437" customFormat="false" ht="15" hidden="false" customHeight="false" outlineLevel="0" collapsed="false">
      <c r="A9437" s="1" t="s">
        <v>866</v>
      </c>
      <c r="B9437" s="0" t="s">
        <v>129</v>
      </c>
      <c r="E9437" s="7" t="n">
        <f aca="false">Sens!E9436/Sens!D9436-1</f>
        <v>0.135523564900544</v>
      </c>
      <c r="F9437" s="7" t="n">
        <f aca="false">Sens!$E$9437+(glt_m365b-Sens!$E$9437)*MIN(1,(Sens!F9392-base_fy)/n_conv)</f>
        <v>0.124602970750453</v>
      </c>
      <c r="G9437" s="7" t="n">
        <f aca="false">Sens!$E$9437+(glt_m365b-Sens!$E$9437)*MIN(1,(Sens!G9392-base_fy)/n_conv)</f>
        <v>0.113682376600363</v>
      </c>
      <c r="H9437" s="7" t="n">
        <f aca="false">Sens!$E$9437+(glt_m365b-Sens!$E$9437)*MIN(1,(Sens!H9392-base_fy)/n_conv)</f>
        <v>0.102761782450272</v>
      </c>
      <c r="I9437" s="7" t="n">
        <f aca="false">Sens!$E$9437+(glt_m365b-Sens!$E$9437)*MIN(1,(Sens!I9392-base_fy)/n_conv)</f>
        <v>0.0918411883001813</v>
      </c>
      <c r="J9437" s="7" t="n">
        <f aca="false">Sens!$E$9437+(glt_m365b-Sens!$E$9437)*MIN(1,(Sens!J9392-base_fy)/n_conv)</f>
        <v>0.0809205941500906</v>
      </c>
      <c r="K9437" s="7" t="n">
        <f aca="false">Sens!$E$9437+(glt_m365b-Sens!$E$9437)*MIN(1,(Sens!K9392-base_fy)/n_conv)</f>
        <v>0.07</v>
      </c>
    </row>
    <row r="9438" customFormat="false" ht="15" hidden="false" customHeight="false" outlineLevel="0" collapsed="false">
      <c r="A9438" s="0" t="s">
        <v>873</v>
      </c>
      <c r="B9438" s="0" t="s">
        <v>98</v>
      </c>
      <c r="D9438" s="6" t="n">
        <f aca="false">Sens!D9436+Sens!D9435</f>
        <v>84.605</v>
      </c>
      <c r="E9438" s="6" t="n">
        <f aca="false">Sens!E9436+Sens!E9435</f>
        <v>100.299</v>
      </c>
      <c r="F9438" s="6" t="n">
        <f aca="false">Sens!F9436+Sens!F9435</f>
        <v>118.89238776686</v>
      </c>
      <c r="G9438" s="6" t="n">
        <f aca="false">Sens!G9436+Sens!G9435</f>
        <v>137.044168448684</v>
      </c>
      <c r="H9438" s="6" t="n">
        <f aca="false">Sens!H9436+Sens!H9435</f>
        <v>155.277359388781</v>
      </c>
      <c r="I9438" s="6" t="n">
        <f aca="false">Sens!I9436+Sens!I9435</f>
        <v>171.834028071957</v>
      </c>
      <c r="J9438" s="6" t="n">
        <f aca="false">Sens!J9436+Sens!J9435</f>
        <v>186.432702785465</v>
      </c>
      <c r="K9438" s="6" t="n">
        <f aca="false">Sens!K9436+Sens!K9435</f>
        <v>200.277991980448</v>
      </c>
    </row>
    <row r="9439" customFormat="false" ht="15" hidden="false" customHeight="false" outlineLevel="0" collapsed="false">
      <c r="A9439" s="0" t="s">
        <v>874</v>
      </c>
      <c r="B9439" s="0" t="s">
        <v>98</v>
      </c>
      <c r="D9439" s="6" t="n">
        <f aca="false">Q!L8</f>
        <v>35.391</v>
      </c>
      <c r="E9439" s="6" t="n">
        <f aca="false">Q!M8</f>
        <v>37.285</v>
      </c>
      <c r="F9439" s="6" t="n">
        <f aca="false">Sens!E9439*(1+Sens!F9440)</f>
        <v>39.0720834331704</v>
      </c>
      <c r="G9439" s="6" t="n">
        <f aca="false">Sens!F9439*(1+Sens!G9440)</f>
        <v>40.726562953769</v>
      </c>
      <c r="H9439" s="6" t="n">
        <f aca="false">Sens!G9439*(1+Sens!H9440)</f>
        <v>42.2235987259198</v>
      </c>
      <c r="I9439" s="6" t="n">
        <f aca="false">Sens!H9439*(1+Sens!I9440)</f>
        <v>43.5397988077414</v>
      </c>
      <c r="J9439" s="6" t="n">
        <f aca="false">Sens!I9439*(1+Sens!J9440)</f>
        <v>44.653811225693</v>
      </c>
      <c r="K9439" s="6" t="n">
        <f aca="false">Sens!J9439*(1+Sens!K9440)</f>
        <v>45.5468874502068</v>
      </c>
    </row>
    <row r="9440" customFormat="false" ht="15" hidden="false" customHeight="false" outlineLevel="0" collapsed="false">
      <c r="A9440" s="1" t="s">
        <v>866</v>
      </c>
      <c r="B9440" s="0" t="s">
        <v>129</v>
      </c>
      <c r="E9440" s="7" t="n">
        <f aca="false">Sens!E9439/Sens!D9439-1</f>
        <v>0.0535164307309768</v>
      </c>
      <c r="F9440" s="7" t="n">
        <f aca="false">Sens!$E$9440+(glt_lic-Sens!$E$9440)*MIN(1,(Sens!F9392-base_fy)/n_conv)</f>
        <v>0.0479303589424807</v>
      </c>
      <c r="G9440" s="7" t="n">
        <f aca="false">Sens!$E$9440+(glt_lic-Sens!$E$9440)*MIN(1,(Sens!G9392-base_fy)/n_conv)</f>
        <v>0.0423442871539845</v>
      </c>
      <c r="H9440" s="7" t="n">
        <f aca="false">Sens!$E$9440+(glt_lic-Sens!$E$9440)*MIN(1,(Sens!H9392-base_fy)/n_conv)</f>
        <v>0.0367582153654884</v>
      </c>
      <c r="I9440" s="7" t="n">
        <f aca="false">Sens!$E$9440+(glt_lic-Sens!$E$9440)*MIN(1,(Sens!I9392-base_fy)/n_conv)</f>
        <v>0.0311721435769923</v>
      </c>
      <c r="J9440" s="7" t="n">
        <f aca="false">Sens!$E$9440+(glt_lic-Sens!$E$9440)*MIN(1,(Sens!J9392-base_fy)/n_conv)</f>
        <v>0.0255860717884961</v>
      </c>
      <c r="K9440" s="7" t="n">
        <f aca="false">Sens!$E$9440+(glt_lic-Sens!$E$9440)*MIN(1,(Sens!K9392-base_fy)/n_conv)</f>
        <v>0.02</v>
      </c>
    </row>
    <row r="9441" customFormat="false" ht="15" hidden="false" customHeight="false" outlineLevel="0" collapsed="false">
      <c r="A9441" s="0" t="s">
        <v>875</v>
      </c>
      <c r="B9441" s="0" t="s">
        <v>98</v>
      </c>
      <c r="D9441" s="6" t="n">
        <f aca="false">Q!L9</f>
        <v>18.417</v>
      </c>
      <c r="E9441" s="6" t="n">
        <f aca="false">Q!M9</f>
        <v>20.345</v>
      </c>
      <c r="F9441" s="6" t="n">
        <f aca="false">Sens!E9441*(1+Sens!F9442)</f>
        <v>22.3572203267814</v>
      </c>
      <c r="G9441" s="6" t="n">
        <f aca="false">Sens!F9441*(1+Sens!G9442)</f>
        <v>24.4392124437232</v>
      </c>
      <c r="H9441" s="6" t="n">
        <f aca="false">Sens!G9441*(1+Sens!H9442)</f>
        <v>26.5738052080665</v>
      </c>
      <c r="I9441" s="6" t="n">
        <f aca="false">Sens!H9441*(1+Sens!I9442)</f>
        <v>28.7412169166967</v>
      </c>
      <c r="J9441" s="6" t="n">
        <f aca="false">Sens!I9441*(1+Sens!J9442)</f>
        <v>30.9192545395413</v>
      </c>
      <c r="K9441" s="6" t="n">
        <f aca="false">Sens!J9441*(1+Sens!K9442)</f>
        <v>33.0836023573092</v>
      </c>
    </row>
    <row r="9442" customFormat="false" ht="15" hidden="false" customHeight="false" outlineLevel="0" collapsed="false">
      <c r="A9442" s="1" t="s">
        <v>866</v>
      </c>
      <c r="B9442" s="0" t="s">
        <v>129</v>
      </c>
      <c r="E9442" s="7" t="n">
        <f aca="false">Sens!E9441/Sens!D9441-1</f>
        <v>0.104685888038225</v>
      </c>
      <c r="F9442" s="7" t="n">
        <f aca="false">Sens!$E$9442+(glt_ind-Sens!$E$9442)*MIN(1,(Sens!F9392-base_fy)/n_conv)</f>
        <v>0.0989049066985211</v>
      </c>
      <c r="G9442" s="7" t="n">
        <f aca="false">Sens!$E$9442+(glt_ind-Sens!$E$9442)*MIN(1,(Sens!G9392-base_fy)/n_conv)</f>
        <v>0.0931239253588169</v>
      </c>
      <c r="H9442" s="7" t="n">
        <f aca="false">Sens!$E$9442+(glt_ind-Sens!$E$9442)*MIN(1,(Sens!H9392-base_fy)/n_conv)</f>
        <v>0.0873429440191127</v>
      </c>
      <c r="I9442" s="7" t="n">
        <f aca="false">Sens!$E$9442+(glt_ind-Sens!$E$9442)*MIN(1,(Sens!I9392-base_fy)/n_conv)</f>
        <v>0.0815619626794085</v>
      </c>
      <c r="J9442" s="7" t="n">
        <f aca="false">Sens!$E$9442+(glt_ind-Sens!$E$9442)*MIN(1,(Sens!J9392-base_fy)/n_conv)</f>
        <v>0.0757809813397042</v>
      </c>
      <c r="K9442" s="7" t="n">
        <f aca="false">Sens!$E$9442+(glt_ind-Sens!$E$9442)*MIN(1,(Sens!K9392-base_fy)/n_conv)</f>
        <v>0.07</v>
      </c>
    </row>
    <row r="9443" customFormat="false" ht="15" hidden="false" customHeight="false" outlineLevel="0" collapsed="false">
      <c r="A9443" s="0" t="s">
        <v>876</v>
      </c>
      <c r="B9443" s="0" t="s">
        <v>98</v>
      </c>
      <c r="D9443" s="6" t="n">
        <f aca="false">Q!L10</f>
        <v>7.76</v>
      </c>
      <c r="E9443" s="6" t="n">
        <f aca="false">Q!M10</f>
        <v>8.26</v>
      </c>
      <c r="F9443" s="6" t="n">
        <f aca="false">Sens!E9443*(1+Sens!F9444)</f>
        <v>8.79988041237113</v>
      </c>
      <c r="G9443" s="6" t="n">
        <f aca="false">Sens!F9443*(1+Sens!G9444)</f>
        <v>9.38321269125306</v>
      </c>
      <c r="H9443" s="6" t="n">
        <f aca="false">Sens!G9443*(1+Sens!H9444)</f>
        <v>10.0139193587476</v>
      </c>
      <c r="I9443" s="6" t="n">
        <f aca="false">Sens!H9443*(1+Sens!I9444)</f>
        <v>10.6963111830911</v>
      </c>
      <c r="J9443" s="6" t="n">
        <f aca="false">Sens!I9443*(1+Sens!J9444)</f>
        <v>11.4351285534696</v>
      </c>
      <c r="K9443" s="6" t="n">
        <f aca="false">Sens!J9443*(1+Sens!K9444)</f>
        <v>12.2355875522124</v>
      </c>
    </row>
    <row r="9444" customFormat="false" ht="15" hidden="false" customHeight="false" outlineLevel="0" collapsed="false">
      <c r="A9444" s="1" t="s">
        <v>866</v>
      </c>
      <c r="B9444" s="0" t="s">
        <v>129</v>
      </c>
      <c r="E9444" s="7" t="n">
        <f aca="false">Sens!E9443/Sens!D9443-1</f>
        <v>0.0644329896907216</v>
      </c>
      <c r="F9444" s="7" t="n">
        <f aca="false">Sens!$E$9444+(glt_fro-Sens!$E$9444)*MIN(1,(Sens!F9392-base_fy)/n_conv)</f>
        <v>0.065360824742268</v>
      </c>
      <c r="G9444" s="7" t="n">
        <f aca="false">Sens!$E$9444+(glt_fro-Sens!$E$9444)*MIN(1,(Sens!G9392-base_fy)/n_conv)</f>
        <v>0.0662886597938144</v>
      </c>
      <c r="H9444" s="7" t="n">
        <f aca="false">Sens!$E$9444+(glt_fro-Sens!$E$9444)*MIN(1,(Sens!H9392-base_fy)/n_conv)</f>
        <v>0.0672164948453608</v>
      </c>
      <c r="I9444" s="7" t="n">
        <f aca="false">Sens!$E$9444+(glt_fro-Sens!$E$9444)*MIN(1,(Sens!I9392-base_fy)/n_conv)</f>
        <v>0.0681443298969072</v>
      </c>
      <c r="J9444" s="7" t="n">
        <f aca="false">Sens!$E$9444+(glt_fro-Sens!$E$9444)*MIN(1,(Sens!J9392-base_fy)/n_conv)</f>
        <v>0.0690721649484536</v>
      </c>
      <c r="K9444" s="7" t="n">
        <f aca="false">Sens!$E$9444+(glt_fro-Sens!$E$9444)*MIN(1,(Sens!K9392-base_fy)/n_conv)</f>
        <v>0.07</v>
      </c>
    </row>
    <row r="9445" customFormat="false" ht="15" hidden="false" customHeight="false" outlineLevel="0" collapsed="false">
      <c r="A9445" s="0" t="s">
        <v>704</v>
      </c>
      <c r="B9445" s="0" t="s">
        <v>98</v>
      </c>
      <c r="D9445" s="6" t="n">
        <f aca="false">Sens!D9433+Sens!D9438+Sens!D9439+Sens!D9441+Sens!D9443</f>
        <v>218.783</v>
      </c>
      <c r="E9445" s="6" t="n">
        <f aca="false">Sens!E9433+Sens!E9438+Sens!E9439+Sens!E9441+Sens!E9443</f>
        <v>268.127</v>
      </c>
      <c r="F9445" s="6" t="n">
        <f aca="false">Sens!F9433+Sens!F9438+Sens!F9439+Sens!F9441+Sens!F9443</f>
        <v>334.265528251508</v>
      </c>
      <c r="G9445" s="6" t="n">
        <f aca="false">Sens!G9433+Sens!G9438+Sens!G9439+Sens!G9441+Sens!G9443</f>
        <v>408.072123059793</v>
      </c>
      <c r="H9445" s="6" t="n">
        <f aca="false">Sens!H9433+Sens!H9438+Sens!H9439+Sens!H9441+Sens!H9443</f>
        <v>483.196296004025</v>
      </c>
      <c r="I9445" s="6" t="n">
        <f aca="false">Sens!I9433+Sens!I9438+Sens!I9439+Sens!I9441+Sens!I9443</f>
        <v>551.903517626826</v>
      </c>
      <c r="J9445" s="6" t="n">
        <f aca="false">Sens!J9433+Sens!J9438+Sens!J9439+Sens!J9441+Sens!J9443</f>
        <v>607.45432414427</v>
      </c>
      <c r="K9445" s="6" t="n">
        <f aca="false">Sens!K9433+Sens!K9438+Sens!K9439+Sens!K9441+Sens!K9443</f>
        <v>651.241547813062</v>
      </c>
    </row>
    <row r="9446" customFormat="false" ht="15" hidden="false" customHeight="false" outlineLevel="0" collapsed="false">
      <c r="A9446" s="0" t="s">
        <v>877</v>
      </c>
      <c r="B9446" s="0" t="s">
        <v>98</v>
      </c>
      <c r="D9446" s="6" t="n">
        <f aca="false">Q!L13</f>
        <v>22.171</v>
      </c>
      <c r="E9446" s="6" t="n">
        <f aca="false">Q!M13</f>
        <v>24.835</v>
      </c>
      <c r="F9446" s="6" t="n">
        <f aca="false">Sens!E9446*(1+Sens!F9447)</f>
        <v>27.7356651218559</v>
      </c>
      <c r="G9446" s="6" t="n">
        <f aca="false">Sens!F9446*(1+Sens!G9447)</f>
        <v>30.8819427955575</v>
      </c>
      <c r="H9446" s="6" t="n">
        <f aca="false">Sens!G9446*(1+Sens!H9447)</f>
        <v>34.2813801456859</v>
      </c>
      <c r="I9446" s="6" t="n">
        <f aca="false">Sens!H9446*(1+Sens!I9447)</f>
        <v>37.9398543169022</v>
      </c>
      <c r="J9446" s="6" t="n">
        <f aca="false">Sens!I9446*(1+Sens!J9447)</f>
        <v>41.8612984476003</v>
      </c>
      <c r="K9446" s="6" t="n">
        <f aca="false">Sens!J9446*(1+Sens!K9447)</f>
        <v>46.0474282923604</v>
      </c>
    </row>
    <row r="9447" customFormat="false" ht="15" hidden="false" customHeight="false" outlineLevel="0" collapsed="false">
      <c r="A9447" s="1" t="s">
        <v>866</v>
      </c>
      <c r="B9447" s="0" t="s">
        <v>129</v>
      </c>
      <c r="E9447" s="7" t="n">
        <f aca="false">Sens!E9446/Sens!D9446-1</f>
        <v>0.120156961796942</v>
      </c>
      <c r="F9447" s="7" t="n">
        <f aca="false">Sens!$E$9447+(glt_srch_hi-Sens!$E$9447)*MIN(1,(Sens!F9392-base_fy)/n_conv)</f>
        <v>0.116797468164118</v>
      </c>
      <c r="G9447" s="7" t="n">
        <f aca="false">Sens!$E$9447+(glt_srch_hi-Sens!$E$9447)*MIN(1,(Sens!G9392-base_fy)/n_conv)</f>
        <v>0.113437974531295</v>
      </c>
      <c r="H9447" s="7" t="n">
        <f aca="false">Sens!$E$9447+(glt_srch_hi-Sens!$E$9447)*MIN(1,(Sens!H9392-base_fy)/n_conv)</f>
        <v>0.110078480898471</v>
      </c>
      <c r="I9447" s="7" t="n">
        <f aca="false">Sens!$E$9447+(glt_srch_hi-Sens!$E$9447)*MIN(1,(Sens!I9392-base_fy)/n_conv)</f>
        <v>0.106718987265647</v>
      </c>
      <c r="J9447" s="7" t="n">
        <f aca="false">Sens!$E$9447+(glt_srch_hi-Sens!$E$9447)*MIN(1,(Sens!J9392-base_fy)/n_conv)</f>
        <v>0.103359493632824</v>
      </c>
      <c r="K9447" s="7" t="n">
        <f aca="false">Sens!$E$9447+(glt_srch_hi-Sens!$E$9447)*MIN(1,(Sens!K9392-base_fy)/n_conv)</f>
        <v>0.1</v>
      </c>
    </row>
    <row r="9448" customFormat="false" ht="15" hidden="false" customHeight="false" outlineLevel="0" collapsed="false">
      <c r="A9448" s="0" t="s">
        <v>878</v>
      </c>
      <c r="B9448" s="0" t="s">
        <v>98</v>
      </c>
      <c r="D9448" s="6" t="n">
        <f aca="false">Q!L14</f>
        <v>23.455</v>
      </c>
      <c r="E9448" s="6" t="n">
        <f aca="false">Q!M14</f>
        <v>21.79</v>
      </c>
      <c r="F9448" s="6" t="n">
        <f aca="false">Sens!E9448*(1+Sens!F9449)</f>
        <v>20.5736277908051</v>
      </c>
      <c r="G9448" s="6" t="n">
        <f aca="false">Sens!F9448*(1+Sens!G9449)</f>
        <v>19.7371452817919</v>
      </c>
      <c r="H9448" s="6" t="n">
        <f aca="false">Sens!G9448*(1+Sens!H9449)</f>
        <v>19.2339764043138</v>
      </c>
      <c r="I9448" s="6" t="n">
        <f aca="false">Sens!H9448*(1+Sens!I9449)</f>
        <v>19.0353086852681</v>
      </c>
      <c r="J9448" s="6" t="n">
        <f aca="false">Sens!I9448*(1+Sens!J9449)</f>
        <v>19.1273539319129</v>
      </c>
      <c r="K9448" s="6" t="n">
        <f aca="false">Sens!J9448*(1+Sens!K9449)</f>
        <v>19.5099010105511</v>
      </c>
    </row>
    <row r="9449" customFormat="false" ht="15" hidden="false" customHeight="false" outlineLevel="0" collapsed="false">
      <c r="A9449" s="1" t="s">
        <v>866</v>
      </c>
      <c r="B9449" s="0" t="s">
        <v>129</v>
      </c>
      <c r="E9449" s="7" t="n">
        <f aca="false">Sens!E9448/Sens!D9448-1</f>
        <v>-0.0709869963760392</v>
      </c>
      <c r="F9449" s="7" t="n">
        <f aca="false">Sens!$E$9449+(glt_xbox-Sens!$E$9449)*MIN(1,(Sens!F9392-base_fy)/n_conv)</f>
        <v>-0.0558224969800327</v>
      </c>
      <c r="G9449" s="7" t="n">
        <f aca="false">Sens!$E$9449+(glt_xbox-Sens!$E$9449)*MIN(1,(Sens!G9392-base_fy)/n_conv)</f>
        <v>-0.0406579975840262</v>
      </c>
      <c r="H9449" s="7" t="n">
        <f aca="false">Sens!$E$9449+(glt_xbox-Sens!$E$9449)*MIN(1,(Sens!H9392-base_fy)/n_conv)</f>
        <v>-0.0254934981880196</v>
      </c>
      <c r="I9449" s="7" t="n">
        <f aca="false">Sens!$E$9449+(glt_xbox-Sens!$E$9449)*MIN(1,(Sens!I9392-base_fy)/n_conv)</f>
        <v>-0.0103289987920131</v>
      </c>
      <c r="J9449" s="7" t="n">
        <f aca="false">Sens!$E$9449+(glt_xbox-Sens!$E$9449)*MIN(1,(Sens!J9392-base_fy)/n_conv)</f>
        <v>0.00483550060399347</v>
      </c>
      <c r="K9449" s="7" t="n">
        <f aca="false">Sens!$E$9449+(glt_xbox-Sens!$E$9449)*MIN(1,(Sens!K9392-base_fy)/n_conv)</f>
        <v>0.02</v>
      </c>
    </row>
    <row r="9450" customFormat="false" ht="15" hidden="false" customHeight="false" outlineLevel="0" collapsed="false">
      <c r="A9450" s="0" t="s">
        <v>879</v>
      </c>
      <c r="B9450" s="0" t="s">
        <v>98</v>
      </c>
      <c r="D9450" s="6" t="n">
        <f aca="false">Q!L15</f>
        <v>17.315</v>
      </c>
      <c r="E9450" s="6" t="n">
        <f aca="false">Q!M15</f>
        <v>17.087</v>
      </c>
      <c r="F9450" s="6" t="n">
        <f aca="false">Sens!E9450*(1+Sens!F9451)</f>
        <v>16.9564585436519</v>
      </c>
      <c r="G9450" s="6" t="n">
        <f aca="false">Sens!F9450*(1+Sens!G9451)</f>
        <v>16.9206490624268</v>
      </c>
      <c r="H9450" s="6" t="n">
        <f aca="false">Sens!G9450*(1+Sens!H9451)</f>
        <v>16.9784519149849</v>
      </c>
      <c r="I9450" s="6" t="n">
        <f aca="false">Sens!H9450*(1+Sens!I9451)</f>
        <v>17.1303084701817</v>
      </c>
      <c r="J9450" s="6" t="n">
        <f aca="false">Sens!I9450*(1+Sens!J9451)</f>
        <v>17.3782189407267</v>
      </c>
      <c r="K9450" s="6" t="n">
        <f aca="false">Sens!J9450*(1+Sens!K9451)</f>
        <v>17.7257833195413</v>
      </c>
    </row>
    <row r="9451" customFormat="false" ht="15" hidden="false" customHeight="false" outlineLevel="0" collapsed="false">
      <c r="A9451" s="1" t="s">
        <v>866</v>
      </c>
      <c r="B9451" s="0" t="s">
        <v>129</v>
      </c>
      <c r="E9451" s="7" t="n">
        <f aca="false">Sens!E9450/Sens!D9450-1</f>
        <v>-0.0131677736066995</v>
      </c>
      <c r="F9451" s="7" t="n">
        <f aca="false">Sens!$E$9451+(glt_win-Sens!$E$9451)*MIN(1,(Sens!F9392-base_fy)/n_conv)</f>
        <v>-0.00763981133891627</v>
      </c>
      <c r="G9451" s="7" t="n">
        <f aca="false">Sens!$E$9451+(glt_win-Sens!$E$9451)*MIN(1,(Sens!G9392-base_fy)/n_conv)</f>
        <v>-0.00211184907113301</v>
      </c>
      <c r="H9451" s="7" t="n">
        <f aca="false">Sens!$E$9451+(glt_win-Sens!$E$9451)*MIN(1,(Sens!H9392-base_fy)/n_conv)</f>
        <v>0.00341611319665024</v>
      </c>
      <c r="I9451" s="7" t="n">
        <f aca="false">Sens!$E$9451+(glt_win-Sens!$E$9451)*MIN(1,(Sens!I9392-base_fy)/n_conv)</f>
        <v>0.00894407546443349</v>
      </c>
      <c r="J9451" s="7" t="n">
        <f aca="false">Sens!$E$9451+(glt_win-Sens!$E$9451)*MIN(1,(Sens!J9392-base_fy)/n_conv)</f>
        <v>0.0144720377322168</v>
      </c>
      <c r="K9451" s="7" t="n">
        <f aca="false">Sens!$E$9451+(glt_win-Sens!$E$9451)*MIN(1,(Sens!K9392-base_fy)/n_conv)</f>
        <v>0.02</v>
      </c>
    </row>
    <row r="9452" customFormat="false" ht="15" hidden="false" customHeight="false" outlineLevel="0" collapsed="false">
      <c r="A9452" s="0" t="s">
        <v>718</v>
      </c>
      <c r="B9452" s="0" t="s">
        <v>98</v>
      </c>
      <c r="D9452" s="6" t="n">
        <f aca="false">Sens!D9446+Sens!D9448+Sens!D9450</f>
        <v>62.941</v>
      </c>
      <c r="E9452" s="6" t="n">
        <f aca="false">Sens!E9446+Sens!E9448+Sens!E9450</f>
        <v>63.712</v>
      </c>
      <c r="F9452" s="6" t="n">
        <f aca="false">Sens!F9446+Sens!F9448+Sens!F9450</f>
        <v>65.2657514563129</v>
      </c>
      <c r="G9452" s="6" t="n">
        <f aca="false">Sens!G9446+Sens!G9448+Sens!G9450</f>
        <v>67.5397371397762</v>
      </c>
      <c r="H9452" s="6" t="n">
        <f aca="false">Sens!H9446+Sens!H9448+Sens!H9450</f>
        <v>70.4938084649846</v>
      </c>
      <c r="I9452" s="6" t="n">
        <f aca="false">Sens!I9446+Sens!I9448+Sens!I9450</f>
        <v>74.105471472352</v>
      </c>
      <c r="J9452" s="6" t="n">
        <f aca="false">Sens!J9446+Sens!J9448+Sens!J9450</f>
        <v>78.3668713202399</v>
      </c>
      <c r="K9452" s="6" t="n">
        <f aca="false">Sens!K9446+Sens!K9448+Sens!K9450</f>
        <v>83.2831126224528</v>
      </c>
    </row>
    <row r="9453" customFormat="false" ht="15" hidden="false" customHeight="false" outlineLevel="0" collapsed="false">
      <c r="A9453" s="1" t="s">
        <v>880</v>
      </c>
      <c r="B9453" s="0" t="s">
        <v>98</v>
      </c>
      <c r="D9453" s="6" t="n">
        <f aca="false">Sens!D9445+Sens!D9452</f>
        <v>281.724</v>
      </c>
      <c r="E9453" s="6" t="n">
        <f aca="false">Sens!E9445+Sens!E9452</f>
        <v>331.839</v>
      </c>
      <c r="F9453" s="6" t="n">
        <f aca="false">Sens!F9445+Sens!F9452</f>
        <v>399.531279707821</v>
      </c>
      <c r="G9453" s="6" t="n">
        <f aca="false">Sens!G9445+Sens!G9452</f>
        <v>475.611860199569</v>
      </c>
      <c r="H9453" s="6" t="n">
        <f aca="false">Sens!H9445+Sens!H9452</f>
        <v>553.69010446901</v>
      </c>
      <c r="I9453" s="6" t="n">
        <f aca="false">Sens!I9445+Sens!I9452</f>
        <v>626.008989099178</v>
      </c>
      <c r="J9453" s="6" t="n">
        <f aca="false">Sens!J9445+Sens!J9452</f>
        <v>685.82119546451</v>
      </c>
      <c r="K9453" s="6" t="n">
        <f aca="false">Sens!K9445+Sens!K9452</f>
        <v>734.524660435515</v>
      </c>
    </row>
    <row r="9454" customFormat="false" ht="15" hidden="false" customHeight="false" outlineLevel="0" collapsed="false">
      <c r="A9454" s="23" t="s">
        <v>881</v>
      </c>
      <c r="B9454" s="30" t="s">
        <v>98</v>
      </c>
      <c r="C9454" s="30"/>
      <c r="D9454" s="24" t="n">
        <f aca="false">(Sens!D9433+Sens!D9438+Sens!D9439+Sens!D9441+Sens!D9443-Sens!D9445)+(Sens!D9446+Sens!D9448+Sens!D9450-Sens!D9452)+(Sens!D9445-Q!L5)+(Sens!D9452-Q!L12)+(Sens!D9433-Q!L6)+(Sens!D9438-Q!L7)</f>
        <v>0</v>
      </c>
      <c r="E9454" s="24" t="n">
        <f aca="false">(Sens!E9433+Sens!E9438+Sens!E9439+Sens!E9441+Sens!E9443-Sens!E9445)+(Sens!E9446+Sens!E9448+Sens!E9450-Sens!E9452)+(Sens!E9445-Q!M5)+(Sens!E9452-Q!M12)+(Sens!E9433-Q!M6)+(Sens!E9438-Q!M7)</f>
        <v>0</v>
      </c>
      <c r="F9454" s="24" t="n">
        <f aca="false">(Sens!F9433+Sens!F9438+Sens!F9439+Sens!F9441+Sens!F9443-Sens!F9445)+(Sens!F9446+Sens!F9448+Sens!F9450-Sens!F9452)</f>
        <v>0</v>
      </c>
      <c r="G9454" s="24" t="n">
        <f aca="false">(Sens!G9433+Sens!G9438+Sens!G9439+Sens!G9441+Sens!G9443-Sens!G9445)+(Sens!G9446+Sens!G9448+Sens!G9450-Sens!G9452)</f>
        <v>0</v>
      </c>
      <c r="H9454" s="24" t="n">
        <f aca="false">(Sens!H9433+Sens!H9438+Sens!H9439+Sens!H9441+Sens!H9443-Sens!H9445)+(Sens!H9446+Sens!H9448+Sens!H9450-Sens!H9452)</f>
        <v>0</v>
      </c>
      <c r="I9454" s="24" t="n">
        <f aca="false">(Sens!I9433+Sens!I9438+Sens!I9439+Sens!I9441+Sens!I9443-Sens!I9445)+(Sens!I9446+Sens!I9448+Sens!I9450-Sens!I9452)</f>
        <v>0</v>
      </c>
      <c r="J9454" s="24" t="n">
        <f aca="false">(Sens!J9433+Sens!J9438+Sens!J9439+Sens!J9441+Sens!J9443-Sens!J9445)+(Sens!J9446+Sens!J9448+Sens!J9450-Sens!J9452)</f>
        <v>0</v>
      </c>
      <c r="K9454" s="24" t="n">
        <f aca="false">(Sens!K9433+Sens!K9438+Sens!K9439+Sens!K9441+Sens!K9443-Sens!K9445)+(Sens!K9446+Sens!K9448+Sens!K9450-Sens!K9452)</f>
        <v>0</v>
      </c>
    </row>
    <row r="9455" customFormat="false" ht="17.15" hidden="false" customHeight="false" outlineLevel="0" collapsed="false">
      <c r="A9455" s="3" t="s">
        <v>1481</v>
      </c>
    </row>
    <row r="9456" customFormat="false" ht="15" hidden="false" customHeight="false" outlineLevel="0" collapsed="false">
      <c r="A9456" s="4" t="s">
        <v>43</v>
      </c>
      <c r="B9456" s="4" t="s">
        <v>65</v>
      </c>
      <c r="C9456" s="20" t="s">
        <v>788</v>
      </c>
      <c r="D9456" s="20" t="s">
        <v>789</v>
      </c>
      <c r="E9456" s="20" t="s">
        <v>790</v>
      </c>
      <c r="F9456" s="20" t="s">
        <v>791</v>
      </c>
      <c r="G9456" s="20" t="s">
        <v>792</v>
      </c>
      <c r="H9456" s="20" t="s">
        <v>793</v>
      </c>
      <c r="I9456" s="20" t="s">
        <v>794</v>
      </c>
      <c r="J9456" s="20" t="s">
        <v>795</v>
      </c>
      <c r="K9456" s="20" t="s">
        <v>796</v>
      </c>
      <c r="L9456" s="4" t="s">
        <v>47</v>
      </c>
    </row>
    <row r="9457" customFormat="false" ht="15" hidden="false" customHeight="false" outlineLevel="0" collapsed="false">
      <c r="A9457" s="0" t="s">
        <v>867</v>
      </c>
      <c r="B9457" s="0" t="s">
        <v>98</v>
      </c>
      <c r="D9457" s="6" t="n">
        <f aca="false">Sens!D9433</f>
        <v>72.61</v>
      </c>
      <c r="E9457" s="6" t="n">
        <f aca="false">Sens!E9433</f>
        <v>101.938</v>
      </c>
      <c r="F9457" s="6" t="n">
        <f aca="false">Sens!F9433</f>
        <v>145.143956312325</v>
      </c>
      <c r="G9457" s="6" t="n">
        <f aca="false">Sens!G9433</f>
        <v>196.478966522364</v>
      </c>
      <c r="H9457" s="6" t="n">
        <f aca="false">Sens!H9433</f>
        <v>249.10761332251</v>
      </c>
      <c r="I9457" s="6" t="n">
        <f aca="false">Sens!I9433</f>
        <v>297.09216264734</v>
      </c>
      <c r="J9457" s="6" t="n">
        <f aca="false">Sens!J9433</f>
        <v>334.013427040101</v>
      </c>
      <c r="K9457" s="6" t="n">
        <f aca="false">Sens!K9433</f>
        <v>360.097478472886</v>
      </c>
    </row>
    <row r="9458" customFormat="false" ht="17.15" hidden="false" customHeight="false" outlineLevel="0" collapsed="false">
      <c r="A9458" s="0" t="s">
        <v>864</v>
      </c>
      <c r="B9458" s="0" t="s">
        <v>98</v>
      </c>
      <c r="D9458" s="6" t="n">
        <f aca="false">Sens!D9430</f>
        <v>12.9359794422418</v>
      </c>
      <c r="E9458" s="6" t="n">
        <f aca="false">Sens!E9430</f>
        <v>27.8095064661409</v>
      </c>
      <c r="F9458" s="6" t="n">
        <f aca="false">Sens!F9430</f>
        <v>55.0640065749585</v>
      </c>
      <c r="G9458" s="6" t="n">
        <f aca="false">Sens!G9430</f>
        <v>89.4505413190538</v>
      </c>
      <c r="H9458" s="6" t="n">
        <f aca="false">Sens!H9430</f>
        <v>124.835630736874</v>
      </c>
      <c r="I9458" s="6" t="n">
        <f aca="false">Sens!I9430</f>
        <v>156.158460265485</v>
      </c>
      <c r="J9458" s="6" t="n">
        <f aca="false">Sens!J9430</f>
        <v>177.99455972577</v>
      </c>
      <c r="K9458" s="6" t="n">
        <f aca="false">Sens!K9430</f>
        <v>191.597101773408</v>
      </c>
    </row>
    <row r="9459" customFormat="false" ht="17.15" hidden="false" customHeight="false" outlineLevel="0" collapsed="false">
      <c r="A9459" s="0" t="s">
        <v>892</v>
      </c>
      <c r="B9459" s="0" t="s">
        <v>98</v>
      </c>
      <c r="D9459" s="6" t="n">
        <f aca="false">Sens!D9431</f>
        <v>59.6740205577583</v>
      </c>
      <c r="E9459" s="6" t="n">
        <f aca="false">Sens!E9431</f>
        <v>74.1284935338591</v>
      </c>
      <c r="F9459" s="6" t="n">
        <f aca="false">Sens!F9431</f>
        <v>90.0799497373663</v>
      </c>
      <c r="G9459" s="6" t="n">
        <f aca="false">Sens!G9431</f>
        <v>107.02842520331</v>
      </c>
      <c r="H9459" s="6" t="n">
        <f aca="false">Sens!H9431</f>
        <v>124.271982585636</v>
      </c>
      <c r="I9459" s="6" t="n">
        <f aca="false">Sens!I9431</f>
        <v>140.933702381855</v>
      </c>
      <c r="J9459" s="6" t="n">
        <f aca="false">Sens!J9431</f>
        <v>156.018867314332</v>
      </c>
      <c r="K9459" s="6" t="n">
        <f aca="false">Sens!K9431</f>
        <v>168.500376699478</v>
      </c>
    </row>
    <row r="9460" customFormat="false" ht="15" hidden="false" customHeight="false" outlineLevel="0" collapsed="false">
      <c r="A9460" s="0" t="s">
        <v>873</v>
      </c>
      <c r="B9460" s="0" t="s">
        <v>98</v>
      </c>
      <c r="D9460" s="6" t="n">
        <f aca="false">Sens!D9438</f>
        <v>84.605</v>
      </c>
      <c r="E9460" s="6" t="n">
        <f aca="false">Sens!E9438</f>
        <v>100.299</v>
      </c>
      <c r="F9460" s="6" t="n">
        <f aca="false">Sens!F9438</f>
        <v>118.89238776686</v>
      </c>
      <c r="G9460" s="6" t="n">
        <f aca="false">Sens!G9438</f>
        <v>137.044168448684</v>
      </c>
      <c r="H9460" s="6" t="n">
        <f aca="false">Sens!H9438</f>
        <v>155.277359388781</v>
      </c>
      <c r="I9460" s="6" t="n">
        <f aca="false">Sens!I9438</f>
        <v>171.834028071957</v>
      </c>
      <c r="J9460" s="6" t="n">
        <f aca="false">Sens!J9438</f>
        <v>186.432702785465</v>
      </c>
      <c r="K9460" s="6" t="n">
        <f aca="false">Sens!K9438</f>
        <v>200.277991980448</v>
      </c>
    </row>
    <row r="9461" customFormat="false" ht="17.15" hidden="false" customHeight="false" outlineLevel="0" collapsed="false">
      <c r="A9461" s="0" t="s">
        <v>893</v>
      </c>
      <c r="B9461" s="0" t="s">
        <v>98</v>
      </c>
      <c r="D9461" s="6" t="n">
        <f aca="false">Sens!D9436</f>
        <v>83.705</v>
      </c>
      <c r="E9461" s="6" t="n">
        <f aca="false">Sens!E9436</f>
        <v>95.049</v>
      </c>
      <c r="F9461" s="6" t="n">
        <f aca="false">Sens!F9436</f>
        <v>106.89238776686</v>
      </c>
      <c r="G9461" s="6" t="n">
        <f aca="false">Sens!G9436</f>
        <v>119.044168448684</v>
      </c>
      <c r="H9461" s="6" t="n">
        <f aca="false">Sens!H9436</f>
        <v>131.277359388781</v>
      </c>
      <c r="I9461" s="6" t="n">
        <f aca="false">Sens!I9436</f>
        <v>143.334028071957</v>
      </c>
      <c r="J9461" s="6" t="n">
        <f aca="false">Sens!J9436</f>
        <v>154.932702785465</v>
      </c>
      <c r="K9461" s="6" t="n">
        <f aca="false">Sens!K9436</f>
        <v>165.777991980448</v>
      </c>
    </row>
    <row r="9462" customFormat="false" ht="17.15" hidden="false" customHeight="false" outlineLevel="0" collapsed="false">
      <c r="A9462" s="0" t="s">
        <v>894</v>
      </c>
      <c r="B9462" s="0" t="s">
        <v>98</v>
      </c>
      <c r="D9462" s="6" t="n">
        <f aca="false">Sens!D9435</f>
        <v>0.9</v>
      </c>
      <c r="E9462" s="6" t="n">
        <f aca="false">Sens!E9435</f>
        <v>5.25</v>
      </c>
      <c r="F9462" s="6" t="n">
        <f aca="false">Sens!F9435</f>
        <v>12</v>
      </c>
      <c r="G9462" s="6" t="n">
        <f aca="false">Sens!G9435</f>
        <v>18</v>
      </c>
      <c r="H9462" s="6" t="n">
        <f aca="false">Sens!H9435</f>
        <v>24</v>
      </c>
      <c r="I9462" s="6" t="n">
        <f aca="false">Sens!I9435</f>
        <v>28.5</v>
      </c>
      <c r="J9462" s="6" t="n">
        <f aca="false">Sens!J9435</f>
        <v>31.5</v>
      </c>
      <c r="K9462" s="6" t="n">
        <f aca="false">Sens!K9435</f>
        <v>34.5</v>
      </c>
    </row>
    <row r="9463" customFormat="false" ht="15" hidden="false" customHeight="false" outlineLevel="0" collapsed="false">
      <c r="A9463" s="0" t="s">
        <v>874</v>
      </c>
      <c r="B9463" s="0" t="s">
        <v>98</v>
      </c>
      <c r="D9463" s="6" t="n">
        <f aca="false">Sens!D9439</f>
        <v>35.391</v>
      </c>
      <c r="E9463" s="6" t="n">
        <f aca="false">Sens!E9439</f>
        <v>37.285</v>
      </c>
      <c r="F9463" s="6" t="n">
        <f aca="false">Sens!F9439</f>
        <v>39.0720834331704</v>
      </c>
      <c r="G9463" s="6" t="n">
        <f aca="false">Sens!G9439</f>
        <v>40.726562953769</v>
      </c>
      <c r="H9463" s="6" t="n">
        <f aca="false">Sens!H9439</f>
        <v>42.2235987259198</v>
      </c>
      <c r="I9463" s="6" t="n">
        <f aca="false">Sens!I9439</f>
        <v>43.5397988077414</v>
      </c>
      <c r="J9463" s="6" t="n">
        <f aca="false">Sens!J9439</f>
        <v>44.653811225693</v>
      </c>
      <c r="K9463" s="6" t="n">
        <f aca="false">Sens!K9439</f>
        <v>45.5468874502068</v>
      </c>
    </row>
    <row r="9464" customFormat="false" ht="15" hidden="false" customHeight="false" outlineLevel="0" collapsed="false">
      <c r="A9464" s="0" t="s">
        <v>875</v>
      </c>
      <c r="B9464" s="0" t="s">
        <v>98</v>
      </c>
      <c r="D9464" s="6" t="n">
        <f aca="false">Sens!D9441</f>
        <v>18.417</v>
      </c>
      <c r="E9464" s="6" t="n">
        <f aca="false">Sens!E9441</f>
        <v>20.345</v>
      </c>
      <c r="F9464" s="6" t="n">
        <f aca="false">Sens!F9441</f>
        <v>22.3572203267814</v>
      </c>
      <c r="G9464" s="6" t="n">
        <f aca="false">Sens!G9441</f>
        <v>24.4392124437232</v>
      </c>
      <c r="H9464" s="6" t="n">
        <f aca="false">Sens!H9441</f>
        <v>26.5738052080665</v>
      </c>
      <c r="I9464" s="6" t="n">
        <f aca="false">Sens!I9441</f>
        <v>28.7412169166967</v>
      </c>
      <c r="J9464" s="6" t="n">
        <f aca="false">Sens!J9441</f>
        <v>30.9192545395413</v>
      </c>
      <c r="K9464" s="6" t="n">
        <f aca="false">Sens!K9441</f>
        <v>33.0836023573092</v>
      </c>
    </row>
    <row r="9465" customFormat="false" ht="15" hidden="false" customHeight="false" outlineLevel="0" collapsed="false">
      <c r="A9465" s="0" t="s">
        <v>876</v>
      </c>
      <c r="B9465" s="0" t="s">
        <v>98</v>
      </c>
      <c r="D9465" s="6" t="n">
        <f aca="false">Sens!D9443</f>
        <v>7.76</v>
      </c>
      <c r="E9465" s="6" t="n">
        <f aca="false">Sens!E9443</f>
        <v>8.26</v>
      </c>
      <c r="F9465" s="6" t="n">
        <f aca="false">Sens!F9443</f>
        <v>8.79988041237113</v>
      </c>
      <c r="G9465" s="6" t="n">
        <f aca="false">Sens!G9443</f>
        <v>9.38321269125306</v>
      </c>
      <c r="H9465" s="6" t="n">
        <f aca="false">Sens!H9443</f>
        <v>10.0139193587476</v>
      </c>
      <c r="I9465" s="6" t="n">
        <f aca="false">Sens!I9443</f>
        <v>10.6963111830911</v>
      </c>
      <c r="J9465" s="6" t="n">
        <f aca="false">Sens!J9443</f>
        <v>11.4351285534696</v>
      </c>
      <c r="K9465" s="6" t="n">
        <f aca="false">Sens!K9443</f>
        <v>12.2355875522124</v>
      </c>
    </row>
    <row r="9466" customFormat="false" ht="15" hidden="false" customHeight="false" outlineLevel="0" collapsed="false">
      <c r="A9466" s="0" t="s">
        <v>704</v>
      </c>
      <c r="B9466" s="0" t="s">
        <v>98</v>
      </c>
      <c r="D9466" s="6" t="n">
        <f aca="false">Sens!D9445</f>
        <v>218.783</v>
      </c>
      <c r="E9466" s="6" t="n">
        <f aca="false">Sens!E9445</f>
        <v>268.127</v>
      </c>
      <c r="F9466" s="6" t="n">
        <f aca="false">Sens!F9445</f>
        <v>334.265528251508</v>
      </c>
      <c r="G9466" s="6" t="n">
        <f aca="false">Sens!G9445</f>
        <v>408.072123059793</v>
      </c>
      <c r="H9466" s="6" t="n">
        <f aca="false">Sens!H9445</f>
        <v>483.196296004025</v>
      </c>
      <c r="I9466" s="6" t="n">
        <f aca="false">Sens!I9445</f>
        <v>551.903517626826</v>
      </c>
      <c r="J9466" s="6" t="n">
        <f aca="false">Sens!J9445</f>
        <v>607.45432414427</v>
      </c>
      <c r="K9466" s="6" t="n">
        <f aca="false">Sens!K9445</f>
        <v>651.241547813062</v>
      </c>
    </row>
    <row r="9467" customFormat="false" ht="15" hidden="false" customHeight="false" outlineLevel="0" collapsed="false">
      <c r="A9467" s="0" t="s">
        <v>877</v>
      </c>
      <c r="B9467" s="0" t="s">
        <v>98</v>
      </c>
      <c r="D9467" s="6" t="n">
        <f aca="false">Sens!D9446</f>
        <v>22.171</v>
      </c>
      <c r="E9467" s="6" t="n">
        <f aca="false">Sens!E9446</f>
        <v>24.835</v>
      </c>
      <c r="F9467" s="6" t="n">
        <f aca="false">Sens!F9446</f>
        <v>27.7356651218559</v>
      </c>
      <c r="G9467" s="6" t="n">
        <f aca="false">Sens!G9446</f>
        <v>30.8819427955575</v>
      </c>
      <c r="H9467" s="6" t="n">
        <f aca="false">Sens!H9446</f>
        <v>34.2813801456859</v>
      </c>
      <c r="I9467" s="6" t="n">
        <f aca="false">Sens!I9446</f>
        <v>37.9398543169022</v>
      </c>
      <c r="J9467" s="6" t="n">
        <f aca="false">Sens!J9446</f>
        <v>41.8612984476003</v>
      </c>
      <c r="K9467" s="6" t="n">
        <f aca="false">Sens!K9446</f>
        <v>46.0474282923604</v>
      </c>
    </row>
    <row r="9468" customFormat="false" ht="15" hidden="false" customHeight="false" outlineLevel="0" collapsed="false">
      <c r="A9468" s="0" t="s">
        <v>878</v>
      </c>
      <c r="B9468" s="0" t="s">
        <v>98</v>
      </c>
      <c r="D9468" s="6" t="n">
        <f aca="false">Sens!D9448</f>
        <v>23.455</v>
      </c>
      <c r="E9468" s="6" t="n">
        <f aca="false">Sens!E9448</f>
        <v>21.79</v>
      </c>
      <c r="F9468" s="6" t="n">
        <f aca="false">Sens!F9448</f>
        <v>20.5736277908051</v>
      </c>
      <c r="G9468" s="6" t="n">
        <f aca="false">Sens!G9448</f>
        <v>19.7371452817919</v>
      </c>
      <c r="H9468" s="6" t="n">
        <f aca="false">Sens!H9448</f>
        <v>19.2339764043138</v>
      </c>
      <c r="I9468" s="6" t="n">
        <f aca="false">Sens!I9448</f>
        <v>19.0353086852681</v>
      </c>
      <c r="J9468" s="6" t="n">
        <f aca="false">Sens!J9448</f>
        <v>19.1273539319129</v>
      </c>
      <c r="K9468" s="6" t="n">
        <f aca="false">Sens!K9448</f>
        <v>19.5099010105511</v>
      </c>
    </row>
    <row r="9469" customFormat="false" ht="15" hidden="false" customHeight="false" outlineLevel="0" collapsed="false">
      <c r="A9469" s="0" t="s">
        <v>879</v>
      </c>
      <c r="B9469" s="0" t="s">
        <v>98</v>
      </c>
      <c r="D9469" s="6" t="n">
        <f aca="false">Sens!D9450</f>
        <v>17.315</v>
      </c>
      <c r="E9469" s="6" t="n">
        <f aca="false">Sens!E9450</f>
        <v>17.087</v>
      </c>
      <c r="F9469" s="6" t="n">
        <f aca="false">Sens!F9450</f>
        <v>16.9564585436519</v>
      </c>
      <c r="G9469" s="6" t="n">
        <f aca="false">Sens!G9450</f>
        <v>16.9206490624268</v>
      </c>
      <c r="H9469" s="6" t="n">
        <f aca="false">Sens!H9450</f>
        <v>16.9784519149849</v>
      </c>
      <c r="I9469" s="6" t="n">
        <f aca="false">Sens!I9450</f>
        <v>17.1303084701817</v>
      </c>
      <c r="J9469" s="6" t="n">
        <f aca="false">Sens!J9450</f>
        <v>17.3782189407267</v>
      </c>
      <c r="K9469" s="6" t="n">
        <f aca="false">Sens!K9450</f>
        <v>17.7257833195413</v>
      </c>
    </row>
    <row r="9470" customFormat="false" ht="15" hidden="false" customHeight="false" outlineLevel="0" collapsed="false">
      <c r="A9470" s="0" t="s">
        <v>718</v>
      </c>
      <c r="B9470" s="0" t="s">
        <v>98</v>
      </c>
      <c r="D9470" s="6" t="n">
        <f aca="false">Sens!D9452</f>
        <v>62.941</v>
      </c>
      <c r="E9470" s="6" t="n">
        <f aca="false">Sens!E9452</f>
        <v>63.712</v>
      </c>
      <c r="F9470" s="6" t="n">
        <f aca="false">Sens!F9452</f>
        <v>65.2657514563129</v>
      </c>
      <c r="G9470" s="6" t="n">
        <f aca="false">Sens!G9452</f>
        <v>67.5397371397762</v>
      </c>
      <c r="H9470" s="6" t="n">
        <f aca="false">Sens!H9452</f>
        <v>70.4938084649846</v>
      </c>
      <c r="I9470" s="6" t="n">
        <f aca="false">Sens!I9452</f>
        <v>74.105471472352</v>
      </c>
      <c r="J9470" s="6" t="n">
        <f aca="false">Sens!J9452</f>
        <v>78.3668713202399</v>
      </c>
      <c r="K9470" s="6" t="n">
        <f aca="false">Sens!K9452</f>
        <v>83.2831126224528</v>
      </c>
    </row>
    <row r="9471" customFormat="false" ht="15" hidden="false" customHeight="false" outlineLevel="0" collapsed="false">
      <c r="A9471" s="1" t="s">
        <v>895</v>
      </c>
      <c r="B9471" s="0" t="s">
        <v>98</v>
      </c>
      <c r="D9471" s="6" t="n">
        <f aca="false">Sens!D9453</f>
        <v>281.724</v>
      </c>
      <c r="E9471" s="6" t="n">
        <f aca="false">Sens!E9453</f>
        <v>331.839</v>
      </c>
      <c r="F9471" s="6" t="n">
        <f aca="false">Sens!F9453</f>
        <v>399.531279707821</v>
      </c>
      <c r="G9471" s="6" t="n">
        <f aca="false">Sens!G9453</f>
        <v>475.611860199569</v>
      </c>
      <c r="H9471" s="6" t="n">
        <f aca="false">Sens!H9453</f>
        <v>553.69010446901</v>
      </c>
      <c r="I9471" s="6" t="n">
        <f aca="false">Sens!I9453</f>
        <v>626.008989099178</v>
      </c>
      <c r="J9471" s="6" t="n">
        <f aca="false">Sens!J9453</f>
        <v>685.82119546451</v>
      </c>
      <c r="K9471" s="6" t="n">
        <f aca="false">Sens!K9453</f>
        <v>734.524660435515</v>
      </c>
    </row>
    <row r="9472" customFormat="false" ht="15" hidden="false" customHeight="false" outlineLevel="0" collapsed="false">
      <c r="A9472" s="1" t="s">
        <v>896</v>
      </c>
      <c r="B9472" s="0" t="s">
        <v>129</v>
      </c>
      <c r="E9472" s="7" t="n">
        <f aca="false">Sens!E9471/Sens!D9471-1</f>
        <v>0.177886867998467</v>
      </c>
      <c r="F9472" s="7" t="n">
        <f aca="false">Sens!F9471/Sens!E9471-1</f>
        <v>0.20399133226601</v>
      </c>
      <c r="G9472" s="7" t="n">
        <f aca="false">Sens!G9471/Sens!F9471-1</f>
        <v>0.190424590904088</v>
      </c>
      <c r="H9472" s="7" t="n">
        <f aca="false">Sens!H9471/Sens!G9471-1</f>
        <v>0.164163787330027</v>
      </c>
      <c r="I9472" s="7" t="n">
        <f aca="false">Sens!I9471/Sens!H9471-1</f>
        <v>0.130612564765849</v>
      </c>
      <c r="J9472" s="7" t="n">
        <f aca="false">Sens!J9471/Sens!I9471-1</f>
        <v>0.0955452835452118</v>
      </c>
      <c r="K9472" s="7" t="n">
        <f aca="false">Sens!K9471/Sens!J9471-1</f>
        <v>0.0710148144925986</v>
      </c>
    </row>
    <row r="9473" customFormat="false" ht="17.15" hidden="false" customHeight="false" outlineLevel="0" collapsed="false">
      <c r="A9473" s="23" t="s">
        <v>897</v>
      </c>
      <c r="B9473" s="30" t="s">
        <v>98</v>
      </c>
      <c r="C9473" s="30"/>
      <c r="D9473" s="24" t="n">
        <f aca="false">(Sens!D9466+Sens!D9470-Sens!D9471)+(Sens!D9458+Sens!D9459-Sens!D9457)+(Sens!D9461+Sens!D9462-Sens!D9460)+(Sens!D9471-Q!L18)</f>
        <v>0</v>
      </c>
      <c r="E9473" s="24" t="n">
        <f aca="false">(Sens!E9466+Sens!E9470-Sens!E9471)+(Sens!E9458+Sens!E9459-Sens!E9457)+(Sens!E9461+Sens!E9462-Sens!E9460)+(Sens!E9471-Q!M18)</f>
        <v>0</v>
      </c>
      <c r="F9473" s="24" t="n">
        <f aca="false">(Sens!F9466+Sens!F9470-Sens!F9471)+(Sens!F9458+Sens!F9459-Sens!F9457)+(Sens!F9461+Sens!F9462-Sens!F9460)</f>
        <v>0</v>
      </c>
      <c r="G9473" s="24" t="n">
        <f aca="false">(Sens!G9466+Sens!G9470-Sens!G9471)+(Sens!G9458+Sens!G9459-Sens!G9457)+(Sens!G9461+Sens!G9462-Sens!G9460)</f>
        <v>0</v>
      </c>
      <c r="H9473" s="24" t="n">
        <f aca="false">(Sens!H9466+Sens!H9470-Sens!H9471)+(Sens!H9458+Sens!H9459-Sens!H9457)+(Sens!H9461+Sens!H9462-Sens!H9460)</f>
        <v>0</v>
      </c>
      <c r="I9473" s="24" t="n">
        <f aca="false">(Sens!I9466+Sens!I9470-Sens!I9471)+(Sens!I9458+Sens!I9459-Sens!I9457)+(Sens!I9461+Sens!I9462-Sens!I9460)</f>
        <v>0</v>
      </c>
      <c r="J9473" s="24" t="n">
        <f aca="false">(Sens!J9466+Sens!J9470-Sens!J9471)+(Sens!J9458+Sens!J9459-Sens!J9457)+(Sens!J9461+Sens!J9462-Sens!J9460)</f>
        <v>0</v>
      </c>
      <c r="K9473" s="24" t="n">
        <f aca="false">(Sens!K9466+Sens!K9470-Sens!K9471)+(Sens!K9458+Sens!K9459-Sens!K9457)+(Sens!K9461+Sens!K9462-Sens!K9460)</f>
        <v>0</v>
      </c>
    </row>
    <row r="9474" customFormat="false" ht="17.15" hidden="false" customHeight="false" outlineLevel="0" collapsed="false">
      <c r="A9474" s="0" t="s">
        <v>898</v>
      </c>
      <c r="B9474" s="0" t="s">
        <v>129</v>
      </c>
      <c r="E9474" s="7" t="n">
        <f aca="false">(Q!M21+Sens!E9411+Sens!E9412+Sens!E9413+Sens!E9426-Sens!E9409)/(Q!M5-Sens!E9409)</f>
        <v>0.570957350878296</v>
      </c>
      <c r="F9474" s="7" t="n">
        <f aca="false">Sens!$E$9474+dm_seg</f>
        <v>0.570957350878296</v>
      </c>
      <c r="G9474" s="7" t="n">
        <f aca="false">Sens!$E$9474+dm_seg</f>
        <v>0.570957350878296</v>
      </c>
      <c r="H9474" s="7" t="n">
        <f aca="false">Sens!$E$9474+dm_seg</f>
        <v>0.570957350878296</v>
      </c>
      <c r="I9474" s="7" t="n">
        <f aca="false">Sens!$E$9474+dm_seg</f>
        <v>0.570957350878296</v>
      </c>
      <c r="J9474" s="7" t="n">
        <f aca="false">Sens!$E$9474+dm_seg</f>
        <v>0.570957350878296</v>
      </c>
      <c r="K9474" s="7" t="n">
        <f aca="false">Sens!$E$9474+dm_seg</f>
        <v>0.570957350878296</v>
      </c>
      <c r="L9474" s="11" t="s">
        <v>899</v>
      </c>
    </row>
    <row r="9475" customFormat="false" ht="17.15" hidden="false" customHeight="false" outlineLevel="0" collapsed="false">
      <c r="A9475" s="0" t="s">
        <v>732</v>
      </c>
      <c r="B9475" s="0" t="s">
        <v>98</v>
      </c>
      <c r="D9475" s="6" t="n">
        <f aca="false">Q!L21</f>
        <v>110.814</v>
      </c>
      <c r="E9475" s="6" t="n">
        <f aca="false">Q!M21</f>
        <v>136.365</v>
      </c>
      <c r="F9475" s="6" t="n">
        <f aca="false">Sens!F9474*(Sens!F9445-Sens!F9409)+Sens!F9409-(Sens!F9411+Sens!F9412+Sens!F9413)-Sens!F9426</f>
        <v>157.598963753779</v>
      </c>
      <c r="G9475" s="6" t="n">
        <f aca="false">Sens!G9474*(Sens!G9445-Sens!G9409)+Sens!G9409-(Sens!G9411+Sens!G9412+Sens!G9413)-Sens!G9426</f>
        <v>177.182380033313</v>
      </c>
      <c r="H9475" s="6" t="n">
        <f aca="false">Sens!H9474*(Sens!H9445-Sens!H9409)+Sens!H9409-(Sens!H9411+Sens!H9412+Sens!H9413)-Sens!H9426</f>
        <v>196.824210255292</v>
      </c>
      <c r="I9475" s="6" t="n">
        <f aca="false">Sens!I9474*(Sens!I9445-Sens!I9409)+Sens!I9409-(Sens!I9411+Sens!I9412+Sens!I9413)-Sens!I9426</f>
        <v>215.547403444647</v>
      </c>
      <c r="J9475" s="6" t="n">
        <f aca="false">Sens!J9474*(Sens!J9445-Sens!J9409)+Sens!J9409-(Sens!J9411+Sens!J9412+Sens!J9413)-Sens!J9426</f>
        <v>232.900225193438</v>
      </c>
      <c r="K9475" s="6" t="n">
        <f aca="false">Sens!K9474*(Sens!K9445-Sens!K9409)+Sens!K9409-(Sens!K9411+Sens!K9412+Sens!K9413)-Sens!K9426</f>
        <v>249.765272300641</v>
      </c>
      <c r="L9475" s="1" t="s">
        <v>900</v>
      </c>
    </row>
    <row r="9476" customFormat="false" ht="17.15" hidden="false" customHeight="false" outlineLevel="0" collapsed="false">
      <c r="A9476" s="0" t="s">
        <v>901</v>
      </c>
      <c r="B9476" s="0" t="s">
        <v>129</v>
      </c>
      <c r="E9476" s="7" t="n">
        <f aca="false">Q!M22/Q!M12</f>
        <v>0.296207935710698</v>
      </c>
      <c r="F9476" s="7" t="n">
        <f aca="false">Sens!$E$9476+dm_seg</f>
        <v>0.296207935710698</v>
      </c>
      <c r="G9476" s="7" t="n">
        <f aca="false">Sens!$E$9476+dm_seg</f>
        <v>0.296207935710698</v>
      </c>
      <c r="H9476" s="7" t="n">
        <f aca="false">Sens!$E$9476+dm_seg</f>
        <v>0.296207935710698</v>
      </c>
      <c r="I9476" s="7" t="n">
        <f aca="false">Sens!$E$9476+dm_seg</f>
        <v>0.296207935710698</v>
      </c>
      <c r="J9476" s="7" t="n">
        <f aca="false">Sens!$E$9476+dm_seg</f>
        <v>0.296207935710698</v>
      </c>
      <c r="K9476" s="7" t="n">
        <f aca="false">Sens!$E$9476+dm_seg</f>
        <v>0.296207935710698</v>
      </c>
      <c r="L9476" s="11" t="s">
        <v>902</v>
      </c>
    </row>
    <row r="9477" customFormat="false" ht="17.15" hidden="false" customHeight="false" outlineLevel="0" collapsed="false">
      <c r="A9477" s="0" t="s">
        <v>734</v>
      </c>
      <c r="B9477" s="0" t="s">
        <v>98</v>
      </c>
      <c r="D9477" s="6" t="n">
        <f aca="false">Q!L22</f>
        <v>17.714</v>
      </c>
      <c r="E9477" s="6" t="n">
        <f aca="false">Q!M22</f>
        <v>18.872</v>
      </c>
      <c r="F9477" s="6" t="n">
        <f aca="false">Sens!F9452*Sens!F9476</f>
        <v>19.3322335114819</v>
      </c>
      <c r="G9477" s="6" t="n">
        <f aca="false">Sens!G9452*Sens!G9476</f>
        <v>20.0058061166163</v>
      </c>
      <c r="H9477" s="6" t="n">
        <f aca="false">Sens!H9452*Sens!H9476</f>
        <v>20.8808254857984</v>
      </c>
      <c r="I9477" s="6" t="n">
        <f aca="false">Sens!I9452*Sens!I9476</f>
        <v>21.9506287296934</v>
      </c>
      <c r="J9477" s="6" t="n">
        <f aca="false">Sens!J9452*Sens!J9476</f>
        <v>23.2128891818742</v>
      </c>
      <c r="K9477" s="6" t="n">
        <f aca="false">Sens!K9452*Sens!K9476</f>
        <v>24.6691188694583</v>
      </c>
    </row>
    <row r="9478" customFormat="false" ht="15" hidden="false" customHeight="false" outlineLevel="0" collapsed="false">
      <c r="A9478" s="1" t="s">
        <v>903</v>
      </c>
      <c r="B9478" s="0" t="s">
        <v>98</v>
      </c>
      <c r="D9478" s="6" t="n">
        <f aca="false">Sens!D9475+Sens!D9477</f>
        <v>128.528</v>
      </c>
      <c r="E9478" s="6" t="n">
        <f aca="false">Sens!E9475+Sens!E9477</f>
        <v>155.237</v>
      </c>
      <c r="F9478" s="6" t="n">
        <f aca="false">Sens!F9475+Sens!F9477</f>
        <v>176.931197265261</v>
      </c>
      <c r="G9478" s="6" t="n">
        <f aca="false">Sens!G9475+Sens!G9477</f>
        <v>197.188186149929</v>
      </c>
      <c r="H9478" s="6" t="n">
        <f aca="false">Sens!H9475+Sens!H9477</f>
        <v>217.705035741091</v>
      </c>
      <c r="I9478" s="6" t="n">
        <f aca="false">Sens!I9475+Sens!I9477</f>
        <v>237.49803217434</v>
      </c>
      <c r="J9478" s="6" t="n">
        <f aca="false">Sens!J9475+Sens!J9477</f>
        <v>256.113114375312</v>
      </c>
      <c r="K9478" s="6" t="n">
        <f aca="false">Sens!K9475+Sens!K9477</f>
        <v>274.434391170099</v>
      </c>
    </row>
    <row r="9479" customFormat="false" ht="15" hidden="false" customHeight="false" outlineLevel="0" collapsed="false">
      <c r="A9479" s="23" t="s">
        <v>904</v>
      </c>
      <c r="B9479" s="30" t="s">
        <v>98</v>
      </c>
      <c r="C9479" s="30"/>
      <c r="D9479" s="24" t="n">
        <f aca="false">Sens!D9478-Q!L23</f>
        <v>0</v>
      </c>
      <c r="E9479" s="24" t="n">
        <f aca="false">Sens!E9478-Q!M23</f>
        <v>0</v>
      </c>
      <c r="F9479" s="30"/>
      <c r="G9479" s="30"/>
      <c r="H9479" s="30"/>
      <c r="I9479" s="30"/>
      <c r="J9479" s="30"/>
      <c r="K9479" s="30"/>
    </row>
    <row r="9480" customFormat="false" ht="15" hidden="false" customHeight="false" outlineLevel="0" collapsed="false">
      <c r="A9480" s="1" t="s">
        <v>905</v>
      </c>
      <c r="B9480" s="0" t="s">
        <v>129</v>
      </c>
      <c r="D9480" s="7" t="n">
        <f aca="false">Sens!D9478/Sens!D9471</f>
        <v>0.456219562408598</v>
      </c>
      <c r="E9480" s="7" t="n">
        <f aca="false">Sens!E9478/Sens!E9471</f>
        <v>0.467808184089272</v>
      </c>
      <c r="F9480" s="7" t="n">
        <f aca="false">Sens!F9478/Sens!F9471</f>
        <v>0.442846921509255</v>
      </c>
      <c r="G9480" s="7" t="n">
        <f aca="false">Sens!G9478/Sens!G9471</f>
        <v>0.41459896745886</v>
      </c>
      <c r="H9480" s="7" t="n">
        <f aca="false">Sens!H9478/Sens!H9471</f>
        <v>0.393189320133996</v>
      </c>
      <c r="I9480" s="7" t="n">
        <f aca="false">Sens!I9478/Sens!I9471</f>
        <v>0.379384379952911</v>
      </c>
      <c r="J9480" s="7" t="n">
        <f aca="false">Sens!J9478/Sens!J9471</f>
        <v>0.373440068736642</v>
      </c>
      <c r="K9480" s="7" t="n">
        <f aca="false">Sens!K9478/Sens!K9471</f>
        <v>0.373621752886256</v>
      </c>
    </row>
    <row r="9481" customFormat="false" ht="17.15" hidden="false" customHeight="false" outlineLevel="0" collapsed="false">
      <c r="A9481" s="1" t="s">
        <v>906</v>
      </c>
      <c r="B9481" s="0" t="s">
        <v>98</v>
      </c>
      <c r="F9481" s="6" t="n">
        <f aca="false">Sens!F9496</f>
        <v>19.9358184660572</v>
      </c>
      <c r="G9481" s="6" t="n">
        <f aca="false">Sens!G9496</f>
        <v>35.1359494439124</v>
      </c>
      <c r="H9481" s="6" t="n">
        <f aca="false">Sens!H9496</f>
        <v>51.688536514718</v>
      </c>
      <c r="I9481" s="6" t="n">
        <f aca="false">Sens!I9496</f>
        <v>66.8193432436896</v>
      </c>
      <c r="J9481" s="6" t="n">
        <f aca="false">Sens!J9496</f>
        <v>77.4328840229578</v>
      </c>
      <c r="K9481" s="6" t="n">
        <f aca="false">Sens!K9496</f>
        <v>83.3249638901295</v>
      </c>
      <c r="L9481" s="1" t="s">
        <v>907</v>
      </c>
    </row>
    <row r="9482" customFormat="false" ht="17.15" hidden="false" customHeight="false" outlineLevel="0" collapsed="false">
      <c r="A9482" s="1" t="s">
        <v>908</v>
      </c>
      <c r="B9482" s="0" t="s">
        <v>98</v>
      </c>
      <c r="D9482" s="6" t="n">
        <f aca="false">Sens!D9478</f>
        <v>128.528</v>
      </c>
      <c r="E9482" s="6" t="n">
        <f aca="false">Sens!E9478</f>
        <v>155.237</v>
      </c>
      <c r="F9482" s="6" t="n">
        <f aca="false">Sens!F9478+Sens!F9481</f>
        <v>196.867015731318</v>
      </c>
      <c r="G9482" s="6" t="n">
        <f aca="false">Sens!G9478+Sens!G9481</f>
        <v>232.324135593842</v>
      </c>
      <c r="H9482" s="6" t="n">
        <f aca="false">Sens!H9478+Sens!H9481</f>
        <v>269.393572255809</v>
      </c>
      <c r="I9482" s="6" t="n">
        <f aca="false">Sens!I9478+Sens!I9481</f>
        <v>304.31737541803</v>
      </c>
      <c r="J9482" s="6" t="n">
        <f aca="false">Sens!J9478+Sens!J9481</f>
        <v>333.54599839827</v>
      </c>
      <c r="K9482" s="6" t="n">
        <f aca="false">Sens!K9478+Sens!K9481</f>
        <v>357.759355060229</v>
      </c>
    </row>
    <row r="9483" customFormat="false" ht="17.15" hidden="false" customHeight="false" outlineLevel="0" collapsed="false">
      <c r="A9483" s="1" t="s">
        <v>909</v>
      </c>
      <c r="B9483" s="0" t="s">
        <v>98</v>
      </c>
      <c r="E9483" s="6" t="n">
        <f aca="false">Sens!E9426</f>
        <v>16.3054059770833</v>
      </c>
      <c r="F9483" s="6" t="n">
        <f aca="false">Sens!F9426</f>
        <v>34.7397076225365</v>
      </c>
      <c r="G9483" s="6" t="n">
        <f aca="false">Sens!G9426</f>
        <v>60.5050775936729</v>
      </c>
      <c r="H9483" s="6" t="n">
        <f aca="false">Sens!H9426</f>
        <v>87.7406603264729</v>
      </c>
      <c r="I9483" s="6" t="n">
        <f aca="false">Sens!I9426</f>
        <v>111.985384315554</v>
      </c>
      <c r="J9483" s="6" t="n">
        <f aca="false">Sens!J9426</f>
        <v>129.182055255999</v>
      </c>
      <c r="K9483" s="6" t="n">
        <f aca="false">Sens!K9426</f>
        <v>139.645991137807</v>
      </c>
    </row>
    <row r="9484" customFormat="false" ht="17.15" hidden="false" customHeight="false" outlineLevel="0" collapsed="false">
      <c r="A9484" s="1" t="s">
        <v>910</v>
      </c>
      <c r="B9484" s="0" t="s">
        <v>98</v>
      </c>
      <c r="E9484" s="6" t="n">
        <f aca="false">Sens!E9508</f>
        <v>22.2285940229167</v>
      </c>
      <c r="F9484" s="6" t="n">
        <f aca="false">Sens!F9508</f>
        <v>23.5646627435813</v>
      </c>
      <c r="G9484" s="6" t="n">
        <f aca="false">Sens!G9508</f>
        <v>25.3268008347557</v>
      </c>
      <c r="H9484" s="6" t="n">
        <f aca="false">Sens!H9508</f>
        <v>27.48260814329</v>
      </c>
      <c r="I9484" s="6" t="n">
        <f aca="false">Sens!I9508</f>
        <v>29.9676445814336</v>
      </c>
      <c r="J9484" s="6" t="n">
        <f aca="false">Sens!J9508</f>
        <v>32.7010711415467</v>
      </c>
      <c r="K9484" s="6" t="n">
        <f aca="false">Sens!K9508</f>
        <v>35.6015276849633</v>
      </c>
    </row>
    <row r="9485" customFormat="false" ht="17.15" hidden="false" customHeight="false" outlineLevel="0" collapsed="false">
      <c r="A9485" s="1" t="s">
        <v>911</v>
      </c>
      <c r="B9485" s="0" t="s">
        <v>98</v>
      </c>
      <c r="D9485" s="6" t="n">
        <f aca="false">Q!L27</f>
        <v>-4.901</v>
      </c>
      <c r="E9485" s="6" t="n">
        <f aca="false">Q!M27</f>
        <v>10.697</v>
      </c>
      <c r="F9485" s="6" t="n">
        <f aca="false">oie_f</f>
        <v>-0.4</v>
      </c>
      <c r="G9485" s="6" t="n">
        <f aca="false">oie_f</f>
        <v>-0.4</v>
      </c>
      <c r="H9485" s="6" t="n">
        <f aca="false">oie_f</f>
        <v>-0.4</v>
      </c>
      <c r="I9485" s="6" t="n">
        <f aca="false">oie_f</f>
        <v>-0.4</v>
      </c>
      <c r="J9485" s="6" t="n">
        <f aca="false">oie_f</f>
        <v>-0.4</v>
      </c>
      <c r="K9485" s="6" t="n">
        <f aca="false">oie_f</f>
        <v>-0.4</v>
      </c>
      <c r="L9485" s="11" t="s">
        <v>912</v>
      </c>
    </row>
    <row r="9486" customFormat="false" ht="15" hidden="false" customHeight="false" outlineLevel="0" collapsed="false">
      <c r="A9486" s="1" t="s">
        <v>913</v>
      </c>
      <c r="B9486" s="0" t="s">
        <v>98</v>
      </c>
      <c r="D9486" s="6" t="n">
        <f aca="false">Sens!D9478+Sens!D9485</f>
        <v>123.627</v>
      </c>
      <c r="E9486" s="6" t="n">
        <f aca="false">Sens!E9478+Sens!E9485</f>
        <v>165.934</v>
      </c>
      <c r="F9486" s="6" t="n">
        <f aca="false">Sens!F9478+Sens!F9485</f>
        <v>176.531197265261</v>
      </c>
      <c r="G9486" s="6" t="n">
        <f aca="false">Sens!G9478+Sens!G9485</f>
        <v>196.788186149929</v>
      </c>
      <c r="H9486" s="6" t="n">
        <f aca="false">Sens!H9478+Sens!H9485</f>
        <v>217.305035741091</v>
      </c>
      <c r="I9486" s="6" t="n">
        <f aca="false">Sens!I9478+Sens!I9485</f>
        <v>237.09803217434</v>
      </c>
      <c r="J9486" s="6" t="n">
        <f aca="false">Sens!J9478+Sens!J9485</f>
        <v>255.713114375312</v>
      </c>
      <c r="K9486" s="6" t="n">
        <f aca="false">Sens!K9478+Sens!K9485</f>
        <v>274.034391170099</v>
      </c>
    </row>
    <row r="9487" customFormat="false" ht="15" hidden="false" customHeight="false" outlineLevel="0" collapsed="false">
      <c r="A9487" s="1" t="s">
        <v>914</v>
      </c>
      <c r="B9487" s="0" t="s">
        <v>98</v>
      </c>
      <c r="D9487" s="6" t="n">
        <f aca="false">Q!L29</f>
        <v>21.795</v>
      </c>
      <c r="E9487" s="6" t="n">
        <f aca="false">Q!M29</f>
        <v>32.185</v>
      </c>
      <c r="F9487" s="6" t="n">
        <f aca="false">Sens!F9486*tax_f</f>
        <v>35.3062394530522</v>
      </c>
      <c r="G9487" s="6" t="n">
        <f aca="false">Sens!G9486*tax_f</f>
        <v>39.3576372299858</v>
      </c>
      <c r="H9487" s="6" t="n">
        <f aca="false">Sens!H9486*tax_f</f>
        <v>43.4610071482182</v>
      </c>
      <c r="I9487" s="6" t="n">
        <f aca="false">Sens!I9486*tax_f</f>
        <v>47.419606434868</v>
      </c>
      <c r="J9487" s="6" t="n">
        <f aca="false">Sens!J9486*tax_f</f>
        <v>51.1426228750625</v>
      </c>
      <c r="K9487" s="6" t="n">
        <f aca="false">Sens!K9486*tax_f</f>
        <v>54.8068782340198</v>
      </c>
    </row>
    <row r="9488" customFormat="false" ht="15" hidden="false" customHeight="false" outlineLevel="0" collapsed="false">
      <c r="A9488" s="1" t="s">
        <v>915</v>
      </c>
      <c r="B9488" s="0" t="s">
        <v>98</v>
      </c>
      <c r="D9488" s="6" t="n">
        <f aca="false">Sens!D9486-Sens!D9487</f>
        <v>101.832</v>
      </c>
      <c r="E9488" s="6" t="n">
        <f aca="false">Sens!E9486-Sens!E9487</f>
        <v>133.749</v>
      </c>
      <c r="F9488" s="6" t="n">
        <f aca="false">Sens!F9486-Sens!F9487</f>
        <v>141.224957812209</v>
      </c>
      <c r="G9488" s="6" t="n">
        <f aca="false">Sens!G9486-Sens!G9487</f>
        <v>157.430548919943</v>
      </c>
      <c r="H9488" s="6" t="n">
        <f aca="false">Sens!H9486-Sens!H9487</f>
        <v>173.844028592873</v>
      </c>
      <c r="I9488" s="6" t="n">
        <f aca="false">Sens!I9486-Sens!I9487</f>
        <v>189.678425739472</v>
      </c>
      <c r="J9488" s="6" t="n">
        <f aca="false">Sens!J9486-Sens!J9487</f>
        <v>204.57049150025</v>
      </c>
      <c r="K9488" s="6" t="n">
        <f aca="false">Sens!K9486-Sens!K9487</f>
        <v>219.227512936079</v>
      </c>
    </row>
    <row r="9489" customFormat="false" ht="17.15" hidden="false" customHeight="false" outlineLevel="0" collapsed="false">
      <c r="A9489" s="1" t="s">
        <v>916</v>
      </c>
      <c r="B9489" s="1" t="s">
        <v>81</v>
      </c>
      <c r="D9489" s="14" t="n">
        <f aca="false">Q!L31</f>
        <v>7.465</v>
      </c>
      <c r="E9489" s="14" t="n">
        <f aca="false">Q!M31</f>
        <v>7.453</v>
      </c>
      <c r="F9489" s="14" t="n">
        <f aca="false">Sens!F9530</f>
        <v>7.4735</v>
      </c>
      <c r="G9489" s="14" t="n">
        <f aca="false">Sens!G9530</f>
        <v>7.51788909456545</v>
      </c>
      <c r="H9489" s="14" t="n">
        <f aca="false">Sens!H9530</f>
        <v>7.54502977498085</v>
      </c>
      <c r="I9489" s="14" t="n">
        <f aca="false">Sens!I9530</f>
        <v>7.55681060698816</v>
      </c>
      <c r="J9489" s="14" t="n">
        <f aca="false">Sens!J9530</f>
        <v>7.57105211810605</v>
      </c>
      <c r="K9489" s="14" t="n">
        <f aca="false">Sens!K9530</f>
        <v>7.58757203580779</v>
      </c>
    </row>
    <row r="9490" customFormat="false" ht="17.15" hidden="false" customHeight="false" outlineLevel="0" collapsed="false">
      <c r="A9490" s="0" t="s">
        <v>917</v>
      </c>
      <c r="B9490" s="0" t="s">
        <v>75</v>
      </c>
      <c r="D9490" s="8" t="n">
        <f aca="false">Sens!D9488/Sens!D9489</f>
        <v>13.641259209645</v>
      </c>
      <c r="E9490" s="8" t="n">
        <f aca="false">Sens!E9488/Sens!E9489</f>
        <v>17.9456594659869</v>
      </c>
      <c r="F9490" s="8" t="n">
        <f aca="false">Sens!F9488/Sens!F9489</f>
        <v>18.8967629373398</v>
      </c>
      <c r="G9490" s="8" t="n">
        <f aca="false">Sens!G9488/Sens!G9489</f>
        <v>20.9407916157937</v>
      </c>
      <c r="H9490" s="8" t="n">
        <f aca="false">Sens!H9488/Sens!H9489</f>
        <v>23.0408671373751</v>
      </c>
      <c r="I9490" s="8" t="n">
        <f aca="false">Sens!I9488/Sens!I9489</f>
        <v>25.1003281151531</v>
      </c>
      <c r="J9490" s="8" t="n">
        <f aca="false">Sens!J9488/Sens!J9489</f>
        <v>27.0200876059251</v>
      </c>
      <c r="K9490" s="8" t="n">
        <f aca="false">Sens!K9488/Sens!K9489</f>
        <v>28.8929728642424</v>
      </c>
      <c r="L9490" s="1" t="s">
        <v>918</v>
      </c>
    </row>
    <row r="9491" customFormat="false" ht="17.15" hidden="false" customHeight="false" outlineLevel="0" collapsed="false">
      <c r="A9491" s="1" t="s">
        <v>919</v>
      </c>
      <c r="B9491" s="0" t="s">
        <v>98</v>
      </c>
      <c r="D9491" s="6" t="n">
        <f aca="false">Sens!D9488</f>
        <v>101.832</v>
      </c>
      <c r="E9491" s="6" t="n">
        <f aca="false">Sens!E9488</f>
        <v>133.749</v>
      </c>
      <c r="F9491" s="6" t="n">
        <f aca="false">Sens!F9488+Sens!F9481*(1-tax_f)</f>
        <v>157.173612585055</v>
      </c>
      <c r="G9491" s="6" t="n">
        <f aca="false">Sens!G9488+Sens!G9481*(1-tax_f)</f>
        <v>185.539308475073</v>
      </c>
      <c r="H9491" s="6" t="n">
        <f aca="false">Sens!H9488+Sens!H9481*(1-tax_f)</f>
        <v>215.194857804647</v>
      </c>
      <c r="I9491" s="6" t="n">
        <f aca="false">Sens!I9488+Sens!I9481*(1-tax_f)</f>
        <v>243.133900334424</v>
      </c>
      <c r="J9491" s="6" t="n">
        <f aca="false">Sens!J9488+Sens!J9481*(1-tax_f)</f>
        <v>266.516798718616</v>
      </c>
      <c r="K9491" s="6" t="n">
        <f aca="false">Sens!K9488+Sens!K9481*(1-tax_f)</f>
        <v>285.887484048183</v>
      </c>
    </row>
    <row r="9492" customFormat="false" ht="17.15" hidden="false" customHeight="false" outlineLevel="0" collapsed="false">
      <c r="A9492" s="0" t="s">
        <v>920</v>
      </c>
      <c r="B9492" s="0" t="s">
        <v>75</v>
      </c>
      <c r="D9492" s="8" t="n">
        <f aca="false">Sens!D9491/Sens!D9489</f>
        <v>13.641259209645</v>
      </c>
      <c r="E9492" s="8" t="n">
        <f aca="false">Sens!E9491/Sens!E9489</f>
        <v>17.9456594659869</v>
      </c>
      <c r="F9492" s="8" t="n">
        <f aca="false">Sens!F9491/Sens!F9489</f>
        <v>21.0307904710048</v>
      </c>
      <c r="G9492" s="8" t="n">
        <f aca="false">Sens!G9491/Sens!G9489</f>
        <v>24.6797081123738</v>
      </c>
      <c r="H9492" s="8" t="n">
        <f aca="false">Sens!H9491/Sens!H9489</f>
        <v>28.5214060411303</v>
      </c>
      <c r="I9492" s="8" t="n">
        <f aca="false">Sens!I9491/Sens!I9489</f>
        <v>32.1741423702727</v>
      </c>
      <c r="J9492" s="8" t="n">
        <f aca="false">Sens!J9491/Sens!J9489</f>
        <v>35.2020821625631</v>
      </c>
      <c r="K9492" s="8" t="n">
        <f aca="false">Sens!K9491/Sens!K9489</f>
        <v>37.6783881192828</v>
      </c>
      <c r="L9492" s="1" t="s">
        <v>921</v>
      </c>
    </row>
    <row r="9493" customFormat="false" ht="17.15" hidden="false" customHeight="false" outlineLevel="0" collapsed="false">
      <c r="A9493" s="0" t="s">
        <v>922</v>
      </c>
      <c r="B9493" s="0" t="s">
        <v>129</v>
      </c>
      <c r="E9493" s="7" t="n">
        <f aca="false">Sens!E9492/Sens!D9492-1</f>
        <v>0.315542736208578</v>
      </c>
      <c r="F9493" s="7" t="n">
        <f aca="false">Sens!F9492/Sens!E9492-1</f>
        <v>0.171915164826646</v>
      </c>
      <c r="G9493" s="7" t="n">
        <f aca="false">Sens!G9492/Sens!F9492-1</f>
        <v>0.173503589720021</v>
      </c>
      <c r="H9493" s="7" t="n">
        <f aca="false">Sens!H9492/Sens!G9492-1</f>
        <v>0.155662210884513</v>
      </c>
      <c r="I9493" s="7" t="n">
        <f aca="false">Sens!I9492/Sens!H9492-1</f>
        <v>0.128069995002166</v>
      </c>
      <c r="J9493" s="7" t="n">
        <f aca="false">Sens!J9492/Sens!I9492-1</f>
        <v>0.094110971395716</v>
      </c>
      <c r="K9493" s="7" t="n">
        <f aca="false">Sens!K9492/Sens!J9492-1</f>
        <v>0.070345439945404</v>
      </c>
    </row>
    <row r="9494" customFormat="false" ht="17.15" hidden="false" customHeight="false" outlineLevel="0" collapsed="false">
      <c r="A9494" s="0" t="s">
        <v>846</v>
      </c>
      <c r="B9494" s="0" t="s">
        <v>98</v>
      </c>
      <c r="E9494" s="6" t="n">
        <f aca="false">Sens!E9435</f>
        <v>5.25</v>
      </c>
      <c r="F9494" s="6" t="n">
        <f aca="false">Sens!F9435</f>
        <v>12</v>
      </c>
      <c r="G9494" s="6" t="n">
        <f aca="false">Sens!G9435</f>
        <v>18</v>
      </c>
      <c r="H9494" s="6" t="n">
        <f aca="false">Sens!H9435</f>
        <v>24</v>
      </c>
      <c r="I9494" s="6" t="n">
        <f aca="false">Sens!I9435</f>
        <v>28.5</v>
      </c>
      <c r="J9494" s="6" t="n">
        <f aca="false">Sens!J9435</f>
        <v>31.5</v>
      </c>
      <c r="K9494" s="6" t="n">
        <f aca="false">Sens!K9435</f>
        <v>34.5</v>
      </c>
    </row>
    <row r="9495" customFormat="false" ht="17.15" hidden="false" customHeight="false" outlineLevel="0" collapsed="false">
      <c r="A9495" s="1" t="s">
        <v>847</v>
      </c>
      <c r="B9495" s="0" t="s">
        <v>98</v>
      </c>
      <c r="F9495" s="6" t="n">
        <f aca="false">MAX(0,(Sens!E9398+Sens!F9398)/2*Sens!F9406/1000-Sens!F9494*Sens!F9474)</f>
        <v>19.9358184660572</v>
      </c>
      <c r="G9495" s="6" t="n">
        <f aca="false">MAX(0,(Sens!F9398+Sens!G9398)/2*Sens!G9406/1000-Sens!G9494*Sens!G9474)</f>
        <v>35.1359494439124</v>
      </c>
      <c r="H9495" s="6" t="n">
        <f aca="false">MAX(0,(Sens!G9398+Sens!H9398)/2*Sens!H9406/1000-Sens!H9494*Sens!H9474)</f>
        <v>51.688536514718</v>
      </c>
      <c r="I9495" s="6" t="n">
        <f aca="false">MAX(0,(Sens!H9398+Sens!I9398)/2*Sens!I9406/1000-Sens!I9494*Sens!I9474)</f>
        <v>66.8193432436896</v>
      </c>
      <c r="J9495" s="6" t="n">
        <f aca="false">MAX(0,(Sens!I9398+Sens!J9398)/2*Sens!J9406/1000-Sens!J9494*Sens!J9474)</f>
        <v>77.4328840229578</v>
      </c>
      <c r="K9495" s="6" t="n">
        <f aca="false">MAX(0,(Sens!J9398+Sens!K9398)/2*Sens!K9406/1000-Sens!K9494*Sens!K9474)</f>
        <v>83.3249638901295</v>
      </c>
      <c r="L9495" s="1" t="s">
        <v>848</v>
      </c>
    </row>
    <row r="9496" customFormat="false" ht="17.15" hidden="false" customHeight="false" outlineLevel="0" collapsed="false">
      <c r="A9496" s="1" t="s">
        <v>849</v>
      </c>
      <c r="B9496" s="0" t="s">
        <v>98</v>
      </c>
      <c r="F9496" s="6" t="n">
        <f aca="false">IF(internal_ai_reading=2,1,0)*Sens!F9495</f>
        <v>19.9358184660572</v>
      </c>
      <c r="G9496" s="6" t="n">
        <f aca="false">IF(internal_ai_reading=2,1,0)*Sens!G9495</f>
        <v>35.1359494439124</v>
      </c>
      <c r="H9496" s="6" t="n">
        <f aca="false">IF(internal_ai_reading=2,1,0)*Sens!H9495</f>
        <v>51.688536514718</v>
      </c>
      <c r="I9496" s="6" t="n">
        <f aca="false">IF(internal_ai_reading=2,1,0)*Sens!I9495</f>
        <v>66.8193432436896</v>
      </c>
      <c r="J9496" s="6" t="n">
        <f aca="false">IF(internal_ai_reading=2,1,0)*Sens!J9495</f>
        <v>77.4328840229578</v>
      </c>
      <c r="K9496" s="6" t="n">
        <f aca="false">IF(internal_ai_reading=2,1,0)*Sens!K9495</f>
        <v>83.3249638901295</v>
      </c>
    </row>
    <row r="9497" customFormat="false" ht="17.15" hidden="false" customHeight="false" outlineLevel="0" collapsed="false">
      <c r="A9497" s="0" t="s">
        <v>850</v>
      </c>
      <c r="B9497" s="0" t="s">
        <v>98</v>
      </c>
      <c r="F9497" s="6" t="n">
        <f aca="false">Sens!F9415+Sens!F9494*Sens!F9474+Sens!F9496-Sens!F9416-Sens!F9426</f>
        <v>24.9741092527443</v>
      </c>
      <c r="G9497" s="6" t="n">
        <f aca="false">Sens!G9415+Sens!G9494*Sens!G9474+Sens!G9496-Sens!G9416-Sens!G9426</f>
        <v>40.6762275496898</v>
      </c>
      <c r="H9497" s="6" t="n">
        <f aca="false">Sens!H9415+Sens!H9494*Sens!H9474+Sens!H9496-Sens!H9416-Sens!H9426</f>
        <v>57.6070670911732</v>
      </c>
      <c r="I9497" s="6" t="n">
        <f aca="false">Sens!I9415+Sens!I9494*Sens!I9474+Sens!I9496-Sens!I9416-Sens!I9426</f>
        <v>72.6854816141571</v>
      </c>
      <c r="J9497" s="6" t="n">
        <f aca="false">Sens!J9415+Sens!J9494*Sens!J9474+Sens!J9496-Sens!J9416-Sens!J9426</f>
        <v>83.1150563678582</v>
      </c>
      <c r="K9497" s="6" t="n">
        <f aca="false">Sens!K9415+Sens!K9494*Sens!K9474+Sens!K9496-Sens!K9416-Sens!K9426</f>
        <v>90.3508895393485</v>
      </c>
    </row>
    <row r="9498" customFormat="false" ht="17.15" hidden="false" customHeight="false" outlineLevel="0" collapsed="false">
      <c r="A9498" s="0" t="s">
        <v>851</v>
      </c>
      <c r="B9498" s="0" t="s">
        <v>98</v>
      </c>
      <c r="E9498" s="6" t="n">
        <f aca="false">Sens!E9397*(cxit_open+self_build*tk_cxfac)/1000*ai_net_open</f>
        <v>126.6980382</v>
      </c>
      <c r="F9498" s="6" t="n">
        <f aca="false">Sens!E9498+Sens!F9423-Sens!F9426</f>
        <v>260.569049347901</v>
      </c>
      <c r="G9498" s="6" t="n">
        <f aca="false">Sens!F9498+Sens!G9423-Sens!G9426</f>
        <v>383.638152237428</v>
      </c>
      <c r="H9498" s="6" t="n">
        <f aca="false">Sens!G9498+Sens!H9423-Sens!H9426</f>
        <v>483.977777821355</v>
      </c>
      <c r="I9498" s="6" t="n">
        <f aca="false">Sens!H9498+Sens!I9423-Sens!I9426</f>
        <v>535.699062660046</v>
      </c>
      <c r="J9498" s="6" t="n">
        <f aca="false">Sens!I9498+Sens!J9423-Sens!J9426</f>
        <v>531.029484122137</v>
      </c>
      <c r="K9498" s="6" t="n">
        <f aca="false">Sens!J9498+Sens!K9423-Sens!K9426</f>
        <v>506.342928626267</v>
      </c>
      <c r="L9498" s="1" t="s">
        <v>852</v>
      </c>
    </row>
    <row r="9499" customFormat="false" ht="17.15" hidden="false" customHeight="false" outlineLevel="0" collapsed="false">
      <c r="A9499" s="0" t="s">
        <v>853</v>
      </c>
      <c r="B9499" s="0" t="s">
        <v>129</v>
      </c>
      <c r="F9499" s="7" t="n">
        <f aca="false">Sens!F9497*(1-tax_f)/((Sens!E9498+Sens!F9498)/2)</f>
        <v>0.103180921098668</v>
      </c>
      <c r="G9499" s="7" t="n">
        <f aca="false">Sens!G9497*(1-tax_f)/((Sens!F9498+Sens!G9498)/2)</f>
        <v>0.101026446024421</v>
      </c>
      <c r="H9499" s="7" t="n">
        <f aca="false">Sens!H9497*(1-tax_f)/((Sens!G9498+Sens!H9498)/2)</f>
        <v>0.106235148701837</v>
      </c>
      <c r="I9499" s="7" t="n">
        <f aca="false">Sens!I9497*(1-tax_f)/((Sens!H9498+Sens!I9498)/2)</f>
        <v>0.11405257623361</v>
      </c>
      <c r="J9499" s="7" t="n">
        <f aca="false">Sens!J9497*(1-tax_f)/((Sens!I9498+Sens!J9498)/2)</f>
        <v>0.124665352389531</v>
      </c>
      <c r="K9499" s="7" t="n">
        <f aca="false">Sens!K9497*(1-tax_f)/((Sens!J9498+Sens!K9498)/2)</f>
        <v>0.139353448661661</v>
      </c>
    </row>
    <row r="9500" customFormat="false" ht="17.15" hidden="false" customHeight="false" outlineLevel="0" collapsed="false">
      <c r="A9500" s="1" t="s">
        <v>854</v>
      </c>
      <c r="B9500" s="0" t="s">
        <v>129</v>
      </c>
      <c r="F9500" s="7" t="n">
        <f aca="false">(Sens!F9497-Sens!F9496)*(1-tax_f)/((Sens!E9498+Sens!F9498)/2)</f>
        <v>0.0208157768059811</v>
      </c>
      <c r="G9500" s="7" t="n">
        <f aca="false">(Sens!G9497-Sens!G9496)*(1-tax_f)/((Sens!F9498+Sens!G9498)/2)</f>
        <v>0.0137602388601514</v>
      </c>
      <c r="H9500" s="7" t="n">
        <f aca="false">(Sens!H9497-Sens!H9496)*(1-tax_f)/((Sens!G9498+Sens!H9498)/2)</f>
        <v>0.0109145632234838</v>
      </c>
      <c r="I9500" s="7" t="n">
        <f aca="false">(Sens!I9497-Sens!I9496)*(1-tax_f)/((Sens!H9498+Sens!I9498)/2)</f>
        <v>0.00920470194097642</v>
      </c>
      <c r="J9500" s="7" t="n">
        <f aca="false">(Sens!J9497-Sens!J9496)*(1-tax_f)/((Sens!I9498+Sens!J9498)/2)</f>
        <v>0.00852276408957588</v>
      </c>
      <c r="K9500" s="7" t="n">
        <f aca="false">(Sens!K9497-Sens!K9496)*(1-tax_f)/((Sens!J9498+Sens!K9498)/2)</f>
        <v>0.0108364950721673</v>
      </c>
    </row>
    <row r="9501" customFormat="false" ht="17.15" hidden="false" customHeight="false" outlineLevel="0" collapsed="false">
      <c r="A9501" s="1" t="s">
        <v>855</v>
      </c>
      <c r="B9501" s="0" t="s">
        <v>129</v>
      </c>
      <c r="F9501" s="7" t="n">
        <f aca="false">(Sens!F9497-Sens!F9496+Sens!F9495)*(1-tax_f)/((Sens!E9498+Sens!F9498)/2)</f>
        <v>0.103180921098668</v>
      </c>
      <c r="G9501" s="7" t="n">
        <f aca="false">(Sens!G9497-Sens!G9496+Sens!G9495)*(1-tax_f)/((Sens!F9498+Sens!G9498)/2)</f>
        <v>0.101026446024421</v>
      </c>
      <c r="H9501" s="7" t="n">
        <f aca="false">(Sens!H9497-Sens!H9496+Sens!H9495)*(1-tax_f)/((Sens!G9498+Sens!H9498)/2)</f>
        <v>0.106235148701837</v>
      </c>
      <c r="I9501" s="7" t="n">
        <f aca="false">(Sens!I9497-Sens!I9496+Sens!I9495)*(1-tax_f)/((Sens!H9498+Sens!I9498)/2)</f>
        <v>0.11405257623361</v>
      </c>
      <c r="J9501" s="7" t="n">
        <f aca="false">(Sens!J9497-Sens!J9496+Sens!J9495)*(1-tax_f)/((Sens!I9498+Sens!J9498)/2)</f>
        <v>0.124665352389531</v>
      </c>
      <c r="K9501" s="7" t="n">
        <f aca="false">(Sens!K9497-Sens!K9496+Sens!K9495)*(1-tax_f)/((Sens!J9498+Sens!K9498)/2)</f>
        <v>0.139353448661661</v>
      </c>
    </row>
    <row r="9502" customFormat="false" ht="17.15" hidden="false" customHeight="false" outlineLevel="0" collapsed="false">
      <c r="A9502" s="1" t="s">
        <v>856</v>
      </c>
      <c r="B9502" s="0" t="s">
        <v>129</v>
      </c>
      <c r="F9502" s="7" t="n">
        <f aca="false">Sens!F9427*(1-tax_f)/(Sens!F9414*(Sens!E9498+Sens!F9498)/2)</f>
        <v>0.128184513301779</v>
      </c>
      <c r="G9502" s="7" t="n">
        <f aca="false">Sens!G9427*(1-tax_f)/(Sens!G9414*(Sens!F9498+Sens!G9498)/2)</f>
        <v>0.125217302454493</v>
      </c>
      <c r="H9502" s="7" t="n">
        <f aca="false">Sens!H9427*(1-tax_f)/(Sens!H9414*(Sens!G9498+Sens!H9498)/2)</f>
        <v>0.130857436838719</v>
      </c>
      <c r="I9502" s="7" t="n">
        <f aca="false">Sens!I9427*(1-tax_f)/(Sens!I9414*(Sens!H9498+Sens!I9498)/2)</f>
        <v>0.139995622935289</v>
      </c>
      <c r="J9502" s="7" t="n">
        <f aca="false">Sens!J9427*(1-tax_f)/(Sens!J9414*(Sens!I9498+Sens!J9498)/2)</f>
        <v>0.15281037848549</v>
      </c>
      <c r="K9502" s="7" t="n">
        <f aca="false">Sens!K9427*(1-tax_f)/(Sens!K9414*(Sens!J9498+Sens!K9498)/2)</f>
        <v>0.170552039930537</v>
      </c>
    </row>
    <row r="9503" customFormat="false" ht="17.15" hidden="false" customHeight="false" outlineLevel="0" collapsed="false">
      <c r="A9503" s="0" t="s">
        <v>857</v>
      </c>
      <c r="B9503" s="0" t="s">
        <v>209</v>
      </c>
      <c r="F9503" s="7" t="n">
        <f aca="false">Sens!F9499-wacc</f>
        <v>0.000246501005792224</v>
      </c>
      <c r="G9503" s="7" t="n">
        <f aca="false">Sens!G9499-wacc</f>
        <v>-0.00190797406845447</v>
      </c>
      <c r="H9503" s="7" t="n">
        <f aca="false">Sens!H9499-wacc</f>
        <v>0.00330072860896082</v>
      </c>
      <c r="I9503" s="7" t="n">
        <f aca="false">Sens!I9499-wacc</f>
        <v>0.011118156140734</v>
      </c>
      <c r="J9503" s="7" t="n">
        <f aca="false">Sens!J9499-wacc</f>
        <v>0.0217309322966552</v>
      </c>
      <c r="K9503" s="7" t="n">
        <f aca="false">Sens!K9499-wacc</f>
        <v>0.0364190285687848</v>
      </c>
    </row>
    <row r="9504" customFormat="false" ht="17.15" hidden="false" customHeight="false" outlineLevel="0" collapsed="false">
      <c r="A9504" s="0" t="s">
        <v>858</v>
      </c>
      <c r="B9504" s="0" t="s">
        <v>98</v>
      </c>
      <c r="F9504" s="6" t="n">
        <f aca="false">Sens!F9497*(1-tax_f)-wacc*(Sens!E9498+Sens!F9498)/2</f>
        <v>0.0477308632953921</v>
      </c>
      <c r="G9504" s="6" t="n">
        <f aca="false">Sens!G9497*(1-tax_f)-wacc*(Sens!F9498+Sens!G9498)/2</f>
        <v>-0.614565317668216</v>
      </c>
      <c r="H9504" s="6" t="n">
        <f aca="false">Sens!H9497*(1-tax_f)-wacc*(Sens!G9498+Sens!H9498)/2</f>
        <v>1.43188236096759</v>
      </c>
      <c r="I9504" s="6" t="n">
        <f aca="false">Sens!I9497*(1-tax_f)-wacc*(Sens!H9498+Sens!I9498)/2</f>
        <v>5.66846316278126</v>
      </c>
      <c r="J9504" s="6" t="n">
        <f aca="false">Sens!J9497*(1-tax_f)-wacc*(Sens!I9498+Sens!J9498)/2</f>
        <v>11.5905029145165</v>
      </c>
      <c r="K9504" s="6" t="n">
        <f aca="false">Sens!K9497*(1-tax_f)-wacc*(Sens!J9498+Sens!K9498)/2</f>
        <v>18.8900477681766</v>
      </c>
    </row>
    <row r="9505" customFormat="false" ht="17.15" hidden="false" customHeight="false" outlineLevel="0" collapsed="false">
      <c r="A9505" s="3" t="s">
        <v>1482</v>
      </c>
    </row>
    <row r="9506" customFormat="false" ht="15" hidden="false" customHeight="false" outlineLevel="0" collapsed="false">
      <c r="A9506" s="4" t="s">
        <v>43</v>
      </c>
      <c r="B9506" s="4" t="s">
        <v>65</v>
      </c>
      <c r="C9506" s="20" t="s">
        <v>788</v>
      </c>
      <c r="D9506" s="20" t="s">
        <v>789</v>
      </c>
      <c r="E9506" s="20" t="s">
        <v>790</v>
      </c>
      <c r="F9506" s="20" t="s">
        <v>791</v>
      </c>
      <c r="G9506" s="20" t="s">
        <v>792</v>
      </c>
      <c r="H9506" s="20" t="s">
        <v>793</v>
      </c>
      <c r="I9506" s="20" t="s">
        <v>794</v>
      </c>
      <c r="J9506" s="20" t="s">
        <v>795</v>
      </c>
      <c r="K9506" s="20" t="s">
        <v>796</v>
      </c>
      <c r="L9506" s="4" t="s">
        <v>47</v>
      </c>
    </row>
    <row r="9507" customFormat="false" ht="15" hidden="false" customHeight="false" outlineLevel="0" collapsed="false">
      <c r="A9507" s="1" t="s">
        <v>915</v>
      </c>
      <c r="B9507" s="0" t="s">
        <v>98</v>
      </c>
      <c r="F9507" s="6" t="n">
        <f aca="false">Sens!F9488</f>
        <v>141.224957812209</v>
      </c>
      <c r="G9507" s="6" t="n">
        <f aca="false">Sens!G9488</f>
        <v>157.430548919943</v>
      </c>
      <c r="H9507" s="6" t="n">
        <f aca="false">Sens!H9488</f>
        <v>173.844028592873</v>
      </c>
      <c r="I9507" s="6" t="n">
        <f aca="false">Sens!I9488</f>
        <v>189.678425739472</v>
      </c>
      <c r="J9507" s="6" t="n">
        <f aca="false">Sens!J9488</f>
        <v>204.57049150025</v>
      </c>
      <c r="K9507" s="6" t="n">
        <f aca="false">Sens!K9488</f>
        <v>219.227512936079</v>
      </c>
    </row>
    <row r="9508" customFormat="false" ht="17.15" hidden="false" customHeight="false" outlineLevel="0" collapsed="false">
      <c r="A9508" s="1" t="s">
        <v>937</v>
      </c>
      <c r="B9508" s="0" t="s">
        <v>98</v>
      </c>
      <c r="E9508" s="6" t="n">
        <f aca="false">Q!M38-Sens!E9426</f>
        <v>22.2285940229167</v>
      </c>
      <c r="F9508" s="6" t="n">
        <f aca="false">Sens!E9508*(1-1/life_nonai)+Sens!F9514/life_nonai</f>
        <v>23.5646627435813</v>
      </c>
      <c r="G9508" s="6" t="n">
        <f aca="false">Sens!F9508*(1-1/life_nonai)+Sens!G9514/life_nonai</f>
        <v>25.3268008347557</v>
      </c>
      <c r="H9508" s="6" t="n">
        <f aca="false">Sens!G9508*(1-1/life_nonai)+Sens!H9514/life_nonai</f>
        <v>27.48260814329</v>
      </c>
      <c r="I9508" s="6" t="n">
        <f aca="false">Sens!H9508*(1-1/life_nonai)+Sens!I9514/life_nonai</f>
        <v>29.9676445814336</v>
      </c>
      <c r="J9508" s="6" t="n">
        <f aca="false">Sens!I9508*(1-1/life_nonai)+Sens!J9514/life_nonai</f>
        <v>32.7010711415467</v>
      </c>
      <c r="K9508" s="6" t="n">
        <f aca="false">Sens!J9508*(1-1/life_nonai)+Sens!K9514/life_nonai</f>
        <v>35.6015276849633</v>
      </c>
      <c r="L9508" s="11" t="s">
        <v>938</v>
      </c>
    </row>
    <row r="9509" customFormat="false" ht="17.15" hidden="false" customHeight="false" outlineLevel="0" collapsed="false">
      <c r="A9509" s="1" t="s">
        <v>939</v>
      </c>
      <c r="B9509" s="0" t="s">
        <v>98</v>
      </c>
      <c r="E9509" s="6" t="n">
        <f aca="false">Sens!E9426+Sens!E9508</f>
        <v>38.534</v>
      </c>
      <c r="F9509" s="6" t="n">
        <f aca="false">Sens!F9426+Sens!F9508</f>
        <v>58.3043703661177</v>
      </c>
      <c r="G9509" s="6" t="n">
        <f aca="false">Sens!G9426+Sens!G9508</f>
        <v>85.8318784284286</v>
      </c>
      <c r="H9509" s="6" t="n">
        <f aca="false">Sens!H9426+Sens!H9508</f>
        <v>115.223268469763</v>
      </c>
      <c r="I9509" s="6" t="n">
        <f aca="false">Sens!I9426+Sens!I9508</f>
        <v>141.953028896988</v>
      </c>
      <c r="J9509" s="6" t="n">
        <f aca="false">Sens!J9426+Sens!J9508</f>
        <v>161.883126397546</v>
      </c>
      <c r="K9509" s="6" t="n">
        <f aca="false">Sens!K9426+Sens!K9508</f>
        <v>175.24751882277</v>
      </c>
    </row>
    <row r="9510" customFormat="false" ht="17.15" hidden="false" customHeight="false" outlineLevel="0" collapsed="false">
      <c r="A9510" s="1" t="s">
        <v>940</v>
      </c>
      <c r="B9510" s="0" t="s">
        <v>98</v>
      </c>
      <c r="F9510" s="6" t="n">
        <f aca="false">Sens!F9453*sbc_r</f>
        <v>14.9355124767599</v>
      </c>
      <c r="G9510" s="6" t="n">
        <f aca="false">Sens!G9453*sbc_r</f>
        <v>17.7796013300898</v>
      </c>
      <c r="H9510" s="6" t="n">
        <f aca="false">Sens!H9453*sbc_r</f>
        <v>20.6983680216553</v>
      </c>
      <c r="I9510" s="6" t="n">
        <f aca="false">Sens!I9453*sbc_r</f>
        <v>23.4018349554311</v>
      </c>
      <c r="J9510" s="6" t="n">
        <f aca="false">Sens!J9453*sbc_r</f>
        <v>25.637769911726</v>
      </c>
      <c r="K9510" s="6" t="n">
        <f aca="false">Sens!K9453*sbc_r</f>
        <v>27.4584313860112</v>
      </c>
    </row>
    <row r="9511" customFormat="false" ht="17.15" hidden="false" customHeight="false" outlineLevel="0" collapsed="false">
      <c r="A9511" s="1" t="s">
        <v>941</v>
      </c>
      <c r="B9511" s="0" t="s">
        <v>98</v>
      </c>
      <c r="F9511" s="6" t="n">
        <f aca="false">wc27</f>
        <v>-4.895</v>
      </c>
      <c r="G9511" s="6" t="n">
        <f aca="false">wc_f</f>
        <v>0</v>
      </c>
      <c r="H9511" s="6" t="n">
        <f aca="false">wc_f</f>
        <v>0</v>
      </c>
      <c r="I9511" s="6" t="n">
        <f aca="false">wc_f</f>
        <v>0</v>
      </c>
      <c r="J9511" s="6" t="n">
        <f aca="false">wc_f</f>
        <v>0</v>
      </c>
      <c r="K9511" s="6" t="n">
        <f aca="false">wc_f</f>
        <v>0</v>
      </c>
      <c r="L9511" s="11" t="s">
        <v>942</v>
      </c>
    </row>
    <row r="9512" customFormat="false" ht="15" hidden="false" customHeight="false" outlineLevel="0" collapsed="false">
      <c r="A9512" s="1" t="s">
        <v>756</v>
      </c>
      <c r="B9512" s="0" t="s">
        <v>98</v>
      </c>
      <c r="E9512" s="6" t="n">
        <f aca="false">Q!M35</f>
        <v>182.935</v>
      </c>
      <c r="F9512" s="6" t="n">
        <f aca="false">Sens!F9507+Sens!F9509+Sens!F9510+Sens!F9511</f>
        <v>209.569840655087</v>
      </c>
      <c r="G9512" s="6" t="n">
        <f aca="false">Sens!G9507+Sens!G9509+Sens!G9510+Sens!G9511</f>
        <v>261.042028678462</v>
      </c>
      <c r="H9512" s="6" t="n">
        <f aca="false">Sens!H9507+Sens!H9509+Sens!H9510+Sens!H9511</f>
        <v>309.765665084291</v>
      </c>
      <c r="I9512" s="6" t="n">
        <f aca="false">Sens!I9507+Sens!I9509+Sens!I9510+Sens!I9511</f>
        <v>355.033289591891</v>
      </c>
      <c r="J9512" s="6" t="n">
        <f aca="false">Sens!J9507+Sens!J9509+Sens!J9510+Sens!J9511</f>
        <v>392.091387809522</v>
      </c>
      <c r="K9512" s="6" t="n">
        <f aca="false">Sens!K9507+Sens!K9509+Sens!K9510+Sens!K9511</f>
        <v>421.933463144861</v>
      </c>
    </row>
    <row r="9513" customFormat="false" ht="17.15" hidden="false" customHeight="false" outlineLevel="0" collapsed="false">
      <c r="A9513" s="0" t="s">
        <v>943</v>
      </c>
      <c r="B9513" s="0" t="s">
        <v>98</v>
      </c>
      <c r="F9513" s="6" t="n">
        <f aca="false">Sens!F9423</f>
        <v>168.610718770438</v>
      </c>
      <c r="G9513" s="6" t="n">
        <f aca="false">Sens!G9423</f>
        <v>183.5741804832</v>
      </c>
      <c r="H9513" s="6" t="n">
        <f aca="false">Sens!H9423</f>
        <v>188.0802859104</v>
      </c>
      <c r="I9513" s="6" t="n">
        <f aca="false">Sens!I9423</f>
        <v>163.706669154245</v>
      </c>
      <c r="J9513" s="6" t="n">
        <f aca="false">Sens!J9423</f>
        <v>124.51247671809</v>
      </c>
      <c r="K9513" s="6" t="n">
        <f aca="false">Sens!K9423</f>
        <v>114.959435641936</v>
      </c>
    </row>
    <row r="9514" customFormat="false" ht="17.15" hidden="false" customHeight="false" outlineLevel="0" collapsed="false">
      <c r="A9514" s="1" t="s">
        <v>944</v>
      </c>
      <c r="B9514" s="0" t="s">
        <v>98</v>
      </c>
      <c r="E9514" s="6" t="n">
        <f aca="false">Sens!E9431*cx_azo+Sens!E9438*cx_m365+Sens!E9439*cx_lic+(Sens!E9441+Sens!E9443)*cx_ind+Sens!E9446*cx_srch+(Sens!E9448+Sens!E9450)*cx_dev</f>
        <v>30.1846587067718</v>
      </c>
      <c r="F9514" s="6" t="n">
        <f aca="false">Sens!F9431*cx_azo+Sens!F9438*cx_m365+Sens!F9439*cx_lic+(Sens!F9441+Sens!F9443)*cx_ind+Sens!F9446*cx_srch+(Sens!F9448+Sens!F9450)*cx_dev</f>
        <v>35.5892812295625</v>
      </c>
      <c r="G9514" s="6" t="n">
        <f aca="false">Sens!G9431*cx_azo+Sens!G9438*cx_m365+Sens!G9439*cx_lic+(Sens!G9441+Sens!G9443)*cx_ind+Sens!G9446*cx_srch+(Sens!G9448+Sens!G9450)*cx_dev</f>
        <v>41.1860436553257</v>
      </c>
      <c r="H9514" s="6" t="n">
        <f aca="false">Sens!H9431*cx_azo+Sens!H9438*cx_m365+Sens!H9439*cx_lic+(Sens!H9441+Sens!H9443)*cx_ind+Sens!H9446*cx_srch+(Sens!H9448+Sens!H9450)*cx_dev</f>
        <v>46.8848739200982</v>
      </c>
      <c r="I9514" s="6" t="n">
        <f aca="false">Sens!I9431*cx_azo+Sens!I9438*cx_m365+Sens!I9439*cx_lic+(Sens!I9441+Sens!I9443)*cx_ind+Sens!I9446*cx_srch+(Sens!I9448+Sens!I9450)*cx_dev</f>
        <v>52.3329725247266</v>
      </c>
      <c r="J9514" s="6" t="n">
        <f aca="false">Sens!J9431*cx_azo+Sens!J9438*cx_m365+Sens!J9439*cx_lic+(Sens!J9441+Sens!J9443)*cx_ind+Sens!J9446*cx_srch+(Sens!J9448+Sens!J9450)*cx_dev</f>
        <v>57.3019101825644</v>
      </c>
      <c r="K9514" s="6" t="n">
        <f aca="false">Sens!K9431*cx_azo+Sens!K9438*cx_m365+Sens!K9439*cx_lic+(Sens!K9441+Sens!K9443)*cx_ind+Sens!K9446*cx_srch+(Sens!K9448+Sens!K9450)*cx_dev</f>
        <v>61.7056365757122</v>
      </c>
    </row>
    <row r="9515" customFormat="false" ht="17.15" hidden="false" customHeight="false" outlineLevel="0" collapsed="false">
      <c r="A9515" s="1" t="s">
        <v>945</v>
      </c>
      <c r="B9515" s="0" t="s">
        <v>98</v>
      </c>
      <c r="E9515" s="6" t="n">
        <f aca="false">Q!M42</f>
        <v>145.3</v>
      </c>
      <c r="F9515" s="6" t="n">
        <f aca="false">Sens!F9513+Sens!F9514</f>
        <v>204.2</v>
      </c>
      <c r="G9515" s="6" t="n">
        <f aca="false">Sens!G9513+Sens!G9514</f>
        <v>224.760224138526</v>
      </c>
      <c r="H9515" s="6" t="n">
        <f aca="false">Sens!H9513+Sens!H9514</f>
        <v>234.965159830498</v>
      </c>
      <c r="I9515" s="6" t="n">
        <f aca="false">Sens!I9513+Sens!I9514</f>
        <v>216.039641678972</v>
      </c>
      <c r="J9515" s="6" t="n">
        <f aca="false">Sens!J9513+Sens!J9514</f>
        <v>181.814386900655</v>
      </c>
      <c r="K9515" s="6" t="n">
        <f aca="false">Sens!K9513+Sens!K9514</f>
        <v>176.665072217648</v>
      </c>
      <c r="L9515" s="1" t="s">
        <v>946</v>
      </c>
    </row>
    <row r="9516" customFormat="false" ht="15" hidden="false" customHeight="false" outlineLevel="0" collapsed="false">
      <c r="A9516" s="1" t="s">
        <v>947</v>
      </c>
      <c r="B9516" s="0" t="s">
        <v>98</v>
      </c>
      <c r="E9516" s="6" t="n">
        <f aca="false">fl_liab</f>
        <v>66.594</v>
      </c>
      <c r="F9516" s="6" t="n">
        <f aca="false">Sens!E9516-Sens!F9517</f>
        <v>62.46973</v>
      </c>
      <c r="G9516" s="6" t="n">
        <f aca="false">Sens!F9516-Sens!G9517</f>
        <v>57.98686785</v>
      </c>
      <c r="H9516" s="6" t="n">
        <f aca="false">Sens!G9516-Sens!H9517</f>
        <v>53.92827690325</v>
      </c>
      <c r="I9516" s="6" t="n">
        <f aca="false">Sens!H9516-Sens!I9517</f>
        <v>49.7850493638962</v>
      </c>
      <c r="J9516" s="6" t="n">
        <f aca="false">Sens!I9516-Sens!J9517</f>
        <v>45.4823765852716</v>
      </c>
      <c r="K9516" s="6" t="n">
        <f aca="false">Sens!J9516-Sens!K9517</f>
        <v>40.9860835316088</v>
      </c>
    </row>
    <row r="9517" customFormat="false" ht="15" hidden="false" customHeight="false" outlineLevel="0" collapsed="false">
      <c r="A9517" s="1" t="s">
        <v>948</v>
      </c>
      <c r="B9517" s="0" t="s">
        <v>98</v>
      </c>
      <c r="F9517" s="6" t="n">
        <f aca="false">fl_pay_27-Sens!E9516*fl_rate</f>
        <v>4.12427</v>
      </c>
      <c r="G9517" s="6" t="n">
        <f aca="false">fl_pay_28-Sens!F9516*fl_rate</f>
        <v>4.48286215</v>
      </c>
      <c r="H9517" s="6" t="n">
        <f aca="false">fl_pay_29-Sens!G9516*fl_rate</f>
        <v>4.05859094675</v>
      </c>
      <c r="I9517" s="6" t="n">
        <f aca="false">fl_pay_30-Sens!H9516*fl_rate</f>
        <v>4.14322753935375</v>
      </c>
      <c r="J9517" s="6" t="n">
        <f aca="false">fl_pay_31-Sens!I9516*fl_rate</f>
        <v>4.30267277862467</v>
      </c>
      <c r="K9517" s="6" t="n">
        <f aca="false">fl_pay_32-Sens!J9516*fl_rate</f>
        <v>4.49629305366278</v>
      </c>
    </row>
    <row r="9518" customFormat="false" ht="17.15" hidden="false" customHeight="false" outlineLevel="0" collapsed="false">
      <c r="A9518" s="1" t="s">
        <v>949</v>
      </c>
      <c r="B9518" s="0" t="s">
        <v>98</v>
      </c>
      <c r="E9518" s="6" t="n">
        <f aca="false">Q!M35-Q!M36-Q!M43</f>
        <v>63.886</v>
      </c>
      <c r="F9518" s="6" t="n">
        <f aca="false">Sens!F9512-Sens!F9515-Sens!F9517</f>
        <v>1.24557065508653</v>
      </c>
      <c r="G9518" s="6" t="n">
        <f aca="false">Sens!G9512-Sens!G9515-Sens!G9517</f>
        <v>31.798942389936</v>
      </c>
      <c r="H9518" s="6" t="n">
        <f aca="false">Sens!H9512-Sens!H9515-Sens!H9517</f>
        <v>70.7419143070426</v>
      </c>
      <c r="I9518" s="6" t="n">
        <f aca="false">Sens!I9512-Sens!I9515-Sens!I9517</f>
        <v>134.850420373565</v>
      </c>
      <c r="J9518" s="6" t="n">
        <f aca="false">Sens!J9512-Sens!J9515-Sens!J9517</f>
        <v>205.974328130242</v>
      </c>
      <c r="K9518" s="6" t="n">
        <f aca="false">Sens!K9512-Sens!K9515-Sens!K9517</f>
        <v>240.772097873549</v>
      </c>
      <c r="L9518" s="11" t="s">
        <v>950</v>
      </c>
    </row>
    <row r="9519" customFormat="false" ht="15" hidden="false" customHeight="false" outlineLevel="0" collapsed="false">
      <c r="A9519" s="1" t="s">
        <v>951</v>
      </c>
      <c r="B9519" s="0" t="s">
        <v>75</v>
      </c>
      <c r="F9519" s="8" t="n">
        <f aca="false">dps_27</f>
        <v>3.85</v>
      </c>
      <c r="G9519" s="8" t="n">
        <f aca="false">Sens!F9519*(1+dps_g)</f>
        <v>4.158</v>
      </c>
      <c r="H9519" s="8" t="n">
        <f aca="false">Sens!G9519*(1+dps_g)</f>
        <v>4.49064</v>
      </c>
      <c r="I9519" s="8" t="n">
        <f aca="false">Sens!H9519*(1+dps_g)</f>
        <v>4.8498912</v>
      </c>
      <c r="J9519" s="8" t="n">
        <f aca="false">Sens!I9519*(1+dps_g)</f>
        <v>5.237882496</v>
      </c>
      <c r="K9519" s="8" t="n">
        <f aca="false">Sens!J9519*(1+dps_g)</f>
        <v>5.65691309568</v>
      </c>
    </row>
    <row r="9520" customFormat="false" ht="17.15" hidden="false" customHeight="false" outlineLevel="0" collapsed="false">
      <c r="A9520" s="1" t="s">
        <v>952</v>
      </c>
      <c r="B9520" s="0" t="s">
        <v>98</v>
      </c>
      <c r="E9520" s="6" t="n">
        <f aca="false">Q!M41</f>
        <v>26.445</v>
      </c>
      <c r="F9520" s="6" t="n">
        <f aca="false">Sens!F9519*Sens!E9529</f>
        <v>28.59395</v>
      </c>
      <c r="G9520" s="6" t="n">
        <f aca="false">Sens!G9519*Sens!F9529</f>
        <v>31.068576</v>
      </c>
      <c r="H9520" s="6" t="n">
        <f aca="false">Sens!H9519*Sens!G9529</f>
        <v>33.7506541672388</v>
      </c>
      <c r="I9520" s="6" t="n">
        <f aca="false">Sens!I9519*Sens!H9529</f>
        <v>36.5016457406173</v>
      </c>
      <c r="J9520" s="6" t="n">
        <f aca="false">Sens!J9519*Sens!I9529</f>
        <v>39.4901762481862</v>
      </c>
      <c r="K9520" s="6" t="n">
        <f aca="false">Sens!K9519*Sens!J9529</f>
        <v>42.7366455733461</v>
      </c>
      <c r="L9520" s="1" t="s">
        <v>953</v>
      </c>
    </row>
    <row r="9521" customFormat="false" ht="15" hidden="false" customHeight="false" outlineLevel="0" collapsed="false">
      <c r="A9521" s="1" t="s">
        <v>954</v>
      </c>
      <c r="B9521" s="0" t="s">
        <v>98</v>
      </c>
      <c r="E9521" s="6" t="n">
        <f aca="false">Sens!E9518-Sens!E9520</f>
        <v>37.441</v>
      </c>
      <c r="F9521" s="6" t="n">
        <f aca="false">Sens!F9518-Sens!F9520</f>
        <v>-27.3483793449135</v>
      </c>
      <c r="G9521" s="6" t="n">
        <f aca="false">Sens!G9518-Sens!G9520</f>
        <v>0.73036638993602</v>
      </c>
      <c r="H9521" s="6" t="n">
        <f aca="false">Sens!H9518-Sens!H9520</f>
        <v>36.9912601398038</v>
      </c>
      <c r="I9521" s="6" t="n">
        <f aca="false">Sens!I9518-Sens!I9520</f>
        <v>98.3487746329481</v>
      </c>
      <c r="J9521" s="6" t="n">
        <f aca="false">Sens!J9518-Sens!J9520</f>
        <v>166.484151882056</v>
      </c>
      <c r="K9521" s="6" t="n">
        <f aca="false">Sens!K9518-Sens!K9520</f>
        <v>198.035452300203</v>
      </c>
    </row>
    <row r="9522" customFormat="false" ht="15" hidden="false" customHeight="false" outlineLevel="0" collapsed="false">
      <c r="A9522" s="1" t="s">
        <v>955</v>
      </c>
      <c r="B9522" s="0" t="s">
        <v>98</v>
      </c>
      <c r="F9522" s="6" t="n">
        <f aca="false">debt_mat_27</f>
        <v>9.25</v>
      </c>
      <c r="G9522" s="6" t="n">
        <f aca="false">debt_mat_28</f>
        <v>0</v>
      </c>
      <c r="H9522" s="6" t="n">
        <f aca="false">debt_mat_29</f>
        <v>2.001</v>
      </c>
      <c r="I9522" s="6" t="n">
        <f aca="false">debt_mat_30</f>
        <v>0</v>
      </c>
      <c r="J9522" s="6" t="n">
        <f aca="false">debt_mat_31</f>
        <v>0.5</v>
      </c>
      <c r="K9522" s="6" t="n">
        <f aca="false">debt_mat_32</f>
        <v>0</v>
      </c>
    </row>
    <row r="9523" customFormat="false" ht="15" hidden="false" customHeight="false" outlineLevel="0" collapsed="false">
      <c r="A9523" s="1" t="s">
        <v>956</v>
      </c>
      <c r="B9523" s="0" t="s">
        <v>98</v>
      </c>
      <c r="E9523" s="6" t="n">
        <f aca="false">Q!M40</f>
        <v>22.271</v>
      </c>
      <c r="F9523" s="6" t="n">
        <f aca="false">MAX(0,MIN(bb_target,Sens!E9525+Sens!F9521-Sens!F9522-min_cash))</f>
        <v>0</v>
      </c>
      <c r="G9523" s="6" t="n">
        <f aca="false">MAX(0,MIN(bb_target,Sens!F9525+Sens!G9521-Sens!G9522-min_cash))</f>
        <v>0.730366389936023</v>
      </c>
      <c r="H9523" s="6" t="n">
        <f aca="false">MAX(0,MIN(bb_target,Sens!G9525+Sens!H9521-Sens!H9522-min_cash))</f>
        <v>22.271</v>
      </c>
      <c r="I9523" s="6" t="n">
        <f aca="false">MAX(0,MIN(bb_target,Sens!H9525+Sens!I9521-Sens!I9522-min_cash))</f>
        <v>22.271</v>
      </c>
      <c r="J9523" s="6" t="n">
        <f aca="false">MAX(0,MIN(bb_target,Sens!I9525+Sens!J9521-Sens!J9522-min_cash))</f>
        <v>22.271</v>
      </c>
      <c r="K9523" s="6" t="n">
        <f aca="false">MAX(0,MIN(bb_target,Sens!J9525+Sens!K9521-Sens!K9522-min_cash))</f>
        <v>22.271</v>
      </c>
    </row>
    <row r="9524" customFormat="false" ht="15" hidden="false" customHeight="false" outlineLevel="0" collapsed="false">
      <c r="A9524" s="1" t="s">
        <v>957</v>
      </c>
      <c r="B9524" s="0" t="s">
        <v>98</v>
      </c>
      <c r="F9524" s="6" t="n">
        <f aca="false">MAX(0,min_cash-(Sens!E9525+Sens!F9521-Sens!F9522-Sens!F9523))</f>
        <v>9.75537934491346</v>
      </c>
      <c r="G9524" s="6" t="n">
        <f aca="false">MAX(0,min_cash-(Sens!F9525+Sens!G9521-Sens!G9522-Sens!G9523))</f>
        <v>0</v>
      </c>
      <c r="H9524" s="6" t="n">
        <f aca="false">MAX(0,min_cash-(Sens!G9525+Sens!H9521-Sens!H9522-Sens!H9523))</f>
        <v>0</v>
      </c>
      <c r="I9524" s="6" t="n">
        <f aca="false">MAX(0,min_cash-(Sens!H9525+Sens!I9521-Sens!I9522-Sens!I9523))</f>
        <v>0</v>
      </c>
      <c r="J9524" s="6" t="n">
        <f aca="false">MAX(0,min_cash-(Sens!I9525+Sens!J9521-Sens!J9522-Sens!J9523))</f>
        <v>0</v>
      </c>
      <c r="K9524" s="6" t="n">
        <f aca="false">MAX(0,min_cash-(Sens!J9525+Sens!K9521-Sens!K9522-Sens!K9523))</f>
        <v>0</v>
      </c>
    </row>
    <row r="9525" customFormat="false" ht="15" hidden="false" customHeight="false" outlineLevel="0" collapsed="false">
      <c r="A9525" s="1" t="s">
        <v>958</v>
      </c>
      <c r="B9525" s="0" t="s">
        <v>98</v>
      </c>
      <c r="E9525" s="6" t="n">
        <f aca="false">cash_open</f>
        <v>76.843</v>
      </c>
      <c r="F9525" s="6" t="n">
        <f aca="false">Sens!E9525+Sens!F9521-Sens!F9522-Sens!F9523+Sens!F9524</f>
        <v>50</v>
      </c>
      <c r="G9525" s="6" t="n">
        <f aca="false">Sens!F9525+Sens!G9521-Sens!G9522-Sens!G9523+Sens!G9524</f>
        <v>50</v>
      </c>
      <c r="H9525" s="6" t="n">
        <f aca="false">Sens!G9525+Sens!H9521-Sens!H9522-Sens!H9523+Sens!H9524</f>
        <v>62.7192601398038</v>
      </c>
      <c r="I9525" s="6" t="n">
        <f aca="false">Sens!H9525+Sens!I9521-Sens!I9522-Sens!I9523+Sens!I9524</f>
        <v>138.797034772752</v>
      </c>
      <c r="J9525" s="6" t="n">
        <f aca="false">Sens!I9525+Sens!J9521-Sens!J9522-Sens!J9523+Sens!J9524</f>
        <v>282.510186654808</v>
      </c>
      <c r="K9525" s="6" t="n">
        <f aca="false">Sens!J9525+Sens!K9521-Sens!K9522-Sens!K9523+Sens!K9524</f>
        <v>458.274638955011</v>
      </c>
    </row>
    <row r="9526" customFormat="false" ht="15" hidden="false" customHeight="false" outlineLevel="0" collapsed="false">
      <c r="A9526" s="1" t="s">
        <v>959</v>
      </c>
      <c r="B9526" s="0" t="s">
        <v>98</v>
      </c>
      <c r="E9526" s="6" t="n">
        <f aca="false">debt_face</f>
        <v>46.136</v>
      </c>
      <c r="F9526" s="6" t="n">
        <f aca="false">Sens!E9526-Sens!F9522+Sens!F9524</f>
        <v>46.6413793449135</v>
      </c>
      <c r="G9526" s="6" t="n">
        <f aca="false">Sens!F9526-Sens!G9522+Sens!G9524</f>
        <v>46.6413793449135</v>
      </c>
      <c r="H9526" s="6" t="n">
        <f aca="false">Sens!G9526-Sens!H9522+Sens!H9524</f>
        <v>44.6403793449135</v>
      </c>
      <c r="I9526" s="6" t="n">
        <f aca="false">Sens!H9526-Sens!I9522+Sens!I9524</f>
        <v>44.6403793449135</v>
      </c>
      <c r="J9526" s="6" t="n">
        <f aca="false">Sens!I9526-Sens!J9522+Sens!J9524</f>
        <v>44.1403793449135</v>
      </c>
      <c r="K9526" s="6" t="n">
        <f aca="false">Sens!J9526-Sens!K9522+Sens!K9524</f>
        <v>44.1403793449135</v>
      </c>
    </row>
    <row r="9527" customFormat="false" ht="15" hidden="false" customHeight="false" outlineLevel="0" collapsed="false">
      <c r="A9527" s="1" t="s">
        <v>960</v>
      </c>
      <c r="B9527" s="0" t="s">
        <v>98</v>
      </c>
      <c r="E9527" s="6" t="n">
        <f aca="false">Sens!E9525-Sens!E9526</f>
        <v>30.707</v>
      </c>
      <c r="F9527" s="6" t="n">
        <f aca="false">Sens!F9525-Sens!F9526</f>
        <v>3.35862065508653</v>
      </c>
      <c r="G9527" s="6" t="n">
        <f aca="false">Sens!G9525-Sens!G9526</f>
        <v>3.35862065508653</v>
      </c>
      <c r="H9527" s="6" t="n">
        <f aca="false">Sens!H9525-Sens!H9526</f>
        <v>18.0788807948903</v>
      </c>
      <c r="I9527" s="6" t="n">
        <f aca="false">Sens!I9525-Sens!I9526</f>
        <v>94.1566554278384</v>
      </c>
      <c r="J9527" s="6" t="n">
        <f aca="false">Sens!J9525-Sens!J9526</f>
        <v>238.369807309894</v>
      </c>
      <c r="K9527" s="6" t="n">
        <f aca="false">Sens!K9525-Sens!K9526</f>
        <v>414.134259610098</v>
      </c>
    </row>
    <row r="9528" customFormat="false" ht="15" hidden="false" customHeight="false" outlineLevel="0" collapsed="false">
      <c r="A9528" s="1" t="s">
        <v>961</v>
      </c>
      <c r="B9528" s="0" t="s">
        <v>75</v>
      </c>
      <c r="F9528" s="29" t="n">
        <f aca="false">px*(1+bb_g)^(Sens!F9392-base_fy-mid_yr)</f>
        <v>553.494156066711</v>
      </c>
      <c r="G9528" s="29" t="n">
        <f aca="false">px*(1+bb_g)^(Sens!G9392-base_fy-mid_yr)</f>
        <v>597.773688552047</v>
      </c>
      <c r="H9528" s="29" t="n">
        <f aca="false">px*(1+bb_g)^(Sens!H9392-base_fy-mid_yr)</f>
        <v>645.595583636211</v>
      </c>
      <c r="I9528" s="29" t="n">
        <f aca="false">px*(1+bb_g)^(Sens!I9392-base_fy-mid_yr)</f>
        <v>697.243230327108</v>
      </c>
      <c r="J9528" s="29" t="n">
        <f aca="false">px*(1+bb_g)^(Sens!J9392-base_fy-mid_yr)</f>
        <v>753.022688753277</v>
      </c>
      <c r="K9528" s="29" t="n">
        <f aca="false">px*(1+bb_g)^(Sens!K9392-base_fy-mid_yr)</f>
        <v>813.264503853539</v>
      </c>
    </row>
    <row r="9529" customFormat="false" ht="15" hidden="false" customHeight="false" outlineLevel="0" collapsed="false">
      <c r="A9529" s="1" t="s">
        <v>962</v>
      </c>
      <c r="B9529" s="1" t="s">
        <v>81</v>
      </c>
      <c r="E9529" s="14" t="n">
        <f aca="false">sh_out26</f>
        <v>7.427</v>
      </c>
      <c r="F9529" s="14" t="n">
        <f aca="false">Sens!E9529+sh_iss-Sens!F9523/Sens!F9528</f>
        <v>7.472</v>
      </c>
      <c r="G9529" s="14" t="n">
        <f aca="false">Sens!F9529+sh_iss-Sens!G9523/Sens!G9528</f>
        <v>7.5157781891309</v>
      </c>
      <c r="H9529" s="14" t="n">
        <f aca="false">Sens!G9529+sh_iss-Sens!H9523/Sens!H9528</f>
        <v>7.5262813608308</v>
      </c>
      <c r="I9529" s="14" t="n">
        <f aca="false">Sens!H9529+sh_iss-Sens!I9523/Sens!I9528</f>
        <v>7.53933985314552</v>
      </c>
      <c r="J9529" s="14" t="n">
        <f aca="false">Sens!I9529+sh_iss-Sens!J9523/Sens!J9528</f>
        <v>7.55476438306657</v>
      </c>
      <c r="K9529" s="14" t="n">
        <f aca="false">Sens!J9529+sh_iss-Sens!K9523/Sens!K9528</f>
        <v>7.57237968854901</v>
      </c>
    </row>
    <row r="9530" customFormat="false" ht="15" hidden="false" customHeight="false" outlineLevel="0" collapsed="false">
      <c r="A9530" s="1" t="s">
        <v>963</v>
      </c>
      <c r="B9530" s="1" t="s">
        <v>81</v>
      </c>
      <c r="E9530" s="14" t="n">
        <f aca="false">sh_dil26</f>
        <v>7.453</v>
      </c>
      <c r="F9530" s="14" t="n">
        <f aca="false">(Sens!E9529+Sens!F9529)/2+dil_gap</f>
        <v>7.4735</v>
      </c>
      <c r="G9530" s="14" t="n">
        <f aca="false">(Sens!F9529+Sens!G9529)/2+dil_gap</f>
        <v>7.51788909456545</v>
      </c>
      <c r="H9530" s="14" t="n">
        <f aca="false">(Sens!G9529+Sens!H9529)/2+dil_gap</f>
        <v>7.54502977498085</v>
      </c>
      <c r="I9530" s="14" t="n">
        <f aca="false">(Sens!H9529+Sens!I9529)/2+dil_gap</f>
        <v>7.55681060698816</v>
      </c>
      <c r="J9530" s="14" t="n">
        <f aca="false">(Sens!I9529+Sens!J9529)/2+dil_gap</f>
        <v>7.57105211810605</v>
      </c>
      <c r="K9530" s="14" t="n">
        <f aca="false">(Sens!J9529+Sens!K9529)/2+dil_gap</f>
        <v>7.58757203580779</v>
      </c>
    </row>
    <row r="9531" customFormat="false" ht="17.15" hidden="false" customHeight="false" outlineLevel="0" collapsed="false">
      <c r="A9531" s="1" t="s">
        <v>964</v>
      </c>
      <c r="B9531" s="0" t="s">
        <v>98</v>
      </c>
      <c r="C9531" s="6" t="n">
        <f aca="false">SUM(Sens!F9521:J9521)</f>
        <v>275.206173699831</v>
      </c>
    </row>
    <row r="9532" customFormat="false" ht="15" hidden="false" customHeight="false" outlineLevel="0" collapsed="false">
      <c r="A9532" s="23" t="s">
        <v>935</v>
      </c>
      <c r="B9532" s="30" t="s">
        <v>98</v>
      </c>
      <c r="C9532" s="24" t="n">
        <f aca="false">Sens!$C$9531-(Sens!F9521+Sens!G9521+Sens!H9521+Sens!I9521+Sens!J9521)</f>
        <v>0</v>
      </c>
      <c r="D9532" s="30"/>
      <c r="E9532" s="30"/>
      <c r="F9532" s="30"/>
      <c r="G9532" s="30"/>
      <c r="H9532" s="30"/>
      <c r="I9532" s="30"/>
      <c r="J9532" s="30"/>
      <c r="K9532" s="30"/>
    </row>
    <row r="9533" customFormat="false" ht="17.15" hidden="false" customHeight="false" outlineLevel="0" collapsed="false">
      <c r="A9533" s="1" t="s">
        <v>929</v>
      </c>
      <c r="B9533" s="1" t="s">
        <v>965</v>
      </c>
      <c r="C9533" s="32" t="str">
        <f aca="false">IF(SUM(Sens!F9524:J9524)&gt;0.05,"需要舉債 "&amp;TEXT(SUM(Sens!F9524:J9524),"0.0")&amp;" 十億美元","不需舉債")&amp;"；"&amp;IF(SUM(Sens!F9523:J9523)&lt;COUNT(Sens!F9523:J9523)*bb_target-0.05,"回購較每年 "&amp;TEXT(bb_target,"0.0")&amp;" 的目標少 "&amp;TEXT(COUNT(Sens!F9523:J9523)*bb_target-SUM(Sens!F9523:J9523),"0.0")&amp;" 十億美元（"&amp;TEXT(COUNTIF(Sens!F9523:J9523,"&lt;"&amp;(bb_target-0.05)),"0")&amp;" 年減少）","回購不減")</f>
        <v>需要舉債 9.8 十億美元；回購較每年 22.3 的目標少 43.8 十億美元（2 年減少）</v>
      </c>
    </row>
    <row r="9534" customFormat="false" ht="17.15" hidden="false" customHeight="false" outlineLevel="0" collapsed="false">
      <c r="A9534" s="3" t="s">
        <v>1483</v>
      </c>
    </row>
    <row r="9535" customFormat="false" ht="15" hidden="false" customHeight="false" outlineLevel="0" collapsed="false">
      <c r="A9535" s="4" t="s">
        <v>43</v>
      </c>
      <c r="B9535" s="4" t="s">
        <v>65</v>
      </c>
      <c r="C9535" s="20" t="s">
        <v>788</v>
      </c>
      <c r="D9535" s="20" t="s">
        <v>789</v>
      </c>
      <c r="E9535" s="20" t="s">
        <v>790</v>
      </c>
      <c r="F9535" s="20" t="s">
        <v>791</v>
      </c>
      <c r="G9535" s="20" t="s">
        <v>792</v>
      </c>
      <c r="H9535" s="20" t="s">
        <v>793</v>
      </c>
      <c r="I9535" s="20" t="s">
        <v>794</v>
      </c>
      <c r="J9535" s="20" t="s">
        <v>795</v>
      </c>
      <c r="K9535" s="20" t="s">
        <v>796</v>
      </c>
      <c r="L9535" s="4" t="s">
        <v>47</v>
      </c>
    </row>
    <row r="9536" customFormat="false" ht="15" hidden="false" customHeight="false" outlineLevel="0" collapsed="false">
      <c r="A9536" s="1" t="s">
        <v>1042</v>
      </c>
      <c r="B9536" s="1" t="s">
        <v>235</v>
      </c>
      <c r="F9536" s="36" t="n">
        <f aca="false">Sens!F9392-base_fy-mid_yr</f>
        <v>0.5</v>
      </c>
      <c r="G9536" s="36" t="n">
        <f aca="false">Sens!G9392-base_fy-mid_yr</f>
        <v>1.5</v>
      </c>
      <c r="H9536" s="36" t="n">
        <f aca="false">Sens!H9392-base_fy-mid_yr</f>
        <v>2.5</v>
      </c>
      <c r="I9536" s="36" t="n">
        <f aca="false">Sens!I9392-base_fy-mid_yr</f>
        <v>3.5</v>
      </c>
      <c r="J9536" s="36" t="n">
        <f aca="false">Sens!J9392-base_fy-mid_yr</f>
        <v>4.5</v>
      </c>
      <c r="K9536" s="36" t="n">
        <f aca="false">Sens!K9392-base_fy-mid_yr</f>
        <v>5.5</v>
      </c>
    </row>
    <row r="9537" customFormat="false" ht="15" hidden="false" customHeight="false" outlineLevel="0" collapsed="false">
      <c r="A9537" s="1" t="s">
        <v>1043</v>
      </c>
      <c r="B9537" s="0" t="s">
        <v>185</v>
      </c>
      <c r="F9537" s="14" t="n">
        <f aca="false">1/(1+wacc)^Sens!F9536</f>
        <v>0.952193373608246</v>
      </c>
      <c r="G9537" s="14" t="n">
        <f aca="false">1/(1+wacc)^Sens!G9536</f>
        <v>0.863327280626589</v>
      </c>
      <c r="H9537" s="14" t="n">
        <f aca="false">1/(1+wacc)^Sens!H9536</f>
        <v>0.782754862754115</v>
      </c>
      <c r="I9537" s="14" t="n">
        <f aca="false">1/(1+wacc)^Sens!I9536</f>
        <v>0.709702089711011</v>
      </c>
      <c r="J9537" s="14" t="n">
        <f aca="false">1/(1+wacc)^Sens!J9536</f>
        <v>0.643467169744551</v>
      </c>
      <c r="K9537" s="14" t="n">
        <f aca="false">1/(1+wacc)^Sens!K9536</f>
        <v>0.583413807767797</v>
      </c>
    </row>
    <row r="9538" customFormat="false" ht="17.15" hidden="false" customHeight="false" outlineLevel="0" collapsed="false">
      <c r="A9538" s="1" t="s">
        <v>1044</v>
      </c>
      <c r="B9538" s="0" t="s">
        <v>98</v>
      </c>
      <c r="F9538" s="6" t="n">
        <f aca="false">Sens!F9512-Sens!F9510-Sens!F9515+Sens!F9496*(1-tax_f)</f>
        <v>6.38298295117242</v>
      </c>
      <c r="G9538" s="6" t="n">
        <f aca="false">Sens!G9512-Sens!G9510-Sens!G9515+Sens!G9496*(1-tax_f)</f>
        <v>46.6109627649762</v>
      </c>
      <c r="H9538" s="6" t="n">
        <f aca="false">Sens!H9512-Sens!H9510-Sens!H9515+Sens!H9496*(1-tax_f)</f>
        <v>95.4529664439117</v>
      </c>
      <c r="I9538" s="6" t="n">
        <f aca="false">Sens!I9512-Sens!I9510-Sens!I9515+Sens!I9496*(1-tax_f)</f>
        <v>169.04728755244</v>
      </c>
      <c r="J9538" s="6" t="n">
        <f aca="false">Sens!J9512-Sens!J9510-Sens!J9515+Sens!J9496*(1-tax_f)</f>
        <v>246.585538215507</v>
      </c>
      <c r="K9538" s="6" t="n">
        <f aca="false">Sens!K9512-Sens!K9510-Sens!K9515+Sens!K9496*(1-tax_f)</f>
        <v>284.469930653305</v>
      </c>
      <c r="L9538" s="1" t="s">
        <v>1045</v>
      </c>
    </row>
    <row r="9539" customFormat="false" ht="15" hidden="false" customHeight="false" outlineLevel="0" collapsed="false">
      <c r="A9539" s="1" t="s">
        <v>1046</v>
      </c>
      <c r="B9539" s="0" t="s">
        <v>98</v>
      </c>
      <c r="F9539" s="6" t="n">
        <f aca="false">Sens!F9538*Sens!F9537</f>
        <v>6.07783406996079</v>
      </c>
      <c r="G9539" s="6" t="n">
        <f aca="false">Sens!G9538*Sens!G9537</f>
        <v>40.2405157312741</v>
      </c>
      <c r="H9539" s="6" t="n">
        <f aca="false">Sens!H9538*Sens!H9537</f>
        <v>74.7162736482773</v>
      </c>
      <c r="I9539" s="6" t="n">
        <f aca="false">Sens!I9538*Sens!I9537</f>
        <v>119.973213235945</v>
      </c>
      <c r="J9539" s="6" t="n">
        <f aca="false">Sens!J9538*Sens!J9537</f>
        <v>158.669698375469</v>
      </c>
      <c r="K9539" s="6" t="n">
        <f aca="false">Sens!K9538*Sens!K9537</f>
        <v>165.963685437886</v>
      </c>
    </row>
    <row r="9540" customFormat="false" ht="17.15" hidden="false" customHeight="false" outlineLevel="0" collapsed="false">
      <c r="A9540" s="1" t="s">
        <v>1047</v>
      </c>
      <c r="B9540" s="0" t="s">
        <v>98</v>
      </c>
      <c r="C9540" s="6" t="n">
        <f aca="false">SUM(Sens!F9539:K9539)</f>
        <v>565.641220498812</v>
      </c>
    </row>
    <row r="9541" customFormat="false" ht="17.15" hidden="false" customHeight="false" outlineLevel="0" collapsed="false">
      <c r="A9541" s="1" t="s">
        <v>1048</v>
      </c>
      <c r="B9541" s="0" t="s">
        <v>98</v>
      </c>
      <c r="C9541" s="6" t="n">
        <f aca="false">Sens!K9482*(1+g_tv)*(1-tax_f)</f>
        <v>294.793708569628</v>
      </c>
    </row>
    <row r="9542" customFormat="false" ht="17.15" hidden="false" customHeight="false" outlineLevel="0" collapsed="false">
      <c r="A9542" s="1" t="s">
        <v>1049</v>
      </c>
      <c r="B9542" s="0" t="s">
        <v>98</v>
      </c>
      <c r="C9542" s="6" t="n">
        <f aca="false">Sens!$C$9541*(1-g_tv/(wacc+ronic_prem))</f>
        <v>208.87676019503</v>
      </c>
    </row>
    <row r="9543" customFormat="false" ht="17.15" hidden="false" customHeight="false" outlineLevel="0" collapsed="false">
      <c r="A9543" s="1" t="s">
        <v>1050</v>
      </c>
      <c r="B9543" s="0" t="s">
        <v>98</v>
      </c>
      <c r="C9543" s="6" t="n">
        <f aca="false">Sens!$C$9542/(wacc-g_tv)</f>
        <v>2863.89827915329</v>
      </c>
    </row>
    <row r="9544" customFormat="false" ht="15" hidden="false" customHeight="false" outlineLevel="0" collapsed="false">
      <c r="A9544" s="1" t="s">
        <v>1051</v>
      </c>
      <c r="B9544" s="0" t="s">
        <v>98</v>
      </c>
      <c r="C9544" s="6" t="n">
        <f aca="false">Sens!$C$9543/(1+wacc)^(Sens!K9536+mid_yr)</f>
        <v>1590.96068162984</v>
      </c>
    </row>
    <row r="9545" customFormat="false" ht="17.15" hidden="false" customHeight="false" outlineLevel="0" collapsed="false">
      <c r="A9545" s="0" t="s">
        <v>972</v>
      </c>
      <c r="B9545" s="0" t="s">
        <v>98</v>
      </c>
      <c r="C9545" s="6" t="n">
        <f aca="false">Sens!$C$9540+Sens!$C$9544</f>
        <v>2156.60190212865</v>
      </c>
    </row>
    <row r="9546" customFormat="false" ht="15" hidden="false" customHeight="false" outlineLevel="0" collapsed="false">
      <c r="A9546" s="1" t="s">
        <v>973</v>
      </c>
      <c r="B9546" s="0" t="s">
        <v>129</v>
      </c>
      <c r="C9546" s="7" t="n">
        <f aca="false">Sens!$C$9544/Sens!$C$9545</f>
        <v>0.73771644180574</v>
      </c>
    </row>
    <row r="9547" customFormat="false" ht="17.15" hidden="false" customHeight="false" outlineLevel="0" collapsed="false">
      <c r="A9547" s="1" t="s">
        <v>1052</v>
      </c>
      <c r="B9547" s="0" t="s">
        <v>98</v>
      </c>
      <c r="C9547" s="6" t="n">
        <f aca="false">Sens!$C$9545+Sens!E9527-Sens!E9516+oai_v</f>
        <v>2291.11490212865</v>
      </c>
    </row>
    <row r="9548" customFormat="false" ht="17.15" hidden="false" customHeight="false" outlineLevel="0" collapsed="false">
      <c r="A9548" s="0" t="s">
        <v>980</v>
      </c>
      <c r="B9548" s="0" t="s">
        <v>75</v>
      </c>
      <c r="C9548" s="5" t="n">
        <f aca="false">Sens!$C$9547/sh_dil26</f>
        <v>307.40841300532</v>
      </c>
    </row>
    <row r="9549" customFormat="false" ht="15" hidden="false" customHeight="false" outlineLevel="0" collapsed="false">
      <c r="A9549" s="1" t="s">
        <v>1053</v>
      </c>
      <c r="B9549" s="0" t="s">
        <v>75</v>
      </c>
      <c r="C9549" s="8" t="n">
        <f aca="false">dps_27+Sens!G9519*roll_div_q/q_per_yr</f>
        <v>4.8895</v>
      </c>
    </row>
    <row r="9550" customFormat="false" ht="17.15" hidden="false" customHeight="false" outlineLevel="0" collapsed="false">
      <c r="A9550" s="0" t="s">
        <v>1054</v>
      </c>
      <c r="B9550" s="0" t="s">
        <v>75</v>
      </c>
      <c r="C9550" s="5" t="n">
        <f aca="false">Sens!$C$9548*(1+wacc)^t_roll-Sens!$C$9549</f>
        <v>345.166724110277</v>
      </c>
    </row>
    <row r="9551" customFormat="false" ht="17.15" hidden="false" customHeight="false" outlineLevel="0" collapsed="false">
      <c r="A9551" s="1" t="s">
        <v>1055</v>
      </c>
      <c r="B9551" s="0" t="s">
        <v>129</v>
      </c>
      <c r="F9551" s="7" t="n">
        <f aca="false">Sens!F9508/(Sens!F9453-Sens!F9409)</f>
        <v>0.0684090030651251</v>
      </c>
      <c r="G9551" s="7" t="n">
        <f aca="false">Sens!G9508/(Sens!G9453-Sens!G9409)</f>
        <v>0.0655860636383217</v>
      </c>
      <c r="H9551" s="7" t="n">
        <f aca="false">Sens!H9508/(Sens!H9453-Sens!H9409)</f>
        <v>0.0640837622704986</v>
      </c>
      <c r="I9551" s="7" t="n">
        <f aca="false">Sens!I9508/(Sens!I9453-Sens!I9409)</f>
        <v>0.0637812298643616</v>
      </c>
      <c r="J9551" s="7" t="n">
        <f aca="false">Sens!J9508/(Sens!J9453-Sens!J9409)</f>
        <v>0.0643941629685811</v>
      </c>
      <c r="K9551" s="7" t="n">
        <f aca="false">Sens!K9508/(Sens!K9453-Sens!K9409)</f>
        <v>0.0655732557998958</v>
      </c>
    </row>
    <row r="9552" customFormat="false" ht="17.15" hidden="false" customHeight="false" outlineLevel="0" collapsed="false">
      <c r="A9552" s="0" t="s">
        <v>1056</v>
      </c>
      <c r="B9552" s="0" t="s">
        <v>98</v>
      </c>
      <c r="F9552" s="6" t="n">
        <f aca="false">Sens!F9438*(al_m365+Sens!F9551+sbc_r)</f>
        <v>83.9132473056075</v>
      </c>
      <c r="G9552" s="6" t="n">
        <f aca="false">Sens!G9438*(al_m365+Sens!G9551+sbc_r)</f>
        <v>96.3377540534922</v>
      </c>
      <c r="H9552" s="6" t="n">
        <f aca="false">Sens!H9438*(al_m365+Sens!H9551+sbc_r)</f>
        <v>108.921842280285</v>
      </c>
      <c r="I9552" s="6" t="n">
        <f aca="false">Sens!I9438*(al_m365+Sens!I9551+sbc_r)</f>
        <v>120.48380284124</v>
      </c>
      <c r="J9552" s="6" t="n">
        <f aca="false">Sens!J9438*(al_m365+Sens!J9551+sbc_r)</f>
        <v>130.834136087124</v>
      </c>
      <c r="K9552" s="6" t="n">
        <f aca="false">Sens!K9438*(al_m365+Sens!K9551+sbc_r)</f>
        <v>140.786584473373</v>
      </c>
      <c r="L9552" s="11" t="s">
        <v>1057</v>
      </c>
    </row>
    <row r="9553" customFormat="false" ht="17.15" hidden="false" customHeight="false" outlineLevel="0" collapsed="false">
      <c r="A9553" s="0" t="s">
        <v>1058</v>
      </c>
      <c r="B9553" s="0" t="s">
        <v>98</v>
      </c>
      <c r="F9553" s="6" t="n">
        <f aca="false">Sens!F9439*(al_lic+Sens!F9551+sbc_r)</f>
        <v>33.4375603745795</v>
      </c>
      <c r="G9553" s="6" t="n">
        <f aca="false">Sens!G9439*(al_lic+Sens!G9551+sbc_r)</f>
        <v>34.738481412529</v>
      </c>
      <c r="H9553" s="6" t="n">
        <f aca="false">Sens!H9439*(al_lic+Sens!H9551+sbc_r)</f>
        <v>35.9519734236404</v>
      </c>
      <c r="I9553" s="6" t="n">
        <f aca="false">Sens!I9439*(al_lic+Sens!I9551+sbc_r)</f>
        <v>37.0595013009823</v>
      </c>
      <c r="J9553" s="6" t="n">
        <f aca="false">Sens!J9439*(al_lic+Sens!J9551+sbc_r)</f>
        <v>38.0350781608449</v>
      </c>
      <c r="K9553" s="6" t="n">
        <f aca="false">Sens!K9439*(al_lic+Sens!K9551+sbc_r)</f>
        <v>38.849483732543</v>
      </c>
    </row>
    <row r="9554" customFormat="false" ht="17.15" hidden="false" customHeight="false" outlineLevel="0" collapsed="false">
      <c r="A9554" s="0" t="s">
        <v>1059</v>
      </c>
      <c r="B9554" s="0" t="s">
        <v>98</v>
      </c>
      <c r="F9554" s="6" t="n">
        <f aca="false">Sens!F9441*(al_ind+Sens!F9551+sbc_r)</f>
        <v>9.0723719664715</v>
      </c>
      <c r="G9554" s="6" t="n">
        <f aca="false">Sens!G9441*(al_ind+Sens!G9551+sbc_r)</f>
        <v>9.8482364399372</v>
      </c>
      <c r="H9554" s="6" t="n">
        <f aca="false">Sens!H9441*(al_ind+Sens!H9551+sbc_r)</f>
        <v>10.6684885400853</v>
      </c>
      <c r="I9554" s="6" t="n">
        <f aca="false">Sens!I9441*(al_ind+Sens!I9551+sbc_r)</f>
        <v>11.5299362547283</v>
      </c>
      <c r="J9554" s="6" t="n">
        <f aca="false">Sens!J9441*(al_ind+Sens!J9551+sbc_r)</f>
        <v>12.4226375735609</v>
      </c>
      <c r="K9554" s="6" t="n">
        <f aca="false">Sens!K9441*(al_ind+Sens!K9551+sbc_r)</f>
        <v>13.3312308420837</v>
      </c>
    </row>
    <row r="9555" customFormat="false" ht="17.15" hidden="false" customHeight="false" outlineLevel="0" collapsed="false">
      <c r="A9555" s="0" t="s">
        <v>1060</v>
      </c>
      <c r="B9555" s="0" t="s">
        <v>98</v>
      </c>
      <c r="F9555" s="6" t="n">
        <f aca="false">Sens!F9443*(al_fro+Sens!F9551+sbc_r)</f>
        <v>3.57091745729514</v>
      </c>
      <c r="G9555" s="6" t="n">
        <f aca="false">Sens!G9443*(al_fro+Sens!G9551+sbc_r)</f>
        <v>3.78114054871735</v>
      </c>
      <c r="H9555" s="6" t="n">
        <f aca="false">Sens!H9443*(al_fro+Sens!H9551+sbc_r)</f>
        <v>4.02025163816988</v>
      </c>
      <c r="I9555" s="6" t="n">
        <f aca="false">Sens!I9443*(al_fro+Sens!I9551+sbc_r)</f>
        <v>4.2909730113109</v>
      </c>
      <c r="J9555" s="6" t="n">
        <f aca="false">Sens!J9443*(al_fro+Sens!J9551+sbc_r)</f>
        <v>4.59436877577896</v>
      </c>
      <c r="K9555" s="6" t="n">
        <f aca="false">Sens!K9443*(al_fro+Sens!K9551+sbc_r)</f>
        <v>4.93040148365322</v>
      </c>
    </row>
    <row r="9556" customFormat="false" ht="17.15" hidden="false" customHeight="false" outlineLevel="0" collapsed="false">
      <c r="A9556" s="0" t="s">
        <v>1061</v>
      </c>
      <c r="B9556" s="0" t="s">
        <v>98</v>
      </c>
      <c r="F9556" s="6" t="n">
        <f aca="false">Sens!F9446*(al_srch+Sens!F9551+sbc_r)</f>
        <v>11.2548996272826</v>
      </c>
      <c r="G9556" s="6" t="n">
        <f aca="false">Sens!G9446*(al_srch+Sens!G9551+sbc_r)</f>
        <v>12.4444547906607</v>
      </c>
      <c r="H9556" s="6" t="n">
        <f aca="false">Sens!H9446*(al_srch+Sens!H9551+sbc_r)</f>
        <v>13.7628205053426</v>
      </c>
      <c r="I9556" s="6" t="n">
        <f aca="false">Sens!I9446*(al_srch+Sens!I9551+sbc_r)</f>
        <v>15.2200967361766</v>
      </c>
      <c r="J9556" s="6" t="n">
        <f aca="false">Sens!J9446*(al_srch+Sens!J9551+sbc_r)</f>
        <v>16.8188964034746</v>
      </c>
      <c r="K9556" s="6" t="n">
        <f aca="false">Sens!K9446*(al_srch+Sens!K9551+sbc_r)</f>
        <v>18.5550802364221</v>
      </c>
    </row>
    <row r="9557" customFormat="false" ht="17.15" hidden="false" customHeight="false" outlineLevel="0" collapsed="false">
      <c r="A9557" s="0" t="s">
        <v>1062</v>
      </c>
      <c r="B9557" s="0" t="s">
        <v>98</v>
      </c>
      <c r="F9557" s="6" t="n">
        <f aca="false">Sens!F9415-Sens!F9416+Sens!F9496</f>
        <v>52.8623286647412</v>
      </c>
      <c r="G9557" s="6" t="n">
        <f aca="false">Sens!G9415-Sens!G9416+Sens!G9496</f>
        <v>90.9040728275534</v>
      </c>
      <c r="H9557" s="6" t="n">
        <f aca="false">Sens!H9415-Sens!H9416+Sens!H9496</f>
        <v>131.644750996567</v>
      </c>
      <c r="I9557" s="6" t="n">
        <f aca="false">Sens!I9415-Sens!I9416+Sens!I9496</f>
        <v>168.39858142968</v>
      </c>
      <c r="J9557" s="6" t="n">
        <f aca="false">Sens!J9415-Sens!J9416+Sens!J9496</f>
        <v>194.311955071191</v>
      </c>
      <c r="K9557" s="6" t="n">
        <f aca="false">Sens!K9415-Sens!K9416+Sens!K9496</f>
        <v>210.298852071854</v>
      </c>
    </row>
    <row r="9558" customFormat="false" ht="17.15" hidden="false" customHeight="false" outlineLevel="0" collapsed="false">
      <c r="A9558" s="0" t="s">
        <v>1063</v>
      </c>
      <c r="B9558" s="0" t="s">
        <v>98</v>
      </c>
      <c r="F9558" s="6" t="n">
        <f aca="false">Sens!F9475+Sens!F9496+Sens!F9426+Sens!F9551*(Sens!F9445-Sens!F9409)+sbc_r*Sens!F9445</f>
        <v>243.870097495899</v>
      </c>
      <c r="G9558" s="6" t="n">
        <f aca="false">Sens!G9475+Sens!G9496+Sens!G9426+Sens!G9551*(Sens!G9445-Sens!G9409)+sbc_r*Sens!G9445</f>
        <v>308.975333696508</v>
      </c>
      <c r="H9558" s="6" t="n">
        <f aca="false">Sens!H9475+Sens!H9496+Sens!H9426+Sens!H9551*(Sens!H9445-Sens!H9409)+sbc_r*Sens!H9445</f>
        <v>377.281633931386</v>
      </c>
      <c r="I9558" s="6" t="n">
        <f aca="false">Sens!I9475+Sens!I9496+Sens!I9426+Sens!I9551*(Sens!I9445-Sens!I9409)+sbc_r*Sens!I9445</f>
        <v>440.224818260281</v>
      </c>
      <c r="J9558" s="6" t="n">
        <f aca="false">Sens!J9475+Sens!J9496+Sens!J9426+Sens!J9551*(Sens!J9445-Sens!J9409)+sbc_r*Sens!J9445</f>
        <v>489.878080125382</v>
      </c>
      <c r="K9558" s="6" t="n">
        <f aca="false">Sens!K9475+Sens!K9496+Sens!K9426+Sens!K9551*(Sens!K9445-Sens!K9409)+sbc_r*Sens!K9445</f>
        <v>527.221703420662</v>
      </c>
    </row>
    <row r="9559" customFormat="false" ht="17.15" hidden="false" customHeight="false" outlineLevel="0" collapsed="false">
      <c r="A9559" s="0" t="s">
        <v>1064</v>
      </c>
      <c r="B9559" s="0" t="s">
        <v>98</v>
      </c>
      <c r="F9559" s="6" t="n">
        <f aca="false">Sens!F9558-Sens!F9552-Sens!F9553-Sens!F9554-Sens!F9555-Sens!F9557</f>
        <v>61.0136717272044</v>
      </c>
      <c r="G9559" s="6" t="n">
        <f aca="false">Sens!G9558-Sens!G9552-Sens!G9553-Sens!G9554-Sens!G9555-Sens!G9557</f>
        <v>73.3656484142788</v>
      </c>
      <c r="H9559" s="6" t="n">
        <f aca="false">Sens!H9558-Sens!H9552-Sens!H9553-Sens!H9554-Sens!H9555-Sens!H9557</f>
        <v>86.0743270526385</v>
      </c>
      <c r="I9559" s="6" t="n">
        <f aca="false">Sens!I9558-Sens!I9552-Sens!I9553-Sens!I9554-Sens!I9555-Sens!I9557</f>
        <v>98.4620234223395</v>
      </c>
      <c r="J9559" s="6" t="n">
        <f aca="false">Sens!J9558-Sens!J9552-Sens!J9553-Sens!J9554-Sens!J9555-Sens!J9557</f>
        <v>109.679904456882</v>
      </c>
      <c r="K9559" s="6" t="n">
        <f aca="false">Sens!K9558-Sens!K9552-Sens!K9553-Sens!K9554-Sens!K9555-Sens!K9557</f>
        <v>119.025150817154</v>
      </c>
    </row>
    <row r="9560" customFormat="false" ht="17.15" hidden="false" customHeight="false" outlineLevel="0" collapsed="false">
      <c r="A9560" s="0" t="s">
        <v>1065</v>
      </c>
      <c r="B9560" s="0" t="s">
        <v>98</v>
      </c>
      <c r="F9560" s="6" t="n">
        <f aca="false">Sens!F9477+Sens!F9551*Sens!F9452+sbc_r*Sens!F9452</f>
        <v>26.2368010782967</v>
      </c>
      <c r="G9560" s="6" t="n">
        <f aca="false">Sens!G9477+Sens!G9551*Sens!G9452+sbc_r*Sens!G9452</f>
        <v>26.9602816558521</v>
      </c>
      <c r="H9560" s="6" t="n">
        <f aca="false">Sens!H9477+Sens!H9551*Sens!H9452+sbc_r*Sens!H9452</f>
        <v>28.033574815841</v>
      </c>
      <c r="I9560" s="6" t="n">
        <f aca="false">Sens!I9477+Sens!I9551*Sens!I9452+sbc_r*Sens!I9452</f>
        <v>29.4474210101674</v>
      </c>
      <c r="J9560" s="6" t="n">
        <f aca="false">Sens!J9477+Sens!J9551*Sens!J9452+sbc_r*Sens!J9452</f>
        <v>31.1888145821601</v>
      </c>
      <c r="K9560" s="6" t="n">
        <f aca="false">Sens!K9477+Sens!K9551*Sens!K9452+sbc_r*Sens!K9452</f>
        <v>33.2436018483482</v>
      </c>
    </row>
    <row r="9561" customFormat="false" ht="17.15" hidden="false" customHeight="false" outlineLevel="0" collapsed="false">
      <c r="A9561" s="0" t="s">
        <v>1066</v>
      </c>
      <c r="B9561" s="0" t="s">
        <v>98</v>
      </c>
      <c r="F9561" s="6" t="n">
        <f aca="false">(Sens!F9560-Sens!F9556)*Sens!F9448/(Sens!F9448+Sens!F9450)</f>
        <v>8.21293245384022</v>
      </c>
      <c r="G9561" s="6" t="n">
        <f aca="false">(Sens!G9560-Sens!G9556)*Sens!G9448/(Sens!G9448+Sens!G9450)</f>
        <v>7.8155543411412</v>
      </c>
      <c r="H9561" s="6" t="n">
        <f aca="false">(Sens!H9560-Sens!H9556)*Sens!H9448/(Sens!H9448+Sens!H9450)</f>
        <v>7.57981070089149</v>
      </c>
      <c r="I9561" s="6" t="n">
        <f aca="false">(Sens!I9560-Sens!I9556)*Sens!I9448/(Sens!I9448+Sens!I9450)</f>
        <v>7.48836963452762</v>
      </c>
      <c r="J9561" s="6" t="n">
        <f aca="false">(Sens!J9560-Sens!J9556)*Sens!J9448/(Sens!J9448+Sens!J9450)</f>
        <v>7.5292205914771</v>
      </c>
      <c r="K9561" s="6" t="n">
        <f aca="false">(Sens!K9560-Sens!K9556)*Sens!K9448/(Sens!K9448+Sens!K9450)</f>
        <v>7.69615512097421</v>
      </c>
    </row>
    <row r="9562" customFormat="false" ht="17.15" hidden="false" customHeight="false" outlineLevel="0" collapsed="false">
      <c r="A9562" s="0" t="s">
        <v>1067</v>
      </c>
      <c r="B9562" s="0" t="s">
        <v>98</v>
      </c>
      <c r="F9562" s="6" t="n">
        <f aca="false">Sens!F9560-Sens!F9556-Sens!F9561</f>
        <v>6.76896899717391</v>
      </c>
      <c r="G9562" s="6" t="n">
        <f aca="false">Sens!G9560-Sens!G9556-Sens!G9561</f>
        <v>6.70027252405018</v>
      </c>
      <c r="H9562" s="6" t="n">
        <f aca="false">Sens!H9560-Sens!H9556-Sens!H9561</f>
        <v>6.69094360960692</v>
      </c>
      <c r="I9562" s="6" t="n">
        <f aca="false">Sens!I9560-Sens!I9556-Sens!I9561</f>
        <v>6.73895463946313</v>
      </c>
      <c r="J9562" s="6" t="n">
        <f aca="false">Sens!J9560-Sens!J9556-Sens!J9561</f>
        <v>6.84069758720837</v>
      </c>
      <c r="K9562" s="6" t="n">
        <f aca="false">Sens!K9560-Sens!K9556-Sens!K9561</f>
        <v>6.99236649095191</v>
      </c>
    </row>
    <row r="9563" customFormat="false" ht="17.15" hidden="false" customHeight="false" outlineLevel="0" collapsed="false">
      <c r="A9563" s="0" t="s">
        <v>1068</v>
      </c>
      <c r="B9563" s="0" t="s">
        <v>98</v>
      </c>
      <c r="F9563" s="6" t="n">
        <f aca="false">Sens!F9557-tax_f*(Sens!F9557-Sens!F9426)-Sens!F9423</f>
        <v>-119.372914314137</v>
      </c>
      <c r="G9563" s="6" t="n">
        <f aca="false">Sens!G9557-tax_f*(Sens!G9557-Sens!G9426)-Sens!G9423</f>
        <v>-98.7499067024227</v>
      </c>
      <c r="H9563" s="6" t="n">
        <f aca="false">Sens!H9557-tax_f*(Sens!H9557-Sens!H9426)-Sens!H9423</f>
        <v>-65.2163530478517</v>
      </c>
      <c r="I9563" s="6" t="n">
        <f aca="false">Sens!I9557-tax_f*(Sens!I9557-Sens!I9426)-Sens!I9423</f>
        <v>-6.59072714739045</v>
      </c>
      <c r="J9563" s="6" t="n">
        <f aca="false">Sens!J9557-tax_f*(Sens!J9557-Sens!J9426)-Sens!J9423</f>
        <v>56.7734983900622</v>
      </c>
      <c r="K9563" s="6" t="n">
        <f aca="false">Sens!K9557-tax_f*(Sens!K9557-Sens!K9426)-Sens!K9423</f>
        <v>81.2088442431087</v>
      </c>
    </row>
    <row r="9564" customFormat="false" ht="17.15" hidden="false" customHeight="false" outlineLevel="0" collapsed="false">
      <c r="A9564" s="0" t="s">
        <v>1069</v>
      </c>
      <c r="B9564" s="0" t="s">
        <v>98</v>
      </c>
      <c r="F9564" s="6" t="n">
        <f aca="false">Sens!F9563*Sens!F9537</f>
        <v>-113.666097998226</v>
      </c>
      <c r="G9564" s="6" t="n">
        <f aca="false">Sens!G9563*Sens!G9537</f>
        <v>-85.2534884155319</v>
      </c>
      <c r="H9564" s="6" t="n">
        <f aca="false">Sens!H9563*Sens!H9537</f>
        <v>-51.0484174792951</v>
      </c>
      <c r="I9564" s="6" t="n">
        <f aca="false">Sens!I9563*Sens!I9537</f>
        <v>-4.67745282921809</v>
      </c>
      <c r="J9564" s="6" t="n">
        <f aca="false">Sens!J9563*Sens!J9537</f>
        <v>36.5318823255501</v>
      </c>
      <c r="K9564" s="6" t="n">
        <f aca="false">Sens!K9563*Sens!K9537</f>
        <v>47.3783610442939</v>
      </c>
    </row>
    <row r="9565" customFormat="false" ht="17.15" hidden="false" customHeight="false" outlineLevel="0" collapsed="false">
      <c r="A9565" s="0" t="s">
        <v>1070</v>
      </c>
      <c r="B9565" s="0" t="s">
        <v>98</v>
      </c>
      <c r="C9565" s="6" t="n">
        <f aca="false">(Sens!K9557-Sens!K9426)*(1-tax_f)*(1+g_tv)*(1-g_tv/(wacc+ronic_prem))/(wacc-g_tv)/(1+wacc)^(Sens!K9536+mid_yr)</f>
        <v>314.194226372659</v>
      </c>
    </row>
    <row r="9566" customFormat="false" ht="17.15" hidden="false" customHeight="false" outlineLevel="0" collapsed="false">
      <c r="A9566" s="1" t="s">
        <v>1071</v>
      </c>
      <c r="B9566" s="0" t="s">
        <v>98</v>
      </c>
      <c r="C9566" s="6" t="n">
        <f aca="false">(SUM(Sens!F9564:K9564)+Sens!$C$9565)*(1+wacc)^t_roll</f>
        <v>163.361568154546</v>
      </c>
      <c r="L9566" s="11" t="s">
        <v>1072</v>
      </c>
    </row>
    <row r="9567" customFormat="false" ht="17.15" hidden="false" customHeight="false" outlineLevel="0" collapsed="false">
      <c r="A9567" s="1" t="s">
        <v>1073</v>
      </c>
      <c r="B9567" s="0" t="s">
        <v>98</v>
      </c>
      <c r="C9567" s="6" t="n">
        <f aca="false">(w_ntm28*Sens!G9415+(1-w_ntm28)*Sens!H9415)*m_ai</f>
        <v>454.922440830797</v>
      </c>
    </row>
    <row r="9568" customFormat="false" ht="17.15" hidden="false" customHeight="false" outlineLevel="0" collapsed="false">
      <c r="A9568" s="1" t="s">
        <v>1074</v>
      </c>
      <c r="B9568" s="0" t="s">
        <v>98</v>
      </c>
      <c r="C9568" s="6" t="n">
        <f aca="false">(w_ntm28*Sens!G9559+(1-w_ntm28)*Sens!H9559)*m_cloud</f>
        <v>1070.69354814367</v>
      </c>
    </row>
    <row r="9569" customFormat="false" ht="17.15" hidden="false" customHeight="false" outlineLevel="0" collapsed="false">
      <c r="A9569" s="1" t="s">
        <v>1075</v>
      </c>
      <c r="B9569" s="0" t="s">
        <v>98</v>
      </c>
      <c r="C9569" s="6" t="n">
        <f aca="false">(w_ntm28*Sens!G9552+(1-w_ntm28)*Sens!H9552)*m_sw</f>
        <v>1084.38517401395</v>
      </c>
    </row>
    <row r="9570" customFormat="false" ht="17.15" hidden="false" customHeight="false" outlineLevel="0" collapsed="false">
      <c r="A9570" s="1" t="s">
        <v>1076</v>
      </c>
      <c r="B9570" s="0" t="s">
        <v>98</v>
      </c>
      <c r="C9570" s="6" t="n">
        <f aca="false">(w_ntm28*Sens!G9553+(1-w_ntm28)*Sens!H9553)*m_sw</f>
        <v>379.412514923698</v>
      </c>
    </row>
    <row r="9571" customFormat="false" ht="17.15" hidden="false" customHeight="false" outlineLevel="0" collapsed="false">
      <c r="A9571" s="1" t="s">
        <v>1077</v>
      </c>
      <c r="B9571" s="0" t="s">
        <v>98</v>
      </c>
      <c r="C9571" s="6" t="n">
        <f aca="false">(w_ntm28*Sens!G9554+(1-w_ntm28)*Sens!H9554)*m_sw</f>
        <v>109.224869377154</v>
      </c>
    </row>
    <row r="9572" customFormat="false" ht="17.15" hidden="false" customHeight="false" outlineLevel="0" collapsed="false">
      <c r="A9572" s="1" t="s">
        <v>1078</v>
      </c>
      <c r="B9572" s="0" t="s">
        <v>98</v>
      </c>
      <c r="C9572" s="6" t="n">
        <f aca="false">(w_ntm28*Sens!G9555+(1-w_ntm28)*Sens!H9555)*m_sw</f>
        <v>41.6711759327181</v>
      </c>
    </row>
    <row r="9573" customFormat="false" ht="17.15" hidden="false" customHeight="false" outlineLevel="0" collapsed="false">
      <c r="A9573" s="1" t="s">
        <v>1079</v>
      </c>
      <c r="B9573" s="0" t="s">
        <v>98</v>
      </c>
      <c r="C9573" s="6" t="n">
        <f aca="false">(w_ntm28*Sens!G9556+(1-w_ntm28)*Sens!H9556)*m_ads</f>
        <v>117.251768830504</v>
      </c>
    </row>
    <row r="9574" customFormat="false" ht="17.15" hidden="false" customHeight="false" outlineLevel="0" collapsed="false">
      <c r="A9574" s="1" t="s">
        <v>1080</v>
      </c>
      <c r="B9574" s="0" t="s">
        <v>98</v>
      </c>
      <c r="C9574" s="6" t="n">
        <f aca="false">(w_ntm28*Sens!G9561+(1-w_ntm28)*Sens!H9561)*m_game</f>
        <v>97.7478809811894</v>
      </c>
    </row>
    <row r="9575" customFormat="false" ht="17.15" hidden="false" customHeight="false" outlineLevel="0" collapsed="false">
      <c r="A9575" s="1" t="s">
        <v>1081</v>
      </c>
      <c r="B9575" s="0" t="s">
        <v>98</v>
      </c>
      <c r="C9575" s="6" t="n">
        <f aca="false">(w_ntm28*Sens!G9562+(1-w_ntm28)*Sens!H9562)*m_pc</f>
        <v>96.9093030168272</v>
      </c>
    </row>
    <row r="9576" customFormat="false" ht="17.15" hidden="false" customHeight="false" outlineLevel="0" collapsed="false">
      <c r="A9576" s="1" t="s">
        <v>1082</v>
      </c>
      <c r="B9576" s="0" t="s">
        <v>98</v>
      </c>
      <c r="C9576" s="6" t="n">
        <f aca="false">Sens!$C$9566+Sens!$C$9568+Sens!$C$9569+Sens!$C$9570+Sens!$C$9571+Sens!$C$9572+Sens!$C$9573+Sens!$C$9574+Sens!$C$9575</f>
        <v>3160.65780337425</v>
      </c>
    </row>
    <row r="9577" customFormat="false" ht="17.15" hidden="false" customHeight="false" outlineLevel="0" collapsed="false">
      <c r="A9577" s="1" t="s">
        <v>1000</v>
      </c>
      <c r="B9577" s="0" t="s">
        <v>98</v>
      </c>
      <c r="C9577" s="6" t="n">
        <f aca="false">Sens!F9527+oai_v-Sens!F9516</f>
        <v>111.288890655087</v>
      </c>
      <c r="L9577" s="1" t="s">
        <v>1083</v>
      </c>
    </row>
    <row r="9578" customFormat="false" ht="15" hidden="false" customHeight="false" outlineLevel="0" collapsed="false">
      <c r="A9578" s="1" t="s">
        <v>1001</v>
      </c>
      <c r="B9578" s="0" t="s">
        <v>75</v>
      </c>
      <c r="C9578" s="5" t="n">
        <f aca="false">(Sens!$C$9576+Sens!$C$9577)/Sens!F9529</f>
        <v>437.89436483262</v>
      </c>
    </row>
    <row r="9579" customFormat="false" ht="17.15" hidden="false" customHeight="false" outlineLevel="0" collapsed="false">
      <c r="A9579" s="1" t="s">
        <v>1084</v>
      </c>
      <c r="B9579" s="0" t="s">
        <v>75</v>
      </c>
      <c r="C9579" s="5" t="n">
        <f aca="false">w_dcf*Sens!$C$9550+(1-w_dcf)*Sens!$C$9578</f>
        <v>391.530544471449</v>
      </c>
    </row>
    <row r="9580" customFormat="false" ht="17.15" hidden="false" customHeight="false" outlineLevel="0" collapsed="false">
      <c r="A9580" s="3" t="s">
        <v>1484</v>
      </c>
    </row>
    <row r="9581" customFormat="false" ht="15" hidden="false" customHeight="false" outlineLevel="0" collapsed="false">
      <c r="A9581" s="4" t="s">
        <v>43</v>
      </c>
      <c r="B9581" s="4" t="s">
        <v>65</v>
      </c>
      <c r="C9581" s="20" t="s">
        <v>788</v>
      </c>
      <c r="D9581" s="20" t="s">
        <v>789</v>
      </c>
      <c r="E9581" s="20" t="s">
        <v>790</v>
      </c>
      <c r="F9581" s="20" t="s">
        <v>791</v>
      </c>
      <c r="G9581" s="20" t="s">
        <v>792</v>
      </c>
      <c r="H9581" s="20" t="s">
        <v>793</v>
      </c>
      <c r="I9581" s="20" t="s">
        <v>794</v>
      </c>
      <c r="J9581" s="20" t="s">
        <v>795</v>
      </c>
      <c r="K9581" s="20" t="s">
        <v>796</v>
      </c>
      <c r="L9581" s="4" t="s">
        <v>47</v>
      </c>
    </row>
    <row r="9582" customFormat="false" ht="17.15" hidden="false" customHeight="false" outlineLevel="0" collapsed="false">
      <c r="A9582" s="1" t="s">
        <v>797</v>
      </c>
      <c r="B9582" s="1" t="s">
        <v>235</v>
      </c>
      <c r="C9582" s="28" t="n">
        <v>2024</v>
      </c>
      <c r="D9582" s="28" t="n">
        <v>2025</v>
      </c>
      <c r="E9582" s="28" t="n">
        <v>2026</v>
      </c>
      <c r="F9582" s="28" t="n">
        <v>2027</v>
      </c>
      <c r="G9582" s="28" t="n">
        <v>2028</v>
      </c>
      <c r="H9582" s="28" t="n">
        <v>2029</v>
      </c>
      <c r="I9582" s="28" t="n">
        <v>2030</v>
      </c>
      <c r="J9582" s="28" t="n">
        <v>2031</v>
      </c>
      <c r="K9582" s="28" t="n">
        <v>2032</v>
      </c>
    </row>
    <row r="9583" customFormat="false" ht="17.15" hidden="false" customHeight="false" outlineLevel="0" collapsed="false">
      <c r="A9583" s="1" t="s">
        <v>798</v>
      </c>
      <c r="B9583" s="0" t="s">
        <v>392</v>
      </c>
      <c r="F9583" s="29" t="n">
        <f aca="false">pace</f>
        <v>2527.2</v>
      </c>
      <c r="G9583" s="29" t="n">
        <f aca="false">pace</f>
        <v>2527.2</v>
      </c>
      <c r="H9583" s="29" t="n">
        <f aca="false">pace</f>
        <v>2527.2</v>
      </c>
      <c r="I9583" s="29" t="n">
        <f aca="false">pace+(g_tv*Sens!H9584-pace)*MIN(1,(Sens!I9582-pace_y0)/(pace_y1-pace_y0))</f>
        <v>1793.116</v>
      </c>
      <c r="J9583" s="29" t="n">
        <f aca="false">pace+(g_tv*Sens!H9584-pace)*MIN(1,(Sens!J9582-pace_y0)/(pace_y1-pace_y0))</f>
        <v>1059.032</v>
      </c>
      <c r="K9583" s="29" t="n">
        <f aca="false">pace+(g_tv*Sens!H9584-pace)*MIN(1,(Sens!K9582-pace_y0)/(pace_y1-pace_y0))</f>
        <v>324.948</v>
      </c>
      <c r="L9583" s="11" t="s">
        <v>799</v>
      </c>
    </row>
    <row r="9584" customFormat="false" ht="17.15" hidden="false" customHeight="false" outlineLevel="0" collapsed="false">
      <c r="A9584" s="1" t="s">
        <v>800</v>
      </c>
      <c r="B9584" s="0" t="s">
        <v>392</v>
      </c>
      <c r="C9584" s="29" t="n">
        <f aca="false">mw_ext_24</f>
        <v>640</v>
      </c>
      <c r="D9584" s="29" t="n">
        <f aca="false">mw_ext_25</f>
        <v>1630</v>
      </c>
      <c r="E9584" s="29" t="n">
        <f aca="false">mw_ext_26</f>
        <v>3250</v>
      </c>
      <c r="F9584" s="29" t="n">
        <f aca="false">Sens!E9584+Sens!F9583</f>
        <v>5777.2</v>
      </c>
      <c r="G9584" s="29" t="n">
        <f aca="false">Sens!F9584+Sens!G9583</f>
        <v>8304.4</v>
      </c>
      <c r="H9584" s="29" t="n">
        <f aca="false">Sens!G9584+Sens!H9583</f>
        <v>10831.6</v>
      </c>
      <c r="I9584" s="29" t="n">
        <f aca="false">Sens!H9584+Sens!I9583</f>
        <v>12624.716</v>
      </c>
      <c r="J9584" s="29" t="n">
        <f aca="false">Sens!I9584+Sens!J9583</f>
        <v>13683.748</v>
      </c>
      <c r="K9584" s="29" t="n">
        <f aca="false">Sens!J9584+Sens!K9583</f>
        <v>14008.696</v>
      </c>
      <c r="L9584" s="1" t="s">
        <v>801</v>
      </c>
    </row>
    <row r="9585" customFormat="false" ht="17.15" hidden="false" customHeight="false" outlineLevel="0" collapsed="false">
      <c r="A9585" s="1" t="s">
        <v>802</v>
      </c>
      <c r="B9585" s="0" t="s">
        <v>392</v>
      </c>
      <c r="C9585" s="29" t="n">
        <f aca="false">rent_ext_24</f>
        <v>150</v>
      </c>
      <c r="D9585" s="29" t="n">
        <f aca="false">rent_ext_25</f>
        <v>400</v>
      </c>
      <c r="E9585" s="29" t="n">
        <f aca="false">rent_ext_26</f>
        <v>550</v>
      </c>
      <c r="F9585" s="29" t="n">
        <f aca="false">rent_ext_f</f>
        <v>756</v>
      </c>
      <c r="G9585" s="29" t="n">
        <f aca="false">rent_ext_f</f>
        <v>756</v>
      </c>
      <c r="H9585" s="29" t="n">
        <f aca="false">rent_ext_f</f>
        <v>756</v>
      </c>
      <c r="I9585" s="29" t="n">
        <f aca="false">rent_ext_f</f>
        <v>756</v>
      </c>
      <c r="J9585" s="29" t="n">
        <f aca="false">rent_ext_f</f>
        <v>756</v>
      </c>
      <c r="K9585" s="29" t="n">
        <f aca="false">rent_ext_f</f>
        <v>756</v>
      </c>
      <c r="L9585" s="1" t="s">
        <v>803</v>
      </c>
    </row>
    <row r="9586" customFormat="false" ht="17.15" hidden="false" customHeight="false" outlineLevel="0" collapsed="false">
      <c r="A9586" s="1" t="s">
        <v>804</v>
      </c>
      <c r="B9586" s="0" t="s">
        <v>392</v>
      </c>
      <c r="C9586" s="29" t="n">
        <f aca="false">Sens!C9584-Sens!C9585</f>
        <v>490</v>
      </c>
      <c r="D9586" s="29" t="n">
        <f aca="false">Sens!D9584-Sens!D9585</f>
        <v>1230</v>
      </c>
      <c r="E9586" s="29" t="n">
        <f aca="false">Sens!E9584-Sens!E9585</f>
        <v>2700</v>
      </c>
      <c r="F9586" s="29" t="n">
        <f aca="false">Sens!F9584-Sens!F9585</f>
        <v>5021.2</v>
      </c>
      <c r="G9586" s="29" t="n">
        <f aca="false">Sens!G9584-Sens!G9585</f>
        <v>7548.4</v>
      </c>
      <c r="H9586" s="29" t="n">
        <f aca="false">Sens!H9584-Sens!H9585</f>
        <v>10075.6</v>
      </c>
      <c r="I9586" s="29" t="n">
        <f aca="false">Sens!I9584-Sens!I9585</f>
        <v>11868.716</v>
      </c>
      <c r="J9586" s="29" t="n">
        <f aca="false">Sens!J9584-Sens!J9585</f>
        <v>12927.748</v>
      </c>
      <c r="K9586" s="29" t="n">
        <f aca="false">Sens!K9584-Sens!K9585</f>
        <v>13252.696</v>
      </c>
    </row>
    <row r="9587" customFormat="false" ht="17.15" hidden="false" customHeight="false" outlineLevel="0" collapsed="false">
      <c r="A9587" s="1" t="s">
        <v>805</v>
      </c>
      <c r="B9587" s="0" t="s">
        <v>392</v>
      </c>
      <c r="C9587" s="29" t="n">
        <f aca="false">Sens!C9586/ext_sh</f>
        <v>816.666666666667</v>
      </c>
      <c r="D9587" s="29" t="n">
        <f aca="false">Sens!D9586/ext_sh</f>
        <v>2050</v>
      </c>
      <c r="E9587" s="29" t="n">
        <f aca="false">Sens!E9586/ext_sh</f>
        <v>4500</v>
      </c>
      <c r="F9587" s="29" t="n">
        <f aca="false">Sens!F9586/ext_sh</f>
        <v>8368.66666666667</v>
      </c>
      <c r="G9587" s="29" t="n">
        <f aca="false">Sens!G9586/ext_sh</f>
        <v>12580.6666666667</v>
      </c>
      <c r="H9587" s="29" t="n">
        <f aca="false">Sens!H9586/ext_sh</f>
        <v>16792.6666666667</v>
      </c>
      <c r="I9587" s="29" t="n">
        <f aca="false">Sens!I9586/ext_sh</f>
        <v>19781.1933333333</v>
      </c>
      <c r="J9587" s="29" t="n">
        <f aca="false">Sens!J9586/ext_sh</f>
        <v>21546.2466666667</v>
      </c>
      <c r="K9587" s="29" t="n">
        <f aca="false">Sens!K9586/ext_sh</f>
        <v>22087.8266666667</v>
      </c>
      <c r="L9587" s="1" t="s">
        <v>806</v>
      </c>
    </row>
    <row r="9588" customFormat="false" ht="17.15" hidden="false" customHeight="false" outlineLevel="0" collapsed="false">
      <c r="A9588" s="1" t="s">
        <v>807</v>
      </c>
      <c r="B9588" s="0" t="s">
        <v>392</v>
      </c>
      <c r="C9588" s="29" t="n">
        <f aca="false">Sens!C9587-Sens!C9586</f>
        <v>326.666666666667</v>
      </c>
      <c r="D9588" s="29" t="n">
        <f aca="false">Sens!D9587-Sens!D9586</f>
        <v>820</v>
      </c>
      <c r="E9588" s="29" t="n">
        <f aca="false">Sens!E9587-Sens!E9586</f>
        <v>1800</v>
      </c>
      <c r="F9588" s="29" t="n">
        <f aca="false">Sens!F9587-Sens!F9586</f>
        <v>3347.46666666667</v>
      </c>
      <c r="G9588" s="29" t="n">
        <f aca="false">Sens!G9587-Sens!G9586</f>
        <v>5032.26666666667</v>
      </c>
      <c r="H9588" s="29" t="n">
        <f aca="false">Sens!H9587-Sens!H9586</f>
        <v>6717.06666666667</v>
      </c>
      <c r="I9588" s="29" t="n">
        <f aca="false">Sens!I9587-Sens!I9586</f>
        <v>7912.47733333333</v>
      </c>
      <c r="J9588" s="29" t="n">
        <f aca="false">Sens!J9587-Sens!J9586</f>
        <v>8618.49866666667</v>
      </c>
      <c r="K9588" s="29" t="n">
        <f aca="false">Sens!K9587-Sens!K9586</f>
        <v>8835.13066666667</v>
      </c>
    </row>
    <row r="9589" customFormat="false" ht="17.15" hidden="false" customHeight="false" outlineLevel="0" collapsed="false">
      <c r="A9589" s="1" t="s">
        <v>808</v>
      </c>
      <c r="B9589" s="0" t="s">
        <v>392</v>
      </c>
      <c r="C9589" s="29" t="n">
        <f aca="false">Sens!C9587</f>
        <v>816.666666666667</v>
      </c>
      <c r="D9589" s="29" t="n">
        <f aca="false">Sens!D9587-Sens!C9587</f>
        <v>1233.33333333333</v>
      </c>
      <c r="E9589" s="29" t="n">
        <f aca="false">Sens!E9587-Sens!D9587</f>
        <v>2450</v>
      </c>
      <c r="F9589" s="29" t="n">
        <f aca="false">Sens!F9587-Sens!E9587</f>
        <v>3868.66666666667</v>
      </c>
      <c r="G9589" s="29" t="n">
        <f aca="false">Sens!G9587-Sens!F9587</f>
        <v>4212</v>
      </c>
      <c r="H9589" s="29" t="n">
        <f aca="false">Sens!H9587-Sens!G9587</f>
        <v>4212</v>
      </c>
      <c r="I9589" s="29" t="n">
        <f aca="false">Sens!I9587-Sens!H9587</f>
        <v>2988.52666666667</v>
      </c>
      <c r="J9589" s="29" t="n">
        <f aca="false">Sens!J9587-Sens!I9587</f>
        <v>1765.05333333333</v>
      </c>
      <c r="K9589" s="29" t="n">
        <f aca="false">Sens!K9587-Sens!J9587</f>
        <v>541.580000000002</v>
      </c>
    </row>
    <row r="9590" customFormat="false" ht="17.15" hidden="false" customHeight="false" outlineLevel="0" collapsed="false">
      <c r="A9590" s="1" t="s">
        <v>809</v>
      </c>
      <c r="B9590" s="0" t="s">
        <v>392</v>
      </c>
      <c r="D9590" s="29" t="n">
        <f aca="false">Sens!D9584-Sens!C9584</f>
        <v>990</v>
      </c>
      <c r="E9590" s="29" t="n">
        <f aca="false">Sens!E9584-Sens!D9584</f>
        <v>1620</v>
      </c>
      <c r="F9590" s="29" t="n">
        <f aca="false">Sens!F9584-Sens!E9584</f>
        <v>2527.2</v>
      </c>
      <c r="G9590" s="29" t="n">
        <f aca="false">Sens!G9584-Sens!F9584</f>
        <v>2527.2</v>
      </c>
      <c r="H9590" s="29" t="n">
        <f aca="false">Sens!H9584-Sens!G9584</f>
        <v>2527.2</v>
      </c>
      <c r="I9590" s="29" t="n">
        <f aca="false">Sens!I9584-Sens!H9584</f>
        <v>1793.116</v>
      </c>
      <c r="J9590" s="29" t="n">
        <f aca="false">Sens!J9584-Sens!I9584</f>
        <v>1059.032</v>
      </c>
      <c r="K9590" s="29" t="n">
        <f aca="false">Sens!K9584-Sens!J9584</f>
        <v>324.948</v>
      </c>
    </row>
    <row r="9591" customFormat="false" ht="17.15" hidden="false" customHeight="false" outlineLevel="0" collapsed="false">
      <c r="A9591" s="1" t="s">
        <v>810</v>
      </c>
      <c r="B9591" s="0" t="s">
        <v>392</v>
      </c>
      <c r="F9591" s="29" t="n">
        <f aca="false">Sens!F9608*ext_sh</f>
        <v>0</v>
      </c>
      <c r="G9591" s="29" t="n">
        <f aca="false">Sens!G9608*ext_sh</f>
        <v>0</v>
      </c>
      <c r="H9591" s="29" t="n">
        <f aca="false">Sens!H9608*ext_sh</f>
        <v>0</v>
      </c>
      <c r="I9591" s="29" t="n">
        <f aca="false">Sens!I9608*ext_sh</f>
        <v>490</v>
      </c>
      <c r="J9591" s="29" t="n">
        <f aca="false">Sens!J9608*ext_sh</f>
        <v>740</v>
      </c>
      <c r="K9591" s="29" t="n">
        <f aca="false">Sens!K9608*ext_sh</f>
        <v>1470</v>
      </c>
      <c r="L9591" s="1" t="s">
        <v>811</v>
      </c>
    </row>
    <row r="9592" customFormat="false" ht="17.15" hidden="false" customHeight="false" outlineLevel="0" collapsed="false">
      <c r="A9592" s="1" t="s">
        <v>812</v>
      </c>
      <c r="B9592" s="0" t="s">
        <v>392</v>
      </c>
      <c r="C9592" s="29" t="n">
        <f aca="false">mix_h*Sens!C9584</f>
        <v>128</v>
      </c>
      <c r="D9592" s="29" t="n">
        <f aca="false">mix_h*Sens!D9584</f>
        <v>326</v>
      </c>
      <c r="E9592" s="29" t="n">
        <f aca="false">mix_h*Sens!E9584</f>
        <v>650</v>
      </c>
      <c r="F9592" s="29" t="n">
        <f aca="false">Sens!E9592-Sens!F9591*mix_h</f>
        <v>650</v>
      </c>
      <c r="G9592" s="29" t="n">
        <f aca="false">Sens!F9592-Sens!G9591*mix_h</f>
        <v>650</v>
      </c>
      <c r="H9592" s="29" t="n">
        <f aca="false">Sens!G9592-Sens!H9591*mix_h</f>
        <v>650</v>
      </c>
      <c r="I9592" s="29" t="n">
        <f aca="false">Sens!H9592-Sens!I9591*mix_h</f>
        <v>552</v>
      </c>
      <c r="J9592" s="29" t="n">
        <f aca="false">Sens!I9592-Sens!J9591*mix_h</f>
        <v>404</v>
      </c>
      <c r="K9592" s="29" t="n">
        <f aca="false">Sens!J9592-Sens!K9591*mix_h</f>
        <v>110</v>
      </c>
    </row>
    <row r="9593" customFormat="false" ht="17.15" hidden="false" customHeight="false" outlineLevel="0" collapsed="false">
      <c r="A9593" s="1" t="s">
        <v>813</v>
      </c>
      <c r="B9593" s="0" t="s">
        <v>392</v>
      </c>
      <c r="C9593" s="29" t="n">
        <f aca="false">mix_g2*Sens!C9584</f>
        <v>288</v>
      </c>
      <c r="D9593" s="29" t="n">
        <f aca="false">mix_g2*Sens!D9584</f>
        <v>733.5</v>
      </c>
      <c r="E9593" s="29" t="n">
        <f aca="false">mix_g2*Sens!E9584</f>
        <v>1462.5</v>
      </c>
      <c r="F9593" s="29" t="n">
        <f aca="false">Sens!E9593-Sens!F9591*mix_g2</f>
        <v>1462.5</v>
      </c>
      <c r="G9593" s="29" t="n">
        <f aca="false">Sens!F9593-Sens!G9591*mix_g2</f>
        <v>1462.5</v>
      </c>
      <c r="H9593" s="29" t="n">
        <f aca="false">Sens!G9593-Sens!H9591*mix_g2</f>
        <v>1462.5</v>
      </c>
      <c r="I9593" s="29" t="n">
        <f aca="false">Sens!H9593-Sens!I9591*mix_g2</f>
        <v>1242</v>
      </c>
      <c r="J9593" s="29" t="n">
        <f aca="false">Sens!I9593-Sens!J9591*mix_g2</f>
        <v>909</v>
      </c>
      <c r="K9593" s="29" t="n">
        <f aca="false">Sens!J9593-Sens!K9591*mix_g2</f>
        <v>247.5</v>
      </c>
    </row>
    <row r="9594" customFormat="false" ht="17.15" hidden="false" customHeight="false" outlineLevel="0" collapsed="false">
      <c r="A9594" s="1" t="s">
        <v>814</v>
      </c>
      <c r="B9594" s="0" t="s">
        <v>392</v>
      </c>
      <c r="C9594" s="29" t="n">
        <f aca="false">mix_g3*Sens!C9584</f>
        <v>224</v>
      </c>
      <c r="D9594" s="29" t="n">
        <f aca="false">mix_g3*Sens!D9584</f>
        <v>570.5</v>
      </c>
      <c r="E9594" s="29" t="n">
        <f aca="false">mix_g3*Sens!E9584</f>
        <v>1137.5</v>
      </c>
      <c r="F9594" s="29" t="n">
        <f aca="false">Sens!E9594+(Sens!F9590+Sens!F9591)*a_g3_27-Sens!F9591*mix_g3</f>
        <v>2906.54</v>
      </c>
      <c r="G9594" s="29" t="n">
        <f aca="false">Sens!F9594+(Sens!G9590+Sens!G9591)*a_g3_28-Sens!G9591*mix_g3</f>
        <v>3664.7</v>
      </c>
      <c r="H9594" s="29" t="n">
        <f aca="false">Sens!G9594+(Sens!H9590+Sens!H9591)*a_g3_29-Sens!H9591*mix_g3</f>
        <v>3917.42</v>
      </c>
      <c r="I9594" s="29" t="n">
        <f aca="false">Sens!H9594+(Sens!I9590+Sens!I9591)*a_g3_29-Sens!I9591*mix_g3</f>
        <v>3974.2316</v>
      </c>
      <c r="J9594" s="29" t="n">
        <f aca="false">Sens!I9594+(Sens!J9590+Sens!J9591)*a_g3_29-Sens!J9591*mix_g3</f>
        <v>3895.1348</v>
      </c>
      <c r="K9594" s="29" t="n">
        <f aca="false">Sens!J9594+(Sens!K9590+Sens!K9591)*a_g3_29-Sens!K9591*mix_g3</f>
        <v>3560.1296</v>
      </c>
    </row>
    <row r="9595" customFormat="false" ht="17.15" hidden="false" customHeight="false" outlineLevel="0" collapsed="false">
      <c r="A9595" s="1" t="s">
        <v>815</v>
      </c>
      <c r="B9595" s="0" t="s">
        <v>392</v>
      </c>
      <c r="C9595" s="29" t="n">
        <v>0</v>
      </c>
      <c r="D9595" s="29" t="n">
        <v>0</v>
      </c>
      <c r="E9595" s="29" t="n">
        <v>0</v>
      </c>
      <c r="F9595" s="29" t="n">
        <f aca="false">Sens!E9595+(Sens!F9590+Sens!F9591)*(1-a_g3_27)</f>
        <v>758.16</v>
      </c>
      <c r="G9595" s="29" t="n">
        <f aca="false">Sens!F9595+(Sens!G9590+Sens!G9591)*(1-a_g3_28)</f>
        <v>2527.2</v>
      </c>
      <c r="H9595" s="29" t="n">
        <f aca="false">Sens!G9595+(Sens!H9590+Sens!H9591)*(1-a_g3_29)</f>
        <v>4801.68</v>
      </c>
      <c r="I9595" s="29" t="n">
        <f aca="false">Sens!H9595+(Sens!I9590+Sens!I9591)*(1-a_g3_29)</f>
        <v>6856.4844</v>
      </c>
      <c r="J9595" s="29" t="n">
        <f aca="false">Sens!I9595+(Sens!J9590+Sens!J9591)*(1-a_g3_29)</f>
        <v>8475.6132</v>
      </c>
      <c r="K9595" s="29" t="n">
        <f aca="false">Sens!J9595+(Sens!K9590+Sens!K9591)*(1-a_g3_29)</f>
        <v>10091.0664</v>
      </c>
    </row>
    <row r="9596" customFormat="false" ht="17.15" hidden="false" customHeight="false" outlineLevel="0" collapsed="false">
      <c r="A9596" s="1" t="s">
        <v>816</v>
      </c>
      <c r="B9596" s="0" t="s">
        <v>339</v>
      </c>
      <c r="C9596" s="14" t="n">
        <f aca="false">(Sens!C9592*tk_hold_h100+Sens!C9593*tk_hold_gb200+Sens!C9594*tk_hold_gb300+Sens!C9595*tk_hold_vr200)/Sens!C9584</f>
        <v>9.7235358126469</v>
      </c>
      <c r="D9596" s="14" t="n">
        <f aca="false">(Sens!D9592*tk_hold_h100+Sens!D9593*tk_hold_gb200+Sens!D9594*tk_hold_gb300+Sens!D9595*tk_hold_vr200)/Sens!D9584</f>
        <v>9.7235358126469</v>
      </c>
      <c r="E9596" s="14" t="n">
        <f aca="false">(Sens!E9592*tk_hold_h100+Sens!E9593*tk_hold_gb200+Sens!E9594*tk_hold_gb300+Sens!E9595*tk_hold_vr200)/Sens!E9584</f>
        <v>9.7235358126469</v>
      </c>
      <c r="F9596" s="14" t="n">
        <f aca="false">(Sens!F9592*tk_hold_h100+Sens!F9593*tk_hold_gb200+Sens!F9594*tk_hold_gb300+Sens!F9595*tk_hold_vr200)/Sens!F9584</f>
        <v>10.4079573161931</v>
      </c>
      <c r="G9596" s="14" t="n">
        <f aca="false">(Sens!G9592*tk_hold_h100+Sens!G9593*tk_hold_gb200+Sens!G9594*tk_hold_gb300+Sens!G9595*tk_hold_vr200)/Sens!G9584</f>
        <v>10.8388131109316</v>
      </c>
      <c r="H9596" s="14" t="n">
        <f aca="false">(Sens!H9592*tk_hold_h100+Sens!H9593*tk_hold_gb200+Sens!H9594*tk_hold_gb300+Sens!H9595*tk_hold_vr200)/Sens!H9584</f>
        <v>11.1311018388216</v>
      </c>
      <c r="I9596" s="14" t="n">
        <f aca="false">(Sens!I9592*tk_hold_h100+Sens!I9593*tk_hold_gb200+Sens!I9594*tk_hold_gb300+Sens!I9595*tk_hold_vr200)/Sens!I9584</f>
        <v>11.3594282560989</v>
      </c>
      <c r="J9596" s="14" t="n">
        <f aca="false">(Sens!J9592*tk_hold_h100+Sens!J9593*tk_hold_gb200+Sens!J9594*tk_hold_gb300+Sens!J9595*tk_hold_vr200)/Sens!J9584</f>
        <v>11.5441508808221</v>
      </c>
      <c r="K9596" s="14" t="n">
        <f aca="false">(Sens!K9592*tk_hold_h100+Sens!K9593*tk_hold_gb200+Sens!K9594*tk_hold_gb300+Sens!K9595*tk_hold_vr200)/Sens!K9584</f>
        <v>11.8053375063575</v>
      </c>
    </row>
    <row r="9597" customFormat="false" ht="17.15" hidden="false" customHeight="false" outlineLevel="0" collapsed="false">
      <c r="A9597" s="0" t="s">
        <v>817</v>
      </c>
      <c r="B9597" s="0" t="s">
        <v>185</v>
      </c>
      <c r="C9597" s="14" t="n">
        <f aca="false">k_B</f>
        <v>1.17213932619116</v>
      </c>
      <c r="D9597" s="14" t="n">
        <f aca="false">k_B</f>
        <v>1.17213932619116</v>
      </c>
      <c r="E9597" s="14" t="n">
        <f aca="false">k_B</f>
        <v>1.17213932619116</v>
      </c>
      <c r="F9597" s="14" t="n">
        <f aca="false">(k_B+((ls_C*k_long+(1-ls_C)*k_spot)-k_B)*MIN(1,(Sens!F9582-base_fy)/k_ramp))</f>
        <v>1.07843258004497</v>
      </c>
      <c r="G9597" s="14" t="n">
        <f aca="false">(k_B+((ls_C*k_long+(1-ls_C)*k_spot)-k_B)*MIN(1,(Sens!G9582-base_fy)/k_ramp))</f>
        <v>0.984725833898784</v>
      </c>
      <c r="H9597" s="14" t="n">
        <f aca="false">(k_B+((ls_C*k_long+(1-ls_C)*k_spot)-k_B)*MIN(1,(Sens!H9582-base_fy)/k_ramp))</f>
        <v>0.891019087752599</v>
      </c>
      <c r="I9597" s="14" t="n">
        <f aca="false">(k_B+((ls_C*k_long+(1-ls_C)*k_spot)-k_B)*MIN(1,(Sens!I9582-base_fy)/k_ramp))</f>
        <v>0.891019087752599</v>
      </c>
      <c r="J9597" s="14" t="n">
        <f aca="false">(k_B+((ls_C*k_long+(1-ls_C)*k_spot)-k_B)*MIN(1,(Sens!J9582-base_fy)/k_ramp))</f>
        <v>0.891019087752599</v>
      </c>
      <c r="K9597" s="14" t="n">
        <f aca="false">(k_B+((ls_C*k_long+(1-ls_C)*k_spot)-k_B)*MIN(1,(Sens!K9582-base_fy)/k_ramp))</f>
        <v>0.891019087752599</v>
      </c>
      <c r="L9597" s="1" t="s">
        <v>818</v>
      </c>
    </row>
    <row r="9598" customFormat="false" ht="17.15" hidden="false" customHeight="false" outlineLevel="0" collapsed="false">
      <c r="A9598" s="1" t="s">
        <v>819</v>
      </c>
      <c r="B9598" s="0" t="s">
        <v>339</v>
      </c>
      <c r="C9598" s="14" t="n">
        <f aca="false">Sens!C9596*Sens!C9597*chip_f</f>
        <v>11.3973387156315</v>
      </c>
      <c r="D9598" s="14" t="n">
        <f aca="false">Sens!D9596*Sens!D9597*chip_f</f>
        <v>11.3973387156315</v>
      </c>
      <c r="E9598" s="14" t="n">
        <f aca="false">Sens!E9596*Sens!E9597*chip_f</f>
        <v>11.3973387156315</v>
      </c>
      <c r="F9598" s="14" t="n">
        <f aca="false">Sens!F9596*Sens!F9597*chip_f</f>
        <v>11.2242802615</v>
      </c>
      <c r="G9598" s="14" t="n">
        <f aca="false">Sens!G9596*Sens!G9597*chip_f</f>
        <v>10.6732592791352</v>
      </c>
      <c r="H9598" s="14" t="n">
        <f aca="false">Sens!H9596*Sens!H9597*chip_f</f>
        <v>9.91802420610807</v>
      </c>
      <c r="I9598" s="14" t="n">
        <f aca="false">Sens!I9596*Sens!I9597*chip_f</f>
        <v>10.1214674021403</v>
      </c>
      <c r="J9598" s="14" t="n">
        <f aca="false">Sens!J9596*Sens!J9597*chip_f</f>
        <v>10.2860587867084</v>
      </c>
      <c r="K9598" s="14" t="n">
        <f aca="false">Sens!K9596*Sens!K9597*chip_f</f>
        <v>10.5187810555262</v>
      </c>
      <c r="L9598" s="1" t="s">
        <v>820</v>
      </c>
    </row>
    <row r="9599" customFormat="false" ht="17.15" hidden="false" customHeight="false" outlineLevel="0" collapsed="false">
      <c r="A9599" s="0" t="s">
        <v>821</v>
      </c>
      <c r="B9599" s="0" t="s">
        <v>98</v>
      </c>
      <c r="D9599" s="6" t="n">
        <f aca="false">(Sens!C9584+Sens!D9584)/2*Sens!D9598/1000</f>
        <v>12.9359794422418</v>
      </c>
      <c r="E9599" s="6" t="n">
        <f aca="false">(Sens!D9584+Sens!E9584)/2*Sens!E9598/1000</f>
        <v>27.8095064661409</v>
      </c>
      <c r="F9599" s="6" t="n">
        <f aca="false">(Sens!E9584+Sens!F9584)/2*Sens!F9598/1000</f>
        <v>50.6619113883066</v>
      </c>
      <c r="G9599" s="6" t="n">
        <f aca="false">(Sens!F9584+Sens!G9584)/2*Sens!G9598/1000</f>
        <v>75.1482839325348</v>
      </c>
      <c r="H9599" s="6" t="n">
        <f aca="false">(Sens!G9584+Sens!H9584)/2*Sens!H9598/1000</f>
        <v>94.895655604042</v>
      </c>
      <c r="I9599" s="6" t="n">
        <f aca="false">(Sens!H9584+Sens!I9584)/2*Sens!I9598/1000</f>
        <v>118.706168884151</v>
      </c>
      <c r="J9599" s="6" t="n">
        <f aca="false">(Sens!I9584+Sens!J9584)/2*Sens!J9598/1000</f>
        <v>135.305203646001</v>
      </c>
      <c r="K9599" s="6" t="n">
        <f aca="false">(Sens!J9584+Sens!K9584)/2*Sens!K9598/1000</f>
        <v>145.64537766421</v>
      </c>
      <c r="L9599" s="11" t="s">
        <v>822</v>
      </c>
    </row>
    <row r="9600" customFormat="false" ht="17.15" hidden="false" customHeight="false" outlineLevel="0" collapsed="false">
      <c r="A9600" s="1" t="s">
        <v>823</v>
      </c>
      <c r="B9600" s="0" t="s">
        <v>339</v>
      </c>
      <c r="C9600" s="14" t="n">
        <f aca="false">(Sens!C9592*tk_opex_h100+Sens!C9593*tk_opex_gb200+Sens!C9594*tk_opex_gb300+Sens!C9595*tk_opex_vr200)/Sens!C9584</f>
        <v>1.88636041306092</v>
      </c>
      <c r="D9600" s="14" t="n">
        <f aca="false">(Sens!D9592*tk_opex_h100+Sens!D9593*tk_opex_gb200+Sens!D9594*tk_opex_gb300+Sens!D9595*tk_opex_vr200)/Sens!D9584</f>
        <v>1.88636041306092</v>
      </c>
      <c r="E9600" s="14" t="n">
        <f aca="false">(Sens!E9592*tk_opex_h100+Sens!E9593*tk_opex_gb200+Sens!E9594*tk_opex_gb300+Sens!E9595*tk_opex_vr200)/Sens!E9584</f>
        <v>1.88636041306092</v>
      </c>
      <c r="F9600" s="14" t="n">
        <f aca="false">(Sens!F9592*tk_opex_h100+Sens!F9593*tk_opex_gb200+Sens!F9594*tk_opex_gb300+Sens!F9595*tk_opex_vr200)/Sens!F9584</f>
        <v>1.9430236476499</v>
      </c>
      <c r="G9600" s="14" t="n">
        <f aca="false">(Sens!G9592*tk_opex_h100+Sens!G9593*tk_opex_gb200+Sens!G9594*tk_opex_gb300+Sens!G9595*tk_opex_vr200)/Sens!G9584</f>
        <v>1.9786941852423</v>
      </c>
      <c r="H9600" s="14" t="n">
        <f aca="false">(Sens!H9592*tk_opex_h100+Sens!H9593*tk_opex_gb200+Sens!H9594*tk_opex_gb300+Sens!H9595*tk_opex_vr200)/Sens!H9584</f>
        <v>2.00289275976156</v>
      </c>
      <c r="I9600" s="14" t="n">
        <f aca="false">(Sens!I9592*tk_opex_h100+Sens!I9593*tk_opex_gb200+Sens!I9594*tk_opex_gb300+Sens!I9595*tk_opex_vr200)/Sens!I9584</f>
        <v>2.02179589661219</v>
      </c>
      <c r="J9600" s="14" t="n">
        <f aca="false">(Sens!J9592*tk_opex_h100+Sens!J9593*tk_opex_gb200+Sens!J9594*tk_opex_gb300+Sens!J9595*tk_opex_vr200)/Sens!J9584</f>
        <v>2.03708907685909</v>
      </c>
      <c r="K9600" s="14" t="n">
        <f aca="false">(Sens!K9592*tk_opex_h100+Sens!K9593*tk_opex_gb200+Sens!K9594*tk_opex_gb300+Sens!K9595*tk_opex_vr200)/Sens!K9584</f>
        <v>2.05871270931005</v>
      </c>
    </row>
    <row r="9601" customFormat="false" ht="17.15" hidden="false" customHeight="false" outlineLevel="0" collapsed="false">
      <c r="A9601" s="0" t="s">
        <v>824</v>
      </c>
      <c r="B9601" s="0" t="s">
        <v>98</v>
      </c>
      <c r="D9601" s="6" t="n">
        <f aca="false">(Sens!C9587+Sens!D9587)/2*Sens!D9600/1000</f>
        <v>2.70378325872065</v>
      </c>
      <c r="E9601" s="6" t="n">
        <f aca="false">(Sens!D9587+Sens!E9587)/2*Sens!E9600/1000</f>
        <v>6.17783035277451</v>
      </c>
      <c r="F9601" s="6" t="n">
        <f aca="false">(Sens!E9587+Sens!F9587)/2*Sens!F9600/1000</f>
        <v>12.5020618235287</v>
      </c>
      <c r="G9601" s="6" t="n">
        <f aca="false">(Sens!F9587+Sens!G9587)/2*Sens!G9600/1000</f>
        <v>20.7261620256847</v>
      </c>
      <c r="H9601" s="6" t="n">
        <f aca="false">(Sens!G9587+Sens!H9587)/2*Sens!H9600/1000</f>
        <v>29.4158183316982</v>
      </c>
      <c r="I9601" s="6" t="n">
        <f aca="false">(Sens!H9587+Sens!I9587)/2*Sens!I9600/1000</f>
        <v>36.9724400356344</v>
      </c>
      <c r="J9601" s="6" t="n">
        <f aca="false">(Sens!I9587+Sens!J9587)/2*Sens!J9600/1000</f>
        <v>42.0938382992747</v>
      </c>
      <c r="K9601" s="6" t="n">
        <f aca="false">(Sens!J9587+Sens!K9587)/2*Sens!K9600/1000</f>
        <v>44.9150106651501</v>
      </c>
    </row>
    <row r="9602" customFormat="false" ht="17.15" hidden="false" customHeight="false" outlineLevel="0" collapsed="false">
      <c r="A9602" s="0" t="s">
        <v>825</v>
      </c>
      <c r="B9602" s="0" t="s">
        <v>98</v>
      </c>
      <c r="D9602" s="6" t="n">
        <f aca="false">(Sens!C9585+Sens!D9585)/2*rent_mw/1000</f>
        <v>2.44475</v>
      </c>
      <c r="E9602" s="6" t="n">
        <f aca="false">(Sens!D9585+Sens!E9585)/2*rent_mw/1000</f>
        <v>4.22275</v>
      </c>
      <c r="F9602" s="6" t="n">
        <f aca="false">(Sens!E9585+Sens!F9585)/2*rent_mw/1000</f>
        <v>5.80517</v>
      </c>
      <c r="G9602" s="6" t="n">
        <f aca="false">(Sens!F9585+Sens!G9585)/2*rent_mw/1000</f>
        <v>6.72084</v>
      </c>
      <c r="H9602" s="6" t="n">
        <f aca="false">(Sens!G9585+Sens!H9585)/2*rent_mw/1000</f>
        <v>6.72084</v>
      </c>
      <c r="I9602" s="6" t="n">
        <f aca="false">(Sens!H9585+Sens!I9585)/2*rent_mw/1000</f>
        <v>6.72084</v>
      </c>
      <c r="J9602" s="6" t="n">
        <f aca="false">(Sens!I9585+Sens!J9585)/2*rent_mw/1000</f>
        <v>6.72084</v>
      </c>
      <c r="K9602" s="6" t="n">
        <f aca="false">(Sens!J9585+Sens!K9585)/2*rent_mw/1000</f>
        <v>6.72084</v>
      </c>
    </row>
    <row r="9603" customFormat="false" ht="17.15" hidden="false" customHeight="false" outlineLevel="0" collapsed="false">
      <c r="A9603" s="0" t="s">
        <v>826</v>
      </c>
      <c r="B9603" s="0" t="s">
        <v>98</v>
      </c>
      <c r="D9603" s="6" t="n">
        <f aca="false">(Sens!C9587+Sens!D9587)/2*(1-self_build)*fac_rent/1000</f>
        <v>0.853242375631075</v>
      </c>
      <c r="E9603" s="6" t="n">
        <f aca="false">(Sens!D9587+Sens!E9587)/2*(1-self_build)*fac_rent/1000</f>
        <v>1.94955961408728</v>
      </c>
      <c r="F9603" s="6" t="n">
        <f aca="false">(Sens!E9587+Sens!F9587)/2*(1-self_build)*fac_rent/1000</f>
        <v>3.83026455274573</v>
      </c>
      <c r="G9603" s="6" t="n">
        <f aca="false">(Sens!F9587+Sens!G9587)/2*(1-self_build)*fac_rent/1000</f>
        <v>6.23541590972812</v>
      </c>
      <c r="H9603" s="6" t="n">
        <f aca="false">(Sens!G9587+Sens!H9587)/2*(1-self_build)*fac_rent/1000</f>
        <v>8.74275792332679</v>
      </c>
      <c r="I9603" s="6" t="n">
        <f aca="false">(Sens!H9587+Sens!I9587)/2*(1-self_build)*fac_rent/1000</f>
        <v>10.8859420438599</v>
      </c>
      <c r="J9603" s="6" t="n">
        <f aca="false">(Sens!I9587+Sens!J9587)/2*(1-self_build)*fac_rent/1000</f>
        <v>12.3008103782619</v>
      </c>
      <c r="K9603" s="6" t="n">
        <f aca="false">(Sens!J9587+Sens!K9587)/2*(1-self_build)*fac_rent/1000</f>
        <v>12.9873629265328</v>
      </c>
      <c r="L9603" s="11" t="s">
        <v>827</v>
      </c>
    </row>
    <row r="9604" customFormat="false" ht="17.15" hidden="false" customHeight="false" outlineLevel="0" collapsed="false">
      <c r="A9604" s="1" t="s">
        <v>828</v>
      </c>
      <c r="B9604" s="0" t="s">
        <v>129</v>
      </c>
      <c r="D9604" s="7" t="n">
        <f aca="false">(Sens!C9586+Sens!D9586)/(Sens!C9587+Sens!D9587)</f>
        <v>0.6</v>
      </c>
      <c r="E9604" s="7" t="n">
        <f aca="false">(Sens!D9586+Sens!E9586)/(Sens!D9587+Sens!E9587)</f>
        <v>0.6</v>
      </c>
      <c r="F9604" s="7" t="n">
        <f aca="false">(Sens!E9586+Sens!F9586)/(Sens!E9587+Sens!F9587)</f>
        <v>0.6</v>
      </c>
      <c r="G9604" s="7" t="n">
        <f aca="false">(Sens!F9586+Sens!G9586)/(Sens!F9587+Sens!G9587)</f>
        <v>0.6</v>
      </c>
      <c r="H9604" s="7" t="n">
        <f aca="false">(Sens!G9586+Sens!H9586)/(Sens!G9587+Sens!H9587)</f>
        <v>0.6</v>
      </c>
      <c r="I9604" s="7" t="n">
        <f aca="false">(Sens!H9586+Sens!I9586)/(Sens!H9587+Sens!I9587)</f>
        <v>0.6</v>
      </c>
      <c r="J9604" s="7" t="n">
        <f aca="false">(Sens!I9586+Sens!J9586)/(Sens!I9587+Sens!J9587)</f>
        <v>0.6</v>
      </c>
      <c r="K9604" s="7" t="n">
        <f aca="false">(Sens!J9586+Sens!K9586)/(Sens!J9587+Sens!K9587)</f>
        <v>0.6</v>
      </c>
    </row>
    <row r="9605" customFormat="false" ht="17.15" hidden="false" customHeight="false" outlineLevel="0" collapsed="false">
      <c r="A9605" s="0" t="s">
        <v>829</v>
      </c>
      <c r="B9605" s="0" t="s">
        <v>98</v>
      </c>
      <c r="D9605" s="6" t="n">
        <f aca="false">Sens!D9599-Sens!D9604*(Sens!D9601+Sens!D9603)-Sens!D9602</f>
        <v>8.35701406163072</v>
      </c>
      <c r="E9605" s="6" t="n">
        <f aca="false">Sens!E9599-Sens!E9604*(Sens!E9601+Sens!E9603)-Sens!E9602</f>
        <v>18.7103224860238</v>
      </c>
      <c r="F9605" s="6" t="n">
        <f aca="false">Sens!F9599-Sens!F9604*(Sens!F9601+Sens!F9603)-Sens!F9602</f>
        <v>35.0573455625419</v>
      </c>
      <c r="G9605" s="6" t="n">
        <f aca="false">Sens!G9599-Sens!G9604*(Sens!G9601+Sens!G9603)-Sens!G9602</f>
        <v>52.2504971712871</v>
      </c>
      <c r="H9605" s="6" t="n">
        <f aca="false">Sens!H9599-Sens!H9604*(Sens!H9601+Sens!H9603)-Sens!H9602</f>
        <v>65.2796698510271</v>
      </c>
      <c r="I9605" s="6" t="n">
        <f aca="false">Sens!I9599-Sens!I9604*(Sens!I9601+Sens!I9603)-Sens!I9602</f>
        <v>83.2702996364549</v>
      </c>
      <c r="J9605" s="6" t="n">
        <f aca="false">Sens!J9599-Sens!J9604*(Sens!J9601+Sens!J9603)-Sens!J9602</f>
        <v>95.9475744394793</v>
      </c>
      <c r="K9605" s="6" t="n">
        <f aca="false">Sens!K9599-Sens!K9604*(Sens!K9601+Sens!K9603)-Sens!K9602</f>
        <v>104.1831135092</v>
      </c>
    </row>
    <row r="9606" customFormat="false" ht="17.15" hidden="false" customHeight="false" outlineLevel="0" collapsed="false">
      <c r="A9606" s="1" t="s">
        <v>830</v>
      </c>
      <c r="B9606" s="0" t="s">
        <v>98</v>
      </c>
      <c r="D9606" s="6" t="n">
        <f aca="false">(1-Sens!D9604)*(Sens!D9601+Sens!D9603)</f>
        <v>1.42281025374069</v>
      </c>
      <c r="E9606" s="6" t="n">
        <f aca="false">(1-Sens!E9604)*(Sens!E9601+Sens!E9603)</f>
        <v>3.25095598674472</v>
      </c>
      <c r="F9606" s="6" t="n">
        <f aca="false">(1-Sens!F9604)*(Sens!F9601+Sens!F9603)</f>
        <v>6.53293055050977</v>
      </c>
      <c r="G9606" s="6" t="n">
        <f aca="false">(1-Sens!G9604)*(Sens!G9601+Sens!G9603)</f>
        <v>10.7846311741651</v>
      </c>
      <c r="H9606" s="6" t="n">
        <f aca="false">(1-Sens!H9604)*(Sens!H9601+Sens!H9603)</f>
        <v>15.26343050201</v>
      </c>
      <c r="I9606" s="6" t="n">
        <f aca="false">(1-Sens!I9604)*(Sens!I9601+Sens!I9603)</f>
        <v>19.1433528317977</v>
      </c>
      <c r="J9606" s="6" t="n">
        <f aca="false">(1-Sens!J9604)*(Sens!J9601+Sens!J9603)</f>
        <v>21.7578594710146</v>
      </c>
      <c r="K9606" s="6" t="n">
        <f aca="false">(1-Sens!K9604)*(Sens!K9601+Sens!K9603)</f>
        <v>23.1609494366731</v>
      </c>
    </row>
    <row r="9607" customFormat="false" ht="17.15" hidden="false" customHeight="false" outlineLevel="0" collapsed="false">
      <c r="A9607" s="1" t="s">
        <v>831</v>
      </c>
      <c r="B9607" s="0" t="s">
        <v>350</v>
      </c>
      <c r="C9607" s="8" t="n">
        <f aca="false">cxit_open</f>
        <v>27.5918995</v>
      </c>
      <c r="D9607" s="8" t="n">
        <f aca="false">cxit_open</f>
        <v>27.5918995</v>
      </c>
      <c r="E9607" s="8" t="n">
        <f aca="false">cxit_open</f>
        <v>27.5918995</v>
      </c>
      <c r="F9607" s="8" t="n">
        <f aca="false">(a_g3_27*tk_cxit_gb300+(1-a_g3_27)*tk_cxit_vr200)</f>
        <v>33.8419624</v>
      </c>
      <c r="G9607" s="8" t="n">
        <f aca="false">(a_g3_28*tk_cxit_gb300+(1-a_g3_28)*tk_cxit_vr200)</f>
        <v>35.9816136</v>
      </c>
      <c r="H9607" s="8" t="n">
        <f aca="false">(a_g3_29*tk_cxit_gb300+(1-a_g3_29)*tk_cxit_vr200)</f>
        <v>37.0514392</v>
      </c>
      <c r="I9607" s="8" t="n">
        <f aca="false">(a_g3_29*tk_cxit_gb300+(1-a_g3_29)*tk_cxit_vr200)</f>
        <v>37.0514392</v>
      </c>
      <c r="J9607" s="8" t="n">
        <f aca="false">(a_g3_29*tk_cxit_gb300+(1-a_g3_29)*tk_cxit_vr200)</f>
        <v>37.0514392</v>
      </c>
      <c r="K9607" s="8" t="n">
        <f aca="false">(a_g3_29*tk_cxit_gb300+(1-a_g3_29)*tk_cxit_vr200)</f>
        <v>37.0514392</v>
      </c>
      <c r="L9607" s="11" t="s">
        <v>832</v>
      </c>
    </row>
    <row r="9608" customFormat="false" ht="17.15" hidden="false" customHeight="false" outlineLevel="0" collapsed="false">
      <c r="A9608" s="0" t="s">
        <v>833</v>
      </c>
      <c r="B9608" s="0" t="s">
        <v>392</v>
      </c>
      <c r="F9608" s="29" t="n">
        <f aca="false">Sens!C9589*IF(Sens!F9582-Sens!C9582=life_it,1,0)+Sens!D9589*IF(Sens!F9582-Sens!D9582=life_it,1,0)+Sens!E9589*IF(Sens!F9582-Sens!E9582=life_it,1,0)</f>
        <v>0</v>
      </c>
      <c r="G9608" s="29" t="n">
        <f aca="false">Sens!C9589*IF(Sens!G9582-Sens!C9582=life_it,1,0)+Sens!D9589*IF(Sens!G9582-Sens!D9582=life_it,1,0)+Sens!E9589*IF(Sens!G9582-Sens!E9582=life_it,1,0)+Sens!F9589*IF(Sens!G9582-Sens!F9582=life_it,1,0)</f>
        <v>0</v>
      </c>
      <c r="H9608" s="29" t="n">
        <f aca="false">Sens!C9589*IF(Sens!H9582-Sens!C9582=life_it,1,0)+Sens!D9589*IF(Sens!H9582-Sens!D9582=life_it,1,0)+Sens!E9589*IF(Sens!H9582-Sens!E9582=life_it,1,0)+Sens!F9589*IF(Sens!H9582-Sens!F9582=life_it,1,0)+Sens!G9589*IF(Sens!H9582-Sens!G9582=life_it,1,0)</f>
        <v>0</v>
      </c>
      <c r="I9608" s="29" t="n">
        <f aca="false">Sens!C9589*IF(Sens!I9582-Sens!C9582=life_it,1,0)+Sens!D9589*IF(Sens!I9582-Sens!D9582=life_it,1,0)+Sens!E9589*IF(Sens!I9582-Sens!E9582=life_it,1,0)+Sens!F9589*IF(Sens!I9582-Sens!F9582=life_it,1,0)+Sens!G9589*IF(Sens!I9582-Sens!G9582=life_it,1,0)+Sens!H9589*IF(Sens!I9582-Sens!H9582=life_it,1,0)</f>
        <v>816.666666666667</v>
      </c>
      <c r="J9608" s="29" t="n">
        <f aca="false">Sens!C9589*IF(Sens!J9582-Sens!C9582=life_it,1,0)+Sens!D9589*IF(Sens!J9582-Sens!D9582=life_it,1,0)+Sens!E9589*IF(Sens!J9582-Sens!E9582=life_it,1,0)+Sens!F9589*IF(Sens!J9582-Sens!F9582=life_it,1,0)+Sens!G9589*IF(Sens!J9582-Sens!G9582=life_it,1,0)+Sens!H9589*IF(Sens!J9582-Sens!H9582=life_it,1,0)+Sens!I9589*IF(Sens!J9582-Sens!I9582=life_it,1,0)</f>
        <v>1233.33333333333</v>
      </c>
      <c r="K9608" s="29" t="n">
        <f aca="false">Sens!C9589*IF(Sens!K9582-Sens!C9582=life_it,1,0)+Sens!D9589*IF(Sens!K9582-Sens!D9582=life_it,1,0)+Sens!E9589*IF(Sens!K9582-Sens!E9582=life_it,1,0)+Sens!F9589*IF(Sens!K9582-Sens!F9582=life_it,1,0)+Sens!G9589*IF(Sens!K9582-Sens!G9582=life_it,1,0)+Sens!H9589*IF(Sens!K9582-Sens!H9582=life_it,1,0)+Sens!I9589*IF(Sens!K9582-Sens!I9582=life_it,1,0)+Sens!J9589*IF(Sens!K9582-Sens!J9582=life_it,1,0)</f>
        <v>2450</v>
      </c>
      <c r="L9608" s="1" t="s">
        <v>834</v>
      </c>
    </row>
    <row r="9609" customFormat="false" ht="17.15" hidden="false" customHeight="false" outlineLevel="0" collapsed="false">
      <c r="A9609" s="0" t="s">
        <v>835</v>
      </c>
      <c r="B9609" s="0" t="s">
        <v>98</v>
      </c>
      <c r="C9609" s="6" t="n">
        <f aca="false">Sens!C9589*Sens!C9607/1000</f>
        <v>22.5333845916667</v>
      </c>
      <c r="D9609" s="6" t="n">
        <f aca="false">Sens!D9589*Sens!D9607/1000</f>
        <v>34.0300093833333</v>
      </c>
      <c r="E9609" s="6" t="n">
        <f aca="false">Sens!E9589*Sens!E9607/1000</f>
        <v>67.600153775</v>
      </c>
      <c r="F9609" s="6" t="n">
        <f aca="false">(Sens!F9589+Sens!F9608)*Sens!F9607/1000</f>
        <v>130.923271871467</v>
      </c>
      <c r="G9609" s="6" t="n">
        <f aca="false">(Sens!G9589+Sens!G9608)*Sens!G9607/1000</f>
        <v>151.5545564832</v>
      </c>
      <c r="H9609" s="6" t="n">
        <f aca="false">(Sens!H9589+Sens!H9608)*Sens!H9607/1000</f>
        <v>156.0606619104</v>
      </c>
      <c r="I9609" s="6" t="n">
        <f aca="false">(Sens!I9589+Sens!I9608)*Sens!I9607/1000</f>
        <v>140.987889434245</v>
      </c>
      <c r="J9609" s="6" t="n">
        <f aca="false">(Sens!J9589+Sens!J9608)*Sens!J9607/1000</f>
        <v>111.094541278091</v>
      </c>
      <c r="K9609" s="6" t="n">
        <f aca="false">(Sens!K9589+Sens!K9608)*Sens!K9607/1000</f>
        <v>110.842344481936</v>
      </c>
    </row>
    <row r="9610" customFormat="false" ht="17.15" hidden="false" customHeight="false" outlineLevel="0" collapsed="false">
      <c r="A9610" s="0" t="s">
        <v>836</v>
      </c>
      <c r="B9610" s="0" t="s">
        <v>98</v>
      </c>
      <c r="C9610" s="6" t="n">
        <f aca="false">Sens!C9589*self_build*tk_cxfac/1000</f>
        <v>6.2083</v>
      </c>
      <c r="D9610" s="6" t="n">
        <f aca="false">Sens!D9589*self_build*tk_cxfac/1000</f>
        <v>9.3758</v>
      </c>
      <c r="E9610" s="6" t="n">
        <f aca="false">Sens!E9589*self_build*tk_cxfac/1000</f>
        <v>18.6249</v>
      </c>
      <c r="F9610" s="6" t="n">
        <f aca="false">Sens!F9589*self_build*tk_cxfac/1000</f>
        <v>29.409604</v>
      </c>
      <c r="G9610" s="6" t="n">
        <f aca="false">Sens!G9589*self_build*tk_cxfac/1000</f>
        <v>32.019624</v>
      </c>
      <c r="H9610" s="6" t="n">
        <f aca="false">Sens!H9589*self_build*tk_cxfac/1000</f>
        <v>32.019624</v>
      </c>
      <c r="I9610" s="6" t="n">
        <f aca="false">Sens!I9589*self_build*tk_cxfac/1000</f>
        <v>22.71877972</v>
      </c>
      <c r="J9610" s="6" t="n">
        <f aca="false">Sens!J9589*self_build*tk_cxfac/1000</f>
        <v>13.41793544</v>
      </c>
      <c r="K9610" s="6" t="n">
        <f aca="false">Sens!K9589*self_build*tk_cxfac/1000</f>
        <v>4.11709116000001</v>
      </c>
    </row>
    <row r="9611" customFormat="false" ht="17.15" hidden="false" customHeight="false" outlineLevel="0" collapsed="false">
      <c r="A9611" s="0" t="s">
        <v>837</v>
      </c>
      <c r="B9611" s="0" t="s">
        <v>98</v>
      </c>
      <c r="F9611" s="6" t="n">
        <f aca="false">MAX(0,capex_floor27-Sens!F9609-Sens!F9610-Sens!F9704)</f>
        <v>8.42784289897089</v>
      </c>
      <c r="L9611" s="1" t="s">
        <v>838</v>
      </c>
    </row>
    <row r="9612" customFormat="false" ht="17.15" hidden="false" customHeight="false" outlineLevel="0" collapsed="false">
      <c r="A9612" s="0" t="s">
        <v>839</v>
      </c>
      <c r="B9612" s="0" t="s">
        <v>98</v>
      </c>
      <c r="C9612" s="6" t="n">
        <f aca="false">Sens!C9609</f>
        <v>22.5333845916667</v>
      </c>
      <c r="D9612" s="6" t="n">
        <f aca="false">Sens!D9609</f>
        <v>34.0300093833333</v>
      </c>
      <c r="E9612" s="6" t="n">
        <f aca="false">Sens!E9609</f>
        <v>67.600153775</v>
      </c>
      <c r="F9612" s="6" t="n">
        <f aca="false">Sens!F9609+Sens!F9611</f>
        <v>139.351114770438</v>
      </c>
      <c r="G9612" s="6" t="n">
        <f aca="false">Sens!G9609</f>
        <v>151.5545564832</v>
      </c>
      <c r="H9612" s="6" t="n">
        <f aca="false">Sens!H9609</f>
        <v>156.0606619104</v>
      </c>
      <c r="I9612" s="6" t="n">
        <f aca="false">Sens!I9609</f>
        <v>140.987889434245</v>
      </c>
      <c r="J9612" s="6" t="n">
        <f aca="false">Sens!J9609</f>
        <v>111.094541278091</v>
      </c>
      <c r="K9612" s="6" t="n">
        <f aca="false">Sens!K9609</f>
        <v>110.842344481936</v>
      </c>
    </row>
    <row r="9613" customFormat="false" ht="17.15" hidden="false" customHeight="false" outlineLevel="0" collapsed="false">
      <c r="A9613" s="0" t="s">
        <v>840</v>
      </c>
      <c r="B9613" s="0" t="s">
        <v>98</v>
      </c>
      <c r="C9613" s="6" t="n">
        <f aca="false">Sens!C9612+Sens!C9610</f>
        <v>28.7416845916667</v>
      </c>
      <c r="D9613" s="6" t="n">
        <f aca="false">Sens!D9612+Sens!D9610</f>
        <v>43.4058093833333</v>
      </c>
      <c r="E9613" s="6" t="n">
        <f aca="false">Sens!E9612+Sens!E9610</f>
        <v>86.225053775</v>
      </c>
      <c r="F9613" s="6" t="n">
        <f aca="false">Sens!F9612+Sens!F9610</f>
        <v>168.760718770438</v>
      </c>
      <c r="G9613" s="6" t="n">
        <f aca="false">Sens!G9612+Sens!G9610</f>
        <v>183.5741804832</v>
      </c>
      <c r="H9613" s="6" t="n">
        <f aca="false">Sens!H9612+Sens!H9610</f>
        <v>188.0802859104</v>
      </c>
      <c r="I9613" s="6" t="n">
        <f aca="false">Sens!I9612+Sens!I9610</f>
        <v>163.706669154245</v>
      </c>
      <c r="J9613" s="6" t="n">
        <f aca="false">Sens!J9612+Sens!J9610</f>
        <v>124.51247671809</v>
      </c>
      <c r="K9613" s="6" t="n">
        <f aca="false">Sens!K9612+Sens!K9610</f>
        <v>114.959435641936</v>
      </c>
      <c r="L9613" s="11" t="s">
        <v>841</v>
      </c>
    </row>
    <row r="9614" customFormat="false" ht="17.15" hidden="false" customHeight="false" outlineLevel="0" collapsed="false">
      <c r="A9614" s="0" t="s">
        <v>842</v>
      </c>
      <c r="B9614" s="0" t="s">
        <v>98</v>
      </c>
      <c r="E9614" s="6" t="n">
        <f aca="false">(Sens!C9612*IF(2&lt;life_it,1,IF(2=life_it,0.5,0))+Sens!D9612*IF(1&lt;life_it,1,IF(1=life_it,0.5,0))+Sens!E9612*0.5)/life_it</f>
        <v>15.0605784770833</v>
      </c>
      <c r="F9614" s="6" t="n">
        <f aca="false">(Sens!C9612*IF(3&lt;life_it,1,IF(3=life_it,0.5,0))+Sens!D9612*IF(2&lt;life_it,1,IF(2=life_it,0.5,0))+Sens!E9612*IF(1&lt;life_it,1,IF(1=life_it,0.5,0))+Sens!F9612*0.5)/life_it</f>
        <v>32.3065175225365</v>
      </c>
      <c r="G9614" s="6" t="n">
        <f aca="false">(Sens!C9612*IF(4&lt;life_it,1,IF(4=life_it,0.5,0))+Sens!D9612*IF(3&lt;life_it,1,IF(3=life_it,0.5,0))+Sens!E9612*IF(2&lt;life_it,1,IF(2=life_it,0.5,0))+Sens!F9612*IF(1&lt;life_it,1,IF(1=life_it,0.5,0))+Sens!G9612*0.5)/life_it</f>
        <v>56.5486567936729</v>
      </c>
      <c r="H9614" s="6" t="n">
        <f aca="false">(Sens!C9612*IF(5&lt;life_it,1,IF(5=life_it,0.5,0))+Sens!D9612*IF(4&lt;life_it,1,IF(4=life_it,0.5,0))+Sens!E9612*IF(3&lt;life_it,1,IF(3=life_it,0.5,0))+Sens!F9612*IF(2&lt;life_it,1,IF(2=life_it,0.5,0))+Sens!G9612*IF(1&lt;life_it,1,IF(1=life_it,0.5,0))+Sens!H9612*0.5)/life_it</f>
        <v>82.1832583264729</v>
      </c>
      <c r="I9614" s="6" t="n">
        <f aca="false">(Sens!C9612*IF(6&lt;life_it,1,IF(6=life_it,0.5,0))+Sens!D9612*IF(5&lt;life_it,1,IF(5=life_it,0.5,0))+Sens!E9612*IF(4&lt;life_it,1,IF(4=life_it,0.5,0))+Sens!F9612*IF(3&lt;life_it,1,IF(3=life_it,0.5,0))+Sens!G9612*IF(2&lt;life_it,1,IF(2=life_it,0.5,0))+Sens!H9612*IF(1&lt;life_it,1,IF(1=life_it,0.5,0))+Sens!I9612*0.5)/life_it</f>
        <v>105.059522222554</v>
      </c>
      <c r="J9614" s="6" t="n">
        <f aca="false">(Sens!C9612*IF(7&lt;life_it,1,IF(7=life_it,0.5,0))+Sens!D9612*IF(6&lt;life_it,1,IF(6=life_it,0.5,0))+Sens!E9612*IF(5&lt;life_it,1,IF(5=life_it,0.5,0))+Sens!F9612*IF(4&lt;life_it,1,IF(4=life_it,0.5,0))+Sens!G9612*IF(3&lt;life_it,1,IF(3=life_it,0.5,0))+Sens!H9612*IF(2&lt;life_it,1,IF(2=life_it,0.5,0))+Sens!I9612*IF(1&lt;life_it,1,IF(1=life_it,0.5,0))+Sens!J9612*0.5)/life_it</f>
        <v>121.352775283999</v>
      </c>
      <c r="K9614" s="6" t="n">
        <f aca="false">(Sens!C9612*IF(8&lt;life_it,1,IF(8=life_it,0.5,0))+Sens!D9612*IF(7&lt;life_it,1,IF(7=life_it,0.5,0))+Sens!E9612*IF(6&lt;life_it,1,IF(6=life_it,0.5,0))+Sens!F9612*IF(5&lt;life_it,1,IF(5=life_it,0.5,0))+Sens!G9612*IF(4&lt;life_it,1,IF(4=life_it,0.5,0))+Sens!H9612*IF(3&lt;life_it,1,IF(3=life_it,0.5,0))+Sens!I9612*IF(2&lt;life_it,1,IF(2=life_it,0.5,0))+Sens!J9612*IF(1&lt;life_it,1,IF(1=life_it,0.5,0))+Sens!K9612*0.5)/life_it</f>
        <v>131.378335500807</v>
      </c>
    </row>
    <row r="9615" customFormat="false" ht="17.15" hidden="false" customHeight="false" outlineLevel="0" collapsed="false">
      <c r="A9615" s="0" t="s">
        <v>843</v>
      </c>
      <c r="B9615" s="0" t="s">
        <v>98</v>
      </c>
      <c r="E9615" s="6" t="n">
        <f aca="false">(Sens!C9610*IF(2&lt;life_fac,1,IF(2=life_fac,0.5,0))+Sens!D9610*IF(1&lt;life_fac,1,IF(1=life_fac,0.5,0))+Sens!E9610*0.5)/life_fac</f>
        <v>1.2448275</v>
      </c>
      <c r="F9615" s="6" t="n">
        <f aca="false">(Sens!C9610*IF(3&lt;life_fac,1,IF(3=life_fac,0.5,0))+Sens!D9610*IF(2&lt;life_fac,1,IF(2=life_fac,0.5,0))+Sens!E9610*IF(1&lt;life_fac,1,IF(1=life_fac,0.5,0))+Sens!F9610*0.5)/life_fac</f>
        <v>2.4456901</v>
      </c>
      <c r="G9615" s="6" t="n">
        <f aca="false">(Sens!C9610*IF(4&lt;life_fac,1,IF(4=life_fac,0.5,0))+Sens!D9610*IF(3&lt;life_fac,1,IF(3=life_fac,0.5,0))+Sens!E9610*IF(2&lt;life_fac,1,IF(2=life_fac,0.5,0))+Sens!F9610*IF(1&lt;life_fac,1,IF(1=life_fac,0.5,0))+Sens!G9610*0.5)/life_fac</f>
        <v>3.9814208</v>
      </c>
      <c r="H9615" s="6" t="n">
        <f aca="false">(Sens!C9610*IF(5&lt;life_fac,1,IF(5=life_fac,0.5,0))+Sens!D9610*IF(4&lt;life_fac,1,IF(4=life_fac,0.5,0))+Sens!E9610*IF(3&lt;life_fac,1,IF(3=life_fac,0.5,0))+Sens!F9610*IF(2&lt;life_fac,1,IF(2=life_fac,0.5,0))+Sens!G9610*IF(1&lt;life_fac,1,IF(1=life_fac,0.5,0))+Sens!H9610*0.5)/life_fac</f>
        <v>5.582402</v>
      </c>
      <c r="I9615" s="6" t="n">
        <f aca="false">(Sens!C9610*IF(6&lt;life_fac,1,IF(6=life_fac,0.5,0))+Sens!D9610*IF(5&lt;life_fac,1,IF(5=life_fac,0.5,0))+Sens!E9610*IF(4&lt;life_fac,1,IF(4=life_fac,0.5,0))+Sens!F9610*IF(3&lt;life_fac,1,IF(3=life_fac,0.5,0))+Sens!G9610*IF(2&lt;life_fac,1,IF(2=life_fac,0.5,0))+Sens!H9610*IF(1&lt;life_fac,1,IF(1=life_fac,0.5,0))+Sens!I9610*0.5)/life_fac</f>
        <v>6.950862093</v>
      </c>
      <c r="J9615" s="6" t="n">
        <f aca="false">(Sens!C9610*IF(7&lt;life_fac,1,IF(7=life_fac,0.5,0))+Sens!D9610*IF(6&lt;life_fac,1,IF(6=life_fac,0.5,0))+Sens!E9610*IF(5&lt;life_fac,1,IF(5=life_fac,0.5,0))+Sens!F9610*IF(4&lt;life_fac,1,IF(4=life_fac,0.5,0))+Sens!G9610*IF(3&lt;life_fac,1,IF(3=life_fac,0.5,0))+Sens!H9610*IF(2&lt;life_fac,1,IF(2=life_fac,0.5,0))+Sens!I9610*IF(1&lt;life_fac,1,IF(1=life_fac,0.5,0))+Sens!J9610*0.5)/life_fac</f>
        <v>7.854279972</v>
      </c>
      <c r="K9615" s="6" t="n">
        <f aca="false">(Sens!C9610*IF(8&lt;life_fac,1,IF(8=life_fac,0.5,0))+Sens!D9610*IF(7&lt;life_fac,1,IF(7=life_fac,0.5,0))+Sens!E9610*IF(6&lt;life_fac,1,IF(6=life_fac,0.5,0))+Sens!F9610*IF(5&lt;life_fac,1,IF(5=life_fac,0.5,0))+Sens!G9610*IF(4&lt;life_fac,1,IF(4=life_fac,0.5,0))+Sens!H9610*IF(3&lt;life_fac,1,IF(3=life_fac,0.5,0))+Sens!I9610*IF(2&lt;life_fac,1,IF(2=life_fac,0.5,0))+Sens!J9610*IF(1&lt;life_fac,1,IF(1=life_fac,0.5,0))+Sens!K9610*0.5)/life_fac</f>
        <v>8.292655637</v>
      </c>
    </row>
    <row r="9616" customFormat="false" ht="17.15" hidden="false" customHeight="false" outlineLevel="0" collapsed="false">
      <c r="A9616" s="0" t="s">
        <v>844</v>
      </c>
      <c r="B9616" s="0" t="s">
        <v>98</v>
      </c>
      <c r="E9616" s="6" t="n">
        <f aca="false">Sens!E9614+Sens!E9615</f>
        <v>16.3054059770833</v>
      </c>
      <c r="F9616" s="6" t="n">
        <f aca="false">Sens!F9614+Sens!F9615</f>
        <v>34.7522076225365</v>
      </c>
      <c r="G9616" s="6" t="n">
        <f aca="false">Sens!G9614+Sens!G9615</f>
        <v>60.5300775936729</v>
      </c>
      <c r="H9616" s="6" t="n">
        <f aca="false">Sens!H9614+Sens!H9615</f>
        <v>87.7656603264729</v>
      </c>
      <c r="I9616" s="6" t="n">
        <f aca="false">Sens!I9614+Sens!I9615</f>
        <v>112.010384315554</v>
      </c>
      <c r="J9616" s="6" t="n">
        <f aca="false">Sens!J9614+Sens!J9615</f>
        <v>129.207055255999</v>
      </c>
      <c r="K9616" s="6" t="n">
        <f aca="false">Sens!K9614+Sens!K9615</f>
        <v>139.670991137807</v>
      </c>
    </row>
    <row r="9617" customFormat="false" ht="17.15" hidden="false" customHeight="false" outlineLevel="0" collapsed="false">
      <c r="A9617" s="0" t="s">
        <v>845</v>
      </c>
      <c r="B9617" s="0" t="s">
        <v>98</v>
      </c>
      <c r="E9617" s="6" t="n">
        <f aca="false">Sens!E9605-Sens!E9604*Sens!E9616</f>
        <v>8.92707889977379</v>
      </c>
      <c r="F9617" s="6" t="n">
        <f aca="false">Sens!F9605-Sens!F9604*Sens!F9616</f>
        <v>14.2060209890201</v>
      </c>
      <c r="G9617" s="6" t="n">
        <f aca="false">Sens!G9605-Sens!G9604*Sens!G9616</f>
        <v>15.9324506150833</v>
      </c>
      <c r="H9617" s="6" t="n">
        <f aca="false">Sens!H9605-Sens!H9604*Sens!H9616</f>
        <v>12.6202736551433</v>
      </c>
      <c r="I9617" s="6" t="n">
        <f aca="false">Sens!I9605-Sens!I9604*Sens!I9616</f>
        <v>16.0640690471222</v>
      </c>
      <c r="J9617" s="6" t="n">
        <f aca="false">Sens!J9605-Sens!J9604*Sens!J9616</f>
        <v>18.4233412858798</v>
      </c>
      <c r="K9617" s="6" t="n">
        <f aca="false">Sens!K9605-Sens!K9604*Sens!K9616</f>
        <v>20.3805188265162</v>
      </c>
    </row>
    <row r="9618" customFormat="false" ht="17.15" hidden="false" customHeight="false" outlineLevel="0" collapsed="false">
      <c r="A9618" s="3" t="s">
        <v>1485</v>
      </c>
    </row>
    <row r="9619" customFormat="false" ht="15" hidden="false" customHeight="false" outlineLevel="0" collapsed="false">
      <c r="A9619" s="4" t="s">
        <v>43</v>
      </c>
      <c r="B9619" s="4" t="s">
        <v>65</v>
      </c>
      <c r="C9619" s="20" t="s">
        <v>788</v>
      </c>
      <c r="D9619" s="20" t="s">
        <v>789</v>
      </c>
      <c r="E9619" s="20" t="s">
        <v>790</v>
      </c>
      <c r="F9619" s="20" t="s">
        <v>791</v>
      </c>
      <c r="G9619" s="20" t="s">
        <v>792</v>
      </c>
      <c r="H9619" s="20" t="s">
        <v>793</v>
      </c>
      <c r="I9619" s="20" t="s">
        <v>794</v>
      </c>
      <c r="J9619" s="20" t="s">
        <v>795</v>
      </c>
      <c r="K9619" s="20" t="s">
        <v>796</v>
      </c>
      <c r="L9619" s="4" t="s">
        <v>47</v>
      </c>
    </row>
    <row r="9620" customFormat="false" ht="17.15" hidden="false" customHeight="false" outlineLevel="0" collapsed="false">
      <c r="A9620" s="0" t="s">
        <v>864</v>
      </c>
      <c r="B9620" s="0" t="s">
        <v>98</v>
      </c>
      <c r="D9620" s="6" t="n">
        <f aca="false">Sens!D9599</f>
        <v>12.9359794422418</v>
      </c>
      <c r="E9620" s="6" t="n">
        <f aca="false">Sens!E9599</f>
        <v>27.8095064661409</v>
      </c>
      <c r="F9620" s="6" t="n">
        <f aca="false">Sens!F9599</f>
        <v>50.6619113883066</v>
      </c>
      <c r="G9620" s="6" t="n">
        <f aca="false">Sens!G9599</f>
        <v>75.1482839325348</v>
      </c>
      <c r="H9620" s="6" t="n">
        <f aca="false">Sens!H9599</f>
        <v>94.895655604042</v>
      </c>
      <c r="I9620" s="6" t="n">
        <f aca="false">Sens!I9599</f>
        <v>118.706168884151</v>
      </c>
      <c r="J9620" s="6" t="n">
        <f aca="false">Sens!J9599</f>
        <v>135.305203646001</v>
      </c>
      <c r="K9620" s="6" t="n">
        <f aca="false">Sens!K9599</f>
        <v>145.64537766421</v>
      </c>
    </row>
    <row r="9621" customFormat="false" ht="17.15" hidden="false" customHeight="false" outlineLevel="0" collapsed="false">
      <c r="A9621" s="0" t="s">
        <v>865</v>
      </c>
      <c r="B9621" s="0" t="s">
        <v>98</v>
      </c>
      <c r="D9621" s="6" t="n">
        <f aca="false">Q!L6-Sens!D9620</f>
        <v>59.6740205577583</v>
      </c>
      <c r="E9621" s="6" t="n">
        <f aca="false">Q!M6-Sens!E9620</f>
        <v>74.1284935338591</v>
      </c>
      <c r="F9621" s="6" t="n">
        <f aca="false">Sens!E9621*(1+Sens!F9622)</f>
        <v>90.0799497373663</v>
      </c>
      <c r="G9621" s="6" t="n">
        <f aca="false">Sens!F9621*(1+Sens!G9622)</f>
        <v>107.02842520331</v>
      </c>
      <c r="H9621" s="6" t="n">
        <f aca="false">Sens!G9621*(1+Sens!H9622)</f>
        <v>124.271982585636</v>
      </c>
      <c r="I9621" s="6" t="n">
        <f aca="false">Sens!H9621*(1+Sens!I9622)</f>
        <v>140.933702381855</v>
      </c>
      <c r="J9621" s="6" t="n">
        <f aca="false">Sens!I9621*(1+Sens!J9622)</f>
        <v>156.018867314332</v>
      </c>
      <c r="K9621" s="6" t="n">
        <f aca="false">Sens!J9621*(1+Sens!K9622)</f>
        <v>168.500376699478</v>
      </c>
    </row>
    <row r="9622" customFormat="false" ht="15" hidden="false" customHeight="false" outlineLevel="0" collapsed="false">
      <c r="A9622" s="1" t="s">
        <v>866</v>
      </c>
      <c r="B9622" s="0" t="s">
        <v>129</v>
      </c>
      <c r="E9622" s="7" t="n">
        <f aca="false">Sens!E9621/Sens!D9621-1</f>
        <v>0.242223883039864</v>
      </c>
      <c r="F9622" s="7" t="n">
        <f aca="false">Sens!$E$9622+(glt_azo-Sens!$E$9622)*MIN(1,(Sens!F9582-base_fy)/n_conv)</f>
        <v>0.215186569199887</v>
      </c>
      <c r="G9622" s="7" t="n">
        <f aca="false">Sens!$E$9622+(glt_azo-Sens!$E$9622)*MIN(1,(Sens!G9582-base_fy)/n_conv)</f>
        <v>0.18814925535991</v>
      </c>
      <c r="H9622" s="7" t="n">
        <f aca="false">Sens!$E$9622+(glt_azo-Sens!$E$9622)*MIN(1,(Sens!H9582-base_fy)/n_conv)</f>
        <v>0.161111941519932</v>
      </c>
      <c r="I9622" s="7" t="n">
        <f aca="false">Sens!$E$9622+(glt_azo-Sens!$E$9622)*MIN(1,(Sens!I9582-base_fy)/n_conv)</f>
        <v>0.134074627679955</v>
      </c>
      <c r="J9622" s="7" t="n">
        <f aca="false">Sens!$E$9622+(glt_azo-Sens!$E$9622)*MIN(1,(Sens!J9582-base_fy)/n_conv)</f>
        <v>0.107037313839977</v>
      </c>
      <c r="K9622" s="7" t="n">
        <f aca="false">Sens!$E$9622+(glt_azo-Sens!$E$9622)*MIN(1,(Sens!K9582-base_fy)/n_conv)</f>
        <v>0.08</v>
      </c>
    </row>
    <row r="9623" customFormat="false" ht="15" hidden="false" customHeight="false" outlineLevel="0" collapsed="false">
      <c r="A9623" s="0" t="s">
        <v>867</v>
      </c>
      <c r="B9623" s="0" t="s">
        <v>98</v>
      </c>
      <c r="D9623" s="6" t="n">
        <f aca="false">Sens!D9620+Sens!D9621</f>
        <v>72.61</v>
      </c>
      <c r="E9623" s="6" t="n">
        <f aca="false">Sens!E9620+Sens!E9621</f>
        <v>101.938</v>
      </c>
      <c r="F9623" s="6" t="n">
        <f aca="false">Sens!F9620+Sens!F9621</f>
        <v>140.741861125673</v>
      </c>
      <c r="G9623" s="6" t="n">
        <f aca="false">Sens!G9620+Sens!G9621</f>
        <v>182.176709135845</v>
      </c>
      <c r="H9623" s="6" t="n">
        <f aca="false">Sens!H9620+Sens!H9621</f>
        <v>219.167638189678</v>
      </c>
      <c r="I9623" s="6" t="n">
        <f aca="false">Sens!I9620+Sens!I9621</f>
        <v>259.639871266006</v>
      </c>
      <c r="J9623" s="6" t="n">
        <f aca="false">Sens!J9620+Sens!J9621</f>
        <v>291.324070960333</v>
      </c>
      <c r="K9623" s="6" t="n">
        <f aca="false">Sens!K9620+Sens!K9621</f>
        <v>314.145754363688</v>
      </c>
    </row>
    <row r="9624" customFormat="false" ht="17.15" hidden="false" customHeight="false" outlineLevel="0" collapsed="false">
      <c r="A9624" s="0" t="s">
        <v>868</v>
      </c>
      <c r="B9624" s="1" t="s">
        <v>521</v>
      </c>
      <c r="C9624" s="29" t="n">
        <f aca="false">cop_s24</f>
        <v>1</v>
      </c>
      <c r="D9624" s="29" t="n">
        <f aca="false">cop_s25</f>
        <v>5</v>
      </c>
      <c r="E9624" s="29" t="n">
        <f aca="false">cop_s26</f>
        <v>30</v>
      </c>
      <c r="F9624" s="29" t="n">
        <f aca="false">Sens!E9624+cop_add_C</f>
        <v>40</v>
      </c>
      <c r="G9624" s="29" t="n">
        <f aca="false">Sens!F9624+cop_add_C</f>
        <v>50</v>
      </c>
      <c r="H9624" s="29" t="n">
        <f aca="false">Sens!G9624+cop_add_C</f>
        <v>60</v>
      </c>
      <c r="I9624" s="29" t="n">
        <f aca="false">Sens!H9624+cop_add_C*cop_tail</f>
        <v>65</v>
      </c>
      <c r="J9624" s="29" t="n">
        <f aca="false">Sens!I9624+cop_add_C*cop_tail</f>
        <v>70</v>
      </c>
      <c r="K9624" s="29" t="n">
        <f aca="false">Sens!J9624+cop_add_C*cop_tail</f>
        <v>75</v>
      </c>
      <c r="L9624" s="11" t="s">
        <v>869</v>
      </c>
    </row>
    <row r="9625" customFormat="false" ht="17.15" hidden="false" customHeight="false" outlineLevel="0" collapsed="false">
      <c r="A9625" s="0" t="s">
        <v>870</v>
      </c>
      <c r="B9625" s="0" t="s">
        <v>98</v>
      </c>
      <c r="D9625" s="6" t="n">
        <f aca="false">(Sens!C9624+Sens!D9624)/2*cop_px*12/1000</f>
        <v>0.9</v>
      </c>
      <c r="E9625" s="6" t="n">
        <f aca="false">(Sens!D9624+Sens!E9624)/2*cop_px*12/1000</f>
        <v>5.25</v>
      </c>
      <c r="F9625" s="6" t="n">
        <f aca="false">(Sens!E9624+Sens!F9624)/2*cop_px*12/1000</f>
        <v>10.5</v>
      </c>
      <c r="G9625" s="6" t="n">
        <f aca="false">(Sens!F9624+Sens!G9624)/2*cop_px*12/1000</f>
        <v>13.5</v>
      </c>
      <c r="H9625" s="6" t="n">
        <f aca="false">(Sens!G9624+Sens!H9624)/2*cop_px*12/1000</f>
        <v>16.5</v>
      </c>
      <c r="I9625" s="6" t="n">
        <f aca="false">(Sens!H9624+Sens!I9624)/2*cop_px*12/1000</f>
        <v>18.75</v>
      </c>
      <c r="J9625" s="6" t="n">
        <f aca="false">(Sens!I9624+Sens!J9624)/2*cop_px*12/1000</f>
        <v>20.25</v>
      </c>
      <c r="K9625" s="6" t="n">
        <f aca="false">(Sens!J9624+Sens!K9624)/2*cop_px*12/1000</f>
        <v>21.75</v>
      </c>
      <c r="L9625" s="1" t="s">
        <v>871</v>
      </c>
    </row>
    <row r="9626" customFormat="false" ht="17.15" hidden="false" customHeight="false" outlineLevel="0" collapsed="false">
      <c r="A9626" s="0" t="s">
        <v>872</v>
      </c>
      <c r="B9626" s="0" t="s">
        <v>98</v>
      </c>
      <c r="D9626" s="6" t="n">
        <f aca="false">Q!L7-Sens!D9625</f>
        <v>83.705</v>
      </c>
      <c r="E9626" s="6" t="n">
        <f aca="false">Q!M7-Sens!E9625</f>
        <v>95.049</v>
      </c>
      <c r="F9626" s="6" t="n">
        <f aca="false">Sens!E9626*(1+Sens!F9627)</f>
        <v>106.89238776686</v>
      </c>
      <c r="G9626" s="6" t="n">
        <f aca="false">Sens!F9626*(1+Sens!G9627)</f>
        <v>119.044168448684</v>
      </c>
      <c r="H9626" s="6" t="n">
        <f aca="false">Sens!G9626*(1+Sens!H9627)</f>
        <v>131.277359388781</v>
      </c>
      <c r="I9626" s="6" t="n">
        <f aca="false">Sens!H9626*(1+Sens!I9627)</f>
        <v>143.334028071957</v>
      </c>
      <c r="J9626" s="6" t="n">
        <f aca="false">Sens!I9626*(1+Sens!J9627)</f>
        <v>154.932702785465</v>
      </c>
      <c r="K9626" s="6" t="n">
        <f aca="false">Sens!J9626*(1+Sens!K9627)</f>
        <v>165.777991980448</v>
      </c>
    </row>
    <row r="9627" customFormat="false" ht="15" hidden="false" customHeight="false" outlineLevel="0" collapsed="false">
      <c r="A9627" s="1" t="s">
        <v>866</v>
      </c>
      <c r="B9627" s="0" t="s">
        <v>129</v>
      </c>
      <c r="E9627" s="7" t="n">
        <f aca="false">Sens!E9626/Sens!D9626-1</f>
        <v>0.135523564900544</v>
      </c>
      <c r="F9627" s="7" t="n">
        <f aca="false">Sens!$E$9627+(glt_m365b-Sens!$E$9627)*MIN(1,(Sens!F9582-base_fy)/n_conv)</f>
        <v>0.124602970750453</v>
      </c>
      <c r="G9627" s="7" t="n">
        <f aca="false">Sens!$E$9627+(glt_m365b-Sens!$E$9627)*MIN(1,(Sens!G9582-base_fy)/n_conv)</f>
        <v>0.113682376600363</v>
      </c>
      <c r="H9627" s="7" t="n">
        <f aca="false">Sens!$E$9627+(glt_m365b-Sens!$E$9627)*MIN(1,(Sens!H9582-base_fy)/n_conv)</f>
        <v>0.102761782450272</v>
      </c>
      <c r="I9627" s="7" t="n">
        <f aca="false">Sens!$E$9627+(glt_m365b-Sens!$E$9627)*MIN(1,(Sens!I9582-base_fy)/n_conv)</f>
        <v>0.0918411883001813</v>
      </c>
      <c r="J9627" s="7" t="n">
        <f aca="false">Sens!$E$9627+(glt_m365b-Sens!$E$9627)*MIN(1,(Sens!J9582-base_fy)/n_conv)</f>
        <v>0.0809205941500906</v>
      </c>
      <c r="K9627" s="7" t="n">
        <f aca="false">Sens!$E$9627+(glt_m365b-Sens!$E$9627)*MIN(1,(Sens!K9582-base_fy)/n_conv)</f>
        <v>0.07</v>
      </c>
    </row>
    <row r="9628" customFormat="false" ht="15" hidden="false" customHeight="false" outlineLevel="0" collapsed="false">
      <c r="A9628" s="0" t="s">
        <v>873</v>
      </c>
      <c r="B9628" s="0" t="s">
        <v>98</v>
      </c>
      <c r="D9628" s="6" t="n">
        <f aca="false">Sens!D9626+Sens!D9625</f>
        <v>84.605</v>
      </c>
      <c r="E9628" s="6" t="n">
        <f aca="false">Sens!E9626+Sens!E9625</f>
        <v>100.299</v>
      </c>
      <c r="F9628" s="6" t="n">
        <f aca="false">Sens!F9626+Sens!F9625</f>
        <v>117.39238776686</v>
      </c>
      <c r="G9628" s="6" t="n">
        <f aca="false">Sens!G9626+Sens!G9625</f>
        <v>132.544168448684</v>
      </c>
      <c r="H9628" s="6" t="n">
        <f aca="false">Sens!H9626+Sens!H9625</f>
        <v>147.777359388781</v>
      </c>
      <c r="I9628" s="6" t="n">
        <f aca="false">Sens!I9626+Sens!I9625</f>
        <v>162.084028071957</v>
      </c>
      <c r="J9628" s="6" t="n">
        <f aca="false">Sens!J9626+Sens!J9625</f>
        <v>175.182702785465</v>
      </c>
      <c r="K9628" s="6" t="n">
        <f aca="false">Sens!K9626+Sens!K9625</f>
        <v>187.527991980448</v>
      </c>
    </row>
    <row r="9629" customFormat="false" ht="15" hidden="false" customHeight="false" outlineLevel="0" collapsed="false">
      <c r="A9629" s="0" t="s">
        <v>874</v>
      </c>
      <c r="B9629" s="0" t="s">
        <v>98</v>
      </c>
      <c r="D9629" s="6" t="n">
        <f aca="false">Q!L8</f>
        <v>35.391</v>
      </c>
      <c r="E9629" s="6" t="n">
        <f aca="false">Q!M8</f>
        <v>37.285</v>
      </c>
      <c r="F9629" s="6" t="n">
        <f aca="false">Sens!E9629*(1+Sens!F9630)</f>
        <v>39.0720834331704</v>
      </c>
      <c r="G9629" s="6" t="n">
        <f aca="false">Sens!F9629*(1+Sens!G9630)</f>
        <v>40.726562953769</v>
      </c>
      <c r="H9629" s="6" t="n">
        <f aca="false">Sens!G9629*(1+Sens!H9630)</f>
        <v>42.2235987259198</v>
      </c>
      <c r="I9629" s="6" t="n">
        <f aca="false">Sens!H9629*(1+Sens!I9630)</f>
        <v>43.5397988077414</v>
      </c>
      <c r="J9629" s="6" t="n">
        <f aca="false">Sens!I9629*(1+Sens!J9630)</f>
        <v>44.653811225693</v>
      </c>
      <c r="K9629" s="6" t="n">
        <f aca="false">Sens!J9629*(1+Sens!K9630)</f>
        <v>45.5468874502068</v>
      </c>
    </row>
    <row r="9630" customFormat="false" ht="15" hidden="false" customHeight="false" outlineLevel="0" collapsed="false">
      <c r="A9630" s="1" t="s">
        <v>866</v>
      </c>
      <c r="B9630" s="0" t="s">
        <v>129</v>
      </c>
      <c r="E9630" s="7" t="n">
        <f aca="false">Sens!E9629/Sens!D9629-1</f>
        <v>0.0535164307309768</v>
      </c>
      <c r="F9630" s="7" t="n">
        <f aca="false">Sens!$E$9630+(glt_lic-Sens!$E$9630)*MIN(1,(Sens!F9582-base_fy)/n_conv)</f>
        <v>0.0479303589424807</v>
      </c>
      <c r="G9630" s="7" t="n">
        <f aca="false">Sens!$E$9630+(glt_lic-Sens!$E$9630)*MIN(1,(Sens!G9582-base_fy)/n_conv)</f>
        <v>0.0423442871539845</v>
      </c>
      <c r="H9630" s="7" t="n">
        <f aca="false">Sens!$E$9630+(glt_lic-Sens!$E$9630)*MIN(1,(Sens!H9582-base_fy)/n_conv)</f>
        <v>0.0367582153654884</v>
      </c>
      <c r="I9630" s="7" t="n">
        <f aca="false">Sens!$E$9630+(glt_lic-Sens!$E$9630)*MIN(1,(Sens!I9582-base_fy)/n_conv)</f>
        <v>0.0311721435769923</v>
      </c>
      <c r="J9630" s="7" t="n">
        <f aca="false">Sens!$E$9630+(glt_lic-Sens!$E$9630)*MIN(1,(Sens!J9582-base_fy)/n_conv)</f>
        <v>0.0255860717884961</v>
      </c>
      <c r="K9630" s="7" t="n">
        <f aca="false">Sens!$E$9630+(glt_lic-Sens!$E$9630)*MIN(1,(Sens!K9582-base_fy)/n_conv)</f>
        <v>0.02</v>
      </c>
    </row>
    <row r="9631" customFormat="false" ht="15" hidden="false" customHeight="false" outlineLevel="0" collapsed="false">
      <c r="A9631" s="0" t="s">
        <v>875</v>
      </c>
      <c r="B9631" s="0" t="s">
        <v>98</v>
      </c>
      <c r="D9631" s="6" t="n">
        <f aca="false">Q!L9</f>
        <v>18.417</v>
      </c>
      <c r="E9631" s="6" t="n">
        <f aca="false">Q!M9</f>
        <v>20.345</v>
      </c>
      <c r="F9631" s="6" t="n">
        <f aca="false">Sens!E9631*(1+Sens!F9632)</f>
        <v>22.3572203267814</v>
      </c>
      <c r="G9631" s="6" t="n">
        <f aca="false">Sens!F9631*(1+Sens!G9632)</f>
        <v>24.4392124437232</v>
      </c>
      <c r="H9631" s="6" t="n">
        <f aca="false">Sens!G9631*(1+Sens!H9632)</f>
        <v>26.5738052080665</v>
      </c>
      <c r="I9631" s="6" t="n">
        <f aca="false">Sens!H9631*(1+Sens!I9632)</f>
        <v>28.7412169166967</v>
      </c>
      <c r="J9631" s="6" t="n">
        <f aca="false">Sens!I9631*(1+Sens!J9632)</f>
        <v>30.9192545395413</v>
      </c>
      <c r="K9631" s="6" t="n">
        <f aca="false">Sens!J9631*(1+Sens!K9632)</f>
        <v>33.0836023573092</v>
      </c>
    </row>
    <row r="9632" customFormat="false" ht="15" hidden="false" customHeight="false" outlineLevel="0" collapsed="false">
      <c r="A9632" s="1" t="s">
        <v>866</v>
      </c>
      <c r="B9632" s="0" t="s">
        <v>129</v>
      </c>
      <c r="E9632" s="7" t="n">
        <f aca="false">Sens!E9631/Sens!D9631-1</f>
        <v>0.104685888038225</v>
      </c>
      <c r="F9632" s="7" t="n">
        <f aca="false">Sens!$E$9632+(glt_ind-Sens!$E$9632)*MIN(1,(Sens!F9582-base_fy)/n_conv)</f>
        <v>0.0989049066985211</v>
      </c>
      <c r="G9632" s="7" t="n">
        <f aca="false">Sens!$E$9632+(glt_ind-Sens!$E$9632)*MIN(1,(Sens!G9582-base_fy)/n_conv)</f>
        <v>0.0931239253588169</v>
      </c>
      <c r="H9632" s="7" t="n">
        <f aca="false">Sens!$E$9632+(glt_ind-Sens!$E$9632)*MIN(1,(Sens!H9582-base_fy)/n_conv)</f>
        <v>0.0873429440191127</v>
      </c>
      <c r="I9632" s="7" t="n">
        <f aca="false">Sens!$E$9632+(glt_ind-Sens!$E$9632)*MIN(1,(Sens!I9582-base_fy)/n_conv)</f>
        <v>0.0815619626794085</v>
      </c>
      <c r="J9632" s="7" t="n">
        <f aca="false">Sens!$E$9632+(glt_ind-Sens!$E$9632)*MIN(1,(Sens!J9582-base_fy)/n_conv)</f>
        <v>0.0757809813397042</v>
      </c>
      <c r="K9632" s="7" t="n">
        <f aca="false">Sens!$E$9632+(glt_ind-Sens!$E$9632)*MIN(1,(Sens!K9582-base_fy)/n_conv)</f>
        <v>0.07</v>
      </c>
    </row>
    <row r="9633" customFormat="false" ht="15" hidden="false" customHeight="false" outlineLevel="0" collapsed="false">
      <c r="A9633" s="0" t="s">
        <v>876</v>
      </c>
      <c r="B9633" s="0" t="s">
        <v>98</v>
      </c>
      <c r="D9633" s="6" t="n">
        <f aca="false">Q!L10</f>
        <v>7.76</v>
      </c>
      <c r="E9633" s="6" t="n">
        <f aca="false">Q!M10</f>
        <v>8.26</v>
      </c>
      <c r="F9633" s="6" t="n">
        <f aca="false">Sens!E9633*(1+Sens!F9634)</f>
        <v>8.79988041237113</v>
      </c>
      <c r="G9633" s="6" t="n">
        <f aca="false">Sens!F9633*(1+Sens!G9634)</f>
        <v>9.38321269125306</v>
      </c>
      <c r="H9633" s="6" t="n">
        <f aca="false">Sens!G9633*(1+Sens!H9634)</f>
        <v>10.0139193587476</v>
      </c>
      <c r="I9633" s="6" t="n">
        <f aca="false">Sens!H9633*(1+Sens!I9634)</f>
        <v>10.6963111830911</v>
      </c>
      <c r="J9633" s="6" t="n">
        <f aca="false">Sens!I9633*(1+Sens!J9634)</f>
        <v>11.4351285534696</v>
      </c>
      <c r="K9633" s="6" t="n">
        <f aca="false">Sens!J9633*(1+Sens!K9634)</f>
        <v>12.2355875522124</v>
      </c>
    </row>
    <row r="9634" customFormat="false" ht="15" hidden="false" customHeight="false" outlineLevel="0" collapsed="false">
      <c r="A9634" s="1" t="s">
        <v>866</v>
      </c>
      <c r="B9634" s="0" t="s">
        <v>129</v>
      </c>
      <c r="E9634" s="7" t="n">
        <f aca="false">Sens!E9633/Sens!D9633-1</f>
        <v>0.0644329896907216</v>
      </c>
      <c r="F9634" s="7" t="n">
        <f aca="false">Sens!$E$9634+(glt_fro-Sens!$E$9634)*MIN(1,(Sens!F9582-base_fy)/n_conv)</f>
        <v>0.065360824742268</v>
      </c>
      <c r="G9634" s="7" t="n">
        <f aca="false">Sens!$E$9634+(glt_fro-Sens!$E$9634)*MIN(1,(Sens!G9582-base_fy)/n_conv)</f>
        <v>0.0662886597938144</v>
      </c>
      <c r="H9634" s="7" t="n">
        <f aca="false">Sens!$E$9634+(glt_fro-Sens!$E$9634)*MIN(1,(Sens!H9582-base_fy)/n_conv)</f>
        <v>0.0672164948453608</v>
      </c>
      <c r="I9634" s="7" t="n">
        <f aca="false">Sens!$E$9634+(glt_fro-Sens!$E$9634)*MIN(1,(Sens!I9582-base_fy)/n_conv)</f>
        <v>0.0681443298969072</v>
      </c>
      <c r="J9634" s="7" t="n">
        <f aca="false">Sens!$E$9634+(glt_fro-Sens!$E$9634)*MIN(1,(Sens!J9582-base_fy)/n_conv)</f>
        <v>0.0690721649484536</v>
      </c>
      <c r="K9634" s="7" t="n">
        <f aca="false">Sens!$E$9634+(glt_fro-Sens!$E$9634)*MIN(1,(Sens!K9582-base_fy)/n_conv)</f>
        <v>0.07</v>
      </c>
    </row>
    <row r="9635" customFormat="false" ht="15" hidden="false" customHeight="false" outlineLevel="0" collapsed="false">
      <c r="A9635" s="0" t="s">
        <v>704</v>
      </c>
      <c r="B9635" s="0" t="s">
        <v>98</v>
      </c>
      <c r="D9635" s="6" t="n">
        <f aca="false">Sens!D9623+Sens!D9628+Sens!D9629+Sens!D9631+Sens!D9633</f>
        <v>218.783</v>
      </c>
      <c r="E9635" s="6" t="n">
        <f aca="false">Sens!E9623+Sens!E9628+Sens!E9629+Sens!E9631+Sens!E9633</f>
        <v>268.127</v>
      </c>
      <c r="F9635" s="6" t="n">
        <f aca="false">Sens!F9623+Sens!F9628+Sens!F9629+Sens!F9631+Sens!F9633</f>
        <v>328.363433064856</v>
      </c>
      <c r="G9635" s="6" t="n">
        <f aca="false">Sens!G9623+Sens!G9628+Sens!G9629+Sens!G9631+Sens!G9633</f>
        <v>389.269865673274</v>
      </c>
      <c r="H9635" s="6" t="n">
        <f aca="false">Sens!H9623+Sens!H9628+Sens!H9629+Sens!H9631+Sens!H9633</f>
        <v>445.756320871193</v>
      </c>
      <c r="I9635" s="6" t="n">
        <f aca="false">Sens!I9623+Sens!I9628+Sens!I9629+Sens!I9631+Sens!I9633</f>
        <v>504.701226245492</v>
      </c>
      <c r="J9635" s="6" t="n">
        <f aca="false">Sens!J9623+Sens!J9628+Sens!J9629+Sens!J9631+Sens!J9633</f>
        <v>553.514968064502</v>
      </c>
      <c r="K9635" s="6" t="n">
        <f aca="false">Sens!K9623+Sens!K9628+Sens!K9629+Sens!K9631+Sens!K9633</f>
        <v>592.539823703865</v>
      </c>
    </row>
    <row r="9636" customFormat="false" ht="15" hidden="false" customHeight="false" outlineLevel="0" collapsed="false">
      <c r="A9636" s="0" t="s">
        <v>877</v>
      </c>
      <c r="B9636" s="0" t="s">
        <v>98</v>
      </c>
      <c r="D9636" s="6" t="n">
        <f aca="false">Q!L13</f>
        <v>22.171</v>
      </c>
      <c r="E9636" s="6" t="n">
        <f aca="false">Q!M13</f>
        <v>24.835</v>
      </c>
      <c r="F9636" s="6" t="n">
        <f aca="false">Sens!E9636*(1+Sens!F9637)</f>
        <v>27.7356651218559</v>
      </c>
      <c r="G9636" s="6" t="n">
        <f aca="false">Sens!F9636*(1+Sens!G9637)</f>
        <v>30.8819427955575</v>
      </c>
      <c r="H9636" s="6" t="n">
        <f aca="false">Sens!G9636*(1+Sens!H9637)</f>
        <v>34.2813801456859</v>
      </c>
      <c r="I9636" s="6" t="n">
        <f aca="false">Sens!H9636*(1+Sens!I9637)</f>
        <v>37.9398543169022</v>
      </c>
      <c r="J9636" s="6" t="n">
        <f aca="false">Sens!I9636*(1+Sens!J9637)</f>
        <v>41.8612984476003</v>
      </c>
      <c r="K9636" s="6" t="n">
        <f aca="false">Sens!J9636*(1+Sens!K9637)</f>
        <v>46.0474282923604</v>
      </c>
    </row>
    <row r="9637" customFormat="false" ht="15" hidden="false" customHeight="false" outlineLevel="0" collapsed="false">
      <c r="A9637" s="1" t="s">
        <v>866</v>
      </c>
      <c r="B9637" s="0" t="s">
        <v>129</v>
      </c>
      <c r="E9637" s="7" t="n">
        <f aca="false">Sens!E9636/Sens!D9636-1</f>
        <v>0.120156961796942</v>
      </c>
      <c r="F9637" s="7" t="n">
        <f aca="false">Sens!$E$9637+(glt_srch_hi-Sens!$E$9637)*MIN(1,(Sens!F9582-base_fy)/n_conv)</f>
        <v>0.116797468164118</v>
      </c>
      <c r="G9637" s="7" t="n">
        <f aca="false">Sens!$E$9637+(glt_srch_hi-Sens!$E$9637)*MIN(1,(Sens!G9582-base_fy)/n_conv)</f>
        <v>0.113437974531295</v>
      </c>
      <c r="H9637" s="7" t="n">
        <f aca="false">Sens!$E$9637+(glt_srch_hi-Sens!$E$9637)*MIN(1,(Sens!H9582-base_fy)/n_conv)</f>
        <v>0.110078480898471</v>
      </c>
      <c r="I9637" s="7" t="n">
        <f aca="false">Sens!$E$9637+(glt_srch_hi-Sens!$E$9637)*MIN(1,(Sens!I9582-base_fy)/n_conv)</f>
        <v>0.106718987265647</v>
      </c>
      <c r="J9637" s="7" t="n">
        <f aca="false">Sens!$E$9637+(glt_srch_hi-Sens!$E$9637)*MIN(1,(Sens!J9582-base_fy)/n_conv)</f>
        <v>0.103359493632824</v>
      </c>
      <c r="K9637" s="7" t="n">
        <f aca="false">Sens!$E$9637+(glt_srch_hi-Sens!$E$9637)*MIN(1,(Sens!K9582-base_fy)/n_conv)</f>
        <v>0.1</v>
      </c>
    </row>
    <row r="9638" customFormat="false" ht="15" hidden="false" customHeight="false" outlineLevel="0" collapsed="false">
      <c r="A9638" s="0" t="s">
        <v>878</v>
      </c>
      <c r="B9638" s="0" t="s">
        <v>98</v>
      </c>
      <c r="D9638" s="6" t="n">
        <f aca="false">Q!L14</f>
        <v>23.455</v>
      </c>
      <c r="E9638" s="6" t="n">
        <f aca="false">Q!M14</f>
        <v>21.79</v>
      </c>
      <c r="F9638" s="6" t="n">
        <f aca="false">Sens!E9638*(1+Sens!F9639)</f>
        <v>20.5736277908051</v>
      </c>
      <c r="G9638" s="6" t="n">
        <f aca="false">Sens!F9638*(1+Sens!G9639)</f>
        <v>19.7371452817919</v>
      </c>
      <c r="H9638" s="6" t="n">
        <f aca="false">Sens!G9638*(1+Sens!H9639)</f>
        <v>19.2339764043138</v>
      </c>
      <c r="I9638" s="6" t="n">
        <f aca="false">Sens!H9638*(1+Sens!I9639)</f>
        <v>19.0353086852681</v>
      </c>
      <c r="J9638" s="6" t="n">
        <f aca="false">Sens!I9638*(1+Sens!J9639)</f>
        <v>19.1273539319129</v>
      </c>
      <c r="K9638" s="6" t="n">
        <f aca="false">Sens!J9638*(1+Sens!K9639)</f>
        <v>19.5099010105511</v>
      </c>
    </row>
    <row r="9639" customFormat="false" ht="15" hidden="false" customHeight="false" outlineLevel="0" collapsed="false">
      <c r="A9639" s="1" t="s">
        <v>866</v>
      </c>
      <c r="B9639" s="0" t="s">
        <v>129</v>
      </c>
      <c r="E9639" s="7" t="n">
        <f aca="false">Sens!E9638/Sens!D9638-1</f>
        <v>-0.0709869963760392</v>
      </c>
      <c r="F9639" s="7" t="n">
        <f aca="false">Sens!$E$9639+(glt_xbox-Sens!$E$9639)*MIN(1,(Sens!F9582-base_fy)/n_conv)</f>
        <v>-0.0558224969800327</v>
      </c>
      <c r="G9639" s="7" t="n">
        <f aca="false">Sens!$E$9639+(glt_xbox-Sens!$E$9639)*MIN(1,(Sens!G9582-base_fy)/n_conv)</f>
        <v>-0.0406579975840262</v>
      </c>
      <c r="H9639" s="7" t="n">
        <f aca="false">Sens!$E$9639+(glt_xbox-Sens!$E$9639)*MIN(1,(Sens!H9582-base_fy)/n_conv)</f>
        <v>-0.0254934981880196</v>
      </c>
      <c r="I9639" s="7" t="n">
        <f aca="false">Sens!$E$9639+(glt_xbox-Sens!$E$9639)*MIN(1,(Sens!I9582-base_fy)/n_conv)</f>
        <v>-0.0103289987920131</v>
      </c>
      <c r="J9639" s="7" t="n">
        <f aca="false">Sens!$E$9639+(glt_xbox-Sens!$E$9639)*MIN(1,(Sens!J9582-base_fy)/n_conv)</f>
        <v>0.00483550060399347</v>
      </c>
      <c r="K9639" s="7" t="n">
        <f aca="false">Sens!$E$9639+(glt_xbox-Sens!$E$9639)*MIN(1,(Sens!K9582-base_fy)/n_conv)</f>
        <v>0.02</v>
      </c>
    </row>
    <row r="9640" customFormat="false" ht="15" hidden="false" customHeight="false" outlineLevel="0" collapsed="false">
      <c r="A9640" s="0" t="s">
        <v>879</v>
      </c>
      <c r="B9640" s="0" t="s">
        <v>98</v>
      </c>
      <c r="D9640" s="6" t="n">
        <f aca="false">Q!L15</f>
        <v>17.315</v>
      </c>
      <c r="E9640" s="6" t="n">
        <f aca="false">Q!M15</f>
        <v>17.087</v>
      </c>
      <c r="F9640" s="6" t="n">
        <f aca="false">Sens!E9640*(1+Sens!F9641)</f>
        <v>16.9564585436519</v>
      </c>
      <c r="G9640" s="6" t="n">
        <f aca="false">Sens!F9640*(1+Sens!G9641)</f>
        <v>16.9206490624268</v>
      </c>
      <c r="H9640" s="6" t="n">
        <f aca="false">Sens!G9640*(1+Sens!H9641)</f>
        <v>16.9784519149849</v>
      </c>
      <c r="I9640" s="6" t="n">
        <f aca="false">Sens!H9640*(1+Sens!I9641)</f>
        <v>17.1303084701817</v>
      </c>
      <c r="J9640" s="6" t="n">
        <f aca="false">Sens!I9640*(1+Sens!J9641)</f>
        <v>17.3782189407267</v>
      </c>
      <c r="K9640" s="6" t="n">
        <f aca="false">Sens!J9640*(1+Sens!K9641)</f>
        <v>17.7257833195413</v>
      </c>
    </row>
    <row r="9641" customFormat="false" ht="15" hidden="false" customHeight="false" outlineLevel="0" collapsed="false">
      <c r="A9641" s="1" t="s">
        <v>866</v>
      </c>
      <c r="B9641" s="0" t="s">
        <v>129</v>
      </c>
      <c r="E9641" s="7" t="n">
        <f aca="false">Sens!E9640/Sens!D9640-1</f>
        <v>-0.0131677736066995</v>
      </c>
      <c r="F9641" s="7" t="n">
        <f aca="false">Sens!$E$9641+(glt_win-Sens!$E$9641)*MIN(1,(Sens!F9582-base_fy)/n_conv)</f>
        <v>-0.00763981133891627</v>
      </c>
      <c r="G9641" s="7" t="n">
        <f aca="false">Sens!$E$9641+(glt_win-Sens!$E$9641)*MIN(1,(Sens!G9582-base_fy)/n_conv)</f>
        <v>-0.00211184907113301</v>
      </c>
      <c r="H9641" s="7" t="n">
        <f aca="false">Sens!$E$9641+(glt_win-Sens!$E$9641)*MIN(1,(Sens!H9582-base_fy)/n_conv)</f>
        <v>0.00341611319665024</v>
      </c>
      <c r="I9641" s="7" t="n">
        <f aca="false">Sens!$E$9641+(glt_win-Sens!$E$9641)*MIN(1,(Sens!I9582-base_fy)/n_conv)</f>
        <v>0.00894407546443349</v>
      </c>
      <c r="J9641" s="7" t="n">
        <f aca="false">Sens!$E$9641+(glt_win-Sens!$E$9641)*MIN(1,(Sens!J9582-base_fy)/n_conv)</f>
        <v>0.0144720377322168</v>
      </c>
      <c r="K9641" s="7" t="n">
        <f aca="false">Sens!$E$9641+(glt_win-Sens!$E$9641)*MIN(1,(Sens!K9582-base_fy)/n_conv)</f>
        <v>0.02</v>
      </c>
    </row>
    <row r="9642" customFormat="false" ht="15" hidden="false" customHeight="false" outlineLevel="0" collapsed="false">
      <c r="A9642" s="0" t="s">
        <v>718</v>
      </c>
      <c r="B9642" s="0" t="s">
        <v>98</v>
      </c>
      <c r="D9642" s="6" t="n">
        <f aca="false">Sens!D9636+Sens!D9638+Sens!D9640</f>
        <v>62.941</v>
      </c>
      <c r="E9642" s="6" t="n">
        <f aca="false">Sens!E9636+Sens!E9638+Sens!E9640</f>
        <v>63.712</v>
      </c>
      <c r="F9642" s="6" t="n">
        <f aca="false">Sens!F9636+Sens!F9638+Sens!F9640</f>
        <v>65.2657514563129</v>
      </c>
      <c r="G9642" s="6" t="n">
        <f aca="false">Sens!G9636+Sens!G9638+Sens!G9640</f>
        <v>67.5397371397762</v>
      </c>
      <c r="H9642" s="6" t="n">
        <f aca="false">Sens!H9636+Sens!H9638+Sens!H9640</f>
        <v>70.4938084649846</v>
      </c>
      <c r="I9642" s="6" t="n">
        <f aca="false">Sens!I9636+Sens!I9638+Sens!I9640</f>
        <v>74.105471472352</v>
      </c>
      <c r="J9642" s="6" t="n">
        <f aca="false">Sens!J9636+Sens!J9638+Sens!J9640</f>
        <v>78.3668713202399</v>
      </c>
      <c r="K9642" s="6" t="n">
        <f aca="false">Sens!K9636+Sens!K9638+Sens!K9640</f>
        <v>83.2831126224528</v>
      </c>
    </row>
    <row r="9643" customFormat="false" ht="15" hidden="false" customHeight="false" outlineLevel="0" collapsed="false">
      <c r="A9643" s="1" t="s">
        <v>880</v>
      </c>
      <c r="B9643" s="0" t="s">
        <v>98</v>
      </c>
      <c r="D9643" s="6" t="n">
        <f aca="false">Sens!D9635+Sens!D9642</f>
        <v>281.724</v>
      </c>
      <c r="E9643" s="6" t="n">
        <f aca="false">Sens!E9635+Sens!E9642</f>
        <v>331.839</v>
      </c>
      <c r="F9643" s="6" t="n">
        <f aca="false">Sens!F9635+Sens!F9642</f>
        <v>393.629184521169</v>
      </c>
      <c r="G9643" s="6" t="n">
        <f aca="false">Sens!G9635+Sens!G9642</f>
        <v>456.80960281305</v>
      </c>
      <c r="H9643" s="6" t="n">
        <f aca="false">Sens!H9635+Sens!H9642</f>
        <v>516.250129336178</v>
      </c>
      <c r="I9643" s="6" t="n">
        <f aca="false">Sens!I9635+Sens!I9642</f>
        <v>578.806697717844</v>
      </c>
      <c r="J9643" s="6" t="n">
        <f aca="false">Sens!J9635+Sens!J9642</f>
        <v>631.881839384742</v>
      </c>
      <c r="K9643" s="6" t="n">
        <f aca="false">Sens!K9635+Sens!K9642</f>
        <v>675.822936326317</v>
      </c>
    </row>
    <row r="9644" customFormat="false" ht="15" hidden="false" customHeight="false" outlineLevel="0" collapsed="false">
      <c r="A9644" s="23" t="s">
        <v>881</v>
      </c>
      <c r="B9644" s="30" t="s">
        <v>98</v>
      </c>
      <c r="C9644" s="30"/>
      <c r="D9644" s="24" t="n">
        <f aca="false">(Sens!D9623+Sens!D9628+Sens!D9629+Sens!D9631+Sens!D9633-Sens!D9635)+(Sens!D9636+Sens!D9638+Sens!D9640-Sens!D9642)+(Sens!D9635-Q!L5)+(Sens!D9642-Q!L12)+(Sens!D9623-Q!L6)+(Sens!D9628-Q!L7)</f>
        <v>0</v>
      </c>
      <c r="E9644" s="24" t="n">
        <f aca="false">(Sens!E9623+Sens!E9628+Sens!E9629+Sens!E9631+Sens!E9633-Sens!E9635)+(Sens!E9636+Sens!E9638+Sens!E9640-Sens!E9642)+(Sens!E9635-Q!M5)+(Sens!E9642-Q!M12)+(Sens!E9623-Q!M6)+(Sens!E9628-Q!M7)</f>
        <v>0</v>
      </c>
      <c r="F9644" s="24" t="n">
        <f aca="false">(Sens!F9623+Sens!F9628+Sens!F9629+Sens!F9631+Sens!F9633-Sens!F9635)+(Sens!F9636+Sens!F9638+Sens!F9640-Sens!F9642)</f>
        <v>0</v>
      </c>
      <c r="G9644" s="24" t="n">
        <f aca="false">(Sens!G9623+Sens!G9628+Sens!G9629+Sens!G9631+Sens!G9633-Sens!G9635)+(Sens!G9636+Sens!G9638+Sens!G9640-Sens!G9642)</f>
        <v>0</v>
      </c>
      <c r="H9644" s="24" t="n">
        <f aca="false">(Sens!H9623+Sens!H9628+Sens!H9629+Sens!H9631+Sens!H9633-Sens!H9635)+(Sens!H9636+Sens!H9638+Sens!H9640-Sens!H9642)</f>
        <v>0</v>
      </c>
      <c r="I9644" s="24" t="n">
        <f aca="false">(Sens!I9623+Sens!I9628+Sens!I9629+Sens!I9631+Sens!I9633-Sens!I9635)+(Sens!I9636+Sens!I9638+Sens!I9640-Sens!I9642)</f>
        <v>0</v>
      </c>
      <c r="J9644" s="24" t="n">
        <f aca="false">(Sens!J9623+Sens!J9628+Sens!J9629+Sens!J9631+Sens!J9633-Sens!J9635)+(Sens!J9636+Sens!J9638+Sens!J9640-Sens!J9642)</f>
        <v>0</v>
      </c>
      <c r="K9644" s="24" t="n">
        <f aca="false">(Sens!K9623+Sens!K9628+Sens!K9629+Sens!K9631+Sens!K9633-Sens!K9635)+(Sens!K9636+Sens!K9638+Sens!K9640-Sens!K9642)</f>
        <v>0</v>
      </c>
    </row>
    <row r="9645" customFormat="false" ht="17.15" hidden="false" customHeight="false" outlineLevel="0" collapsed="false">
      <c r="A9645" s="3" t="s">
        <v>1486</v>
      </c>
    </row>
    <row r="9646" customFormat="false" ht="15" hidden="false" customHeight="false" outlineLevel="0" collapsed="false">
      <c r="A9646" s="4" t="s">
        <v>43</v>
      </c>
      <c r="B9646" s="4" t="s">
        <v>65</v>
      </c>
      <c r="C9646" s="20" t="s">
        <v>788</v>
      </c>
      <c r="D9646" s="20" t="s">
        <v>789</v>
      </c>
      <c r="E9646" s="20" t="s">
        <v>790</v>
      </c>
      <c r="F9646" s="20" t="s">
        <v>791</v>
      </c>
      <c r="G9646" s="20" t="s">
        <v>792</v>
      </c>
      <c r="H9646" s="20" t="s">
        <v>793</v>
      </c>
      <c r="I9646" s="20" t="s">
        <v>794</v>
      </c>
      <c r="J9646" s="20" t="s">
        <v>795</v>
      </c>
      <c r="K9646" s="20" t="s">
        <v>796</v>
      </c>
      <c r="L9646" s="4" t="s">
        <v>47</v>
      </c>
    </row>
    <row r="9647" customFormat="false" ht="15" hidden="false" customHeight="false" outlineLevel="0" collapsed="false">
      <c r="A9647" s="0" t="s">
        <v>867</v>
      </c>
      <c r="B9647" s="0" t="s">
        <v>98</v>
      </c>
      <c r="D9647" s="6" t="n">
        <f aca="false">Sens!D9623</f>
        <v>72.61</v>
      </c>
      <c r="E9647" s="6" t="n">
        <f aca="false">Sens!E9623</f>
        <v>101.938</v>
      </c>
      <c r="F9647" s="6" t="n">
        <f aca="false">Sens!F9623</f>
        <v>140.741861125673</v>
      </c>
      <c r="G9647" s="6" t="n">
        <f aca="false">Sens!G9623</f>
        <v>182.176709135845</v>
      </c>
      <c r="H9647" s="6" t="n">
        <f aca="false">Sens!H9623</f>
        <v>219.167638189678</v>
      </c>
      <c r="I9647" s="6" t="n">
        <f aca="false">Sens!I9623</f>
        <v>259.639871266006</v>
      </c>
      <c r="J9647" s="6" t="n">
        <f aca="false">Sens!J9623</f>
        <v>291.324070960333</v>
      </c>
      <c r="K9647" s="6" t="n">
        <f aca="false">Sens!K9623</f>
        <v>314.145754363688</v>
      </c>
    </row>
    <row r="9648" customFormat="false" ht="17.15" hidden="false" customHeight="false" outlineLevel="0" collapsed="false">
      <c r="A9648" s="0" t="s">
        <v>864</v>
      </c>
      <c r="B9648" s="0" t="s">
        <v>98</v>
      </c>
      <c r="D9648" s="6" t="n">
        <f aca="false">Sens!D9620</f>
        <v>12.9359794422418</v>
      </c>
      <c r="E9648" s="6" t="n">
        <f aca="false">Sens!E9620</f>
        <v>27.8095064661409</v>
      </c>
      <c r="F9648" s="6" t="n">
        <f aca="false">Sens!F9620</f>
        <v>50.6619113883066</v>
      </c>
      <c r="G9648" s="6" t="n">
        <f aca="false">Sens!G9620</f>
        <v>75.1482839325348</v>
      </c>
      <c r="H9648" s="6" t="n">
        <f aca="false">Sens!H9620</f>
        <v>94.895655604042</v>
      </c>
      <c r="I9648" s="6" t="n">
        <f aca="false">Sens!I9620</f>
        <v>118.706168884151</v>
      </c>
      <c r="J9648" s="6" t="n">
        <f aca="false">Sens!J9620</f>
        <v>135.305203646001</v>
      </c>
      <c r="K9648" s="6" t="n">
        <f aca="false">Sens!K9620</f>
        <v>145.64537766421</v>
      </c>
    </row>
    <row r="9649" customFormat="false" ht="17.15" hidden="false" customHeight="false" outlineLevel="0" collapsed="false">
      <c r="A9649" s="0" t="s">
        <v>892</v>
      </c>
      <c r="B9649" s="0" t="s">
        <v>98</v>
      </c>
      <c r="D9649" s="6" t="n">
        <f aca="false">Sens!D9621</f>
        <v>59.6740205577583</v>
      </c>
      <c r="E9649" s="6" t="n">
        <f aca="false">Sens!E9621</f>
        <v>74.1284935338591</v>
      </c>
      <c r="F9649" s="6" t="n">
        <f aca="false">Sens!F9621</f>
        <v>90.0799497373663</v>
      </c>
      <c r="G9649" s="6" t="n">
        <f aca="false">Sens!G9621</f>
        <v>107.02842520331</v>
      </c>
      <c r="H9649" s="6" t="n">
        <f aca="false">Sens!H9621</f>
        <v>124.271982585636</v>
      </c>
      <c r="I9649" s="6" t="n">
        <f aca="false">Sens!I9621</f>
        <v>140.933702381855</v>
      </c>
      <c r="J9649" s="6" t="n">
        <f aca="false">Sens!J9621</f>
        <v>156.018867314332</v>
      </c>
      <c r="K9649" s="6" t="n">
        <f aca="false">Sens!K9621</f>
        <v>168.500376699478</v>
      </c>
    </row>
    <row r="9650" customFormat="false" ht="15" hidden="false" customHeight="false" outlineLevel="0" collapsed="false">
      <c r="A9650" s="0" t="s">
        <v>873</v>
      </c>
      <c r="B9650" s="0" t="s">
        <v>98</v>
      </c>
      <c r="D9650" s="6" t="n">
        <f aca="false">Sens!D9628</f>
        <v>84.605</v>
      </c>
      <c r="E9650" s="6" t="n">
        <f aca="false">Sens!E9628</f>
        <v>100.299</v>
      </c>
      <c r="F9650" s="6" t="n">
        <f aca="false">Sens!F9628</f>
        <v>117.39238776686</v>
      </c>
      <c r="G9650" s="6" t="n">
        <f aca="false">Sens!G9628</f>
        <v>132.544168448684</v>
      </c>
      <c r="H9650" s="6" t="n">
        <f aca="false">Sens!H9628</f>
        <v>147.777359388781</v>
      </c>
      <c r="I9650" s="6" t="n">
        <f aca="false">Sens!I9628</f>
        <v>162.084028071957</v>
      </c>
      <c r="J9650" s="6" t="n">
        <f aca="false">Sens!J9628</f>
        <v>175.182702785465</v>
      </c>
      <c r="K9650" s="6" t="n">
        <f aca="false">Sens!K9628</f>
        <v>187.527991980448</v>
      </c>
    </row>
    <row r="9651" customFormat="false" ht="17.15" hidden="false" customHeight="false" outlineLevel="0" collapsed="false">
      <c r="A9651" s="0" t="s">
        <v>893</v>
      </c>
      <c r="B9651" s="0" t="s">
        <v>98</v>
      </c>
      <c r="D9651" s="6" t="n">
        <f aca="false">Sens!D9626</f>
        <v>83.705</v>
      </c>
      <c r="E9651" s="6" t="n">
        <f aca="false">Sens!E9626</f>
        <v>95.049</v>
      </c>
      <c r="F9651" s="6" t="n">
        <f aca="false">Sens!F9626</f>
        <v>106.89238776686</v>
      </c>
      <c r="G9651" s="6" t="n">
        <f aca="false">Sens!G9626</f>
        <v>119.044168448684</v>
      </c>
      <c r="H9651" s="6" t="n">
        <f aca="false">Sens!H9626</f>
        <v>131.277359388781</v>
      </c>
      <c r="I9651" s="6" t="n">
        <f aca="false">Sens!I9626</f>
        <v>143.334028071957</v>
      </c>
      <c r="J9651" s="6" t="n">
        <f aca="false">Sens!J9626</f>
        <v>154.932702785465</v>
      </c>
      <c r="K9651" s="6" t="n">
        <f aca="false">Sens!K9626</f>
        <v>165.777991980448</v>
      </c>
    </row>
    <row r="9652" customFormat="false" ht="17.15" hidden="false" customHeight="false" outlineLevel="0" collapsed="false">
      <c r="A9652" s="0" t="s">
        <v>894</v>
      </c>
      <c r="B9652" s="0" t="s">
        <v>98</v>
      </c>
      <c r="D9652" s="6" t="n">
        <f aca="false">Sens!D9625</f>
        <v>0.9</v>
      </c>
      <c r="E9652" s="6" t="n">
        <f aca="false">Sens!E9625</f>
        <v>5.25</v>
      </c>
      <c r="F9652" s="6" t="n">
        <f aca="false">Sens!F9625</f>
        <v>10.5</v>
      </c>
      <c r="G9652" s="6" t="n">
        <f aca="false">Sens!G9625</f>
        <v>13.5</v>
      </c>
      <c r="H9652" s="6" t="n">
        <f aca="false">Sens!H9625</f>
        <v>16.5</v>
      </c>
      <c r="I9652" s="6" t="n">
        <f aca="false">Sens!I9625</f>
        <v>18.75</v>
      </c>
      <c r="J9652" s="6" t="n">
        <f aca="false">Sens!J9625</f>
        <v>20.25</v>
      </c>
      <c r="K9652" s="6" t="n">
        <f aca="false">Sens!K9625</f>
        <v>21.75</v>
      </c>
    </row>
    <row r="9653" customFormat="false" ht="15" hidden="false" customHeight="false" outlineLevel="0" collapsed="false">
      <c r="A9653" s="0" t="s">
        <v>874</v>
      </c>
      <c r="B9653" s="0" t="s">
        <v>98</v>
      </c>
      <c r="D9653" s="6" t="n">
        <f aca="false">Sens!D9629</f>
        <v>35.391</v>
      </c>
      <c r="E9653" s="6" t="n">
        <f aca="false">Sens!E9629</f>
        <v>37.285</v>
      </c>
      <c r="F9653" s="6" t="n">
        <f aca="false">Sens!F9629</f>
        <v>39.0720834331704</v>
      </c>
      <c r="G9653" s="6" t="n">
        <f aca="false">Sens!G9629</f>
        <v>40.726562953769</v>
      </c>
      <c r="H9653" s="6" t="n">
        <f aca="false">Sens!H9629</f>
        <v>42.2235987259198</v>
      </c>
      <c r="I9653" s="6" t="n">
        <f aca="false">Sens!I9629</f>
        <v>43.5397988077414</v>
      </c>
      <c r="J9653" s="6" t="n">
        <f aca="false">Sens!J9629</f>
        <v>44.653811225693</v>
      </c>
      <c r="K9653" s="6" t="n">
        <f aca="false">Sens!K9629</f>
        <v>45.5468874502068</v>
      </c>
    </row>
    <row r="9654" customFormat="false" ht="15" hidden="false" customHeight="false" outlineLevel="0" collapsed="false">
      <c r="A9654" s="0" t="s">
        <v>875</v>
      </c>
      <c r="B9654" s="0" t="s">
        <v>98</v>
      </c>
      <c r="D9654" s="6" t="n">
        <f aca="false">Sens!D9631</f>
        <v>18.417</v>
      </c>
      <c r="E9654" s="6" t="n">
        <f aca="false">Sens!E9631</f>
        <v>20.345</v>
      </c>
      <c r="F9654" s="6" t="n">
        <f aca="false">Sens!F9631</f>
        <v>22.3572203267814</v>
      </c>
      <c r="G9654" s="6" t="n">
        <f aca="false">Sens!G9631</f>
        <v>24.4392124437232</v>
      </c>
      <c r="H9654" s="6" t="n">
        <f aca="false">Sens!H9631</f>
        <v>26.5738052080665</v>
      </c>
      <c r="I9654" s="6" t="n">
        <f aca="false">Sens!I9631</f>
        <v>28.7412169166967</v>
      </c>
      <c r="J9654" s="6" t="n">
        <f aca="false">Sens!J9631</f>
        <v>30.9192545395413</v>
      </c>
      <c r="K9654" s="6" t="n">
        <f aca="false">Sens!K9631</f>
        <v>33.0836023573092</v>
      </c>
    </row>
    <row r="9655" customFormat="false" ht="15" hidden="false" customHeight="false" outlineLevel="0" collapsed="false">
      <c r="A9655" s="0" t="s">
        <v>876</v>
      </c>
      <c r="B9655" s="0" t="s">
        <v>98</v>
      </c>
      <c r="D9655" s="6" t="n">
        <f aca="false">Sens!D9633</f>
        <v>7.76</v>
      </c>
      <c r="E9655" s="6" t="n">
        <f aca="false">Sens!E9633</f>
        <v>8.26</v>
      </c>
      <c r="F9655" s="6" t="n">
        <f aca="false">Sens!F9633</f>
        <v>8.79988041237113</v>
      </c>
      <c r="G9655" s="6" t="n">
        <f aca="false">Sens!G9633</f>
        <v>9.38321269125306</v>
      </c>
      <c r="H9655" s="6" t="n">
        <f aca="false">Sens!H9633</f>
        <v>10.0139193587476</v>
      </c>
      <c r="I9655" s="6" t="n">
        <f aca="false">Sens!I9633</f>
        <v>10.6963111830911</v>
      </c>
      <c r="J9655" s="6" t="n">
        <f aca="false">Sens!J9633</f>
        <v>11.4351285534696</v>
      </c>
      <c r="K9655" s="6" t="n">
        <f aca="false">Sens!K9633</f>
        <v>12.2355875522124</v>
      </c>
    </row>
    <row r="9656" customFormat="false" ht="15" hidden="false" customHeight="false" outlineLevel="0" collapsed="false">
      <c r="A9656" s="0" t="s">
        <v>704</v>
      </c>
      <c r="B9656" s="0" t="s">
        <v>98</v>
      </c>
      <c r="D9656" s="6" t="n">
        <f aca="false">Sens!D9635</f>
        <v>218.783</v>
      </c>
      <c r="E9656" s="6" t="n">
        <f aca="false">Sens!E9635</f>
        <v>268.127</v>
      </c>
      <c r="F9656" s="6" t="n">
        <f aca="false">Sens!F9635</f>
        <v>328.363433064856</v>
      </c>
      <c r="G9656" s="6" t="n">
        <f aca="false">Sens!G9635</f>
        <v>389.269865673274</v>
      </c>
      <c r="H9656" s="6" t="n">
        <f aca="false">Sens!H9635</f>
        <v>445.756320871193</v>
      </c>
      <c r="I9656" s="6" t="n">
        <f aca="false">Sens!I9635</f>
        <v>504.701226245492</v>
      </c>
      <c r="J9656" s="6" t="n">
        <f aca="false">Sens!J9635</f>
        <v>553.514968064502</v>
      </c>
      <c r="K9656" s="6" t="n">
        <f aca="false">Sens!K9635</f>
        <v>592.539823703865</v>
      </c>
    </row>
    <row r="9657" customFormat="false" ht="15" hidden="false" customHeight="false" outlineLevel="0" collapsed="false">
      <c r="A9657" s="0" t="s">
        <v>877</v>
      </c>
      <c r="B9657" s="0" t="s">
        <v>98</v>
      </c>
      <c r="D9657" s="6" t="n">
        <f aca="false">Sens!D9636</f>
        <v>22.171</v>
      </c>
      <c r="E9657" s="6" t="n">
        <f aca="false">Sens!E9636</f>
        <v>24.835</v>
      </c>
      <c r="F9657" s="6" t="n">
        <f aca="false">Sens!F9636</f>
        <v>27.7356651218559</v>
      </c>
      <c r="G9657" s="6" t="n">
        <f aca="false">Sens!G9636</f>
        <v>30.8819427955575</v>
      </c>
      <c r="H9657" s="6" t="n">
        <f aca="false">Sens!H9636</f>
        <v>34.2813801456859</v>
      </c>
      <c r="I9657" s="6" t="n">
        <f aca="false">Sens!I9636</f>
        <v>37.9398543169022</v>
      </c>
      <c r="J9657" s="6" t="n">
        <f aca="false">Sens!J9636</f>
        <v>41.8612984476003</v>
      </c>
      <c r="K9657" s="6" t="n">
        <f aca="false">Sens!K9636</f>
        <v>46.0474282923604</v>
      </c>
    </row>
    <row r="9658" customFormat="false" ht="15" hidden="false" customHeight="false" outlineLevel="0" collapsed="false">
      <c r="A9658" s="0" t="s">
        <v>878</v>
      </c>
      <c r="B9658" s="0" t="s">
        <v>98</v>
      </c>
      <c r="D9658" s="6" t="n">
        <f aca="false">Sens!D9638</f>
        <v>23.455</v>
      </c>
      <c r="E9658" s="6" t="n">
        <f aca="false">Sens!E9638</f>
        <v>21.79</v>
      </c>
      <c r="F9658" s="6" t="n">
        <f aca="false">Sens!F9638</f>
        <v>20.5736277908051</v>
      </c>
      <c r="G9658" s="6" t="n">
        <f aca="false">Sens!G9638</f>
        <v>19.7371452817919</v>
      </c>
      <c r="H9658" s="6" t="n">
        <f aca="false">Sens!H9638</f>
        <v>19.2339764043138</v>
      </c>
      <c r="I9658" s="6" t="n">
        <f aca="false">Sens!I9638</f>
        <v>19.0353086852681</v>
      </c>
      <c r="J9658" s="6" t="n">
        <f aca="false">Sens!J9638</f>
        <v>19.1273539319129</v>
      </c>
      <c r="K9658" s="6" t="n">
        <f aca="false">Sens!K9638</f>
        <v>19.5099010105511</v>
      </c>
    </row>
    <row r="9659" customFormat="false" ht="15" hidden="false" customHeight="false" outlineLevel="0" collapsed="false">
      <c r="A9659" s="0" t="s">
        <v>879</v>
      </c>
      <c r="B9659" s="0" t="s">
        <v>98</v>
      </c>
      <c r="D9659" s="6" t="n">
        <f aca="false">Sens!D9640</f>
        <v>17.315</v>
      </c>
      <c r="E9659" s="6" t="n">
        <f aca="false">Sens!E9640</f>
        <v>17.087</v>
      </c>
      <c r="F9659" s="6" t="n">
        <f aca="false">Sens!F9640</f>
        <v>16.9564585436519</v>
      </c>
      <c r="G9659" s="6" t="n">
        <f aca="false">Sens!G9640</f>
        <v>16.9206490624268</v>
      </c>
      <c r="H9659" s="6" t="n">
        <f aca="false">Sens!H9640</f>
        <v>16.9784519149849</v>
      </c>
      <c r="I9659" s="6" t="n">
        <f aca="false">Sens!I9640</f>
        <v>17.1303084701817</v>
      </c>
      <c r="J9659" s="6" t="n">
        <f aca="false">Sens!J9640</f>
        <v>17.3782189407267</v>
      </c>
      <c r="K9659" s="6" t="n">
        <f aca="false">Sens!K9640</f>
        <v>17.7257833195413</v>
      </c>
    </row>
    <row r="9660" customFormat="false" ht="15" hidden="false" customHeight="false" outlineLevel="0" collapsed="false">
      <c r="A9660" s="0" t="s">
        <v>718</v>
      </c>
      <c r="B9660" s="0" t="s">
        <v>98</v>
      </c>
      <c r="D9660" s="6" t="n">
        <f aca="false">Sens!D9642</f>
        <v>62.941</v>
      </c>
      <c r="E9660" s="6" t="n">
        <f aca="false">Sens!E9642</f>
        <v>63.712</v>
      </c>
      <c r="F9660" s="6" t="n">
        <f aca="false">Sens!F9642</f>
        <v>65.2657514563129</v>
      </c>
      <c r="G9660" s="6" t="n">
        <f aca="false">Sens!G9642</f>
        <v>67.5397371397762</v>
      </c>
      <c r="H9660" s="6" t="n">
        <f aca="false">Sens!H9642</f>
        <v>70.4938084649846</v>
      </c>
      <c r="I9660" s="6" t="n">
        <f aca="false">Sens!I9642</f>
        <v>74.105471472352</v>
      </c>
      <c r="J9660" s="6" t="n">
        <f aca="false">Sens!J9642</f>
        <v>78.3668713202399</v>
      </c>
      <c r="K9660" s="6" t="n">
        <f aca="false">Sens!K9642</f>
        <v>83.2831126224528</v>
      </c>
    </row>
    <row r="9661" customFormat="false" ht="15" hidden="false" customHeight="false" outlineLevel="0" collapsed="false">
      <c r="A9661" s="1" t="s">
        <v>895</v>
      </c>
      <c r="B9661" s="0" t="s">
        <v>98</v>
      </c>
      <c r="D9661" s="6" t="n">
        <f aca="false">Sens!D9643</f>
        <v>281.724</v>
      </c>
      <c r="E9661" s="6" t="n">
        <f aca="false">Sens!E9643</f>
        <v>331.839</v>
      </c>
      <c r="F9661" s="6" t="n">
        <f aca="false">Sens!F9643</f>
        <v>393.629184521169</v>
      </c>
      <c r="G9661" s="6" t="n">
        <f aca="false">Sens!G9643</f>
        <v>456.80960281305</v>
      </c>
      <c r="H9661" s="6" t="n">
        <f aca="false">Sens!H9643</f>
        <v>516.250129336178</v>
      </c>
      <c r="I9661" s="6" t="n">
        <f aca="false">Sens!I9643</f>
        <v>578.806697717844</v>
      </c>
      <c r="J9661" s="6" t="n">
        <f aca="false">Sens!J9643</f>
        <v>631.881839384742</v>
      </c>
      <c r="K9661" s="6" t="n">
        <f aca="false">Sens!K9643</f>
        <v>675.822936326317</v>
      </c>
    </row>
    <row r="9662" customFormat="false" ht="15" hidden="false" customHeight="false" outlineLevel="0" collapsed="false">
      <c r="A9662" s="1" t="s">
        <v>896</v>
      </c>
      <c r="B9662" s="0" t="s">
        <v>129</v>
      </c>
      <c r="E9662" s="7" t="n">
        <f aca="false">Sens!E9661/Sens!D9661-1</f>
        <v>0.177886867998467</v>
      </c>
      <c r="F9662" s="7" t="n">
        <f aca="false">Sens!F9661/Sens!E9661-1</f>
        <v>0.186205311977099</v>
      </c>
      <c r="G9662" s="7" t="n">
        <f aca="false">Sens!G9661/Sens!F9661-1</f>
        <v>0.160507454163333</v>
      </c>
      <c r="H9662" s="7" t="n">
        <f aca="false">Sens!H9661/Sens!G9661-1</f>
        <v>0.130121009184331</v>
      </c>
      <c r="I9662" s="7" t="n">
        <f aca="false">Sens!I9661/Sens!H9661-1</f>
        <v>0.121174920502403</v>
      </c>
      <c r="J9662" s="7" t="n">
        <f aca="false">Sens!J9661/Sens!I9661-1</f>
        <v>0.0916975250565781</v>
      </c>
      <c r="K9662" s="7" t="n">
        <f aca="false">Sens!K9661/Sens!J9661-1</f>
        <v>0.0695400535396946</v>
      </c>
    </row>
    <row r="9663" customFormat="false" ht="17.15" hidden="false" customHeight="false" outlineLevel="0" collapsed="false">
      <c r="A9663" s="23" t="s">
        <v>897</v>
      </c>
      <c r="B9663" s="30" t="s">
        <v>98</v>
      </c>
      <c r="C9663" s="30"/>
      <c r="D9663" s="24" t="n">
        <f aca="false">(Sens!D9656+Sens!D9660-Sens!D9661)+(Sens!D9648+Sens!D9649-Sens!D9647)+(Sens!D9651+Sens!D9652-Sens!D9650)+(Sens!D9661-Q!L18)</f>
        <v>0</v>
      </c>
      <c r="E9663" s="24" t="n">
        <f aca="false">(Sens!E9656+Sens!E9660-Sens!E9661)+(Sens!E9648+Sens!E9649-Sens!E9647)+(Sens!E9651+Sens!E9652-Sens!E9650)+(Sens!E9661-Q!M18)</f>
        <v>0</v>
      </c>
      <c r="F9663" s="24" t="n">
        <f aca="false">(Sens!F9656+Sens!F9660-Sens!F9661)+(Sens!F9648+Sens!F9649-Sens!F9647)+(Sens!F9651+Sens!F9652-Sens!F9650)</f>
        <v>0</v>
      </c>
      <c r="G9663" s="24" t="n">
        <f aca="false">(Sens!G9656+Sens!G9660-Sens!G9661)+(Sens!G9648+Sens!G9649-Sens!G9647)+(Sens!G9651+Sens!G9652-Sens!G9650)</f>
        <v>0</v>
      </c>
      <c r="H9663" s="24" t="n">
        <f aca="false">(Sens!H9656+Sens!H9660-Sens!H9661)+(Sens!H9648+Sens!H9649-Sens!H9647)+(Sens!H9651+Sens!H9652-Sens!H9650)</f>
        <v>0</v>
      </c>
      <c r="I9663" s="24" t="n">
        <f aca="false">(Sens!I9656+Sens!I9660-Sens!I9661)+(Sens!I9648+Sens!I9649-Sens!I9647)+(Sens!I9651+Sens!I9652-Sens!I9650)</f>
        <v>0</v>
      </c>
      <c r="J9663" s="24" t="n">
        <f aca="false">(Sens!J9656+Sens!J9660-Sens!J9661)+(Sens!J9648+Sens!J9649-Sens!J9647)+(Sens!J9651+Sens!J9652-Sens!J9650)</f>
        <v>0</v>
      </c>
      <c r="K9663" s="24" t="n">
        <f aca="false">(Sens!K9656+Sens!K9660-Sens!K9661)+(Sens!K9648+Sens!K9649-Sens!K9647)+(Sens!K9651+Sens!K9652-Sens!K9650)</f>
        <v>0</v>
      </c>
    </row>
    <row r="9664" customFormat="false" ht="17.15" hidden="false" customHeight="false" outlineLevel="0" collapsed="false">
      <c r="A9664" s="0" t="s">
        <v>898</v>
      </c>
      <c r="B9664" s="0" t="s">
        <v>129</v>
      </c>
      <c r="E9664" s="7" t="n">
        <f aca="false">(Q!M21+Sens!E9601+Sens!E9602+Sens!E9603+Sens!E9616-Sens!E9599)/(Q!M5-Sens!E9599)</f>
        <v>0.570957350878296</v>
      </c>
      <c r="F9664" s="7" t="n">
        <f aca="false">Sens!$E$9664+dm_seg</f>
        <v>0.570957350878296</v>
      </c>
      <c r="G9664" s="7" t="n">
        <f aca="false">Sens!$E$9664+dm_seg</f>
        <v>0.570957350878296</v>
      </c>
      <c r="H9664" s="7" t="n">
        <f aca="false">Sens!$E$9664+dm_seg</f>
        <v>0.570957350878296</v>
      </c>
      <c r="I9664" s="7" t="n">
        <f aca="false">Sens!$E$9664+dm_seg</f>
        <v>0.570957350878296</v>
      </c>
      <c r="J9664" s="7" t="n">
        <f aca="false">Sens!$E$9664+dm_seg</f>
        <v>0.570957350878296</v>
      </c>
      <c r="K9664" s="7" t="n">
        <f aca="false">Sens!$E$9664+dm_seg</f>
        <v>0.570957350878296</v>
      </c>
      <c r="L9664" s="11" t="s">
        <v>899</v>
      </c>
    </row>
    <row r="9665" customFormat="false" ht="17.15" hidden="false" customHeight="false" outlineLevel="0" collapsed="false">
      <c r="A9665" s="0" t="s">
        <v>732</v>
      </c>
      <c r="B9665" s="0" t="s">
        <v>98</v>
      </c>
      <c r="D9665" s="6" t="n">
        <f aca="false">Q!L21</f>
        <v>110.814</v>
      </c>
      <c r="E9665" s="6" t="n">
        <f aca="false">Q!M21</f>
        <v>136.365</v>
      </c>
      <c r="F9665" s="6" t="n">
        <f aca="false">Sens!F9664*(Sens!F9635-Sens!F9599)+Sens!F9599-(Sens!F9601+Sens!F9602+Sens!F9603)-Sens!F9616</f>
        <v>152.32793254081</v>
      </c>
      <c r="G9665" s="6" t="n">
        <f aca="false">Sens!G9664*(Sens!G9635-Sens!G9599)+Sens!G9599-(Sens!G9601+Sens!G9602+Sens!G9603)-Sens!G9616</f>
        <v>160.285814567842</v>
      </c>
      <c r="H9665" s="6" t="n">
        <f aca="false">Sens!H9664*(Sens!H9635-Sens!H9599)+Sens!H9599-(Sens!H9601+Sens!H9602+Sens!H9603)-Sens!H9616</f>
        <v>162.577054990873</v>
      </c>
      <c r="I9665" s="6" t="n">
        <f aca="false">Sens!I9664*(Sens!I9635-Sens!I9599)+Sens!I9599-(Sens!I9601+Sens!I9602+Sens!I9603)-Sens!I9616</f>
        <v>172.50327789225</v>
      </c>
      <c r="J9665" s="6" t="n">
        <f aca="false">Sens!J9664*(Sens!J9635-Sens!J9599)+Sens!J9599-(Sens!J9601+Sens!J9602+Sens!J9603)-Sens!J9616</f>
        <v>183.762598916289</v>
      </c>
      <c r="K9665" s="6" t="n">
        <f aca="false">Sens!K9664*(Sens!K9635-Sens!K9599)+Sens!K9599-(Sens!K9601+Sens!K9602+Sens!K9603)-Sens!K9616</f>
        <v>196.508841967745</v>
      </c>
      <c r="L9665" s="1" t="s">
        <v>900</v>
      </c>
    </row>
    <row r="9666" customFormat="false" ht="17.15" hidden="false" customHeight="false" outlineLevel="0" collapsed="false">
      <c r="A9666" s="0" t="s">
        <v>901</v>
      </c>
      <c r="B9666" s="0" t="s">
        <v>129</v>
      </c>
      <c r="E9666" s="7" t="n">
        <f aca="false">Q!M22/Q!M12</f>
        <v>0.296207935710698</v>
      </c>
      <c r="F9666" s="7" t="n">
        <f aca="false">Sens!$E$9666+dm_seg</f>
        <v>0.296207935710698</v>
      </c>
      <c r="G9666" s="7" t="n">
        <f aca="false">Sens!$E$9666+dm_seg</f>
        <v>0.296207935710698</v>
      </c>
      <c r="H9666" s="7" t="n">
        <f aca="false">Sens!$E$9666+dm_seg</f>
        <v>0.296207935710698</v>
      </c>
      <c r="I9666" s="7" t="n">
        <f aca="false">Sens!$E$9666+dm_seg</f>
        <v>0.296207935710698</v>
      </c>
      <c r="J9666" s="7" t="n">
        <f aca="false">Sens!$E$9666+dm_seg</f>
        <v>0.296207935710698</v>
      </c>
      <c r="K9666" s="7" t="n">
        <f aca="false">Sens!$E$9666+dm_seg</f>
        <v>0.296207935710698</v>
      </c>
      <c r="L9666" s="11" t="s">
        <v>902</v>
      </c>
    </row>
    <row r="9667" customFormat="false" ht="17.15" hidden="false" customHeight="false" outlineLevel="0" collapsed="false">
      <c r="A9667" s="0" t="s">
        <v>734</v>
      </c>
      <c r="B9667" s="0" t="s">
        <v>98</v>
      </c>
      <c r="D9667" s="6" t="n">
        <f aca="false">Q!L22</f>
        <v>17.714</v>
      </c>
      <c r="E9667" s="6" t="n">
        <f aca="false">Q!M22</f>
        <v>18.872</v>
      </c>
      <c r="F9667" s="6" t="n">
        <f aca="false">Sens!F9642*Sens!F9666</f>
        <v>19.3322335114819</v>
      </c>
      <c r="G9667" s="6" t="n">
        <f aca="false">Sens!G9642*Sens!G9666</f>
        <v>20.0058061166163</v>
      </c>
      <c r="H9667" s="6" t="n">
        <f aca="false">Sens!H9642*Sens!H9666</f>
        <v>20.8808254857984</v>
      </c>
      <c r="I9667" s="6" t="n">
        <f aca="false">Sens!I9642*Sens!I9666</f>
        <v>21.9506287296934</v>
      </c>
      <c r="J9667" s="6" t="n">
        <f aca="false">Sens!J9642*Sens!J9666</f>
        <v>23.2128891818742</v>
      </c>
      <c r="K9667" s="6" t="n">
        <f aca="false">Sens!K9642*Sens!K9666</f>
        <v>24.6691188694583</v>
      </c>
    </row>
    <row r="9668" customFormat="false" ht="15" hidden="false" customHeight="false" outlineLevel="0" collapsed="false">
      <c r="A9668" s="1" t="s">
        <v>903</v>
      </c>
      <c r="B9668" s="0" t="s">
        <v>98</v>
      </c>
      <c r="D9668" s="6" t="n">
        <f aca="false">Sens!D9665+Sens!D9667</f>
        <v>128.528</v>
      </c>
      <c r="E9668" s="6" t="n">
        <f aca="false">Sens!E9665+Sens!E9667</f>
        <v>155.237</v>
      </c>
      <c r="F9668" s="6" t="n">
        <f aca="false">Sens!F9665+Sens!F9667</f>
        <v>171.660166052292</v>
      </c>
      <c r="G9668" s="6" t="n">
        <f aca="false">Sens!G9665+Sens!G9667</f>
        <v>180.291620684458</v>
      </c>
      <c r="H9668" s="6" t="n">
        <f aca="false">Sens!H9665+Sens!H9667</f>
        <v>183.457880476672</v>
      </c>
      <c r="I9668" s="6" t="n">
        <f aca="false">Sens!I9665+Sens!I9667</f>
        <v>194.453906621943</v>
      </c>
      <c r="J9668" s="6" t="n">
        <f aca="false">Sens!J9665+Sens!J9667</f>
        <v>206.975488098163</v>
      </c>
      <c r="K9668" s="6" t="n">
        <f aca="false">Sens!K9665+Sens!K9667</f>
        <v>221.177960837203</v>
      </c>
    </row>
    <row r="9669" customFormat="false" ht="15" hidden="false" customHeight="false" outlineLevel="0" collapsed="false">
      <c r="A9669" s="23" t="s">
        <v>904</v>
      </c>
      <c r="B9669" s="30" t="s">
        <v>98</v>
      </c>
      <c r="C9669" s="30"/>
      <c r="D9669" s="24" t="n">
        <f aca="false">Sens!D9668-Q!L23</f>
        <v>0</v>
      </c>
      <c r="E9669" s="24" t="n">
        <f aca="false">Sens!E9668-Q!M23</f>
        <v>0</v>
      </c>
      <c r="F9669" s="30"/>
      <c r="G9669" s="30"/>
      <c r="H9669" s="30"/>
      <c r="I9669" s="30"/>
      <c r="J9669" s="30"/>
      <c r="K9669" s="30"/>
    </row>
    <row r="9670" customFormat="false" ht="15" hidden="false" customHeight="false" outlineLevel="0" collapsed="false">
      <c r="A9670" s="1" t="s">
        <v>905</v>
      </c>
      <c r="B9670" s="0" t="s">
        <v>129</v>
      </c>
      <c r="D9670" s="7" t="n">
        <f aca="false">Sens!D9668/Sens!D9661</f>
        <v>0.456219562408598</v>
      </c>
      <c r="E9670" s="7" t="n">
        <f aca="false">Sens!E9668/Sens!E9661</f>
        <v>0.467808184089272</v>
      </c>
      <c r="F9670" s="7" t="n">
        <f aca="false">Sens!F9668/Sens!F9661</f>
        <v>0.436096135150925</v>
      </c>
      <c r="G9670" s="7" t="n">
        <f aca="false">Sens!G9668/Sens!G9661</f>
        <v>0.394675636357501</v>
      </c>
      <c r="H9670" s="7" t="n">
        <f aca="false">Sens!H9668/Sens!H9661</f>
        <v>0.355366265404276</v>
      </c>
      <c r="I9670" s="7" t="n">
        <f aca="false">Sens!I9668/Sens!I9661</f>
        <v>0.335956559225469</v>
      </c>
      <c r="J9670" s="7" t="n">
        <f aca="false">Sens!J9668/Sens!J9661</f>
        <v>0.327554101411893</v>
      </c>
      <c r="K9670" s="7" t="n">
        <f aca="false">Sens!K9668/Sens!K9661</f>
        <v>0.327272054481455</v>
      </c>
    </row>
    <row r="9671" customFormat="false" ht="17.15" hidden="false" customHeight="false" outlineLevel="0" collapsed="false">
      <c r="A9671" s="1" t="s">
        <v>906</v>
      </c>
      <c r="B9671" s="0" t="s">
        <v>98</v>
      </c>
      <c r="F9671" s="6" t="n">
        <f aca="false">Sens!F9686</f>
        <v>20.7922544923746</v>
      </c>
      <c r="G9671" s="6" t="n">
        <f aca="false">Sens!G9686</f>
        <v>37.7052575228648</v>
      </c>
      <c r="H9671" s="6" t="n">
        <f aca="false">Sens!H9686</f>
        <v>55.9707166463052</v>
      </c>
      <c r="I9671" s="6" t="n">
        <f aca="false">Sens!I9686</f>
        <v>72.386177414753</v>
      </c>
      <c r="J9671" s="6" t="n">
        <f aca="false">Sens!J9686</f>
        <v>83.8561542203386</v>
      </c>
      <c r="K9671" s="6" t="n">
        <f aca="false">Sens!K9686</f>
        <v>90.6046701138278</v>
      </c>
      <c r="L9671" s="1" t="s">
        <v>907</v>
      </c>
    </row>
    <row r="9672" customFormat="false" ht="17.15" hidden="false" customHeight="false" outlineLevel="0" collapsed="false">
      <c r="A9672" s="1" t="s">
        <v>908</v>
      </c>
      <c r="B9672" s="0" t="s">
        <v>98</v>
      </c>
      <c r="D9672" s="6" t="n">
        <f aca="false">Sens!D9668</f>
        <v>128.528</v>
      </c>
      <c r="E9672" s="6" t="n">
        <f aca="false">Sens!E9668</f>
        <v>155.237</v>
      </c>
      <c r="F9672" s="6" t="n">
        <f aca="false">Sens!F9668+Sens!F9671</f>
        <v>192.452420544666</v>
      </c>
      <c r="G9672" s="6" t="n">
        <f aca="false">Sens!G9668+Sens!G9671</f>
        <v>217.996878207323</v>
      </c>
      <c r="H9672" s="6" t="n">
        <f aca="false">Sens!H9668+Sens!H9671</f>
        <v>239.428597122977</v>
      </c>
      <c r="I9672" s="6" t="n">
        <f aca="false">Sens!I9668+Sens!I9671</f>
        <v>266.840084036696</v>
      </c>
      <c r="J9672" s="6" t="n">
        <f aca="false">Sens!J9668+Sens!J9671</f>
        <v>290.831642318502</v>
      </c>
      <c r="K9672" s="6" t="n">
        <f aca="false">Sens!K9668+Sens!K9671</f>
        <v>311.782630951031</v>
      </c>
    </row>
    <row r="9673" customFormat="false" ht="17.15" hidden="false" customHeight="false" outlineLevel="0" collapsed="false">
      <c r="A9673" s="1" t="s">
        <v>909</v>
      </c>
      <c r="B9673" s="0" t="s">
        <v>98</v>
      </c>
      <c r="E9673" s="6" t="n">
        <f aca="false">Sens!E9616</f>
        <v>16.3054059770833</v>
      </c>
      <c r="F9673" s="6" t="n">
        <f aca="false">Sens!F9616</f>
        <v>34.7522076225365</v>
      </c>
      <c r="G9673" s="6" t="n">
        <f aca="false">Sens!G9616</f>
        <v>60.5300775936729</v>
      </c>
      <c r="H9673" s="6" t="n">
        <f aca="false">Sens!H9616</f>
        <v>87.7656603264729</v>
      </c>
      <c r="I9673" s="6" t="n">
        <f aca="false">Sens!I9616</f>
        <v>112.010384315554</v>
      </c>
      <c r="J9673" s="6" t="n">
        <f aca="false">Sens!J9616</f>
        <v>129.207055255999</v>
      </c>
      <c r="K9673" s="6" t="n">
        <f aca="false">Sens!K9616</f>
        <v>139.670991137807</v>
      </c>
    </row>
    <row r="9674" customFormat="false" ht="17.15" hidden="false" customHeight="false" outlineLevel="0" collapsed="false">
      <c r="A9674" s="1" t="s">
        <v>910</v>
      </c>
      <c r="B9674" s="0" t="s">
        <v>98</v>
      </c>
      <c r="E9674" s="6" t="n">
        <f aca="false">Sens!E9698</f>
        <v>22.2285940229167</v>
      </c>
      <c r="F9674" s="6" t="n">
        <f aca="false">Sens!F9698</f>
        <v>23.5496627435812</v>
      </c>
      <c r="G9674" s="6" t="n">
        <f aca="false">Sens!G9698</f>
        <v>25.2683008347557</v>
      </c>
      <c r="H9674" s="6" t="n">
        <f aca="false">Sens!H9698</f>
        <v>27.35495814329</v>
      </c>
      <c r="I9674" s="6" t="n">
        <f aca="false">Sens!I9698</f>
        <v>29.7552595814336</v>
      </c>
      <c r="J9674" s="6" t="n">
        <f aca="false">Sens!J9698</f>
        <v>32.3974246415467</v>
      </c>
      <c r="K9674" s="6" t="n">
        <f aca="false">Sens!K9698</f>
        <v>35.2007458349633</v>
      </c>
    </row>
    <row r="9675" customFormat="false" ht="17.15" hidden="false" customHeight="false" outlineLevel="0" collapsed="false">
      <c r="A9675" s="1" t="s">
        <v>911</v>
      </c>
      <c r="B9675" s="0" t="s">
        <v>98</v>
      </c>
      <c r="D9675" s="6" t="n">
        <f aca="false">Q!L27</f>
        <v>-4.901</v>
      </c>
      <c r="E9675" s="6" t="n">
        <f aca="false">Q!M27</f>
        <v>10.697</v>
      </c>
      <c r="F9675" s="6" t="n">
        <f aca="false">oie_f</f>
        <v>-0.4</v>
      </c>
      <c r="G9675" s="6" t="n">
        <f aca="false">oie_f</f>
        <v>-0.4</v>
      </c>
      <c r="H9675" s="6" t="n">
        <f aca="false">oie_f</f>
        <v>-0.4</v>
      </c>
      <c r="I9675" s="6" t="n">
        <f aca="false">oie_f</f>
        <v>-0.4</v>
      </c>
      <c r="J9675" s="6" t="n">
        <f aca="false">oie_f</f>
        <v>-0.4</v>
      </c>
      <c r="K9675" s="6" t="n">
        <f aca="false">oie_f</f>
        <v>-0.4</v>
      </c>
      <c r="L9675" s="11" t="s">
        <v>912</v>
      </c>
    </row>
    <row r="9676" customFormat="false" ht="15" hidden="false" customHeight="false" outlineLevel="0" collapsed="false">
      <c r="A9676" s="1" t="s">
        <v>913</v>
      </c>
      <c r="B9676" s="0" t="s">
        <v>98</v>
      </c>
      <c r="D9676" s="6" t="n">
        <f aca="false">Sens!D9668+Sens!D9675</f>
        <v>123.627</v>
      </c>
      <c r="E9676" s="6" t="n">
        <f aca="false">Sens!E9668+Sens!E9675</f>
        <v>165.934</v>
      </c>
      <c r="F9676" s="6" t="n">
        <f aca="false">Sens!F9668+Sens!F9675</f>
        <v>171.260166052292</v>
      </c>
      <c r="G9676" s="6" t="n">
        <f aca="false">Sens!G9668+Sens!G9675</f>
        <v>179.891620684458</v>
      </c>
      <c r="H9676" s="6" t="n">
        <f aca="false">Sens!H9668+Sens!H9675</f>
        <v>183.057880476672</v>
      </c>
      <c r="I9676" s="6" t="n">
        <f aca="false">Sens!I9668+Sens!I9675</f>
        <v>194.053906621943</v>
      </c>
      <c r="J9676" s="6" t="n">
        <f aca="false">Sens!J9668+Sens!J9675</f>
        <v>206.575488098163</v>
      </c>
      <c r="K9676" s="6" t="n">
        <f aca="false">Sens!K9668+Sens!K9675</f>
        <v>220.777960837203</v>
      </c>
    </row>
    <row r="9677" customFormat="false" ht="15" hidden="false" customHeight="false" outlineLevel="0" collapsed="false">
      <c r="A9677" s="1" t="s">
        <v>914</v>
      </c>
      <c r="B9677" s="0" t="s">
        <v>98</v>
      </c>
      <c r="D9677" s="6" t="n">
        <f aca="false">Q!L29</f>
        <v>21.795</v>
      </c>
      <c r="E9677" s="6" t="n">
        <f aca="false">Q!M29</f>
        <v>32.185</v>
      </c>
      <c r="F9677" s="6" t="n">
        <f aca="false">Sens!F9676*tax_f</f>
        <v>34.2520332104584</v>
      </c>
      <c r="G9677" s="6" t="n">
        <f aca="false">Sens!G9676*tax_f</f>
        <v>35.9783241368916</v>
      </c>
      <c r="H9677" s="6" t="n">
        <f aca="false">Sens!H9676*tax_f</f>
        <v>36.6115760953344</v>
      </c>
      <c r="I9677" s="6" t="n">
        <f aca="false">Sens!I9676*tax_f</f>
        <v>38.8107813243886</v>
      </c>
      <c r="J9677" s="6" t="n">
        <f aca="false">Sens!J9676*tax_f</f>
        <v>41.3150976196326</v>
      </c>
      <c r="K9677" s="6" t="n">
        <f aca="false">Sens!K9676*tax_f</f>
        <v>44.1555921674407</v>
      </c>
    </row>
    <row r="9678" customFormat="false" ht="15" hidden="false" customHeight="false" outlineLevel="0" collapsed="false">
      <c r="A9678" s="1" t="s">
        <v>915</v>
      </c>
      <c r="B9678" s="0" t="s">
        <v>98</v>
      </c>
      <c r="D9678" s="6" t="n">
        <f aca="false">Sens!D9676-Sens!D9677</f>
        <v>101.832</v>
      </c>
      <c r="E9678" s="6" t="n">
        <f aca="false">Sens!E9676-Sens!E9677</f>
        <v>133.749</v>
      </c>
      <c r="F9678" s="6" t="n">
        <f aca="false">Sens!F9676-Sens!F9677</f>
        <v>137.008132841833</v>
      </c>
      <c r="G9678" s="6" t="n">
        <f aca="false">Sens!G9676-Sens!G9677</f>
        <v>143.913296547566</v>
      </c>
      <c r="H9678" s="6" t="n">
        <f aca="false">Sens!H9676-Sens!H9677</f>
        <v>146.446304381337</v>
      </c>
      <c r="I9678" s="6" t="n">
        <f aca="false">Sens!I9676-Sens!I9677</f>
        <v>155.243125297555</v>
      </c>
      <c r="J9678" s="6" t="n">
        <f aca="false">Sens!J9676-Sens!J9677</f>
        <v>165.26039047853</v>
      </c>
      <c r="K9678" s="6" t="n">
        <f aca="false">Sens!K9676-Sens!K9677</f>
        <v>176.622368669763</v>
      </c>
    </row>
    <row r="9679" customFormat="false" ht="17.15" hidden="false" customHeight="false" outlineLevel="0" collapsed="false">
      <c r="A9679" s="1" t="s">
        <v>916</v>
      </c>
      <c r="B9679" s="1" t="s">
        <v>81</v>
      </c>
      <c r="D9679" s="14" t="n">
        <f aca="false">Q!L31</f>
        <v>7.465</v>
      </c>
      <c r="E9679" s="14" t="n">
        <f aca="false">Q!M31</f>
        <v>7.453</v>
      </c>
      <c r="F9679" s="14" t="n">
        <f aca="false">Sens!F9720</f>
        <v>7.4735</v>
      </c>
      <c r="G9679" s="14" t="n">
        <f aca="false">Sens!G9720</f>
        <v>7.5185</v>
      </c>
      <c r="H9679" s="14" t="n">
        <f aca="false">Sens!H9720</f>
        <v>7.55820659628605</v>
      </c>
      <c r="I9679" s="14" t="n">
        <f aca="false">Sens!I9720</f>
        <v>7.58194243872946</v>
      </c>
      <c r="J9679" s="14" t="n">
        <f aca="false">Sens!J9720</f>
        <v>7.59618394984734</v>
      </c>
      <c r="K9679" s="14" t="n">
        <f aca="false">Sens!K9720</f>
        <v>7.61270386754908</v>
      </c>
    </row>
    <row r="9680" customFormat="false" ht="17.15" hidden="false" customHeight="false" outlineLevel="0" collapsed="false">
      <c r="A9680" s="0" t="s">
        <v>917</v>
      </c>
      <c r="B9680" s="0" t="s">
        <v>75</v>
      </c>
      <c r="D9680" s="8" t="n">
        <f aca="false">Sens!D9678/Sens!D9679</f>
        <v>13.641259209645</v>
      </c>
      <c r="E9680" s="8" t="n">
        <f aca="false">Sens!E9678/Sens!E9679</f>
        <v>17.9456594659869</v>
      </c>
      <c r="F9680" s="8" t="n">
        <f aca="false">Sens!F9678/Sens!F9679</f>
        <v>18.3325259706742</v>
      </c>
      <c r="G9680" s="8" t="n">
        <f aca="false">Sens!G9678/Sens!G9679</f>
        <v>19.1412245191948</v>
      </c>
      <c r="H9680" s="8" t="n">
        <f aca="false">Sens!H9678/Sens!H9679</f>
        <v>19.375800663255</v>
      </c>
      <c r="I9680" s="8" t="n">
        <f aca="false">Sens!I9678/Sens!I9679</f>
        <v>20.4753764028271</v>
      </c>
      <c r="J9680" s="8" t="n">
        <f aca="false">Sens!J9678/Sens!J9679</f>
        <v>21.7557120219359</v>
      </c>
      <c r="K9680" s="8" t="n">
        <f aca="false">Sens!K9678/Sens!K9679</f>
        <v>23.2010034467066</v>
      </c>
      <c r="L9680" s="1" t="s">
        <v>918</v>
      </c>
    </row>
    <row r="9681" customFormat="false" ht="17.15" hidden="false" customHeight="false" outlineLevel="0" collapsed="false">
      <c r="A9681" s="1" t="s">
        <v>919</v>
      </c>
      <c r="B9681" s="0" t="s">
        <v>98</v>
      </c>
      <c r="D9681" s="6" t="n">
        <f aca="false">Sens!D9678</f>
        <v>101.832</v>
      </c>
      <c r="E9681" s="6" t="n">
        <f aca="false">Sens!E9678</f>
        <v>133.749</v>
      </c>
      <c r="F9681" s="6" t="n">
        <f aca="false">Sens!F9678+Sens!F9671*(1-tax_f)</f>
        <v>153.641936435733</v>
      </c>
      <c r="G9681" s="6" t="n">
        <f aca="false">Sens!G9678+Sens!G9671*(1-tax_f)</f>
        <v>174.077502565858</v>
      </c>
      <c r="H9681" s="6" t="n">
        <f aca="false">Sens!H9678+Sens!H9671*(1-tax_f)</f>
        <v>191.222877698382</v>
      </c>
      <c r="I9681" s="6" t="n">
        <f aca="false">Sens!I9678+Sens!I9671*(1-tax_f)</f>
        <v>213.152067229357</v>
      </c>
      <c r="J9681" s="6" t="n">
        <f aca="false">Sens!J9678+Sens!J9671*(1-tax_f)</f>
        <v>232.345313854801</v>
      </c>
      <c r="K9681" s="6" t="n">
        <f aca="false">Sens!K9678+Sens!K9671*(1-tax_f)</f>
        <v>249.106104760825</v>
      </c>
    </row>
    <row r="9682" customFormat="false" ht="17.15" hidden="false" customHeight="false" outlineLevel="0" collapsed="false">
      <c r="A9682" s="0" t="s">
        <v>920</v>
      </c>
      <c r="B9682" s="0" t="s">
        <v>75</v>
      </c>
      <c r="D9682" s="8" t="n">
        <f aca="false">Sens!D9681/Sens!D9679</f>
        <v>13.641259209645</v>
      </c>
      <c r="E9682" s="8" t="n">
        <f aca="false">Sens!E9681/Sens!E9679</f>
        <v>17.9456594659869</v>
      </c>
      <c r="F9682" s="8" t="n">
        <f aca="false">Sens!F9681/Sens!F9679</f>
        <v>20.5582306062398</v>
      </c>
      <c r="G9682" s="8" t="n">
        <f aca="false">Sens!G9681/Sens!G9679</f>
        <v>23.1532223935437</v>
      </c>
      <c r="H9682" s="8" t="n">
        <f aca="false">Sens!H9681/Sens!H9679</f>
        <v>25.3000331841081</v>
      </c>
      <c r="I9682" s="8" t="n">
        <f aca="false">Sens!I9681/Sens!I9679</f>
        <v>28.1131212683113</v>
      </c>
      <c r="J9682" s="8" t="n">
        <f aca="false">Sens!J9681/Sens!J9679</f>
        <v>30.5871099737482</v>
      </c>
      <c r="K9682" s="8" t="n">
        <f aca="false">Sens!K9681/Sens!K9679</f>
        <v>32.7224215068574</v>
      </c>
      <c r="L9682" s="1" t="s">
        <v>921</v>
      </c>
    </row>
    <row r="9683" customFormat="false" ht="17.15" hidden="false" customHeight="false" outlineLevel="0" collapsed="false">
      <c r="A9683" s="0" t="s">
        <v>922</v>
      </c>
      <c r="B9683" s="0" t="s">
        <v>129</v>
      </c>
      <c r="E9683" s="7" t="n">
        <f aca="false">Sens!E9682/Sens!D9682-1</f>
        <v>0.315542736208578</v>
      </c>
      <c r="F9683" s="7" t="n">
        <f aca="false">Sens!F9682/Sens!E9682-1</f>
        <v>0.145582342359982</v>
      </c>
      <c r="G9683" s="7" t="n">
        <f aca="false">Sens!G9682/Sens!F9682-1</f>
        <v>0.126226416903615</v>
      </c>
      <c r="H9683" s="7" t="n">
        <f aca="false">Sens!H9682/Sens!G9682-1</f>
        <v>0.0927219008254787</v>
      </c>
      <c r="I9683" s="7" t="n">
        <f aca="false">Sens!I9682/Sens!H9682-1</f>
        <v>0.111189106501655</v>
      </c>
      <c r="J9683" s="7" t="n">
        <f aca="false">Sens!J9682/Sens!I9682-1</f>
        <v>0.0880012106028776</v>
      </c>
      <c r="K9683" s="7" t="n">
        <f aca="false">Sens!K9682/Sens!J9682-1</f>
        <v>0.0698108299522882</v>
      </c>
    </row>
    <row r="9684" customFormat="false" ht="17.15" hidden="false" customHeight="false" outlineLevel="0" collapsed="false">
      <c r="A9684" s="0" t="s">
        <v>846</v>
      </c>
      <c r="B9684" s="0" t="s">
        <v>98</v>
      </c>
      <c r="E9684" s="6" t="n">
        <f aca="false">Sens!E9625</f>
        <v>5.25</v>
      </c>
      <c r="F9684" s="6" t="n">
        <f aca="false">Sens!F9625</f>
        <v>10.5</v>
      </c>
      <c r="G9684" s="6" t="n">
        <f aca="false">Sens!G9625</f>
        <v>13.5</v>
      </c>
      <c r="H9684" s="6" t="n">
        <f aca="false">Sens!H9625</f>
        <v>16.5</v>
      </c>
      <c r="I9684" s="6" t="n">
        <f aca="false">Sens!I9625</f>
        <v>18.75</v>
      </c>
      <c r="J9684" s="6" t="n">
        <f aca="false">Sens!J9625</f>
        <v>20.25</v>
      </c>
      <c r="K9684" s="6" t="n">
        <f aca="false">Sens!K9625</f>
        <v>21.75</v>
      </c>
    </row>
    <row r="9685" customFormat="false" ht="17.15" hidden="false" customHeight="false" outlineLevel="0" collapsed="false">
      <c r="A9685" s="1" t="s">
        <v>847</v>
      </c>
      <c r="B9685" s="0" t="s">
        <v>98</v>
      </c>
      <c r="F9685" s="6" t="n">
        <f aca="false">MAX(0,(Sens!E9588+Sens!F9588)/2*Sens!F9596/1000-Sens!F9684*Sens!F9664)</f>
        <v>20.7922544923746</v>
      </c>
      <c r="G9685" s="6" t="n">
        <f aca="false">MAX(0,(Sens!F9588+Sens!G9588)/2*Sens!G9596/1000-Sens!G9684*Sens!G9664)</f>
        <v>37.7052575228648</v>
      </c>
      <c r="H9685" s="6" t="n">
        <f aca="false">MAX(0,(Sens!G9588+Sens!H9588)/2*Sens!H9596/1000-Sens!H9684*Sens!H9664)</f>
        <v>55.9707166463052</v>
      </c>
      <c r="I9685" s="6" t="n">
        <f aca="false">MAX(0,(Sens!H9588+Sens!I9588)/2*Sens!I9596/1000-Sens!I9684*Sens!I9664)</f>
        <v>72.386177414753</v>
      </c>
      <c r="J9685" s="6" t="n">
        <f aca="false">MAX(0,(Sens!I9588+Sens!J9588)/2*Sens!J9596/1000-Sens!J9684*Sens!J9664)</f>
        <v>83.8561542203386</v>
      </c>
      <c r="K9685" s="6" t="n">
        <f aca="false">MAX(0,(Sens!J9588+Sens!K9588)/2*Sens!K9596/1000-Sens!K9684*Sens!K9664)</f>
        <v>90.6046701138278</v>
      </c>
      <c r="L9685" s="1" t="s">
        <v>848</v>
      </c>
    </row>
    <row r="9686" customFormat="false" ht="17.15" hidden="false" customHeight="false" outlineLevel="0" collapsed="false">
      <c r="A9686" s="1" t="s">
        <v>849</v>
      </c>
      <c r="B9686" s="0" t="s">
        <v>98</v>
      </c>
      <c r="F9686" s="6" t="n">
        <f aca="false">IF(internal_ai_reading=2,1,0)*Sens!F9685</f>
        <v>20.7922544923746</v>
      </c>
      <c r="G9686" s="6" t="n">
        <f aca="false">IF(internal_ai_reading=2,1,0)*Sens!G9685</f>
        <v>37.7052575228648</v>
      </c>
      <c r="H9686" s="6" t="n">
        <f aca="false">IF(internal_ai_reading=2,1,0)*Sens!H9685</f>
        <v>55.9707166463052</v>
      </c>
      <c r="I9686" s="6" t="n">
        <f aca="false">IF(internal_ai_reading=2,1,0)*Sens!I9685</f>
        <v>72.386177414753</v>
      </c>
      <c r="J9686" s="6" t="n">
        <f aca="false">IF(internal_ai_reading=2,1,0)*Sens!J9685</f>
        <v>83.8561542203386</v>
      </c>
      <c r="K9686" s="6" t="n">
        <f aca="false">IF(internal_ai_reading=2,1,0)*Sens!K9685</f>
        <v>90.6046701138278</v>
      </c>
    </row>
    <row r="9687" customFormat="false" ht="17.15" hidden="false" customHeight="false" outlineLevel="0" collapsed="false">
      <c r="A9687" s="0" t="s">
        <v>850</v>
      </c>
      <c r="B9687" s="0" t="s">
        <v>98</v>
      </c>
      <c r="F9687" s="6" t="n">
        <f aca="false">Sens!F9605+Sens!F9684*Sens!F9664+Sens!F9686-Sens!F9606-Sens!F9616</f>
        <v>20.5595140660924</v>
      </c>
      <c r="G9687" s="6" t="n">
        <f aca="false">Sens!G9605+Sens!G9684*Sens!G9664+Sens!G9686-Sens!G9606-Sens!G9616</f>
        <v>26.3489701631708</v>
      </c>
      <c r="H9687" s="6" t="n">
        <f aca="false">Sens!H9605+Sens!H9684*Sens!H9664+Sens!H9686-Sens!H9606-Sens!H9616</f>
        <v>27.6420919583413</v>
      </c>
      <c r="I9687" s="6" t="n">
        <f aca="false">Sens!I9605+Sens!I9684*Sens!I9664+Sens!I9686-Sens!I9606-Sens!I9616</f>
        <v>35.2081902328237</v>
      </c>
      <c r="J9687" s="6" t="n">
        <f aca="false">Sens!J9605+Sens!J9684*Sens!J9664+Sens!J9686-Sens!J9606-Sens!J9616</f>
        <v>40.4007002880897</v>
      </c>
      <c r="K9687" s="6" t="n">
        <f aca="false">Sens!K9605+Sens!K9684*Sens!K9664+Sens!K9686-Sens!K9606-Sens!K9616</f>
        <v>44.374165430151</v>
      </c>
    </row>
    <row r="9688" customFormat="false" ht="17.15" hidden="false" customHeight="false" outlineLevel="0" collapsed="false">
      <c r="A9688" s="0" t="s">
        <v>851</v>
      </c>
      <c r="B9688" s="0" t="s">
        <v>98</v>
      </c>
      <c r="E9688" s="6" t="n">
        <f aca="false">Sens!E9587*(cxit_open+self_build*tk_cxfac)/1000*ai_net_open</f>
        <v>126.6980382</v>
      </c>
      <c r="F9688" s="6" t="n">
        <f aca="false">Sens!E9688+Sens!F9613-Sens!F9616</f>
        <v>260.706549347901</v>
      </c>
      <c r="G9688" s="6" t="n">
        <f aca="false">Sens!F9688+Sens!G9613-Sens!G9616</f>
        <v>383.750652237428</v>
      </c>
      <c r="H9688" s="6" t="n">
        <f aca="false">Sens!G9688+Sens!H9613-Sens!H9616</f>
        <v>484.065277821355</v>
      </c>
      <c r="I9688" s="6" t="n">
        <f aca="false">Sens!H9688+Sens!I9613-Sens!I9616</f>
        <v>535.761562660046</v>
      </c>
      <c r="J9688" s="6" t="n">
        <f aca="false">Sens!I9688+Sens!J9613-Sens!J9616</f>
        <v>531.066984122138</v>
      </c>
      <c r="K9688" s="6" t="n">
        <f aca="false">Sens!J9688+Sens!K9613-Sens!K9616</f>
        <v>506.355428626267</v>
      </c>
      <c r="L9688" s="1" t="s">
        <v>852</v>
      </c>
    </row>
    <row r="9689" customFormat="false" ht="17.15" hidden="false" customHeight="false" outlineLevel="0" collapsed="false">
      <c r="A9689" s="0" t="s">
        <v>853</v>
      </c>
      <c r="B9689" s="0" t="s">
        <v>129</v>
      </c>
      <c r="F9689" s="7" t="n">
        <f aca="false">Sens!F9687*(1-tax_f)/((Sens!E9688+Sens!F9688)/2)</f>
        <v>0.0849118042560105</v>
      </c>
      <c r="G9689" s="7" t="n">
        <f aca="false">Sens!G9687*(1-tax_f)/((Sens!F9688+Sens!G9688)/2)</f>
        <v>0.0654168378557429</v>
      </c>
      <c r="H9689" s="7" t="n">
        <f aca="false">Sens!H9687*(1-tax_f)/((Sens!G9688+Sens!H9688)/2)</f>
        <v>0.0509639724294416</v>
      </c>
      <c r="I9689" s="7" t="n">
        <f aca="false">Sens!I9687*(1-tax_f)/((Sens!H9688+Sens!I9688)/2)</f>
        <v>0.0552379111202117</v>
      </c>
      <c r="J9689" s="7" t="n">
        <f aca="false">Sens!J9687*(1-tax_f)/((Sens!I9688+Sens!J9688)/2)</f>
        <v>0.0605918548542003</v>
      </c>
      <c r="K9689" s="7" t="n">
        <f aca="false">Sens!K9687*(1-tax_f)/((Sens!J9688+Sens!K9688)/2)</f>
        <v>0.0684375658514525</v>
      </c>
    </row>
    <row r="9690" customFormat="false" ht="17.15" hidden="false" customHeight="false" outlineLevel="0" collapsed="false">
      <c r="A9690" s="1" t="s">
        <v>854</v>
      </c>
      <c r="B9690" s="0" t="s">
        <v>129</v>
      </c>
      <c r="F9690" s="7" t="n">
        <f aca="false">(Sens!F9687-Sens!F9686)*(1-tax_f)/((Sens!E9688+Sens!F9688)/2)</f>
        <v>-0.000961229407242016</v>
      </c>
      <c r="G9690" s="7" t="n">
        <f aca="false">(Sens!G9687-Sens!G9686)*(1-tax_f)/((Sens!F9688+Sens!G9688)/2)</f>
        <v>-0.0281943622180231</v>
      </c>
      <c r="H9690" s="7" t="n">
        <f aca="false">(Sens!H9687-Sens!H9686)*(1-tax_f)/((Sens!G9688+Sens!H9688)/2)</f>
        <v>-0.0522297389697284</v>
      </c>
      <c r="I9690" s="7" t="n">
        <f aca="false">(Sens!I9687-Sens!I9686)*(1-tax_f)/((Sens!H9688+Sens!I9688)/2)</f>
        <v>-0.0583283133271993</v>
      </c>
      <c r="J9690" s="7" t="n">
        <f aca="false">(Sens!J9687-Sens!J9686)*(1-tax_f)/((Sens!I9688+Sens!J9688)/2)</f>
        <v>-0.0651732900298872</v>
      </c>
      <c r="K9690" s="7" t="n">
        <f aca="false">(Sens!K9687-Sens!K9686)*(1-tax_f)/((Sens!J9688+Sens!K9688)/2)</f>
        <v>-0.0713005682014523</v>
      </c>
    </row>
    <row r="9691" customFormat="false" ht="17.15" hidden="false" customHeight="false" outlineLevel="0" collapsed="false">
      <c r="A9691" s="1" t="s">
        <v>855</v>
      </c>
      <c r="B9691" s="0" t="s">
        <v>129</v>
      </c>
      <c r="F9691" s="7" t="n">
        <f aca="false">(Sens!F9687-Sens!F9686+Sens!F9685)*(1-tax_f)/((Sens!E9688+Sens!F9688)/2)</f>
        <v>0.0849118042560105</v>
      </c>
      <c r="G9691" s="7" t="n">
        <f aca="false">(Sens!G9687-Sens!G9686+Sens!G9685)*(1-tax_f)/((Sens!F9688+Sens!G9688)/2)</f>
        <v>0.0654168378557429</v>
      </c>
      <c r="H9691" s="7" t="n">
        <f aca="false">(Sens!H9687-Sens!H9686+Sens!H9685)*(1-tax_f)/((Sens!G9688+Sens!H9688)/2)</f>
        <v>0.0509639724294416</v>
      </c>
      <c r="I9691" s="7" t="n">
        <f aca="false">(Sens!I9687-Sens!I9686+Sens!I9685)*(1-tax_f)/((Sens!H9688+Sens!I9688)/2)</f>
        <v>0.0552379111202117</v>
      </c>
      <c r="J9691" s="7" t="n">
        <f aca="false">(Sens!J9687-Sens!J9686+Sens!J9685)*(1-tax_f)/((Sens!I9688+Sens!J9688)/2)</f>
        <v>0.0605918548542003</v>
      </c>
      <c r="K9691" s="7" t="n">
        <f aca="false">(Sens!K9687-Sens!K9686+Sens!K9685)*(1-tax_f)/((Sens!J9688+Sens!K9688)/2)</f>
        <v>0.0684375658514525</v>
      </c>
    </row>
    <row r="9692" customFormat="false" ht="17.15" hidden="false" customHeight="false" outlineLevel="0" collapsed="false">
      <c r="A9692" s="1" t="s">
        <v>856</v>
      </c>
      <c r="B9692" s="0" t="s">
        <v>129</v>
      </c>
      <c r="F9692" s="7" t="n">
        <f aca="false">Sens!F9617*(1-tax_f)/(Sens!F9604*(Sens!E9688+Sens!F9688)/2)</f>
        <v>0.0977859422810855</v>
      </c>
      <c r="G9692" s="7" t="n">
        <f aca="false">Sens!G9617*(1-tax_f)/(Sens!G9604*(Sens!F9688+Sens!G9688)/2)</f>
        <v>0.0659260768116813</v>
      </c>
      <c r="H9692" s="7" t="n">
        <f aca="false">Sens!H9617*(1-tax_f)/(Sens!H9604*(Sens!G9688+Sens!H9688)/2)</f>
        <v>0.0387801858835462</v>
      </c>
      <c r="I9692" s="7" t="n">
        <f aca="false">Sens!I9617*(1-tax_f)/(Sens!I9604*(Sens!H9688+Sens!I9688)/2)</f>
        <v>0.0420046970314797</v>
      </c>
      <c r="J9692" s="7" t="n">
        <f aca="false">Sens!J9617*(1-tax_f)/(Sens!J9604*(Sens!I9688+Sens!J9688)/2)</f>
        <v>0.0460513643395317</v>
      </c>
      <c r="K9692" s="7" t="n">
        <f aca="false">Sens!K9617*(1-tax_f)/(Sens!K9604*(Sens!J9688+Sens!K9688)/2)</f>
        <v>0.0523875805421063</v>
      </c>
    </row>
    <row r="9693" customFormat="false" ht="17.15" hidden="false" customHeight="false" outlineLevel="0" collapsed="false">
      <c r="A9693" s="0" t="s">
        <v>857</v>
      </c>
      <c r="B9693" s="0" t="s">
        <v>209</v>
      </c>
      <c r="F9693" s="7" t="n">
        <f aca="false">Sens!F9689-wacc</f>
        <v>-0.0180226158368652</v>
      </c>
      <c r="G9693" s="7" t="n">
        <f aca="false">Sens!G9689-wacc</f>
        <v>-0.0375175822371329</v>
      </c>
      <c r="H9693" s="7" t="n">
        <f aca="false">Sens!H9689-wacc</f>
        <v>-0.0519704476634342</v>
      </c>
      <c r="I9693" s="7" t="n">
        <f aca="false">Sens!I9689-wacc</f>
        <v>-0.047696508972664</v>
      </c>
      <c r="J9693" s="7" t="n">
        <f aca="false">Sens!J9689-wacc</f>
        <v>-0.0423425652386755</v>
      </c>
      <c r="K9693" s="7" t="n">
        <f aca="false">Sens!K9689-wacc</f>
        <v>-0.0344968542414233</v>
      </c>
    </row>
    <row r="9694" customFormat="false" ht="17.15" hidden="false" customHeight="false" outlineLevel="0" collapsed="false">
      <c r="A9694" s="0" t="s">
        <v>858</v>
      </c>
      <c r="B9694" s="0" t="s">
        <v>98</v>
      </c>
      <c r="F9694" s="6" t="n">
        <f aca="false">Sens!F9687*(1-tax_f)-wacc*(Sens!E9688+Sens!F9688)/2</f>
        <v>-3.49102202740752</v>
      </c>
      <c r="G9694" s="6" t="n">
        <f aca="false">Sens!G9687*(1-tax_f)-wacc*(Sens!F9688+Sens!G9688)/2</f>
        <v>-12.0892380293951</v>
      </c>
      <c r="H9694" s="6" t="n">
        <f aca="false">Sens!H9687*(1-tax_f)-wacc*(Sens!G9688+Sens!H9688)/2</f>
        <v>-22.5503911873072</v>
      </c>
      <c r="I9694" s="6" t="n">
        <f aca="false">Sens!I9687*(1-tax_f)-wacc*(Sens!H9688+Sens!I9688)/2</f>
        <v>-24.3210900237924</v>
      </c>
      <c r="J9694" s="6" t="n">
        <f aca="false">Sens!J9687*(1-tax_f)-wacc*(Sens!I9688+Sens!J9688)/2</f>
        <v>-22.586128670303</v>
      </c>
      <c r="K9694" s="6" t="n">
        <f aca="false">Sens!K9687*(1-tax_f)-wacc*(Sens!J9688+Sens!K9688)/2</f>
        <v>-17.8939048796837</v>
      </c>
    </row>
    <row r="9695" customFormat="false" ht="17.15" hidden="false" customHeight="false" outlineLevel="0" collapsed="false">
      <c r="A9695" s="3" t="s">
        <v>1487</v>
      </c>
    </row>
    <row r="9696" customFormat="false" ht="15" hidden="false" customHeight="false" outlineLevel="0" collapsed="false">
      <c r="A9696" s="4" t="s">
        <v>43</v>
      </c>
      <c r="B9696" s="4" t="s">
        <v>65</v>
      </c>
      <c r="C9696" s="20" t="s">
        <v>788</v>
      </c>
      <c r="D9696" s="20" t="s">
        <v>789</v>
      </c>
      <c r="E9696" s="20" t="s">
        <v>790</v>
      </c>
      <c r="F9696" s="20" t="s">
        <v>791</v>
      </c>
      <c r="G9696" s="20" t="s">
        <v>792</v>
      </c>
      <c r="H9696" s="20" t="s">
        <v>793</v>
      </c>
      <c r="I9696" s="20" t="s">
        <v>794</v>
      </c>
      <c r="J9696" s="20" t="s">
        <v>795</v>
      </c>
      <c r="K9696" s="20" t="s">
        <v>796</v>
      </c>
      <c r="L9696" s="4" t="s">
        <v>47</v>
      </c>
    </row>
    <row r="9697" customFormat="false" ht="15" hidden="false" customHeight="false" outlineLevel="0" collapsed="false">
      <c r="A9697" s="1" t="s">
        <v>915</v>
      </c>
      <c r="B9697" s="0" t="s">
        <v>98</v>
      </c>
      <c r="F9697" s="6" t="n">
        <f aca="false">Sens!F9678</f>
        <v>137.008132841833</v>
      </c>
      <c r="G9697" s="6" t="n">
        <f aca="false">Sens!G9678</f>
        <v>143.913296547566</v>
      </c>
      <c r="H9697" s="6" t="n">
        <f aca="false">Sens!H9678</f>
        <v>146.446304381337</v>
      </c>
      <c r="I9697" s="6" t="n">
        <f aca="false">Sens!I9678</f>
        <v>155.243125297555</v>
      </c>
      <c r="J9697" s="6" t="n">
        <f aca="false">Sens!J9678</f>
        <v>165.26039047853</v>
      </c>
      <c r="K9697" s="6" t="n">
        <f aca="false">Sens!K9678</f>
        <v>176.622368669763</v>
      </c>
    </row>
    <row r="9698" customFormat="false" ht="17.15" hidden="false" customHeight="false" outlineLevel="0" collapsed="false">
      <c r="A9698" s="1" t="s">
        <v>937</v>
      </c>
      <c r="B9698" s="0" t="s">
        <v>98</v>
      </c>
      <c r="E9698" s="6" t="n">
        <f aca="false">Q!M38-Sens!E9616</f>
        <v>22.2285940229167</v>
      </c>
      <c r="F9698" s="6" t="n">
        <f aca="false">Sens!E9698*(1-1/life_nonai)+Sens!F9704/life_nonai</f>
        <v>23.5496627435812</v>
      </c>
      <c r="G9698" s="6" t="n">
        <f aca="false">Sens!F9698*(1-1/life_nonai)+Sens!G9704/life_nonai</f>
        <v>25.2683008347557</v>
      </c>
      <c r="H9698" s="6" t="n">
        <f aca="false">Sens!G9698*(1-1/life_nonai)+Sens!H9704/life_nonai</f>
        <v>27.35495814329</v>
      </c>
      <c r="I9698" s="6" t="n">
        <f aca="false">Sens!H9698*(1-1/life_nonai)+Sens!I9704/life_nonai</f>
        <v>29.7552595814336</v>
      </c>
      <c r="J9698" s="6" t="n">
        <f aca="false">Sens!I9698*(1-1/life_nonai)+Sens!J9704/life_nonai</f>
        <v>32.3974246415467</v>
      </c>
      <c r="K9698" s="6" t="n">
        <f aca="false">Sens!J9698*(1-1/life_nonai)+Sens!K9704/life_nonai</f>
        <v>35.2007458349633</v>
      </c>
      <c r="L9698" s="11" t="s">
        <v>938</v>
      </c>
    </row>
    <row r="9699" customFormat="false" ht="17.15" hidden="false" customHeight="false" outlineLevel="0" collapsed="false">
      <c r="A9699" s="1" t="s">
        <v>939</v>
      </c>
      <c r="B9699" s="0" t="s">
        <v>98</v>
      </c>
      <c r="E9699" s="6" t="n">
        <f aca="false">Sens!E9616+Sens!E9698</f>
        <v>38.534</v>
      </c>
      <c r="F9699" s="6" t="n">
        <f aca="false">Sens!F9616+Sens!F9698</f>
        <v>58.3018703661177</v>
      </c>
      <c r="G9699" s="6" t="n">
        <f aca="false">Sens!G9616+Sens!G9698</f>
        <v>85.7983784284286</v>
      </c>
      <c r="H9699" s="6" t="n">
        <f aca="false">Sens!H9616+Sens!H9698</f>
        <v>115.120618469763</v>
      </c>
      <c r="I9699" s="6" t="n">
        <f aca="false">Sens!I9616+Sens!I9698</f>
        <v>141.765643896988</v>
      </c>
      <c r="J9699" s="6" t="n">
        <f aca="false">Sens!J9616+Sens!J9698</f>
        <v>161.604479897546</v>
      </c>
      <c r="K9699" s="6" t="n">
        <f aca="false">Sens!K9616+Sens!K9698</f>
        <v>174.87173697277</v>
      </c>
    </row>
    <row r="9700" customFormat="false" ht="17.15" hidden="false" customHeight="false" outlineLevel="0" collapsed="false">
      <c r="A9700" s="1" t="s">
        <v>940</v>
      </c>
      <c r="B9700" s="0" t="s">
        <v>98</v>
      </c>
      <c r="F9700" s="6" t="n">
        <f aca="false">Sens!F9643*sbc_r</f>
        <v>14.7148768950759</v>
      </c>
      <c r="G9700" s="6" t="n">
        <f aca="false">Sens!G9643*sbc_r</f>
        <v>17.0767243238314</v>
      </c>
      <c r="H9700" s="6" t="n">
        <f aca="false">Sens!H9643*sbc_r</f>
        <v>19.298764926411</v>
      </c>
      <c r="I9700" s="6" t="n">
        <f aca="false">Sens!I9643*sbc_r</f>
        <v>21.6372912321634</v>
      </c>
      <c r="J9700" s="6" t="n">
        <f aca="false">Sens!J9643*sbc_r</f>
        <v>23.6213772870811</v>
      </c>
      <c r="K9700" s="6" t="n">
        <f aca="false">Sens!K9643*sbc_r</f>
        <v>25.2640091283061</v>
      </c>
    </row>
    <row r="9701" customFormat="false" ht="17.15" hidden="false" customHeight="false" outlineLevel="0" collapsed="false">
      <c r="A9701" s="1" t="s">
        <v>941</v>
      </c>
      <c r="B9701" s="0" t="s">
        <v>98</v>
      </c>
      <c r="F9701" s="6" t="n">
        <f aca="false">wc27</f>
        <v>-4.895</v>
      </c>
      <c r="G9701" s="6" t="n">
        <f aca="false">wc_f</f>
        <v>0</v>
      </c>
      <c r="H9701" s="6" t="n">
        <f aca="false">wc_f</f>
        <v>0</v>
      </c>
      <c r="I9701" s="6" t="n">
        <f aca="false">wc_f</f>
        <v>0</v>
      </c>
      <c r="J9701" s="6" t="n">
        <f aca="false">wc_f</f>
        <v>0</v>
      </c>
      <c r="K9701" s="6" t="n">
        <f aca="false">wc_f</f>
        <v>0</v>
      </c>
      <c r="L9701" s="11" t="s">
        <v>942</v>
      </c>
    </row>
    <row r="9702" customFormat="false" ht="15" hidden="false" customHeight="false" outlineLevel="0" collapsed="false">
      <c r="A9702" s="1" t="s">
        <v>756</v>
      </c>
      <c r="B9702" s="0" t="s">
        <v>98</v>
      </c>
      <c r="E9702" s="6" t="n">
        <f aca="false">Q!M35</f>
        <v>182.935</v>
      </c>
      <c r="F9702" s="6" t="n">
        <f aca="false">Sens!F9697+Sens!F9699+Sens!F9700+Sens!F9701</f>
        <v>205.129880103027</v>
      </c>
      <c r="G9702" s="6" t="n">
        <f aca="false">Sens!G9697+Sens!G9699+Sens!G9700+Sens!G9701</f>
        <v>246.788399299826</v>
      </c>
      <c r="H9702" s="6" t="n">
        <f aca="false">Sens!H9697+Sens!H9699+Sens!H9700+Sens!H9701</f>
        <v>280.865687777511</v>
      </c>
      <c r="I9702" s="6" t="n">
        <f aca="false">Sens!I9697+Sens!I9699+Sens!I9700+Sens!I9701</f>
        <v>318.646060426706</v>
      </c>
      <c r="J9702" s="6" t="n">
        <f aca="false">Sens!J9697+Sens!J9699+Sens!J9700+Sens!J9701</f>
        <v>350.486247663157</v>
      </c>
      <c r="K9702" s="6" t="n">
        <f aca="false">Sens!K9697+Sens!K9699+Sens!K9700+Sens!K9701</f>
        <v>376.758114770839</v>
      </c>
    </row>
    <row r="9703" customFormat="false" ht="17.15" hidden="false" customHeight="false" outlineLevel="0" collapsed="false">
      <c r="A9703" s="0" t="s">
        <v>943</v>
      </c>
      <c r="B9703" s="0" t="s">
        <v>98</v>
      </c>
      <c r="F9703" s="6" t="n">
        <f aca="false">Sens!F9613</f>
        <v>168.760718770438</v>
      </c>
      <c r="G9703" s="6" t="n">
        <f aca="false">Sens!G9613</f>
        <v>183.5741804832</v>
      </c>
      <c r="H9703" s="6" t="n">
        <f aca="false">Sens!H9613</f>
        <v>188.0802859104</v>
      </c>
      <c r="I9703" s="6" t="n">
        <f aca="false">Sens!I9613</f>
        <v>163.706669154245</v>
      </c>
      <c r="J9703" s="6" t="n">
        <f aca="false">Sens!J9613</f>
        <v>124.51247671809</v>
      </c>
      <c r="K9703" s="6" t="n">
        <f aca="false">Sens!K9613</f>
        <v>114.959435641936</v>
      </c>
    </row>
    <row r="9704" customFormat="false" ht="17.15" hidden="false" customHeight="false" outlineLevel="0" collapsed="false">
      <c r="A9704" s="1" t="s">
        <v>944</v>
      </c>
      <c r="B9704" s="0" t="s">
        <v>98</v>
      </c>
      <c r="E9704" s="6" t="n">
        <f aca="false">Sens!E9621*cx_azo+Sens!E9628*cx_m365+Sens!E9629*cx_lic+(Sens!E9631+Sens!E9633)*cx_ind+Sens!E9636*cx_srch+(Sens!E9638+Sens!E9640)*cx_dev</f>
        <v>30.1846587067718</v>
      </c>
      <c r="F9704" s="6" t="n">
        <f aca="false">Sens!F9621*cx_azo+Sens!F9628*cx_m365+Sens!F9629*cx_lic+(Sens!F9631+Sens!F9633)*cx_ind+Sens!F9636*cx_srch+(Sens!F9638+Sens!F9640)*cx_dev</f>
        <v>35.4392812295625</v>
      </c>
      <c r="G9704" s="6" t="n">
        <f aca="false">Sens!G9621*cx_azo+Sens!G9628*cx_m365+Sens!G9629*cx_lic+(Sens!G9631+Sens!G9633)*cx_ind+Sens!G9636*cx_srch+(Sens!G9638+Sens!G9640)*cx_dev</f>
        <v>40.7360436553257</v>
      </c>
      <c r="H9704" s="6" t="n">
        <f aca="false">Sens!H9621*cx_azo+Sens!H9628*cx_m365+Sens!H9629*cx_lic+(Sens!H9631+Sens!H9633)*cx_ind+Sens!H9636*cx_srch+(Sens!H9638+Sens!H9640)*cx_dev</f>
        <v>46.1348739200982</v>
      </c>
      <c r="I9704" s="6" t="n">
        <f aca="false">Sens!I9621*cx_azo+Sens!I9628*cx_m365+Sens!I9629*cx_lic+(Sens!I9631+Sens!I9633)*cx_ind+Sens!I9636*cx_srch+(Sens!I9638+Sens!I9640)*cx_dev</f>
        <v>51.3579725247266</v>
      </c>
      <c r="J9704" s="6" t="n">
        <f aca="false">Sens!J9621*cx_azo+Sens!J9628*cx_m365+Sens!J9629*cx_lic+(Sens!J9631+Sens!J9633)*cx_ind+Sens!J9636*cx_srch+(Sens!J9638+Sens!J9640)*cx_dev</f>
        <v>56.1769101825644</v>
      </c>
      <c r="K9704" s="6" t="n">
        <f aca="false">Sens!K9621*cx_azo+Sens!K9628*cx_m365+Sens!K9629*cx_lic+(Sens!K9631+Sens!K9633)*cx_ind+Sens!K9636*cx_srch+(Sens!K9638+Sens!K9640)*cx_dev</f>
        <v>60.4306365757122</v>
      </c>
    </row>
    <row r="9705" customFormat="false" ht="17.15" hidden="false" customHeight="false" outlineLevel="0" collapsed="false">
      <c r="A9705" s="1" t="s">
        <v>945</v>
      </c>
      <c r="B9705" s="0" t="s">
        <v>98</v>
      </c>
      <c r="E9705" s="6" t="n">
        <f aca="false">Q!M42</f>
        <v>145.3</v>
      </c>
      <c r="F9705" s="6" t="n">
        <f aca="false">Sens!F9703+Sens!F9704</f>
        <v>204.2</v>
      </c>
      <c r="G9705" s="6" t="n">
        <f aca="false">Sens!G9703+Sens!G9704</f>
        <v>224.310224138526</v>
      </c>
      <c r="H9705" s="6" t="n">
        <f aca="false">Sens!H9703+Sens!H9704</f>
        <v>234.215159830498</v>
      </c>
      <c r="I9705" s="6" t="n">
        <f aca="false">Sens!I9703+Sens!I9704</f>
        <v>215.064641678972</v>
      </c>
      <c r="J9705" s="6" t="n">
        <f aca="false">Sens!J9703+Sens!J9704</f>
        <v>180.689386900655</v>
      </c>
      <c r="K9705" s="6" t="n">
        <f aca="false">Sens!K9703+Sens!K9704</f>
        <v>175.390072217648</v>
      </c>
      <c r="L9705" s="1" t="s">
        <v>946</v>
      </c>
    </row>
    <row r="9706" customFormat="false" ht="15" hidden="false" customHeight="false" outlineLevel="0" collapsed="false">
      <c r="A9706" s="1" t="s">
        <v>947</v>
      </c>
      <c r="B9706" s="0" t="s">
        <v>98</v>
      </c>
      <c r="E9706" s="6" t="n">
        <f aca="false">fl_liab</f>
        <v>66.594</v>
      </c>
      <c r="F9706" s="6" t="n">
        <f aca="false">Sens!E9706-Sens!F9707</f>
        <v>62.46973</v>
      </c>
      <c r="G9706" s="6" t="n">
        <f aca="false">Sens!F9706-Sens!G9707</f>
        <v>57.98686785</v>
      </c>
      <c r="H9706" s="6" t="n">
        <f aca="false">Sens!G9706-Sens!H9707</f>
        <v>53.92827690325</v>
      </c>
      <c r="I9706" s="6" t="n">
        <f aca="false">Sens!H9706-Sens!I9707</f>
        <v>49.7850493638962</v>
      </c>
      <c r="J9706" s="6" t="n">
        <f aca="false">Sens!I9706-Sens!J9707</f>
        <v>45.4823765852716</v>
      </c>
      <c r="K9706" s="6" t="n">
        <f aca="false">Sens!J9706-Sens!K9707</f>
        <v>40.9860835316088</v>
      </c>
    </row>
    <row r="9707" customFormat="false" ht="15" hidden="false" customHeight="false" outlineLevel="0" collapsed="false">
      <c r="A9707" s="1" t="s">
        <v>948</v>
      </c>
      <c r="B9707" s="0" t="s">
        <v>98</v>
      </c>
      <c r="F9707" s="6" t="n">
        <f aca="false">fl_pay_27-Sens!E9706*fl_rate</f>
        <v>4.12427</v>
      </c>
      <c r="G9707" s="6" t="n">
        <f aca="false">fl_pay_28-Sens!F9706*fl_rate</f>
        <v>4.48286215</v>
      </c>
      <c r="H9707" s="6" t="n">
        <f aca="false">fl_pay_29-Sens!G9706*fl_rate</f>
        <v>4.05859094675</v>
      </c>
      <c r="I9707" s="6" t="n">
        <f aca="false">fl_pay_30-Sens!H9706*fl_rate</f>
        <v>4.14322753935375</v>
      </c>
      <c r="J9707" s="6" t="n">
        <f aca="false">fl_pay_31-Sens!I9706*fl_rate</f>
        <v>4.30267277862467</v>
      </c>
      <c r="K9707" s="6" t="n">
        <f aca="false">fl_pay_32-Sens!J9706*fl_rate</f>
        <v>4.49629305366278</v>
      </c>
    </row>
    <row r="9708" customFormat="false" ht="17.15" hidden="false" customHeight="false" outlineLevel="0" collapsed="false">
      <c r="A9708" s="1" t="s">
        <v>949</v>
      </c>
      <c r="B9708" s="0" t="s">
        <v>98</v>
      </c>
      <c r="E9708" s="6" t="n">
        <f aca="false">Q!M35-Q!M36-Q!M43</f>
        <v>63.886</v>
      </c>
      <c r="F9708" s="6" t="n">
        <f aca="false">Sens!F9702-Sens!F9705-Sens!F9707</f>
        <v>-3.19438989697296</v>
      </c>
      <c r="G9708" s="6" t="n">
        <f aca="false">Sens!G9702-Sens!G9705-Sens!G9707</f>
        <v>17.9953130113006</v>
      </c>
      <c r="H9708" s="6" t="n">
        <f aca="false">Sens!H9702-Sens!H9705-Sens!H9707</f>
        <v>42.591937000263</v>
      </c>
      <c r="I9708" s="6" t="n">
        <f aca="false">Sens!I9702-Sens!I9705-Sens!I9707</f>
        <v>99.4381912083802</v>
      </c>
      <c r="J9708" s="6" t="n">
        <f aca="false">Sens!J9702-Sens!J9705-Sens!J9707</f>
        <v>165.494187983878</v>
      </c>
      <c r="K9708" s="6" t="n">
        <f aca="false">Sens!K9702-Sens!K9705-Sens!K9707</f>
        <v>196.871749499528</v>
      </c>
      <c r="L9708" s="11" t="s">
        <v>950</v>
      </c>
    </row>
    <row r="9709" customFormat="false" ht="15" hidden="false" customHeight="false" outlineLevel="0" collapsed="false">
      <c r="A9709" s="1" t="s">
        <v>951</v>
      </c>
      <c r="B9709" s="0" t="s">
        <v>75</v>
      </c>
      <c r="F9709" s="8" t="n">
        <f aca="false">dps_27</f>
        <v>3.85</v>
      </c>
      <c r="G9709" s="8" t="n">
        <f aca="false">Sens!F9709*(1+dps_g)</f>
        <v>4.158</v>
      </c>
      <c r="H9709" s="8" t="n">
        <f aca="false">Sens!G9709*(1+dps_g)</f>
        <v>4.49064</v>
      </c>
      <c r="I9709" s="8" t="n">
        <f aca="false">Sens!H9709*(1+dps_g)</f>
        <v>4.8498912</v>
      </c>
      <c r="J9709" s="8" t="n">
        <f aca="false">Sens!I9709*(1+dps_g)</f>
        <v>5.237882496</v>
      </c>
      <c r="K9709" s="8" t="n">
        <f aca="false">Sens!J9709*(1+dps_g)</f>
        <v>5.65691309568</v>
      </c>
    </row>
    <row r="9710" customFormat="false" ht="17.15" hidden="false" customHeight="false" outlineLevel="0" collapsed="false">
      <c r="A9710" s="1" t="s">
        <v>952</v>
      </c>
      <c r="B9710" s="0" t="s">
        <v>98</v>
      </c>
      <c r="E9710" s="6" t="n">
        <f aca="false">Q!M41</f>
        <v>26.445</v>
      </c>
      <c r="F9710" s="6" t="n">
        <f aca="false">Sens!F9709*Sens!E9719</f>
        <v>28.59395</v>
      </c>
      <c r="G9710" s="6" t="n">
        <f aca="false">Sens!G9709*Sens!F9719</f>
        <v>31.068576</v>
      </c>
      <c r="H9710" s="6" t="n">
        <f aca="false">Sens!H9709*Sens!G9719</f>
        <v>33.75614088</v>
      </c>
      <c r="I9710" s="6" t="n">
        <f aca="false">Sens!I9709*Sens!H9719</f>
        <v>36.6235323902193</v>
      </c>
      <c r="J9710" s="6" t="n">
        <f aca="false">Sens!J9709*Sens!I9719</f>
        <v>39.6218138297563</v>
      </c>
      <c r="K9710" s="6" t="n">
        <f aca="false">Sens!K9709*Sens!J9719</f>
        <v>42.8788141614418</v>
      </c>
      <c r="L9710" s="1" t="s">
        <v>953</v>
      </c>
    </row>
    <row r="9711" customFormat="false" ht="15" hidden="false" customHeight="false" outlineLevel="0" collapsed="false">
      <c r="A9711" s="1" t="s">
        <v>954</v>
      </c>
      <c r="B9711" s="0" t="s">
        <v>98</v>
      </c>
      <c r="E9711" s="6" t="n">
        <f aca="false">Sens!E9708-Sens!E9710</f>
        <v>37.441</v>
      </c>
      <c r="F9711" s="6" t="n">
        <f aca="false">Sens!F9708-Sens!F9710</f>
        <v>-31.788339896973</v>
      </c>
      <c r="G9711" s="6" t="n">
        <f aca="false">Sens!G9708-Sens!G9710</f>
        <v>-13.0732629886994</v>
      </c>
      <c r="H9711" s="6" t="n">
        <f aca="false">Sens!H9708-Sens!H9710</f>
        <v>8.83579612026304</v>
      </c>
      <c r="I9711" s="6" t="n">
        <f aca="false">Sens!I9708-Sens!I9710</f>
        <v>62.8146588181609</v>
      </c>
      <c r="J9711" s="6" t="n">
        <f aca="false">Sens!J9708-Sens!J9710</f>
        <v>125.872374154121</v>
      </c>
      <c r="K9711" s="6" t="n">
        <f aca="false">Sens!K9708-Sens!K9710</f>
        <v>153.992935338086</v>
      </c>
    </row>
    <row r="9712" customFormat="false" ht="15" hidden="false" customHeight="false" outlineLevel="0" collapsed="false">
      <c r="A9712" s="1" t="s">
        <v>955</v>
      </c>
      <c r="B9712" s="0" t="s">
        <v>98</v>
      </c>
      <c r="F9712" s="6" t="n">
        <f aca="false">debt_mat_27</f>
        <v>9.25</v>
      </c>
      <c r="G9712" s="6" t="n">
        <f aca="false">debt_mat_28</f>
        <v>0</v>
      </c>
      <c r="H9712" s="6" t="n">
        <f aca="false">debt_mat_29</f>
        <v>2.001</v>
      </c>
      <c r="I9712" s="6" t="n">
        <f aca="false">debt_mat_30</f>
        <v>0</v>
      </c>
      <c r="J9712" s="6" t="n">
        <f aca="false">debt_mat_31</f>
        <v>0.5</v>
      </c>
      <c r="K9712" s="6" t="n">
        <f aca="false">debt_mat_32</f>
        <v>0</v>
      </c>
    </row>
    <row r="9713" customFormat="false" ht="15" hidden="false" customHeight="false" outlineLevel="0" collapsed="false">
      <c r="A9713" s="1" t="s">
        <v>956</v>
      </c>
      <c r="B9713" s="0" t="s">
        <v>98</v>
      </c>
      <c r="E9713" s="6" t="n">
        <f aca="false">Q!M40</f>
        <v>22.271</v>
      </c>
      <c r="F9713" s="6" t="n">
        <f aca="false">MAX(0,MIN(bb_target,Sens!E9715+Sens!F9711-Sens!F9712-min_cash))</f>
        <v>0</v>
      </c>
      <c r="G9713" s="6" t="n">
        <f aca="false">MAX(0,MIN(bb_target,Sens!F9715+Sens!G9711-Sens!G9712-min_cash))</f>
        <v>0</v>
      </c>
      <c r="H9713" s="6" t="n">
        <f aca="false">MAX(0,MIN(bb_target,Sens!G9715+Sens!H9711-Sens!H9712-min_cash))</f>
        <v>6.83479612026304</v>
      </c>
      <c r="I9713" s="6" t="n">
        <f aca="false">MAX(0,MIN(bb_target,Sens!H9715+Sens!I9711-Sens!I9712-min_cash))</f>
        <v>22.271</v>
      </c>
      <c r="J9713" s="6" t="n">
        <f aca="false">MAX(0,MIN(bb_target,Sens!I9715+Sens!J9711-Sens!J9712-min_cash))</f>
        <v>22.271</v>
      </c>
      <c r="K9713" s="6" t="n">
        <f aca="false">MAX(0,MIN(bb_target,Sens!J9715+Sens!K9711-Sens!K9712-min_cash))</f>
        <v>22.271</v>
      </c>
    </row>
    <row r="9714" customFormat="false" ht="15" hidden="false" customHeight="false" outlineLevel="0" collapsed="false">
      <c r="A9714" s="1" t="s">
        <v>957</v>
      </c>
      <c r="B9714" s="0" t="s">
        <v>98</v>
      </c>
      <c r="F9714" s="6" t="n">
        <f aca="false">MAX(0,min_cash-(Sens!E9715+Sens!F9711-Sens!F9712-Sens!F9713))</f>
        <v>14.195339896973</v>
      </c>
      <c r="G9714" s="6" t="n">
        <f aca="false">MAX(0,min_cash-(Sens!F9715+Sens!G9711-Sens!G9712-Sens!G9713))</f>
        <v>13.0732629886994</v>
      </c>
      <c r="H9714" s="6" t="n">
        <f aca="false">MAX(0,min_cash-(Sens!G9715+Sens!H9711-Sens!H9712-Sens!H9713))</f>
        <v>0</v>
      </c>
      <c r="I9714" s="6" t="n">
        <f aca="false">MAX(0,min_cash-(Sens!H9715+Sens!I9711-Sens!I9712-Sens!I9713))</f>
        <v>0</v>
      </c>
      <c r="J9714" s="6" t="n">
        <f aca="false">MAX(0,min_cash-(Sens!I9715+Sens!J9711-Sens!J9712-Sens!J9713))</f>
        <v>0</v>
      </c>
      <c r="K9714" s="6" t="n">
        <f aca="false">MAX(0,min_cash-(Sens!J9715+Sens!K9711-Sens!K9712-Sens!K9713))</f>
        <v>0</v>
      </c>
    </row>
    <row r="9715" customFormat="false" ht="15" hidden="false" customHeight="false" outlineLevel="0" collapsed="false">
      <c r="A9715" s="1" t="s">
        <v>958</v>
      </c>
      <c r="B9715" s="0" t="s">
        <v>98</v>
      </c>
      <c r="E9715" s="6" t="n">
        <f aca="false">cash_open</f>
        <v>76.843</v>
      </c>
      <c r="F9715" s="6" t="n">
        <f aca="false">Sens!E9715+Sens!F9711-Sens!F9712-Sens!F9713+Sens!F9714</f>
        <v>50</v>
      </c>
      <c r="G9715" s="6" t="n">
        <f aca="false">Sens!F9715+Sens!G9711-Sens!G9712-Sens!G9713+Sens!G9714</f>
        <v>50</v>
      </c>
      <c r="H9715" s="6" t="n">
        <f aca="false">Sens!G9715+Sens!H9711-Sens!H9712-Sens!H9713+Sens!H9714</f>
        <v>50</v>
      </c>
      <c r="I9715" s="6" t="n">
        <f aca="false">Sens!H9715+Sens!I9711-Sens!I9712-Sens!I9713+Sens!I9714</f>
        <v>90.5436588181609</v>
      </c>
      <c r="J9715" s="6" t="n">
        <f aca="false">Sens!I9715+Sens!J9711-Sens!J9712-Sens!J9713+Sens!J9714</f>
        <v>193.645032972282</v>
      </c>
      <c r="K9715" s="6" t="n">
        <f aca="false">Sens!J9715+Sens!K9711-Sens!K9712-Sens!K9713+Sens!K9714</f>
        <v>325.366968310368</v>
      </c>
    </row>
    <row r="9716" customFormat="false" ht="15" hidden="false" customHeight="false" outlineLevel="0" collapsed="false">
      <c r="A9716" s="1" t="s">
        <v>959</v>
      </c>
      <c r="B9716" s="0" t="s">
        <v>98</v>
      </c>
      <c r="E9716" s="6" t="n">
        <f aca="false">debt_face</f>
        <v>46.136</v>
      </c>
      <c r="F9716" s="6" t="n">
        <f aca="false">Sens!E9716-Sens!F9712+Sens!F9714</f>
        <v>51.081339896973</v>
      </c>
      <c r="G9716" s="6" t="n">
        <f aca="false">Sens!F9716-Sens!G9712+Sens!G9714</f>
        <v>64.1546028856724</v>
      </c>
      <c r="H9716" s="6" t="n">
        <f aca="false">Sens!G9716-Sens!H9712+Sens!H9714</f>
        <v>62.1536028856724</v>
      </c>
      <c r="I9716" s="6" t="n">
        <f aca="false">Sens!H9716-Sens!I9712+Sens!I9714</f>
        <v>62.1536028856724</v>
      </c>
      <c r="J9716" s="6" t="n">
        <f aca="false">Sens!I9716-Sens!J9712+Sens!J9714</f>
        <v>61.6536028856724</v>
      </c>
      <c r="K9716" s="6" t="n">
        <f aca="false">Sens!J9716-Sens!K9712+Sens!K9714</f>
        <v>61.6536028856724</v>
      </c>
    </row>
    <row r="9717" customFormat="false" ht="15" hidden="false" customHeight="false" outlineLevel="0" collapsed="false">
      <c r="A9717" s="1" t="s">
        <v>960</v>
      </c>
      <c r="B9717" s="0" t="s">
        <v>98</v>
      </c>
      <c r="E9717" s="6" t="n">
        <f aca="false">Sens!E9715-Sens!E9716</f>
        <v>30.707</v>
      </c>
      <c r="F9717" s="6" t="n">
        <f aca="false">Sens!F9715-Sens!F9716</f>
        <v>-1.08133989697296</v>
      </c>
      <c r="G9717" s="6" t="n">
        <f aca="false">Sens!G9715-Sens!G9716</f>
        <v>-14.1546028856723</v>
      </c>
      <c r="H9717" s="6" t="n">
        <f aca="false">Sens!H9715-Sens!H9716</f>
        <v>-12.1536028856723</v>
      </c>
      <c r="I9717" s="6" t="n">
        <f aca="false">Sens!I9715-Sens!I9716</f>
        <v>28.3900559324886</v>
      </c>
      <c r="J9717" s="6" t="n">
        <f aca="false">Sens!J9715-Sens!J9716</f>
        <v>131.99143008661</v>
      </c>
      <c r="K9717" s="6" t="n">
        <f aca="false">Sens!K9715-Sens!K9716</f>
        <v>263.713365424696</v>
      </c>
    </row>
    <row r="9718" customFormat="false" ht="15" hidden="false" customHeight="false" outlineLevel="0" collapsed="false">
      <c r="A9718" s="1" t="s">
        <v>961</v>
      </c>
      <c r="B9718" s="0" t="s">
        <v>75</v>
      </c>
      <c r="F9718" s="29" t="n">
        <f aca="false">px*(1+bb_g)^(Sens!F9582-base_fy-mid_yr)</f>
        <v>553.494156066711</v>
      </c>
      <c r="G9718" s="29" t="n">
        <f aca="false">px*(1+bb_g)^(Sens!G9582-base_fy-mid_yr)</f>
        <v>597.773688552047</v>
      </c>
      <c r="H9718" s="29" t="n">
        <f aca="false">px*(1+bb_g)^(Sens!H9582-base_fy-mid_yr)</f>
        <v>645.595583636211</v>
      </c>
      <c r="I9718" s="29" t="n">
        <f aca="false">px*(1+bb_g)^(Sens!I9582-base_fy-mid_yr)</f>
        <v>697.243230327108</v>
      </c>
      <c r="J9718" s="29" t="n">
        <f aca="false">px*(1+bb_g)^(Sens!J9582-base_fy-mid_yr)</f>
        <v>753.022688753277</v>
      </c>
      <c r="K9718" s="29" t="n">
        <f aca="false">px*(1+bb_g)^(Sens!K9582-base_fy-mid_yr)</f>
        <v>813.264503853539</v>
      </c>
    </row>
    <row r="9719" customFormat="false" ht="15" hidden="false" customHeight="false" outlineLevel="0" collapsed="false">
      <c r="A9719" s="1" t="s">
        <v>962</v>
      </c>
      <c r="B9719" s="1" t="s">
        <v>81</v>
      </c>
      <c r="E9719" s="14" t="n">
        <f aca="false">sh_out26</f>
        <v>7.427</v>
      </c>
      <c r="F9719" s="14" t="n">
        <f aca="false">Sens!E9719+sh_iss-Sens!F9713/Sens!F9718</f>
        <v>7.472</v>
      </c>
      <c r="G9719" s="14" t="n">
        <f aca="false">Sens!F9719+sh_iss-Sens!G9713/Sens!G9718</f>
        <v>7.517</v>
      </c>
      <c r="H9719" s="14" t="n">
        <f aca="false">Sens!G9719+sh_iss-Sens!H9713/Sens!H9718</f>
        <v>7.55141319257209</v>
      </c>
      <c r="I9719" s="14" t="n">
        <f aca="false">Sens!H9719+sh_iss-Sens!I9713/Sens!I9718</f>
        <v>7.56447168488682</v>
      </c>
      <c r="J9719" s="14" t="n">
        <f aca="false">Sens!I9719+sh_iss-Sens!J9713/Sens!J9718</f>
        <v>7.57989621480786</v>
      </c>
      <c r="K9719" s="14" t="n">
        <f aca="false">Sens!J9719+sh_iss-Sens!K9713/Sens!K9718</f>
        <v>7.5975115202903</v>
      </c>
    </row>
    <row r="9720" customFormat="false" ht="15" hidden="false" customHeight="false" outlineLevel="0" collapsed="false">
      <c r="A9720" s="1" t="s">
        <v>963</v>
      </c>
      <c r="B9720" s="1" t="s">
        <v>81</v>
      </c>
      <c r="E9720" s="14" t="n">
        <f aca="false">sh_dil26</f>
        <v>7.453</v>
      </c>
      <c r="F9720" s="14" t="n">
        <f aca="false">(Sens!E9719+Sens!F9719)/2+dil_gap</f>
        <v>7.4735</v>
      </c>
      <c r="G9720" s="14" t="n">
        <f aca="false">(Sens!F9719+Sens!G9719)/2+dil_gap</f>
        <v>7.5185</v>
      </c>
      <c r="H9720" s="14" t="n">
        <f aca="false">(Sens!G9719+Sens!H9719)/2+dil_gap</f>
        <v>7.55820659628605</v>
      </c>
      <c r="I9720" s="14" t="n">
        <f aca="false">(Sens!H9719+Sens!I9719)/2+dil_gap</f>
        <v>7.58194243872946</v>
      </c>
      <c r="J9720" s="14" t="n">
        <f aca="false">(Sens!I9719+Sens!J9719)/2+dil_gap</f>
        <v>7.59618394984734</v>
      </c>
      <c r="K9720" s="14" t="n">
        <f aca="false">(Sens!J9719+Sens!K9719)/2+dil_gap</f>
        <v>7.61270386754908</v>
      </c>
    </row>
    <row r="9721" customFormat="false" ht="17.15" hidden="false" customHeight="false" outlineLevel="0" collapsed="false">
      <c r="A9721" s="1" t="s">
        <v>964</v>
      </c>
      <c r="B9721" s="0" t="s">
        <v>98</v>
      </c>
      <c r="C9721" s="6" t="n">
        <f aca="false">SUM(Sens!F9711:J9711)</f>
        <v>152.661226206873</v>
      </c>
    </row>
    <row r="9722" customFormat="false" ht="15" hidden="false" customHeight="false" outlineLevel="0" collapsed="false">
      <c r="A9722" s="23" t="s">
        <v>935</v>
      </c>
      <c r="B9722" s="30" t="s">
        <v>98</v>
      </c>
      <c r="C9722" s="24" t="n">
        <f aca="false">Sens!$C$9721-(Sens!F9711+Sens!G9711+Sens!H9711+Sens!I9711+Sens!J9711)</f>
        <v>0</v>
      </c>
      <c r="D9722" s="30"/>
      <c r="E9722" s="30"/>
      <c r="F9722" s="30"/>
      <c r="G9722" s="30"/>
      <c r="H9722" s="30"/>
      <c r="I9722" s="30"/>
      <c r="J9722" s="30"/>
      <c r="K9722" s="30"/>
    </row>
    <row r="9723" customFormat="false" ht="17.15" hidden="false" customHeight="false" outlineLevel="0" collapsed="false">
      <c r="A9723" s="1" t="s">
        <v>929</v>
      </c>
      <c r="B9723" s="1" t="s">
        <v>965</v>
      </c>
      <c r="C9723" s="32" t="str">
        <f aca="false">IF(SUM(Sens!F9714:J9714)&gt;0.05,"需要舉債 "&amp;TEXT(SUM(Sens!F9714:J9714),"0.0")&amp;" 十億美元","不需舉債")&amp;"；"&amp;IF(SUM(Sens!F9713:J9713)&lt;COUNT(Sens!F9713:J9713)*bb_target-0.05,"回購較每年 "&amp;TEXT(bb_target,"0.0")&amp;" 的目標少 "&amp;TEXT(COUNT(Sens!F9713:J9713)*bb_target-SUM(Sens!F9713:J9713),"0.0")&amp;" 十億美元（"&amp;TEXT(COUNTIF(Sens!F9713:J9713,"&lt;"&amp;(bb_target-0.05)),"0")&amp;" 年減少）","回購不減")</f>
        <v>需要舉債 27.3 十億美元；回購較每年 22.3 的目標少 60.0 十億美元（3 年減少）</v>
      </c>
    </row>
    <row r="9724" customFormat="false" ht="17.15" hidden="false" customHeight="false" outlineLevel="0" collapsed="false">
      <c r="A9724" s="3" t="s">
        <v>1488</v>
      </c>
    </row>
    <row r="9725" customFormat="false" ht="15" hidden="false" customHeight="false" outlineLevel="0" collapsed="false">
      <c r="A9725" s="4" t="s">
        <v>43</v>
      </c>
      <c r="B9725" s="4" t="s">
        <v>65</v>
      </c>
      <c r="C9725" s="20" t="s">
        <v>788</v>
      </c>
      <c r="D9725" s="20" t="s">
        <v>789</v>
      </c>
      <c r="E9725" s="20" t="s">
        <v>790</v>
      </c>
      <c r="F9725" s="20" t="s">
        <v>791</v>
      </c>
      <c r="G9725" s="20" t="s">
        <v>792</v>
      </c>
      <c r="H9725" s="20" t="s">
        <v>793</v>
      </c>
      <c r="I9725" s="20" t="s">
        <v>794</v>
      </c>
      <c r="J9725" s="20" t="s">
        <v>795</v>
      </c>
      <c r="K9725" s="20" t="s">
        <v>796</v>
      </c>
      <c r="L9725" s="4" t="s">
        <v>47</v>
      </c>
    </row>
    <row r="9726" customFormat="false" ht="15" hidden="false" customHeight="false" outlineLevel="0" collapsed="false">
      <c r="A9726" s="1" t="s">
        <v>1042</v>
      </c>
      <c r="B9726" s="1" t="s">
        <v>235</v>
      </c>
      <c r="F9726" s="36" t="n">
        <f aca="false">Sens!F9582-base_fy-mid_yr</f>
        <v>0.5</v>
      </c>
      <c r="G9726" s="36" t="n">
        <f aca="false">Sens!G9582-base_fy-mid_yr</f>
        <v>1.5</v>
      </c>
      <c r="H9726" s="36" t="n">
        <f aca="false">Sens!H9582-base_fy-mid_yr</f>
        <v>2.5</v>
      </c>
      <c r="I9726" s="36" t="n">
        <f aca="false">Sens!I9582-base_fy-mid_yr</f>
        <v>3.5</v>
      </c>
      <c r="J9726" s="36" t="n">
        <f aca="false">Sens!J9582-base_fy-mid_yr</f>
        <v>4.5</v>
      </c>
      <c r="K9726" s="36" t="n">
        <f aca="false">Sens!K9582-base_fy-mid_yr</f>
        <v>5.5</v>
      </c>
    </row>
    <row r="9727" customFormat="false" ht="15" hidden="false" customHeight="false" outlineLevel="0" collapsed="false">
      <c r="A9727" s="1" t="s">
        <v>1043</v>
      </c>
      <c r="B9727" s="0" t="s">
        <v>185</v>
      </c>
      <c r="F9727" s="14" t="n">
        <f aca="false">1/(1+wacc)^Sens!F9726</f>
        <v>0.952193373608246</v>
      </c>
      <c r="G9727" s="14" t="n">
        <f aca="false">1/(1+wacc)^Sens!G9726</f>
        <v>0.863327280626589</v>
      </c>
      <c r="H9727" s="14" t="n">
        <f aca="false">1/(1+wacc)^Sens!H9726</f>
        <v>0.782754862754115</v>
      </c>
      <c r="I9727" s="14" t="n">
        <f aca="false">1/(1+wacc)^Sens!I9726</f>
        <v>0.709702089711011</v>
      </c>
      <c r="J9727" s="14" t="n">
        <f aca="false">1/(1+wacc)^Sens!J9726</f>
        <v>0.643467169744551</v>
      </c>
      <c r="K9727" s="14" t="n">
        <f aca="false">1/(1+wacc)^Sens!K9726</f>
        <v>0.583413807767797</v>
      </c>
    </row>
    <row r="9728" customFormat="false" ht="17.15" hidden="false" customHeight="false" outlineLevel="0" collapsed="false">
      <c r="A9728" s="1" t="s">
        <v>1044</v>
      </c>
      <c r="B9728" s="0" t="s">
        <v>98</v>
      </c>
      <c r="F9728" s="6" t="n">
        <f aca="false">Sens!F9702-Sens!F9700-Sens!F9705+Sens!F9686*(1-tax_f)</f>
        <v>2.84880680185081</v>
      </c>
      <c r="G9728" s="6" t="n">
        <f aca="false">Sens!G9702-Sens!G9700-Sens!G9705+Sens!G9686*(1-tax_f)</f>
        <v>35.565656855761</v>
      </c>
      <c r="H9728" s="6" t="n">
        <f aca="false">Sens!H9702-Sens!H9700-Sens!H9705+Sens!H9686*(1-tax_f)</f>
        <v>72.1283363376463</v>
      </c>
      <c r="I9728" s="6" t="n">
        <f aca="false">Sens!I9702-Sens!I9700-Sens!I9705+Sens!I9686*(1-tax_f)</f>
        <v>139.853069447373</v>
      </c>
      <c r="J9728" s="6" t="n">
        <f aca="false">Sens!J9702-Sens!J9700-Sens!J9705+Sens!J9686*(1-tax_f)</f>
        <v>213.260406851692</v>
      </c>
      <c r="K9728" s="6" t="n">
        <f aca="false">Sens!K9702-Sens!K9700-Sens!K9705+Sens!K9686*(1-tax_f)</f>
        <v>248.587769515947</v>
      </c>
      <c r="L9728" s="1" t="s">
        <v>1045</v>
      </c>
    </row>
    <row r="9729" customFormat="false" ht="15" hidden="false" customHeight="false" outlineLevel="0" collapsed="false">
      <c r="A9729" s="1" t="s">
        <v>1046</v>
      </c>
      <c r="B9729" s="0" t="s">
        <v>98</v>
      </c>
      <c r="F9729" s="6" t="n">
        <f aca="false">Sens!F9728*Sens!F9727</f>
        <v>2.71261495941244</v>
      </c>
      <c r="G9729" s="6" t="n">
        <f aca="false">Sens!G9728*Sens!G9727</f>
        <v>30.7048018169826</v>
      </c>
      <c r="H9729" s="6" t="n">
        <f aca="false">Sens!H9728*Sens!H9727</f>
        <v>56.458806010657</v>
      </c>
      <c r="I9729" s="6" t="n">
        <f aca="false">Sens!I9728*Sens!I9727</f>
        <v>99.2540156392997</v>
      </c>
      <c r="J9729" s="6" t="n">
        <f aca="false">Sens!J9728*Sens!J9727</f>
        <v>137.22607041543</v>
      </c>
      <c r="K9729" s="6" t="n">
        <f aca="false">Sens!K9728*Sens!K9727</f>
        <v>145.029537177802</v>
      </c>
    </row>
    <row r="9730" customFormat="false" ht="17.15" hidden="false" customHeight="false" outlineLevel="0" collapsed="false">
      <c r="A9730" s="1" t="s">
        <v>1047</v>
      </c>
      <c r="B9730" s="0" t="s">
        <v>98</v>
      </c>
      <c r="C9730" s="6" t="n">
        <f aca="false">SUM(Sens!F9729:K9729)</f>
        <v>471.385846019584</v>
      </c>
    </row>
    <row r="9731" customFormat="false" ht="17.15" hidden="false" customHeight="false" outlineLevel="0" collapsed="false">
      <c r="A9731" s="1" t="s">
        <v>1048</v>
      </c>
      <c r="B9731" s="0" t="s">
        <v>98</v>
      </c>
      <c r="C9731" s="6" t="n">
        <f aca="false">Sens!K9672*(1+g_tv)*(1-tax_f)</f>
        <v>256.90888790365</v>
      </c>
    </row>
    <row r="9732" customFormat="false" ht="17.15" hidden="false" customHeight="false" outlineLevel="0" collapsed="false">
      <c r="A9732" s="1" t="s">
        <v>1049</v>
      </c>
      <c r="B9732" s="0" t="s">
        <v>98</v>
      </c>
      <c r="C9732" s="6" t="n">
        <f aca="false">Sens!$C$9731*(1-g_tv/(wacc+ronic_prem))</f>
        <v>182.033383381884</v>
      </c>
    </row>
    <row r="9733" customFormat="false" ht="17.15" hidden="false" customHeight="false" outlineLevel="0" collapsed="false">
      <c r="A9733" s="1" t="s">
        <v>1050</v>
      </c>
      <c r="B9733" s="0" t="s">
        <v>98</v>
      </c>
      <c r="C9733" s="6" t="n">
        <f aca="false">Sens!$C$9732/(wacc-g_tv)</f>
        <v>2495.85015072554</v>
      </c>
    </row>
    <row r="9734" customFormat="false" ht="15" hidden="false" customHeight="false" outlineLevel="0" collapsed="false">
      <c r="A9734" s="1" t="s">
        <v>1051</v>
      </c>
      <c r="B9734" s="0" t="s">
        <v>98</v>
      </c>
      <c r="C9734" s="6" t="n">
        <f aca="false">Sens!$C$9733/(1+wacc)^(Sens!K9726+mid_yr)</f>
        <v>1386.50156884001</v>
      </c>
    </row>
    <row r="9735" customFormat="false" ht="17.15" hidden="false" customHeight="false" outlineLevel="0" collapsed="false">
      <c r="A9735" s="0" t="s">
        <v>972</v>
      </c>
      <c r="B9735" s="0" t="s">
        <v>98</v>
      </c>
      <c r="C9735" s="6" t="n">
        <f aca="false">Sens!$C$9730+Sens!$C$9734</f>
        <v>1857.88741485959</v>
      </c>
    </row>
    <row r="9736" customFormat="false" ht="15" hidden="false" customHeight="false" outlineLevel="0" collapsed="false">
      <c r="A9736" s="1" t="s">
        <v>973</v>
      </c>
      <c r="B9736" s="0" t="s">
        <v>129</v>
      </c>
      <c r="C9736" s="7" t="n">
        <f aca="false">Sens!$C$9734/Sens!$C$9735</f>
        <v>0.746278573045177</v>
      </c>
    </row>
    <row r="9737" customFormat="false" ht="17.15" hidden="false" customHeight="false" outlineLevel="0" collapsed="false">
      <c r="A9737" s="1" t="s">
        <v>1052</v>
      </c>
      <c r="B9737" s="0" t="s">
        <v>98</v>
      </c>
      <c r="C9737" s="6" t="n">
        <f aca="false">Sens!$C$9735+Sens!E9717-Sens!E9706+oai_v</f>
        <v>1992.40041485959</v>
      </c>
    </row>
    <row r="9738" customFormat="false" ht="17.15" hidden="false" customHeight="false" outlineLevel="0" collapsed="false">
      <c r="A9738" s="0" t="s">
        <v>980</v>
      </c>
      <c r="B9738" s="0" t="s">
        <v>75</v>
      </c>
      <c r="C9738" s="5" t="n">
        <f aca="false">Sens!$C$9737/sh_dil26</f>
        <v>267.328648176518</v>
      </c>
    </row>
    <row r="9739" customFormat="false" ht="15" hidden="false" customHeight="false" outlineLevel="0" collapsed="false">
      <c r="A9739" s="1" t="s">
        <v>1053</v>
      </c>
      <c r="B9739" s="0" t="s">
        <v>75</v>
      </c>
      <c r="C9739" s="8" t="n">
        <f aca="false">dps_27+Sens!G9709*roll_div_q/q_per_yr</f>
        <v>4.8895</v>
      </c>
    </row>
    <row r="9740" customFormat="false" ht="17.15" hidden="false" customHeight="false" outlineLevel="0" collapsed="false">
      <c r="A9740" s="0" t="s">
        <v>1054</v>
      </c>
      <c r="B9740" s="0" t="s">
        <v>75</v>
      </c>
      <c r="C9740" s="5" t="n">
        <f aca="false">Sens!$C$9738*(1+wacc)^t_roll-Sens!$C$9739</f>
        <v>299.526557655382</v>
      </c>
    </row>
    <row r="9741" customFormat="false" ht="17.15" hidden="false" customHeight="false" outlineLevel="0" collapsed="false">
      <c r="A9741" s="1" t="s">
        <v>1055</v>
      </c>
      <c r="B9741" s="0" t="s">
        <v>129</v>
      </c>
      <c r="F9741" s="7" t="n">
        <f aca="false">Sens!F9698/(Sens!F9643-Sens!F9599)</f>
        <v>0.0686644603972413</v>
      </c>
      <c r="G9741" s="7" t="n">
        <f aca="false">Sens!G9698/(Sens!G9643-Sens!G9599)</f>
        <v>0.0662060826831296</v>
      </c>
      <c r="H9741" s="7" t="n">
        <f aca="false">Sens!H9698/(Sens!H9643-Sens!H9599)</f>
        <v>0.0649214849933695</v>
      </c>
      <c r="I9741" s="7" t="n">
        <f aca="false">Sens!I9698/(Sens!I9643-Sens!I9599)</f>
        <v>0.0646712136081654</v>
      </c>
      <c r="J9741" s="7" t="n">
        <f aca="false">Sens!J9698/(Sens!J9643-Sens!J9599)</f>
        <v>0.0652415403985935</v>
      </c>
      <c r="K9741" s="7" t="n">
        <f aca="false">Sens!K9698/(Sens!K9643-Sens!K9599)</f>
        <v>0.0663942584137127</v>
      </c>
    </row>
    <row r="9742" customFormat="false" ht="17.15" hidden="false" customHeight="false" outlineLevel="0" collapsed="false">
      <c r="A9742" s="0" t="s">
        <v>1056</v>
      </c>
      <c r="B9742" s="0" t="s">
        <v>98</v>
      </c>
      <c r="F9742" s="6" t="n">
        <f aca="false">Sens!F9628*(al_m365+Sens!F9741+sbc_r)</f>
        <v>82.884548667999</v>
      </c>
      <c r="G9742" s="6" t="n">
        <f aca="false">Sens!G9628*(al_m365+Sens!G9741+sbc_r)</f>
        <v>93.2565750382348</v>
      </c>
      <c r="H9742" s="6" t="n">
        <f aca="false">Sens!H9628*(al_m365+Sens!H9741+sbc_r)</f>
        <v>103.78464111914</v>
      </c>
      <c r="I9742" s="6" t="n">
        <f aca="false">Sens!I9628*(al_m365+Sens!I9741+sbc_r)</f>
        <v>113.791707785374</v>
      </c>
      <c r="J9742" s="6" t="n">
        <f aca="false">Sens!J9628*(al_m365+Sens!J9741+sbc_r)</f>
        <v>123.087593528193</v>
      </c>
      <c r="K9742" s="6" t="n">
        <f aca="false">Sens!K9628*(al_m365+Sens!K9741+sbc_r)</f>
        <v>131.9778584603</v>
      </c>
      <c r="L9742" s="11" t="s">
        <v>1057</v>
      </c>
    </row>
    <row r="9743" customFormat="false" ht="17.15" hidden="false" customHeight="false" outlineLevel="0" collapsed="false">
      <c r="A9743" s="0" t="s">
        <v>1058</v>
      </c>
      <c r="B9743" s="0" t="s">
        <v>98</v>
      </c>
      <c r="F9743" s="6" t="n">
        <f aca="false">Sens!F9629*(al_lic+Sens!F9741+sbc_r)</f>
        <v>33.4475416247736</v>
      </c>
      <c r="G9743" s="6" t="n">
        <f aca="false">Sens!G9629*(al_lic+Sens!G9741+sbc_r)</f>
        <v>34.7637326571899</v>
      </c>
      <c r="H9743" s="6" t="n">
        <f aca="false">Sens!H9629*(al_lic+Sens!H9741+sbc_r)</f>
        <v>35.9873450917345</v>
      </c>
      <c r="I9743" s="6" t="n">
        <f aca="false">Sens!I9629*(al_lic+Sens!I9741+sbc_r)</f>
        <v>37.0982510141297</v>
      </c>
      <c r="J9743" s="6" t="n">
        <f aca="false">Sens!J9629*(al_lic+Sens!J9741+sbc_r)</f>
        <v>38.0729167926416</v>
      </c>
      <c r="K9743" s="6" t="n">
        <f aca="false">Sens!K9629*(al_lic+Sens!K9741+sbc_r)</f>
        <v>38.8868778461909</v>
      </c>
    </row>
    <row r="9744" customFormat="false" ht="17.15" hidden="false" customHeight="false" outlineLevel="0" collapsed="false">
      <c r="A9744" s="0" t="s">
        <v>1059</v>
      </c>
      <c r="B9744" s="0" t="s">
        <v>98</v>
      </c>
      <c r="F9744" s="6" t="n">
        <f aca="false">Sens!F9631*(al_ind+Sens!F9741+sbc_r)</f>
        <v>9.07808328232971</v>
      </c>
      <c r="G9744" s="6" t="n">
        <f aca="false">Sens!G9631*(al_ind+Sens!G9741+sbc_r)</f>
        <v>9.86338921709242</v>
      </c>
      <c r="H9744" s="6" t="n">
        <f aca="false">Sens!H9631*(al_ind+Sens!H9741+sbc_r)</f>
        <v>10.6907500205412</v>
      </c>
      <c r="I9744" s="6" t="n">
        <f aca="false">Sens!I9631*(al_ind+Sens!I9741+sbc_r)</f>
        <v>11.5555154705613</v>
      </c>
      <c r="J9744" s="6" t="n">
        <f aca="false">Sens!J9631*(al_ind+Sens!J9741+sbc_r)</f>
        <v>12.4488378520105</v>
      </c>
      <c r="K9744" s="6" t="n">
        <f aca="false">Sens!K9631*(al_ind+Sens!K9741+sbc_r)</f>
        <v>13.3583925660936</v>
      </c>
    </row>
    <row r="9745" customFormat="false" ht="17.15" hidden="false" customHeight="false" outlineLevel="0" collapsed="false">
      <c r="A9745" s="0" t="s">
        <v>1060</v>
      </c>
      <c r="B9745" s="0" t="s">
        <v>98</v>
      </c>
      <c r="F9745" s="6" t="n">
        <f aca="false">Sens!F9633*(al_fro+Sens!F9741+sbc_r)</f>
        <v>3.57316545126823</v>
      </c>
      <c r="G9745" s="6" t="n">
        <f aca="false">Sens!G9633*(al_fro+Sens!G9741+sbc_r)</f>
        <v>3.78695831928741</v>
      </c>
      <c r="H9745" s="6" t="n">
        <f aca="false">Sens!H9633*(al_fro+Sens!H9741+sbc_r)</f>
        <v>4.0286405259617</v>
      </c>
      <c r="I9745" s="6" t="n">
        <f aca="false">Sens!I9633*(al_fro+Sens!I9741+sbc_r)</f>
        <v>4.30049255438252</v>
      </c>
      <c r="J9745" s="6" t="n">
        <f aca="false">Sens!J9633*(al_fro+Sens!J9741+sbc_r)</f>
        <v>4.60405864562446</v>
      </c>
      <c r="K9745" s="6" t="n">
        <f aca="false">Sens!K9633*(al_fro+Sens!K9741+sbc_r)</f>
        <v>4.94044693301517</v>
      </c>
    </row>
    <row r="9746" customFormat="false" ht="17.15" hidden="false" customHeight="false" outlineLevel="0" collapsed="false">
      <c r="A9746" s="0" t="s">
        <v>1061</v>
      </c>
      <c r="B9746" s="0" t="s">
        <v>98</v>
      </c>
      <c r="F9746" s="6" t="n">
        <f aca="false">Sens!F9636*(al_srch+Sens!F9741+sbc_r)</f>
        <v>11.2619849062991</v>
      </c>
      <c r="G9746" s="6" t="n">
        <f aca="false">Sens!G9636*(al_srch+Sens!G9741+sbc_r)</f>
        <v>12.4636021833346</v>
      </c>
      <c r="H9746" s="6" t="n">
        <f aca="false">Sens!H9636*(al_srch+Sens!H9741+sbc_r)</f>
        <v>13.791538796462</v>
      </c>
      <c r="I9746" s="6" t="n">
        <f aca="false">Sens!I9636*(al_srch+Sens!I9741+sbc_r)</f>
        <v>15.253862589761</v>
      </c>
      <c r="J9746" s="6" t="n">
        <f aca="false">Sens!J9636*(al_srch+Sens!J9741+sbc_r)</f>
        <v>16.8543687229701</v>
      </c>
      <c r="K9746" s="6" t="n">
        <f aca="false">Sens!K9636*(al_srch+Sens!K9741+sbc_r)</f>
        <v>18.5928852954096</v>
      </c>
    </row>
    <row r="9747" customFormat="false" ht="17.15" hidden="false" customHeight="false" outlineLevel="0" collapsed="false">
      <c r="A9747" s="0" t="s">
        <v>1062</v>
      </c>
      <c r="B9747" s="0" t="s">
        <v>98</v>
      </c>
      <c r="F9747" s="6" t="n">
        <f aca="false">Sens!F9605-Sens!F9606+Sens!F9686</f>
        <v>49.3166695044068</v>
      </c>
      <c r="G9747" s="6" t="n">
        <f aca="false">Sens!G9605-Sens!G9606+Sens!G9686</f>
        <v>79.1711235199867</v>
      </c>
      <c r="H9747" s="6" t="n">
        <f aca="false">Sens!H9605-Sens!H9606+Sens!H9686</f>
        <v>105.986955995322</v>
      </c>
      <c r="I9747" s="6" t="n">
        <f aca="false">Sens!I9605-Sens!I9606+Sens!I9686</f>
        <v>136.51312421941</v>
      </c>
      <c r="J9747" s="6" t="n">
        <f aca="false">Sens!J9605-Sens!J9606+Sens!J9686</f>
        <v>158.045869188803</v>
      </c>
      <c r="K9747" s="6" t="n">
        <f aca="false">Sens!K9605-Sens!K9606+Sens!K9686</f>
        <v>171.626834186355</v>
      </c>
    </row>
    <row r="9748" customFormat="false" ht="17.15" hidden="false" customHeight="false" outlineLevel="0" collapsed="false">
      <c r="A9748" s="0" t="s">
        <v>1063</v>
      </c>
      <c r="B9748" s="0" t="s">
        <v>98</v>
      </c>
      <c r="F9748" s="6" t="n">
        <f aca="false">Sens!F9665+Sens!F9686+Sens!F9616+Sens!F9741*(Sens!F9635-Sens!F9599)+sbc_r*Sens!F9635</f>
        <v>239.215694112818</v>
      </c>
      <c r="G9748" s="6" t="n">
        <f aca="false">Sens!G9665+Sens!G9686+Sens!G9616+Sens!G9741*(Sens!G9635-Sens!G9599)+sbc_r*Sens!G9635</f>
        <v>293.869823380423</v>
      </c>
      <c r="H9748" s="6" t="n">
        <f aca="false">Sens!H9665+Sens!H9686+Sens!H9616+Sens!H9741*(Sens!H9635-Sens!H9599)+sbc_r*Sens!H9635</f>
        <v>345.755351438137</v>
      </c>
      <c r="I9748" s="6" t="n">
        <f aca="false">Sens!I9665+Sens!I9686+Sens!I9616+Sens!I9741*(Sens!I9635-Sens!I9599)+sbc_r*Sens!I9635</f>
        <v>400.729645490743</v>
      </c>
      <c r="J9748" s="6" t="n">
        <f aca="false">Sens!J9665+Sens!J9686+Sens!J9616+Sens!J9741*(Sens!J9635-Sens!J9599)+sbc_r*Sens!J9635</f>
        <v>444.802278602951</v>
      </c>
      <c r="K9748" s="6" t="n">
        <f aca="false">Sens!K9665+Sens!K9686+Sens!K9616+Sens!K9741*(Sens!K9635-Sens!K9599)+sbc_r*Sens!K9635</f>
        <v>478.606399550609</v>
      </c>
    </row>
    <row r="9749" customFormat="false" ht="17.15" hidden="false" customHeight="false" outlineLevel="0" collapsed="false">
      <c r="A9749" s="0" t="s">
        <v>1064</v>
      </c>
      <c r="B9749" s="0" t="s">
        <v>98</v>
      </c>
      <c r="F9749" s="6" t="n">
        <f aca="false">Sens!F9748-Sens!F9742-Sens!F9743-Sens!F9744-Sens!F9745-Sens!F9747</f>
        <v>60.9156855820405</v>
      </c>
      <c r="G9749" s="6" t="n">
        <f aca="false">Sens!G9748-Sens!G9742-Sens!G9743-Sens!G9744-Sens!G9745-Sens!G9747</f>
        <v>73.0280446286313</v>
      </c>
      <c r="H9749" s="6" t="n">
        <f aca="false">Sens!H9748-Sens!H9742-Sens!H9743-Sens!H9744-Sens!H9745-Sens!H9747</f>
        <v>85.2770186854376</v>
      </c>
      <c r="I9749" s="6" t="n">
        <f aca="false">Sens!I9748-Sens!I9742-Sens!I9743-Sens!I9744-Sens!I9745-Sens!I9747</f>
        <v>97.4705544468851</v>
      </c>
      <c r="J9749" s="6" t="n">
        <f aca="false">Sens!J9748-Sens!J9742-Sens!J9743-Sens!J9744-Sens!J9745-Sens!J9747</f>
        <v>108.543002595678</v>
      </c>
      <c r="K9749" s="6" t="n">
        <f aca="false">Sens!K9748-Sens!K9742-Sens!K9743-Sens!K9744-Sens!K9745-Sens!K9747</f>
        <v>117.815989558654</v>
      </c>
    </row>
    <row r="9750" customFormat="false" ht="17.15" hidden="false" customHeight="false" outlineLevel="0" collapsed="false">
      <c r="A9750" s="0" t="s">
        <v>1065</v>
      </c>
      <c r="B9750" s="0" t="s">
        <v>98</v>
      </c>
      <c r="F9750" s="6" t="n">
        <f aca="false">Sens!F9667+Sens!F9741*Sens!F9642+sbc_r*Sens!F9642</f>
        <v>26.2534736930423</v>
      </c>
      <c r="G9750" s="6" t="n">
        <f aca="false">Sens!G9667+Sens!G9741*Sens!G9642+sbc_r*Sens!G9642</f>
        <v>27.00215757916</v>
      </c>
      <c r="H9750" s="6" t="n">
        <f aca="false">Sens!H9667+Sens!H9741*Sens!H9642+sbc_r*Sens!H9642</f>
        <v>28.0926290810138</v>
      </c>
      <c r="I9750" s="6" t="n">
        <f aca="false">Sens!I9667+Sens!I9741*Sens!I9642+sbc_r*Sens!I9642</f>
        <v>29.5133736751047</v>
      </c>
      <c r="J9750" s="6" t="n">
        <f aca="false">Sens!J9667+Sens!J9741*Sens!J9642+sbc_r*Sens!J9642</f>
        <v>31.2552209001775</v>
      </c>
      <c r="K9750" s="6" t="n">
        <f aca="false">Sens!K9667+Sens!K9741*Sens!K9642+sbc_r*Sens!K9642</f>
        <v>33.311977501498</v>
      </c>
    </row>
    <row r="9751" customFormat="false" ht="17.15" hidden="false" customHeight="false" outlineLevel="0" collapsed="false">
      <c r="A9751" s="0" t="s">
        <v>1066</v>
      </c>
      <c r="B9751" s="0" t="s">
        <v>98</v>
      </c>
      <c r="F9751" s="6" t="n">
        <f aca="false">(Sens!F9750-Sens!F9746)*Sens!F9638/(Sens!F9638+Sens!F9640)</f>
        <v>8.21818813790761</v>
      </c>
      <c r="G9751" s="6" t="n">
        <f aca="false">(Sens!G9750-Sens!G9746)*Sens!G9638/(Sens!G9638+Sens!G9640)</f>
        <v>7.82779174710606</v>
      </c>
      <c r="H9751" s="6" t="n">
        <f aca="false">(Sens!H9750-Sens!H9746)*Sens!H9638/(Sens!H9638+Sens!H9640)</f>
        <v>7.59592343997655</v>
      </c>
      <c r="I9751" s="6" t="n">
        <f aca="false">(Sens!I9750-Sens!I9746)*Sens!I9638/(Sens!I9638+Sens!I9640)</f>
        <v>7.50531074981579</v>
      </c>
      <c r="J9751" s="6" t="n">
        <f aca="false">(Sens!J9750-Sens!J9746)*Sens!J9638/(Sens!J9638+Sens!J9640)</f>
        <v>7.54542867949487</v>
      </c>
      <c r="K9751" s="6" t="n">
        <f aca="false">(Sens!K9750-Sens!K9746)*Sens!K9638/(Sens!K9638+Sens!K9640)</f>
        <v>7.71217280069919</v>
      </c>
    </row>
    <row r="9752" customFormat="false" ht="17.15" hidden="false" customHeight="false" outlineLevel="0" collapsed="false">
      <c r="A9752" s="0" t="s">
        <v>1067</v>
      </c>
      <c r="B9752" s="0" t="s">
        <v>98</v>
      </c>
      <c r="F9752" s="6" t="n">
        <f aca="false">Sens!F9750-Sens!F9746-Sens!F9751</f>
        <v>6.77330064883561</v>
      </c>
      <c r="G9752" s="6" t="n">
        <f aca="false">Sens!G9750-Sens!G9746-Sens!G9751</f>
        <v>6.7107636487194</v>
      </c>
      <c r="H9752" s="6" t="n">
        <f aca="false">Sens!H9750-Sens!H9746-Sens!H9751</f>
        <v>6.70516684457527</v>
      </c>
      <c r="I9752" s="6" t="n">
        <f aca="false">Sens!I9750-Sens!I9746-Sens!I9751</f>
        <v>6.75420033552794</v>
      </c>
      <c r="J9752" s="6" t="n">
        <f aca="false">Sens!J9750-Sens!J9746-Sens!J9751</f>
        <v>6.85542349771256</v>
      </c>
      <c r="K9752" s="6" t="n">
        <f aca="false">Sens!K9750-Sens!K9746-Sens!K9751</f>
        <v>7.00691940538921</v>
      </c>
    </row>
    <row r="9753" customFormat="false" ht="17.15" hidden="false" customHeight="false" outlineLevel="0" collapsed="false">
      <c r="A9753" s="0" t="s">
        <v>1068</v>
      </c>
      <c r="B9753" s="0" t="s">
        <v>98</v>
      </c>
      <c r="F9753" s="6" t="n">
        <f aca="false">Sens!F9747-tax_f*(Sens!F9747-Sens!F9616)-Sens!F9613</f>
        <v>-122.356941642405</v>
      </c>
      <c r="G9753" s="6" t="n">
        <f aca="false">Sens!G9747-tax_f*(Sens!G9747-Sens!G9616)-Sens!G9613</f>
        <v>-108.131266148476</v>
      </c>
      <c r="H9753" s="6" t="n">
        <f aca="false">Sens!H9747-tax_f*(Sens!H9747-Sens!H9616)-Sens!H9613</f>
        <v>-85.7375890488475</v>
      </c>
      <c r="I9753" s="6" t="n">
        <f aca="false">Sens!I9747-tax_f*(Sens!I9747-Sens!I9616)-Sens!I9613</f>
        <v>-32.0940929156064</v>
      </c>
      <c r="J9753" s="6" t="n">
        <f aca="false">Sens!J9747-tax_f*(Sens!J9747-Sens!J9616)-Sens!J9613</f>
        <v>27.765629684152</v>
      </c>
      <c r="K9753" s="6" t="n">
        <f aca="false">Sens!K9747-tax_f*(Sens!K9747-Sens!K9616)-Sens!K9613</f>
        <v>50.2762299347093</v>
      </c>
    </row>
    <row r="9754" customFormat="false" ht="17.15" hidden="false" customHeight="false" outlineLevel="0" collapsed="false">
      <c r="A9754" s="0" t="s">
        <v>1069</v>
      </c>
      <c r="B9754" s="0" t="s">
        <v>98</v>
      </c>
      <c r="F9754" s="6" t="n">
        <f aca="false">Sens!F9753*Sens!F9727</f>
        <v>-116.507469046869</v>
      </c>
      <c r="G9754" s="6" t="n">
        <f aca="false">Sens!G9753*Sens!G9727</f>
        <v>-93.3526719546737</v>
      </c>
      <c r="H9754" s="6" t="n">
        <f aca="false">Sens!H9753*Sens!H9727</f>
        <v>-67.1115147487994</v>
      </c>
      <c r="I9754" s="6" t="n">
        <f aca="false">Sens!I9753*Sens!I9727</f>
        <v>-22.7772448095852</v>
      </c>
      <c r="J9754" s="6" t="n">
        <f aca="false">Sens!J9753*Sens!J9727</f>
        <v>17.8662711490366</v>
      </c>
      <c r="K9754" s="6" t="n">
        <f aca="false">Sens!K9753*Sens!K9727</f>
        <v>29.331846746418</v>
      </c>
    </row>
    <row r="9755" customFormat="false" ht="17.15" hidden="false" customHeight="false" outlineLevel="0" collapsed="false">
      <c r="A9755" s="0" t="s">
        <v>1070</v>
      </c>
      <c r="B9755" s="0" t="s">
        <v>98</v>
      </c>
      <c r="C9755" s="6" t="n">
        <f aca="false">(Sens!K9747-Sens!K9616)*(1-tax_f)*(1+g_tv)*(1-g_tv/(wacc+ronic_prem))/(wacc-g_tv)/(1+wacc)^(Sens!K9726+mid_yr)</f>
        <v>142.108065434138</v>
      </c>
    </row>
    <row r="9756" customFormat="false" ht="17.15" hidden="false" customHeight="false" outlineLevel="0" collapsed="false">
      <c r="A9756" s="1" t="s">
        <v>1071</v>
      </c>
      <c r="B9756" s="0" t="s">
        <v>98</v>
      </c>
      <c r="C9756" s="6" t="n">
        <f aca="false">(SUM(Sens!F9754:K9754)+Sens!$C$9755)*(1+wacc)^t_roll</f>
        <v>-125.764809740131</v>
      </c>
      <c r="L9756" s="11" t="s">
        <v>1072</v>
      </c>
    </row>
    <row r="9757" customFormat="false" ht="17.15" hidden="false" customHeight="false" outlineLevel="0" collapsed="false">
      <c r="A9757" s="1" t="s">
        <v>1073</v>
      </c>
      <c r="B9757" s="0" t="s">
        <v>98</v>
      </c>
      <c r="C9757" s="6" t="n">
        <f aca="false">(w_ntm28*Sens!G9605+(1-w_ntm28)*Sens!H9605)*m_ai</f>
        <v>338.776008390068</v>
      </c>
    </row>
    <row r="9758" customFormat="false" ht="17.15" hidden="false" customHeight="false" outlineLevel="0" collapsed="false">
      <c r="A9758" s="1" t="s">
        <v>1074</v>
      </c>
      <c r="B9758" s="0" t="s">
        <v>98</v>
      </c>
      <c r="C9758" s="6" t="n">
        <f aca="false">(w_ntm28*Sens!G9749+(1-w_ntm28)*Sens!H9749)*m_cloud</f>
        <v>1063.97397932351</v>
      </c>
    </row>
    <row r="9759" customFormat="false" ht="17.15" hidden="false" customHeight="false" outlineLevel="0" collapsed="false">
      <c r="A9759" s="1" t="s">
        <v>1075</v>
      </c>
      <c r="B9759" s="0" t="s">
        <v>98</v>
      </c>
      <c r="C9759" s="6" t="n">
        <f aca="false">(w_ntm28*Sens!G9742+(1-w_ntm28)*Sens!H9742)*m_sw</f>
        <v>1043.92982524446</v>
      </c>
    </row>
    <row r="9760" customFormat="false" ht="17.15" hidden="false" customHeight="false" outlineLevel="0" collapsed="false">
      <c r="A9760" s="1" t="s">
        <v>1076</v>
      </c>
      <c r="B9760" s="0" t="s">
        <v>98</v>
      </c>
      <c r="C9760" s="6" t="n">
        <f aca="false">(w_ntm28*Sens!G9743+(1-w_ntm28)*Sens!H9743)*m_sw</f>
        <v>379.720563893771</v>
      </c>
    </row>
    <row r="9761" customFormat="false" ht="17.15" hidden="false" customHeight="false" outlineLevel="0" collapsed="false">
      <c r="A9761" s="1" t="s">
        <v>1077</v>
      </c>
      <c r="B9761" s="0" t="s">
        <v>98</v>
      </c>
      <c r="C9761" s="6" t="n">
        <f aca="false">(w_ntm28*Sens!G9744+(1-w_ntm28)*Sens!H9744)*m_sw</f>
        <v>109.413339456694</v>
      </c>
    </row>
    <row r="9762" customFormat="false" ht="17.15" hidden="false" customHeight="false" outlineLevel="0" collapsed="false">
      <c r="A9762" s="1" t="s">
        <v>1078</v>
      </c>
      <c r="B9762" s="0" t="s">
        <v>98</v>
      </c>
      <c r="C9762" s="6" t="n">
        <f aca="false">(w_ntm28*Sens!G9745+(1-w_ntm28)*Sens!H9745)*m_sw</f>
        <v>41.7429849282649</v>
      </c>
    </row>
    <row r="9763" customFormat="false" ht="17.15" hidden="false" customHeight="false" outlineLevel="0" collapsed="false">
      <c r="A9763" s="1" t="s">
        <v>1079</v>
      </c>
      <c r="B9763" s="0" t="s">
        <v>98</v>
      </c>
      <c r="C9763" s="6" t="n">
        <f aca="false">(w_ntm28*Sens!G9746+(1-w_ntm28)*Sens!H9746)*m_ads</f>
        <v>117.454389315876</v>
      </c>
    </row>
    <row r="9764" customFormat="false" ht="17.15" hidden="false" customHeight="false" outlineLevel="0" collapsed="false">
      <c r="A9764" s="1" t="s">
        <v>1080</v>
      </c>
      <c r="B9764" s="0" t="s">
        <v>98</v>
      </c>
      <c r="C9764" s="6" t="n">
        <f aca="false">(w_ntm28*Sens!G9751+(1-w_ntm28)*Sens!H9751)*m_game</f>
        <v>97.9182628814361</v>
      </c>
    </row>
    <row r="9765" customFormat="false" ht="17.15" hidden="false" customHeight="false" outlineLevel="0" collapsed="false">
      <c r="A9765" s="1" t="s">
        <v>1081</v>
      </c>
      <c r="B9765" s="0" t="s">
        <v>98</v>
      </c>
      <c r="C9765" s="6" t="n">
        <f aca="false">(w_ntm28*Sens!G9752+(1-w_ntm28)*Sens!H9752)*m_pc</f>
        <v>97.0785683005205</v>
      </c>
    </row>
    <row r="9766" customFormat="false" ht="17.15" hidden="false" customHeight="false" outlineLevel="0" collapsed="false">
      <c r="A9766" s="1" t="s">
        <v>1082</v>
      </c>
      <c r="B9766" s="0" t="s">
        <v>98</v>
      </c>
      <c r="C9766" s="6" t="n">
        <f aca="false">Sens!$C$9756+Sens!$C$9758+Sens!$C$9759+Sens!$C$9760+Sens!$C$9761+Sens!$C$9762+Sens!$C$9763+Sens!$C$9764+Sens!$C$9765</f>
        <v>2825.4671036044</v>
      </c>
    </row>
    <row r="9767" customFormat="false" ht="17.15" hidden="false" customHeight="false" outlineLevel="0" collapsed="false">
      <c r="A9767" s="1" t="s">
        <v>1000</v>
      </c>
      <c r="B9767" s="0" t="s">
        <v>98</v>
      </c>
      <c r="C9767" s="6" t="n">
        <f aca="false">Sens!F9717+oai_v-Sens!F9706</f>
        <v>106.848930103027</v>
      </c>
      <c r="L9767" s="1" t="s">
        <v>1083</v>
      </c>
    </row>
    <row r="9768" customFormat="false" ht="15" hidden="false" customHeight="false" outlineLevel="0" collapsed="false">
      <c r="A9768" s="1" t="s">
        <v>1001</v>
      </c>
      <c r="B9768" s="0" t="s">
        <v>75</v>
      </c>
      <c r="C9768" s="5" t="n">
        <f aca="false">(Sens!$C$9766+Sens!$C$9767)/Sens!F9719</f>
        <v>392.440582669624</v>
      </c>
    </row>
    <row r="9769" customFormat="false" ht="17.15" hidden="false" customHeight="false" outlineLevel="0" collapsed="false">
      <c r="A9769" s="1" t="s">
        <v>1084</v>
      </c>
      <c r="B9769" s="0" t="s">
        <v>75</v>
      </c>
      <c r="C9769" s="5" t="n">
        <f aca="false">w_dcf*Sens!$C$9740+(1-w_dcf)*Sens!$C$9768</f>
        <v>345.983570162503</v>
      </c>
    </row>
    <row r="9770" customFormat="false" ht="17.15" hidden="false" customHeight="false" outlineLevel="0" collapsed="false">
      <c r="A9770" s="3" t="s">
        <v>1489</v>
      </c>
    </row>
    <row r="9771" customFormat="false" ht="15" hidden="false" customHeight="false" outlineLevel="0" collapsed="false">
      <c r="A9771" s="4" t="s">
        <v>43</v>
      </c>
      <c r="B9771" s="4" t="s">
        <v>65</v>
      </c>
      <c r="C9771" s="20" t="s">
        <v>788</v>
      </c>
      <c r="D9771" s="20" t="s">
        <v>789</v>
      </c>
      <c r="E9771" s="20" t="s">
        <v>790</v>
      </c>
      <c r="F9771" s="20" t="s">
        <v>791</v>
      </c>
      <c r="G9771" s="20" t="s">
        <v>792</v>
      </c>
      <c r="H9771" s="20" t="s">
        <v>793</v>
      </c>
      <c r="I9771" s="20" t="s">
        <v>794</v>
      </c>
      <c r="J9771" s="20" t="s">
        <v>795</v>
      </c>
      <c r="K9771" s="20" t="s">
        <v>796</v>
      </c>
      <c r="L9771" s="4" t="s">
        <v>47</v>
      </c>
    </row>
    <row r="9772" customFormat="false" ht="17.15" hidden="false" customHeight="false" outlineLevel="0" collapsed="false">
      <c r="A9772" s="1" t="s">
        <v>797</v>
      </c>
      <c r="B9772" s="1" t="s">
        <v>235</v>
      </c>
      <c r="C9772" s="28" t="n">
        <v>2024</v>
      </c>
      <c r="D9772" s="28" t="n">
        <v>2025</v>
      </c>
      <c r="E9772" s="28" t="n">
        <v>2026</v>
      </c>
      <c r="F9772" s="28" t="n">
        <v>2027</v>
      </c>
      <c r="G9772" s="28" t="n">
        <v>2028</v>
      </c>
      <c r="H9772" s="28" t="n">
        <v>2029</v>
      </c>
      <c r="I9772" s="28" t="n">
        <v>2030</v>
      </c>
      <c r="J9772" s="28" t="n">
        <v>2031</v>
      </c>
      <c r="K9772" s="28" t="n">
        <v>2032</v>
      </c>
    </row>
    <row r="9773" customFormat="false" ht="17.15" hidden="false" customHeight="false" outlineLevel="0" collapsed="false">
      <c r="A9773" s="1" t="s">
        <v>798</v>
      </c>
      <c r="B9773" s="0" t="s">
        <v>392</v>
      </c>
      <c r="F9773" s="29" t="n">
        <f aca="false">pace</f>
        <v>2527.2</v>
      </c>
      <c r="G9773" s="29" t="n">
        <f aca="false">pace</f>
        <v>2527.2</v>
      </c>
      <c r="H9773" s="29" t="n">
        <f aca="false">pace</f>
        <v>2527.2</v>
      </c>
      <c r="I9773" s="29" t="n">
        <f aca="false">pace+(g_tv*Sens!H9774-pace)*MIN(1,(Sens!I9772-pace_y0)/(pace_y1-pace_y0))</f>
        <v>1793.116</v>
      </c>
      <c r="J9773" s="29" t="n">
        <f aca="false">pace+(g_tv*Sens!H9774-pace)*MIN(1,(Sens!J9772-pace_y0)/(pace_y1-pace_y0))</f>
        <v>1059.032</v>
      </c>
      <c r="K9773" s="29" t="n">
        <f aca="false">pace+(g_tv*Sens!H9774-pace)*MIN(1,(Sens!K9772-pace_y0)/(pace_y1-pace_y0))</f>
        <v>324.948</v>
      </c>
      <c r="L9773" s="11" t="s">
        <v>799</v>
      </c>
    </row>
    <row r="9774" customFormat="false" ht="17.15" hidden="false" customHeight="false" outlineLevel="0" collapsed="false">
      <c r="A9774" s="1" t="s">
        <v>800</v>
      </c>
      <c r="B9774" s="0" t="s">
        <v>392</v>
      </c>
      <c r="C9774" s="29" t="n">
        <f aca="false">mw_ext_24</f>
        <v>640</v>
      </c>
      <c r="D9774" s="29" t="n">
        <f aca="false">mw_ext_25</f>
        <v>1630</v>
      </c>
      <c r="E9774" s="29" t="n">
        <f aca="false">mw_ext_26</f>
        <v>3250</v>
      </c>
      <c r="F9774" s="29" t="n">
        <f aca="false">Sens!E9774+Sens!F9773</f>
        <v>5777.2</v>
      </c>
      <c r="G9774" s="29" t="n">
        <f aca="false">Sens!F9774+Sens!G9773</f>
        <v>8304.4</v>
      </c>
      <c r="H9774" s="29" t="n">
        <f aca="false">Sens!G9774+Sens!H9773</f>
        <v>10831.6</v>
      </c>
      <c r="I9774" s="29" t="n">
        <f aca="false">Sens!H9774+Sens!I9773</f>
        <v>12624.716</v>
      </c>
      <c r="J9774" s="29" t="n">
        <f aca="false">Sens!I9774+Sens!J9773</f>
        <v>13683.748</v>
      </c>
      <c r="K9774" s="29" t="n">
        <f aca="false">Sens!J9774+Sens!K9773</f>
        <v>14008.696</v>
      </c>
      <c r="L9774" s="1" t="s">
        <v>801</v>
      </c>
    </row>
    <row r="9775" customFormat="false" ht="17.15" hidden="false" customHeight="false" outlineLevel="0" collapsed="false">
      <c r="A9775" s="1" t="s">
        <v>802</v>
      </c>
      <c r="B9775" s="0" t="s">
        <v>392</v>
      </c>
      <c r="C9775" s="29" t="n">
        <f aca="false">rent_ext_24</f>
        <v>150</v>
      </c>
      <c r="D9775" s="29" t="n">
        <f aca="false">rent_ext_25</f>
        <v>400</v>
      </c>
      <c r="E9775" s="29" t="n">
        <f aca="false">rent_ext_26</f>
        <v>550</v>
      </c>
      <c r="F9775" s="29" t="n">
        <f aca="false">rent_ext_f</f>
        <v>756</v>
      </c>
      <c r="G9775" s="29" t="n">
        <f aca="false">rent_ext_f</f>
        <v>756</v>
      </c>
      <c r="H9775" s="29" t="n">
        <f aca="false">rent_ext_f</f>
        <v>756</v>
      </c>
      <c r="I9775" s="29" t="n">
        <f aca="false">rent_ext_f</f>
        <v>756</v>
      </c>
      <c r="J9775" s="29" t="n">
        <f aca="false">rent_ext_f</f>
        <v>756</v>
      </c>
      <c r="K9775" s="29" t="n">
        <f aca="false">rent_ext_f</f>
        <v>756</v>
      </c>
      <c r="L9775" s="1" t="s">
        <v>803</v>
      </c>
    </row>
    <row r="9776" customFormat="false" ht="17.15" hidden="false" customHeight="false" outlineLevel="0" collapsed="false">
      <c r="A9776" s="1" t="s">
        <v>804</v>
      </c>
      <c r="B9776" s="0" t="s">
        <v>392</v>
      </c>
      <c r="C9776" s="29" t="n">
        <f aca="false">Sens!C9774-Sens!C9775</f>
        <v>490</v>
      </c>
      <c r="D9776" s="29" t="n">
        <f aca="false">Sens!D9774-Sens!D9775</f>
        <v>1230</v>
      </c>
      <c r="E9776" s="29" t="n">
        <f aca="false">Sens!E9774-Sens!E9775</f>
        <v>2700</v>
      </c>
      <c r="F9776" s="29" t="n">
        <f aca="false">Sens!F9774-Sens!F9775</f>
        <v>5021.2</v>
      </c>
      <c r="G9776" s="29" t="n">
        <f aca="false">Sens!G9774-Sens!G9775</f>
        <v>7548.4</v>
      </c>
      <c r="H9776" s="29" t="n">
        <f aca="false">Sens!H9774-Sens!H9775</f>
        <v>10075.6</v>
      </c>
      <c r="I9776" s="29" t="n">
        <f aca="false">Sens!I9774-Sens!I9775</f>
        <v>11868.716</v>
      </c>
      <c r="J9776" s="29" t="n">
        <f aca="false">Sens!J9774-Sens!J9775</f>
        <v>12927.748</v>
      </c>
      <c r="K9776" s="29" t="n">
        <f aca="false">Sens!K9774-Sens!K9775</f>
        <v>13252.696</v>
      </c>
    </row>
    <row r="9777" customFormat="false" ht="17.15" hidden="false" customHeight="false" outlineLevel="0" collapsed="false">
      <c r="A9777" s="1" t="s">
        <v>805</v>
      </c>
      <c r="B9777" s="0" t="s">
        <v>392</v>
      </c>
      <c r="C9777" s="29" t="n">
        <f aca="false">Sens!C9776/ext_sh</f>
        <v>816.666666666667</v>
      </c>
      <c r="D9777" s="29" t="n">
        <f aca="false">Sens!D9776/ext_sh</f>
        <v>2050</v>
      </c>
      <c r="E9777" s="29" t="n">
        <f aca="false">Sens!E9776/ext_sh</f>
        <v>4500</v>
      </c>
      <c r="F9777" s="29" t="n">
        <f aca="false">Sens!F9776/ext_sh</f>
        <v>8368.66666666667</v>
      </c>
      <c r="G9777" s="29" t="n">
        <f aca="false">Sens!G9776/ext_sh</f>
        <v>12580.6666666667</v>
      </c>
      <c r="H9777" s="29" t="n">
        <f aca="false">Sens!H9776/ext_sh</f>
        <v>16792.6666666667</v>
      </c>
      <c r="I9777" s="29" t="n">
        <f aca="false">Sens!I9776/ext_sh</f>
        <v>19781.1933333333</v>
      </c>
      <c r="J9777" s="29" t="n">
        <f aca="false">Sens!J9776/ext_sh</f>
        <v>21546.2466666667</v>
      </c>
      <c r="K9777" s="29" t="n">
        <f aca="false">Sens!K9776/ext_sh</f>
        <v>22087.8266666667</v>
      </c>
      <c r="L9777" s="1" t="s">
        <v>806</v>
      </c>
    </row>
    <row r="9778" customFormat="false" ht="17.15" hidden="false" customHeight="false" outlineLevel="0" collapsed="false">
      <c r="A9778" s="1" t="s">
        <v>807</v>
      </c>
      <c r="B9778" s="0" t="s">
        <v>392</v>
      </c>
      <c r="C9778" s="29" t="n">
        <f aca="false">Sens!C9777-Sens!C9776</f>
        <v>326.666666666667</v>
      </c>
      <c r="D9778" s="29" t="n">
        <f aca="false">Sens!D9777-Sens!D9776</f>
        <v>820</v>
      </c>
      <c r="E9778" s="29" t="n">
        <f aca="false">Sens!E9777-Sens!E9776</f>
        <v>1800</v>
      </c>
      <c r="F9778" s="29" t="n">
        <f aca="false">Sens!F9777-Sens!F9776</f>
        <v>3347.46666666667</v>
      </c>
      <c r="G9778" s="29" t="n">
        <f aca="false">Sens!G9777-Sens!G9776</f>
        <v>5032.26666666667</v>
      </c>
      <c r="H9778" s="29" t="n">
        <f aca="false">Sens!H9777-Sens!H9776</f>
        <v>6717.06666666667</v>
      </c>
      <c r="I9778" s="29" t="n">
        <f aca="false">Sens!I9777-Sens!I9776</f>
        <v>7912.47733333333</v>
      </c>
      <c r="J9778" s="29" t="n">
        <f aca="false">Sens!J9777-Sens!J9776</f>
        <v>8618.49866666667</v>
      </c>
      <c r="K9778" s="29" t="n">
        <f aca="false">Sens!K9777-Sens!K9776</f>
        <v>8835.13066666667</v>
      </c>
    </row>
    <row r="9779" customFormat="false" ht="17.15" hidden="false" customHeight="false" outlineLevel="0" collapsed="false">
      <c r="A9779" s="1" t="s">
        <v>808</v>
      </c>
      <c r="B9779" s="0" t="s">
        <v>392</v>
      </c>
      <c r="C9779" s="29" t="n">
        <f aca="false">Sens!C9777</f>
        <v>816.666666666667</v>
      </c>
      <c r="D9779" s="29" t="n">
        <f aca="false">Sens!D9777-Sens!C9777</f>
        <v>1233.33333333333</v>
      </c>
      <c r="E9779" s="29" t="n">
        <f aca="false">Sens!E9777-Sens!D9777</f>
        <v>2450</v>
      </c>
      <c r="F9779" s="29" t="n">
        <f aca="false">Sens!F9777-Sens!E9777</f>
        <v>3868.66666666667</v>
      </c>
      <c r="G9779" s="29" t="n">
        <f aca="false">Sens!G9777-Sens!F9777</f>
        <v>4212</v>
      </c>
      <c r="H9779" s="29" t="n">
        <f aca="false">Sens!H9777-Sens!G9777</f>
        <v>4212</v>
      </c>
      <c r="I9779" s="29" t="n">
        <f aca="false">Sens!I9777-Sens!H9777</f>
        <v>2988.52666666667</v>
      </c>
      <c r="J9779" s="29" t="n">
        <f aca="false">Sens!J9777-Sens!I9777</f>
        <v>1765.05333333333</v>
      </c>
      <c r="K9779" s="29" t="n">
        <f aca="false">Sens!K9777-Sens!J9777</f>
        <v>541.580000000002</v>
      </c>
    </row>
    <row r="9780" customFormat="false" ht="17.15" hidden="false" customHeight="false" outlineLevel="0" collapsed="false">
      <c r="A9780" s="1" t="s">
        <v>809</v>
      </c>
      <c r="B9780" s="0" t="s">
        <v>392</v>
      </c>
      <c r="D9780" s="29" t="n">
        <f aca="false">Sens!D9774-Sens!C9774</f>
        <v>990</v>
      </c>
      <c r="E9780" s="29" t="n">
        <f aca="false">Sens!E9774-Sens!D9774</f>
        <v>1620</v>
      </c>
      <c r="F9780" s="29" t="n">
        <f aca="false">Sens!F9774-Sens!E9774</f>
        <v>2527.2</v>
      </c>
      <c r="G9780" s="29" t="n">
        <f aca="false">Sens!G9774-Sens!F9774</f>
        <v>2527.2</v>
      </c>
      <c r="H9780" s="29" t="n">
        <f aca="false">Sens!H9774-Sens!G9774</f>
        <v>2527.2</v>
      </c>
      <c r="I9780" s="29" t="n">
        <f aca="false">Sens!I9774-Sens!H9774</f>
        <v>1793.116</v>
      </c>
      <c r="J9780" s="29" t="n">
        <f aca="false">Sens!J9774-Sens!I9774</f>
        <v>1059.032</v>
      </c>
      <c r="K9780" s="29" t="n">
        <f aca="false">Sens!K9774-Sens!J9774</f>
        <v>324.948</v>
      </c>
    </row>
    <row r="9781" customFormat="false" ht="17.15" hidden="false" customHeight="false" outlineLevel="0" collapsed="false">
      <c r="A9781" s="1" t="s">
        <v>810</v>
      </c>
      <c r="B9781" s="0" t="s">
        <v>392</v>
      </c>
      <c r="F9781" s="29" t="n">
        <f aca="false">Sens!F9798*ext_sh</f>
        <v>0</v>
      </c>
      <c r="G9781" s="29" t="n">
        <f aca="false">Sens!G9798*ext_sh</f>
        <v>0</v>
      </c>
      <c r="H9781" s="29" t="n">
        <f aca="false">Sens!H9798*ext_sh</f>
        <v>0</v>
      </c>
      <c r="I9781" s="29" t="n">
        <f aca="false">Sens!I9798*ext_sh</f>
        <v>490</v>
      </c>
      <c r="J9781" s="29" t="n">
        <f aca="false">Sens!J9798*ext_sh</f>
        <v>740</v>
      </c>
      <c r="K9781" s="29" t="n">
        <f aca="false">Sens!K9798*ext_sh</f>
        <v>1470</v>
      </c>
      <c r="L9781" s="1" t="s">
        <v>811</v>
      </c>
    </row>
    <row r="9782" customFormat="false" ht="17.15" hidden="false" customHeight="false" outlineLevel="0" collapsed="false">
      <c r="A9782" s="1" t="s">
        <v>812</v>
      </c>
      <c r="B9782" s="0" t="s">
        <v>392</v>
      </c>
      <c r="C9782" s="29" t="n">
        <f aca="false">mix_h*Sens!C9774</f>
        <v>128</v>
      </c>
      <c r="D9782" s="29" t="n">
        <f aca="false">mix_h*Sens!D9774</f>
        <v>326</v>
      </c>
      <c r="E9782" s="29" t="n">
        <f aca="false">mix_h*Sens!E9774</f>
        <v>650</v>
      </c>
      <c r="F9782" s="29" t="n">
        <f aca="false">Sens!E9782-Sens!F9781*mix_h</f>
        <v>650</v>
      </c>
      <c r="G9782" s="29" t="n">
        <f aca="false">Sens!F9782-Sens!G9781*mix_h</f>
        <v>650</v>
      </c>
      <c r="H9782" s="29" t="n">
        <f aca="false">Sens!G9782-Sens!H9781*mix_h</f>
        <v>650</v>
      </c>
      <c r="I9782" s="29" t="n">
        <f aca="false">Sens!H9782-Sens!I9781*mix_h</f>
        <v>552</v>
      </c>
      <c r="J9782" s="29" t="n">
        <f aca="false">Sens!I9782-Sens!J9781*mix_h</f>
        <v>404</v>
      </c>
      <c r="K9782" s="29" t="n">
        <f aca="false">Sens!J9782-Sens!K9781*mix_h</f>
        <v>110</v>
      </c>
    </row>
    <row r="9783" customFormat="false" ht="17.15" hidden="false" customHeight="false" outlineLevel="0" collapsed="false">
      <c r="A9783" s="1" t="s">
        <v>813</v>
      </c>
      <c r="B9783" s="0" t="s">
        <v>392</v>
      </c>
      <c r="C9783" s="29" t="n">
        <f aca="false">mix_g2*Sens!C9774</f>
        <v>288</v>
      </c>
      <c r="D9783" s="29" t="n">
        <f aca="false">mix_g2*Sens!D9774</f>
        <v>733.5</v>
      </c>
      <c r="E9783" s="29" t="n">
        <f aca="false">mix_g2*Sens!E9774</f>
        <v>1462.5</v>
      </c>
      <c r="F9783" s="29" t="n">
        <f aca="false">Sens!E9783-Sens!F9781*mix_g2</f>
        <v>1462.5</v>
      </c>
      <c r="G9783" s="29" t="n">
        <f aca="false">Sens!F9783-Sens!G9781*mix_g2</f>
        <v>1462.5</v>
      </c>
      <c r="H9783" s="29" t="n">
        <f aca="false">Sens!G9783-Sens!H9781*mix_g2</f>
        <v>1462.5</v>
      </c>
      <c r="I9783" s="29" t="n">
        <f aca="false">Sens!H9783-Sens!I9781*mix_g2</f>
        <v>1242</v>
      </c>
      <c r="J9783" s="29" t="n">
        <f aca="false">Sens!I9783-Sens!J9781*mix_g2</f>
        <v>909</v>
      </c>
      <c r="K9783" s="29" t="n">
        <f aca="false">Sens!J9783-Sens!K9781*mix_g2</f>
        <v>247.5</v>
      </c>
    </row>
    <row r="9784" customFormat="false" ht="17.15" hidden="false" customHeight="false" outlineLevel="0" collapsed="false">
      <c r="A9784" s="1" t="s">
        <v>814</v>
      </c>
      <c r="B9784" s="0" t="s">
        <v>392</v>
      </c>
      <c r="C9784" s="29" t="n">
        <f aca="false">mix_g3*Sens!C9774</f>
        <v>224</v>
      </c>
      <c r="D9784" s="29" t="n">
        <f aca="false">mix_g3*Sens!D9774</f>
        <v>570.5</v>
      </c>
      <c r="E9784" s="29" t="n">
        <f aca="false">mix_g3*Sens!E9774</f>
        <v>1137.5</v>
      </c>
      <c r="F9784" s="29" t="n">
        <f aca="false">Sens!E9784+(Sens!F9780+Sens!F9781)*a_g3_27-Sens!F9781*mix_g3</f>
        <v>2906.54</v>
      </c>
      <c r="G9784" s="29" t="n">
        <f aca="false">Sens!F9784+(Sens!G9780+Sens!G9781)*a_g3_28-Sens!G9781*mix_g3</f>
        <v>3664.7</v>
      </c>
      <c r="H9784" s="29" t="n">
        <f aca="false">Sens!G9784+(Sens!H9780+Sens!H9781)*a_g3_29-Sens!H9781*mix_g3</f>
        <v>3917.42</v>
      </c>
      <c r="I9784" s="29" t="n">
        <f aca="false">Sens!H9784+(Sens!I9780+Sens!I9781)*a_g3_29-Sens!I9781*mix_g3</f>
        <v>3974.2316</v>
      </c>
      <c r="J9784" s="29" t="n">
        <f aca="false">Sens!I9784+(Sens!J9780+Sens!J9781)*a_g3_29-Sens!J9781*mix_g3</f>
        <v>3895.1348</v>
      </c>
      <c r="K9784" s="29" t="n">
        <f aca="false">Sens!J9784+(Sens!K9780+Sens!K9781)*a_g3_29-Sens!K9781*mix_g3</f>
        <v>3560.1296</v>
      </c>
    </row>
    <row r="9785" customFormat="false" ht="17.15" hidden="false" customHeight="false" outlineLevel="0" collapsed="false">
      <c r="A9785" s="1" t="s">
        <v>815</v>
      </c>
      <c r="B9785" s="0" t="s">
        <v>392</v>
      </c>
      <c r="C9785" s="29" t="n">
        <v>0</v>
      </c>
      <c r="D9785" s="29" t="n">
        <v>0</v>
      </c>
      <c r="E9785" s="29" t="n">
        <v>0</v>
      </c>
      <c r="F9785" s="29" t="n">
        <f aca="false">Sens!E9785+(Sens!F9780+Sens!F9781)*(1-a_g3_27)</f>
        <v>758.16</v>
      </c>
      <c r="G9785" s="29" t="n">
        <f aca="false">Sens!F9785+(Sens!G9780+Sens!G9781)*(1-a_g3_28)</f>
        <v>2527.2</v>
      </c>
      <c r="H9785" s="29" t="n">
        <f aca="false">Sens!G9785+(Sens!H9780+Sens!H9781)*(1-a_g3_29)</f>
        <v>4801.68</v>
      </c>
      <c r="I9785" s="29" t="n">
        <f aca="false">Sens!H9785+(Sens!I9780+Sens!I9781)*(1-a_g3_29)</f>
        <v>6856.4844</v>
      </c>
      <c r="J9785" s="29" t="n">
        <f aca="false">Sens!I9785+(Sens!J9780+Sens!J9781)*(1-a_g3_29)</f>
        <v>8475.6132</v>
      </c>
      <c r="K9785" s="29" t="n">
        <f aca="false">Sens!J9785+(Sens!K9780+Sens!K9781)*(1-a_g3_29)</f>
        <v>10091.0664</v>
      </c>
    </row>
    <row r="9786" customFormat="false" ht="17.15" hidden="false" customHeight="false" outlineLevel="0" collapsed="false">
      <c r="A9786" s="1" t="s">
        <v>816</v>
      </c>
      <c r="B9786" s="0" t="s">
        <v>339</v>
      </c>
      <c r="C9786" s="14" t="n">
        <f aca="false">(Sens!C9782*tk_hold_h100+Sens!C9783*tk_hold_gb200+Sens!C9784*tk_hold_gb300+Sens!C9785*tk_hold_vr200)/Sens!C9774</f>
        <v>9.7235358126469</v>
      </c>
      <c r="D9786" s="14" t="n">
        <f aca="false">(Sens!D9782*tk_hold_h100+Sens!D9783*tk_hold_gb200+Sens!D9784*tk_hold_gb300+Sens!D9785*tk_hold_vr200)/Sens!D9774</f>
        <v>9.7235358126469</v>
      </c>
      <c r="E9786" s="14" t="n">
        <f aca="false">(Sens!E9782*tk_hold_h100+Sens!E9783*tk_hold_gb200+Sens!E9784*tk_hold_gb300+Sens!E9785*tk_hold_vr200)/Sens!E9774</f>
        <v>9.7235358126469</v>
      </c>
      <c r="F9786" s="14" t="n">
        <f aca="false">(Sens!F9782*tk_hold_h100+Sens!F9783*tk_hold_gb200+Sens!F9784*tk_hold_gb300+Sens!F9785*tk_hold_vr200)/Sens!F9774</f>
        <v>10.4079573161931</v>
      </c>
      <c r="G9786" s="14" t="n">
        <f aca="false">(Sens!G9782*tk_hold_h100+Sens!G9783*tk_hold_gb200+Sens!G9784*tk_hold_gb300+Sens!G9785*tk_hold_vr200)/Sens!G9774</f>
        <v>10.8388131109316</v>
      </c>
      <c r="H9786" s="14" t="n">
        <f aca="false">(Sens!H9782*tk_hold_h100+Sens!H9783*tk_hold_gb200+Sens!H9784*tk_hold_gb300+Sens!H9785*tk_hold_vr200)/Sens!H9774</f>
        <v>11.1311018388216</v>
      </c>
      <c r="I9786" s="14" t="n">
        <f aca="false">(Sens!I9782*tk_hold_h100+Sens!I9783*tk_hold_gb200+Sens!I9784*tk_hold_gb300+Sens!I9785*tk_hold_vr200)/Sens!I9774</f>
        <v>11.3594282560989</v>
      </c>
      <c r="J9786" s="14" t="n">
        <f aca="false">(Sens!J9782*tk_hold_h100+Sens!J9783*tk_hold_gb200+Sens!J9784*tk_hold_gb300+Sens!J9785*tk_hold_vr200)/Sens!J9774</f>
        <v>11.5441508808221</v>
      </c>
      <c r="K9786" s="14" t="n">
        <f aca="false">(Sens!K9782*tk_hold_h100+Sens!K9783*tk_hold_gb200+Sens!K9784*tk_hold_gb300+Sens!K9785*tk_hold_vr200)/Sens!K9774</f>
        <v>11.8053375063575</v>
      </c>
    </row>
    <row r="9787" customFormat="false" ht="17.15" hidden="false" customHeight="false" outlineLevel="0" collapsed="false">
      <c r="A9787" s="0" t="s">
        <v>817</v>
      </c>
      <c r="B9787" s="0" t="s">
        <v>185</v>
      </c>
      <c r="C9787" s="14" t="n">
        <f aca="false">k_B</f>
        <v>1.17213932619116</v>
      </c>
      <c r="D9787" s="14" t="n">
        <f aca="false">k_B</f>
        <v>1.17213932619116</v>
      </c>
      <c r="E9787" s="14" t="n">
        <f aca="false">k_B</f>
        <v>1.17213932619116</v>
      </c>
      <c r="F9787" s="14" t="n">
        <f aca="false">(k_B+((ls_A*k_long+(1-ls_A)*k_spot)-k_B)*MIN(1,(Sens!F9772-base_fy)/k_ramp))</f>
        <v>1.25022828131298</v>
      </c>
      <c r="G9787" s="14" t="n">
        <f aca="false">(k_B+((ls_A*k_long+(1-ls_A)*k_spot)-k_B)*MIN(1,(Sens!G9772-base_fy)/k_ramp))</f>
        <v>1.3283172364348</v>
      </c>
      <c r="H9787" s="14" t="n">
        <f aca="false">(k_B+((ls_A*k_long+(1-ls_A)*k_spot)-k_B)*MIN(1,(Sens!H9772-base_fy)/k_ramp))</f>
        <v>1.40640619155662</v>
      </c>
      <c r="I9787" s="14" t="n">
        <f aca="false">(k_B+((ls_A*k_long+(1-ls_A)*k_spot)-k_B)*MIN(1,(Sens!I9772-base_fy)/k_ramp))</f>
        <v>1.40640619155662</v>
      </c>
      <c r="J9787" s="14" t="n">
        <f aca="false">(k_B+((ls_A*k_long+(1-ls_A)*k_spot)-k_B)*MIN(1,(Sens!J9772-base_fy)/k_ramp))</f>
        <v>1.40640619155662</v>
      </c>
      <c r="K9787" s="14" t="n">
        <f aca="false">(k_B+((ls_A*k_long+(1-ls_A)*k_spot)-k_B)*MIN(1,(Sens!K9772-base_fy)/k_ramp))</f>
        <v>1.40640619155662</v>
      </c>
      <c r="L9787" s="1" t="s">
        <v>818</v>
      </c>
    </row>
    <row r="9788" customFormat="false" ht="17.15" hidden="false" customHeight="false" outlineLevel="0" collapsed="false">
      <c r="A9788" s="1" t="s">
        <v>819</v>
      </c>
      <c r="B9788" s="0" t="s">
        <v>339</v>
      </c>
      <c r="C9788" s="14" t="n">
        <f aca="false">Sens!C9786*Sens!C9787*chip_f</f>
        <v>11.3973387156315</v>
      </c>
      <c r="D9788" s="14" t="n">
        <f aca="false">Sens!D9786*Sens!D9787*chip_f</f>
        <v>11.3973387156315</v>
      </c>
      <c r="E9788" s="14" t="n">
        <f aca="false">Sens!E9786*Sens!E9787*chip_f</f>
        <v>11.3973387156315</v>
      </c>
      <c r="F9788" s="14" t="n">
        <f aca="false">Sens!F9786*Sens!F9787*chip_f</f>
        <v>13.0123225874029</v>
      </c>
      <c r="G9788" s="14" t="n">
        <f aca="false">Sens!G9786*Sens!G9787*chip_f</f>
        <v>14.3973822777458</v>
      </c>
      <c r="H9788" s="14" t="n">
        <f aca="false">Sens!H9786*Sens!H9787*chip_f</f>
        <v>15.6548505449659</v>
      </c>
      <c r="I9788" s="14" t="n">
        <f aca="false">Sens!I9786*Sens!I9787*chip_f</f>
        <v>15.9759702319207</v>
      </c>
      <c r="J9788" s="14" t="n">
        <f aca="false">Sens!J9786*Sens!J9787*chip_f</f>
        <v>16.2357652750519</v>
      </c>
      <c r="K9788" s="14" t="n">
        <f aca="false">Sens!K9786*Sens!K9787*chip_f</f>
        <v>16.6030997623568</v>
      </c>
      <c r="L9788" s="1" t="s">
        <v>820</v>
      </c>
    </row>
    <row r="9789" customFormat="false" ht="17.15" hidden="false" customHeight="false" outlineLevel="0" collapsed="false">
      <c r="A9789" s="0" t="s">
        <v>821</v>
      </c>
      <c r="B9789" s="0" t="s">
        <v>98</v>
      </c>
      <c r="D9789" s="6" t="n">
        <f aca="false">(Sens!C9774+Sens!D9774)/2*Sens!D9788/1000</f>
        <v>12.9359794422418</v>
      </c>
      <c r="E9789" s="6" t="n">
        <f aca="false">(Sens!D9774+Sens!E9774)/2*Sens!E9788/1000</f>
        <v>27.8095064661409</v>
      </c>
      <c r="F9789" s="6" t="n">
        <f aca="false">(Sens!E9774+Sens!F9774)/2*Sens!F9788/1000</f>
        <v>58.7324192305018</v>
      </c>
      <c r="G9789" s="6" t="n">
        <f aca="false">(Sens!F9774+Sens!G9774)/2*Sens!G9788/1000</f>
        <v>101.369089141153</v>
      </c>
      <c r="H9789" s="6" t="n">
        <f aca="false">(Sens!G9774+Sens!H9774)/2*Sens!H9788/1000</f>
        <v>149.785610014234</v>
      </c>
      <c r="I9789" s="6" t="n">
        <f aca="false">(Sens!H9774+Sens!I9774)/2*Sens!I9788/1000</f>
        <v>187.368703083263</v>
      </c>
      <c r="J9789" s="6" t="n">
        <f aca="false">(Sens!I9774+Sens!J9774)/2*Sens!J9788/1000</f>
        <v>213.569023125577</v>
      </c>
      <c r="K9789" s="6" t="n">
        <f aca="false">(Sens!J9774+Sens!K9774)/2*Sens!K9788/1000</f>
        <v>229.890205197739</v>
      </c>
      <c r="L9789" s="11" t="s">
        <v>822</v>
      </c>
    </row>
    <row r="9790" customFormat="false" ht="17.15" hidden="false" customHeight="false" outlineLevel="0" collapsed="false">
      <c r="A9790" s="1" t="s">
        <v>823</v>
      </c>
      <c r="B9790" s="0" t="s">
        <v>339</v>
      </c>
      <c r="C9790" s="14" t="n">
        <f aca="false">(Sens!C9782*tk_opex_h100+Sens!C9783*tk_opex_gb200+Sens!C9784*tk_opex_gb300+Sens!C9785*tk_opex_vr200)/Sens!C9774</f>
        <v>1.88636041306092</v>
      </c>
      <c r="D9790" s="14" t="n">
        <f aca="false">(Sens!D9782*tk_opex_h100+Sens!D9783*tk_opex_gb200+Sens!D9784*tk_opex_gb300+Sens!D9785*tk_opex_vr200)/Sens!D9774</f>
        <v>1.88636041306092</v>
      </c>
      <c r="E9790" s="14" t="n">
        <f aca="false">(Sens!E9782*tk_opex_h100+Sens!E9783*tk_opex_gb200+Sens!E9784*tk_opex_gb300+Sens!E9785*tk_opex_vr200)/Sens!E9774</f>
        <v>1.88636041306092</v>
      </c>
      <c r="F9790" s="14" t="n">
        <f aca="false">(Sens!F9782*tk_opex_h100+Sens!F9783*tk_opex_gb200+Sens!F9784*tk_opex_gb300+Sens!F9785*tk_opex_vr200)/Sens!F9774</f>
        <v>1.9430236476499</v>
      </c>
      <c r="G9790" s="14" t="n">
        <f aca="false">(Sens!G9782*tk_opex_h100+Sens!G9783*tk_opex_gb200+Sens!G9784*tk_opex_gb300+Sens!G9785*tk_opex_vr200)/Sens!G9774</f>
        <v>1.9786941852423</v>
      </c>
      <c r="H9790" s="14" t="n">
        <f aca="false">(Sens!H9782*tk_opex_h100+Sens!H9783*tk_opex_gb200+Sens!H9784*tk_opex_gb300+Sens!H9785*tk_opex_vr200)/Sens!H9774</f>
        <v>2.00289275976156</v>
      </c>
      <c r="I9790" s="14" t="n">
        <f aca="false">(Sens!I9782*tk_opex_h100+Sens!I9783*tk_opex_gb200+Sens!I9784*tk_opex_gb300+Sens!I9785*tk_opex_vr200)/Sens!I9774</f>
        <v>2.02179589661219</v>
      </c>
      <c r="J9790" s="14" t="n">
        <f aca="false">(Sens!J9782*tk_opex_h100+Sens!J9783*tk_opex_gb200+Sens!J9784*tk_opex_gb300+Sens!J9785*tk_opex_vr200)/Sens!J9774</f>
        <v>2.03708907685909</v>
      </c>
      <c r="K9790" s="14" t="n">
        <f aca="false">(Sens!K9782*tk_opex_h100+Sens!K9783*tk_opex_gb200+Sens!K9784*tk_opex_gb300+Sens!K9785*tk_opex_vr200)/Sens!K9774</f>
        <v>2.05871270931005</v>
      </c>
    </row>
    <row r="9791" customFormat="false" ht="17.15" hidden="false" customHeight="false" outlineLevel="0" collapsed="false">
      <c r="A9791" s="0" t="s">
        <v>824</v>
      </c>
      <c r="B9791" s="0" t="s">
        <v>98</v>
      </c>
      <c r="D9791" s="6" t="n">
        <f aca="false">(Sens!C9777+Sens!D9777)/2*Sens!D9790/1000</f>
        <v>2.70378325872065</v>
      </c>
      <c r="E9791" s="6" t="n">
        <f aca="false">(Sens!D9777+Sens!E9777)/2*Sens!E9790/1000</f>
        <v>6.17783035277451</v>
      </c>
      <c r="F9791" s="6" t="n">
        <f aca="false">(Sens!E9777+Sens!F9777)/2*Sens!F9790/1000</f>
        <v>12.5020618235287</v>
      </c>
      <c r="G9791" s="6" t="n">
        <f aca="false">(Sens!F9777+Sens!G9777)/2*Sens!G9790/1000</f>
        <v>20.7261620256847</v>
      </c>
      <c r="H9791" s="6" t="n">
        <f aca="false">(Sens!G9777+Sens!H9777)/2*Sens!H9790/1000</f>
        <v>29.4158183316982</v>
      </c>
      <c r="I9791" s="6" t="n">
        <f aca="false">(Sens!H9777+Sens!I9777)/2*Sens!I9790/1000</f>
        <v>36.9724400356344</v>
      </c>
      <c r="J9791" s="6" t="n">
        <f aca="false">(Sens!I9777+Sens!J9777)/2*Sens!J9790/1000</f>
        <v>42.0938382992747</v>
      </c>
      <c r="K9791" s="6" t="n">
        <f aca="false">(Sens!J9777+Sens!K9777)/2*Sens!K9790/1000</f>
        <v>44.9150106651501</v>
      </c>
    </row>
    <row r="9792" customFormat="false" ht="17.15" hidden="false" customHeight="false" outlineLevel="0" collapsed="false">
      <c r="A9792" s="0" t="s">
        <v>825</v>
      </c>
      <c r="B9792" s="0" t="s">
        <v>98</v>
      </c>
      <c r="D9792" s="6" t="n">
        <f aca="false">(Sens!C9775+Sens!D9775)/2*rent_mw/1000</f>
        <v>2.44475</v>
      </c>
      <c r="E9792" s="6" t="n">
        <f aca="false">(Sens!D9775+Sens!E9775)/2*rent_mw/1000</f>
        <v>4.22275</v>
      </c>
      <c r="F9792" s="6" t="n">
        <f aca="false">(Sens!E9775+Sens!F9775)/2*rent_mw/1000</f>
        <v>5.80517</v>
      </c>
      <c r="G9792" s="6" t="n">
        <f aca="false">(Sens!F9775+Sens!G9775)/2*rent_mw/1000</f>
        <v>6.72084</v>
      </c>
      <c r="H9792" s="6" t="n">
        <f aca="false">(Sens!G9775+Sens!H9775)/2*rent_mw/1000</f>
        <v>6.72084</v>
      </c>
      <c r="I9792" s="6" t="n">
        <f aca="false">(Sens!H9775+Sens!I9775)/2*rent_mw/1000</f>
        <v>6.72084</v>
      </c>
      <c r="J9792" s="6" t="n">
        <f aca="false">(Sens!I9775+Sens!J9775)/2*rent_mw/1000</f>
        <v>6.72084</v>
      </c>
      <c r="K9792" s="6" t="n">
        <f aca="false">(Sens!J9775+Sens!K9775)/2*rent_mw/1000</f>
        <v>6.72084</v>
      </c>
    </row>
    <row r="9793" customFormat="false" ht="17.15" hidden="false" customHeight="false" outlineLevel="0" collapsed="false">
      <c r="A9793" s="0" t="s">
        <v>826</v>
      </c>
      <c r="B9793" s="0" t="s">
        <v>98</v>
      </c>
      <c r="D9793" s="6" t="n">
        <f aca="false">(Sens!C9777+Sens!D9777)/2*(1-self_build)*fac_rent/1000</f>
        <v>0.853242375631075</v>
      </c>
      <c r="E9793" s="6" t="n">
        <f aca="false">(Sens!D9777+Sens!E9777)/2*(1-self_build)*fac_rent/1000</f>
        <v>1.94955961408728</v>
      </c>
      <c r="F9793" s="6" t="n">
        <f aca="false">(Sens!E9777+Sens!F9777)/2*(1-self_build)*fac_rent/1000</f>
        <v>3.83026455274573</v>
      </c>
      <c r="G9793" s="6" t="n">
        <f aca="false">(Sens!F9777+Sens!G9777)/2*(1-self_build)*fac_rent/1000</f>
        <v>6.23541590972812</v>
      </c>
      <c r="H9793" s="6" t="n">
        <f aca="false">(Sens!G9777+Sens!H9777)/2*(1-self_build)*fac_rent/1000</f>
        <v>8.74275792332679</v>
      </c>
      <c r="I9793" s="6" t="n">
        <f aca="false">(Sens!H9777+Sens!I9777)/2*(1-self_build)*fac_rent/1000</f>
        <v>10.8859420438599</v>
      </c>
      <c r="J9793" s="6" t="n">
        <f aca="false">(Sens!I9777+Sens!J9777)/2*(1-self_build)*fac_rent/1000</f>
        <v>12.3008103782619</v>
      </c>
      <c r="K9793" s="6" t="n">
        <f aca="false">(Sens!J9777+Sens!K9777)/2*(1-self_build)*fac_rent/1000</f>
        <v>12.9873629265328</v>
      </c>
      <c r="L9793" s="11" t="s">
        <v>827</v>
      </c>
    </row>
    <row r="9794" customFormat="false" ht="17.15" hidden="false" customHeight="false" outlineLevel="0" collapsed="false">
      <c r="A9794" s="1" t="s">
        <v>828</v>
      </c>
      <c r="B9794" s="0" t="s">
        <v>129</v>
      </c>
      <c r="D9794" s="7" t="n">
        <f aca="false">(Sens!C9776+Sens!D9776)/(Sens!C9777+Sens!D9777)</f>
        <v>0.6</v>
      </c>
      <c r="E9794" s="7" t="n">
        <f aca="false">(Sens!D9776+Sens!E9776)/(Sens!D9777+Sens!E9777)</f>
        <v>0.6</v>
      </c>
      <c r="F9794" s="7" t="n">
        <f aca="false">(Sens!E9776+Sens!F9776)/(Sens!E9777+Sens!F9777)</f>
        <v>0.6</v>
      </c>
      <c r="G9794" s="7" t="n">
        <f aca="false">(Sens!F9776+Sens!G9776)/(Sens!F9777+Sens!G9777)</f>
        <v>0.6</v>
      </c>
      <c r="H9794" s="7" t="n">
        <f aca="false">(Sens!G9776+Sens!H9776)/(Sens!G9777+Sens!H9777)</f>
        <v>0.6</v>
      </c>
      <c r="I9794" s="7" t="n">
        <f aca="false">(Sens!H9776+Sens!I9776)/(Sens!H9777+Sens!I9777)</f>
        <v>0.6</v>
      </c>
      <c r="J9794" s="7" t="n">
        <f aca="false">(Sens!I9776+Sens!J9776)/(Sens!I9777+Sens!J9777)</f>
        <v>0.6</v>
      </c>
      <c r="K9794" s="7" t="n">
        <f aca="false">(Sens!J9776+Sens!K9776)/(Sens!J9777+Sens!K9777)</f>
        <v>0.6</v>
      </c>
    </row>
    <row r="9795" customFormat="false" ht="17.15" hidden="false" customHeight="false" outlineLevel="0" collapsed="false">
      <c r="A9795" s="0" t="s">
        <v>829</v>
      </c>
      <c r="B9795" s="0" t="s">
        <v>98</v>
      </c>
      <c r="D9795" s="6" t="n">
        <f aca="false">Sens!D9789-Sens!D9794*(Sens!D9791+Sens!D9793)-Sens!D9792</f>
        <v>8.35701406163072</v>
      </c>
      <c r="E9795" s="6" t="n">
        <f aca="false">Sens!E9789-Sens!E9794*(Sens!E9791+Sens!E9793)-Sens!E9792</f>
        <v>18.7103224860238</v>
      </c>
      <c r="F9795" s="6" t="n">
        <f aca="false">Sens!F9789-Sens!F9794*(Sens!F9791+Sens!F9793)-Sens!F9792</f>
        <v>43.1278534047371</v>
      </c>
      <c r="G9795" s="6" t="n">
        <f aca="false">Sens!G9789-Sens!G9794*(Sens!G9791+Sens!G9793)-Sens!G9792</f>
        <v>78.4713023799053</v>
      </c>
      <c r="H9795" s="6" t="n">
        <f aca="false">Sens!H9789-Sens!H9794*(Sens!H9791+Sens!H9793)-Sens!H9792</f>
        <v>120.169624261219</v>
      </c>
      <c r="I9795" s="6" t="n">
        <f aca="false">Sens!I9789-Sens!I9794*(Sens!I9791+Sens!I9793)-Sens!I9792</f>
        <v>151.932833835566</v>
      </c>
      <c r="J9795" s="6" t="n">
        <f aca="false">Sens!J9789-Sens!J9794*(Sens!J9791+Sens!J9793)-Sens!J9792</f>
        <v>174.211393919055</v>
      </c>
      <c r="K9795" s="6" t="n">
        <f aca="false">Sens!K9789-Sens!K9794*(Sens!K9791+Sens!K9793)-Sens!K9792</f>
        <v>188.427941042729</v>
      </c>
    </row>
    <row r="9796" customFormat="false" ht="17.15" hidden="false" customHeight="false" outlineLevel="0" collapsed="false">
      <c r="A9796" s="1" t="s">
        <v>830</v>
      </c>
      <c r="B9796" s="0" t="s">
        <v>98</v>
      </c>
      <c r="D9796" s="6" t="n">
        <f aca="false">(1-Sens!D9794)*(Sens!D9791+Sens!D9793)</f>
        <v>1.42281025374069</v>
      </c>
      <c r="E9796" s="6" t="n">
        <f aca="false">(1-Sens!E9794)*(Sens!E9791+Sens!E9793)</f>
        <v>3.25095598674472</v>
      </c>
      <c r="F9796" s="6" t="n">
        <f aca="false">(1-Sens!F9794)*(Sens!F9791+Sens!F9793)</f>
        <v>6.53293055050977</v>
      </c>
      <c r="G9796" s="6" t="n">
        <f aca="false">(1-Sens!G9794)*(Sens!G9791+Sens!G9793)</f>
        <v>10.7846311741651</v>
      </c>
      <c r="H9796" s="6" t="n">
        <f aca="false">(1-Sens!H9794)*(Sens!H9791+Sens!H9793)</f>
        <v>15.26343050201</v>
      </c>
      <c r="I9796" s="6" t="n">
        <f aca="false">(1-Sens!I9794)*(Sens!I9791+Sens!I9793)</f>
        <v>19.1433528317977</v>
      </c>
      <c r="J9796" s="6" t="n">
        <f aca="false">(1-Sens!J9794)*(Sens!J9791+Sens!J9793)</f>
        <v>21.7578594710146</v>
      </c>
      <c r="K9796" s="6" t="n">
        <f aca="false">(1-Sens!K9794)*(Sens!K9791+Sens!K9793)</f>
        <v>23.1609494366731</v>
      </c>
    </row>
    <row r="9797" customFormat="false" ht="17.15" hidden="false" customHeight="false" outlineLevel="0" collapsed="false">
      <c r="A9797" s="1" t="s">
        <v>831</v>
      </c>
      <c r="B9797" s="0" t="s">
        <v>350</v>
      </c>
      <c r="C9797" s="8" t="n">
        <f aca="false">cxit_open</f>
        <v>27.5918995</v>
      </c>
      <c r="D9797" s="8" t="n">
        <f aca="false">cxit_open</f>
        <v>27.5918995</v>
      </c>
      <c r="E9797" s="8" t="n">
        <f aca="false">cxit_open</f>
        <v>27.5918995</v>
      </c>
      <c r="F9797" s="8" t="n">
        <f aca="false">(a_g3_27*tk_cxit_gb300+(1-a_g3_27)*tk_cxit_vr200)</f>
        <v>33.8419624</v>
      </c>
      <c r="G9797" s="8" t="n">
        <f aca="false">(a_g3_28*tk_cxit_gb300+(1-a_g3_28)*tk_cxit_vr200)</f>
        <v>35.9816136</v>
      </c>
      <c r="H9797" s="8" t="n">
        <f aca="false">(a_g3_29*tk_cxit_gb300+(1-a_g3_29)*tk_cxit_vr200)</f>
        <v>37.0514392</v>
      </c>
      <c r="I9797" s="8" t="n">
        <f aca="false">(a_g3_29*tk_cxit_gb300+(1-a_g3_29)*tk_cxit_vr200)</f>
        <v>37.0514392</v>
      </c>
      <c r="J9797" s="8" t="n">
        <f aca="false">(a_g3_29*tk_cxit_gb300+(1-a_g3_29)*tk_cxit_vr200)</f>
        <v>37.0514392</v>
      </c>
      <c r="K9797" s="8" t="n">
        <f aca="false">(a_g3_29*tk_cxit_gb300+(1-a_g3_29)*tk_cxit_vr200)</f>
        <v>37.0514392</v>
      </c>
      <c r="L9797" s="11" t="s">
        <v>832</v>
      </c>
    </row>
    <row r="9798" customFormat="false" ht="17.15" hidden="false" customHeight="false" outlineLevel="0" collapsed="false">
      <c r="A9798" s="0" t="s">
        <v>833</v>
      </c>
      <c r="B9798" s="0" t="s">
        <v>392</v>
      </c>
      <c r="F9798" s="29" t="n">
        <f aca="false">Sens!C9779*IF(Sens!F9772-Sens!C9772=life_it,1,0)+Sens!D9779*IF(Sens!F9772-Sens!D9772=life_it,1,0)+Sens!E9779*IF(Sens!F9772-Sens!E9772=life_it,1,0)</f>
        <v>0</v>
      </c>
      <c r="G9798" s="29" t="n">
        <f aca="false">Sens!C9779*IF(Sens!G9772-Sens!C9772=life_it,1,0)+Sens!D9779*IF(Sens!G9772-Sens!D9772=life_it,1,0)+Sens!E9779*IF(Sens!G9772-Sens!E9772=life_it,1,0)+Sens!F9779*IF(Sens!G9772-Sens!F9772=life_it,1,0)</f>
        <v>0</v>
      </c>
      <c r="H9798" s="29" t="n">
        <f aca="false">Sens!C9779*IF(Sens!H9772-Sens!C9772=life_it,1,0)+Sens!D9779*IF(Sens!H9772-Sens!D9772=life_it,1,0)+Sens!E9779*IF(Sens!H9772-Sens!E9772=life_it,1,0)+Sens!F9779*IF(Sens!H9772-Sens!F9772=life_it,1,0)+Sens!G9779*IF(Sens!H9772-Sens!G9772=life_it,1,0)</f>
        <v>0</v>
      </c>
      <c r="I9798" s="29" t="n">
        <f aca="false">Sens!C9779*IF(Sens!I9772-Sens!C9772=life_it,1,0)+Sens!D9779*IF(Sens!I9772-Sens!D9772=life_it,1,0)+Sens!E9779*IF(Sens!I9772-Sens!E9772=life_it,1,0)+Sens!F9779*IF(Sens!I9772-Sens!F9772=life_it,1,0)+Sens!G9779*IF(Sens!I9772-Sens!G9772=life_it,1,0)+Sens!H9779*IF(Sens!I9772-Sens!H9772=life_it,1,0)</f>
        <v>816.666666666667</v>
      </c>
      <c r="J9798" s="29" t="n">
        <f aca="false">Sens!C9779*IF(Sens!J9772-Sens!C9772=life_it,1,0)+Sens!D9779*IF(Sens!J9772-Sens!D9772=life_it,1,0)+Sens!E9779*IF(Sens!J9772-Sens!E9772=life_it,1,0)+Sens!F9779*IF(Sens!J9772-Sens!F9772=life_it,1,0)+Sens!G9779*IF(Sens!J9772-Sens!G9772=life_it,1,0)+Sens!H9779*IF(Sens!J9772-Sens!H9772=life_it,1,0)+Sens!I9779*IF(Sens!J9772-Sens!I9772=life_it,1,0)</f>
        <v>1233.33333333333</v>
      </c>
      <c r="K9798" s="29" t="n">
        <f aca="false">Sens!C9779*IF(Sens!K9772-Sens!C9772=life_it,1,0)+Sens!D9779*IF(Sens!K9772-Sens!D9772=life_it,1,0)+Sens!E9779*IF(Sens!K9772-Sens!E9772=life_it,1,0)+Sens!F9779*IF(Sens!K9772-Sens!F9772=life_it,1,0)+Sens!G9779*IF(Sens!K9772-Sens!G9772=life_it,1,0)+Sens!H9779*IF(Sens!K9772-Sens!H9772=life_it,1,0)+Sens!I9779*IF(Sens!K9772-Sens!I9772=life_it,1,0)+Sens!J9779*IF(Sens!K9772-Sens!J9772=life_it,1,0)</f>
        <v>2450</v>
      </c>
      <c r="L9798" s="1" t="s">
        <v>834</v>
      </c>
    </row>
    <row r="9799" customFormat="false" ht="17.15" hidden="false" customHeight="false" outlineLevel="0" collapsed="false">
      <c r="A9799" s="0" t="s">
        <v>835</v>
      </c>
      <c r="B9799" s="0" t="s">
        <v>98</v>
      </c>
      <c r="C9799" s="6" t="n">
        <f aca="false">Sens!C9779*Sens!C9797/1000</f>
        <v>22.5333845916667</v>
      </c>
      <c r="D9799" s="6" t="n">
        <f aca="false">Sens!D9779*Sens!D9797/1000</f>
        <v>34.0300093833333</v>
      </c>
      <c r="E9799" s="6" t="n">
        <f aca="false">Sens!E9779*Sens!E9797/1000</f>
        <v>67.600153775</v>
      </c>
      <c r="F9799" s="6" t="n">
        <f aca="false">(Sens!F9779+Sens!F9798)*Sens!F9797/1000</f>
        <v>130.923271871467</v>
      </c>
      <c r="G9799" s="6" t="n">
        <f aca="false">(Sens!G9779+Sens!G9798)*Sens!G9797/1000</f>
        <v>151.5545564832</v>
      </c>
      <c r="H9799" s="6" t="n">
        <f aca="false">(Sens!H9779+Sens!H9798)*Sens!H9797/1000</f>
        <v>156.0606619104</v>
      </c>
      <c r="I9799" s="6" t="n">
        <f aca="false">(Sens!I9779+Sens!I9798)*Sens!I9797/1000</f>
        <v>140.987889434245</v>
      </c>
      <c r="J9799" s="6" t="n">
        <f aca="false">(Sens!J9779+Sens!J9798)*Sens!J9797/1000</f>
        <v>111.094541278091</v>
      </c>
      <c r="K9799" s="6" t="n">
        <f aca="false">(Sens!K9779+Sens!K9798)*Sens!K9797/1000</f>
        <v>110.842344481936</v>
      </c>
    </row>
    <row r="9800" customFormat="false" ht="17.15" hidden="false" customHeight="false" outlineLevel="0" collapsed="false">
      <c r="A9800" s="0" t="s">
        <v>836</v>
      </c>
      <c r="B9800" s="0" t="s">
        <v>98</v>
      </c>
      <c r="C9800" s="6" t="n">
        <f aca="false">Sens!C9779*self_build*tk_cxfac/1000</f>
        <v>6.2083</v>
      </c>
      <c r="D9800" s="6" t="n">
        <f aca="false">Sens!D9779*self_build*tk_cxfac/1000</f>
        <v>9.3758</v>
      </c>
      <c r="E9800" s="6" t="n">
        <f aca="false">Sens!E9779*self_build*tk_cxfac/1000</f>
        <v>18.6249</v>
      </c>
      <c r="F9800" s="6" t="n">
        <f aca="false">Sens!F9779*self_build*tk_cxfac/1000</f>
        <v>29.409604</v>
      </c>
      <c r="G9800" s="6" t="n">
        <f aca="false">Sens!G9779*self_build*tk_cxfac/1000</f>
        <v>32.019624</v>
      </c>
      <c r="H9800" s="6" t="n">
        <f aca="false">Sens!H9779*self_build*tk_cxfac/1000</f>
        <v>32.019624</v>
      </c>
      <c r="I9800" s="6" t="n">
        <f aca="false">Sens!I9779*self_build*tk_cxfac/1000</f>
        <v>22.71877972</v>
      </c>
      <c r="J9800" s="6" t="n">
        <f aca="false">Sens!J9779*self_build*tk_cxfac/1000</f>
        <v>13.41793544</v>
      </c>
      <c r="K9800" s="6" t="n">
        <f aca="false">Sens!K9779*self_build*tk_cxfac/1000</f>
        <v>4.11709116000001</v>
      </c>
    </row>
    <row r="9801" customFormat="false" ht="17.15" hidden="false" customHeight="false" outlineLevel="0" collapsed="false">
      <c r="A9801" s="0" t="s">
        <v>837</v>
      </c>
      <c r="B9801" s="0" t="s">
        <v>98</v>
      </c>
      <c r="F9801" s="6" t="n">
        <f aca="false">MAX(0,capex_floor27-Sens!F9799-Sens!F9800-Sens!F9894)</f>
        <v>8.14213489897089</v>
      </c>
      <c r="L9801" s="1" t="s">
        <v>838</v>
      </c>
    </row>
    <row r="9802" customFormat="false" ht="17.15" hidden="false" customHeight="false" outlineLevel="0" collapsed="false">
      <c r="A9802" s="0" t="s">
        <v>839</v>
      </c>
      <c r="B9802" s="0" t="s">
        <v>98</v>
      </c>
      <c r="C9802" s="6" t="n">
        <f aca="false">Sens!C9799</f>
        <v>22.5333845916667</v>
      </c>
      <c r="D9802" s="6" t="n">
        <f aca="false">Sens!D9799</f>
        <v>34.0300093833333</v>
      </c>
      <c r="E9802" s="6" t="n">
        <f aca="false">Sens!E9799</f>
        <v>67.600153775</v>
      </c>
      <c r="F9802" s="6" t="n">
        <f aca="false">Sens!F9799+Sens!F9801</f>
        <v>139.065406770438</v>
      </c>
      <c r="G9802" s="6" t="n">
        <f aca="false">Sens!G9799</f>
        <v>151.5545564832</v>
      </c>
      <c r="H9802" s="6" t="n">
        <f aca="false">Sens!H9799</f>
        <v>156.0606619104</v>
      </c>
      <c r="I9802" s="6" t="n">
        <f aca="false">Sens!I9799</f>
        <v>140.987889434245</v>
      </c>
      <c r="J9802" s="6" t="n">
        <f aca="false">Sens!J9799</f>
        <v>111.094541278091</v>
      </c>
      <c r="K9802" s="6" t="n">
        <f aca="false">Sens!K9799</f>
        <v>110.842344481936</v>
      </c>
    </row>
    <row r="9803" customFormat="false" ht="17.15" hidden="false" customHeight="false" outlineLevel="0" collapsed="false">
      <c r="A9803" s="0" t="s">
        <v>840</v>
      </c>
      <c r="B9803" s="0" t="s">
        <v>98</v>
      </c>
      <c r="C9803" s="6" t="n">
        <f aca="false">Sens!C9802+Sens!C9800</f>
        <v>28.7416845916667</v>
      </c>
      <c r="D9803" s="6" t="n">
        <f aca="false">Sens!D9802+Sens!D9800</f>
        <v>43.4058093833333</v>
      </c>
      <c r="E9803" s="6" t="n">
        <f aca="false">Sens!E9802+Sens!E9800</f>
        <v>86.225053775</v>
      </c>
      <c r="F9803" s="6" t="n">
        <f aca="false">Sens!F9802+Sens!F9800</f>
        <v>168.475010770438</v>
      </c>
      <c r="G9803" s="6" t="n">
        <f aca="false">Sens!G9802+Sens!G9800</f>
        <v>183.5741804832</v>
      </c>
      <c r="H9803" s="6" t="n">
        <f aca="false">Sens!H9802+Sens!H9800</f>
        <v>188.0802859104</v>
      </c>
      <c r="I9803" s="6" t="n">
        <f aca="false">Sens!I9802+Sens!I9800</f>
        <v>163.706669154245</v>
      </c>
      <c r="J9803" s="6" t="n">
        <f aca="false">Sens!J9802+Sens!J9800</f>
        <v>124.51247671809</v>
      </c>
      <c r="K9803" s="6" t="n">
        <f aca="false">Sens!K9802+Sens!K9800</f>
        <v>114.959435641936</v>
      </c>
      <c r="L9803" s="11" t="s">
        <v>841</v>
      </c>
    </row>
    <row r="9804" customFormat="false" ht="17.15" hidden="false" customHeight="false" outlineLevel="0" collapsed="false">
      <c r="A9804" s="0" t="s">
        <v>842</v>
      </c>
      <c r="B9804" s="0" t="s">
        <v>98</v>
      </c>
      <c r="E9804" s="6" t="n">
        <f aca="false">(Sens!C9802*IF(2&lt;life_it,1,IF(2=life_it,0.5,0))+Sens!D9802*IF(1&lt;life_it,1,IF(1=life_it,0.5,0))+Sens!E9802*0.5)/life_it</f>
        <v>15.0605784770833</v>
      </c>
      <c r="F9804" s="6" t="n">
        <f aca="false">(Sens!C9802*IF(3&lt;life_it,1,IF(3=life_it,0.5,0))+Sens!D9802*IF(2&lt;life_it,1,IF(2=life_it,0.5,0))+Sens!E9802*IF(1&lt;life_it,1,IF(1=life_it,0.5,0))+Sens!F9802*0.5)/life_it</f>
        <v>32.2827085225365</v>
      </c>
      <c r="G9804" s="6" t="n">
        <f aca="false">(Sens!C9802*IF(4&lt;life_it,1,IF(4=life_it,0.5,0))+Sens!D9802*IF(3&lt;life_it,1,IF(3=life_it,0.5,0))+Sens!E9802*IF(2&lt;life_it,1,IF(2=life_it,0.5,0))+Sens!F9802*IF(1&lt;life_it,1,IF(1=life_it,0.5,0))+Sens!G9802*0.5)/life_it</f>
        <v>56.5010387936729</v>
      </c>
      <c r="H9804" s="6" t="n">
        <f aca="false">(Sens!C9802*IF(5&lt;life_it,1,IF(5=life_it,0.5,0))+Sens!D9802*IF(4&lt;life_it,1,IF(4=life_it,0.5,0))+Sens!E9802*IF(3&lt;life_it,1,IF(3=life_it,0.5,0))+Sens!F9802*IF(2&lt;life_it,1,IF(2=life_it,0.5,0))+Sens!G9802*IF(1&lt;life_it,1,IF(1=life_it,0.5,0))+Sens!H9802*0.5)/life_it</f>
        <v>82.1356403264729</v>
      </c>
      <c r="I9804" s="6" t="n">
        <f aca="false">(Sens!C9802*IF(6&lt;life_it,1,IF(6=life_it,0.5,0))+Sens!D9802*IF(5&lt;life_it,1,IF(5=life_it,0.5,0))+Sens!E9802*IF(4&lt;life_it,1,IF(4=life_it,0.5,0))+Sens!F9802*IF(3&lt;life_it,1,IF(3=life_it,0.5,0))+Sens!G9802*IF(2&lt;life_it,1,IF(2=life_it,0.5,0))+Sens!H9802*IF(1&lt;life_it,1,IF(1=life_it,0.5,0))+Sens!I9802*0.5)/life_it</f>
        <v>105.011904222554</v>
      </c>
      <c r="J9804" s="6" t="n">
        <f aca="false">(Sens!C9802*IF(7&lt;life_it,1,IF(7=life_it,0.5,0))+Sens!D9802*IF(6&lt;life_it,1,IF(6=life_it,0.5,0))+Sens!E9802*IF(5&lt;life_it,1,IF(5=life_it,0.5,0))+Sens!F9802*IF(4&lt;life_it,1,IF(4=life_it,0.5,0))+Sens!G9802*IF(3&lt;life_it,1,IF(3=life_it,0.5,0))+Sens!H9802*IF(2&lt;life_it,1,IF(2=life_it,0.5,0))+Sens!I9802*IF(1&lt;life_it,1,IF(1=life_it,0.5,0))+Sens!J9802*0.5)/life_it</f>
        <v>121.305157283999</v>
      </c>
      <c r="K9804" s="6" t="n">
        <f aca="false">(Sens!C9802*IF(8&lt;life_it,1,IF(8=life_it,0.5,0))+Sens!D9802*IF(7&lt;life_it,1,IF(7=life_it,0.5,0))+Sens!E9802*IF(6&lt;life_it,1,IF(6=life_it,0.5,0))+Sens!F9802*IF(5&lt;life_it,1,IF(5=life_it,0.5,0))+Sens!G9802*IF(4&lt;life_it,1,IF(4=life_it,0.5,0))+Sens!H9802*IF(3&lt;life_it,1,IF(3=life_it,0.5,0))+Sens!I9802*IF(2&lt;life_it,1,IF(2=life_it,0.5,0))+Sens!J9802*IF(1&lt;life_it,1,IF(1=life_it,0.5,0))+Sens!K9802*0.5)/life_it</f>
        <v>131.330717500807</v>
      </c>
    </row>
    <row r="9805" customFormat="false" ht="17.15" hidden="false" customHeight="false" outlineLevel="0" collapsed="false">
      <c r="A9805" s="0" t="s">
        <v>843</v>
      </c>
      <c r="B9805" s="0" t="s">
        <v>98</v>
      </c>
      <c r="E9805" s="6" t="n">
        <f aca="false">(Sens!C9800*IF(2&lt;life_fac,1,IF(2=life_fac,0.5,0))+Sens!D9800*IF(1&lt;life_fac,1,IF(1=life_fac,0.5,0))+Sens!E9800*0.5)/life_fac</f>
        <v>1.2448275</v>
      </c>
      <c r="F9805" s="6" t="n">
        <f aca="false">(Sens!C9800*IF(3&lt;life_fac,1,IF(3=life_fac,0.5,0))+Sens!D9800*IF(2&lt;life_fac,1,IF(2=life_fac,0.5,0))+Sens!E9800*IF(1&lt;life_fac,1,IF(1=life_fac,0.5,0))+Sens!F9800*0.5)/life_fac</f>
        <v>2.4456901</v>
      </c>
      <c r="G9805" s="6" t="n">
        <f aca="false">(Sens!C9800*IF(4&lt;life_fac,1,IF(4=life_fac,0.5,0))+Sens!D9800*IF(3&lt;life_fac,1,IF(3=life_fac,0.5,0))+Sens!E9800*IF(2&lt;life_fac,1,IF(2=life_fac,0.5,0))+Sens!F9800*IF(1&lt;life_fac,1,IF(1=life_fac,0.5,0))+Sens!G9800*0.5)/life_fac</f>
        <v>3.9814208</v>
      </c>
      <c r="H9805" s="6" t="n">
        <f aca="false">(Sens!C9800*IF(5&lt;life_fac,1,IF(5=life_fac,0.5,0))+Sens!D9800*IF(4&lt;life_fac,1,IF(4=life_fac,0.5,0))+Sens!E9800*IF(3&lt;life_fac,1,IF(3=life_fac,0.5,0))+Sens!F9800*IF(2&lt;life_fac,1,IF(2=life_fac,0.5,0))+Sens!G9800*IF(1&lt;life_fac,1,IF(1=life_fac,0.5,0))+Sens!H9800*0.5)/life_fac</f>
        <v>5.582402</v>
      </c>
      <c r="I9805" s="6" t="n">
        <f aca="false">(Sens!C9800*IF(6&lt;life_fac,1,IF(6=life_fac,0.5,0))+Sens!D9800*IF(5&lt;life_fac,1,IF(5=life_fac,0.5,0))+Sens!E9800*IF(4&lt;life_fac,1,IF(4=life_fac,0.5,0))+Sens!F9800*IF(3&lt;life_fac,1,IF(3=life_fac,0.5,0))+Sens!G9800*IF(2&lt;life_fac,1,IF(2=life_fac,0.5,0))+Sens!H9800*IF(1&lt;life_fac,1,IF(1=life_fac,0.5,0))+Sens!I9800*0.5)/life_fac</f>
        <v>6.950862093</v>
      </c>
      <c r="J9805" s="6" t="n">
        <f aca="false">(Sens!C9800*IF(7&lt;life_fac,1,IF(7=life_fac,0.5,0))+Sens!D9800*IF(6&lt;life_fac,1,IF(6=life_fac,0.5,0))+Sens!E9800*IF(5&lt;life_fac,1,IF(5=life_fac,0.5,0))+Sens!F9800*IF(4&lt;life_fac,1,IF(4=life_fac,0.5,0))+Sens!G9800*IF(3&lt;life_fac,1,IF(3=life_fac,0.5,0))+Sens!H9800*IF(2&lt;life_fac,1,IF(2=life_fac,0.5,0))+Sens!I9800*IF(1&lt;life_fac,1,IF(1=life_fac,0.5,0))+Sens!J9800*0.5)/life_fac</f>
        <v>7.854279972</v>
      </c>
      <c r="K9805" s="6" t="n">
        <f aca="false">(Sens!C9800*IF(8&lt;life_fac,1,IF(8=life_fac,0.5,0))+Sens!D9800*IF(7&lt;life_fac,1,IF(7=life_fac,0.5,0))+Sens!E9800*IF(6&lt;life_fac,1,IF(6=life_fac,0.5,0))+Sens!F9800*IF(5&lt;life_fac,1,IF(5=life_fac,0.5,0))+Sens!G9800*IF(4&lt;life_fac,1,IF(4=life_fac,0.5,0))+Sens!H9800*IF(3&lt;life_fac,1,IF(3=life_fac,0.5,0))+Sens!I9800*IF(2&lt;life_fac,1,IF(2=life_fac,0.5,0))+Sens!J9800*IF(1&lt;life_fac,1,IF(1=life_fac,0.5,0))+Sens!K9800*0.5)/life_fac</f>
        <v>8.292655637</v>
      </c>
    </row>
    <row r="9806" customFormat="false" ht="17.15" hidden="false" customHeight="false" outlineLevel="0" collapsed="false">
      <c r="A9806" s="0" t="s">
        <v>844</v>
      </c>
      <c r="B9806" s="0" t="s">
        <v>98</v>
      </c>
      <c r="E9806" s="6" t="n">
        <f aca="false">Sens!E9804+Sens!E9805</f>
        <v>16.3054059770833</v>
      </c>
      <c r="F9806" s="6" t="n">
        <f aca="false">Sens!F9804+Sens!F9805</f>
        <v>34.7283986225365</v>
      </c>
      <c r="G9806" s="6" t="n">
        <f aca="false">Sens!G9804+Sens!G9805</f>
        <v>60.4824595936729</v>
      </c>
      <c r="H9806" s="6" t="n">
        <f aca="false">Sens!H9804+Sens!H9805</f>
        <v>87.7180423264729</v>
      </c>
      <c r="I9806" s="6" t="n">
        <f aca="false">Sens!I9804+Sens!I9805</f>
        <v>111.962766315554</v>
      </c>
      <c r="J9806" s="6" t="n">
        <f aca="false">Sens!J9804+Sens!J9805</f>
        <v>129.159437255999</v>
      </c>
      <c r="K9806" s="6" t="n">
        <f aca="false">Sens!K9804+Sens!K9805</f>
        <v>139.623373137807</v>
      </c>
    </row>
    <row r="9807" customFormat="false" ht="17.15" hidden="false" customHeight="false" outlineLevel="0" collapsed="false">
      <c r="A9807" s="0" t="s">
        <v>845</v>
      </c>
      <c r="B9807" s="0" t="s">
        <v>98</v>
      </c>
      <c r="E9807" s="6" t="n">
        <f aca="false">Sens!E9795-Sens!E9794*Sens!E9806</f>
        <v>8.92707889977379</v>
      </c>
      <c r="F9807" s="6" t="n">
        <f aca="false">Sens!F9795-Sens!F9794*Sens!F9806</f>
        <v>22.2908142312152</v>
      </c>
      <c r="G9807" s="6" t="n">
        <f aca="false">Sens!G9795-Sens!G9794*Sens!G9806</f>
        <v>42.1818266237015</v>
      </c>
      <c r="H9807" s="6" t="n">
        <f aca="false">Sens!H9795-Sens!H9794*Sens!H9806</f>
        <v>67.5387988653351</v>
      </c>
      <c r="I9807" s="6" t="n">
        <f aca="false">Sens!I9795-Sens!I9794*Sens!I9806</f>
        <v>84.7551740462332</v>
      </c>
      <c r="J9807" s="6" t="n">
        <f aca="false">Sens!J9795-Sens!J9794*Sens!J9806</f>
        <v>96.7157315654554</v>
      </c>
      <c r="K9807" s="6" t="n">
        <f aca="false">Sens!K9795-Sens!K9794*Sens!K9806</f>
        <v>104.653917160045</v>
      </c>
    </row>
    <row r="9808" customFormat="false" ht="17.15" hidden="false" customHeight="false" outlineLevel="0" collapsed="false">
      <c r="A9808" s="3" t="s">
        <v>1490</v>
      </c>
    </row>
    <row r="9809" customFormat="false" ht="15" hidden="false" customHeight="false" outlineLevel="0" collapsed="false">
      <c r="A9809" s="4" t="s">
        <v>43</v>
      </c>
      <c r="B9809" s="4" t="s">
        <v>65</v>
      </c>
      <c r="C9809" s="20" t="s">
        <v>788</v>
      </c>
      <c r="D9809" s="20" t="s">
        <v>789</v>
      </c>
      <c r="E9809" s="20" t="s">
        <v>790</v>
      </c>
      <c r="F9809" s="20" t="s">
        <v>791</v>
      </c>
      <c r="G9809" s="20" t="s">
        <v>792</v>
      </c>
      <c r="H9809" s="20" t="s">
        <v>793</v>
      </c>
      <c r="I9809" s="20" t="s">
        <v>794</v>
      </c>
      <c r="J9809" s="20" t="s">
        <v>795</v>
      </c>
      <c r="K9809" s="20" t="s">
        <v>796</v>
      </c>
      <c r="L9809" s="4" t="s">
        <v>47</v>
      </c>
    </row>
    <row r="9810" customFormat="false" ht="17.15" hidden="false" customHeight="false" outlineLevel="0" collapsed="false">
      <c r="A9810" s="0" t="s">
        <v>864</v>
      </c>
      <c r="B9810" s="0" t="s">
        <v>98</v>
      </c>
      <c r="D9810" s="6" t="n">
        <f aca="false">Sens!D9789</f>
        <v>12.9359794422418</v>
      </c>
      <c r="E9810" s="6" t="n">
        <f aca="false">Sens!E9789</f>
        <v>27.8095064661409</v>
      </c>
      <c r="F9810" s="6" t="n">
        <f aca="false">Sens!F9789</f>
        <v>58.7324192305018</v>
      </c>
      <c r="G9810" s="6" t="n">
        <f aca="false">Sens!G9789</f>
        <v>101.369089141153</v>
      </c>
      <c r="H9810" s="6" t="n">
        <f aca="false">Sens!H9789</f>
        <v>149.785610014234</v>
      </c>
      <c r="I9810" s="6" t="n">
        <f aca="false">Sens!I9789</f>
        <v>187.368703083263</v>
      </c>
      <c r="J9810" s="6" t="n">
        <f aca="false">Sens!J9789</f>
        <v>213.569023125577</v>
      </c>
      <c r="K9810" s="6" t="n">
        <f aca="false">Sens!K9789</f>
        <v>229.890205197739</v>
      </c>
    </row>
    <row r="9811" customFormat="false" ht="17.15" hidden="false" customHeight="false" outlineLevel="0" collapsed="false">
      <c r="A9811" s="0" t="s">
        <v>865</v>
      </c>
      <c r="B9811" s="0" t="s">
        <v>98</v>
      </c>
      <c r="D9811" s="6" t="n">
        <f aca="false">Q!L6-Sens!D9810</f>
        <v>59.6740205577583</v>
      </c>
      <c r="E9811" s="6" t="n">
        <f aca="false">Q!M6-Sens!E9810</f>
        <v>74.1284935338591</v>
      </c>
      <c r="F9811" s="6" t="n">
        <f aca="false">Sens!E9811*(1+Sens!F9812)</f>
        <v>90.0799497373663</v>
      </c>
      <c r="G9811" s="6" t="n">
        <f aca="false">Sens!F9811*(1+Sens!G9812)</f>
        <v>107.02842520331</v>
      </c>
      <c r="H9811" s="6" t="n">
        <f aca="false">Sens!G9811*(1+Sens!H9812)</f>
        <v>124.271982585636</v>
      </c>
      <c r="I9811" s="6" t="n">
        <f aca="false">Sens!H9811*(1+Sens!I9812)</f>
        <v>140.933702381855</v>
      </c>
      <c r="J9811" s="6" t="n">
        <f aca="false">Sens!I9811*(1+Sens!J9812)</f>
        <v>156.018867314332</v>
      </c>
      <c r="K9811" s="6" t="n">
        <f aca="false">Sens!J9811*(1+Sens!K9812)</f>
        <v>168.500376699478</v>
      </c>
    </row>
    <row r="9812" customFormat="false" ht="15" hidden="false" customHeight="false" outlineLevel="0" collapsed="false">
      <c r="A9812" s="1" t="s">
        <v>866</v>
      </c>
      <c r="B9812" s="0" t="s">
        <v>129</v>
      </c>
      <c r="E9812" s="7" t="n">
        <f aca="false">Sens!E9811/Sens!D9811-1</f>
        <v>0.242223883039864</v>
      </c>
      <c r="F9812" s="7" t="n">
        <f aca="false">Sens!$E$9812+(glt_azo-Sens!$E$9812)*MIN(1,(Sens!F9772-base_fy)/n_conv)</f>
        <v>0.215186569199887</v>
      </c>
      <c r="G9812" s="7" t="n">
        <f aca="false">Sens!$E$9812+(glt_azo-Sens!$E$9812)*MIN(1,(Sens!G9772-base_fy)/n_conv)</f>
        <v>0.18814925535991</v>
      </c>
      <c r="H9812" s="7" t="n">
        <f aca="false">Sens!$E$9812+(glt_azo-Sens!$E$9812)*MIN(1,(Sens!H9772-base_fy)/n_conv)</f>
        <v>0.161111941519932</v>
      </c>
      <c r="I9812" s="7" t="n">
        <f aca="false">Sens!$E$9812+(glt_azo-Sens!$E$9812)*MIN(1,(Sens!I9772-base_fy)/n_conv)</f>
        <v>0.134074627679955</v>
      </c>
      <c r="J9812" s="7" t="n">
        <f aca="false">Sens!$E$9812+(glt_azo-Sens!$E$9812)*MIN(1,(Sens!J9772-base_fy)/n_conv)</f>
        <v>0.107037313839977</v>
      </c>
      <c r="K9812" s="7" t="n">
        <f aca="false">Sens!$E$9812+(glt_azo-Sens!$E$9812)*MIN(1,(Sens!K9772-base_fy)/n_conv)</f>
        <v>0.08</v>
      </c>
    </row>
    <row r="9813" customFormat="false" ht="15" hidden="false" customHeight="false" outlineLevel="0" collapsed="false">
      <c r="A9813" s="0" t="s">
        <v>867</v>
      </c>
      <c r="B9813" s="0" t="s">
        <v>98</v>
      </c>
      <c r="D9813" s="6" t="n">
        <f aca="false">Sens!D9810+Sens!D9811</f>
        <v>72.61</v>
      </c>
      <c r="E9813" s="6" t="n">
        <f aca="false">Sens!E9810+Sens!E9811</f>
        <v>101.938</v>
      </c>
      <c r="F9813" s="6" t="n">
        <f aca="false">Sens!F9810+Sens!F9811</f>
        <v>148.812368967868</v>
      </c>
      <c r="G9813" s="6" t="n">
        <f aca="false">Sens!G9810+Sens!G9811</f>
        <v>208.397514344463</v>
      </c>
      <c r="H9813" s="6" t="n">
        <f aca="false">Sens!H9810+Sens!H9811</f>
        <v>274.05759259987</v>
      </c>
      <c r="I9813" s="6" t="n">
        <f aca="false">Sens!I9810+Sens!I9811</f>
        <v>328.302405465117</v>
      </c>
      <c r="J9813" s="6" t="n">
        <f aca="false">Sens!J9810+Sens!J9811</f>
        <v>369.587890439908</v>
      </c>
      <c r="K9813" s="6" t="n">
        <f aca="false">Sens!K9810+Sens!K9811</f>
        <v>398.390581897217</v>
      </c>
    </row>
    <row r="9814" customFormat="false" ht="17.15" hidden="false" customHeight="false" outlineLevel="0" collapsed="false">
      <c r="A9814" s="0" t="s">
        <v>868</v>
      </c>
      <c r="B9814" s="1" t="s">
        <v>521</v>
      </c>
      <c r="C9814" s="29" t="n">
        <f aca="false">cop_s24</f>
        <v>1</v>
      </c>
      <c r="D9814" s="29" t="n">
        <f aca="false">cop_s25</f>
        <v>5</v>
      </c>
      <c r="E9814" s="29" t="n">
        <f aca="false">cop_s26</f>
        <v>30</v>
      </c>
      <c r="F9814" s="29" t="n">
        <f aca="false">Sens!E9814+cop_add_A</f>
        <v>60</v>
      </c>
      <c r="G9814" s="29" t="n">
        <f aca="false">Sens!F9814+cop_add_A</f>
        <v>90</v>
      </c>
      <c r="H9814" s="29" t="n">
        <f aca="false">Sens!G9814+cop_add_A</f>
        <v>120</v>
      </c>
      <c r="I9814" s="29" t="n">
        <f aca="false">Sens!H9814+cop_add_A*cop_tail</f>
        <v>135</v>
      </c>
      <c r="J9814" s="29" t="n">
        <f aca="false">Sens!I9814+cop_add_A*cop_tail</f>
        <v>150</v>
      </c>
      <c r="K9814" s="29" t="n">
        <f aca="false">Sens!J9814+cop_add_A*cop_tail</f>
        <v>165</v>
      </c>
      <c r="L9814" s="11" t="s">
        <v>869</v>
      </c>
    </row>
    <row r="9815" customFormat="false" ht="17.15" hidden="false" customHeight="false" outlineLevel="0" collapsed="false">
      <c r="A9815" s="0" t="s">
        <v>870</v>
      </c>
      <c r="B9815" s="0" t="s">
        <v>98</v>
      </c>
      <c r="D9815" s="6" t="n">
        <f aca="false">(Sens!C9814+Sens!D9814)/2*cop_px*12/1000</f>
        <v>0.9</v>
      </c>
      <c r="E9815" s="6" t="n">
        <f aca="false">(Sens!D9814+Sens!E9814)/2*cop_px*12/1000</f>
        <v>5.25</v>
      </c>
      <c r="F9815" s="6" t="n">
        <f aca="false">(Sens!E9814+Sens!F9814)/2*cop_px*12/1000</f>
        <v>13.5</v>
      </c>
      <c r="G9815" s="6" t="n">
        <f aca="false">(Sens!F9814+Sens!G9814)/2*cop_px*12/1000</f>
        <v>22.5</v>
      </c>
      <c r="H9815" s="6" t="n">
        <f aca="false">(Sens!G9814+Sens!H9814)/2*cop_px*12/1000</f>
        <v>31.5</v>
      </c>
      <c r="I9815" s="6" t="n">
        <f aca="false">(Sens!H9814+Sens!I9814)/2*cop_px*12/1000</f>
        <v>38.25</v>
      </c>
      <c r="J9815" s="6" t="n">
        <f aca="false">(Sens!I9814+Sens!J9814)/2*cop_px*12/1000</f>
        <v>42.75</v>
      </c>
      <c r="K9815" s="6" t="n">
        <f aca="false">(Sens!J9814+Sens!K9814)/2*cop_px*12/1000</f>
        <v>47.25</v>
      </c>
      <c r="L9815" s="1" t="s">
        <v>871</v>
      </c>
    </row>
    <row r="9816" customFormat="false" ht="17.15" hidden="false" customHeight="false" outlineLevel="0" collapsed="false">
      <c r="A9816" s="0" t="s">
        <v>872</v>
      </c>
      <c r="B9816" s="0" t="s">
        <v>98</v>
      </c>
      <c r="D9816" s="6" t="n">
        <f aca="false">Q!L7-Sens!D9815</f>
        <v>83.705</v>
      </c>
      <c r="E9816" s="6" t="n">
        <f aca="false">Q!M7-Sens!E9815</f>
        <v>95.049</v>
      </c>
      <c r="F9816" s="6" t="n">
        <f aca="false">Sens!E9816*(1+Sens!F9817)</f>
        <v>106.89238776686</v>
      </c>
      <c r="G9816" s="6" t="n">
        <f aca="false">Sens!F9816*(1+Sens!G9817)</f>
        <v>119.044168448684</v>
      </c>
      <c r="H9816" s="6" t="n">
        <f aca="false">Sens!G9816*(1+Sens!H9817)</f>
        <v>131.277359388781</v>
      </c>
      <c r="I9816" s="6" t="n">
        <f aca="false">Sens!H9816*(1+Sens!I9817)</f>
        <v>143.334028071957</v>
      </c>
      <c r="J9816" s="6" t="n">
        <f aca="false">Sens!I9816*(1+Sens!J9817)</f>
        <v>154.932702785465</v>
      </c>
      <c r="K9816" s="6" t="n">
        <f aca="false">Sens!J9816*(1+Sens!K9817)</f>
        <v>165.777991980448</v>
      </c>
    </row>
    <row r="9817" customFormat="false" ht="15" hidden="false" customHeight="false" outlineLevel="0" collapsed="false">
      <c r="A9817" s="1" t="s">
        <v>866</v>
      </c>
      <c r="B9817" s="0" t="s">
        <v>129</v>
      </c>
      <c r="E9817" s="7" t="n">
        <f aca="false">Sens!E9816/Sens!D9816-1</f>
        <v>0.135523564900544</v>
      </c>
      <c r="F9817" s="7" t="n">
        <f aca="false">Sens!$E$9817+(glt_m365b-Sens!$E$9817)*MIN(1,(Sens!F9772-base_fy)/n_conv)</f>
        <v>0.124602970750453</v>
      </c>
      <c r="G9817" s="7" t="n">
        <f aca="false">Sens!$E$9817+(glt_m365b-Sens!$E$9817)*MIN(1,(Sens!G9772-base_fy)/n_conv)</f>
        <v>0.113682376600363</v>
      </c>
      <c r="H9817" s="7" t="n">
        <f aca="false">Sens!$E$9817+(glt_m365b-Sens!$E$9817)*MIN(1,(Sens!H9772-base_fy)/n_conv)</f>
        <v>0.102761782450272</v>
      </c>
      <c r="I9817" s="7" t="n">
        <f aca="false">Sens!$E$9817+(glt_m365b-Sens!$E$9817)*MIN(1,(Sens!I9772-base_fy)/n_conv)</f>
        <v>0.0918411883001813</v>
      </c>
      <c r="J9817" s="7" t="n">
        <f aca="false">Sens!$E$9817+(glt_m365b-Sens!$E$9817)*MIN(1,(Sens!J9772-base_fy)/n_conv)</f>
        <v>0.0809205941500906</v>
      </c>
      <c r="K9817" s="7" t="n">
        <f aca="false">Sens!$E$9817+(glt_m365b-Sens!$E$9817)*MIN(1,(Sens!K9772-base_fy)/n_conv)</f>
        <v>0.07</v>
      </c>
    </row>
    <row r="9818" customFormat="false" ht="15" hidden="false" customHeight="false" outlineLevel="0" collapsed="false">
      <c r="A9818" s="0" t="s">
        <v>873</v>
      </c>
      <c r="B9818" s="0" t="s">
        <v>98</v>
      </c>
      <c r="D9818" s="6" t="n">
        <f aca="false">Sens!D9816+Sens!D9815</f>
        <v>84.605</v>
      </c>
      <c r="E9818" s="6" t="n">
        <f aca="false">Sens!E9816+Sens!E9815</f>
        <v>100.299</v>
      </c>
      <c r="F9818" s="6" t="n">
        <f aca="false">Sens!F9816+Sens!F9815</f>
        <v>120.39238776686</v>
      </c>
      <c r="G9818" s="6" t="n">
        <f aca="false">Sens!G9816+Sens!G9815</f>
        <v>141.544168448684</v>
      </c>
      <c r="H9818" s="6" t="n">
        <f aca="false">Sens!H9816+Sens!H9815</f>
        <v>162.777359388781</v>
      </c>
      <c r="I9818" s="6" t="n">
        <f aca="false">Sens!I9816+Sens!I9815</f>
        <v>181.584028071957</v>
      </c>
      <c r="J9818" s="6" t="n">
        <f aca="false">Sens!J9816+Sens!J9815</f>
        <v>197.682702785465</v>
      </c>
      <c r="K9818" s="6" t="n">
        <f aca="false">Sens!K9816+Sens!K9815</f>
        <v>213.027991980448</v>
      </c>
    </row>
    <row r="9819" customFormat="false" ht="15" hidden="false" customHeight="false" outlineLevel="0" collapsed="false">
      <c r="A9819" s="0" t="s">
        <v>874</v>
      </c>
      <c r="B9819" s="0" t="s">
        <v>98</v>
      </c>
      <c r="D9819" s="6" t="n">
        <f aca="false">Q!L8</f>
        <v>35.391</v>
      </c>
      <c r="E9819" s="6" t="n">
        <f aca="false">Q!M8</f>
        <v>37.285</v>
      </c>
      <c r="F9819" s="6" t="n">
        <f aca="false">Sens!E9819*(1+Sens!F9820)</f>
        <v>39.0720834331704</v>
      </c>
      <c r="G9819" s="6" t="n">
        <f aca="false">Sens!F9819*(1+Sens!G9820)</f>
        <v>40.726562953769</v>
      </c>
      <c r="H9819" s="6" t="n">
        <f aca="false">Sens!G9819*(1+Sens!H9820)</f>
        <v>42.2235987259198</v>
      </c>
      <c r="I9819" s="6" t="n">
        <f aca="false">Sens!H9819*(1+Sens!I9820)</f>
        <v>43.5397988077414</v>
      </c>
      <c r="J9819" s="6" t="n">
        <f aca="false">Sens!I9819*(1+Sens!J9820)</f>
        <v>44.653811225693</v>
      </c>
      <c r="K9819" s="6" t="n">
        <f aca="false">Sens!J9819*(1+Sens!K9820)</f>
        <v>45.5468874502068</v>
      </c>
    </row>
    <row r="9820" customFormat="false" ht="15" hidden="false" customHeight="false" outlineLevel="0" collapsed="false">
      <c r="A9820" s="1" t="s">
        <v>866</v>
      </c>
      <c r="B9820" s="0" t="s">
        <v>129</v>
      </c>
      <c r="E9820" s="7" t="n">
        <f aca="false">Sens!E9819/Sens!D9819-1</f>
        <v>0.0535164307309768</v>
      </c>
      <c r="F9820" s="7" t="n">
        <f aca="false">Sens!$E$9820+(glt_lic-Sens!$E$9820)*MIN(1,(Sens!F9772-base_fy)/n_conv)</f>
        <v>0.0479303589424807</v>
      </c>
      <c r="G9820" s="7" t="n">
        <f aca="false">Sens!$E$9820+(glt_lic-Sens!$E$9820)*MIN(1,(Sens!G9772-base_fy)/n_conv)</f>
        <v>0.0423442871539845</v>
      </c>
      <c r="H9820" s="7" t="n">
        <f aca="false">Sens!$E$9820+(glt_lic-Sens!$E$9820)*MIN(1,(Sens!H9772-base_fy)/n_conv)</f>
        <v>0.0367582153654884</v>
      </c>
      <c r="I9820" s="7" t="n">
        <f aca="false">Sens!$E$9820+(glt_lic-Sens!$E$9820)*MIN(1,(Sens!I9772-base_fy)/n_conv)</f>
        <v>0.0311721435769923</v>
      </c>
      <c r="J9820" s="7" t="n">
        <f aca="false">Sens!$E$9820+(glt_lic-Sens!$E$9820)*MIN(1,(Sens!J9772-base_fy)/n_conv)</f>
        <v>0.0255860717884961</v>
      </c>
      <c r="K9820" s="7" t="n">
        <f aca="false">Sens!$E$9820+(glt_lic-Sens!$E$9820)*MIN(1,(Sens!K9772-base_fy)/n_conv)</f>
        <v>0.02</v>
      </c>
    </row>
    <row r="9821" customFormat="false" ht="15" hidden="false" customHeight="false" outlineLevel="0" collapsed="false">
      <c r="A9821" s="0" t="s">
        <v>875</v>
      </c>
      <c r="B9821" s="0" t="s">
        <v>98</v>
      </c>
      <c r="D9821" s="6" t="n">
        <f aca="false">Q!L9</f>
        <v>18.417</v>
      </c>
      <c r="E9821" s="6" t="n">
        <f aca="false">Q!M9</f>
        <v>20.345</v>
      </c>
      <c r="F9821" s="6" t="n">
        <f aca="false">Sens!E9821*(1+Sens!F9822)</f>
        <v>22.3572203267814</v>
      </c>
      <c r="G9821" s="6" t="n">
        <f aca="false">Sens!F9821*(1+Sens!G9822)</f>
        <v>24.4392124437232</v>
      </c>
      <c r="H9821" s="6" t="n">
        <f aca="false">Sens!G9821*(1+Sens!H9822)</f>
        <v>26.5738052080665</v>
      </c>
      <c r="I9821" s="6" t="n">
        <f aca="false">Sens!H9821*(1+Sens!I9822)</f>
        <v>28.7412169166967</v>
      </c>
      <c r="J9821" s="6" t="n">
        <f aca="false">Sens!I9821*(1+Sens!J9822)</f>
        <v>30.9192545395413</v>
      </c>
      <c r="K9821" s="6" t="n">
        <f aca="false">Sens!J9821*(1+Sens!K9822)</f>
        <v>33.0836023573092</v>
      </c>
    </row>
    <row r="9822" customFormat="false" ht="15" hidden="false" customHeight="false" outlineLevel="0" collapsed="false">
      <c r="A9822" s="1" t="s">
        <v>866</v>
      </c>
      <c r="B9822" s="0" t="s">
        <v>129</v>
      </c>
      <c r="E9822" s="7" t="n">
        <f aca="false">Sens!E9821/Sens!D9821-1</f>
        <v>0.104685888038225</v>
      </c>
      <c r="F9822" s="7" t="n">
        <f aca="false">Sens!$E$9822+(glt_ind-Sens!$E$9822)*MIN(1,(Sens!F9772-base_fy)/n_conv)</f>
        <v>0.0989049066985211</v>
      </c>
      <c r="G9822" s="7" t="n">
        <f aca="false">Sens!$E$9822+(glt_ind-Sens!$E$9822)*MIN(1,(Sens!G9772-base_fy)/n_conv)</f>
        <v>0.0931239253588169</v>
      </c>
      <c r="H9822" s="7" t="n">
        <f aca="false">Sens!$E$9822+(glt_ind-Sens!$E$9822)*MIN(1,(Sens!H9772-base_fy)/n_conv)</f>
        <v>0.0873429440191127</v>
      </c>
      <c r="I9822" s="7" t="n">
        <f aca="false">Sens!$E$9822+(glt_ind-Sens!$E$9822)*MIN(1,(Sens!I9772-base_fy)/n_conv)</f>
        <v>0.0815619626794085</v>
      </c>
      <c r="J9822" s="7" t="n">
        <f aca="false">Sens!$E$9822+(glt_ind-Sens!$E$9822)*MIN(1,(Sens!J9772-base_fy)/n_conv)</f>
        <v>0.0757809813397042</v>
      </c>
      <c r="K9822" s="7" t="n">
        <f aca="false">Sens!$E$9822+(glt_ind-Sens!$E$9822)*MIN(1,(Sens!K9772-base_fy)/n_conv)</f>
        <v>0.07</v>
      </c>
    </row>
    <row r="9823" customFormat="false" ht="15" hidden="false" customHeight="false" outlineLevel="0" collapsed="false">
      <c r="A9823" s="0" t="s">
        <v>876</v>
      </c>
      <c r="B9823" s="0" t="s">
        <v>98</v>
      </c>
      <c r="D9823" s="6" t="n">
        <f aca="false">Q!L10</f>
        <v>7.76</v>
      </c>
      <c r="E9823" s="6" t="n">
        <f aca="false">Q!M10</f>
        <v>8.26</v>
      </c>
      <c r="F9823" s="6" t="n">
        <f aca="false">Sens!E9823*(1+Sens!F9824)</f>
        <v>8.79988041237113</v>
      </c>
      <c r="G9823" s="6" t="n">
        <f aca="false">Sens!F9823*(1+Sens!G9824)</f>
        <v>9.38321269125306</v>
      </c>
      <c r="H9823" s="6" t="n">
        <f aca="false">Sens!G9823*(1+Sens!H9824)</f>
        <v>10.0139193587476</v>
      </c>
      <c r="I9823" s="6" t="n">
        <f aca="false">Sens!H9823*(1+Sens!I9824)</f>
        <v>10.6963111830911</v>
      </c>
      <c r="J9823" s="6" t="n">
        <f aca="false">Sens!I9823*(1+Sens!J9824)</f>
        <v>11.4351285534696</v>
      </c>
      <c r="K9823" s="6" t="n">
        <f aca="false">Sens!J9823*(1+Sens!K9824)</f>
        <v>12.2355875522124</v>
      </c>
    </row>
    <row r="9824" customFormat="false" ht="15" hidden="false" customHeight="false" outlineLevel="0" collapsed="false">
      <c r="A9824" s="1" t="s">
        <v>866</v>
      </c>
      <c r="B9824" s="0" t="s">
        <v>129</v>
      </c>
      <c r="E9824" s="7" t="n">
        <f aca="false">Sens!E9823/Sens!D9823-1</f>
        <v>0.0644329896907216</v>
      </c>
      <c r="F9824" s="7" t="n">
        <f aca="false">Sens!$E$9824+(glt_fro-Sens!$E$9824)*MIN(1,(Sens!F9772-base_fy)/n_conv)</f>
        <v>0.065360824742268</v>
      </c>
      <c r="G9824" s="7" t="n">
        <f aca="false">Sens!$E$9824+(glt_fro-Sens!$E$9824)*MIN(1,(Sens!G9772-base_fy)/n_conv)</f>
        <v>0.0662886597938144</v>
      </c>
      <c r="H9824" s="7" t="n">
        <f aca="false">Sens!$E$9824+(glt_fro-Sens!$E$9824)*MIN(1,(Sens!H9772-base_fy)/n_conv)</f>
        <v>0.0672164948453608</v>
      </c>
      <c r="I9824" s="7" t="n">
        <f aca="false">Sens!$E$9824+(glt_fro-Sens!$E$9824)*MIN(1,(Sens!I9772-base_fy)/n_conv)</f>
        <v>0.0681443298969072</v>
      </c>
      <c r="J9824" s="7" t="n">
        <f aca="false">Sens!$E$9824+(glt_fro-Sens!$E$9824)*MIN(1,(Sens!J9772-base_fy)/n_conv)</f>
        <v>0.0690721649484536</v>
      </c>
      <c r="K9824" s="7" t="n">
        <f aca="false">Sens!$E$9824+(glt_fro-Sens!$E$9824)*MIN(1,(Sens!K9772-base_fy)/n_conv)</f>
        <v>0.07</v>
      </c>
    </row>
    <row r="9825" customFormat="false" ht="15" hidden="false" customHeight="false" outlineLevel="0" collapsed="false">
      <c r="A9825" s="0" t="s">
        <v>704</v>
      </c>
      <c r="B9825" s="0" t="s">
        <v>98</v>
      </c>
      <c r="D9825" s="6" t="n">
        <f aca="false">Sens!D9813+Sens!D9818+Sens!D9819+Sens!D9821+Sens!D9823</f>
        <v>218.783</v>
      </c>
      <c r="E9825" s="6" t="n">
        <f aca="false">Sens!E9813+Sens!E9818+Sens!E9819+Sens!E9821+Sens!E9823</f>
        <v>268.127</v>
      </c>
      <c r="F9825" s="6" t="n">
        <f aca="false">Sens!F9813+Sens!F9818+Sens!F9819+Sens!F9821+Sens!F9823</f>
        <v>339.433940907051</v>
      </c>
      <c r="G9825" s="6" t="n">
        <f aca="false">Sens!G9813+Sens!G9818+Sens!G9819+Sens!G9821+Sens!G9823</f>
        <v>424.490670881892</v>
      </c>
      <c r="H9825" s="6" t="n">
        <f aca="false">Sens!H9813+Sens!H9818+Sens!H9819+Sens!H9821+Sens!H9823</f>
        <v>515.646275281385</v>
      </c>
      <c r="I9825" s="6" t="n">
        <f aca="false">Sens!I9813+Sens!I9818+Sens!I9819+Sens!I9821+Sens!I9823</f>
        <v>592.863760444604</v>
      </c>
      <c r="J9825" s="6" t="n">
        <f aca="false">Sens!J9813+Sens!J9818+Sens!J9819+Sens!J9821+Sens!J9823</f>
        <v>654.278787544077</v>
      </c>
      <c r="K9825" s="6" t="n">
        <f aca="false">Sens!K9813+Sens!K9818+Sens!K9819+Sens!K9821+Sens!K9823</f>
        <v>702.284651237393</v>
      </c>
    </row>
    <row r="9826" customFormat="false" ht="15" hidden="false" customHeight="false" outlineLevel="0" collapsed="false">
      <c r="A9826" s="0" t="s">
        <v>877</v>
      </c>
      <c r="B9826" s="0" t="s">
        <v>98</v>
      </c>
      <c r="D9826" s="6" t="n">
        <f aca="false">Q!L13</f>
        <v>22.171</v>
      </c>
      <c r="E9826" s="6" t="n">
        <f aca="false">Q!M13</f>
        <v>24.835</v>
      </c>
      <c r="F9826" s="6" t="n">
        <f aca="false">Sens!E9826*(1+Sens!F9827)</f>
        <v>27.6114901218559</v>
      </c>
      <c r="G9826" s="6" t="n">
        <f aca="false">Sens!F9826*(1+Sens!G9827)</f>
        <v>30.4675667338515</v>
      </c>
      <c r="H9826" s="6" t="n">
        <f aca="false">Sens!G9826*(1+Sens!H9827)</f>
        <v>33.3643766955789</v>
      </c>
      <c r="I9826" s="6" t="n">
        <f aca="false">Sens!H9826*(1+Sens!I9827)</f>
        <v>36.2577016533691</v>
      </c>
      <c r="J9826" s="6" t="n">
        <f aca="false">Sens!I9826*(1+Sens!J9827)</f>
        <v>39.0988367952171</v>
      </c>
      <c r="K9826" s="6" t="n">
        <f aca="false">Sens!J9826*(1+Sens!K9827)</f>
        <v>41.8357553708823</v>
      </c>
    </row>
    <row r="9827" customFormat="false" ht="15" hidden="false" customHeight="false" outlineLevel="0" collapsed="false">
      <c r="A9827" s="1" t="s">
        <v>866</v>
      </c>
      <c r="B9827" s="0" t="s">
        <v>129</v>
      </c>
      <c r="E9827" s="7" t="n">
        <f aca="false">Sens!E9826/Sens!D9826-1</f>
        <v>0.120156961796942</v>
      </c>
      <c r="F9827" s="7" t="n">
        <f aca="false">Sens!$E$9827+(glt_srch-Sens!$E$9827)*MIN(1,(Sens!F9772-base_fy)/n_conv)</f>
        <v>0.111797468164118</v>
      </c>
      <c r="G9827" s="7" t="n">
        <f aca="false">Sens!$E$9827+(glt_srch-Sens!$E$9827)*MIN(1,(Sens!G9772-base_fy)/n_conv)</f>
        <v>0.103437974531295</v>
      </c>
      <c r="H9827" s="7" t="n">
        <f aca="false">Sens!$E$9827+(glt_srch-Sens!$E$9827)*MIN(1,(Sens!H9772-base_fy)/n_conv)</f>
        <v>0.095078480898471</v>
      </c>
      <c r="I9827" s="7" t="n">
        <f aca="false">Sens!$E$9827+(glt_srch-Sens!$E$9827)*MIN(1,(Sens!I9772-base_fy)/n_conv)</f>
        <v>0.0867189872656474</v>
      </c>
      <c r="J9827" s="7" t="n">
        <f aca="false">Sens!$E$9827+(glt_srch-Sens!$E$9827)*MIN(1,(Sens!J9772-base_fy)/n_conv)</f>
        <v>0.0783594936328237</v>
      </c>
      <c r="K9827" s="7" t="n">
        <f aca="false">Sens!$E$9827+(glt_srch-Sens!$E$9827)*MIN(1,(Sens!K9772-base_fy)/n_conv)</f>
        <v>0.07</v>
      </c>
    </row>
    <row r="9828" customFormat="false" ht="15" hidden="false" customHeight="false" outlineLevel="0" collapsed="false">
      <c r="A9828" s="0" t="s">
        <v>878</v>
      </c>
      <c r="B9828" s="0" t="s">
        <v>98</v>
      </c>
      <c r="D9828" s="6" t="n">
        <f aca="false">Q!L14</f>
        <v>23.455</v>
      </c>
      <c r="E9828" s="6" t="n">
        <f aca="false">Q!M14</f>
        <v>21.79</v>
      </c>
      <c r="F9828" s="6" t="n">
        <f aca="false">Sens!E9828*(1+Sens!F9829)</f>
        <v>20.4283611241384</v>
      </c>
      <c r="G9828" s="6" t="n">
        <f aca="false">Sens!F9828*(1+Sens!G9829)</f>
        <v>19.3254067185857</v>
      </c>
      <c r="H9828" s="6" t="n">
        <f aca="false">Sens!G9828*(1+Sens!H9829)</f>
        <v>18.446226363051</v>
      </c>
      <c r="I9828" s="6" t="n">
        <f aca="false">Sens!H9828*(1+Sens!I9829)</f>
        <v>17.7637959435485</v>
      </c>
      <c r="J9828" s="6" t="n">
        <f aca="false">Sens!I9828*(1+Sens!J9829)</f>
        <v>17.2575662581111</v>
      </c>
      <c r="K9828" s="6" t="n">
        <f aca="false">Sens!J9828*(1+Sens!K9829)</f>
        <v>16.9124149329489</v>
      </c>
    </row>
    <row r="9829" customFormat="false" ht="15" hidden="false" customHeight="false" outlineLevel="0" collapsed="false">
      <c r="A9829" s="1" t="s">
        <v>866</v>
      </c>
      <c r="B9829" s="0" t="s">
        <v>129</v>
      </c>
      <c r="E9829" s="7" t="n">
        <f aca="false">Sens!E9828/Sens!D9828-1</f>
        <v>-0.0709869963760392</v>
      </c>
      <c r="F9829" s="7" t="n">
        <f aca="false">Sens!$E$9829+(glt_xbox_lo-Sens!$E$9829)*MIN(1,(Sens!F9772-base_fy)/n_conv)</f>
        <v>-0.0624891636466994</v>
      </c>
      <c r="G9829" s="7" t="n">
        <f aca="false">Sens!$E$9829+(glt_xbox_lo-Sens!$E$9829)*MIN(1,(Sens!G9772-base_fy)/n_conv)</f>
        <v>-0.0539913309173595</v>
      </c>
      <c r="H9829" s="7" t="n">
        <f aca="false">Sens!$E$9829+(glt_xbox_lo-Sens!$E$9829)*MIN(1,(Sens!H9772-base_fy)/n_conv)</f>
        <v>-0.0454934981880196</v>
      </c>
      <c r="I9829" s="7" t="n">
        <f aca="false">Sens!$E$9829+(glt_xbox_lo-Sens!$E$9829)*MIN(1,(Sens!I9772-base_fy)/n_conv)</f>
        <v>-0.0369956654586797</v>
      </c>
      <c r="J9829" s="7" t="n">
        <f aca="false">Sens!$E$9829+(glt_xbox_lo-Sens!$E$9829)*MIN(1,(Sens!J9772-base_fy)/n_conv)</f>
        <v>-0.0284978327293399</v>
      </c>
      <c r="K9829" s="7" t="n">
        <f aca="false">Sens!$E$9829+(glt_xbox_lo-Sens!$E$9829)*MIN(1,(Sens!K9772-base_fy)/n_conv)</f>
        <v>-0.02</v>
      </c>
    </row>
    <row r="9830" customFormat="false" ht="15" hidden="false" customHeight="false" outlineLevel="0" collapsed="false">
      <c r="A9830" s="0" t="s">
        <v>879</v>
      </c>
      <c r="B9830" s="0" t="s">
        <v>98</v>
      </c>
      <c r="D9830" s="6" t="n">
        <f aca="false">Q!L15</f>
        <v>17.315</v>
      </c>
      <c r="E9830" s="6" t="n">
        <f aca="false">Q!M15</f>
        <v>17.087</v>
      </c>
      <c r="F9830" s="6" t="n">
        <f aca="false">Sens!E9830*(1+Sens!F9831)</f>
        <v>16.9564585436519</v>
      </c>
      <c r="G9830" s="6" t="n">
        <f aca="false">Sens!F9830*(1+Sens!G9831)</f>
        <v>16.9206490624268</v>
      </c>
      <c r="H9830" s="6" t="n">
        <f aca="false">Sens!G9830*(1+Sens!H9831)</f>
        <v>16.9784519149849</v>
      </c>
      <c r="I9830" s="6" t="n">
        <f aca="false">Sens!H9830*(1+Sens!I9831)</f>
        <v>17.1303084701817</v>
      </c>
      <c r="J9830" s="6" t="n">
        <f aca="false">Sens!I9830*(1+Sens!J9831)</f>
        <v>17.3782189407267</v>
      </c>
      <c r="K9830" s="6" t="n">
        <f aca="false">Sens!J9830*(1+Sens!K9831)</f>
        <v>17.7257833195413</v>
      </c>
    </row>
    <row r="9831" customFormat="false" ht="15" hidden="false" customHeight="false" outlineLevel="0" collapsed="false">
      <c r="A9831" s="1" t="s">
        <v>866</v>
      </c>
      <c r="B9831" s="0" t="s">
        <v>129</v>
      </c>
      <c r="E9831" s="7" t="n">
        <f aca="false">Sens!E9830/Sens!D9830-1</f>
        <v>-0.0131677736066995</v>
      </c>
      <c r="F9831" s="7" t="n">
        <f aca="false">Sens!$E$9831+(glt_win-Sens!$E$9831)*MIN(1,(Sens!F9772-base_fy)/n_conv)</f>
        <v>-0.00763981133891627</v>
      </c>
      <c r="G9831" s="7" t="n">
        <f aca="false">Sens!$E$9831+(glt_win-Sens!$E$9831)*MIN(1,(Sens!G9772-base_fy)/n_conv)</f>
        <v>-0.00211184907113301</v>
      </c>
      <c r="H9831" s="7" t="n">
        <f aca="false">Sens!$E$9831+(glt_win-Sens!$E$9831)*MIN(1,(Sens!H9772-base_fy)/n_conv)</f>
        <v>0.00341611319665024</v>
      </c>
      <c r="I9831" s="7" t="n">
        <f aca="false">Sens!$E$9831+(glt_win-Sens!$E$9831)*MIN(1,(Sens!I9772-base_fy)/n_conv)</f>
        <v>0.00894407546443349</v>
      </c>
      <c r="J9831" s="7" t="n">
        <f aca="false">Sens!$E$9831+(glt_win-Sens!$E$9831)*MIN(1,(Sens!J9772-base_fy)/n_conv)</f>
        <v>0.0144720377322168</v>
      </c>
      <c r="K9831" s="7" t="n">
        <f aca="false">Sens!$E$9831+(glt_win-Sens!$E$9831)*MIN(1,(Sens!K9772-base_fy)/n_conv)</f>
        <v>0.02</v>
      </c>
    </row>
    <row r="9832" customFormat="false" ht="15" hidden="false" customHeight="false" outlineLevel="0" collapsed="false">
      <c r="A9832" s="0" t="s">
        <v>718</v>
      </c>
      <c r="B9832" s="0" t="s">
        <v>98</v>
      </c>
      <c r="D9832" s="6" t="n">
        <f aca="false">Sens!D9826+Sens!D9828+Sens!D9830</f>
        <v>62.941</v>
      </c>
      <c r="E9832" s="6" t="n">
        <f aca="false">Sens!E9826+Sens!E9828+Sens!E9830</f>
        <v>63.712</v>
      </c>
      <c r="F9832" s="6" t="n">
        <f aca="false">Sens!F9826+Sens!F9828+Sens!F9830</f>
        <v>64.9963097896462</v>
      </c>
      <c r="G9832" s="6" t="n">
        <f aca="false">Sens!G9826+Sens!G9828+Sens!G9830</f>
        <v>66.7136225148641</v>
      </c>
      <c r="H9832" s="6" t="n">
        <f aca="false">Sens!H9826+Sens!H9828+Sens!H9830</f>
        <v>68.7890549736148</v>
      </c>
      <c r="I9832" s="6" t="n">
        <f aca="false">Sens!I9826+Sens!I9828+Sens!I9830</f>
        <v>71.1518060670993</v>
      </c>
      <c r="J9832" s="6" t="n">
        <f aca="false">Sens!J9826+Sens!J9828+Sens!J9830</f>
        <v>73.7346219940549</v>
      </c>
      <c r="K9832" s="6" t="n">
        <f aca="false">Sens!K9826+Sens!K9828+Sens!K9830</f>
        <v>76.4739536233724</v>
      </c>
    </row>
    <row r="9833" customFormat="false" ht="15" hidden="false" customHeight="false" outlineLevel="0" collapsed="false">
      <c r="A9833" s="1" t="s">
        <v>880</v>
      </c>
      <c r="B9833" s="0" t="s">
        <v>98</v>
      </c>
      <c r="D9833" s="6" t="n">
        <f aca="false">Sens!D9825+Sens!D9832</f>
        <v>281.724</v>
      </c>
      <c r="E9833" s="6" t="n">
        <f aca="false">Sens!E9825+Sens!E9832</f>
        <v>331.839</v>
      </c>
      <c r="F9833" s="6" t="n">
        <f aca="false">Sens!F9825+Sens!F9832</f>
        <v>404.430250696697</v>
      </c>
      <c r="G9833" s="6" t="n">
        <f aca="false">Sens!G9825+Sens!G9832</f>
        <v>491.204293396756</v>
      </c>
      <c r="H9833" s="6" t="n">
        <f aca="false">Sens!H9825+Sens!H9832</f>
        <v>584.435330255</v>
      </c>
      <c r="I9833" s="6" t="n">
        <f aca="false">Sens!I9825+Sens!I9832</f>
        <v>664.015566511703</v>
      </c>
      <c r="J9833" s="6" t="n">
        <f aca="false">Sens!J9825+Sens!J9832</f>
        <v>728.013409538132</v>
      </c>
      <c r="K9833" s="6" t="n">
        <f aca="false">Sens!K9825+Sens!K9832</f>
        <v>778.758604860766</v>
      </c>
    </row>
    <row r="9834" customFormat="false" ht="15" hidden="false" customHeight="false" outlineLevel="0" collapsed="false">
      <c r="A9834" s="23" t="s">
        <v>881</v>
      </c>
      <c r="B9834" s="30" t="s">
        <v>98</v>
      </c>
      <c r="C9834" s="30"/>
      <c r="D9834" s="24" t="n">
        <f aca="false">(Sens!D9813+Sens!D9818+Sens!D9819+Sens!D9821+Sens!D9823-Sens!D9825)+(Sens!D9826+Sens!D9828+Sens!D9830-Sens!D9832)+(Sens!D9825-Q!L5)+(Sens!D9832-Q!L12)+(Sens!D9813-Q!L6)+(Sens!D9818-Q!L7)</f>
        <v>0</v>
      </c>
      <c r="E9834" s="24" t="n">
        <f aca="false">(Sens!E9813+Sens!E9818+Sens!E9819+Sens!E9821+Sens!E9823-Sens!E9825)+(Sens!E9826+Sens!E9828+Sens!E9830-Sens!E9832)+(Sens!E9825-Q!M5)+(Sens!E9832-Q!M12)+(Sens!E9813-Q!M6)+(Sens!E9818-Q!M7)</f>
        <v>0</v>
      </c>
      <c r="F9834" s="24" t="n">
        <f aca="false">(Sens!F9813+Sens!F9818+Sens!F9819+Sens!F9821+Sens!F9823-Sens!F9825)+(Sens!F9826+Sens!F9828+Sens!F9830-Sens!F9832)</f>
        <v>0</v>
      </c>
      <c r="G9834" s="24" t="n">
        <f aca="false">(Sens!G9813+Sens!G9818+Sens!G9819+Sens!G9821+Sens!G9823-Sens!G9825)+(Sens!G9826+Sens!G9828+Sens!G9830-Sens!G9832)</f>
        <v>0</v>
      </c>
      <c r="H9834" s="24" t="n">
        <f aca="false">(Sens!H9813+Sens!H9818+Sens!H9819+Sens!H9821+Sens!H9823-Sens!H9825)+(Sens!H9826+Sens!H9828+Sens!H9830-Sens!H9832)</f>
        <v>0</v>
      </c>
      <c r="I9834" s="24" t="n">
        <f aca="false">(Sens!I9813+Sens!I9818+Sens!I9819+Sens!I9821+Sens!I9823-Sens!I9825)+(Sens!I9826+Sens!I9828+Sens!I9830-Sens!I9832)</f>
        <v>0</v>
      </c>
      <c r="J9834" s="24" t="n">
        <f aca="false">(Sens!J9813+Sens!J9818+Sens!J9819+Sens!J9821+Sens!J9823-Sens!J9825)+(Sens!J9826+Sens!J9828+Sens!J9830-Sens!J9832)</f>
        <v>0</v>
      </c>
      <c r="K9834" s="24" t="n">
        <f aca="false">(Sens!K9813+Sens!K9818+Sens!K9819+Sens!K9821+Sens!K9823-Sens!K9825)+(Sens!K9826+Sens!K9828+Sens!K9830-Sens!K9832)</f>
        <v>0</v>
      </c>
    </row>
    <row r="9835" customFormat="false" ht="17.15" hidden="false" customHeight="false" outlineLevel="0" collapsed="false">
      <c r="A9835" s="3" t="s">
        <v>1491</v>
      </c>
    </row>
    <row r="9836" customFormat="false" ht="15" hidden="false" customHeight="false" outlineLevel="0" collapsed="false">
      <c r="A9836" s="4" t="s">
        <v>43</v>
      </c>
      <c r="B9836" s="4" t="s">
        <v>65</v>
      </c>
      <c r="C9836" s="20" t="s">
        <v>788</v>
      </c>
      <c r="D9836" s="20" t="s">
        <v>789</v>
      </c>
      <c r="E9836" s="20" t="s">
        <v>790</v>
      </c>
      <c r="F9836" s="20" t="s">
        <v>791</v>
      </c>
      <c r="G9836" s="20" t="s">
        <v>792</v>
      </c>
      <c r="H9836" s="20" t="s">
        <v>793</v>
      </c>
      <c r="I9836" s="20" t="s">
        <v>794</v>
      </c>
      <c r="J9836" s="20" t="s">
        <v>795</v>
      </c>
      <c r="K9836" s="20" t="s">
        <v>796</v>
      </c>
      <c r="L9836" s="4" t="s">
        <v>47</v>
      </c>
    </row>
    <row r="9837" customFormat="false" ht="15" hidden="false" customHeight="false" outlineLevel="0" collapsed="false">
      <c r="A9837" s="0" t="s">
        <v>867</v>
      </c>
      <c r="B9837" s="0" t="s">
        <v>98</v>
      </c>
      <c r="D9837" s="6" t="n">
        <f aca="false">Sens!D9813</f>
        <v>72.61</v>
      </c>
      <c r="E9837" s="6" t="n">
        <f aca="false">Sens!E9813</f>
        <v>101.938</v>
      </c>
      <c r="F9837" s="6" t="n">
        <f aca="false">Sens!F9813</f>
        <v>148.812368967868</v>
      </c>
      <c r="G9837" s="6" t="n">
        <f aca="false">Sens!G9813</f>
        <v>208.397514344463</v>
      </c>
      <c r="H9837" s="6" t="n">
        <f aca="false">Sens!H9813</f>
        <v>274.05759259987</v>
      </c>
      <c r="I9837" s="6" t="n">
        <f aca="false">Sens!I9813</f>
        <v>328.302405465117</v>
      </c>
      <c r="J9837" s="6" t="n">
        <f aca="false">Sens!J9813</f>
        <v>369.587890439908</v>
      </c>
      <c r="K9837" s="6" t="n">
        <f aca="false">Sens!K9813</f>
        <v>398.390581897217</v>
      </c>
    </row>
    <row r="9838" customFormat="false" ht="17.15" hidden="false" customHeight="false" outlineLevel="0" collapsed="false">
      <c r="A9838" s="0" t="s">
        <v>864</v>
      </c>
      <c r="B9838" s="0" t="s">
        <v>98</v>
      </c>
      <c r="D9838" s="6" t="n">
        <f aca="false">Sens!D9810</f>
        <v>12.9359794422418</v>
      </c>
      <c r="E9838" s="6" t="n">
        <f aca="false">Sens!E9810</f>
        <v>27.8095064661409</v>
      </c>
      <c r="F9838" s="6" t="n">
        <f aca="false">Sens!F9810</f>
        <v>58.7324192305018</v>
      </c>
      <c r="G9838" s="6" t="n">
        <f aca="false">Sens!G9810</f>
        <v>101.369089141153</v>
      </c>
      <c r="H9838" s="6" t="n">
        <f aca="false">Sens!H9810</f>
        <v>149.785610014234</v>
      </c>
      <c r="I9838" s="6" t="n">
        <f aca="false">Sens!I9810</f>
        <v>187.368703083263</v>
      </c>
      <c r="J9838" s="6" t="n">
        <f aca="false">Sens!J9810</f>
        <v>213.569023125577</v>
      </c>
      <c r="K9838" s="6" t="n">
        <f aca="false">Sens!K9810</f>
        <v>229.890205197739</v>
      </c>
    </row>
    <row r="9839" customFormat="false" ht="17.15" hidden="false" customHeight="false" outlineLevel="0" collapsed="false">
      <c r="A9839" s="0" t="s">
        <v>892</v>
      </c>
      <c r="B9839" s="0" t="s">
        <v>98</v>
      </c>
      <c r="D9839" s="6" t="n">
        <f aca="false">Sens!D9811</f>
        <v>59.6740205577583</v>
      </c>
      <c r="E9839" s="6" t="n">
        <f aca="false">Sens!E9811</f>
        <v>74.1284935338591</v>
      </c>
      <c r="F9839" s="6" t="n">
        <f aca="false">Sens!F9811</f>
        <v>90.0799497373663</v>
      </c>
      <c r="G9839" s="6" t="n">
        <f aca="false">Sens!G9811</f>
        <v>107.02842520331</v>
      </c>
      <c r="H9839" s="6" t="n">
        <f aca="false">Sens!H9811</f>
        <v>124.271982585636</v>
      </c>
      <c r="I9839" s="6" t="n">
        <f aca="false">Sens!I9811</f>
        <v>140.933702381855</v>
      </c>
      <c r="J9839" s="6" t="n">
        <f aca="false">Sens!J9811</f>
        <v>156.018867314332</v>
      </c>
      <c r="K9839" s="6" t="n">
        <f aca="false">Sens!K9811</f>
        <v>168.500376699478</v>
      </c>
    </row>
    <row r="9840" customFormat="false" ht="15" hidden="false" customHeight="false" outlineLevel="0" collapsed="false">
      <c r="A9840" s="0" t="s">
        <v>873</v>
      </c>
      <c r="B9840" s="0" t="s">
        <v>98</v>
      </c>
      <c r="D9840" s="6" t="n">
        <f aca="false">Sens!D9818</f>
        <v>84.605</v>
      </c>
      <c r="E9840" s="6" t="n">
        <f aca="false">Sens!E9818</f>
        <v>100.299</v>
      </c>
      <c r="F9840" s="6" t="n">
        <f aca="false">Sens!F9818</f>
        <v>120.39238776686</v>
      </c>
      <c r="G9840" s="6" t="n">
        <f aca="false">Sens!G9818</f>
        <v>141.544168448684</v>
      </c>
      <c r="H9840" s="6" t="n">
        <f aca="false">Sens!H9818</f>
        <v>162.777359388781</v>
      </c>
      <c r="I9840" s="6" t="n">
        <f aca="false">Sens!I9818</f>
        <v>181.584028071957</v>
      </c>
      <c r="J9840" s="6" t="n">
        <f aca="false">Sens!J9818</f>
        <v>197.682702785465</v>
      </c>
      <c r="K9840" s="6" t="n">
        <f aca="false">Sens!K9818</f>
        <v>213.027991980448</v>
      </c>
    </row>
    <row r="9841" customFormat="false" ht="17.15" hidden="false" customHeight="false" outlineLevel="0" collapsed="false">
      <c r="A9841" s="0" t="s">
        <v>893</v>
      </c>
      <c r="B9841" s="0" t="s">
        <v>98</v>
      </c>
      <c r="D9841" s="6" t="n">
        <f aca="false">Sens!D9816</f>
        <v>83.705</v>
      </c>
      <c r="E9841" s="6" t="n">
        <f aca="false">Sens!E9816</f>
        <v>95.049</v>
      </c>
      <c r="F9841" s="6" t="n">
        <f aca="false">Sens!F9816</f>
        <v>106.89238776686</v>
      </c>
      <c r="G9841" s="6" t="n">
        <f aca="false">Sens!G9816</f>
        <v>119.044168448684</v>
      </c>
      <c r="H9841" s="6" t="n">
        <f aca="false">Sens!H9816</f>
        <v>131.277359388781</v>
      </c>
      <c r="I9841" s="6" t="n">
        <f aca="false">Sens!I9816</f>
        <v>143.334028071957</v>
      </c>
      <c r="J9841" s="6" t="n">
        <f aca="false">Sens!J9816</f>
        <v>154.932702785465</v>
      </c>
      <c r="K9841" s="6" t="n">
        <f aca="false">Sens!K9816</f>
        <v>165.777991980448</v>
      </c>
    </row>
    <row r="9842" customFormat="false" ht="17.15" hidden="false" customHeight="false" outlineLevel="0" collapsed="false">
      <c r="A9842" s="0" t="s">
        <v>894</v>
      </c>
      <c r="B9842" s="0" t="s">
        <v>98</v>
      </c>
      <c r="D9842" s="6" t="n">
        <f aca="false">Sens!D9815</f>
        <v>0.9</v>
      </c>
      <c r="E9842" s="6" t="n">
        <f aca="false">Sens!E9815</f>
        <v>5.25</v>
      </c>
      <c r="F9842" s="6" t="n">
        <f aca="false">Sens!F9815</f>
        <v>13.5</v>
      </c>
      <c r="G9842" s="6" t="n">
        <f aca="false">Sens!G9815</f>
        <v>22.5</v>
      </c>
      <c r="H9842" s="6" t="n">
        <f aca="false">Sens!H9815</f>
        <v>31.5</v>
      </c>
      <c r="I9842" s="6" t="n">
        <f aca="false">Sens!I9815</f>
        <v>38.25</v>
      </c>
      <c r="J9842" s="6" t="n">
        <f aca="false">Sens!J9815</f>
        <v>42.75</v>
      </c>
      <c r="K9842" s="6" t="n">
        <f aca="false">Sens!K9815</f>
        <v>47.25</v>
      </c>
    </row>
    <row r="9843" customFormat="false" ht="15" hidden="false" customHeight="false" outlineLevel="0" collapsed="false">
      <c r="A9843" s="0" t="s">
        <v>874</v>
      </c>
      <c r="B9843" s="0" t="s">
        <v>98</v>
      </c>
      <c r="D9843" s="6" t="n">
        <f aca="false">Sens!D9819</f>
        <v>35.391</v>
      </c>
      <c r="E9843" s="6" t="n">
        <f aca="false">Sens!E9819</f>
        <v>37.285</v>
      </c>
      <c r="F9843" s="6" t="n">
        <f aca="false">Sens!F9819</f>
        <v>39.0720834331704</v>
      </c>
      <c r="G9843" s="6" t="n">
        <f aca="false">Sens!G9819</f>
        <v>40.726562953769</v>
      </c>
      <c r="H9843" s="6" t="n">
        <f aca="false">Sens!H9819</f>
        <v>42.2235987259198</v>
      </c>
      <c r="I9843" s="6" t="n">
        <f aca="false">Sens!I9819</f>
        <v>43.5397988077414</v>
      </c>
      <c r="J9843" s="6" t="n">
        <f aca="false">Sens!J9819</f>
        <v>44.653811225693</v>
      </c>
      <c r="K9843" s="6" t="n">
        <f aca="false">Sens!K9819</f>
        <v>45.5468874502068</v>
      </c>
    </row>
    <row r="9844" customFormat="false" ht="15" hidden="false" customHeight="false" outlineLevel="0" collapsed="false">
      <c r="A9844" s="0" t="s">
        <v>875</v>
      </c>
      <c r="B9844" s="0" t="s">
        <v>98</v>
      </c>
      <c r="D9844" s="6" t="n">
        <f aca="false">Sens!D9821</f>
        <v>18.417</v>
      </c>
      <c r="E9844" s="6" t="n">
        <f aca="false">Sens!E9821</f>
        <v>20.345</v>
      </c>
      <c r="F9844" s="6" t="n">
        <f aca="false">Sens!F9821</f>
        <v>22.3572203267814</v>
      </c>
      <c r="G9844" s="6" t="n">
        <f aca="false">Sens!G9821</f>
        <v>24.4392124437232</v>
      </c>
      <c r="H9844" s="6" t="n">
        <f aca="false">Sens!H9821</f>
        <v>26.5738052080665</v>
      </c>
      <c r="I9844" s="6" t="n">
        <f aca="false">Sens!I9821</f>
        <v>28.7412169166967</v>
      </c>
      <c r="J9844" s="6" t="n">
        <f aca="false">Sens!J9821</f>
        <v>30.9192545395413</v>
      </c>
      <c r="K9844" s="6" t="n">
        <f aca="false">Sens!K9821</f>
        <v>33.0836023573092</v>
      </c>
    </row>
    <row r="9845" customFormat="false" ht="15" hidden="false" customHeight="false" outlineLevel="0" collapsed="false">
      <c r="A9845" s="0" t="s">
        <v>876</v>
      </c>
      <c r="B9845" s="0" t="s">
        <v>98</v>
      </c>
      <c r="D9845" s="6" t="n">
        <f aca="false">Sens!D9823</f>
        <v>7.76</v>
      </c>
      <c r="E9845" s="6" t="n">
        <f aca="false">Sens!E9823</f>
        <v>8.26</v>
      </c>
      <c r="F9845" s="6" t="n">
        <f aca="false">Sens!F9823</f>
        <v>8.79988041237113</v>
      </c>
      <c r="G9845" s="6" t="n">
        <f aca="false">Sens!G9823</f>
        <v>9.38321269125306</v>
      </c>
      <c r="H9845" s="6" t="n">
        <f aca="false">Sens!H9823</f>
        <v>10.0139193587476</v>
      </c>
      <c r="I9845" s="6" t="n">
        <f aca="false">Sens!I9823</f>
        <v>10.6963111830911</v>
      </c>
      <c r="J9845" s="6" t="n">
        <f aca="false">Sens!J9823</f>
        <v>11.4351285534696</v>
      </c>
      <c r="K9845" s="6" t="n">
        <f aca="false">Sens!K9823</f>
        <v>12.2355875522124</v>
      </c>
    </row>
    <row r="9846" customFormat="false" ht="15" hidden="false" customHeight="false" outlineLevel="0" collapsed="false">
      <c r="A9846" s="0" t="s">
        <v>704</v>
      </c>
      <c r="B9846" s="0" t="s">
        <v>98</v>
      </c>
      <c r="D9846" s="6" t="n">
        <f aca="false">Sens!D9825</f>
        <v>218.783</v>
      </c>
      <c r="E9846" s="6" t="n">
        <f aca="false">Sens!E9825</f>
        <v>268.127</v>
      </c>
      <c r="F9846" s="6" t="n">
        <f aca="false">Sens!F9825</f>
        <v>339.433940907051</v>
      </c>
      <c r="G9846" s="6" t="n">
        <f aca="false">Sens!G9825</f>
        <v>424.490670881892</v>
      </c>
      <c r="H9846" s="6" t="n">
        <f aca="false">Sens!H9825</f>
        <v>515.646275281385</v>
      </c>
      <c r="I9846" s="6" t="n">
        <f aca="false">Sens!I9825</f>
        <v>592.863760444604</v>
      </c>
      <c r="J9846" s="6" t="n">
        <f aca="false">Sens!J9825</f>
        <v>654.278787544077</v>
      </c>
      <c r="K9846" s="6" t="n">
        <f aca="false">Sens!K9825</f>
        <v>702.284651237393</v>
      </c>
    </row>
    <row r="9847" customFormat="false" ht="15" hidden="false" customHeight="false" outlineLevel="0" collapsed="false">
      <c r="A9847" s="0" t="s">
        <v>877</v>
      </c>
      <c r="B9847" s="0" t="s">
        <v>98</v>
      </c>
      <c r="D9847" s="6" t="n">
        <f aca="false">Sens!D9826</f>
        <v>22.171</v>
      </c>
      <c r="E9847" s="6" t="n">
        <f aca="false">Sens!E9826</f>
        <v>24.835</v>
      </c>
      <c r="F9847" s="6" t="n">
        <f aca="false">Sens!F9826</f>
        <v>27.6114901218559</v>
      </c>
      <c r="G9847" s="6" t="n">
        <f aca="false">Sens!G9826</f>
        <v>30.4675667338515</v>
      </c>
      <c r="H9847" s="6" t="n">
        <f aca="false">Sens!H9826</f>
        <v>33.3643766955789</v>
      </c>
      <c r="I9847" s="6" t="n">
        <f aca="false">Sens!I9826</f>
        <v>36.2577016533691</v>
      </c>
      <c r="J9847" s="6" t="n">
        <f aca="false">Sens!J9826</f>
        <v>39.0988367952171</v>
      </c>
      <c r="K9847" s="6" t="n">
        <f aca="false">Sens!K9826</f>
        <v>41.8357553708823</v>
      </c>
    </row>
    <row r="9848" customFormat="false" ht="15" hidden="false" customHeight="false" outlineLevel="0" collapsed="false">
      <c r="A9848" s="0" t="s">
        <v>878</v>
      </c>
      <c r="B9848" s="0" t="s">
        <v>98</v>
      </c>
      <c r="D9848" s="6" t="n">
        <f aca="false">Sens!D9828</f>
        <v>23.455</v>
      </c>
      <c r="E9848" s="6" t="n">
        <f aca="false">Sens!E9828</f>
        <v>21.79</v>
      </c>
      <c r="F9848" s="6" t="n">
        <f aca="false">Sens!F9828</f>
        <v>20.4283611241384</v>
      </c>
      <c r="G9848" s="6" t="n">
        <f aca="false">Sens!G9828</f>
        <v>19.3254067185857</v>
      </c>
      <c r="H9848" s="6" t="n">
        <f aca="false">Sens!H9828</f>
        <v>18.446226363051</v>
      </c>
      <c r="I9848" s="6" t="n">
        <f aca="false">Sens!I9828</f>
        <v>17.7637959435485</v>
      </c>
      <c r="J9848" s="6" t="n">
        <f aca="false">Sens!J9828</f>
        <v>17.2575662581111</v>
      </c>
      <c r="K9848" s="6" t="n">
        <f aca="false">Sens!K9828</f>
        <v>16.9124149329489</v>
      </c>
    </row>
    <row r="9849" customFormat="false" ht="15" hidden="false" customHeight="false" outlineLevel="0" collapsed="false">
      <c r="A9849" s="0" t="s">
        <v>879</v>
      </c>
      <c r="B9849" s="0" t="s">
        <v>98</v>
      </c>
      <c r="D9849" s="6" t="n">
        <f aca="false">Sens!D9830</f>
        <v>17.315</v>
      </c>
      <c r="E9849" s="6" t="n">
        <f aca="false">Sens!E9830</f>
        <v>17.087</v>
      </c>
      <c r="F9849" s="6" t="n">
        <f aca="false">Sens!F9830</f>
        <v>16.9564585436519</v>
      </c>
      <c r="G9849" s="6" t="n">
        <f aca="false">Sens!G9830</f>
        <v>16.9206490624268</v>
      </c>
      <c r="H9849" s="6" t="n">
        <f aca="false">Sens!H9830</f>
        <v>16.9784519149849</v>
      </c>
      <c r="I9849" s="6" t="n">
        <f aca="false">Sens!I9830</f>
        <v>17.1303084701817</v>
      </c>
      <c r="J9849" s="6" t="n">
        <f aca="false">Sens!J9830</f>
        <v>17.3782189407267</v>
      </c>
      <c r="K9849" s="6" t="n">
        <f aca="false">Sens!K9830</f>
        <v>17.7257833195413</v>
      </c>
    </row>
    <row r="9850" customFormat="false" ht="15" hidden="false" customHeight="false" outlineLevel="0" collapsed="false">
      <c r="A9850" s="0" t="s">
        <v>718</v>
      </c>
      <c r="B9850" s="0" t="s">
        <v>98</v>
      </c>
      <c r="D9850" s="6" t="n">
        <f aca="false">Sens!D9832</f>
        <v>62.941</v>
      </c>
      <c r="E9850" s="6" t="n">
        <f aca="false">Sens!E9832</f>
        <v>63.712</v>
      </c>
      <c r="F9850" s="6" t="n">
        <f aca="false">Sens!F9832</f>
        <v>64.9963097896462</v>
      </c>
      <c r="G9850" s="6" t="n">
        <f aca="false">Sens!G9832</f>
        <v>66.7136225148641</v>
      </c>
      <c r="H9850" s="6" t="n">
        <f aca="false">Sens!H9832</f>
        <v>68.7890549736148</v>
      </c>
      <c r="I9850" s="6" t="n">
        <f aca="false">Sens!I9832</f>
        <v>71.1518060670993</v>
      </c>
      <c r="J9850" s="6" t="n">
        <f aca="false">Sens!J9832</f>
        <v>73.7346219940549</v>
      </c>
      <c r="K9850" s="6" t="n">
        <f aca="false">Sens!K9832</f>
        <v>76.4739536233724</v>
      </c>
    </row>
    <row r="9851" customFormat="false" ht="15" hidden="false" customHeight="false" outlineLevel="0" collapsed="false">
      <c r="A9851" s="1" t="s">
        <v>895</v>
      </c>
      <c r="B9851" s="0" t="s">
        <v>98</v>
      </c>
      <c r="D9851" s="6" t="n">
        <f aca="false">Sens!D9833</f>
        <v>281.724</v>
      </c>
      <c r="E9851" s="6" t="n">
        <f aca="false">Sens!E9833</f>
        <v>331.839</v>
      </c>
      <c r="F9851" s="6" t="n">
        <f aca="false">Sens!F9833</f>
        <v>404.430250696697</v>
      </c>
      <c r="G9851" s="6" t="n">
        <f aca="false">Sens!G9833</f>
        <v>491.204293396756</v>
      </c>
      <c r="H9851" s="6" t="n">
        <f aca="false">Sens!H9833</f>
        <v>584.435330255</v>
      </c>
      <c r="I9851" s="6" t="n">
        <f aca="false">Sens!I9833</f>
        <v>664.015566511703</v>
      </c>
      <c r="J9851" s="6" t="n">
        <f aca="false">Sens!J9833</f>
        <v>728.013409538132</v>
      </c>
      <c r="K9851" s="6" t="n">
        <f aca="false">Sens!K9833</f>
        <v>778.758604860766</v>
      </c>
    </row>
    <row r="9852" customFormat="false" ht="15" hidden="false" customHeight="false" outlineLevel="0" collapsed="false">
      <c r="A9852" s="1" t="s">
        <v>896</v>
      </c>
      <c r="B9852" s="0" t="s">
        <v>129</v>
      </c>
      <c r="E9852" s="7" t="n">
        <f aca="false">Sens!E9851/Sens!D9851-1</f>
        <v>0.177886867998467</v>
      </c>
      <c r="F9852" s="7" t="n">
        <f aca="false">Sens!F9851/Sens!E9851-1</f>
        <v>0.218754428191674</v>
      </c>
      <c r="G9852" s="7" t="n">
        <f aca="false">Sens!G9851/Sens!F9851-1</f>
        <v>0.214558734294916</v>
      </c>
      <c r="H9852" s="7" t="n">
        <f aca="false">Sens!H9851/Sens!G9851-1</f>
        <v>0.189800940487584</v>
      </c>
      <c r="I9852" s="7" t="n">
        <f aca="false">Sens!I9851/Sens!H9851-1</f>
        <v>0.136166025797894</v>
      </c>
      <c r="J9852" s="7" t="n">
        <f aca="false">Sens!J9851/Sens!I9851-1</f>
        <v>0.0963800342251489</v>
      </c>
      <c r="K9852" s="7" t="n">
        <f aca="false">Sens!K9851/Sens!J9851-1</f>
        <v>0.0697036547099141</v>
      </c>
    </row>
    <row r="9853" customFormat="false" ht="17.15" hidden="false" customHeight="false" outlineLevel="0" collapsed="false">
      <c r="A9853" s="23" t="s">
        <v>897</v>
      </c>
      <c r="B9853" s="30" t="s">
        <v>98</v>
      </c>
      <c r="C9853" s="30"/>
      <c r="D9853" s="24" t="n">
        <f aca="false">(Sens!D9846+Sens!D9850-Sens!D9851)+(Sens!D9838+Sens!D9839-Sens!D9837)+(Sens!D9841+Sens!D9842-Sens!D9840)+(Sens!D9851-Q!L18)</f>
        <v>0</v>
      </c>
      <c r="E9853" s="24" t="n">
        <f aca="false">(Sens!E9846+Sens!E9850-Sens!E9851)+(Sens!E9838+Sens!E9839-Sens!E9837)+(Sens!E9841+Sens!E9842-Sens!E9840)+(Sens!E9851-Q!M18)</f>
        <v>0</v>
      </c>
      <c r="F9853" s="24" t="n">
        <f aca="false">(Sens!F9846+Sens!F9850-Sens!F9851)+(Sens!F9838+Sens!F9839-Sens!F9837)+(Sens!F9841+Sens!F9842-Sens!F9840)</f>
        <v>0</v>
      </c>
      <c r="G9853" s="24" t="n">
        <f aca="false">(Sens!G9846+Sens!G9850-Sens!G9851)+(Sens!G9838+Sens!G9839-Sens!G9837)+(Sens!G9841+Sens!G9842-Sens!G9840)</f>
        <v>0</v>
      </c>
      <c r="H9853" s="24" t="n">
        <f aca="false">(Sens!H9846+Sens!H9850-Sens!H9851)+(Sens!H9838+Sens!H9839-Sens!H9837)+(Sens!H9841+Sens!H9842-Sens!H9840)</f>
        <v>0</v>
      </c>
      <c r="I9853" s="24" t="n">
        <f aca="false">(Sens!I9846+Sens!I9850-Sens!I9851)+(Sens!I9838+Sens!I9839-Sens!I9837)+(Sens!I9841+Sens!I9842-Sens!I9840)</f>
        <v>0</v>
      </c>
      <c r="J9853" s="24" t="n">
        <f aca="false">(Sens!J9846+Sens!J9850-Sens!J9851)+(Sens!J9838+Sens!J9839-Sens!J9837)+(Sens!J9841+Sens!J9842-Sens!J9840)</f>
        <v>0</v>
      </c>
      <c r="K9853" s="24" t="n">
        <f aca="false">(Sens!K9846+Sens!K9850-Sens!K9851)+(Sens!K9838+Sens!K9839-Sens!K9837)+(Sens!K9841+Sens!K9842-Sens!K9840)</f>
        <v>0</v>
      </c>
    </row>
    <row r="9854" customFormat="false" ht="17.15" hidden="false" customHeight="false" outlineLevel="0" collapsed="false">
      <c r="A9854" s="0" t="s">
        <v>898</v>
      </c>
      <c r="B9854" s="0" t="s">
        <v>129</v>
      </c>
      <c r="E9854" s="7" t="n">
        <f aca="false">(Q!M21+Sens!E9791+Sens!E9792+Sens!E9793+Sens!E9806-Sens!E9789)/(Q!M5-Sens!E9789)</f>
        <v>0.570957350878296</v>
      </c>
      <c r="F9854" s="7" t="n">
        <f aca="false">Sens!$E$9854+dm_seg</f>
        <v>0.570957350878296</v>
      </c>
      <c r="G9854" s="7" t="n">
        <f aca="false">Sens!$E$9854+dm_seg</f>
        <v>0.570957350878296</v>
      </c>
      <c r="H9854" s="7" t="n">
        <f aca="false">Sens!$E$9854+dm_seg</f>
        <v>0.570957350878296</v>
      </c>
      <c r="I9854" s="7" t="n">
        <f aca="false">Sens!$E$9854+dm_seg</f>
        <v>0.570957350878296</v>
      </c>
      <c r="J9854" s="7" t="n">
        <f aca="false">Sens!$E$9854+dm_seg</f>
        <v>0.570957350878296</v>
      </c>
      <c r="K9854" s="7" t="n">
        <f aca="false">Sens!$E$9854+dm_seg</f>
        <v>0.570957350878296</v>
      </c>
      <c r="L9854" s="11" t="s">
        <v>899</v>
      </c>
    </row>
    <row r="9855" customFormat="false" ht="17.15" hidden="false" customHeight="false" outlineLevel="0" collapsed="false">
      <c r="A9855" s="0" t="s">
        <v>732</v>
      </c>
      <c r="B9855" s="0" t="s">
        <v>98</v>
      </c>
      <c r="D9855" s="6" t="n">
        <f aca="false">Q!L21</f>
        <v>110.814</v>
      </c>
      <c r="E9855" s="6" t="n">
        <f aca="false">Q!M21</f>
        <v>136.365</v>
      </c>
      <c r="F9855" s="6" t="n">
        <f aca="false">Sens!F9854*(Sens!F9825-Sens!F9789)+Sens!F9789-(Sens!F9791+Sens!F9792+Sens!F9793)-Sens!F9806</f>
        <v>162.13512143564</v>
      </c>
      <c r="G9855" s="6" t="n">
        <f aca="false">Sens!G9854*(Sens!G9825-Sens!G9789)+Sens!G9789-(Sens!G9791+Sens!G9792+Sens!G9793)-Sens!G9806</f>
        <v>191.692853934364</v>
      </c>
      <c r="H9855" s="6" t="n">
        <f aca="false">Sens!H9854*(Sens!H9825-Sens!H9789)+Sens!H9789-(Sens!H9791+Sens!H9792+Sens!H9793)-Sens!H9806</f>
        <v>226.07898766424</v>
      </c>
      <c r="I9855" s="6" t="n">
        <f aca="false">Sens!I9854*(Sens!I9825-Sens!I9789)+Sens!I9789-(Sens!I9791+Sens!I9792+Sens!I9793)-Sens!I9806</f>
        <v>252.347098433488</v>
      </c>
      <c r="J9855" s="6" t="n">
        <f aca="false">Sens!J9854*(Sens!J9825-Sens!J9789)+Sens!J9789-(Sens!J9791+Sens!J9792+Sens!J9793)-Sens!J9806</f>
        <v>274.920576790626</v>
      </c>
      <c r="K9855" s="6" t="n">
        <f aca="false">Sens!K9854*(Sens!K9825-Sens!K9789)+Sens!K9789-(Sens!K9791+Sens!K9792+Sens!K9793)-Sens!K9806</f>
        <v>295.36069994867</v>
      </c>
      <c r="L9855" s="1" t="s">
        <v>900</v>
      </c>
    </row>
    <row r="9856" customFormat="false" ht="17.15" hidden="false" customHeight="false" outlineLevel="0" collapsed="false">
      <c r="A9856" s="0" t="s">
        <v>901</v>
      </c>
      <c r="B9856" s="0" t="s">
        <v>129</v>
      </c>
      <c r="E9856" s="7" t="n">
        <f aca="false">Q!M22/Q!M12</f>
        <v>0.296207935710698</v>
      </c>
      <c r="F9856" s="7" t="n">
        <f aca="false">Sens!$E$9856+dm_seg</f>
        <v>0.296207935710698</v>
      </c>
      <c r="G9856" s="7" t="n">
        <f aca="false">Sens!$E$9856+dm_seg</f>
        <v>0.296207935710698</v>
      </c>
      <c r="H9856" s="7" t="n">
        <f aca="false">Sens!$E$9856+dm_seg</f>
        <v>0.296207935710698</v>
      </c>
      <c r="I9856" s="7" t="n">
        <f aca="false">Sens!$E$9856+dm_seg</f>
        <v>0.296207935710698</v>
      </c>
      <c r="J9856" s="7" t="n">
        <f aca="false">Sens!$E$9856+dm_seg</f>
        <v>0.296207935710698</v>
      </c>
      <c r="K9856" s="7" t="n">
        <f aca="false">Sens!$E$9856+dm_seg</f>
        <v>0.296207935710698</v>
      </c>
      <c r="L9856" s="11" t="s">
        <v>902</v>
      </c>
    </row>
    <row r="9857" customFormat="false" ht="17.15" hidden="false" customHeight="false" outlineLevel="0" collapsed="false">
      <c r="A9857" s="0" t="s">
        <v>734</v>
      </c>
      <c r="B9857" s="0" t="s">
        <v>98</v>
      </c>
      <c r="D9857" s="6" t="n">
        <f aca="false">Q!L22</f>
        <v>17.714</v>
      </c>
      <c r="E9857" s="6" t="n">
        <f aca="false">Q!M22</f>
        <v>18.872</v>
      </c>
      <c r="F9857" s="6" t="n">
        <f aca="false">Sens!F9832*Sens!F9856</f>
        <v>19.2524227516042</v>
      </c>
      <c r="G9857" s="6" t="n">
        <f aca="false">Sens!G9832*Sens!G9856</f>
        <v>19.7611044089106</v>
      </c>
      <c r="H9857" s="6" t="n">
        <f aca="false">Sens!H9832*Sens!H9856</f>
        <v>20.3758639732242</v>
      </c>
      <c r="I9857" s="6" t="n">
        <f aca="false">Sens!I9832*Sens!I9856</f>
        <v>21.0757295972234</v>
      </c>
      <c r="J9857" s="6" t="n">
        <f aca="false">Sens!J9832*Sens!J9856</f>
        <v>21.8407801712676</v>
      </c>
      <c r="K9857" s="6" t="n">
        <f aca="false">Sens!K9832*Sens!K9856</f>
        <v>22.6521919384148</v>
      </c>
    </row>
    <row r="9858" customFormat="false" ht="15" hidden="false" customHeight="false" outlineLevel="0" collapsed="false">
      <c r="A9858" s="1" t="s">
        <v>903</v>
      </c>
      <c r="B9858" s="0" t="s">
        <v>98</v>
      </c>
      <c r="D9858" s="6" t="n">
        <f aca="false">Sens!D9855+Sens!D9857</f>
        <v>128.528</v>
      </c>
      <c r="E9858" s="6" t="n">
        <f aca="false">Sens!E9855+Sens!E9857</f>
        <v>155.237</v>
      </c>
      <c r="F9858" s="6" t="n">
        <f aca="false">Sens!F9855+Sens!F9857</f>
        <v>181.387544187244</v>
      </c>
      <c r="G9858" s="6" t="n">
        <f aca="false">Sens!G9855+Sens!G9857</f>
        <v>211.453958343275</v>
      </c>
      <c r="H9858" s="6" t="n">
        <f aca="false">Sens!H9855+Sens!H9857</f>
        <v>246.454851637464</v>
      </c>
      <c r="I9858" s="6" t="n">
        <f aca="false">Sens!I9855+Sens!I9857</f>
        <v>273.422828030711</v>
      </c>
      <c r="J9858" s="6" t="n">
        <f aca="false">Sens!J9855+Sens!J9857</f>
        <v>296.761356961894</v>
      </c>
      <c r="K9858" s="6" t="n">
        <f aca="false">Sens!K9855+Sens!K9857</f>
        <v>318.012891887085</v>
      </c>
    </row>
    <row r="9859" customFormat="false" ht="15" hidden="false" customHeight="false" outlineLevel="0" collapsed="false">
      <c r="A9859" s="23" t="s">
        <v>904</v>
      </c>
      <c r="B9859" s="30" t="s">
        <v>98</v>
      </c>
      <c r="C9859" s="30"/>
      <c r="D9859" s="24" t="n">
        <f aca="false">Sens!D9858-Q!L23</f>
        <v>0</v>
      </c>
      <c r="E9859" s="24" t="n">
        <f aca="false">Sens!E9858-Q!M23</f>
        <v>0</v>
      </c>
      <c r="F9859" s="30"/>
      <c r="G9859" s="30"/>
      <c r="H9859" s="30"/>
      <c r="I9859" s="30"/>
      <c r="J9859" s="30"/>
      <c r="K9859" s="30"/>
    </row>
    <row r="9860" customFormat="false" ht="15" hidden="false" customHeight="false" outlineLevel="0" collapsed="false">
      <c r="A9860" s="1" t="s">
        <v>905</v>
      </c>
      <c r="B9860" s="0" t="s">
        <v>129</v>
      </c>
      <c r="D9860" s="7" t="n">
        <f aca="false">Sens!D9858/Sens!D9851</f>
        <v>0.456219562408598</v>
      </c>
      <c r="E9860" s="7" t="n">
        <f aca="false">Sens!E9858/Sens!E9851</f>
        <v>0.467808184089272</v>
      </c>
      <c r="F9860" s="7" t="n">
        <f aca="false">Sens!F9858/Sens!F9851</f>
        <v>0.448501426079712</v>
      </c>
      <c r="G9860" s="7" t="n">
        <f aca="false">Sens!G9858/Sens!G9851</f>
        <v>0.430480680209526</v>
      </c>
      <c r="H9860" s="7" t="n">
        <f aca="false">Sens!H9858/Sens!H9851</f>
        <v>0.421697386997345</v>
      </c>
      <c r="I9860" s="7" t="n">
        <f aca="false">Sens!I9858/Sens!I9851</f>
        <v>0.411771714128771</v>
      </c>
      <c r="J9860" s="7" t="n">
        <f aca="false">Sens!J9858/Sens!J9851</f>
        <v>0.407631718143991</v>
      </c>
      <c r="K9860" s="7" t="n">
        <f aca="false">Sens!K9858/Sens!K9851</f>
        <v>0.408358751867586</v>
      </c>
    </row>
    <row r="9861" customFormat="false" ht="17.15" hidden="false" customHeight="false" outlineLevel="0" collapsed="false">
      <c r="A9861" s="1" t="s">
        <v>906</v>
      </c>
      <c r="B9861" s="0" t="s">
        <v>98</v>
      </c>
      <c r="F9861" s="6" t="n">
        <f aca="false">Sens!F9876</f>
        <v>19.0793824397397</v>
      </c>
      <c r="G9861" s="6" t="n">
        <f aca="false">Sens!G9876</f>
        <v>32.5666413649601</v>
      </c>
      <c r="H9861" s="6" t="n">
        <f aca="false">Sens!H9876</f>
        <v>47.4063563831308</v>
      </c>
      <c r="I9861" s="6" t="n">
        <f aca="false">Sens!I9876</f>
        <v>61.2525090726263</v>
      </c>
      <c r="J9861" s="6" t="n">
        <f aca="false">Sens!J9876</f>
        <v>71.009613825577</v>
      </c>
      <c r="K9861" s="6" t="n">
        <f aca="false">Sens!K9876</f>
        <v>76.0452576664312</v>
      </c>
      <c r="L9861" s="1" t="s">
        <v>907</v>
      </c>
    </row>
    <row r="9862" customFormat="false" ht="17.15" hidden="false" customHeight="false" outlineLevel="0" collapsed="false">
      <c r="A9862" s="1" t="s">
        <v>908</v>
      </c>
      <c r="B9862" s="0" t="s">
        <v>98</v>
      </c>
      <c r="D9862" s="6" t="n">
        <f aca="false">Sens!D9858</f>
        <v>128.528</v>
      </c>
      <c r="E9862" s="6" t="n">
        <f aca="false">Sens!E9858</f>
        <v>155.237</v>
      </c>
      <c r="F9862" s="6" t="n">
        <f aca="false">Sens!F9858+Sens!F9861</f>
        <v>200.466926626984</v>
      </c>
      <c r="G9862" s="6" t="n">
        <f aca="false">Sens!G9858+Sens!G9861</f>
        <v>244.020599708235</v>
      </c>
      <c r="H9862" s="6" t="n">
        <f aca="false">Sens!H9858+Sens!H9861</f>
        <v>293.861208020594</v>
      </c>
      <c r="I9862" s="6" t="n">
        <f aca="false">Sens!I9858+Sens!I9861</f>
        <v>334.675337103337</v>
      </c>
      <c r="J9862" s="6" t="n">
        <f aca="false">Sens!J9858+Sens!J9861</f>
        <v>367.770970787471</v>
      </c>
      <c r="K9862" s="6" t="n">
        <f aca="false">Sens!K9858+Sens!K9861</f>
        <v>394.058149553516</v>
      </c>
    </row>
    <row r="9863" customFormat="false" ht="17.15" hidden="false" customHeight="false" outlineLevel="0" collapsed="false">
      <c r="A9863" s="1" t="s">
        <v>909</v>
      </c>
      <c r="B9863" s="0" t="s">
        <v>98</v>
      </c>
      <c r="E9863" s="6" t="n">
        <f aca="false">Sens!E9806</f>
        <v>16.3054059770833</v>
      </c>
      <c r="F9863" s="6" t="n">
        <f aca="false">Sens!F9806</f>
        <v>34.7283986225365</v>
      </c>
      <c r="G9863" s="6" t="n">
        <f aca="false">Sens!G9806</f>
        <v>60.4824595936729</v>
      </c>
      <c r="H9863" s="6" t="n">
        <f aca="false">Sens!H9806</f>
        <v>87.7180423264729</v>
      </c>
      <c r="I9863" s="6" t="n">
        <f aca="false">Sens!I9806</f>
        <v>111.962766315554</v>
      </c>
      <c r="J9863" s="6" t="n">
        <f aca="false">Sens!J9806</f>
        <v>129.159437255999</v>
      </c>
      <c r="K9863" s="6" t="n">
        <f aca="false">Sens!K9806</f>
        <v>139.623373137807</v>
      </c>
    </row>
    <row r="9864" customFormat="false" ht="17.15" hidden="false" customHeight="false" outlineLevel="0" collapsed="false">
      <c r="A9864" s="1" t="s">
        <v>910</v>
      </c>
      <c r="B9864" s="0" t="s">
        <v>98</v>
      </c>
      <c r="E9864" s="6" t="n">
        <f aca="false">Sens!E9888</f>
        <v>22.2285940229167</v>
      </c>
      <c r="F9864" s="6" t="n">
        <f aca="false">Sens!F9888</f>
        <v>23.5782335435813</v>
      </c>
      <c r="G9864" s="6" t="n">
        <f aca="false">Sens!G9888</f>
        <v>25.3794643305724</v>
      </c>
      <c r="H9864" s="6" t="n">
        <f aca="false">Sens!H9888</f>
        <v>27.5953060118004</v>
      </c>
      <c r="I9864" s="6" t="n">
        <f aca="false">Sens!I9888</f>
        <v>30.1493009035596</v>
      </c>
      <c r="J9864" s="6" t="n">
        <f aca="false">Sens!J9888</f>
        <v>32.9493527752196</v>
      </c>
      <c r="K9864" s="6" t="n">
        <f aca="false">Sens!K9888</f>
        <v>35.9109953136642</v>
      </c>
    </row>
    <row r="9865" customFormat="false" ht="17.15" hidden="false" customHeight="false" outlineLevel="0" collapsed="false">
      <c r="A9865" s="1" t="s">
        <v>911</v>
      </c>
      <c r="B9865" s="0" t="s">
        <v>98</v>
      </c>
      <c r="D9865" s="6" t="n">
        <f aca="false">Q!L27</f>
        <v>-4.901</v>
      </c>
      <c r="E9865" s="6" t="n">
        <f aca="false">Q!M27</f>
        <v>10.697</v>
      </c>
      <c r="F9865" s="6" t="n">
        <f aca="false">oie_f</f>
        <v>-0.4</v>
      </c>
      <c r="G9865" s="6" t="n">
        <f aca="false">oie_f</f>
        <v>-0.4</v>
      </c>
      <c r="H9865" s="6" t="n">
        <f aca="false">oie_f</f>
        <v>-0.4</v>
      </c>
      <c r="I9865" s="6" t="n">
        <f aca="false">oie_f</f>
        <v>-0.4</v>
      </c>
      <c r="J9865" s="6" t="n">
        <f aca="false">oie_f</f>
        <v>-0.4</v>
      </c>
      <c r="K9865" s="6" t="n">
        <f aca="false">oie_f</f>
        <v>-0.4</v>
      </c>
      <c r="L9865" s="11" t="s">
        <v>912</v>
      </c>
    </row>
    <row r="9866" customFormat="false" ht="15" hidden="false" customHeight="false" outlineLevel="0" collapsed="false">
      <c r="A9866" s="1" t="s">
        <v>913</v>
      </c>
      <c r="B9866" s="0" t="s">
        <v>98</v>
      </c>
      <c r="D9866" s="6" t="n">
        <f aca="false">Sens!D9858+Sens!D9865</f>
        <v>123.627</v>
      </c>
      <c r="E9866" s="6" t="n">
        <f aca="false">Sens!E9858+Sens!E9865</f>
        <v>165.934</v>
      </c>
      <c r="F9866" s="6" t="n">
        <f aca="false">Sens!F9858+Sens!F9865</f>
        <v>180.987544187244</v>
      </c>
      <c r="G9866" s="6" t="n">
        <f aca="false">Sens!G9858+Sens!G9865</f>
        <v>211.053958343275</v>
      </c>
      <c r="H9866" s="6" t="n">
        <f aca="false">Sens!H9858+Sens!H9865</f>
        <v>246.054851637464</v>
      </c>
      <c r="I9866" s="6" t="n">
        <f aca="false">Sens!I9858+Sens!I9865</f>
        <v>273.022828030711</v>
      </c>
      <c r="J9866" s="6" t="n">
        <f aca="false">Sens!J9858+Sens!J9865</f>
        <v>296.361356961894</v>
      </c>
      <c r="K9866" s="6" t="n">
        <f aca="false">Sens!K9858+Sens!K9865</f>
        <v>317.612891887085</v>
      </c>
    </row>
    <row r="9867" customFormat="false" ht="15" hidden="false" customHeight="false" outlineLevel="0" collapsed="false">
      <c r="A9867" s="1" t="s">
        <v>914</v>
      </c>
      <c r="B9867" s="0" t="s">
        <v>98</v>
      </c>
      <c r="D9867" s="6" t="n">
        <f aca="false">Q!L29</f>
        <v>21.795</v>
      </c>
      <c r="E9867" s="6" t="n">
        <f aca="false">Q!M29</f>
        <v>32.185</v>
      </c>
      <c r="F9867" s="6" t="n">
        <f aca="false">Sens!F9866*tax_f</f>
        <v>36.1975088374488</v>
      </c>
      <c r="G9867" s="6" t="n">
        <f aca="false">Sens!G9866*tax_f</f>
        <v>42.210791668655</v>
      </c>
      <c r="H9867" s="6" t="n">
        <f aca="false">Sens!H9866*tax_f</f>
        <v>49.2109703274927</v>
      </c>
      <c r="I9867" s="6" t="n">
        <f aca="false">Sens!I9866*tax_f</f>
        <v>54.6045656061422</v>
      </c>
      <c r="J9867" s="6" t="n">
        <f aca="false">Sens!J9866*tax_f</f>
        <v>59.2722713923788</v>
      </c>
      <c r="K9867" s="6" t="n">
        <f aca="false">Sens!K9866*tax_f</f>
        <v>63.522578377417</v>
      </c>
    </row>
    <row r="9868" customFormat="false" ht="15" hidden="false" customHeight="false" outlineLevel="0" collapsed="false">
      <c r="A9868" s="1" t="s">
        <v>915</v>
      </c>
      <c r="B9868" s="0" t="s">
        <v>98</v>
      </c>
      <c r="D9868" s="6" t="n">
        <f aca="false">Sens!D9866-Sens!D9867</f>
        <v>101.832</v>
      </c>
      <c r="E9868" s="6" t="n">
        <f aca="false">Sens!E9866-Sens!E9867</f>
        <v>133.749</v>
      </c>
      <c r="F9868" s="6" t="n">
        <f aca="false">Sens!F9866-Sens!F9867</f>
        <v>144.790035349795</v>
      </c>
      <c r="G9868" s="6" t="n">
        <f aca="false">Sens!G9866-Sens!G9867</f>
        <v>168.84316667462</v>
      </c>
      <c r="H9868" s="6" t="n">
        <f aca="false">Sens!H9866-Sens!H9867</f>
        <v>196.843881309971</v>
      </c>
      <c r="I9868" s="6" t="n">
        <f aca="false">Sens!I9866-Sens!I9867</f>
        <v>218.418262424569</v>
      </c>
      <c r="J9868" s="6" t="n">
        <f aca="false">Sens!J9866-Sens!J9867</f>
        <v>237.089085569515</v>
      </c>
      <c r="K9868" s="6" t="n">
        <f aca="false">Sens!K9866-Sens!K9867</f>
        <v>254.090313509668</v>
      </c>
    </row>
    <row r="9869" customFormat="false" ht="17.15" hidden="false" customHeight="false" outlineLevel="0" collapsed="false">
      <c r="A9869" s="1" t="s">
        <v>916</v>
      </c>
      <c r="B9869" s="1" t="s">
        <v>81</v>
      </c>
      <c r="D9869" s="14" t="n">
        <f aca="false">Q!L31</f>
        <v>7.465</v>
      </c>
      <c r="E9869" s="14" t="n">
        <f aca="false">Q!M31</f>
        <v>7.453</v>
      </c>
      <c r="F9869" s="14" t="n">
        <f aca="false">Sens!F9910</f>
        <v>7.4735</v>
      </c>
      <c r="G9869" s="14" t="n">
        <f aca="false">Sens!G9910</f>
        <v>7.50816881815323</v>
      </c>
      <c r="H9869" s="14" t="n">
        <f aca="false">Sens!H9910</f>
        <v>7.52558922215641</v>
      </c>
      <c r="I9869" s="14" t="n">
        <f aca="false">Sens!I9910</f>
        <v>7.53737005416373</v>
      </c>
      <c r="J9869" s="14" t="n">
        <f aca="false">Sens!J9910</f>
        <v>7.55161156528161</v>
      </c>
      <c r="K9869" s="14" t="n">
        <f aca="false">Sens!K9910</f>
        <v>7.56813148298335</v>
      </c>
    </row>
    <row r="9870" customFormat="false" ht="17.15" hidden="false" customHeight="false" outlineLevel="0" collapsed="false">
      <c r="A9870" s="0" t="s">
        <v>917</v>
      </c>
      <c r="B9870" s="0" t="s">
        <v>75</v>
      </c>
      <c r="D9870" s="8" t="n">
        <f aca="false">Sens!D9868/Sens!D9869</f>
        <v>13.641259209645</v>
      </c>
      <c r="E9870" s="8" t="n">
        <f aca="false">Sens!E9868/Sens!E9869</f>
        <v>17.9456594659869</v>
      </c>
      <c r="F9870" s="8" t="n">
        <f aca="false">Sens!F9868/Sens!F9869</f>
        <v>19.3737921121021</v>
      </c>
      <c r="G9870" s="8" t="n">
        <f aca="false">Sens!G9868/Sens!G9869</f>
        <v>22.4879289163546</v>
      </c>
      <c r="H9870" s="8" t="n">
        <f aca="false">Sens!H9868/Sens!H9869</f>
        <v>26.1566072102945</v>
      </c>
      <c r="I9870" s="8" t="n">
        <f aca="false">Sens!I9868/Sens!I9869</f>
        <v>28.9780468326498</v>
      </c>
      <c r="J9870" s="8" t="n">
        <f aca="false">Sens!J9868/Sens!J9869</f>
        <v>31.395826376919</v>
      </c>
      <c r="K9870" s="8" t="n">
        <f aca="false">Sens!K9868/Sens!K9869</f>
        <v>33.573718173499</v>
      </c>
      <c r="L9870" s="1" t="s">
        <v>918</v>
      </c>
    </row>
    <row r="9871" customFormat="false" ht="17.15" hidden="false" customHeight="false" outlineLevel="0" collapsed="false">
      <c r="A9871" s="1" t="s">
        <v>919</v>
      </c>
      <c r="B9871" s="0" t="s">
        <v>98</v>
      </c>
      <c r="D9871" s="6" t="n">
        <f aca="false">Sens!D9868</f>
        <v>101.832</v>
      </c>
      <c r="E9871" s="6" t="n">
        <f aca="false">Sens!E9868</f>
        <v>133.749</v>
      </c>
      <c r="F9871" s="6" t="n">
        <f aca="false">Sens!F9868+Sens!F9861*(1-tax_f)</f>
        <v>160.053541301587</v>
      </c>
      <c r="G9871" s="6" t="n">
        <f aca="false">Sens!G9868+Sens!G9861*(1-tax_f)</f>
        <v>194.896479766588</v>
      </c>
      <c r="H9871" s="6" t="n">
        <f aca="false">Sens!H9868+Sens!H9861*(1-tax_f)</f>
        <v>234.768966416476</v>
      </c>
      <c r="I9871" s="6" t="n">
        <f aca="false">Sens!I9868+Sens!I9861*(1-tax_f)</f>
        <v>267.42026968267</v>
      </c>
      <c r="J9871" s="6" t="n">
        <f aca="false">Sens!J9868+Sens!J9861*(1-tax_f)</f>
        <v>293.896776629977</v>
      </c>
      <c r="K9871" s="6" t="n">
        <f aca="false">Sens!K9868+Sens!K9861*(1-tax_f)</f>
        <v>314.926519642813</v>
      </c>
    </row>
    <row r="9872" customFormat="false" ht="17.15" hidden="false" customHeight="false" outlineLevel="0" collapsed="false">
      <c r="A9872" s="0" t="s">
        <v>920</v>
      </c>
      <c r="B9872" s="0" t="s">
        <v>75</v>
      </c>
      <c r="D9872" s="8" t="n">
        <f aca="false">Sens!D9871/Sens!D9869</f>
        <v>13.641259209645</v>
      </c>
      <c r="E9872" s="8" t="n">
        <f aca="false">Sens!E9871/Sens!E9869</f>
        <v>17.9456594659869</v>
      </c>
      <c r="F9872" s="8" t="n">
        <f aca="false">Sens!F9871/Sens!F9869</f>
        <v>21.4161425438666</v>
      </c>
      <c r="G9872" s="8" t="n">
        <f aca="false">Sens!G9871/Sens!G9869</f>
        <v>25.9579245601628</v>
      </c>
      <c r="H9872" s="8" t="n">
        <f aca="false">Sens!H9871/Sens!H9869</f>
        <v>31.1960910283652</v>
      </c>
      <c r="I9872" s="8" t="n">
        <f aca="false">Sens!I9871/Sens!I9869</f>
        <v>35.4792544031912</v>
      </c>
      <c r="J9872" s="8" t="n">
        <f aca="false">Sens!J9871/Sens!J9869</f>
        <v>38.9184181534391</v>
      </c>
      <c r="K9872" s="8" t="n">
        <f aca="false">Sens!K9871/Sens!K9869</f>
        <v>41.6121892637454</v>
      </c>
      <c r="L9872" s="1" t="s">
        <v>921</v>
      </c>
    </row>
    <row r="9873" customFormat="false" ht="17.15" hidden="false" customHeight="false" outlineLevel="0" collapsed="false">
      <c r="A9873" s="0" t="s">
        <v>922</v>
      </c>
      <c r="B9873" s="0" t="s">
        <v>129</v>
      </c>
      <c r="E9873" s="7" t="n">
        <f aca="false">Sens!E9872/Sens!D9872-1</f>
        <v>0.315542736208578</v>
      </c>
      <c r="F9873" s="7" t="n">
        <f aca="false">Sens!F9872/Sens!E9872-1</f>
        <v>0.193388439385997</v>
      </c>
      <c r="G9873" s="7" t="n">
        <f aca="false">Sens!G9872/Sens!F9872-1</f>
        <v>0.212072832770573</v>
      </c>
      <c r="H9873" s="7" t="n">
        <f aca="false">Sens!H9872/Sens!G9872-1</f>
        <v>0.201794502332492</v>
      </c>
      <c r="I9873" s="7" t="n">
        <f aca="false">Sens!I9872/Sens!H9872-1</f>
        <v>0.137298079138553</v>
      </c>
      <c r="J9873" s="7" t="n">
        <f aca="false">Sens!J9872/Sens!I9872-1</f>
        <v>0.096934498993829</v>
      </c>
      <c r="K9873" s="7" t="n">
        <f aca="false">Sens!K9872/Sens!J9872-1</f>
        <v>0.0692158427325029</v>
      </c>
    </row>
    <row r="9874" customFormat="false" ht="17.15" hidden="false" customHeight="false" outlineLevel="0" collapsed="false">
      <c r="A9874" s="0" t="s">
        <v>846</v>
      </c>
      <c r="B9874" s="0" t="s">
        <v>98</v>
      </c>
      <c r="E9874" s="6" t="n">
        <f aca="false">Sens!E9815</f>
        <v>5.25</v>
      </c>
      <c r="F9874" s="6" t="n">
        <f aca="false">Sens!F9815</f>
        <v>13.5</v>
      </c>
      <c r="G9874" s="6" t="n">
        <f aca="false">Sens!G9815</f>
        <v>22.5</v>
      </c>
      <c r="H9874" s="6" t="n">
        <f aca="false">Sens!H9815</f>
        <v>31.5</v>
      </c>
      <c r="I9874" s="6" t="n">
        <f aca="false">Sens!I9815</f>
        <v>38.25</v>
      </c>
      <c r="J9874" s="6" t="n">
        <f aca="false">Sens!J9815</f>
        <v>42.75</v>
      </c>
      <c r="K9874" s="6" t="n">
        <f aca="false">Sens!K9815</f>
        <v>47.25</v>
      </c>
    </row>
    <row r="9875" customFormat="false" ht="17.15" hidden="false" customHeight="false" outlineLevel="0" collapsed="false">
      <c r="A9875" s="1" t="s">
        <v>847</v>
      </c>
      <c r="B9875" s="0" t="s">
        <v>98</v>
      </c>
      <c r="F9875" s="6" t="n">
        <f aca="false">MAX(0,(Sens!E9778+Sens!F9778)/2*Sens!F9786/1000-Sens!F9874*Sens!F9854)</f>
        <v>19.0793824397397</v>
      </c>
      <c r="G9875" s="6" t="n">
        <f aca="false">MAX(0,(Sens!F9778+Sens!G9778)/2*Sens!G9786/1000-Sens!G9874*Sens!G9854)</f>
        <v>32.5666413649601</v>
      </c>
      <c r="H9875" s="6" t="n">
        <f aca="false">MAX(0,(Sens!G9778+Sens!H9778)/2*Sens!H9786/1000-Sens!H9874*Sens!H9854)</f>
        <v>47.4063563831308</v>
      </c>
      <c r="I9875" s="6" t="n">
        <f aca="false">MAX(0,(Sens!H9778+Sens!I9778)/2*Sens!I9786/1000-Sens!I9874*Sens!I9854)</f>
        <v>61.2525090726263</v>
      </c>
      <c r="J9875" s="6" t="n">
        <f aca="false">MAX(0,(Sens!I9778+Sens!J9778)/2*Sens!J9786/1000-Sens!J9874*Sens!J9854)</f>
        <v>71.009613825577</v>
      </c>
      <c r="K9875" s="6" t="n">
        <f aca="false">MAX(0,(Sens!J9778+Sens!K9778)/2*Sens!K9786/1000-Sens!K9874*Sens!K9854)</f>
        <v>76.0452576664312</v>
      </c>
      <c r="L9875" s="1" t="s">
        <v>848</v>
      </c>
    </row>
    <row r="9876" customFormat="false" ht="17.15" hidden="false" customHeight="false" outlineLevel="0" collapsed="false">
      <c r="A9876" s="1" t="s">
        <v>849</v>
      </c>
      <c r="B9876" s="0" t="s">
        <v>98</v>
      </c>
      <c r="F9876" s="6" t="n">
        <f aca="false">IF(internal_ai_reading=2,1,0)*Sens!F9875</f>
        <v>19.0793824397397</v>
      </c>
      <c r="G9876" s="6" t="n">
        <f aca="false">IF(internal_ai_reading=2,1,0)*Sens!G9875</f>
        <v>32.5666413649601</v>
      </c>
      <c r="H9876" s="6" t="n">
        <f aca="false">IF(internal_ai_reading=2,1,0)*Sens!H9875</f>
        <v>47.4063563831308</v>
      </c>
      <c r="I9876" s="6" t="n">
        <f aca="false">IF(internal_ai_reading=2,1,0)*Sens!I9875</f>
        <v>61.2525090726263</v>
      </c>
      <c r="J9876" s="6" t="n">
        <f aca="false">IF(internal_ai_reading=2,1,0)*Sens!J9875</f>
        <v>71.009613825577</v>
      </c>
      <c r="K9876" s="6" t="n">
        <f aca="false">IF(internal_ai_reading=2,1,0)*Sens!K9875</f>
        <v>76.0452576664312</v>
      </c>
    </row>
    <row r="9877" customFormat="false" ht="17.15" hidden="false" customHeight="false" outlineLevel="0" collapsed="false">
      <c r="A9877" s="0" t="s">
        <v>850</v>
      </c>
      <c r="B9877" s="0" t="s">
        <v>98</v>
      </c>
      <c r="F9877" s="6" t="n">
        <f aca="false">Sens!F9795+Sens!F9874*Sens!F9854+Sens!F9876-Sens!F9796-Sens!F9806</f>
        <v>28.6538309082876</v>
      </c>
      <c r="G9877" s="6" t="n">
        <f aca="false">Sens!G9795+Sens!G9874*Sens!G9854+Sens!G9876-Sens!G9796-Sens!G9806</f>
        <v>52.617393371789</v>
      </c>
      <c r="H9877" s="6" t="n">
        <f aca="false">Sens!H9795+Sens!H9874*Sens!H9854+Sens!H9876-Sens!H9796-Sens!H9806</f>
        <v>82.5796643685331</v>
      </c>
      <c r="I9877" s="6" t="n">
        <f aca="false">Sens!I9795+Sens!I9874*Sens!I9854+Sens!I9876-Sens!I9796-Sens!I9806</f>
        <v>103.918342431935</v>
      </c>
      <c r="J9877" s="6" t="n">
        <f aca="false">Sens!J9795+Sens!J9874*Sens!J9854+Sens!J9876-Sens!J9796-Sens!J9806</f>
        <v>118.712137767665</v>
      </c>
      <c r="K9877" s="6" t="n">
        <f aca="false">Sens!K9795+Sens!K9874*Sens!K9854+Sens!K9876-Sens!K9796-Sens!K9806</f>
        <v>128.66661096368</v>
      </c>
    </row>
    <row r="9878" customFormat="false" ht="17.15" hidden="false" customHeight="false" outlineLevel="0" collapsed="false">
      <c r="A9878" s="0" t="s">
        <v>851</v>
      </c>
      <c r="B9878" s="0" t="s">
        <v>98</v>
      </c>
      <c r="E9878" s="6" t="n">
        <f aca="false">Sens!E9777*(cxit_open+self_build*tk_cxfac)/1000*ai_net_open</f>
        <v>126.6980382</v>
      </c>
      <c r="F9878" s="6" t="n">
        <f aca="false">Sens!E9878+Sens!F9803-Sens!F9806</f>
        <v>260.444650347901</v>
      </c>
      <c r="G9878" s="6" t="n">
        <f aca="false">Sens!F9878+Sens!G9803-Sens!G9806</f>
        <v>383.536371237428</v>
      </c>
      <c r="H9878" s="6" t="n">
        <f aca="false">Sens!G9878+Sens!H9803-Sens!H9806</f>
        <v>483.898614821355</v>
      </c>
      <c r="I9878" s="6" t="n">
        <f aca="false">Sens!H9878+Sens!I9803-Sens!I9806</f>
        <v>535.642517660046</v>
      </c>
      <c r="J9878" s="6" t="n">
        <f aca="false">Sens!I9878+Sens!J9803-Sens!J9806</f>
        <v>530.995557122137</v>
      </c>
      <c r="K9878" s="6" t="n">
        <f aca="false">Sens!J9878+Sens!K9803-Sens!K9806</f>
        <v>506.331619626267</v>
      </c>
      <c r="L9878" s="1" t="s">
        <v>852</v>
      </c>
    </row>
    <row r="9879" customFormat="false" ht="17.15" hidden="false" customHeight="false" outlineLevel="0" collapsed="false">
      <c r="A9879" s="0" t="s">
        <v>853</v>
      </c>
      <c r="B9879" s="0" t="s">
        <v>129</v>
      </c>
      <c r="F9879" s="7" t="n">
        <f aca="false">Sens!F9877*(1-tax_f)/((Sens!E9878+Sens!F9878)/2)</f>
        <v>0.118421788166064</v>
      </c>
      <c r="G9879" s="7" t="n">
        <f aca="false">Sens!G9877*(1-tax_f)/((Sens!F9878+Sens!G9878)/2)</f>
        <v>0.130730295727678</v>
      </c>
      <c r="H9879" s="7" t="n">
        <f aca="false">Sens!H9877*(1-tax_f)/((Sens!G9878+Sens!H9878)/2)</f>
        <v>0.15231973013906</v>
      </c>
      <c r="I9879" s="7" t="n">
        <f aca="false">Sens!I9877*(1-tax_f)/((Sens!H9878+Sens!I9878)/2)</f>
        <v>0.163082530556097</v>
      </c>
      <c r="J9879" s="7" t="n">
        <f aca="false">Sens!J9877*(1-tax_f)/((Sens!I9878+Sens!J9878)/2)</f>
        <v>0.178072979878439</v>
      </c>
      <c r="K9879" s="7" t="n">
        <f aca="false">Sens!K9877*(1-tax_f)/((Sens!J9878+Sens!K9878)/2)</f>
        <v>0.198458675484812</v>
      </c>
    </row>
    <row r="9880" customFormat="false" ht="17.15" hidden="false" customHeight="false" outlineLevel="0" collapsed="false">
      <c r="A9880" s="1" t="s">
        <v>854</v>
      </c>
      <c r="B9880" s="0" t="s">
        <v>129</v>
      </c>
      <c r="F9880" s="7" t="n">
        <f aca="false">(Sens!F9877-Sens!F9876)*(1-tax_f)/((Sens!E9878+Sens!F9878)/2)</f>
        <v>0.039569693559591</v>
      </c>
      <c r="G9880" s="7" t="n">
        <f aca="false">(Sens!G9877-Sens!G9876)*(1-tax_f)/((Sens!F9878+Sens!G9878)/2)</f>
        <v>0.0498170010227163</v>
      </c>
      <c r="H9880" s="7" t="n">
        <f aca="false">(Sens!H9877-Sens!H9876)*(1-tax_f)/((Sens!G9878+Sens!H9878)/2)</f>
        <v>0.0648778221781684</v>
      </c>
      <c r="I9880" s="7" t="n">
        <f aca="false">(Sens!I9877-Sens!I9876)*(1-tax_f)/((Sens!H9878+Sens!I9878)/2)</f>
        <v>0.0669569193434567</v>
      </c>
      <c r="J9880" s="7" t="n">
        <f aca="false">(Sens!J9877-Sens!J9876)*(1-tax_f)/((Sens!I9878+Sens!J9878)/2)</f>
        <v>0.0715557039560278</v>
      </c>
      <c r="K9880" s="7" t="n">
        <f aca="false">(Sens!K9877-Sens!K9876)*(1-tax_f)/((Sens!J9878+Sens!K9878)/2)</f>
        <v>0.0811645227877976</v>
      </c>
    </row>
    <row r="9881" customFormat="false" ht="17.15" hidden="false" customHeight="false" outlineLevel="0" collapsed="false">
      <c r="A9881" s="1" t="s">
        <v>855</v>
      </c>
      <c r="B9881" s="0" t="s">
        <v>129</v>
      </c>
      <c r="F9881" s="7" t="n">
        <f aca="false">(Sens!F9877-Sens!F9876+Sens!F9875)*(1-tax_f)/((Sens!E9878+Sens!F9878)/2)</f>
        <v>0.118421788166064</v>
      </c>
      <c r="G9881" s="7" t="n">
        <f aca="false">(Sens!G9877-Sens!G9876+Sens!G9875)*(1-tax_f)/((Sens!F9878+Sens!G9878)/2)</f>
        <v>0.130730295727678</v>
      </c>
      <c r="H9881" s="7" t="n">
        <f aca="false">(Sens!H9877-Sens!H9876+Sens!H9875)*(1-tax_f)/((Sens!G9878+Sens!H9878)/2)</f>
        <v>0.15231973013906</v>
      </c>
      <c r="I9881" s="7" t="n">
        <f aca="false">(Sens!I9877-Sens!I9876+Sens!I9875)*(1-tax_f)/((Sens!H9878+Sens!I9878)/2)</f>
        <v>0.163082530556097</v>
      </c>
      <c r="J9881" s="7" t="n">
        <f aca="false">(Sens!J9877-Sens!J9876+Sens!J9875)*(1-tax_f)/((Sens!I9878+Sens!J9878)/2)</f>
        <v>0.178072979878439</v>
      </c>
      <c r="K9881" s="7" t="n">
        <f aca="false">(Sens!K9877-Sens!K9876+Sens!K9875)*(1-tax_f)/((Sens!J9878+Sens!K9878)/2)</f>
        <v>0.198458675484812</v>
      </c>
    </row>
    <row r="9882" customFormat="false" ht="17.15" hidden="false" customHeight="false" outlineLevel="0" collapsed="false">
      <c r="A9882" s="1" t="s">
        <v>856</v>
      </c>
      <c r="B9882" s="0" t="s">
        <v>129</v>
      </c>
      <c r="F9882" s="7" t="n">
        <f aca="false">Sens!F9807*(1-tax_f)/(Sens!F9794*(Sens!E9878+Sens!F9878)/2)</f>
        <v>0.153540730695953</v>
      </c>
      <c r="G9882" s="7" t="n">
        <f aca="false">Sens!G9807*(1-tax_f)/(Sens!G9794*(Sens!F9878+Sens!G9878)/2)</f>
        <v>0.174671096237629</v>
      </c>
      <c r="H9882" s="7" t="n">
        <f aca="false">Sens!H9807*(1-tax_f)/(Sens!H9794*(Sens!G9878+Sens!H9878)/2)</f>
        <v>0.207627622283486</v>
      </c>
      <c r="I9882" s="7" t="n">
        <f aca="false">Sens!I9807*(1-tax_f)/(Sens!I9794*(Sens!H9878+Sens!I9878)/2)</f>
        <v>0.221681882423459</v>
      </c>
      <c r="J9882" s="7" t="n">
        <f aca="false">Sens!J9807*(1-tax_f)/(Sens!J9794*(Sens!I9878+Sens!J9878)/2)</f>
        <v>0.241795810224146</v>
      </c>
      <c r="K9882" s="7" t="n">
        <f aca="false">Sens!K9807*(1-tax_f)/(Sens!K9794*(Sens!J9878+Sens!K9878)/2)</f>
        <v>0.269034802791516</v>
      </c>
    </row>
    <row r="9883" customFormat="false" ht="17.15" hidden="false" customHeight="false" outlineLevel="0" collapsed="false">
      <c r="A9883" s="0" t="s">
        <v>857</v>
      </c>
      <c r="B9883" s="0" t="s">
        <v>209</v>
      </c>
      <c r="F9883" s="7" t="n">
        <f aca="false">Sens!F9879-wacc</f>
        <v>0.0154873680731886</v>
      </c>
      <c r="G9883" s="7" t="n">
        <f aca="false">Sens!G9879-wacc</f>
        <v>0.0277958756348024</v>
      </c>
      <c r="H9883" s="7" t="n">
        <f aca="false">Sens!H9879-wacc</f>
        <v>0.049385310046184</v>
      </c>
      <c r="I9883" s="7" t="n">
        <f aca="false">Sens!I9879-wacc</f>
        <v>0.0601481104632211</v>
      </c>
      <c r="J9883" s="7" t="n">
        <f aca="false">Sens!J9879-wacc</f>
        <v>0.0751385597855631</v>
      </c>
      <c r="K9883" s="7" t="n">
        <f aca="false">Sens!K9879-wacc</f>
        <v>0.0955242553919361</v>
      </c>
    </row>
    <row r="9884" customFormat="false" ht="17.15" hidden="false" customHeight="false" outlineLevel="0" collapsed="false">
      <c r="A9884" s="0" t="s">
        <v>858</v>
      </c>
      <c r="B9884" s="0" t="s">
        <v>98</v>
      </c>
      <c r="F9884" s="6" t="n">
        <f aca="false">Sens!F9877*(1-tax_f)-wacc*(Sens!E9878+Sens!F9878)/2</f>
        <v>2.99791065719258</v>
      </c>
      <c r="G9884" s="6" t="n">
        <f aca="false">Sens!G9877*(1-tax_f)-wacc*(Sens!F9878+Sens!G9878)/2</f>
        <v>8.95000819357941</v>
      </c>
      <c r="H9884" s="6" t="n">
        <f aca="false">Sens!H9877*(1-tax_f)-wacc*(Sens!G9878+Sens!H9878)/2</f>
        <v>21.4192728657102</v>
      </c>
      <c r="I9884" s="6" t="n">
        <f aca="false">Sens!I9877*(1-tax_f)-wacc*(Sens!H9878+Sens!I9878)/2</f>
        <v>30.6617363291444</v>
      </c>
      <c r="J9884" s="6" t="n">
        <f aca="false">Sens!J9877*(1-tax_f)-wacc*(Sens!I9878+Sens!J9878)/2</f>
        <v>40.0728243757895</v>
      </c>
      <c r="K9884" s="6" t="n">
        <f aca="false">Sens!K9877*(1-tax_f)-wacc*(Sens!J9878+Sens!K9878)/2</f>
        <v>49.5449530783553</v>
      </c>
    </row>
    <row r="9885" customFormat="false" ht="17.15" hidden="false" customHeight="false" outlineLevel="0" collapsed="false">
      <c r="A9885" s="3" t="s">
        <v>1492</v>
      </c>
    </row>
    <row r="9886" customFormat="false" ht="15" hidden="false" customHeight="false" outlineLevel="0" collapsed="false">
      <c r="A9886" s="4" t="s">
        <v>43</v>
      </c>
      <c r="B9886" s="4" t="s">
        <v>65</v>
      </c>
      <c r="C9886" s="20" t="s">
        <v>788</v>
      </c>
      <c r="D9886" s="20" t="s">
        <v>789</v>
      </c>
      <c r="E9886" s="20" t="s">
        <v>790</v>
      </c>
      <c r="F9886" s="20" t="s">
        <v>791</v>
      </c>
      <c r="G9886" s="20" t="s">
        <v>792</v>
      </c>
      <c r="H9886" s="20" t="s">
        <v>793</v>
      </c>
      <c r="I9886" s="20" t="s">
        <v>794</v>
      </c>
      <c r="J9886" s="20" t="s">
        <v>795</v>
      </c>
      <c r="K9886" s="20" t="s">
        <v>796</v>
      </c>
      <c r="L9886" s="4" t="s">
        <v>47</v>
      </c>
    </row>
    <row r="9887" customFormat="false" ht="15" hidden="false" customHeight="false" outlineLevel="0" collapsed="false">
      <c r="A9887" s="1" t="s">
        <v>915</v>
      </c>
      <c r="B9887" s="0" t="s">
        <v>98</v>
      </c>
      <c r="F9887" s="6" t="n">
        <f aca="false">Sens!F9868</f>
        <v>144.790035349795</v>
      </c>
      <c r="G9887" s="6" t="n">
        <f aca="false">Sens!G9868</f>
        <v>168.84316667462</v>
      </c>
      <c r="H9887" s="6" t="n">
        <f aca="false">Sens!H9868</f>
        <v>196.843881309971</v>
      </c>
      <c r="I9887" s="6" t="n">
        <f aca="false">Sens!I9868</f>
        <v>218.418262424569</v>
      </c>
      <c r="J9887" s="6" t="n">
        <f aca="false">Sens!J9868</f>
        <v>237.089085569515</v>
      </c>
      <c r="K9887" s="6" t="n">
        <f aca="false">Sens!K9868</f>
        <v>254.090313509668</v>
      </c>
    </row>
    <row r="9888" customFormat="false" ht="17.15" hidden="false" customHeight="false" outlineLevel="0" collapsed="false">
      <c r="A9888" s="1" t="s">
        <v>937</v>
      </c>
      <c r="B9888" s="0" t="s">
        <v>98</v>
      </c>
      <c r="E9888" s="6" t="n">
        <f aca="false">Q!M38-Sens!E9806</f>
        <v>22.2285940229167</v>
      </c>
      <c r="F9888" s="6" t="n">
        <f aca="false">Sens!E9888*(1-1/life_nonai)+Sens!F9894/life_nonai</f>
        <v>23.5782335435813</v>
      </c>
      <c r="G9888" s="6" t="n">
        <f aca="false">Sens!F9888*(1-1/life_nonai)+Sens!G9894/life_nonai</f>
        <v>25.3794643305724</v>
      </c>
      <c r="H9888" s="6" t="n">
        <f aca="false">Sens!G9888*(1-1/life_nonai)+Sens!H9894/life_nonai</f>
        <v>27.5953060118004</v>
      </c>
      <c r="I9888" s="6" t="n">
        <f aca="false">Sens!H9888*(1-1/life_nonai)+Sens!I9894/life_nonai</f>
        <v>30.1493009035596</v>
      </c>
      <c r="J9888" s="6" t="n">
        <f aca="false">Sens!I9888*(1-1/life_nonai)+Sens!J9894/life_nonai</f>
        <v>32.9493527752196</v>
      </c>
      <c r="K9888" s="6" t="n">
        <f aca="false">Sens!J9888*(1-1/life_nonai)+Sens!K9894/life_nonai</f>
        <v>35.9109953136642</v>
      </c>
      <c r="L9888" s="11" t="s">
        <v>938</v>
      </c>
    </row>
    <row r="9889" customFormat="false" ht="17.15" hidden="false" customHeight="false" outlineLevel="0" collapsed="false">
      <c r="A9889" s="1" t="s">
        <v>939</v>
      </c>
      <c r="B9889" s="0" t="s">
        <v>98</v>
      </c>
      <c r="E9889" s="6" t="n">
        <f aca="false">Sens!E9806+Sens!E9888</f>
        <v>38.534</v>
      </c>
      <c r="F9889" s="6" t="n">
        <f aca="false">Sens!F9806+Sens!F9888</f>
        <v>58.3066321661177</v>
      </c>
      <c r="G9889" s="6" t="n">
        <f aca="false">Sens!G9806+Sens!G9888</f>
        <v>85.8619239242454</v>
      </c>
      <c r="H9889" s="6" t="n">
        <f aca="false">Sens!H9806+Sens!H9888</f>
        <v>115.313348338273</v>
      </c>
      <c r="I9889" s="6" t="n">
        <f aca="false">Sens!I9806+Sens!I9888</f>
        <v>142.112067219114</v>
      </c>
      <c r="J9889" s="6" t="n">
        <f aca="false">Sens!J9806+Sens!J9888</f>
        <v>162.108790031219</v>
      </c>
      <c r="K9889" s="6" t="n">
        <f aca="false">Sens!K9806+Sens!K9888</f>
        <v>175.534368451471</v>
      </c>
    </row>
    <row r="9890" customFormat="false" ht="17.15" hidden="false" customHeight="false" outlineLevel="0" collapsed="false">
      <c r="A9890" s="1" t="s">
        <v>940</v>
      </c>
      <c r="B9890" s="0" t="s">
        <v>98</v>
      </c>
      <c r="F9890" s="6" t="n">
        <f aca="false">Sens!F9833*sbc_r</f>
        <v>15.1186486817177</v>
      </c>
      <c r="G9890" s="6" t="n">
        <f aca="false">Sens!G9833*sbc_r</f>
        <v>18.3624868071166</v>
      </c>
      <c r="H9890" s="6" t="n">
        <f aca="false">Sens!H9833*sbc_r</f>
        <v>21.8477040727982</v>
      </c>
      <c r="I9890" s="6" t="n">
        <f aca="false">Sens!I9833*sbc_r</f>
        <v>24.8226191091996</v>
      </c>
      <c r="J9890" s="6" t="n">
        <f aca="false">Sens!J9833*sbc_r</f>
        <v>27.215023988502</v>
      </c>
      <c r="K9890" s="6" t="n">
        <f aca="false">Sens!K9833*sbc_r</f>
        <v>29.1120106235186</v>
      </c>
    </row>
    <row r="9891" customFormat="false" ht="17.15" hidden="false" customHeight="false" outlineLevel="0" collapsed="false">
      <c r="A9891" s="1" t="s">
        <v>941</v>
      </c>
      <c r="B9891" s="0" t="s">
        <v>98</v>
      </c>
      <c r="F9891" s="6" t="n">
        <f aca="false">wc27</f>
        <v>-4.895</v>
      </c>
      <c r="G9891" s="6" t="n">
        <f aca="false">wc_f</f>
        <v>0</v>
      </c>
      <c r="H9891" s="6" t="n">
        <f aca="false">wc_f</f>
        <v>0</v>
      </c>
      <c r="I9891" s="6" t="n">
        <f aca="false">wc_f</f>
        <v>0</v>
      </c>
      <c r="J9891" s="6" t="n">
        <f aca="false">wc_f</f>
        <v>0</v>
      </c>
      <c r="K9891" s="6" t="n">
        <f aca="false">wc_f</f>
        <v>0</v>
      </c>
      <c r="L9891" s="11" t="s">
        <v>942</v>
      </c>
    </row>
    <row r="9892" customFormat="false" ht="15" hidden="false" customHeight="false" outlineLevel="0" collapsed="false">
      <c r="A9892" s="1" t="s">
        <v>756</v>
      </c>
      <c r="B9892" s="0" t="s">
        <v>98</v>
      </c>
      <c r="E9892" s="6" t="n">
        <f aca="false">Q!M35</f>
        <v>182.935</v>
      </c>
      <c r="F9892" s="6" t="n">
        <f aca="false">Sens!F9887+Sens!F9889+Sens!F9890+Sens!F9891</f>
        <v>213.320316197631</v>
      </c>
      <c r="G9892" s="6" t="n">
        <f aca="false">Sens!G9887+Sens!G9889+Sens!G9890+Sens!G9891</f>
        <v>273.067577405982</v>
      </c>
      <c r="H9892" s="6" t="n">
        <f aca="false">Sens!H9887+Sens!H9889+Sens!H9890+Sens!H9891</f>
        <v>334.004933721042</v>
      </c>
      <c r="I9892" s="6" t="n">
        <f aca="false">Sens!I9887+Sens!I9889+Sens!I9890+Sens!I9891</f>
        <v>385.352948752882</v>
      </c>
      <c r="J9892" s="6" t="n">
        <f aca="false">Sens!J9887+Sens!J9889+Sens!J9890+Sens!J9891</f>
        <v>426.412899589236</v>
      </c>
      <c r="K9892" s="6" t="n">
        <f aca="false">Sens!K9887+Sens!K9889+Sens!K9890+Sens!K9891</f>
        <v>458.736692584658</v>
      </c>
    </row>
    <row r="9893" customFormat="false" ht="17.15" hidden="false" customHeight="false" outlineLevel="0" collapsed="false">
      <c r="A9893" s="0" t="s">
        <v>943</v>
      </c>
      <c r="B9893" s="0" t="s">
        <v>98</v>
      </c>
      <c r="F9893" s="6" t="n">
        <f aca="false">Sens!F9803</f>
        <v>168.475010770438</v>
      </c>
      <c r="G9893" s="6" t="n">
        <f aca="false">Sens!G9803</f>
        <v>183.5741804832</v>
      </c>
      <c r="H9893" s="6" t="n">
        <f aca="false">Sens!H9803</f>
        <v>188.0802859104</v>
      </c>
      <c r="I9893" s="6" t="n">
        <f aca="false">Sens!I9803</f>
        <v>163.706669154245</v>
      </c>
      <c r="J9893" s="6" t="n">
        <f aca="false">Sens!J9803</f>
        <v>124.51247671809</v>
      </c>
      <c r="K9893" s="6" t="n">
        <f aca="false">Sens!K9803</f>
        <v>114.959435641936</v>
      </c>
    </row>
    <row r="9894" customFormat="false" ht="17.15" hidden="false" customHeight="false" outlineLevel="0" collapsed="false">
      <c r="A9894" s="1" t="s">
        <v>944</v>
      </c>
      <c r="B9894" s="0" t="s">
        <v>98</v>
      </c>
      <c r="E9894" s="6" t="n">
        <f aca="false">Sens!E9811*cx_azo+Sens!E9818*cx_m365+Sens!E9819*cx_lic+(Sens!E9821+Sens!E9823)*cx_ind+Sens!E9826*cx_srch+(Sens!E9828+Sens!E9830)*cx_dev</f>
        <v>30.1846587067718</v>
      </c>
      <c r="F9894" s="6" t="n">
        <f aca="false">Sens!F9811*cx_azo+Sens!F9818*cx_m365+Sens!F9819*cx_lic+(Sens!F9821+Sens!F9823)*cx_ind+Sens!F9826*cx_srch+(Sens!F9828+Sens!F9830)*cx_dev</f>
        <v>35.7249892295625</v>
      </c>
      <c r="G9894" s="6" t="n">
        <f aca="false">Sens!G9811*cx_azo+Sens!G9818*cx_m365+Sens!G9819*cx_lic+(Sens!G9821+Sens!G9823)*cx_ind+Sens!G9826*cx_srch+(Sens!G9828+Sens!G9830)*cx_dev</f>
        <v>41.5905414134931</v>
      </c>
      <c r="H9894" s="6" t="n">
        <f aca="false">Sens!H9811*cx_azo+Sens!H9818*cx_m365+Sens!H9819*cx_lic+(Sens!H9821+Sens!H9823)*cx_ind+Sens!H9826*cx_srch+(Sens!H9828+Sens!H9830)*cx_dev</f>
        <v>47.5378811428518</v>
      </c>
      <c r="I9894" s="6" t="n">
        <f aca="false">Sens!I9811*cx_azo+Sens!I9818*cx_m365+Sens!I9819*cx_lic+(Sens!I9821+Sens!I9823)*cx_ind+Sens!I9826*cx_srch+(Sens!I9828+Sens!I9830)*cx_dev</f>
        <v>53.1352549293923</v>
      </c>
      <c r="J9894" s="6" t="n">
        <f aca="false">Sens!J9811*cx_azo+Sens!J9818*cx_m365+Sens!J9819*cx_lic+(Sens!J9821+Sens!J9823)*cx_ind+Sens!J9826*cx_srch+(Sens!J9828+Sens!J9830)*cx_dev</f>
        <v>58.1498196201597</v>
      </c>
      <c r="K9894" s="6" t="n">
        <f aca="false">Sens!K9811*cx_azo+Sens!K9818*cx_m365+Sens!K9819*cx_lic+(Sens!K9821+Sens!K9823)*cx_ind+Sens!K9826*cx_srch+(Sens!K9828+Sens!K9830)*cx_dev</f>
        <v>62.5657781596659</v>
      </c>
    </row>
    <row r="9895" customFormat="false" ht="17.15" hidden="false" customHeight="false" outlineLevel="0" collapsed="false">
      <c r="A9895" s="1" t="s">
        <v>945</v>
      </c>
      <c r="B9895" s="0" t="s">
        <v>98</v>
      </c>
      <c r="E9895" s="6" t="n">
        <f aca="false">Q!M42</f>
        <v>145.3</v>
      </c>
      <c r="F9895" s="6" t="n">
        <f aca="false">Sens!F9893+Sens!F9894</f>
        <v>204.2</v>
      </c>
      <c r="G9895" s="6" t="n">
        <f aca="false">Sens!G9893+Sens!G9894</f>
        <v>225.164721896693</v>
      </c>
      <c r="H9895" s="6" t="n">
        <f aca="false">Sens!H9893+Sens!H9894</f>
        <v>235.618167053252</v>
      </c>
      <c r="I9895" s="6" t="n">
        <f aca="false">Sens!I9893+Sens!I9894</f>
        <v>216.841924083638</v>
      </c>
      <c r="J9895" s="6" t="n">
        <f aca="false">Sens!J9893+Sens!J9894</f>
        <v>182.66229633825</v>
      </c>
      <c r="K9895" s="6" t="n">
        <f aca="false">Sens!K9893+Sens!K9894</f>
        <v>177.525213801602</v>
      </c>
      <c r="L9895" s="1" t="s">
        <v>946</v>
      </c>
    </row>
    <row r="9896" customFormat="false" ht="15" hidden="false" customHeight="false" outlineLevel="0" collapsed="false">
      <c r="A9896" s="1" t="s">
        <v>947</v>
      </c>
      <c r="B9896" s="0" t="s">
        <v>98</v>
      </c>
      <c r="E9896" s="6" t="n">
        <f aca="false">fl_liab</f>
        <v>66.594</v>
      </c>
      <c r="F9896" s="6" t="n">
        <f aca="false">Sens!E9896-Sens!F9897</f>
        <v>62.46973</v>
      </c>
      <c r="G9896" s="6" t="n">
        <f aca="false">Sens!F9896-Sens!G9897</f>
        <v>57.98686785</v>
      </c>
      <c r="H9896" s="6" t="n">
        <f aca="false">Sens!G9896-Sens!H9897</f>
        <v>53.92827690325</v>
      </c>
      <c r="I9896" s="6" t="n">
        <f aca="false">Sens!H9896-Sens!I9897</f>
        <v>49.7850493638962</v>
      </c>
      <c r="J9896" s="6" t="n">
        <f aca="false">Sens!I9896-Sens!J9897</f>
        <v>45.4823765852716</v>
      </c>
      <c r="K9896" s="6" t="n">
        <f aca="false">Sens!J9896-Sens!K9897</f>
        <v>40.9860835316088</v>
      </c>
    </row>
    <row r="9897" customFormat="false" ht="15" hidden="false" customHeight="false" outlineLevel="0" collapsed="false">
      <c r="A9897" s="1" t="s">
        <v>948</v>
      </c>
      <c r="B9897" s="0" t="s">
        <v>98</v>
      </c>
      <c r="F9897" s="6" t="n">
        <f aca="false">fl_pay_27-Sens!E9896*fl_rate</f>
        <v>4.12427</v>
      </c>
      <c r="G9897" s="6" t="n">
        <f aca="false">fl_pay_28-Sens!F9896*fl_rate</f>
        <v>4.48286215</v>
      </c>
      <c r="H9897" s="6" t="n">
        <f aca="false">fl_pay_29-Sens!G9896*fl_rate</f>
        <v>4.05859094675</v>
      </c>
      <c r="I9897" s="6" t="n">
        <f aca="false">fl_pay_30-Sens!H9896*fl_rate</f>
        <v>4.14322753935375</v>
      </c>
      <c r="J9897" s="6" t="n">
        <f aca="false">fl_pay_31-Sens!I9896*fl_rate</f>
        <v>4.30267277862467</v>
      </c>
      <c r="K9897" s="6" t="n">
        <f aca="false">fl_pay_32-Sens!J9896*fl_rate</f>
        <v>4.49629305366278</v>
      </c>
    </row>
    <row r="9898" customFormat="false" ht="17.15" hidden="false" customHeight="false" outlineLevel="0" collapsed="false">
      <c r="A9898" s="1" t="s">
        <v>949</v>
      </c>
      <c r="B9898" s="0" t="s">
        <v>98</v>
      </c>
      <c r="E9898" s="6" t="n">
        <f aca="false">Q!M35-Q!M36-Q!M43</f>
        <v>63.886</v>
      </c>
      <c r="F9898" s="6" t="n">
        <f aca="false">Sens!F9892-Sens!F9895-Sens!F9897</f>
        <v>4.99604619763067</v>
      </c>
      <c r="G9898" s="6" t="n">
        <f aca="false">Sens!G9892-Sens!G9895-Sens!G9897</f>
        <v>43.4199933592889</v>
      </c>
      <c r="H9898" s="6" t="n">
        <f aca="false">Sens!H9892-Sens!H9895-Sens!H9897</f>
        <v>94.3281757210406</v>
      </c>
      <c r="I9898" s="6" t="n">
        <f aca="false">Sens!I9892-Sens!I9895-Sens!I9897</f>
        <v>164.367797129891</v>
      </c>
      <c r="J9898" s="6" t="n">
        <f aca="false">Sens!J9892-Sens!J9895-Sens!J9897</f>
        <v>239.447930472361</v>
      </c>
      <c r="K9898" s="6" t="n">
        <f aca="false">Sens!K9892-Sens!K9895-Sens!K9897</f>
        <v>276.715185729393</v>
      </c>
      <c r="L9898" s="11" t="s">
        <v>950</v>
      </c>
    </row>
    <row r="9899" customFormat="false" ht="15" hidden="false" customHeight="false" outlineLevel="0" collapsed="false">
      <c r="A9899" s="1" t="s">
        <v>951</v>
      </c>
      <c r="B9899" s="0" t="s">
        <v>75</v>
      </c>
      <c r="F9899" s="8" t="n">
        <f aca="false">dps_27</f>
        <v>3.85</v>
      </c>
      <c r="G9899" s="8" t="n">
        <f aca="false">Sens!F9899*(1+dps_g)</f>
        <v>4.158</v>
      </c>
      <c r="H9899" s="8" t="n">
        <f aca="false">Sens!G9899*(1+dps_g)</f>
        <v>4.49064</v>
      </c>
      <c r="I9899" s="8" t="n">
        <f aca="false">Sens!H9899*(1+dps_g)</f>
        <v>4.8498912</v>
      </c>
      <c r="J9899" s="8" t="n">
        <f aca="false">Sens!I9899*(1+dps_g)</f>
        <v>5.237882496</v>
      </c>
      <c r="K9899" s="8" t="n">
        <f aca="false">Sens!J9899*(1+dps_g)</f>
        <v>5.65691309568</v>
      </c>
    </row>
    <row r="9900" customFormat="false" ht="17.15" hidden="false" customHeight="false" outlineLevel="0" collapsed="false">
      <c r="A9900" s="1" t="s">
        <v>952</v>
      </c>
      <c r="B9900" s="0" t="s">
        <v>98</v>
      </c>
      <c r="E9900" s="6" t="n">
        <f aca="false">Q!M41</f>
        <v>26.445</v>
      </c>
      <c r="F9900" s="6" t="n">
        <f aca="false">Sens!F9899*Sens!E9909</f>
        <v>28.59395</v>
      </c>
      <c r="G9900" s="6" t="n">
        <f aca="false">Sens!G9899*Sens!F9909</f>
        <v>31.068576</v>
      </c>
      <c r="H9900" s="6" t="n">
        <f aca="false">Sens!H9899*Sens!G9909</f>
        <v>33.6633536431033</v>
      </c>
      <c r="I9900" s="6" t="n">
        <f aca="false">Sens!I9899*Sens!H9909</f>
        <v>36.407361174551</v>
      </c>
      <c r="J9900" s="6" t="n">
        <f aca="false">Sens!J9899*Sens!I9909</f>
        <v>39.3883489168345</v>
      </c>
      <c r="K9900" s="6" t="n">
        <f aca="false">Sens!K9899*Sens!J9909</f>
        <v>42.6266720554863</v>
      </c>
      <c r="L9900" s="1" t="s">
        <v>953</v>
      </c>
    </row>
    <row r="9901" customFormat="false" ht="15" hidden="false" customHeight="false" outlineLevel="0" collapsed="false">
      <c r="A9901" s="1" t="s">
        <v>954</v>
      </c>
      <c r="B9901" s="0" t="s">
        <v>98</v>
      </c>
      <c r="E9901" s="6" t="n">
        <f aca="false">Sens!E9898-Sens!E9900</f>
        <v>37.441</v>
      </c>
      <c r="F9901" s="6" t="n">
        <f aca="false">Sens!F9898-Sens!F9900</f>
        <v>-23.5979038023693</v>
      </c>
      <c r="G9901" s="6" t="n">
        <f aca="false">Sens!G9898-Sens!G9900</f>
        <v>12.3514173592889</v>
      </c>
      <c r="H9901" s="6" t="n">
        <f aca="false">Sens!H9898-Sens!H9900</f>
        <v>60.6648220779374</v>
      </c>
      <c r="I9901" s="6" t="n">
        <f aca="false">Sens!I9898-Sens!I9900</f>
        <v>127.96043595534</v>
      </c>
      <c r="J9901" s="6" t="n">
        <f aca="false">Sens!J9898-Sens!J9900</f>
        <v>200.059581555526</v>
      </c>
      <c r="K9901" s="6" t="n">
        <f aca="false">Sens!K9898-Sens!K9900</f>
        <v>234.088513673907</v>
      </c>
    </row>
    <row r="9902" customFormat="false" ht="15" hidden="false" customHeight="false" outlineLevel="0" collapsed="false">
      <c r="A9902" s="1" t="s">
        <v>955</v>
      </c>
      <c r="B9902" s="0" t="s">
        <v>98</v>
      </c>
      <c r="F9902" s="6" t="n">
        <f aca="false">debt_mat_27</f>
        <v>9.25</v>
      </c>
      <c r="G9902" s="6" t="n">
        <f aca="false">debt_mat_28</f>
        <v>0</v>
      </c>
      <c r="H9902" s="6" t="n">
        <f aca="false">debt_mat_29</f>
        <v>2.001</v>
      </c>
      <c r="I9902" s="6" t="n">
        <f aca="false">debt_mat_30</f>
        <v>0</v>
      </c>
      <c r="J9902" s="6" t="n">
        <f aca="false">debt_mat_31</f>
        <v>0.5</v>
      </c>
      <c r="K9902" s="6" t="n">
        <f aca="false">debt_mat_32</f>
        <v>0</v>
      </c>
    </row>
    <row r="9903" customFormat="false" ht="15" hidden="false" customHeight="false" outlineLevel="0" collapsed="false">
      <c r="A9903" s="1" t="s">
        <v>956</v>
      </c>
      <c r="B9903" s="0" t="s">
        <v>98</v>
      </c>
      <c r="E9903" s="6" t="n">
        <f aca="false">Q!M40</f>
        <v>22.271</v>
      </c>
      <c r="F9903" s="6" t="n">
        <f aca="false">MAX(0,MIN(bb_target,Sens!E9905+Sens!F9901-Sens!F9902-min_cash))</f>
        <v>0</v>
      </c>
      <c r="G9903" s="6" t="n">
        <f aca="false">MAX(0,MIN(bb_target,Sens!F9905+Sens!G9901-Sens!G9902-min_cash))</f>
        <v>12.3514173592889</v>
      </c>
      <c r="H9903" s="6" t="n">
        <f aca="false">MAX(0,MIN(bb_target,Sens!G9905+Sens!H9901-Sens!H9902-min_cash))</f>
        <v>22.271</v>
      </c>
      <c r="I9903" s="6" t="n">
        <f aca="false">MAX(0,MIN(bb_target,Sens!H9905+Sens!I9901-Sens!I9902-min_cash))</f>
        <v>22.271</v>
      </c>
      <c r="J9903" s="6" t="n">
        <f aca="false">MAX(0,MIN(bb_target,Sens!I9905+Sens!J9901-Sens!J9902-min_cash))</f>
        <v>22.271</v>
      </c>
      <c r="K9903" s="6" t="n">
        <f aca="false">MAX(0,MIN(bb_target,Sens!J9905+Sens!K9901-Sens!K9902-min_cash))</f>
        <v>22.271</v>
      </c>
    </row>
    <row r="9904" customFormat="false" ht="15" hidden="false" customHeight="false" outlineLevel="0" collapsed="false">
      <c r="A9904" s="1" t="s">
        <v>957</v>
      </c>
      <c r="B9904" s="0" t="s">
        <v>98</v>
      </c>
      <c r="F9904" s="6" t="n">
        <f aca="false">MAX(0,min_cash-(Sens!E9905+Sens!F9901-Sens!F9902-Sens!F9903))</f>
        <v>6.00490380236933</v>
      </c>
      <c r="G9904" s="6" t="n">
        <f aca="false">MAX(0,min_cash-(Sens!F9905+Sens!G9901-Sens!G9902-Sens!G9903))</f>
        <v>0</v>
      </c>
      <c r="H9904" s="6" t="n">
        <f aca="false">MAX(0,min_cash-(Sens!G9905+Sens!H9901-Sens!H9902-Sens!H9903))</f>
        <v>0</v>
      </c>
      <c r="I9904" s="6" t="n">
        <f aca="false">MAX(0,min_cash-(Sens!H9905+Sens!I9901-Sens!I9902-Sens!I9903))</f>
        <v>0</v>
      </c>
      <c r="J9904" s="6" t="n">
        <f aca="false">MAX(0,min_cash-(Sens!I9905+Sens!J9901-Sens!J9902-Sens!J9903))</f>
        <v>0</v>
      </c>
      <c r="K9904" s="6" t="n">
        <f aca="false">MAX(0,min_cash-(Sens!J9905+Sens!K9901-Sens!K9902-Sens!K9903))</f>
        <v>0</v>
      </c>
    </row>
    <row r="9905" customFormat="false" ht="15" hidden="false" customHeight="false" outlineLevel="0" collapsed="false">
      <c r="A9905" s="1" t="s">
        <v>958</v>
      </c>
      <c r="B9905" s="0" t="s">
        <v>98</v>
      </c>
      <c r="E9905" s="6" t="n">
        <f aca="false">cash_open</f>
        <v>76.843</v>
      </c>
      <c r="F9905" s="6" t="n">
        <f aca="false">Sens!E9905+Sens!F9901-Sens!F9902-Sens!F9903+Sens!F9904</f>
        <v>50</v>
      </c>
      <c r="G9905" s="6" t="n">
        <f aca="false">Sens!F9905+Sens!G9901-Sens!G9902-Sens!G9903+Sens!G9904</f>
        <v>50</v>
      </c>
      <c r="H9905" s="6" t="n">
        <f aca="false">Sens!G9905+Sens!H9901-Sens!H9902-Sens!H9903+Sens!H9904</f>
        <v>86.3928220779374</v>
      </c>
      <c r="I9905" s="6" t="n">
        <f aca="false">Sens!H9905+Sens!I9901-Sens!I9902-Sens!I9903+Sens!I9904</f>
        <v>192.082258033277</v>
      </c>
      <c r="J9905" s="6" t="n">
        <f aca="false">Sens!I9905+Sens!J9901-Sens!J9902-Sens!J9903+Sens!J9904</f>
        <v>369.370839588804</v>
      </c>
      <c r="K9905" s="6" t="n">
        <f aca="false">Sens!J9905+Sens!K9901-Sens!K9902-Sens!K9903+Sens!K9904</f>
        <v>581.188353262711</v>
      </c>
    </row>
    <row r="9906" customFormat="false" ht="15" hidden="false" customHeight="false" outlineLevel="0" collapsed="false">
      <c r="A9906" s="1" t="s">
        <v>959</v>
      </c>
      <c r="B9906" s="0" t="s">
        <v>98</v>
      </c>
      <c r="E9906" s="6" t="n">
        <f aca="false">debt_face</f>
        <v>46.136</v>
      </c>
      <c r="F9906" s="6" t="n">
        <f aca="false">Sens!E9906-Sens!F9902+Sens!F9904</f>
        <v>42.8909038023693</v>
      </c>
      <c r="G9906" s="6" t="n">
        <f aca="false">Sens!F9906-Sens!G9902+Sens!G9904</f>
        <v>42.8909038023693</v>
      </c>
      <c r="H9906" s="6" t="n">
        <f aca="false">Sens!G9906-Sens!H9902+Sens!H9904</f>
        <v>40.8899038023693</v>
      </c>
      <c r="I9906" s="6" t="n">
        <f aca="false">Sens!H9906-Sens!I9902+Sens!I9904</f>
        <v>40.8899038023693</v>
      </c>
      <c r="J9906" s="6" t="n">
        <f aca="false">Sens!I9906-Sens!J9902+Sens!J9904</f>
        <v>40.3899038023693</v>
      </c>
      <c r="K9906" s="6" t="n">
        <f aca="false">Sens!J9906-Sens!K9902+Sens!K9904</f>
        <v>40.3899038023693</v>
      </c>
    </row>
    <row r="9907" customFormat="false" ht="15" hidden="false" customHeight="false" outlineLevel="0" collapsed="false">
      <c r="A9907" s="1" t="s">
        <v>960</v>
      </c>
      <c r="B9907" s="0" t="s">
        <v>98</v>
      </c>
      <c r="E9907" s="6" t="n">
        <f aca="false">Sens!E9905-Sens!E9906</f>
        <v>30.707</v>
      </c>
      <c r="F9907" s="6" t="n">
        <f aca="false">Sens!F9905-Sens!F9906</f>
        <v>7.10909619763067</v>
      </c>
      <c r="G9907" s="6" t="n">
        <f aca="false">Sens!G9905-Sens!G9906</f>
        <v>7.10909619763067</v>
      </c>
      <c r="H9907" s="6" t="n">
        <f aca="false">Sens!H9905-Sens!H9906</f>
        <v>45.502918275568</v>
      </c>
      <c r="I9907" s="6" t="n">
        <f aca="false">Sens!I9905-Sens!I9906</f>
        <v>151.192354230908</v>
      </c>
      <c r="J9907" s="6" t="n">
        <f aca="false">Sens!J9905-Sens!J9906</f>
        <v>328.980935786434</v>
      </c>
      <c r="K9907" s="6" t="n">
        <f aca="false">Sens!K9905-Sens!K9906</f>
        <v>540.798449460341</v>
      </c>
    </row>
    <row r="9908" customFormat="false" ht="15" hidden="false" customHeight="false" outlineLevel="0" collapsed="false">
      <c r="A9908" s="1" t="s">
        <v>961</v>
      </c>
      <c r="B9908" s="0" t="s">
        <v>75</v>
      </c>
      <c r="F9908" s="29" t="n">
        <f aca="false">px*(1+bb_g)^(Sens!F9772-base_fy-mid_yr)</f>
        <v>553.494156066711</v>
      </c>
      <c r="G9908" s="29" t="n">
        <f aca="false">px*(1+bb_g)^(Sens!G9772-base_fy-mid_yr)</f>
        <v>597.773688552047</v>
      </c>
      <c r="H9908" s="29" t="n">
        <f aca="false">px*(1+bb_g)^(Sens!H9772-base_fy-mid_yr)</f>
        <v>645.595583636211</v>
      </c>
      <c r="I9908" s="29" t="n">
        <f aca="false">px*(1+bb_g)^(Sens!I9772-base_fy-mid_yr)</f>
        <v>697.243230327108</v>
      </c>
      <c r="J9908" s="29" t="n">
        <f aca="false">px*(1+bb_g)^(Sens!J9772-base_fy-mid_yr)</f>
        <v>753.022688753277</v>
      </c>
      <c r="K9908" s="29" t="n">
        <f aca="false">px*(1+bb_g)^(Sens!K9772-base_fy-mid_yr)</f>
        <v>813.264503853539</v>
      </c>
    </row>
    <row r="9909" customFormat="false" ht="15" hidden="false" customHeight="false" outlineLevel="0" collapsed="false">
      <c r="A9909" s="1" t="s">
        <v>962</v>
      </c>
      <c r="B9909" s="1" t="s">
        <v>81</v>
      </c>
      <c r="E9909" s="14" t="n">
        <f aca="false">sh_out26</f>
        <v>7.427</v>
      </c>
      <c r="F9909" s="14" t="n">
        <f aca="false">Sens!E9909+sh_iss-Sens!F9903/Sens!F9908</f>
        <v>7.472</v>
      </c>
      <c r="G9909" s="14" t="n">
        <f aca="false">Sens!F9909+sh_iss-Sens!G9903/Sens!G9908</f>
        <v>7.49633763630646</v>
      </c>
      <c r="H9909" s="14" t="n">
        <f aca="false">Sens!G9909+sh_iss-Sens!H9903/Sens!H9908</f>
        <v>7.50684080800637</v>
      </c>
      <c r="I9909" s="14" t="n">
        <f aca="false">Sens!H9909+sh_iss-Sens!I9903/Sens!I9908</f>
        <v>7.51989930032109</v>
      </c>
      <c r="J9909" s="14" t="n">
        <f aca="false">Sens!I9909+sh_iss-Sens!J9903/Sens!J9908</f>
        <v>7.53532383024213</v>
      </c>
      <c r="K9909" s="14" t="n">
        <f aca="false">Sens!J9909+sh_iss-Sens!K9903/Sens!K9908</f>
        <v>7.55293913572458</v>
      </c>
    </row>
    <row r="9910" customFormat="false" ht="15" hidden="false" customHeight="false" outlineLevel="0" collapsed="false">
      <c r="A9910" s="1" t="s">
        <v>963</v>
      </c>
      <c r="B9910" s="1" t="s">
        <v>81</v>
      </c>
      <c r="E9910" s="14" t="n">
        <f aca="false">sh_dil26</f>
        <v>7.453</v>
      </c>
      <c r="F9910" s="14" t="n">
        <f aca="false">(Sens!E9909+Sens!F9909)/2+dil_gap</f>
        <v>7.4735</v>
      </c>
      <c r="G9910" s="14" t="n">
        <f aca="false">(Sens!F9909+Sens!G9909)/2+dil_gap</f>
        <v>7.50816881815323</v>
      </c>
      <c r="H9910" s="14" t="n">
        <f aca="false">(Sens!G9909+Sens!H9909)/2+dil_gap</f>
        <v>7.52558922215641</v>
      </c>
      <c r="I9910" s="14" t="n">
        <f aca="false">(Sens!H9909+Sens!I9909)/2+dil_gap</f>
        <v>7.53737005416373</v>
      </c>
      <c r="J9910" s="14" t="n">
        <f aca="false">(Sens!I9909+Sens!J9909)/2+dil_gap</f>
        <v>7.55161156528161</v>
      </c>
      <c r="K9910" s="14" t="n">
        <f aca="false">(Sens!J9909+Sens!K9909)/2+dil_gap</f>
        <v>7.56813148298335</v>
      </c>
    </row>
    <row r="9911" customFormat="false" ht="17.15" hidden="false" customHeight="false" outlineLevel="0" collapsed="false">
      <c r="A9911" s="1" t="s">
        <v>964</v>
      </c>
      <c r="B9911" s="0" t="s">
        <v>98</v>
      </c>
      <c r="C9911" s="6" t="n">
        <f aca="false">SUM(Sens!F9901:J9901)</f>
        <v>377.438353145723</v>
      </c>
    </row>
    <row r="9912" customFormat="false" ht="15" hidden="false" customHeight="false" outlineLevel="0" collapsed="false">
      <c r="A9912" s="23" t="s">
        <v>935</v>
      </c>
      <c r="B9912" s="30" t="s">
        <v>98</v>
      </c>
      <c r="C9912" s="24" t="n">
        <f aca="false">Sens!$C$9911-(Sens!F9901+Sens!G9901+Sens!H9901+Sens!I9901+Sens!J9901)</f>
        <v>0</v>
      </c>
      <c r="D9912" s="30"/>
      <c r="E9912" s="30"/>
      <c r="F9912" s="30"/>
      <c r="G9912" s="30"/>
      <c r="H9912" s="30"/>
      <c r="I9912" s="30"/>
      <c r="J9912" s="30"/>
      <c r="K9912" s="30"/>
    </row>
    <row r="9913" customFormat="false" ht="17.15" hidden="false" customHeight="false" outlineLevel="0" collapsed="false">
      <c r="A9913" s="1" t="s">
        <v>929</v>
      </c>
      <c r="B9913" s="1" t="s">
        <v>965</v>
      </c>
      <c r="C9913" s="32" t="str">
        <f aca="false">IF(SUM(Sens!F9904:J9904)&gt;0.05,"需要舉債 "&amp;TEXT(SUM(Sens!F9904:J9904),"0.0")&amp;" 十億美元","不需舉債")&amp;"；"&amp;IF(SUM(Sens!F9903:J9903)&lt;COUNT(Sens!F9903:J9903)*bb_target-0.05,"回購較每年 "&amp;TEXT(bb_target,"0.0")&amp;" 的目標少 "&amp;TEXT(COUNT(Sens!F9903:J9903)*bb_target-SUM(Sens!F9903:J9903),"0.0")&amp;" 十億美元（"&amp;TEXT(COUNTIF(Sens!F9903:J9903,"&lt;"&amp;(bb_target-0.05)),"0")&amp;" 年減少）","回購不減")</f>
        <v>需要舉債 6.0 十億美元；回購較每年 22.3 的目標少 32.2 十億美元（2 年減少）</v>
      </c>
    </row>
    <row r="9914" customFormat="false" ht="17.15" hidden="false" customHeight="false" outlineLevel="0" collapsed="false">
      <c r="A9914" s="3" t="s">
        <v>1493</v>
      </c>
    </row>
    <row r="9915" customFormat="false" ht="15" hidden="false" customHeight="false" outlineLevel="0" collapsed="false">
      <c r="A9915" s="4" t="s">
        <v>43</v>
      </c>
      <c r="B9915" s="4" t="s">
        <v>65</v>
      </c>
      <c r="C9915" s="20" t="s">
        <v>788</v>
      </c>
      <c r="D9915" s="20" t="s">
        <v>789</v>
      </c>
      <c r="E9915" s="20" t="s">
        <v>790</v>
      </c>
      <c r="F9915" s="20" t="s">
        <v>791</v>
      </c>
      <c r="G9915" s="20" t="s">
        <v>792</v>
      </c>
      <c r="H9915" s="20" t="s">
        <v>793</v>
      </c>
      <c r="I9915" s="20" t="s">
        <v>794</v>
      </c>
      <c r="J9915" s="20" t="s">
        <v>795</v>
      </c>
      <c r="K9915" s="20" t="s">
        <v>796</v>
      </c>
      <c r="L9915" s="4" t="s">
        <v>47</v>
      </c>
    </row>
    <row r="9916" customFormat="false" ht="15" hidden="false" customHeight="false" outlineLevel="0" collapsed="false">
      <c r="A9916" s="1" t="s">
        <v>1042</v>
      </c>
      <c r="B9916" s="1" t="s">
        <v>235</v>
      </c>
      <c r="F9916" s="36" t="n">
        <f aca="false">Sens!F9772-base_fy-mid_yr</f>
        <v>0.5</v>
      </c>
      <c r="G9916" s="36" t="n">
        <f aca="false">Sens!G9772-base_fy-mid_yr</f>
        <v>1.5</v>
      </c>
      <c r="H9916" s="36" t="n">
        <f aca="false">Sens!H9772-base_fy-mid_yr</f>
        <v>2.5</v>
      </c>
      <c r="I9916" s="36" t="n">
        <f aca="false">Sens!I9772-base_fy-mid_yr</f>
        <v>3.5</v>
      </c>
      <c r="J9916" s="36" t="n">
        <f aca="false">Sens!J9772-base_fy-mid_yr</f>
        <v>4.5</v>
      </c>
      <c r="K9916" s="36" t="n">
        <f aca="false">Sens!K9772-base_fy-mid_yr</f>
        <v>5.5</v>
      </c>
    </row>
    <row r="9917" customFormat="false" ht="15" hidden="false" customHeight="false" outlineLevel="0" collapsed="false">
      <c r="A9917" s="1" t="s">
        <v>1043</v>
      </c>
      <c r="B9917" s="0" t="s">
        <v>185</v>
      </c>
      <c r="F9917" s="14" t="n">
        <f aca="false">1/(1+wacc)^Sens!F9916</f>
        <v>0.952193373608246</v>
      </c>
      <c r="G9917" s="14" t="n">
        <f aca="false">1/(1+wacc)^Sens!G9916</f>
        <v>0.863327280626589</v>
      </c>
      <c r="H9917" s="14" t="n">
        <f aca="false">1/(1+wacc)^Sens!H9916</f>
        <v>0.782754862754115</v>
      </c>
      <c r="I9917" s="14" t="n">
        <f aca="false">1/(1+wacc)^Sens!I9916</f>
        <v>0.709702089711011</v>
      </c>
      <c r="J9917" s="14" t="n">
        <f aca="false">1/(1+wacc)^Sens!J9916</f>
        <v>0.643467169744551</v>
      </c>
      <c r="K9917" s="14" t="n">
        <f aca="false">1/(1+wacc)^Sens!K9916</f>
        <v>0.583413807767797</v>
      </c>
    </row>
    <row r="9918" customFormat="false" ht="17.15" hidden="false" customHeight="false" outlineLevel="0" collapsed="false">
      <c r="A9918" s="1" t="s">
        <v>1044</v>
      </c>
      <c r="B9918" s="0" t="s">
        <v>98</v>
      </c>
      <c r="F9918" s="6" t="n">
        <f aca="false">Sens!F9892-Sens!F9890-Sens!F9895+Sens!F9876*(1-tax_f)</f>
        <v>9.26517346770471</v>
      </c>
      <c r="G9918" s="6" t="n">
        <f aca="false">Sens!G9892-Sens!G9890-Sens!G9895+Sens!G9876*(1-tax_f)</f>
        <v>55.5936817941404</v>
      </c>
      <c r="H9918" s="6" t="n">
        <f aca="false">Sens!H9892-Sens!H9890-Sens!H9895+Sens!H9876*(1-tax_f)</f>
        <v>114.464147701497</v>
      </c>
      <c r="I9918" s="6" t="n">
        <f aca="false">Sens!I9892-Sens!I9890-Sens!I9895+Sens!I9876*(1-tax_f)</f>
        <v>192.690412818146</v>
      </c>
      <c r="J9918" s="6" t="n">
        <f aca="false">Sens!J9892-Sens!J9890-Sens!J9895+Sens!J9876*(1-tax_f)</f>
        <v>273.343270322945</v>
      </c>
      <c r="K9918" s="6" t="n">
        <f aca="false">Sens!K9892-Sens!K9890-Sens!K9895+Sens!K9876*(1-tax_f)</f>
        <v>312.935674292682</v>
      </c>
      <c r="L9918" s="1" t="s">
        <v>1045</v>
      </c>
    </row>
    <row r="9919" customFormat="false" ht="15" hidden="false" customHeight="false" outlineLevel="0" collapsed="false">
      <c r="A9919" s="1" t="s">
        <v>1046</v>
      </c>
      <c r="B9919" s="0" t="s">
        <v>98</v>
      </c>
      <c r="F9919" s="6" t="n">
        <f aca="false">Sens!F9918*Sens!F9917</f>
        <v>8.82223678127936</v>
      </c>
      <c r="G9919" s="6" t="n">
        <f aca="false">Sens!G9918*Sens!G9917</f>
        <v>47.9955421233551</v>
      </c>
      <c r="H9919" s="6" t="n">
        <f aca="false">Sens!H9918*Sens!H9917</f>
        <v>89.5973682243522</v>
      </c>
      <c r="I9919" s="6" t="n">
        <f aca="false">Sens!I9918*Sens!I9917</f>
        <v>136.752788644316</v>
      </c>
      <c r="J9919" s="6" t="n">
        <f aca="false">Sens!J9918*Sens!J9917</f>
        <v>175.887420523425</v>
      </c>
      <c r="K9919" s="6" t="n">
        <f aca="false">Sens!K9918*Sens!K9917</f>
        <v>182.570993325477</v>
      </c>
    </row>
    <row r="9920" customFormat="false" ht="17.15" hidden="false" customHeight="false" outlineLevel="0" collapsed="false">
      <c r="A9920" s="1" t="s">
        <v>1047</v>
      </c>
      <c r="B9920" s="0" t="s">
        <v>98</v>
      </c>
      <c r="C9920" s="6" t="n">
        <f aca="false">SUM(Sens!F9919:K9919)</f>
        <v>641.626349622204</v>
      </c>
    </row>
    <row r="9921" customFormat="false" ht="17.15" hidden="false" customHeight="false" outlineLevel="0" collapsed="false">
      <c r="A9921" s="1" t="s">
        <v>1048</v>
      </c>
      <c r="B9921" s="0" t="s">
        <v>98</v>
      </c>
      <c r="C9921" s="6" t="n">
        <f aca="false">Sens!K9862*(1+g_tv)*(1-tax_f)</f>
        <v>324.703915232097</v>
      </c>
    </row>
    <row r="9922" customFormat="false" ht="17.15" hidden="false" customHeight="false" outlineLevel="0" collapsed="false">
      <c r="A9922" s="1" t="s">
        <v>1049</v>
      </c>
      <c r="B9922" s="0" t="s">
        <v>98</v>
      </c>
      <c r="C9922" s="6" t="n">
        <f aca="false">Sens!$C$9921*(1-g_tv/(wacc+ronic_prem))</f>
        <v>230.069705915392</v>
      </c>
    </row>
    <row r="9923" customFormat="false" ht="17.15" hidden="false" customHeight="false" outlineLevel="0" collapsed="false">
      <c r="A9923" s="1" t="s">
        <v>1050</v>
      </c>
      <c r="B9923" s="0" t="s">
        <v>98</v>
      </c>
      <c r="C9923" s="6" t="n">
        <f aca="false">Sens!$C$9922/(wacc-g_tv)</f>
        <v>3154.47364389019</v>
      </c>
    </row>
    <row r="9924" customFormat="false" ht="15" hidden="false" customHeight="false" outlineLevel="0" collapsed="false">
      <c r="A9924" s="1" t="s">
        <v>1051</v>
      </c>
      <c r="B9924" s="0" t="s">
        <v>98</v>
      </c>
      <c r="C9924" s="6" t="n">
        <f aca="false">Sens!$C$9923/(1+wacc)^(Sens!K9916+mid_yr)</f>
        <v>1752.38191076768</v>
      </c>
    </row>
    <row r="9925" customFormat="false" ht="17.15" hidden="false" customHeight="false" outlineLevel="0" collapsed="false">
      <c r="A9925" s="0" t="s">
        <v>972</v>
      </c>
      <c r="B9925" s="0" t="s">
        <v>98</v>
      </c>
      <c r="C9925" s="6" t="n">
        <f aca="false">Sens!$C$9920+Sens!$C$9924</f>
        <v>2394.00826038988</v>
      </c>
    </row>
    <row r="9926" customFormat="false" ht="15" hidden="false" customHeight="false" outlineLevel="0" collapsed="false">
      <c r="A9926" s="1" t="s">
        <v>973</v>
      </c>
      <c r="B9926" s="0" t="s">
        <v>129</v>
      </c>
      <c r="C9926" s="7" t="n">
        <f aca="false">Sens!$C$9924/Sens!$C$9925</f>
        <v>0.731986576555207</v>
      </c>
    </row>
    <row r="9927" customFormat="false" ht="17.15" hidden="false" customHeight="false" outlineLevel="0" collapsed="false">
      <c r="A9927" s="1" t="s">
        <v>1052</v>
      </c>
      <c r="B9927" s="0" t="s">
        <v>98</v>
      </c>
      <c r="C9927" s="6" t="n">
        <f aca="false">Sens!$C$9925+Sens!E9907-Sens!E9896+oai_v</f>
        <v>2528.52126038988</v>
      </c>
    </row>
    <row r="9928" customFormat="false" ht="17.15" hidden="false" customHeight="false" outlineLevel="0" collapsed="false">
      <c r="A9928" s="0" t="s">
        <v>980</v>
      </c>
      <c r="B9928" s="0" t="s">
        <v>75</v>
      </c>
      <c r="C9928" s="5" t="n">
        <f aca="false">Sens!$C$9927/sh_dil26</f>
        <v>339.262211242437</v>
      </c>
    </row>
    <row r="9929" customFormat="false" ht="15" hidden="false" customHeight="false" outlineLevel="0" collapsed="false">
      <c r="A9929" s="1" t="s">
        <v>1053</v>
      </c>
      <c r="B9929" s="0" t="s">
        <v>75</v>
      </c>
      <c r="C9929" s="8" t="n">
        <f aca="false">dps_27+Sens!G9899*roll_div_q/q_per_yr</f>
        <v>4.8895</v>
      </c>
    </row>
    <row r="9930" customFormat="false" ht="17.15" hidden="false" customHeight="false" outlineLevel="0" collapsed="false">
      <c r="A9930" s="0" t="s">
        <v>1054</v>
      </c>
      <c r="B9930" s="0" t="s">
        <v>75</v>
      </c>
      <c r="C9930" s="5" t="n">
        <f aca="false">Sens!$C$9928*(1+wacc)^t_roll-Sens!$C$9929</f>
        <v>381.439707746098</v>
      </c>
    </row>
    <row r="9931" customFormat="false" ht="17.15" hidden="false" customHeight="false" outlineLevel="0" collapsed="false">
      <c r="A9931" s="1" t="s">
        <v>1055</v>
      </c>
      <c r="B9931" s="0" t="s">
        <v>129</v>
      </c>
      <c r="F9931" s="7" t="n">
        <f aca="false">Sens!F9888/(Sens!F9833-Sens!F9789)</f>
        <v>0.0682047481859512</v>
      </c>
      <c r="G9931" s="7" t="n">
        <f aca="false">Sens!G9888/(Sens!G9833-Sens!G9789)</f>
        <v>0.0651030590709091</v>
      </c>
      <c r="H9931" s="7" t="n">
        <f aca="false">Sens!H9888/(Sens!H9833-Sens!H9789)</f>
        <v>0.0634886087043021</v>
      </c>
      <c r="I9931" s="7" t="n">
        <f aca="false">Sens!I9888/(Sens!I9833-Sens!I9789)</f>
        <v>0.0632529094741141</v>
      </c>
      <c r="J9931" s="7" t="n">
        <f aca="false">Sens!J9888/(Sens!J9833-Sens!J9789)</f>
        <v>0.0640484251465737</v>
      </c>
      <c r="K9931" s="7" t="n">
        <f aca="false">Sens!K9888/(Sens!K9833-Sens!K9789)</f>
        <v>0.0654273325549648</v>
      </c>
    </row>
    <row r="9932" customFormat="false" ht="17.15" hidden="false" customHeight="false" outlineLevel="0" collapsed="false">
      <c r="A9932" s="0" t="s">
        <v>1056</v>
      </c>
      <c r="B9932" s="0" t="s">
        <v>98</v>
      </c>
      <c r="F9932" s="6" t="n">
        <f aca="false">Sens!F9818*(al_m365+Sens!F9931+sbc_r)</f>
        <v>84.9473439567888</v>
      </c>
      <c r="G9932" s="6" t="n">
        <f aca="false">Sens!G9818*(al_m365+Sens!G9931+sbc_r)</f>
        <v>99.4327464976147</v>
      </c>
      <c r="H9932" s="6" t="n">
        <f aca="false">Sens!H9818*(al_m365+Sens!H9931+sbc_r)</f>
        <v>114.08596236738</v>
      </c>
      <c r="I9932" s="6" t="n">
        <f aca="false">Sens!I9818*(al_m365+Sens!I9931+sbc_r)</f>
        <v>127.224215502647</v>
      </c>
      <c r="J9932" s="6" t="n">
        <f aca="false">Sens!J9818*(al_m365+Sens!J9931+sbc_r)</f>
        <v>138.660778127414</v>
      </c>
      <c r="K9932" s="6" t="n">
        <f aca="false">Sens!K9818*(al_m365+Sens!K9931+sbc_r)</f>
        <v>149.718185722175</v>
      </c>
      <c r="L9932" s="11" t="s">
        <v>1057</v>
      </c>
    </row>
    <row r="9933" customFormat="false" ht="17.15" hidden="false" customHeight="false" outlineLevel="0" collapsed="false">
      <c r="A9933" s="0" t="s">
        <v>1058</v>
      </c>
      <c r="B9933" s="0" t="s">
        <v>98</v>
      </c>
      <c r="F9933" s="6" t="n">
        <f aca="false">Sens!F9819*(al_lic+Sens!F9931+sbc_r)</f>
        <v>33.4295797108988</v>
      </c>
      <c r="G9933" s="6" t="n">
        <f aca="false">Sens!G9819*(al_lic+Sens!G9931+sbc_r)</f>
        <v>34.7188102966073</v>
      </c>
      <c r="H9933" s="6" t="n">
        <f aca="false">Sens!H9819*(al_lic+Sens!H9931+sbc_r)</f>
        <v>35.926843898281</v>
      </c>
      <c r="I9933" s="6" t="n">
        <f aca="false">Sens!I9819*(al_lic+Sens!I9931+sbc_r)</f>
        <v>37.0364983374849</v>
      </c>
      <c r="J9933" s="6" t="n">
        <f aca="false">Sens!J9819*(al_lic+Sens!J9931+sbc_r)</f>
        <v>38.0196396494074</v>
      </c>
      <c r="K9933" s="6" t="n">
        <f aca="false">Sens!K9819*(al_lic+Sens!K9931+sbc_r)</f>
        <v>38.8428373829298</v>
      </c>
    </row>
    <row r="9934" customFormat="false" ht="17.15" hidden="false" customHeight="false" outlineLevel="0" collapsed="false">
      <c r="A9934" s="0" t="s">
        <v>1059</v>
      </c>
      <c r="B9934" s="0" t="s">
        <v>98</v>
      </c>
      <c r="F9934" s="6" t="n">
        <f aca="false">Sens!F9821*(al_ind+Sens!F9931+sbc_r)</f>
        <v>9.06780539513499</v>
      </c>
      <c r="G9934" s="6" t="n">
        <f aca="false">Sens!G9821*(al_ind+Sens!G9931+sbc_r)</f>
        <v>9.83643218870292</v>
      </c>
      <c r="H9934" s="6" t="n">
        <f aca="false">Sens!H9821*(al_ind+Sens!H9931+sbc_r)</f>
        <v>10.6526730451483</v>
      </c>
      <c r="I9934" s="6" t="n">
        <f aca="false">Sens!I9821*(al_ind+Sens!I9931+sbc_r)</f>
        <v>11.5147516837907</v>
      </c>
      <c r="J9934" s="6" t="n">
        <f aca="false">Sens!J9821*(al_ind+Sens!J9931+sbc_r)</f>
        <v>12.4119476178383</v>
      </c>
      <c r="K9934" s="6" t="n">
        <f aca="false">Sens!K9821*(al_ind+Sens!K9931+sbc_r)</f>
        <v>13.3264031754738</v>
      </c>
    </row>
    <row r="9935" customFormat="false" ht="17.15" hidden="false" customHeight="false" outlineLevel="0" collapsed="false">
      <c r="A9935" s="0" t="s">
        <v>1060</v>
      </c>
      <c r="B9935" s="0" t="s">
        <v>98</v>
      </c>
      <c r="F9935" s="6" t="n">
        <f aca="false">Sens!F9823*(al_fro+Sens!F9931+sbc_r)</f>
        <v>3.56912003878477</v>
      </c>
      <c r="G9935" s="6" t="n">
        <f aca="false">Sens!G9823*(al_fro+Sens!G9931+sbc_r)</f>
        <v>3.77660841413047</v>
      </c>
      <c r="H9935" s="6" t="n">
        <f aca="false">Sens!H9823*(al_fro+Sens!H9931+sbc_r)</f>
        <v>4.01429181835192</v>
      </c>
      <c r="I9935" s="6" t="n">
        <f aca="false">Sens!I9823*(al_fro+Sens!I9931+sbc_r)</f>
        <v>4.28532193201244</v>
      </c>
      <c r="J9935" s="6" t="n">
        <f aca="false">Sens!J9823*(al_fro+Sens!J9931+sbc_r)</f>
        <v>4.5904152193385</v>
      </c>
      <c r="K9935" s="6" t="n">
        <f aca="false">Sens!K9823*(al_fro+Sens!K9931+sbc_r)</f>
        <v>4.92861602701396</v>
      </c>
    </row>
    <row r="9936" customFormat="false" ht="17.15" hidden="false" customHeight="false" outlineLevel="0" collapsed="false">
      <c r="A9936" s="0" t="s">
        <v>1061</v>
      </c>
      <c r="B9936" s="0" t="s">
        <v>98</v>
      </c>
      <c r="F9936" s="6" t="n">
        <f aca="false">Sens!F9826*(al_srch+Sens!F9931+sbc_r)</f>
        <v>11.1988706751152</v>
      </c>
      <c r="G9936" s="6" t="n">
        <f aca="false">Sens!G9826*(al_srch+Sens!G9931+sbc_r)</f>
        <v>12.2627582546868</v>
      </c>
      <c r="H9936" s="6" t="n">
        <f aca="false">Sens!H9826*(al_srch+Sens!H9931+sbc_r)</f>
        <v>13.3748175509798</v>
      </c>
      <c r="I9936" s="6" t="n">
        <f aca="false">Sens!I9826*(al_srch+Sens!I9931+sbc_r)</f>
        <v>14.5261222714955</v>
      </c>
      <c r="J9936" s="6" t="n">
        <f aca="false">Sens!J9826*(al_srch+Sens!J9931+sbc_r)</f>
        <v>15.6954855945839</v>
      </c>
      <c r="K9936" s="6" t="n">
        <f aca="false">Sens!K9826*(al_srch+Sens!K9931+sbc_r)</f>
        <v>16.8518572192213</v>
      </c>
    </row>
    <row r="9937" customFormat="false" ht="17.15" hidden="false" customHeight="false" outlineLevel="0" collapsed="false">
      <c r="A9937" s="0" t="s">
        <v>1062</v>
      </c>
      <c r="B9937" s="0" t="s">
        <v>98</v>
      </c>
      <c r="F9937" s="6" t="n">
        <f aca="false">Sens!F9795-Sens!F9796+Sens!F9876</f>
        <v>55.6743052939671</v>
      </c>
      <c r="G9937" s="6" t="n">
        <f aca="false">Sens!G9795-Sens!G9796+Sens!G9876</f>
        <v>100.2533125707</v>
      </c>
      <c r="H9937" s="6" t="n">
        <f aca="false">Sens!H9795-Sens!H9796+Sens!H9876</f>
        <v>152.31255014234</v>
      </c>
      <c r="I9937" s="6" t="n">
        <f aca="false">Sens!I9795-Sens!I9796+Sens!I9876</f>
        <v>194.041990076394</v>
      </c>
      <c r="J9937" s="6" t="n">
        <f aca="false">Sens!J9795-Sens!J9796+Sens!J9876</f>
        <v>223.463148273617</v>
      </c>
      <c r="K9937" s="6" t="n">
        <f aca="false">Sens!K9795-Sens!K9796+Sens!K9876</f>
        <v>241.312249272487</v>
      </c>
    </row>
    <row r="9938" customFormat="false" ht="17.15" hidden="false" customHeight="false" outlineLevel="0" collapsed="false">
      <c r="A9938" s="0" t="s">
        <v>1063</v>
      </c>
      <c r="B9938" s="0" t="s">
        <v>98</v>
      </c>
      <c r="F9938" s="6" t="n">
        <f aca="false">Sens!F9855+Sens!F9876+Sens!F9806+Sens!F9931*(Sens!F9825-Sens!F9789)+sbc_r*Sens!F9825</f>
        <v>247.776997631916</v>
      </c>
      <c r="G9938" s="6" t="n">
        <f aca="false">Sens!G9855+Sens!G9876+Sens!G9806+Sens!G9931*(Sens!G9825-Sens!G9789)+sbc_r*Sens!G9825</f>
        <v>321.646717383318</v>
      </c>
      <c r="H9938" s="6" t="n">
        <f aca="false">Sens!H9855+Sens!H9876+Sens!H9806+Sens!H9931*(Sens!H9825-Sens!H9789)+sbc_r*Sens!H9825</f>
        <v>403.707562291481</v>
      </c>
      <c r="I9938" s="6" t="n">
        <f aca="false">Sens!I9855+Sens!I9876+Sens!I9806+Sens!I9931*(Sens!I9825-Sens!I9789)+sbc_r*Sens!I9825</f>
        <v>473.373896567478</v>
      </c>
      <c r="J9938" s="6" t="n">
        <f aca="false">Sens!J9855+Sens!J9876+Sens!J9806+Sens!J9931*(Sens!J9825-Sens!J9789)+sbc_r*Sens!J9825</f>
        <v>527.775027360703</v>
      </c>
      <c r="K9938" s="6" t="n">
        <f aca="false">Sens!K9855+Sens!K9876+Sens!K9806+Sens!K9931*(Sens!K9825-Sens!K9789)+sbc_r*Sens!K9825</f>
        <v>568.190055736276</v>
      </c>
    </row>
    <row r="9939" customFormat="false" ht="17.15" hidden="false" customHeight="false" outlineLevel="0" collapsed="false">
      <c r="A9939" s="0" t="s">
        <v>1064</v>
      </c>
      <c r="B9939" s="0" t="s">
        <v>98</v>
      </c>
      <c r="F9939" s="6" t="n">
        <f aca="false">Sens!F9938-Sens!F9932-Sens!F9933-Sens!F9934-Sens!F9935-Sens!F9937</f>
        <v>61.0888432363417</v>
      </c>
      <c r="G9939" s="6" t="n">
        <f aca="false">Sens!G9938-Sens!G9932-Sens!G9933-Sens!G9934-Sens!G9935-Sens!G9937</f>
        <v>73.6288074155624</v>
      </c>
      <c r="H9939" s="6" t="n">
        <f aca="false">Sens!H9938-Sens!H9932-Sens!H9933-Sens!H9934-Sens!H9935-Sens!H9937</f>
        <v>86.7152410199799</v>
      </c>
      <c r="I9939" s="6" t="n">
        <f aca="false">Sens!I9938-Sens!I9932-Sens!I9933-Sens!I9934-Sens!I9935-Sens!I9937</f>
        <v>99.2711190351488</v>
      </c>
      <c r="J9939" s="6" t="n">
        <f aca="false">Sens!J9938-Sens!J9932-Sens!J9933-Sens!J9934-Sens!J9935-Sens!J9937</f>
        <v>110.629098473087</v>
      </c>
      <c r="K9939" s="6" t="n">
        <f aca="false">Sens!K9938-Sens!K9932-Sens!K9933-Sens!K9934-Sens!K9935-Sens!K9937</f>
        <v>120.061764156197</v>
      </c>
    </row>
    <row r="9940" customFormat="false" ht="17.15" hidden="false" customHeight="false" outlineLevel="0" collapsed="false">
      <c r="A9940" s="0" t="s">
        <v>1065</v>
      </c>
      <c r="B9940" s="0" t="s">
        <v>98</v>
      </c>
      <c r="F9940" s="6" t="n">
        <f aca="false">Sens!F9857+Sens!F9931*Sens!F9832+sbc_r*Sens!F9832</f>
        <v>26.1152098429031</v>
      </c>
      <c r="G9940" s="6" t="n">
        <f aca="false">Sens!G9857+Sens!G9931*Sens!G9832+sbc_r*Sens!G9832</f>
        <v>26.598293056279</v>
      </c>
      <c r="H9940" s="6" t="n">
        <f aca="false">Sens!H9857+Sens!H9931*Sens!H9832+sbc_r*Sens!H9832</f>
        <v>27.3146981401854</v>
      </c>
      <c r="I9940" s="6" t="n">
        <f aca="false">Sens!I9857+Sens!I9931*Sens!I9832+sbc_r*Sens!I9832</f>
        <v>28.2361268641725</v>
      </c>
      <c r="J9940" s="6" t="n">
        <f aca="false">Sens!J9857+Sens!J9931*Sens!J9832+sbc_r*Sens!J9832</f>
        <v>29.3197574464887</v>
      </c>
      <c r="K9940" s="6" t="n">
        <f aca="false">Sens!K9857+Sens!K9931*Sens!K9832+sbc_r*Sens!K9832</f>
        <v>30.5144728922296</v>
      </c>
    </row>
    <row r="9941" customFormat="false" ht="17.15" hidden="false" customHeight="false" outlineLevel="0" collapsed="false">
      <c r="A9941" s="0" t="s">
        <v>1066</v>
      </c>
      <c r="B9941" s="0" t="s">
        <v>98</v>
      </c>
      <c r="F9941" s="6" t="n">
        <f aca="false">(Sens!F9940-Sens!F9936)*Sens!F9828/(Sens!F9828+Sens!F9830)</f>
        <v>8.15080468161883</v>
      </c>
      <c r="G9941" s="6" t="n">
        <f aca="false">(Sens!G9940-Sens!G9936)*Sens!G9828/(Sens!G9828+Sens!G9830)</f>
        <v>7.64331551667305</v>
      </c>
      <c r="H9941" s="6" t="n">
        <f aca="false">(Sens!H9940-Sens!H9936)*Sens!H9828/(Sens!H9828+Sens!H9830)</f>
        <v>7.25873050431678</v>
      </c>
      <c r="I9941" s="6" t="n">
        <f aca="false">(Sens!I9940-Sens!I9936)*Sens!I9828/(Sens!I9828+Sens!I9830)</f>
        <v>6.97945191777435</v>
      </c>
      <c r="J9941" s="6" t="n">
        <f aca="false">(Sens!J9940-Sens!J9936)*Sens!J9828/(Sens!J9828+Sens!J9830)</f>
        <v>6.78840606190891</v>
      </c>
      <c r="K9941" s="6" t="n">
        <f aca="false">(Sens!K9940-Sens!K9936)*Sens!K9828/(Sens!K9828+Sens!K9830)</f>
        <v>6.67089620675394</v>
      </c>
    </row>
    <row r="9942" customFormat="false" ht="17.15" hidden="false" customHeight="false" outlineLevel="0" collapsed="false">
      <c r="A9942" s="0" t="s">
        <v>1067</v>
      </c>
      <c r="B9942" s="0" t="s">
        <v>98</v>
      </c>
      <c r="F9942" s="6" t="n">
        <f aca="false">Sens!F9940-Sens!F9936-Sens!F9941</f>
        <v>6.76553448616906</v>
      </c>
      <c r="G9942" s="6" t="n">
        <f aca="false">Sens!G9940-Sens!G9936-Sens!G9941</f>
        <v>6.69221928491918</v>
      </c>
      <c r="H9942" s="6" t="n">
        <f aca="false">Sens!H9940-Sens!H9936-Sens!H9941</f>
        <v>6.68115008488879</v>
      </c>
      <c r="I9942" s="6" t="n">
        <f aca="false">Sens!I9940-Sens!I9936-Sens!I9941</f>
        <v>6.7305526749027</v>
      </c>
      <c r="J9942" s="6" t="n">
        <f aca="false">Sens!J9940-Sens!J9936-Sens!J9941</f>
        <v>6.8358657899959</v>
      </c>
      <c r="K9942" s="6" t="n">
        <f aca="false">Sens!K9940-Sens!K9936-Sens!K9941</f>
        <v>6.99171946625437</v>
      </c>
    </row>
    <row r="9943" customFormat="false" ht="17.15" hidden="false" customHeight="false" outlineLevel="0" collapsed="false">
      <c r="A9943" s="0" t="s">
        <v>1068</v>
      </c>
      <c r="B9943" s="0" t="s">
        <v>98</v>
      </c>
      <c r="F9943" s="6" t="n">
        <f aca="false">Sens!F9937-tax_f*(Sens!F9937-Sens!F9806)-Sens!F9803</f>
        <v>-116.989886810757</v>
      </c>
      <c r="G9943" s="6" t="n">
        <f aca="false">Sens!G9937-tax_f*(Sens!G9937-Sens!G9806)-Sens!G9803</f>
        <v>-91.2750385079052</v>
      </c>
      <c r="H9943" s="6" t="n">
        <f aca="false">Sens!H9937-tax_f*(Sens!H9937-Sens!H9806)-Sens!H9803</f>
        <v>-48.6866373312336</v>
      </c>
      <c r="I9943" s="6" t="n">
        <f aca="false">Sens!I9937-tax_f*(Sens!I9937-Sens!I9806)-Sens!I9803</f>
        <v>13.919476169981</v>
      </c>
      <c r="J9943" s="6" t="n">
        <f aca="false">Sens!J9937-tax_f*(Sens!J9937-Sens!J9806)-Sens!J9803</f>
        <v>80.0899293520031</v>
      </c>
      <c r="K9943" s="6" t="n">
        <f aca="false">Sens!K9937-tax_f*(Sens!K9937-Sens!K9806)-Sens!K9803</f>
        <v>106.015038403615</v>
      </c>
    </row>
    <row r="9944" customFormat="false" ht="17.15" hidden="false" customHeight="false" outlineLevel="0" collapsed="false">
      <c r="A9944" s="0" t="s">
        <v>1069</v>
      </c>
      <c r="B9944" s="0" t="s">
        <v>98</v>
      </c>
      <c r="F9944" s="6" t="n">
        <f aca="false">Sens!F9943*Sens!F9917</f>
        <v>-111.396995000381</v>
      </c>
      <c r="G9944" s="6" t="n">
        <f aca="false">Sens!G9943*Sens!G9917</f>
        <v>-78.800230784117</v>
      </c>
      <c r="H9944" s="6" t="n">
        <f aca="false">Sens!H9943*Sens!H9917</f>
        <v>-38.1097021221691</v>
      </c>
      <c r="I9944" s="6" t="n">
        <f aca="false">Sens!I9943*Sens!I9917</f>
        <v>9.87868132551814</v>
      </c>
      <c r="J9944" s="6" t="n">
        <f aca="false">Sens!J9943*Sens!J9917</f>
        <v>51.5352401651745</v>
      </c>
      <c r="K9944" s="6" t="n">
        <f aca="false">Sens!K9943*Sens!K9917</f>
        <v>61.8506372357022</v>
      </c>
    </row>
    <row r="9945" customFormat="false" ht="17.15" hidden="false" customHeight="false" outlineLevel="0" collapsed="false">
      <c r="A9945" s="0" t="s">
        <v>1070</v>
      </c>
      <c r="B9945" s="0" t="s">
        <v>98</v>
      </c>
      <c r="C9945" s="6" t="n">
        <f aca="false">(Sens!K9937-Sens!K9806)*(1-tax_f)*(1+g_tv)*(1-g_tv/(wacc+ronic_prem))/(wacc-g_tv)/(1+wacc)^(Sens!K9916+mid_yr)</f>
        <v>452.211804949634</v>
      </c>
    </row>
    <row r="9946" customFormat="false" ht="17.15" hidden="false" customHeight="false" outlineLevel="0" collapsed="false">
      <c r="A9946" s="1" t="s">
        <v>1071</v>
      </c>
      <c r="B9946" s="0" t="s">
        <v>98</v>
      </c>
      <c r="C9946" s="6" t="n">
        <f aca="false">(SUM(Sens!F9944:K9944)+Sens!$C$9945)*(1+wacc)^t_roll</f>
        <v>395.333428333385</v>
      </c>
      <c r="L9946" s="11" t="s">
        <v>1072</v>
      </c>
    </row>
    <row r="9947" customFormat="false" ht="17.15" hidden="false" customHeight="false" outlineLevel="0" collapsed="false">
      <c r="A9947" s="1" t="s">
        <v>1073</v>
      </c>
      <c r="B9947" s="0" t="s">
        <v>98</v>
      </c>
      <c r="C9947" s="6" t="n">
        <f aca="false">(w_ntm28*Sens!G9795+(1-w_ntm28)*Sens!H9795)*m_ai</f>
        <v>551.711134531404</v>
      </c>
    </row>
    <row r="9948" customFormat="false" ht="17.15" hidden="false" customHeight="false" outlineLevel="0" collapsed="false">
      <c r="A9948" s="1" t="s">
        <v>1074</v>
      </c>
      <c r="B9948" s="0" t="s">
        <v>98</v>
      </c>
      <c r="C9948" s="6" t="n">
        <f aca="false">(w_ntm28*Sens!G9939+(1-w_ntm28)*Sens!H9939)*m_cloud</f>
        <v>1076.01815263304</v>
      </c>
    </row>
    <row r="9949" customFormat="false" ht="17.15" hidden="false" customHeight="false" outlineLevel="0" collapsed="false">
      <c r="A9949" s="1" t="s">
        <v>1075</v>
      </c>
      <c r="B9949" s="0" t="s">
        <v>98</v>
      </c>
      <c r="C9949" s="6" t="n">
        <f aca="false">(w_ntm28*Sens!G9932+(1-w_ntm28)*Sens!H9932)*m_sw</f>
        <v>1125.03546574802</v>
      </c>
    </row>
    <row r="9950" customFormat="false" ht="17.15" hidden="false" customHeight="false" outlineLevel="0" collapsed="false">
      <c r="A9950" s="1" t="s">
        <v>1076</v>
      </c>
      <c r="B9950" s="0" t="s">
        <v>98</v>
      </c>
      <c r="C9950" s="6" t="n">
        <f aca="false">(w_ntm28*Sens!G9933+(1-w_ntm28)*Sens!H9933)*m_sw</f>
        <v>379.181008797806</v>
      </c>
    </row>
    <row r="9951" customFormat="false" ht="17.15" hidden="false" customHeight="false" outlineLevel="0" collapsed="false">
      <c r="A9951" s="1" t="s">
        <v>1077</v>
      </c>
      <c r="B9951" s="0" t="s">
        <v>98</v>
      </c>
      <c r="C9951" s="6" t="n">
        <f aca="false">(w_ntm28*Sens!G9934+(1-w_ntm28)*Sens!H9934)*m_sw</f>
        <v>109.083378178961</v>
      </c>
    </row>
    <row r="9952" customFormat="false" ht="17.15" hidden="false" customHeight="false" outlineLevel="0" collapsed="false">
      <c r="A9952" s="1" t="s">
        <v>1078</v>
      </c>
      <c r="B9952" s="0" t="s">
        <v>98</v>
      </c>
      <c r="C9952" s="6" t="n">
        <f aca="false">(w_ntm28*Sens!G9935+(1-w_ntm28)*Sens!H9935)*m_sw</f>
        <v>41.6172441064168</v>
      </c>
    </row>
    <row r="9953" customFormat="false" ht="17.15" hidden="false" customHeight="false" outlineLevel="0" collapsed="false">
      <c r="A9953" s="1" t="s">
        <v>1079</v>
      </c>
      <c r="B9953" s="0" t="s">
        <v>98</v>
      </c>
      <c r="C9953" s="6" t="n">
        <f aca="false">(w_ntm28*Sens!G9936+(1-w_ntm28)*Sens!H9936)*m_ads</f>
        <v>114.988909898358</v>
      </c>
    </row>
    <row r="9954" customFormat="false" ht="17.15" hidden="false" customHeight="false" outlineLevel="0" collapsed="false">
      <c r="A9954" s="1" t="s">
        <v>1080</v>
      </c>
      <c r="B9954" s="0" t="s">
        <v>98</v>
      </c>
      <c r="C9954" s="6" t="n">
        <f aca="false">(w_ntm28*Sens!G9941+(1-w_ntm28)*Sens!H9941)*m_game</f>
        <v>94.9647669555394</v>
      </c>
    </row>
    <row r="9955" customFormat="false" ht="17.15" hidden="false" customHeight="false" outlineLevel="0" collapsed="false">
      <c r="A9955" s="1" t="s">
        <v>1081</v>
      </c>
      <c r="B9955" s="0" t="s">
        <v>98</v>
      </c>
      <c r="C9955" s="6" t="n">
        <f aca="false">(w_ntm28*Sens!G9942+(1-w_ntm28)*Sens!H9942)*m_pc</f>
        <v>96.7846316383041</v>
      </c>
    </row>
    <row r="9956" customFormat="false" ht="17.15" hidden="false" customHeight="false" outlineLevel="0" collapsed="false">
      <c r="A9956" s="1" t="s">
        <v>1082</v>
      </c>
      <c r="B9956" s="0" t="s">
        <v>98</v>
      </c>
      <c r="C9956" s="6" t="n">
        <f aca="false">Sens!$C$9946+Sens!$C$9948+Sens!$C$9949+Sens!$C$9950+Sens!$C$9951+Sens!$C$9952+Sens!$C$9953+Sens!$C$9954+Sens!$C$9955</f>
        <v>3433.00698628983</v>
      </c>
    </row>
    <row r="9957" customFormat="false" ht="17.15" hidden="false" customHeight="false" outlineLevel="0" collapsed="false">
      <c r="A9957" s="1" t="s">
        <v>1000</v>
      </c>
      <c r="B9957" s="0" t="s">
        <v>98</v>
      </c>
      <c r="C9957" s="6" t="n">
        <f aca="false">Sens!F9907+oai_v-Sens!F9896</f>
        <v>115.039366197631</v>
      </c>
      <c r="L9957" s="1" t="s">
        <v>1083</v>
      </c>
    </row>
    <row r="9958" customFormat="false" ht="15" hidden="false" customHeight="false" outlineLevel="0" collapsed="false">
      <c r="A9958" s="1" t="s">
        <v>1001</v>
      </c>
      <c r="B9958" s="0" t="s">
        <v>75</v>
      </c>
      <c r="C9958" s="5" t="n">
        <f aca="false">(Sens!$C$9956+Sens!$C$9957)/Sens!F9909</f>
        <v>474.845603919628</v>
      </c>
    </row>
    <row r="9959" customFormat="false" ht="17.15" hidden="false" customHeight="false" outlineLevel="0" collapsed="false">
      <c r="A9959" s="1" t="s">
        <v>1084</v>
      </c>
      <c r="B9959" s="0" t="s">
        <v>75</v>
      </c>
      <c r="C9959" s="5" t="n">
        <f aca="false">w_dcf*Sens!$C$9930+(1-w_dcf)*Sens!$C$9958</f>
        <v>428.142655832863</v>
      </c>
    </row>
    <row r="9960" customFormat="false" ht="17.15" hidden="false" customHeight="false" outlineLevel="0" collapsed="false">
      <c r="A9960" s="3" t="s">
        <v>1494</v>
      </c>
    </row>
    <row r="9961" customFormat="false" ht="15" hidden="false" customHeight="false" outlineLevel="0" collapsed="false">
      <c r="A9961" s="4" t="s">
        <v>43</v>
      </c>
      <c r="B9961" s="4" t="s">
        <v>65</v>
      </c>
      <c r="C9961" s="20" t="s">
        <v>788</v>
      </c>
      <c r="D9961" s="20" t="s">
        <v>789</v>
      </c>
      <c r="E9961" s="20" t="s">
        <v>790</v>
      </c>
      <c r="F9961" s="20" t="s">
        <v>791</v>
      </c>
      <c r="G9961" s="20" t="s">
        <v>792</v>
      </c>
      <c r="H9961" s="20" t="s">
        <v>793</v>
      </c>
      <c r="I9961" s="20" t="s">
        <v>794</v>
      </c>
      <c r="J9961" s="20" t="s">
        <v>795</v>
      </c>
      <c r="K9961" s="20" t="s">
        <v>796</v>
      </c>
      <c r="L9961" s="4" t="s">
        <v>47</v>
      </c>
    </row>
    <row r="9962" customFormat="false" ht="17.15" hidden="false" customHeight="false" outlineLevel="0" collapsed="false">
      <c r="A9962" s="1" t="s">
        <v>797</v>
      </c>
      <c r="B9962" s="1" t="s">
        <v>235</v>
      </c>
      <c r="C9962" s="28" t="n">
        <v>2024</v>
      </c>
      <c r="D9962" s="28" t="n">
        <v>2025</v>
      </c>
      <c r="E9962" s="28" t="n">
        <v>2026</v>
      </c>
      <c r="F9962" s="28" t="n">
        <v>2027</v>
      </c>
      <c r="G9962" s="28" t="n">
        <v>2028</v>
      </c>
      <c r="H9962" s="28" t="n">
        <v>2029</v>
      </c>
      <c r="I9962" s="28" t="n">
        <v>2030</v>
      </c>
      <c r="J9962" s="28" t="n">
        <v>2031</v>
      </c>
      <c r="K9962" s="28" t="n">
        <v>2032</v>
      </c>
    </row>
    <row r="9963" customFormat="false" ht="17.15" hidden="false" customHeight="false" outlineLevel="0" collapsed="false">
      <c r="A9963" s="1" t="s">
        <v>798</v>
      </c>
      <c r="B9963" s="0" t="s">
        <v>392</v>
      </c>
      <c r="F9963" s="29" t="n">
        <f aca="false">pace</f>
        <v>2527.2</v>
      </c>
      <c r="G9963" s="29" t="n">
        <f aca="false">pace</f>
        <v>2527.2</v>
      </c>
      <c r="H9963" s="29" t="n">
        <f aca="false">pace</f>
        <v>2527.2</v>
      </c>
      <c r="I9963" s="29" t="n">
        <f aca="false">pace+(g_tv*Sens!H9964-pace)*MIN(1,(Sens!I9962-pace_y0)/(pace_y1-pace_y0))</f>
        <v>1793.116</v>
      </c>
      <c r="J9963" s="29" t="n">
        <f aca="false">pace+(g_tv*Sens!H9964-pace)*MIN(1,(Sens!J9962-pace_y0)/(pace_y1-pace_y0))</f>
        <v>1059.032</v>
      </c>
      <c r="K9963" s="29" t="n">
        <f aca="false">pace+(g_tv*Sens!H9964-pace)*MIN(1,(Sens!K9962-pace_y0)/(pace_y1-pace_y0))</f>
        <v>324.948</v>
      </c>
      <c r="L9963" s="11" t="s">
        <v>799</v>
      </c>
    </row>
    <row r="9964" customFormat="false" ht="17.15" hidden="false" customHeight="false" outlineLevel="0" collapsed="false">
      <c r="A9964" s="1" t="s">
        <v>800</v>
      </c>
      <c r="B9964" s="0" t="s">
        <v>392</v>
      </c>
      <c r="C9964" s="29" t="n">
        <f aca="false">mw_ext_24</f>
        <v>640</v>
      </c>
      <c r="D9964" s="29" t="n">
        <f aca="false">mw_ext_25</f>
        <v>1630</v>
      </c>
      <c r="E9964" s="29" t="n">
        <f aca="false">mw_ext_26</f>
        <v>3250</v>
      </c>
      <c r="F9964" s="29" t="n">
        <f aca="false">Sens!E9964+Sens!F9963</f>
        <v>5777.2</v>
      </c>
      <c r="G9964" s="29" t="n">
        <f aca="false">Sens!F9964+Sens!G9963</f>
        <v>8304.4</v>
      </c>
      <c r="H9964" s="29" t="n">
        <f aca="false">Sens!G9964+Sens!H9963</f>
        <v>10831.6</v>
      </c>
      <c r="I9964" s="29" t="n">
        <f aca="false">Sens!H9964+Sens!I9963</f>
        <v>12624.716</v>
      </c>
      <c r="J9964" s="29" t="n">
        <f aca="false">Sens!I9964+Sens!J9963</f>
        <v>13683.748</v>
      </c>
      <c r="K9964" s="29" t="n">
        <f aca="false">Sens!J9964+Sens!K9963</f>
        <v>14008.696</v>
      </c>
      <c r="L9964" s="1" t="s">
        <v>801</v>
      </c>
    </row>
    <row r="9965" customFormat="false" ht="17.15" hidden="false" customHeight="false" outlineLevel="0" collapsed="false">
      <c r="A9965" s="1" t="s">
        <v>802</v>
      </c>
      <c r="B9965" s="0" t="s">
        <v>392</v>
      </c>
      <c r="C9965" s="29" t="n">
        <f aca="false">rent_ext_24</f>
        <v>150</v>
      </c>
      <c r="D9965" s="29" t="n">
        <f aca="false">rent_ext_25</f>
        <v>400</v>
      </c>
      <c r="E9965" s="29" t="n">
        <f aca="false">rent_ext_26</f>
        <v>550</v>
      </c>
      <c r="F9965" s="29" t="n">
        <f aca="false">rent_ext_f</f>
        <v>756</v>
      </c>
      <c r="G9965" s="29" t="n">
        <f aca="false">rent_ext_f</f>
        <v>756</v>
      </c>
      <c r="H9965" s="29" t="n">
        <f aca="false">rent_ext_f</f>
        <v>756</v>
      </c>
      <c r="I9965" s="29" t="n">
        <f aca="false">rent_ext_f</f>
        <v>756</v>
      </c>
      <c r="J9965" s="29" t="n">
        <f aca="false">rent_ext_f</f>
        <v>756</v>
      </c>
      <c r="K9965" s="29" t="n">
        <f aca="false">rent_ext_f</f>
        <v>756</v>
      </c>
      <c r="L9965" s="1" t="s">
        <v>803</v>
      </c>
    </row>
    <row r="9966" customFormat="false" ht="17.15" hidden="false" customHeight="false" outlineLevel="0" collapsed="false">
      <c r="A9966" s="1" t="s">
        <v>804</v>
      </c>
      <c r="B9966" s="0" t="s">
        <v>392</v>
      </c>
      <c r="C9966" s="29" t="n">
        <f aca="false">Sens!C9964-Sens!C9965</f>
        <v>490</v>
      </c>
      <c r="D9966" s="29" t="n">
        <f aca="false">Sens!D9964-Sens!D9965</f>
        <v>1230</v>
      </c>
      <c r="E9966" s="29" t="n">
        <f aca="false">Sens!E9964-Sens!E9965</f>
        <v>2700</v>
      </c>
      <c r="F9966" s="29" t="n">
        <f aca="false">Sens!F9964-Sens!F9965</f>
        <v>5021.2</v>
      </c>
      <c r="G9966" s="29" t="n">
        <f aca="false">Sens!G9964-Sens!G9965</f>
        <v>7548.4</v>
      </c>
      <c r="H9966" s="29" t="n">
        <f aca="false">Sens!H9964-Sens!H9965</f>
        <v>10075.6</v>
      </c>
      <c r="I9966" s="29" t="n">
        <f aca="false">Sens!I9964-Sens!I9965</f>
        <v>11868.716</v>
      </c>
      <c r="J9966" s="29" t="n">
        <f aca="false">Sens!J9964-Sens!J9965</f>
        <v>12927.748</v>
      </c>
      <c r="K9966" s="29" t="n">
        <f aca="false">Sens!K9964-Sens!K9965</f>
        <v>13252.696</v>
      </c>
    </row>
    <row r="9967" customFormat="false" ht="17.15" hidden="false" customHeight="false" outlineLevel="0" collapsed="false">
      <c r="A9967" s="1" t="s">
        <v>805</v>
      </c>
      <c r="B9967" s="0" t="s">
        <v>392</v>
      </c>
      <c r="C9967" s="29" t="n">
        <f aca="false">Sens!C9966/ext_sh</f>
        <v>816.666666666667</v>
      </c>
      <c r="D9967" s="29" t="n">
        <f aca="false">Sens!D9966/ext_sh</f>
        <v>2050</v>
      </c>
      <c r="E9967" s="29" t="n">
        <f aca="false">Sens!E9966/ext_sh</f>
        <v>4500</v>
      </c>
      <c r="F9967" s="29" t="n">
        <f aca="false">Sens!F9966/ext_sh</f>
        <v>8368.66666666667</v>
      </c>
      <c r="G9967" s="29" t="n">
        <f aca="false">Sens!G9966/ext_sh</f>
        <v>12580.6666666667</v>
      </c>
      <c r="H9967" s="29" t="n">
        <f aca="false">Sens!H9966/ext_sh</f>
        <v>16792.6666666667</v>
      </c>
      <c r="I9967" s="29" t="n">
        <f aca="false">Sens!I9966/ext_sh</f>
        <v>19781.1933333333</v>
      </c>
      <c r="J9967" s="29" t="n">
        <f aca="false">Sens!J9966/ext_sh</f>
        <v>21546.2466666667</v>
      </c>
      <c r="K9967" s="29" t="n">
        <f aca="false">Sens!K9966/ext_sh</f>
        <v>22087.8266666667</v>
      </c>
      <c r="L9967" s="1" t="s">
        <v>806</v>
      </c>
    </row>
    <row r="9968" customFormat="false" ht="17.15" hidden="false" customHeight="false" outlineLevel="0" collapsed="false">
      <c r="A9968" s="1" t="s">
        <v>807</v>
      </c>
      <c r="B9968" s="0" t="s">
        <v>392</v>
      </c>
      <c r="C9968" s="29" t="n">
        <f aca="false">Sens!C9967-Sens!C9966</f>
        <v>326.666666666667</v>
      </c>
      <c r="D9968" s="29" t="n">
        <f aca="false">Sens!D9967-Sens!D9966</f>
        <v>820</v>
      </c>
      <c r="E9968" s="29" t="n">
        <f aca="false">Sens!E9967-Sens!E9966</f>
        <v>1800</v>
      </c>
      <c r="F9968" s="29" t="n">
        <f aca="false">Sens!F9967-Sens!F9966</f>
        <v>3347.46666666667</v>
      </c>
      <c r="G9968" s="29" t="n">
        <f aca="false">Sens!G9967-Sens!G9966</f>
        <v>5032.26666666667</v>
      </c>
      <c r="H9968" s="29" t="n">
        <f aca="false">Sens!H9967-Sens!H9966</f>
        <v>6717.06666666667</v>
      </c>
      <c r="I9968" s="29" t="n">
        <f aca="false">Sens!I9967-Sens!I9966</f>
        <v>7912.47733333333</v>
      </c>
      <c r="J9968" s="29" t="n">
        <f aca="false">Sens!J9967-Sens!J9966</f>
        <v>8618.49866666667</v>
      </c>
      <c r="K9968" s="29" t="n">
        <f aca="false">Sens!K9967-Sens!K9966</f>
        <v>8835.13066666667</v>
      </c>
    </row>
    <row r="9969" customFormat="false" ht="17.15" hidden="false" customHeight="false" outlineLevel="0" collapsed="false">
      <c r="A9969" s="1" t="s">
        <v>808</v>
      </c>
      <c r="B9969" s="0" t="s">
        <v>392</v>
      </c>
      <c r="C9969" s="29" t="n">
        <f aca="false">Sens!C9967</f>
        <v>816.666666666667</v>
      </c>
      <c r="D9969" s="29" t="n">
        <f aca="false">Sens!D9967-Sens!C9967</f>
        <v>1233.33333333333</v>
      </c>
      <c r="E9969" s="29" t="n">
        <f aca="false">Sens!E9967-Sens!D9967</f>
        <v>2450</v>
      </c>
      <c r="F9969" s="29" t="n">
        <f aca="false">Sens!F9967-Sens!E9967</f>
        <v>3868.66666666667</v>
      </c>
      <c r="G9969" s="29" t="n">
        <f aca="false">Sens!G9967-Sens!F9967</f>
        <v>4212</v>
      </c>
      <c r="H9969" s="29" t="n">
        <f aca="false">Sens!H9967-Sens!G9967</f>
        <v>4212</v>
      </c>
      <c r="I9969" s="29" t="n">
        <f aca="false">Sens!I9967-Sens!H9967</f>
        <v>2988.52666666667</v>
      </c>
      <c r="J9969" s="29" t="n">
        <f aca="false">Sens!J9967-Sens!I9967</f>
        <v>1765.05333333333</v>
      </c>
      <c r="K9969" s="29" t="n">
        <f aca="false">Sens!K9967-Sens!J9967</f>
        <v>541.580000000002</v>
      </c>
    </row>
    <row r="9970" customFormat="false" ht="17.15" hidden="false" customHeight="false" outlineLevel="0" collapsed="false">
      <c r="A9970" s="1" t="s">
        <v>809</v>
      </c>
      <c r="B9970" s="0" t="s">
        <v>392</v>
      </c>
      <c r="D9970" s="29" t="n">
        <f aca="false">Sens!D9964-Sens!C9964</f>
        <v>990</v>
      </c>
      <c r="E9970" s="29" t="n">
        <f aca="false">Sens!E9964-Sens!D9964</f>
        <v>1620</v>
      </c>
      <c r="F9970" s="29" t="n">
        <f aca="false">Sens!F9964-Sens!E9964</f>
        <v>2527.2</v>
      </c>
      <c r="G9970" s="29" t="n">
        <f aca="false">Sens!G9964-Sens!F9964</f>
        <v>2527.2</v>
      </c>
      <c r="H9970" s="29" t="n">
        <f aca="false">Sens!H9964-Sens!G9964</f>
        <v>2527.2</v>
      </c>
      <c r="I9970" s="29" t="n">
        <f aca="false">Sens!I9964-Sens!H9964</f>
        <v>1793.116</v>
      </c>
      <c r="J9970" s="29" t="n">
        <f aca="false">Sens!J9964-Sens!I9964</f>
        <v>1059.032</v>
      </c>
      <c r="K9970" s="29" t="n">
        <f aca="false">Sens!K9964-Sens!J9964</f>
        <v>324.948</v>
      </c>
    </row>
    <row r="9971" customFormat="false" ht="17.15" hidden="false" customHeight="false" outlineLevel="0" collapsed="false">
      <c r="A9971" s="1" t="s">
        <v>810</v>
      </c>
      <c r="B9971" s="0" t="s">
        <v>392</v>
      </c>
      <c r="F9971" s="29" t="n">
        <f aca="false">Sens!F9988*ext_sh</f>
        <v>0</v>
      </c>
      <c r="G9971" s="29" t="n">
        <f aca="false">Sens!G9988*ext_sh</f>
        <v>0</v>
      </c>
      <c r="H9971" s="29" t="n">
        <f aca="false">Sens!H9988*ext_sh</f>
        <v>0</v>
      </c>
      <c r="I9971" s="29" t="n">
        <f aca="false">Sens!I9988*ext_sh</f>
        <v>490</v>
      </c>
      <c r="J9971" s="29" t="n">
        <f aca="false">Sens!J9988*ext_sh</f>
        <v>740</v>
      </c>
      <c r="K9971" s="29" t="n">
        <f aca="false">Sens!K9988*ext_sh</f>
        <v>1470</v>
      </c>
      <c r="L9971" s="1" t="s">
        <v>811</v>
      </c>
    </row>
    <row r="9972" customFormat="false" ht="17.15" hidden="false" customHeight="false" outlineLevel="0" collapsed="false">
      <c r="A9972" s="1" t="s">
        <v>812</v>
      </c>
      <c r="B9972" s="0" t="s">
        <v>392</v>
      </c>
      <c r="C9972" s="29" t="n">
        <f aca="false">mix_h*Sens!C9964</f>
        <v>128</v>
      </c>
      <c r="D9972" s="29" t="n">
        <f aca="false">mix_h*Sens!D9964</f>
        <v>326</v>
      </c>
      <c r="E9972" s="29" t="n">
        <f aca="false">mix_h*Sens!E9964</f>
        <v>650</v>
      </c>
      <c r="F9972" s="29" t="n">
        <f aca="false">Sens!E9972-Sens!F9971*mix_h</f>
        <v>650</v>
      </c>
      <c r="G9972" s="29" t="n">
        <f aca="false">Sens!F9972-Sens!G9971*mix_h</f>
        <v>650</v>
      </c>
      <c r="H9972" s="29" t="n">
        <f aca="false">Sens!G9972-Sens!H9971*mix_h</f>
        <v>650</v>
      </c>
      <c r="I9972" s="29" t="n">
        <f aca="false">Sens!H9972-Sens!I9971*mix_h</f>
        <v>552</v>
      </c>
      <c r="J9972" s="29" t="n">
        <f aca="false">Sens!I9972-Sens!J9971*mix_h</f>
        <v>404</v>
      </c>
      <c r="K9972" s="29" t="n">
        <f aca="false">Sens!J9972-Sens!K9971*mix_h</f>
        <v>110</v>
      </c>
    </row>
    <row r="9973" customFormat="false" ht="17.15" hidden="false" customHeight="false" outlineLevel="0" collapsed="false">
      <c r="A9973" s="1" t="s">
        <v>813</v>
      </c>
      <c r="B9973" s="0" t="s">
        <v>392</v>
      </c>
      <c r="C9973" s="29" t="n">
        <f aca="false">mix_g2*Sens!C9964</f>
        <v>288</v>
      </c>
      <c r="D9973" s="29" t="n">
        <f aca="false">mix_g2*Sens!D9964</f>
        <v>733.5</v>
      </c>
      <c r="E9973" s="29" t="n">
        <f aca="false">mix_g2*Sens!E9964</f>
        <v>1462.5</v>
      </c>
      <c r="F9973" s="29" t="n">
        <f aca="false">Sens!E9973-Sens!F9971*mix_g2</f>
        <v>1462.5</v>
      </c>
      <c r="G9973" s="29" t="n">
        <f aca="false">Sens!F9973-Sens!G9971*mix_g2</f>
        <v>1462.5</v>
      </c>
      <c r="H9973" s="29" t="n">
        <f aca="false">Sens!G9973-Sens!H9971*mix_g2</f>
        <v>1462.5</v>
      </c>
      <c r="I9973" s="29" t="n">
        <f aca="false">Sens!H9973-Sens!I9971*mix_g2</f>
        <v>1242</v>
      </c>
      <c r="J9973" s="29" t="n">
        <f aca="false">Sens!I9973-Sens!J9971*mix_g2</f>
        <v>909</v>
      </c>
      <c r="K9973" s="29" t="n">
        <f aca="false">Sens!J9973-Sens!K9971*mix_g2</f>
        <v>247.5</v>
      </c>
    </row>
    <row r="9974" customFormat="false" ht="17.15" hidden="false" customHeight="false" outlineLevel="0" collapsed="false">
      <c r="A9974" s="1" t="s">
        <v>814</v>
      </c>
      <c r="B9974" s="0" t="s">
        <v>392</v>
      </c>
      <c r="C9974" s="29" t="n">
        <f aca="false">mix_g3*Sens!C9964</f>
        <v>224</v>
      </c>
      <c r="D9974" s="29" t="n">
        <f aca="false">mix_g3*Sens!D9964</f>
        <v>570.5</v>
      </c>
      <c r="E9974" s="29" t="n">
        <f aca="false">mix_g3*Sens!E9964</f>
        <v>1137.5</v>
      </c>
      <c r="F9974" s="29" t="n">
        <f aca="false">Sens!E9974+(Sens!F9970+Sens!F9971)*a_g3_27-Sens!F9971*mix_g3</f>
        <v>2906.54</v>
      </c>
      <c r="G9974" s="29" t="n">
        <f aca="false">Sens!F9974+(Sens!G9970+Sens!G9971)*a_g3_28-Sens!G9971*mix_g3</f>
        <v>3664.7</v>
      </c>
      <c r="H9974" s="29" t="n">
        <f aca="false">Sens!G9974+(Sens!H9970+Sens!H9971)*a_g3_29-Sens!H9971*mix_g3</f>
        <v>3917.42</v>
      </c>
      <c r="I9974" s="29" t="n">
        <f aca="false">Sens!H9974+(Sens!I9970+Sens!I9971)*a_g3_29-Sens!I9971*mix_g3</f>
        <v>3974.2316</v>
      </c>
      <c r="J9974" s="29" t="n">
        <f aca="false">Sens!I9974+(Sens!J9970+Sens!J9971)*a_g3_29-Sens!J9971*mix_g3</f>
        <v>3895.1348</v>
      </c>
      <c r="K9974" s="29" t="n">
        <f aca="false">Sens!J9974+(Sens!K9970+Sens!K9971)*a_g3_29-Sens!K9971*mix_g3</f>
        <v>3560.1296</v>
      </c>
    </row>
    <row r="9975" customFormat="false" ht="17.15" hidden="false" customHeight="false" outlineLevel="0" collapsed="false">
      <c r="A9975" s="1" t="s">
        <v>815</v>
      </c>
      <c r="B9975" s="0" t="s">
        <v>392</v>
      </c>
      <c r="C9975" s="29" t="n">
        <v>0</v>
      </c>
      <c r="D9975" s="29" t="n">
        <v>0</v>
      </c>
      <c r="E9975" s="29" t="n">
        <v>0</v>
      </c>
      <c r="F9975" s="29" t="n">
        <f aca="false">Sens!E9975+(Sens!F9970+Sens!F9971)*(1-a_g3_27)</f>
        <v>758.16</v>
      </c>
      <c r="G9975" s="29" t="n">
        <f aca="false">Sens!F9975+(Sens!G9970+Sens!G9971)*(1-a_g3_28)</f>
        <v>2527.2</v>
      </c>
      <c r="H9975" s="29" t="n">
        <f aca="false">Sens!G9975+(Sens!H9970+Sens!H9971)*(1-a_g3_29)</f>
        <v>4801.68</v>
      </c>
      <c r="I9975" s="29" t="n">
        <f aca="false">Sens!H9975+(Sens!I9970+Sens!I9971)*(1-a_g3_29)</f>
        <v>6856.4844</v>
      </c>
      <c r="J9975" s="29" t="n">
        <f aca="false">Sens!I9975+(Sens!J9970+Sens!J9971)*(1-a_g3_29)</f>
        <v>8475.6132</v>
      </c>
      <c r="K9975" s="29" t="n">
        <f aca="false">Sens!J9975+(Sens!K9970+Sens!K9971)*(1-a_g3_29)</f>
        <v>10091.0664</v>
      </c>
    </row>
    <row r="9976" customFormat="false" ht="17.15" hidden="false" customHeight="false" outlineLevel="0" collapsed="false">
      <c r="A9976" s="1" t="s">
        <v>816</v>
      </c>
      <c r="B9976" s="0" t="s">
        <v>339</v>
      </c>
      <c r="C9976" s="14" t="n">
        <f aca="false">(Sens!C9972*tk_hold_h100+Sens!C9973*tk_hold_gb200+Sens!C9974*tk_hold_gb300+Sens!C9975*tk_hold_vr200)/Sens!C9964</f>
        <v>9.7235358126469</v>
      </c>
      <c r="D9976" s="14" t="n">
        <f aca="false">(Sens!D9972*tk_hold_h100+Sens!D9973*tk_hold_gb200+Sens!D9974*tk_hold_gb300+Sens!D9975*tk_hold_vr200)/Sens!D9964</f>
        <v>9.7235358126469</v>
      </c>
      <c r="E9976" s="14" t="n">
        <f aca="false">(Sens!E9972*tk_hold_h100+Sens!E9973*tk_hold_gb200+Sens!E9974*tk_hold_gb300+Sens!E9975*tk_hold_vr200)/Sens!E9964</f>
        <v>9.7235358126469</v>
      </c>
      <c r="F9976" s="14" t="n">
        <f aca="false">(Sens!F9972*tk_hold_h100+Sens!F9973*tk_hold_gb200+Sens!F9974*tk_hold_gb300+Sens!F9975*tk_hold_vr200)/Sens!F9964</f>
        <v>10.4079573161931</v>
      </c>
      <c r="G9976" s="14" t="n">
        <f aca="false">(Sens!G9972*tk_hold_h100+Sens!G9973*tk_hold_gb200+Sens!G9974*tk_hold_gb300+Sens!G9975*tk_hold_vr200)/Sens!G9964</f>
        <v>10.8388131109316</v>
      </c>
      <c r="H9976" s="14" t="n">
        <f aca="false">(Sens!H9972*tk_hold_h100+Sens!H9973*tk_hold_gb200+Sens!H9974*tk_hold_gb300+Sens!H9975*tk_hold_vr200)/Sens!H9964</f>
        <v>11.1311018388216</v>
      </c>
      <c r="I9976" s="14" t="n">
        <f aca="false">(Sens!I9972*tk_hold_h100+Sens!I9973*tk_hold_gb200+Sens!I9974*tk_hold_gb300+Sens!I9975*tk_hold_vr200)/Sens!I9964</f>
        <v>11.3594282560989</v>
      </c>
      <c r="J9976" s="14" t="n">
        <f aca="false">(Sens!J9972*tk_hold_h100+Sens!J9973*tk_hold_gb200+Sens!J9974*tk_hold_gb300+Sens!J9975*tk_hold_vr200)/Sens!J9964</f>
        <v>11.5441508808221</v>
      </c>
      <c r="K9976" s="14" t="n">
        <f aca="false">(Sens!K9972*tk_hold_h100+Sens!K9973*tk_hold_gb200+Sens!K9974*tk_hold_gb300+Sens!K9975*tk_hold_vr200)/Sens!K9964</f>
        <v>11.8053375063575</v>
      </c>
    </row>
    <row r="9977" customFormat="false" ht="17.15" hidden="false" customHeight="false" outlineLevel="0" collapsed="false">
      <c r="A9977" s="0" t="s">
        <v>817</v>
      </c>
      <c r="B9977" s="0" t="s">
        <v>185</v>
      </c>
      <c r="C9977" s="14" t="n">
        <f aca="false">k_B</f>
        <v>1.17213932619116</v>
      </c>
      <c r="D9977" s="14" t="n">
        <f aca="false">k_B</f>
        <v>1.17213932619116</v>
      </c>
      <c r="E9977" s="14" t="n">
        <f aca="false">k_B</f>
        <v>1.17213932619116</v>
      </c>
      <c r="F9977" s="14" t="n">
        <f aca="false">(k_B+((ls_B*k_long+(1-ls_B)*k_spot)-k_B)*MIN(1,(Sens!F9962-base_fy)/k_ramp))</f>
        <v>1.17213932619116</v>
      </c>
      <c r="G9977" s="14" t="n">
        <f aca="false">(k_B+((ls_B*k_long+(1-ls_B)*k_spot)-k_B)*MIN(1,(Sens!G9962-base_fy)/k_ramp))</f>
        <v>1.17213932619116</v>
      </c>
      <c r="H9977" s="14" t="n">
        <f aca="false">(k_B+((ls_B*k_long+(1-ls_B)*k_spot)-k_B)*MIN(1,(Sens!H9962-base_fy)/k_ramp))</f>
        <v>1.17213932619116</v>
      </c>
      <c r="I9977" s="14" t="n">
        <f aca="false">(k_B+((ls_B*k_long+(1-ls_B)*k_spot)-k_B)*MIN(1,(Sens!I9962-base_fy)/k_ramp))</f>
        <v>1.17213932619116</v>
      </c>
      <c r="J9977" s="14" t="n">
        <f aca="false">(k_B+((ls_B*k_long+(1-ls_B)*k_spot)-k_B)*MIN(1,(Sens!J9962-base_fy)/k_ramp))</f>
        <v>1.17213932619116</v>
      </c>
      <c r="K9977" s="14" t="n">
        <f aca="false">(k_B+((ls_B*k_long+(1-ls_B)*k_spot)-k_B)*MIN(1,(Sens!K9962-base_fy)/k_ramp))</f>
        <v>1.17213932619116</v>
      </c>
      <c r="L9977" s="1" t="s">
        <v>818</v>
      </c>
    </row>
    <row r="9978" customFormat="false" ht="17.15" hidden="false" customHeight="false" outlineLevel="0" collapsed="false">
      <c r="A9978" s="1" t="s">
        <v>819</v>
      </c>
      <c r="B9978" s="0" t="s">
        <v>339</v>
      </c>
      <c r="C9978" s="14" t="n">
        <f aca="false">Sens!C9976*Sens!C9977*chip_f</f>
        <v>11.3973387156315</v>
      </c>
      <c r="D9978" s="14" t="n">
        <f aca="false">Sens!D9976*Sens!D9977*chip_f</f>
        <v>11.3973387156315</v>
      </c>
      <c r="E9978" s="14" t="n">
        <f aca="false">Sens!E9976*Sens!E9977*chip_f</f>
        <v>11.3973387156315</v>
      </c>
      <c r="F9978" s="14" t="n">
        <f aca="false">Sens!F9976*Sens!F9977*chip_f</f>
        <v>12.1995760756289</v>
      </c>
      <c r="G9978" s="14" t="n">
        <f aca="false">Sens!G9976*Sens!G9977*chip_f</f>
        <v>12.7045990965592</v>
      </c>
      <c r="H9978" s="14" t="n">
        <f aca="false">Sens!H9976*Sens!H9977*chip_f</f>
        <v>13.0472022091214</v>
      </c>
      <c r="I9978" s="14" t="n">
        <f aca="false">Sens!I9976*Sens!I9977*chip_f</f>
        <v>13.3148325820205</v>
      </c>
      <c r="J9978" s="14" t="n">
        <f aca="false">Sens!J9976*Sens!J9977*chip_f</f>
        <v>13.5313532348958</v>
      </c>
      <c r="K9978" s="14" t="n">
        <f aca="false">Sens!K9976*Sens!K9977*chip_f</f>
        <v>13.8375003501611</v>
      </c>
      <c r="L9978" s="1" t="s">
        <v>820</v>
      </c>
    </row>
    <row r="9979" customFormat="false" ht="17.15" hidden="false" customHeight="false" outlineLevel="0" collapsed="false">
      <c r="A9979" s="0" t="s">
        <v>821</v>
      </c>
      <c r="B9979" s="0" t="s">
        <v>98</v>
      </c>
      <c r="D9979" s="6" t="n">
        <f aca="false">(Sens!C9964+Sens!D9964)/2*Sens!D9978/1000</f>
        <v>12.9359794422418</v>
      </c>
      <c r="E9979" s="6" t="n">
        <f aca="false">(Sens!D9964+Sens!E9964)/2*Sens!E9978/1000</f>
        <v>27.8095064661409</v>
      </c>
      <c r="F9979" s="6" t="n">
        <f aca="false">(Sens!E9964+Sens!F9964)/2*Sens!F9978/1000</f>
        <v>55.0640065749585</v>
      </c>
      <c r="G9979" s="6" t="n">
        <f aca="false">(Sens!F9964+Sens!G9964)/2*Sens!G9978/1000</f>
        <v>89.4505413190538</v>
      </c>
      <c r="H9979" s="6" t="n">
        <f aca="false">(Sens!G9964+Sens!H9964)/2*Sens!H9978/1000</f>
        <v>124.835630736874</v>
      </c>
      <c r="I9979" s="6" t="n">
        <f aca="false">(Sens!H9964+Sens!I9964)/2*Sens!I9978/1000</f>
        <v>156.158460265485</v>
      </c>
      <c r="J9979" s="6" t="n">
        <f aca="false">(Sens!I9964+Sens!J9964)/2*Sens!J9978/1000</f>
        <v>177.99455972577</v>
      </c>
      <c r="K9979" s="6" t="n">
        <f aca="false">(Sens!J9964+Sens!K9964)/2*Sens!K9978/1000</f>
        <v>191.597101773408</v>
      </c>
      <c r="L9979" s="11" t="s">
        <v>822</v>
      </c>
    </row>
    <row r="9980" customFormat="false" ht="17.15" hidden="false" customHeight="false" outlineLevel="0" collapsed="false">
      <c r="A9980" s="1" t="s">
        <v>823</v>
      </c>
      <c r="B9980" s="0" t="s">
        <v>339</v>
      </c>
      <c r="C9980" s="14" t="n">
        <f aca="false">(Sens!C9972*tk_opex_h100+Sens!C9973*tk_opex_gb200+Sens!C9974*tk_opex_gb300+Sens!C9975*tk_opex_vr200)/Sens!C9964</f>
        <v>1.88636041306092</v>
      </c>
      <c r="D9980" s="14" t="n">
        <f aca="false">(Sens!D9972*tk_opex_h100+Sens!D9973*tk_opex_gb200+Sens!D9974*tk_opex_gb300+Sens!D9975*tk_opex_vr200)/Sens!D9964</f>
        <v>1.88636041306092</v>
      </c>
      <c r="E9980" s="14" t="n">
        <f aca="false">(Sens!E9972*tk_opex_h100+Sens!E9973*tk_opex_gb200+Sens!E9974*tk_opex_gb300+Sens!E9975*tk_opex_vr200)/Sens!E9964</f>
        <v>1.88636041306092</v>
      </c>
      <c r="F9980" s="14" t="n">
        <f aca="false">(Sens!F9972*tk_opex_h100+Sens!F9973*tk_opex_gb200+Sens!F9974*tk_opex_gb300+Sens!F9975*tk_opex_vr200)/Sens!F9964</f>
        <v>1.9430236476499</v>
      </c>
      <c r="G9980" s="14" t="n">
        <f aca="false">(Sens!G9972*tk_opex_h100+Sens!G9973*tk_opex_gb200+Sens!G9974*tk_opex_gb300+Sens!G9975*tk_opex_vr200)/Sens!G9964</f>
        <v>1.9786941852423</v>
      </c>
      <c r="H9980" s="14" t="n">
        <f aca="false">(Sens!H9972*tk_opex_h100+Sens!H9973*tk_opex_gb200+Sens!H9974*tk_opex_gb300+Sens!H9975*tk_opex_vr200)/Sens!H9964</f>
        <v>2.00289275976156</v>
      </c>
      <c r="I9980" s="14" t="n">
        <f aca="false">(Sens!I9972*tk_opex_h100+Sens!I9973*tk_opex_gb200+Sens!I9974*tk_opex_gb300+Sens!I9975*tk_opex_vr200)/Sens!I9964</f>
        <v>2.02179589661219</v>
      </c>
      <c r="J9980" s="14" t="n">
        <f aca="false">(Sens!J9972*tk_opex_h100+Sens!J9973*tk_opex_gb200+Sens!J9974*tk_opex_gb300+Sens!J9975*tk_opex_vr200)/Sens!J9964</f>
        <v>2.03708907685909</v>
      </c>
      <c r="K9980" s="14" t="n">
        <f aca="false">(Sens!K9972*tk_opex_h100+Sens!K9973*tk_opex_gb200+Sens!K9974*tk_opex_gb300+Sens!K9975*tk_opex_vr200)/Sens!K9964</f>
        <v>2.05871270931005</v>
      </c>
    </row>
    <row r="9981" customFormat="false" ht="17.15" hidden="false" customHeight="false" outlineLevel="0" collapsed="false">
      <c r="A9981" s="0" t="s">
        <v>824</v>
      </c>
      <c r="B9981" s="0" t="s">
        <v>98</v>
      </c>
      <c r="D9981" s="6" t="n">
        <f aca="false">(Sens!C9967+Sens!D9967)/2*Sens!D9980/1000</f>
        <v>2.70378325872065</v>
      </c>
      <c r="E9981" s="6" t="n">
        <f aca="false">(Sens!D9967+Sens!E9967)/2*Sens!E9980/1000</f>
        <v>6.17783035277451</v>
      </c>
      <c r="F9981" s="6" t="n">
        <f aca="false">(Sens!E9967+Sens!F9967)/2*Sens!F9980/1000</f>
        <v>12.5020618235287</v>
      </c>
      <c r="G9981" s="6" t="n">
        <f aca="false">(Sens!F9967+Sens!G9967)/2*Sens!G9980/1000</f>
        <v>20.7261620256847</v>
      </c>
      <c r="H9981" s="6" t="n">
        <f aca="false">(Sens!G9967+Sens!H9967)/2*Sens!H9980/1000</f>
        <v>29.4158183316982</v>
      </c>
      <c r="I9981" s="6" t="n">
        <f aca="false">(Sens!H9967+Sens!I9967)/2*Sens!I9980/1000</f>
        <v>36.9724400356344</v>
      </c>
      <c r="J9981" s="6" t="n">
        <f aca="false">(Sens!I9967+Sens!J9967)/2*Sens!J9980/1000</f>
        <v>42.0938382992747</v>
      </c>
      <c r="K9981" s="6" t="n">
        <f aca="false">(Sens!J9967+Sens!K9967)/2*Sens!K9980/1000</f>
        <v>44.9150106651501</v>
      </c>
    </row>
    <row r="9982" customFormat="false" ht="17.15" hidden="false" customHeight="false" outlineLevel="0" collapsed="false">
      <c r="A9982" s="0" t="s">
        <v>825</v>
      </c>
      <c r="B9982" s="0" t="s">
        <v>98</v>
      </c>
      <c r="D9982" s="6" t="n">
        <f aca="false">(Sens!C9965+Sens!D9965)/2*rent_mw/1000</f>
        <v>2.44475</v>
      </c>
      <c r="E9982" s="6" t="n">
        <f aca="false">(Sens!D9965+Sens!E9965)/2*rent_mw/1000</f>
        <v>4.22275</v>
      </c>
      <c r="F9982" s="6" t="n">
        <f aca="false">(Sens!E9965+Sens!F9965)/2*rent_mw/1000</f>
        <v>5.80517</v>
      </c>
      <c r="G9982" s="6" t="n">
        <f aca="false">(Sens!F9965+Sens!G9965)/2*rent_mw/1000</f>
        <v>6.72084</v>
      </c>
      <c r="H9982" s="6" t="n">
        <f aca="false">(Sens!G9965+Sens!H9965)/2*rent_mw/1000</f>
        <v>6.72084</v>
      </c>
      <c r="I9982" s="6" t="n">
        <f aca="false">(Sens!H9965+Sens!I9965)/2*rent_mw/1000</f>
        <v>6.72084</v>
      </c>
      <c r="J9982" s="6" t="n">
        <f aca="false">(Sens!I9965+Sens!J9965)/2*rent_mw/1000</f>
        <v>6.72084</v>
      </c>
      <c r="K9982" s="6" t="n">
        <f aca="false">(Sens!J9965+Sens!K9965)/2*rent_mw/1000</f>
        <v>6.72084</v>
      </c>
    </row>
    <row r="9983" customFormat="false" ht="17.15" hidden="false" customHeight="false" outlineLevel="0" collapsed="false">
      <c r="A9983" s="0" t="s">
        <v>826</v>
      </c>
      <c r="B9983" s="0" t="s">
        <v>98</v>
      </c>
      <c r="D9983" s="6" t="n">
        <f aca="false">(Sens!C9967+Sens!D9967)/2*(1-self_build)*fac_rent/1000</f>
        <v>0.853242375631075</v>
      </c>
      <c r="E9983" s="6" t="n">
        <f aca="false">(Sens!D9967+Sens!E9967)/2*(1-self_build)*fac_rent/1000</f>
        <v>1.94955961408728</v>
      </c>
      <c r="F9983" s="6" t="n">
        <f aca="false">(Sens!E9967+Sens!F9967)/2*(1-self_build)*fac_rent/1000</f>
        <v>3.83026455274573</v>
      </c>
      <c r="G9983" s="6" t="n">
        <f aca="false">(Sens!F9967+Sens!G9967)/2*(1-self_build)*fac_rent/1000</f>
        <v>6.23541590972812</v>
      </c>
      <c r="H9983" s="6" t="n">
        <f aca="false">(Sens!G9967+Sens!H9967)/2*(1-self_build)*fac_rent/1000</f>
        <v>8.74275792332679</v>
      </c>
      <c r="I9983" s="6" t="n">
        <f aca="false">(Sens!H9967+Sens!I9967)/2*(1-self_build)*fac_rent/1000</f>
        <v>10.8859420438599</v>
      </c>
      <c r="J9983" s="6" t="n">
        <f aca="false">(Sens!I9967+Sens!J9967)/2*(1-self_build)*fac_rent/1000</f>
        <v>12.3008103782619</v>
      </c>
      <c r="K9983" s="6" t="n">
        <f aca="false">(Sens!J9967+Sens!K9967)/2*(1-self_build)*fac_rent/1000</f>
        <v>12.9873629265328</v>
      </c>
      <c r="L9983" s="11" t="s">
        <v>827</v>
      </c>
    </row>
    <row r="9984" customFormat="false" ht="17.15" hidden="false" customHeight="false" outlineLevel="0" collapsed="false">
      <c r="A9984" s="1" t="s">
        <v>828</v>
      </c>
      <c r="B9984" s="0" t="s">
        <v>129</v>
      </c>
      <c r="D9984" s="7" t="n">
        <f aca="false">(Sens!C9966+Sens!D9966)/(Sens!C9967+Sens!D9967)</f>
        <v>0.6</v>
      </c>
      <c r="E9984" s="7" t="n">
        <f aca="false">(Sens!D9966+Sens!E9966)/(Sens!D9967+Sens!E9967)</f>
        <v>0.6</v>
      </c>
      <c r="F9984" s="7" t="n">
        <f aca="false">(Sens!E9966+Sens!F9966)/(Sens!E9967+Sens!F9967)</f>
        <v>0.6</v>
      </c>
      <c r="G9984" s="7" t="n">
        <f aca="false">(Sens!F9966+Sens!G9966)/(Sens!F9967+Sens!G9967)</f>
        <v>0.6</v>
      </c>
      <c r="H9984" s="7" t="n">
        <f aca="false">(Sens!G9966+Sens!H9966)/(Sens!G9967+Sens!H9967)</f>
        <v>0.6</v>
      </c>
      <c r="I9984" s="7" t="n">
        <f aca="false">(Sens!H9966+Sens!I9966)/(Sens!H9967+Sens!I9967)</f>
        <v>0.6</v>
      </c>
      <c r="J9984" s="7" t="n">
        <f aca="false">(Sens!I9966+Sens!J9966)/(Sens!I9967+Sens!J9967)</f>
        <v>0.6</v>
      </c>
      <c r="K9984" s="7" t="n">
        <f aca="false">(Sens!J9966+Sens!K9966)/(Sens!J9967+Sens!K9967)</f>
        <v>0.6</v>
      </c>
    </row>
    <row r="9985" customFormat="false" ht="17.15" hidden="false" customHeight="false" outlineLevel="0" collapsed="false">
      <c r="A9985" s="0" t="s">
        <v>829</v>
      </c>
      <c r="B9985" s="0" t="s">
        <v>98</v>
      </c>
      <c r="D9985" s="6" t="n">
        <f aca="false">Sens!D9979-Sens!D9984*(Sens!D9981+Sens!D9983)-Sens!D9982</f>
        <v>8.35701406163072</v>
      </c>
      <c r="E9985" s="6" t="n">
        <f aca="false">Sens!E9979-Sens!E9984*(Sens!E9981+Sens!E9983)-Sens!E9982</f>
        <v>18.7103224860238</v>
      </c>
      <c r="F9985" s="6" t="n">
        <f aca="false">Sens!F9979-Sens!F9984*(Sens!F9981+Sens!F9983)-Sens!F9982</f>
        <v>39.4594407491938</v>
      </c>
      <c r="G9985" s="6" t="n">
        <f aca="false">Sens!G9979-Sens!G9984*(Sens!G9981+Sens!G9983)-Sens!G9982</f>
        <v>66.5527545578061</v>
      </c>
      <c r="H9985" s="6" t="n">
        <f aca="false">Sens!H9979-Sens!H9984*(Sens!H9981+Sens!H9983)-Sens!H9982</f>
        <v>95.219644983859</v>
      </c>
      <c r="I9985" s="6" t="n">
        <f aca="false">Sens!I9979-Sens!I9984*(Sens!I9981+Sens!I9983)-Sens!I9982</f>
        <v>120.722591017788</v>
      </c>
      <c r="J9985" s="6" t="n">
        <f aca="false">Sens!J9979-Sens!J9984*(Sens!J9981+Sens!J9983)-Sens!J9982</f>
        <v>138.636930519248</v>
      </c>
      <c r="K9985" s="6" t="n">
        <f aca="false">Sens!K9979-Sens!K9984*(Sens!K9981+Sens!K9983)-Sens!K9982</f>
        <v>150.134837618398</v>
      </c>
    </row>
    <row r="9986" customFormat="false" ht="17.15" hidden="false" customHeight="false" outlineLevel="0" collapsed="false">
      <c r="A9986" s="1" t="s">
        <v>830</v>
      </c>
      <c r="B9986" s="0" t="s">
        <v>98</v>
      </c>
      <c r="D9986" s="6" t="n">
        <f aca="false">(1-Sens!D9984)*(Sens!D9981+Sens!D9983)</f>
        <v>1.42281025374069</v>
      </c>
      <c r="E9986" s="6" t="n">
        <f aca="false">(1-Sens!E9984)*(Sens!E9981+Sens!E9983)</f>
        <v>3.25095598674472</v>
      </c>
      <c r="F9986" s="6" t="n">
        <f aca="false">(1-Sens!F9984)*(Sens!F9981+Sens!F9983)</f>
        <v>6.53293055050977</v>
      </c>
      <c r="G9986" s="6" t="n">
        <f aca="false">(1-Sens!G9984)*(Sens!G9981+Sens!G9983)</f>
        <v>10.7846311741651</v>
      </c>
      <c r="H9986" s="6" t="n">
        <f aca="false">(1-Sens!H9984)*(Sens!H9981+Sens!H9983)</f>
        <v>15.26343050201</v>
      </c>
      <c r="I9986" s="6" t="n">
        <f aca="false">(1-Sens!I9984)*(Sens!I9981+Sens!I9983)</f>
        <v>19.1433528317977</v>
      </c>
      <c r="J9986" s="6" t="n">
        <f aca="false">(1-Sens!J9984)*(Sens!J9981+Sens!J9983)</f>
        <v>21.7578594710146</v>
      </c>
      <c r="K9986" s="6" t="n">
        <f aca="false">(1-Sens!K9984)*(Sens!K9981+Sens!K9983)</f>
        <v>23.1609494366731</v>
      </c>
    </row>
    <row r="9987" customFormat="false" ht="17.15" hidden="false" customHeight="false" outlineLevel="0" collapsed="false">
      <c r="A9987" s="1" t="s">
        <v>831</v>
      </c>
      <c r="B9987" s="0" t="s">
        <v>350</v>
      </c>
      <c r="C9987" s="8" t="n">
        <f aca="false">cxit_open</f>
        <v>27.5918995</v>
      </c>
      <c r="D9987" s="8" t="n">
        <f aca="false">cxit_open</f>
        <v>27.5918995</v>
      </c>
      <c r="E9987" s="8" t="n">
        <f aca="false">cxit_open</f>
        <v>27.5918995</v>
      </c>
      <c r="F9987" s="8" t="n">
        <f aca="false">(a_g3_27*tk_cxit_gb300+(1-a_g3_27)*tk_cxit_vr200)</f>
        <v>33.8419624</v>
      </c>
      <c r="G9987" s="8" t="n">
        <f aca="false">(a_g3_28*tk_cxit_gb300+(1-a_g3_28)*tk_cxit_vr200)</f>
        <v>35.9816136</v>
      </c>
      <c r="H9987" s="8" t="n">
        <f aca="false">(a_g3_29*tk_cxit_gb300+(1-a_g3_29)*tk_cxit_vr200)</f>
        <v>37.0514392</v>
      </c>
      <c r="I9987" s="8" t="n">
        <f aca="false">(a_g3_29*tk_cxit_gb300+(1-a_g3_29)*tk_cxit_vr200)</f>
        <v>37.0514392</v>
      </c>
      <c r="J9987" s="8" t="n">
        <f aca="false">(a_g3_29*tk_cxit_gb300+(1-a_g3_29)*tk_cxit_vr200)</f>
        <v>37.0514392</v>
      </c>
      <c r="K9987" s="8" t="n">
        <f aca="false">(a_g3_29*tk_cxit_gb300+(1-a_g3_29)*tk_cxit_vr200)</f>
        <v>37.0514392</v>
      </c>
      <c r="L9987" s="11" t="s">
        <v>832</v>
      </c>
    </row>
    <row r="9988" customFormat="false" ht="17.15" hidden="false" customHeight="false" outlineLevel="0" collapsed="false">
      <c r="A9988" s="0" t="s">
        <v>833</v>
      </c>
      <c r="B9988" s="0" t="s">
        <v>392</v>
      </c>
      <c r="F9988" s="29" t="n">
        <f aca="false">Sens!C9969*IF(Sens!F9962-Sens!C9962=life_it,1,0)+Sens!D9969*IF(Sens!F9962-Sens!D9962=life_it,1,0)+Sens!E9969*IF(Sens!F9962-Sens!E9962=life_it,1,0)</f>
        <v>0</v>
      </c>
      <c r="G9988" s="29" t="n">
        <f aca="false">Sens!C9969*IF(Sens!G9962-Sens!C9962=life_it,1,0)+Sens!D9969*IF(Sens!G9962-Sens!D9962=life_it,1,0)+Sens!E9969*IF(Sens!G9962-Sens!E9962=life_it,1,0)+Sens!F9969*IF(Sens!G9962-Sens!F9962=life_it,1,0)</f>
        <v>0</v>
      </c>
      <c r="H9988" s="29" t="n">
        <f aca="false">Sens!C9969*IF(Sens!H9962-Sens!C9962=life_it,1,0)+Sens!D9969*IF(Sens!H9962-Sens!D9962=life_it,1,0)+Sens!E9969*IF(Sens!H9962-Sens!E9962=life_it,1,0)+Sens!F9969*IF(Sens!H9962-Sens!F9962=life_it,1,0)+Sens!G9969*IF(Sens!H9962-Sens!G9962=life_it,1,0)</f>
        <v>0</v>
      </c>
      <c r="I9988" s="29" t="n">
        <f aca="false">Sens!C9969*IF(Sens!I9962-Sens!C9962=life_it,1,0)+Sens!D9969*IF(Sens!I9962-Sens!D9962=life_it,1,0)+Sens!E9969*IF(Sens!I9962-Sens!E9962=life_it,1,0)+Sens!F9969*IF(Sens!I9962-Sens!F9962=life_it,1,0)+Sens!G9969*IF(Sens!I9962-Sens!G9962=life_it,1,0)+Sens!H9969*IF(Sens!I9962-Sens!H9962=life_it,1,0)</f>
        <v>816.666666666667</v>
      </c>
      <c r="J9988" s="29" t="n">
        <f aca="false">Sens!C9969*IF(Sens!J9962-Sens!C9962=life_it,1,0)+Sens!D9969*IF(Sens!J9962-Sens!D9962=life_it,1,0)+Sens!E9969*IF(Sens!J9962-Sens!E9962=life_it,1,0)+Sens!F9969*IF(Sens!J9962-Sens!F9962=life_it,1,0)+Sens!G9969*IF(Sens!J9962-Sens!G9962=life_it,1,0)+Sens!H9969*IF(Sens!J9962-Sens!H9962=life_it,1,0)+Sens!I9969*IF(Sens!J9962-Sens!I9962=life_it,1,0)</f>
        <v>1233.33333333333</v>
      </c>
      <c r="K9988" s="29" t="n">
        <f aca="false">Sens!C9969*IF(Sens!K9962-Sens!C9962=life_it,1,0)+Sens!D9969*IF(Sens!K9962-Sens!D9962=life_it,1,0)+Sens!E9969*IF(Sens!K9962-Sens!E9962=life_it,1,0)+Sens!F9969*IF(Sens!K9962-Sens!F9962=life_it,1,0)+Sens!G9969*IF(Sens!K9962-Sens!G9962=life_it,1,0)+Sens!H9969*IF(Sens!K9962-Sens!H9962=life_it,1,0)+Sens!I9969*IF(Sens!K9962-Sens!I9962=life_it,1,0)+Sens!J9969*IF(Sens!K9962-Sens!J9962=life_it,1,0)</f>
        <v>2450</v>
      </c>
      <c r="L9988" s="1" t="s">
        <v>834</v>
      </c>
    </row>
    <row r="9989" customFormat="false" ht="17.15" hidden="false" customHeight="false" outlineLevel="0" collapsed="false">
      <c r="A9989" s="0" t="s">
        <v>835</v>
      </c>
      <c r="B9989" s="0" t="s">
        <v>98</v>
      </c>
      <c r="C9989" s="6" t="n">
        <f aca="false">Sens!C9969*Sens!C9987/1000</f>
        <v>22.5333845916667</v>
      </c>
      <c r="D9989" s="6" t="n">
        <f aca="false">Sens!D9969*Sens!D9987/1000</f>
        <v>34.0300093833333</v>
      </c>
      <c r="E9989" s="6" t="n">
        <f aca="false">Sens!E9969*Sens!E9987/1000</f>
        <v>67.600153775</v>
      </c>
      <c r="F9989" s="6" t="n">
        <f aca="false">(Sens!F9969+Sens!F9988)*Sens!F9987/1000</f>
        <v>130.923271871467</v>
      </c>
      <c r="G9989" s="6" t="n">
        <f aca="false">(Sens!G9969+Sens!G9988)*Sens!G9987/1000</f>
        <v>151.5545564832</v>
      </c>
      <c r="H9989" s="6" t="n">
        <f aca="false">(Sens!H9969+Sens!H9988)*Sens!H9987/1000</f>
        <v>156.0606619104</v>
      </c>
      <c r="I9989" s="6" t="n">
        <f aca="false">(Sens!I9969+Sens!I9988)*Sens!I9987/1000</f>
        <v>140.987889434245</v>
      </c>
      <c r="J9989" s="6" t="n">
        <f aca="false">(Sens!J9969+Sens!J9988)*Sens!J9987/1000</f>
        <v>111.094541278091</v>
      </c>
      <c r="K9989" s="6" t="n">
        <f aca="false">(Sens!K9969+Sens!K9988)*Sens!K9987/1000</f>
        <v>110.842344481936</v>
      </c>
    </row>
    <row r="9990" customFormat="false" ht="17.15" hidden="false" customHeight="false" outlineLevel="0" collapsed="false">
      <c r="A9990" s="0" t="s">
        <v>836</v>
      </c>
      <c r="B9990" s="0" t="s">
        <v>98</v>
      </c>
      <c r="C9990" s="6" t="n">
        <f aca="false">Sens!C9969*self_build*tk_cxfac/1000</f>
        <v>6.2083</v>
      </c>
      <c r="D9990" s="6" t="n">
        <f aca="false">Sens!D9969*self_build*tk_cxfac/1000</f>
        <v>9.3758</v>
      </c>
      <c r="E9990" s="6" t="n">
        <f aca="false">Sens!E9969*self_build*tk_cxfac/1000</f>
        <v>18.6249</v>
      </c>
      <c r="F9990" s="6" t="n">
        <f aca="false">Sens!F9969*self_build*tk_cxfac/1000</f>
        <v>29.409604</v>
      </c>
      <c r="G9990" s="6" t="n">
        <f aca="false">Sens!G9969*self_build*tk_cxfac/1000</f>
        <v>32.019624</v>
      </c>
      <c r="H9990" s="6" t="n">
        <f aca="false">Sens!H9969*self_build*tk_cxfac/1000</f>
        <v>32.019624</v>
      </c>
      <c r="I9990" s="6" t="n">
        <f aca="false">Sens!I9969*self_build*tk_cxfac/1000</f>
        <v>22.71877972</v>
      </c>
      <c r="J9990" s="6" t="n">
        <f aca="false">Sens!J9969*self_build*tk_cxfac/1000</f>
        <v>13.41793544</v>
      </c>
      <c r="K9990" s="6" t="n">
        <f aca="false">Sens!K9969*self_build*tk_cxfac/1000</f>
        <v>4.11709116000001</v>
      </c>
    </row>
    <row r="9991" customFormat="false" ht="17.15" hidden="false" customHeight="false" outlineLevel="0" collapsed="false">
      <c r="A9991" s="0" t="s">
        <v>837</v>
      </c>
      <c r="B9991" s="0" t="s">
        <v>98</v>
      </c>
      <c r="F9991" s="6" t="n">
        <f aca="false">MAX(0,capex_floor27-Sens!F9989-Sens!F9990-Sens!F10084)</f>
        <v>8.29213489897089</v>
      </c>
      <c r="L9991" s="1" t="s">
        <v>838</v>
      </c>
    </row>
    <row r="9992" customFormat="false" ht="17.15" hidden="false" customHeight="false" outlineLevel="0" collapsed="false">
      <c r="A9992" s="0" t="s">
        <v>839</v>
      </c>
      <c r="B9992" s="0" t="s">
        <v>98</v>
      </c>
      <c r="C9992" s="6" t="n">
        <f aca="false">Sens!C9989</f>
        <v>22.5333845916667</v>
      </c>
      <c r="D9992" s="6" t="n">
        <f aca="false">Sens!D9989</f>
        <v>34.0300093833333</v>
      </c>
      <c r="E9992" s="6" t="n">
        <f aca="false">Sens!E9989</f>
        <v>67.600153775</v>
      </c>
      <c r="F9992" s="6" t="n">
        <f aca="false">Sens!F9989+Sens!F9991</f>
        <v>139.215406770438</v>
      </c>
      <c r="G9992" s="6" t="n">
        <f aca="false">Sens!G9989</f>
        <v>151.5545564832</v>
      </c>
      <c r="H9992" s="6" t="n">
        <f aca="false">Sens!H9989</f>
        <v>156.0606619104</v>
      </c>
      <c r="I9992" s="6" t="n">
        <f aca="false">Sens!I9989</f>
        <v>140.987889434245</v>
      </c>
      <c r="J9992" s="6" t="n">
        <f aca="false">Sens!J9989</f>
        <v>111.094541278091</v>
      </c>
      <c r="K9992" s="6" t="n">
        <f aca="false">Sens!K9989</f>
        <v>110.842344481936</v>
      </c>
    </row>
    <row r="9993" customFormat="false" ht="17.15" hidden="false" customHeight="false" outlineLevel="0" collapsed="false">
      <c r="A9993" s="0" t="s">
        <v>840</v>
      </c>
      <c r="B9993" s="0" t="s">
        <v>98</v>
      </c>
      <c r="C9993" s="6" t="n">
        <f aca="false">Sens!C9992+Sens!C9990</f>
        <v>28.7416845916667</v>
      </c>
      <c r="D9993" s="6" t="n">
        <f aca="false">Sens!D9992+Sens!D9990</f>
        <v>43.4058093833333</v>
      </c>
      <c r="E9993" s="6" t="n">
        <f aca="false">Sens!E9992+Sens!E9990</f>
        <v>86.225053775</v>
      </c>
      <c r="F9993" s="6" t="n">
        <f aca="false">Sens!F9992+Sens!F9990</f>
        <v>168.625010770438</v>
      </c>
      <c r="G9993" s="6" t="n">
        <f aca="false">Sens!G9992+Sens!G9990</f>
        <v>183.5741804832</v>
      </c>
      <c r="H9993" s="6" t="n">
        <f aca="false">Sens!H9992+Sens!H9990</f>
        <v>188.0802859104</v>
      </c>
      <c r="I9993" s="6" t="n">
        <f aca="false">Sens!I9992+Sens!I9990</f>
        <v>163.706669154245</v>
      </c>
      <c r="J9993" s="6" t="n">
        <f aca="false">Sens!J9992+Sens!J9990</f>
        <v>124.51247671809</v>
      </c>
      <c r="K9993" s="6" t="n">
        <f aca="false">Sens!K9992+Sens!K9990</f>
        <v>114.959435641936</v>
      </c>
      <c r="L9993" s="11" t="s">
        <v>841</v>
      </c>
    </row>
    <row r="9994" customFormat="false" ht="17.15" hidden="false" customHeight="false" outlineLevel="0" collapsed="false">
      <c r="A9994" s="0" t="s">
        <v>842</v>
      </c>
      <c r="B9994" s="0" t="s">
        <v>98</v>
      </c>
      <c r="E9994" s="6" t="n">
        <f aca="false">(Sens!C9992*IF(2&lt;life_it,1,IF(2=life_it,0.5,0))+Sens!D9992*IF(1&lt;life_it,1,IF(1=life_it,0.5,0))+Sens!E9992*0.5)/life_it</f>
        <v>15.0605784770833</v>
      </c>
      <c r="F9994" s="6" t="n">
        <f aca="false">(Sens!C9992*IF(3&lt;life_it,1,IF(3=life_it,0.5,0))+Sens!D9992*IF(2&lt;life_it,1,IF(2=life_it,0.5,0))+Sens!E9992*IF(1&lt;life_it,1,IF(1=life_it,0.5,0))+Sens!F9992*0.5)/life_it</f>
        <v>32.2952085225365</v>
      </c>
      <c r="G9994" s="6" t="n">
        <f aca="false">(Sens!C9992*IF(4&lt;life_it,1,IF(4=life_it,0.5,0))+Sens!D9992*IF(3&lt;life_it,1,IF(3=life_it,0.5,0))+Sens!E9992*IF(2&lt;life_it,1,IF(2=life_it,0.5,0))+Sens!F9992*IF(1&lt;life_it,1,IF(1=life_it,0.5,0))+Sens!G9992*0.5)/life_it</f>
        <v>56.5260387936729</v>
      </c>
      <c r="H9994" s="6" t="n">
        <f aca="false">(Sens!C9992*IF(5&lt;life_it,1,IF(5=life_it,0.5,0))+Sens!D9992*IF(4&lt;life_it,1,IF(4=life_it,0.5,0))+Sens!E9992*IF(3&lt;life_it,1,IF(3=life_it,0.5,0))+Sens!F9992*IF(2&lt;life_it,1,IF(2=life_it,0.5,0))+Sens!G9992*IF(1&lt;life_it,1,IF(1=life_it,0.5,0))+Sens!H9992*0.5)/life_it</f>
        <v>82.1606403264729</v>
      </c>
      <c r="I9994" s="6" t="n">
        <f aca="false">(Sens!C9992*IF(6&lt;life_it,1,IF(6=life_it,0.5,0))+Sens!D9992*IF(5&lt;life_it,1,IF(5=life_it,0.5,0))+Sens!E9992*IF(4&lt;life_it,1,IF(4=life_it,0.5,0))+Sens!F9992*IF(3&lt;life_it,1,IF(3=life_it,0.5,0))+Sens!G9992*IF(2&lt;life_it,1,IF(2=life_it,0.5,0))+Sens!H9992*IF(1&lt;life_it,1,IF(1=life_it,0.5,0))+Sens!I9992*0.5)/life_it</f>
        <v>105.036904222554</v>
      </c>
      <c r="J9994" s="6" t="n">
        <f aca="false">(Sens!C9992*IF(7&lt;life_it,1,IF(7=life_it,0.5,0))+Sens!D9992*IF(6&lt;life_it,1,IF(6=life_it,0.5,0))+Sens!E9992*IF(5&lt;life_it,1,IF(5=life_it,0.5,0))+Sens!F9992*IF(4&lt;life_it,1,IF(4=life_it,0.5,0))+Sens!G9992*IF(3&lt;life_it,1,IF(3=life_it,0.5,0))+Sens!H9992*IF(2&lt;life_it,1,IF(2=life_it,0.5,0))+Sens!I9992*IF(1&lt;life_it,1,IF(1=life_it,0.5,0))+Sens!J9992*0.5)/life_it</f>
        <v>121.330157283999</v>
      </c>
      <c r="K9994" s="6" t="n">
        <f aca="false">(Sens!C9992*IF(8&lt;life_it,1,IF(8=life_it,0.5,0))+Sens!D9992*IF(7&lt;life_it,1,IF(7=life_it,0.5,0))+Sens!E9992*IF(6&lt;life_it,1,IF(6=life_it,0.5,0))+Sens!F9992*IF(5&lt;life_it,1,IF(5=life_it,0.5,0))+Sens!G9992*IF(4&lt;life_it,1,IF(4=life_it,0.5,0))+Sens!H9992*IF(3&lt;life_it,1,IF(3=life_it,0.5,0))+Sens!I9992*IF(2&lt;life_it,1,IF(2=life_it,0.5,0))+Sens!J9992*IF(1&lt;life_it,1,IF(1=life_it,0.5,0))+Sens!K9992*0.5)/life_it</f>
        <v>131.355717500807</v>
      </c>
    </row>
    <row r="9995" customFormat="false" ht="17.15" hidden="false" customHeight="false" outlineLevel="0" collapsed="false">
      <c r="A9995" s="0" t="s">
        <v>843</v>
      </c>
      <c r="B9995" s="0" t="s">
        <v>98</v>
      </c>
      <c r="E9995" s="6" t="n">
        <f aca="false">(Sens!C9990*IF(2&lt;life_fac,1,IF(2=life_fac,0.5,0))+Sens!D9990*IF(1&lt;life_fac,1,IF(1=life_fac,0.5,0))+Sens!E9990*0.5)/life_fac</f>
        <v>1.2448275</v>
      </c>
      <c r="F9995" s="6" t="n">
        <f aca="false">(Sens!C9990*IF(3&lt;life_fac,1,IF(3=life_fac,0.5,0))+Sens!D9990*IF(2&lt;life_fac,1,IF(2=life_fac,0.5,0))+Sens!E9990*IF(1&lt;life_fac,1,IF(1=life_fac,0.5,0))+Sens!F9990*0.5)/life_fac</f>
        <v>2.4456901</v>
      </c>
      <c r="G9995" s="6" t="n">
        <f aca="false">(Sens!C9990*IF(4&lt;life_fac,1,IF(4=life_fac,0.5,0))+Sens!D9990*IF(3&lt;life_fac,1,IF(3=life_fac,0.5,0))+Sens!E9990*IF(2&lt;life_fac,1,IF(2=life_fac,0.5,0))+Sens!F9990*IF(1&lt;life_fac,1,IF(1=life_fac,0.5,0))+Sens!G9990*0.5)/life_fac</f>
        <v>3.9814208</v>
      </c>
      <c r="H9995" s="6" t="n">
        <f aca="false">(Sens!C9990*IF(5&lt;life_fac,1,IF(5=life_fac,0.5,0))+Sens!D9990*IF(4&lt;life_fac,1,IF(4=life_fac,0.5,0))+Sens!E9990*IF(3&lt;life_fac,1,IF(3=life_fac,0.5,0))+Sens!F9990*IF(2&lt;life_fac,1,IF(2=life_fac,0.5,0))+Sens!G9990*IF(1&lt;life_fac,1,IF(1=life_fac,0.5,0))+Sens!H9990*0.5)/life_fac</f>
        <v>5.582402</v>
      </c>
      <c r="I9995" s="6" t="n">
        <f aca="false">(Sens!C9990*IF(6&lt;life_fac,1,IF(6=life_fac,0.5,0))+Sens!D9990*IF(5&lt;life_fac,1,IF(5=life_fac,0.5,0))+Sens!E9990*IF(4&lt;life_fac,1,IF(4=life_fac,0.5,0))+Sens!F9990*IF(3&lt;life_fac,1,IF(3=life_fac,0.5,0))+Sens!G9990*IF(2&lt;life_fac,1,IF(2=life_fac,0.5,0))+Sens!H9990*IF(1&lt;life_fac,1,IF(1=life_fac,0.5,0))+Sens!I9990*0.5)/life_fac</f>
        <v>6.950862093</v>
      </c>
      <c r="J9995" s="6" t="n">
        <f aca="false">(Sens!C9990*IF(7&lt;life_fac,1,IF(7=life_fac,0.5,0))+Sens!D9990*IF(6&lt;life_fac,1,IF(6=life_fac,0.5,0))+Sens!E9990*IF(5&lt;life_fac,1,IF(5=life_fac,0.5,0))+Sens!F9990*IF(4&lt;life_fac,1,IF(4=life_fac,0.5,0))+Sens!G9990*IF(3&lt;life_fac,1,IF(3=life_fac,0.5,0))+Sens!H9990*IF(2&lt;life_fac,1,IF(2=life_fac,0.5,0))+Sens!I9990*IF(1&lt;life_fac,1,IF(1=life_fac,0.5,0))+Sens!J9990*0.5)/life_fac</f>
        <v>7.854279972</v>
      </c>
      <c r="K9995" s="6" t="n">
        <f aca="false">(Sens!C9990*IF(8&lt;life_fac,1,IF(8=life_fac,0.5,0))+Sens!D9990*IF(7&lt;life_fac,1,IF(7=life_fac,0.5,0))+Sens!E9990*IF(6&lt;life_fac,1,IF(6=life_fac,0.5,0))+Sens!F9990*IF(5&lt;life_fac,1,IF(5=life_fac,0.5,0))+Sens!G9990*IF(4&lt;life_fac,1,IF(4=life_fac,0.5,0))+Sens!H9990*IF(3&lt;life_fac,1,IF(3=life_fac,0.5,0))+Sens!I9990*IF(2&lt;life_fac,1,IF(2=life_fac,0.5,0))+Sens!J9990*IF(1&lt;life_fac,1,IF(1=life_fac,0.5,0))+Sens!K9990*0.5)/life_fac</f>
        <v>8.292655637</v>
      </c>
    </row>
    <row r="9996" customFormat="false" ht="17.15" hidden="false" customHeight="false" outlineLevel="0" collapsed="false">
      <c r="A9996" s="0" t="s">
        <v>844</v>
      </c>
      <c r="B9996" s="0" t="s">
        <v>98</v>
      </c>
      <c r="E9996" s="6" t="n">
        <f aca="false">Sens!E9994+Sens!E9995</f>
        <v>16.3054059770833</v>
      </c>
      <c r="F9996" s="6" t="n">
        <f aca="false">Sens!F9994+Sens!F9995</f>
        <v>34.7408986225365</v>
      </c>
      <c r="G9996" s="6" t="n">
        <f aca="false">Sens!G9994+Sens!G9995</f>
        <v>60.5074595936729</v>
      </c>
      <c r="H9996" s="6" t="n">
        <f aca="false">Sens!H9994+Sens!H9995</f>
        <v>87.7430423264729</v>
      </c>
      <c r="I9996" s="6" t="n">
        <f aca="false">Sens!I9994+Sens!I9995</f>
        <v>111.987766315554</v>
      </c>
      <c r="J9996" s="6" t="n">
        <f aca="false">Sens!J9994+Sens!J9995</f>
        <v>129.184437255999</v>
      </c>
      <c r="K9996" s="6" t="n">
        <f aca="false">Sens!K9994+Sens!K9995</f>
        <v>139.648373137807</v>
      </c>
    </row>
    <row r="9997" customFormat="false" ht="17.15" hidden="false" customHeight="false" outlineLevel="0" collapsed="false">
      <c r="A9997" s="0" t="s">
        <v>845</v>
      </c>
      <c r="B9997" s="0" t="s">
        <v>98</v>
      </c>
      <c r="E9997" s="6" t="n">
        <f aca="false">Sens!E9985-Sens!E9984*Sens!E9996</f>
        <v>8.92707889977379</v>
      </c>
      <c r="F9997" s="6" t="n">
        <f aca="false">Sens!F9985-Sens!F9984*Sens!F9996</f>
        <v>18.614901575672</v>
      </c>
      <c r="G9997" s="6" t="n">
        <f aca="false">Sens!G9985-Sens!G9984*Sens!G9996</f>
        <v>30.2482788016024</v>
      </c>
      <c r="H9997" s="6" t="n">
        <f aca="false">Sens!H9985-Sens!H9984*Sens!H9996</f>
        <v>42.5738195879752</v>
      </c>
      <c r="I9997" s="6" t="n">
        <f aca="false">Sens!I9985-Sens!I9984*Sens!I9996</f>
        <v>53.5299312284555</v>
      </c>
      <c r="J9997" s="6" t="n">
        <f aca="false">Sens!J9985-Sens!J9984*Sens!J9996</f>
        <v>61.1262681656484</v>
      </c>
      <c r="K9997" s="6" t="n">
        <f aca="false">Sens!K9985-Sens!K9984*Sens!K9996</f>
        <v>66.3458137357137</v>
      </c>
    </row>
    <row r="9998" customFormat="false" ht="17.15" hidden="false" customHeight="false" outlineLevel="0" collapsed="false">
      <c r="A9998" s="3" t="s">
        <v>1495</v>
      </c>
    </row>
    <row r="9999" customFormat="false" ht="15" hidden="false" customHeight="false" outlineLevel="0" collapsed="false">
      <c r="A9999" s="4" t="s">
        <v>43</v>
      </c>
      <c r="B9999" s="4" t="s">
        <v>65</v>
      </c>
      <c r="C9999" s="20" t="s">
        <v>788</v>
      </c>
      <c r="D9999" s="20" t="s">
        <v>789</v>
      </c>
      <c r="E9999" s="20" t="s">
        <v>790</v>
      </c>
      <c r="F9999" s="20" t="s">
        <v>791</v>
      </c>
      <c r="G9999" s="20" t="s">
        <v>792</v>
      </c>
      <c r="H9999" s="20" t="s">
        <v>793</v>
      </c>
      <c r="I9999" s="20" t="s">
        <v>794</v>
      </c>
      <c r="J9999" s="20" t="s">
        <v>795</v>
      </c>
      <c r="K9999" s="20" t="s">
        <v>796</v>
      </c>
      <c r="L9999" s="4" t="s">
        <v>47</v>
      </c>
    </row>
    <row r="10000" customFormat="false" ht="17.15" hidden="false" customHeight="false" outlineLevel="0" collapsed="false">
      <c r="A10000" s="0" t="s">
        <v>864</v>
      </c>
      <c r="B10000" s="0" t="s">
        <v>98</v>
      </c>
      <c r="D10000" s="6" t="n">
        <f aca="false">Sens!D9979</f>
        <v>12.9359794422418</v>
      </c>
      <c r="E10000" s="6" t="n">
        <f aca="false">Sens!E9979</f>
        <v>27.8095064661409</v>
      </c>
      <c r="F10000" s="6" t="n">
        <f aca="false">Sens!F9979</f>
        <v>55.0640065749585</v>
      </c>
      <c r="G10000" s="6" t="n">
        <f aca="false">Sens!G9979</f>
        <v>89.4505413190538</v>
      </c>
      <c r="H10000" s="6" t="n">
        <f aca="false">Sens!H9979</f>
        <v>124.835630736874</v>
      </c>
      <c r="I10000" s="6" t="n">
        <f aca="false">Sens!I9979</f>
        <v>156.158460265485</v>
      </c>
      <c r="J10000" s="6" t="n">
        <f aca="false">Sens!J9979</f>
        <v>177.99455972577</v>
      </c>
      <c r="K10000" s="6" t="n">
        <f aca="false">Sens!K9979</f>
        <v>191.597101773408</v>
      </c>
    </row>
    <row r="10001" customFormat="false" ht="17.15" hidden="false" customHeight="false" outlineLevel="0" collapsed="false">
      <c r="A10001" s="0" t="s">
        <v>865</v>
      </c>
      <c r="B10001" s="0" t="s">
        <v>98</v>
      </c>
      <c r="D10001" s="6" t="n">
        <f aca="false">Q!L6-Sens!D10000</f>
        <v>59.6740205577583</v>
      </c>
      <c r="E10001" s="6" t="n">
        <f aca="false">Q!M6-Sens!E10000</f>
        <v>74.1284935338591</v>
      </c>
      <c r="F10001" s="6" t="n">
        <f aca="false">Sens!E10001*(1+Sens!F10002)</f>
        <v>90.0799497373663</v>
      </c>
      <c r="G10001" s="6" t="n">
        <f aca="false">Sens!F10001*(1+Sens!G10002)</f>
        <v>107.02842520331</v>
      </c>
      <c r="H10001" s="6" t="n">
        <f aca="false">Sens!G10001*(1+Sens!H10002)</f>
        <v>124.271982585636</v>
      </c>
      <c r="I10001" s="6" t="n">
        <f aca="false">Sens!H10001*(1+Sens!I10002)</f>
        <v>140.933702381855</v>
      </c>
      <c r="J10001" s="6" t="n">
        <f aca="false">Sens!I10001*(1+Sens!J10002)</f>
        <v>156.018867314332</v>
      </c>
      <c r="K10001" s="6" t="n">
        <f aca="false">Sens!J10001*(1+Sens!K10002)</f>
        <v>168.500376699478</v>
      </c>
    </row>
    <row r="10002" customFormat="false" ht="15" hidden="false" customHeight="false" outlineLevel="0" collapsed="false">
      <c r="A10002" s="1" t="s">
        <v>866</v>
      </c>
      <c r="B10002" s="0" t="s">
        <v>129</v>
      </c>
      <c r="E10002" s="7" t="n">
        <f aca="false">Sens!E10001/Sens!D10001-1</f>
        <v>0.242223883039864</v>
      </c>
      <c r="F10002" s="7" t="n">
        <f aca="false">Sens!$E$10002+(glt_azo-Sens!$E$10002)*MIN(1,(Sens!F9962-base_fy)/n_conv)</f>
        <v>0.215186569199887</v>
      </c>
      <c r="G10002" s="7" t="n">
        <f aca="false">Sens!$E$10002+(glt_azo-Sens!$E$10002)*MIN(1,(Sens!G9962-base_fy)/n_conv)</f>
        <v>0.18814925535991</v>
      </c>
      <c r="H10002" s="7" t="n">
        <f aca="false">Sens!$E$10002+(glt_azo-Sens!$E$10002)*MIN(1,(Sens!H9962-base_fy)/n_conv)</f>
        <v>0.161111941519932</v>
      </c>
      <c r="I10002" s="7" t="n">
        <f aca="false">Sens!$E$10002+(glt_azo-Sens!$E$10002)*MIN(1,(Sens!I9962-base_fy)/n_conv)</f>
        <v>0.134074627679955</v>
      </c>
      <c r="J10002" s="7" t="n">
        <f aca="false">Sens!$E$10002+(glt_azo-Sens!$E$10002)*MIN(1,(Sens!J9962-base_fy)/n_conv)</f>
        <v>0.107037313839977</v>
      </c>
      <c r="K10002" s="7" t="n">
        <f aca="false">Sens!$E$10002+(glt_azo-Sens!$E$10002)*MIN(1,(Sens!K9962-base_fy)/n_conv)</f>
        <v>0.08</v>
      </c>
    </row>
    <row r="10003" customFormat="false" ht="15" hidden="false" customHeight="false" outlineLevel="0" collapsed="false">
      <c r="A10003" s="0" t="s">
        <v>867</v>
      </c>
      <c r="B10003" s="0" t="s">
        <v>98</v>
      </c>
      <c r="D10003" s="6" t="n">
        <f aca="false">Sens!D10000+Sens!D10001</f>
        <v>72.61</v>
      </c>
      <c r="E10003" s="6" t="n">
        <f aca="false">Sens!E10000+Sens!E10001</f>
        <v>101.938</v>
      </c>
      <c r="F10003" s="6" t="n">
        <f aca="false">Sens!F10000+Sens!F10001</f>
        <v>145.143956312325</v>
      </c>
      <c r="G10003" s="6" t="n">
        <f aca="false">Sens!G10000+Sens!G10001</f>
        <v>196.478966522364</v>
      </c>
      <c r="H10003" s="6" t="n">
        <f aca="false">Sens!H10000+Sens!H10001</f>
        <v>249.10761332251</v>
      </c>
      <c r="I10003" s="6" t="n">
        <f aca="false">Sens!I10000+Sens!I10001</f>
        <v>297.09216264734</v>
      </c>
      <c r="J10003" s="6" t="n">
        <f aca="false">Sens!J10000+Sens!J10001</f>
        <v>334.013427040101</v>
      </c>
      <c r="K10003" s="6" t="n">
        <f aca="false">Sens!K10000+Sens!K10001</f>
        <v>360.097478472886</v>
      </c>
    </row>
    <row r="10004" customFormat="false" ht="17.15" hidden="false" customHeight="false" outlineLevel="0" collapsed="false">
      <c r="A10004" s="0" t="s">
        <v>868</v>
      </c>
      <c r="B10004" s="1" t="s">
        <v>521</v>
      </c>
      <c r="C10004" s="29" t="n">
        <f aca="false">cop_s24</f>
        <v>1</v>
      </c>
      <c r="D10004" s="29" t="n">
        <f aca="false">cop_s25</f>
        <v>5</v>
      </c>
      <c r="E10004" s="29" t="n">
        <f aca="false">cop_s26</f>
        <v>30</v>
      </c>
      <c r="F10004" s="29" t="n">
        <f aca="false">Sens!E10004+cop_add_B</f>
        <v>50</v>
      </c>
      <c r="G10004" s="29" t="n">
        <f aca="false">Sens!F10004+cop_add_B</f>
        <v>70</v>
      </c>
      <c r="H10004" s="29" t="n">
        <f aca="false">Sens!G10004+cop_add_B</f>
        <v>90</v>
      </c>
      <c r="I10004" s="29" t="n">
        <f aca="false">Sens!H10004+cop_add_B*cop_tail</f>
        <v>100</v>
      </c>
      <c r="J10004" s="29" t="n">
        <f aca="false">Sens!I10004+cop_add_B*cop_tail</f>
        <v>110</v>
      </c>
      <c r="K10004" s="29" t="n">
        <f aca="false">Sens!J10004+cop_add_B*cop_tail</f>
        <v>120</v>
      </c>
      <c r="L10004" s="11" t="s">
        <v>869</v>
      </c>
    </row>
    <row r="10005" customFormat="false" ht="17.15" hidden="false" customHeight="false" outlineLevel="0" collapsed="false">
      <c r="A10005" s="0" t="s">
        <v>870</v>
      </c>
      <c r="B10005" s="0" t="s">
        <v>98</v>
      </c>
      <c r="D10005" s="6" t="n">
        <f aca="false">(Sens!C10004+Sens!D10004)/2*cop_px*12/1000</f>
        <v>0.9</v>
      </c>
      <c r="E10005" s="6" t="n">
        <f aca="false">(Sens!D10004+Sens!E10004)/2*cop_px*12/1000</f>
        <v>5.25</v>
      </c>
      <c r="F10005" s="6" t="n">
        <f aca="false">(Sens!E10004+Sens!F10004)/2*cop_px*12/1000</f>
        <v>12</v>
      </c>
      <c r="G10005" s="6" t="n">
        <f aca="false">(Sens!F10004+Sens!G10004)/2*cop_px*12/1000</f>
        <v>18</v>
      </c>
      <c r="H10005" s="6" t="n">
        <f aca="false">(Sens!G10004+Sens!H10004)/2*cop_px*12/1000</f>
        <v>24</v>
      </c>
      <c r="I10005" s="6" t="n">
        <f aca="false">(Sens!H10004+Sens!I10004)/2*cop_px*12/1000</f>
        <v>28.5</v>
      </c>
      <c r="J10005" s="6" t="n">
        <f aca="false">(Sens!I10004+Sens!J10004)/2*cop_px*12/1000</f>
        <v>31.5</v>
      </c>
      <c r="K10005" s="6" t="n">
        <f aca="false">(Sens!J10004+Sens!K10004)/2*cop_px*12/1000</f>
        <v>34.5</v>
      </c>
      <c r="L10005" s="1" t="s">
        <v>871</v>
      </c>
    </row>
    <row r="10006" customFormat="false" ht="17.15" hidden="false" customHeight="false" outlineLevel="0" collapsed="false">
      <c r="A10006" s="0" t="s">
        <v>872</v>
      </c>
      <c r="B10006" s="0" t="s">
        <v>98</v>
      </c>
      <c r="D10006" s="6" t="n">
        <f aca="false">Q!L7-Sens!D10005</f>
        <v>83.705</v>
      </c>
      <c r="E10006" s="6" t="n">
        <f aca="false">Q!M7-Sens!E10005</f>
        <v>95.049</v>
      </c>
      <c r="F10006" s="6" t="n">
        <f aca="false">Sens!E10006*(1+Sens!F10007)</f>
        <v>106.89238776686</v>
      </c>
      <c r="G10006" s="6" t="n">
        <f aca="false">Sens!F10006*(1+Sens!G10007)</f>
        <v>119.044168448684</v>
      </c>
      <c r="H10006" s="6" t="n">
        <f aca="false">Sens!G10006*(1+Sens!H10007)</f>
        <v>131.277359388781</v>
      </c>
      <c r="I10006" s="6" t="n">
        <f aca="false">Sens!H10006*(1+Sens!I10007)</f>
        <v>143.334028071957</v>
      </c>
      <c r="J10006" s="6" t="n">
        <f aca="false">Sens!I10006*(1+Sens!J10007)</f>
        <v>154.932702785465</v>
      </c>
      <c r="K10006" s="6" t="n">
        <f aca="false">Sens!J10006*(1+Sens!K10007)</f>
        <v>165.777991980448</v>
      </c>
    </row>
    <row r="10007" customFormat="false" ht="15" hidden="false" customHeight="false" outlineLevel="0" collapsed="false">
      <c r="A10007" s="1" t="s">
        <v>866</v>
      </c>
      <c r="B10007" s="0" t="s">
        <v>129</v>
      </c>
      <c r="E10007" s="7" t="n">
        <f aca="false">Sens!E10006/Sens!D10006-1</f>
        <v>0.135523564900544</v>
      </c>
      <c r="F10007" s="7" t="n">
        <f aca="false">Sens!$E$10007+(glt_m365b-Sens!$E$10007)*MIN(1,(Sens!F9962-base_fy)/n_conv)</f>
        <v>0.124602970750453</v>
      </c>
      <c r="G10007" s="7" t="n">
        <f aca="false">Sens!$E$10007+(glt_m365b-Sens!$E$10007)*MIN(1,(Sens!G9962-base_fy)/n_conv)</f>
        <v>0.113682376600363</v>
      </c>
      <c r="H10007" s="7" t="n">
        <f aca="false">Sens!$E$10007+(glt_m365b-Sens!$E$10007)*MIN(1,(Sens!H9962-base_fy)/n_conv)</f>
        <v>0.102761782450272</v>
      </c>
      <c r="I10007" s="7" t="n">
        <f aca="false">Sens!$E$10007+(glt_m365b-Sens!$E$10007)*MIN(1,(Sens!I9962-base_fy)/n_conv)</f>
        <v>0.0918411883001813</v>
      </c>
      <c r="J10007" s="7" t="n">
        <f aca="false">Sens!$E$10007+(glt_m365b-Sens!$E$10007)*MIN(1,(Sens!J9962-base_fy)/n_conv)</f>
        <v>0.0809205941500906</v>
      </c>
      <c r="K10007" s="7" t="n">
        <f aca="false">Sens!$E$10007+(glt_m365b-Sens!$E$10007)*MIN(1,(Sens!K9962-base_fy)/n_conv)</f>
        <v>0.07</v>
      </c>
    </row>
    <row r="10008" customFormat="false" ht="15" hidden="false" customHeight="false" outlineLevel="0" collapsed="false">
      <c r="A10008" s="0" t="s">
        <v>873</v>
      </c>
      <c r="B10008" s="0" t="s">
        <v>98</v>
      </c>
      <c r="D10008" s="6" t="n">
        <f aca="false">Sens!D10006+Sens!D10005</f>
        <v>84.605</v>
      </c>
      <c r="E10008" s="6" t="n">
        <f aca="false">Sens!E10006+Sens!E10005</f>
        <v>100.299</v>
      </c>
      <c r="F10008" s="6" t="n">
        <f aca="false">Sens!F10006+Sens!F10005</f>
        <v>118.89238776686</v>
      </c>
      <c r="G10008" s="6" t="n">
        <f aca="false">Sens!G10006+Sens!G10005</f>
        <v>137.044168448684</v>
      </c>
      <c r="H10008" s="6" t="n">
        <f aca="false">Sens!H10006+Sens!H10005</f>
        <v>155.277359388781</v>
      </c>
      <c r="I10008" s="6" t="n">
        <f aca="false">Sens!I10006+Sens!I10005</f>
        <v>171.834028071957</v>
      </c>
      <c r="J10008" s="6" t="n">
        <f aca="false">Sens!J10006+Sens!J10005</f>
        <v>186.432702785465</v>
      </c>
      <c r="K10008" s="6" t="n">
        <f aca="false">Sens!K10006+Sens!K10005</f>
        <v>200.277991980448</v>
      </c>
    </row>
    <row r="10009" customFormat="false" ht="15" hidden="false" customHeight="false" outlineLevel="0" collapsed="false">
      <c r="A10009" s="0" t="s">
        <v>874</v>
      </c>
      <c r="B10009" s="0" t="s">
        <v>98</v>
      </c>
      <c r="D10009" s="6" t="n">
        <f aca="false">Q!L8</f>
        <v>35.391</v>
      </c>
      <c r="E10009" s="6" t="n">
        <f aca="false">Q!M8</f>
        <v>37.285</v>
      </c>
      <c r="F10009" s="6" t="n">
        <f aca="false">Sens!E10009*(1+Sens!F10010)</f>
        <v>39.0720834331704</v>
      </c>
      <c r="G10009" s="6" t="n">
        <f aca="false">Sens!F10009*(1+Sens!G10010)</f>
        <v>40.726562953769</v>
      </c>
      <c r="H10009" s="6" t="n">
        <f aca="false">Sens!G10009*(1+Sens!H10010)</f>
        <v>42.2235987259198</v>
      </c>
      <c r="I10009" s="6" t="n">
        <f aca="false">Sens!H10009*(1+Sens!I10010)</f>
        <v>43.5397988077414</v>
      </c>
      <c r="J10009" s="6" t="n">
        <f aca="false">Sens!I10009*(1+Sens!J10010)</f>
        <v>44.653811225693</v>
      </c>
      <c r="K10009" s="6" t="n">
        <f aca="false">Sens!J10009*(1+Sens!K10010)</f>
        <v>45.5468874502068</v>
      </c>
    </row>
    <row r="10010" customFormat="false" ht="15" hidden="false" customHeight="false" outlineLevel="0" collapsed="false">
      <c r="A10010" s="1" t="s">
        <v>866</v>
      </c>
      <c r="B10010" s="0" t="s">
        <v>129</v>
      </c>
      <c r="E10010" s="7" t="n">
        <f aca="false">Sens!E10009/Sens!D10009-1</f>
        <v>0.0535164307309768</v>
      </c>
      <c r="F10010" s="7" t="n">
        <f aca="false">Sens!$E$10010+(glt_lic-Sens!$E$10010)*MIN(1,(Sens!F9962-base_fy)/n_conv)</f>
        <v>0.0479303589424807</v>
      </c>
      <c r="G10010" s="7" t="n">
        <f aca="false">Sens!$E$10010+(glt_lic-Sens!$E$10010)*MIN(1,(Sens!G9962-base_fy)/n_conv)</f>
        <v>0.0423442871539845</v>
      </c>
      <c r="H10010" s="7" t="n">
        <f aca="false">Sens!$E$10010+(glt_lic-Sens!$E$10010)*MIN(1,(Sens!H9962-base_fy)/n_conv)</f>
        <v>0.0367582153654884</v>
      </c>
      <c r="I10010" s="7" t="n">
        <f aca="false">Sens!$E$10010+(glt_lic-Sens!$E$10010)*MIN(1,(Sens!I9962-base_fy)/n_conv)</f>
        <v>0.0311721435769923</v>
      </c>
      <c r="J10010" s="7" t="n">
        <f aca="false">Sens!$E$10010+(glt_lic-Sens!$E$10010)*MIN(1,(Sens!J9962-base_fy)/n_conv)</f>
        <v>0.0255860717884961</v>
      </c>
      <c r="K10010" s="7" t="n">
        <f aca="false">Sens!$E$10010+(glt_lic-Sens!$E$10010)*MIN(1,(Sens!K9962-base_fy)/n_conv)</f>
        <v>0.02</v>
      </c>
    </row>
    <row r="10011" customFormat="false" ht="15" hidden="false" customHeight="false" outlineLevel="0" collapsed="false">
      <c r="A10011" s="0" t="s">
        <v>875</v>
      </c>
      <c r="B10011" s="0" t="s">
        <v>98</v>
      </c>
      <c r="D10011" s="6" t="n">
        <f aca="false">Q!L9</f>
        <v>18.417</v>
      </c>
      <c r="E10011" s="6" t="n">
        <f aca="false">Q!M9</f>
        <v>20.345</v>
      </c>
      <c r="F10011" s="6" t="n">
        <f aca="false">Sens!E10011*(1+Sens!F10012)</f>
        <v>22.3572203267814</v>
      </c>
      <c r="G10011" s="6" t="n">
        <f aca="false">Sens!F10011*(1+Sens!G10012)</f>
        <v>24.4392124437232</v>
      </c>
      <c r="H10011" s="6" t="n">
        <f aca="false">Sens!G10011*(1+Sens!H10012)</f>
        <v>26.5738052080665</v>
      </c>
      <c r="I10011" s="6" t="n">
        <f aca="false">Sens!H10011*(1+Sens!I10012)</f>
        <v>28.7412169166967</v>
      </c>
      <c r="J10011" s="6" t="n">
        <f aca="false">Sens!I10011*(1+Sens!J10012)</f>
        <v>30.9192545395413</v>
      </c>
      <c r="K10011" s="6" t="n">
        <f aca="false">Sens!J10011*(1+Sens!K10012)</f>
        <v>33.0836023573092</v>
      </c>
    </row>
    <row r="10012" customFormat="false" ht="15" hidden="false" customHeight="false" outlineLevel="0" collapsed="false">
      <c r="A10012" s="1" t="s">
        <v>866</v>
      </c>
      <c r="B10012" s="0" t="s">
        <v>129</v>
      </c>
      <c r="E10012" s="7" t="n">
        <f aca="false">Sens!E10011/Sens!D10011-1</f>
        <v>0.104685888038225</v>
      </c>
      <c r="F10012" s="7" t="n">
        <f aca="false">Sens!$E$10012+(glt_ind-Sens!$E$10012)*MIN(1,(Sens!F9962-base_fy)/n_conv)</f>
        <v>0.0989049066985211</v>
      </c>
      <c r="G10012" s="7" t="n">
        <f aca="false">Sens!$E$10012+(glt_ind-Sens!$E$10012)*MIN(1,(Sens!G9962-base_fy)/n_conv)</f>
        <v>0.0931239253588169</v>
      </c>
      <c r="H10012" s="7" t="n">
        <f aca="false">Sens!$E$10012+(glt_ind-Sens!$E$10012)*MIN(1,(Sens!H9962-base_fy)/n_conv)</f>
        <v>0.0873429440191127</v>
      </c>
      <c r="I10012" s="7" t="n">
        <f aca="false">Sens!$E$10012+(glt_ind-Sens!$E$10012)*MIN(1,(Sens!I9962-base_fy)/n_conv)</f>
        <v>0.0815619626794085</v>
      </c>
      <c r="J10012" s="7" t="n">
        <f aca="false">Sens!$E$10012+(glt_ind-Sens!$E$10012)*MIN(1,(Sens!J9962-base_fy)/n_conv)</f>
        <v>0.0757809813397042</v>
      </c>
      <c r="K10012" s="7" t="n">
        <f aca="false">Sens!$E$10012+(glt_ind-Sens!$E$10012)*MIN(1,(Sens!K9962-base_fy)/n_conv)</f>
        <v>0.07</v>
      </c>
    </row>
    <row r="10013" customFormat="false" ht="15" hidden="false" customHeight="false" outlineLevel="0" collapsed="false">
      <c r="A10013" s="0" t="s">
        <v>876</v>
      </c>
      <c r="B10013" s="0" t="s">
        <v>98</v>
      </c>
      <c r="D10013" s="6" t="n">
        <f aca="false">Q!L10</f>
        <v>7.76</v>
      </c>
      <c r="E10013" s="6" t="n">
        <f aca="false">Q!M10</f>
        <v>8.26</v>
      </c>
      <c r="F10013" s="6" t="n">
        <f aca="false">Sens!E10013*(1+Sens!F10014)</f>
        <v>8.79988041237113</v>
      </c>
      <c r="G10013" s="6" t="n">
        <f aca="false">Sens!F10013*(1+Sens!G10014)</f>
        <v>9.38321269125306</v>
      </c>
      <c r="H10013" s="6" t="n">
        <f aca="false">Sens!G10013*(1+Sens!H10014)</f>
        <v>10.0139193587476</v>
      </c>
      <c r="I10013" s="6" t="n">
        <f aca="false">Sens!H10013*(1+Sens!I10014)</f>
        <v>10.6963111830911</v>
      </c>
      <c r="J10013" s="6" t="n">
        <f aca="false">Sens!I10013*(1+Sens!J10014)</f>
        <v>11.4351285534696</v>
      </c>
      <c r="K10013" s="6" t="n">
        <f aca="false">Sens!J10013*(1+Sens!K10014)</f>
        <v>12.2355875522124</v>
      </c>
    </row>
    <row r="10014" customFormat="false" ht="15" hidden="false" customHeight="false" outlineLevel="0" collapsed="false">
      <c r="A10014" s="1" t="s">
        <v>866</v>
      </c>
      <c r="B10014" s="0" t="s">
        <v>129</v>
      </c>
      <c r="E10014" s="7" t="n">
        <f aca="false">Sens!E10013/Sens!D10013-1</f>
        <v>0.0644329896907216</v>
      </c>
      <c r="F10014" s="7" t="n">
        <f aca="false">Sens!$E$10014+(glt_fro-Sens!$E$10014)*MIN(1,(Sens!F9962-base_fy)/n_conv)</f>
        <v>0.065360824742268</v>
      </c>
      <c r="G10014" s="7" t="n">
        <f aca="false">Sens!$E$10014+(glt_fro-Sens!$E$10014)*MIN(1,(Sens!G9962-base_fy)/n_conv)</f>
        <v>0.0662886597938144</v>
      </c>
      <c r="H10014" s="7" t="n">
        <f aca="false">Sens!$E$10014+(glt_fro-Sens!$E$10014)*MIN(1,(Sens!H9962-base_fy)/n_conv)</f>
        <v>0.0672164948453608</v>
      </c>
      <c r="I10014" s="7" t="n">
        <f aca="false">Sens!$E$10014+(glt_fro-Sens!$E$10014)*MIN(1,(Sens!I9962-base_fy)/n_conv)</f>
        <v>0.0681443298969072</v>
      </c>
      <c r="J10014" s="7" t="n">
        <f aca="false">Sens!$E$10014+(glt_fro-Sens!$E$10014)*MIN(1,(Sens!J9962-base_fy)/n_conv)</f>
        <v>0.0690721649484536</v>
      </c>
      <c r="K10014" s="7" t="n">
        <f aca="false">Sens!$E$10014+(glt_fro-Sens!$E$10014)*MIN(1,(Sens!K9962-base_fy)/n_conv)</f>
        <v>0.07</v>
      </c>
    </row>
    <row r="10015" customFormat="false" ht="15" hidden="false" customHeight="false" outlineLevel="0" collapsed="false">
      <c r="A10015" s="0" t="s">
        <v>704</v>
      </c>
      <c r="B10015" s="0" t="s">
        <v>98</v>
      </c>
      <c r="D10015" s="6" t="n">
        <f aca="false">Sens!D10003+Sens!D10008+Sens!D10009+Sens!D10011+Sens!D10013</f>
        <v>218.783</v>
      </c>
      <c r="E10015" s="6" t="n">
        <f aca="false">Sens!E10003+Sens!E10008+Sens!E10009+Sens!E10011+Sens!E10013</f>
        <v>268.127</v>
      </c>
      <c r="F10015" s="6" t="n">
        <f aca="false">Sens!F10003+Sens!F10008+Sens!F10009+Sens!F10011+Sens!F10013</f>
        <v>334.265528251508</v>
      </c>
      <c r="G10015" s="6" t="n">
        <f aca="false">Sens!G10003+Sens!G10008+Sens!G10009+Sens!G10011+Sens!G10013</f>
        <v>408.072123059793</v>
      </c>
      <c r="H10015" s="6" t="n">
        <f aca="false">Sens!H10003+Sens!H10008+Sens!H10009+Sens!H10011+Sens!H10013</f>
        <v>483.196296004025</v>
      </c>
      <c r="I10015" s="6" t="n">
        <f aca="false">Sens!I10003+Sens!I10008+Sens!I10009+Sens!I10011+Sens!I10013</f>
        <v>551.903517626826</v>
      </c>
      <c r="J10015" s="6" t="n">
        <f aca="false">Sens!J10003+Sens!J10008+Sens!J10009+Sens!J10011+Sens!J10013</f>
        <v>607.45432414427</v>
      </c>
      <c r="K10015" s="6" t="n">
        <f aca="false">Sens!K10003+Sens!K10008+Sens!K10009+Sens!K10011+Sens!K10013</f>
        <v>651.241547813062</v>
      </c>
    </row>
    <row r="10016" customFormat="false" ht="15" hidden="false" customHeight="false" outlineLevel="0" collapsed="false">
      <c r="A10016" s="0" t="s">
        <v>877</v>
      </c>
      <c r="B10016" s="0" t="s">
        <v>98</v>
      </c>
      <c r="D10016" s="6" t="n">
        <f aca="false">Q!L13</f>
        <v>22.171</v>
      </c>
      <c r="E10016" s="6" t="n">
        <f aca="false">Q!M13</f>
        <v>24.835</v>
      </c>
      <c r="F10016" s="6" t="n">
        <f aca="false">Sens!E10016*(1+Sens!F10017)</f>
        <v>27.6114901218559</v>
      </c>
      <c r="G10016" s="6" t="n">
        <f aca="false">Sens!F10016*(1+Sens!G10017)</f>
        <v>30.4675667338515</v>
      </c>
      <c r="H10016" s="6" t="n">
        <f aca="false">Sens!G10016*(1+Sens!H10017)</f>
        <v>33.3643766955789</v>
      </c>
      <c r="I10016" s="6" t="n">
        <f aca="false">Sens!H10016*(1+Sens!I10017)</f>
        <v>36.2577016533691</v>
      </c>
      <c r="J10016" s="6" t="n">
        <f aca="false">Sens!I10016*(1+Sens!J10017)</f>
        <v>39.0988367952171</v>
      </c>
      <c r="K10016" s="6" t="n">
        <f aca="false">Sens!J10016*(1+Sens!K10017)</f>
        <v>41.8357553708823</v>
      </c>
    </row>
    <row r="10017" customFormat="false" ht="15" hidden="false" customHeight="false" outlineLevel="0" collapsed="false">
      <c r="A10017" s="1" t="s">
        <v>866</v>
      </c>
      <c r="B10017" s="0" t="s">
        <v>129</v>
      </c>
      <c r="E10017" s="7" t="n">
        <f aca="false">Sens!E10016/Sens!D10016-1</f>
        <v>0.120156961796942</v>
      </c>
      <c r="F10017" s="7" t="n">
        <f aca="false">Sens!$E$10017+(glt_srch-Sens!$E$10017)*MIN(1,(Sens!F9962-base_fy)/n_conv)</f>
        <v>0.111797468164118</v>
      </c>
      <c r="G10017" s="7" t="n">
        <f aca="false">Sens!$E$10017+(glt_srch-Sens!$E$10017)*MIN(1,(Sens!G9962-base_fy)/n_conv)</f>
        <v>0.103437974531295</v>
      </c>
      <c r="H10017" s="7" t="n">
        <f aca="false">Sens!$E$10017+(glt_srch-Sens!$E$10017)*MIN(1,(Sens!H9962-base_fy)/n_conv)</f>
        <v>0.095078480898471</v>
      </c>
      <c r="I10017" s="7" t="n">
        <f aca="false">Sens!$E$10017+(glt_srch-Sens!$E$10017)*MIN(1,(Sens!I9962-base_fy)/n_conv)</f>
        <v>0.0867189872656474</v>
      </c>
      <c r="J10017" s="7" t="n">
        <f aca="false">Sens!$E$10017+(glt_srch-Sens!$E$10017)*MIN(1,(Sens!J9962-base_fy)/n_conv)</f>
        <v>0.0783594936328237</v>
      </c>
      <c r="K10017" s="7" t="n">
        <f aca="false">Sens!$E$10017+(glt_srch-Sens!$E$10017)*MIN(1,(Sens!K9962-base_fy)/n_conv)</f>
        <v>0.07</v>
      </c>
    </row>
    <row r="10018" customFormat="false" ht="15" hidden="false" customHeight="false" outlineLevel="0" collapsed="false">
      <c r="A10018" s="0" t="s">
        <v>878</v>
      </c>
      <c r="B10018" s="0" t="s">
        <v>98</v>
      </c>
      <c r="D10018" s="6" t="n">
        <f aca="false">Q!L14</f>
        <v>23.455</v>
      </c>
      <c r="E10018" s="6" t="n">
        <f aca="false">Q!M14</f>
        <v>21.79</v>
      </c>
      <c r="F10018" s="6" t="n">
        <f aca="false">Sens!E10018*(1+Sens!F10019)</f>
        <v>20.4283611241384</v>
      </c>
      <c r="G10018" s="6" t="n">
        <f aca="false">Sens!F10018*(1+Sens!G10019)</f>
        <v>19.3254067185857</v>
      </c>
      <c r="H10018" s="6" t="n">
        <f aca="false">Sens!G10018*(1+Sens!H10019)</f>
        <v>18.446226363051</v>
      </c>
      <c r="I10018" s="6" t="n">
        <f aca="false">Sens!H10018*(1+Sens!I10019)</f>
        <v>17.7637959435485</v>
      </c>
      <c r="J10018" s="6" t="n">
        <f aca="false">Sens!I10018*(1+Sens!J10019)</f>
        <v>17.2575662581111</v>
      </c>
      <c r="K10018" s="6" t="n">
        <f aca="false">Sens!J10018*(1+Sens!K10019)</f>
        <v>16.9124149329489</v>
      </c>
    </row>
    <row r="10019" customFormat="false" ht="15" hidden="false" customHeight="false" outlineLevel="0" collapsed="false">
      <c r="A10019" s="1" t="s">
        <v>866</v>
      </c>
      <c r="B10019" s="0" t="s">
        <v>129</v>
      </c>
      <c r="E10019" s="7" t="n">
        <f aca="false">Sens!E10018/Sens!D10018-1</f>
        <v>-0.0709869963760392</v>
      </c>
      <c r="F10019" s="7" t="n">
        <f aca="false">Sens!$E$10019+(glt_xbox_lo-Sens!$E$10019)*MIN(1,(Sens!F9962-base_fy)/n_conv)</f>
        <v>-0.0624891636466994</v>
      </c>
      <c r="G10019" s="7" t="n">
        <f aca="false">Sens!$E$10019+(glt_xbox_lo-Sens!$E$10019)*MIN(1,(Sens!G9962-base_fy)/n_conv)</f>
        <v>-0.0539913309173595</v>
      </c>
      <c r="H10019" s="7" t="n">
        <f aca="false">Sens!$E$10019+(glt_xbox_lo-Sens!$E$10019)*MIN(1,(Sens!H9962-base_fy)/n_conv)</f>
        <v>-0.0454934981880196</v>
      </c>
      <c r="I10019" s="7" t="n">
        <f aca="false">Sens!$E$10019+(glt_xbox_lo-Sens!$E$10019)*MIN(1,(Sens!I9962-base_fy)/n_conv)</f>
        <v>-0.0369956654586797</v>
      </c>
      <c r="J10019" s="7" t="n">
        <f aca="false">Sens!$E$10019+(glt_xbox_lo-Sens!$E$10019)*MIN(1,(Sens!J9962-base_fy)/n_conv)</f>
        <v>-0.0284978327293399</v>
      </c>
      <c r="K10019" s="7" t="n">
        <f aca="false">Sens!$E$10019+(glt_xbox_lo-Sens!$E$10019)*MIN(1,(Sens!K9962-base_fy)/n_conv)</f>
        <v>-0.02</v>
      </c>
    </row>
    <row r="10020" customFormat="false" ht="15" hidden="false" customHeight="false" outlineLevel="0" collapsed="false">
      <c r="A10020" s="0" t="s">
        <v>879</v>
      </c>
      <c r="B10020" s="0" t="s">
        <v>98</v>
      </c>
      <c r="D10020" s="6" t="n">
        <f aca="false">Q!L15</f>
        <v>17.315</v>
      </c>
      <c r="E10020" s="6" t="n">
        <f aca="false">Q!M15</f>
        <v>17.087</v>
      </c>
      <c r="F10020" s="6" t="n">
        <f aca="false">Sens!E10020*(1+Sens!F10021)</f>
        <v>16.9564585436519</v>
      </c>
      <c r="G10020" s="6" t="n">
        <f aca="false">Sens!F10020*(1+Sens!G10021)</f>
        <v>16.9206490624268</v>
      </c>
      <c r="H10020" s="6" t="n">
        <f aca="false">Sens!G10020*(1+Sens!H10021)</f>
        <v>16.9784519149849</v>
      </c>
      <c r="I10020" s="6" t="n">
        <f aca="false">Sens!H10020*(1+Sens!I10021)</f>
        <v>17.1303084701817</v>
      </c>
      <c r="J10020" s="6" t="n">
        <f aca="false">Sens!I10020*(1+Sens!J10021)</f>
        <v>17.3782189407267</v>
      </c>
      <c r="K10020" s="6" t="n">
        <f aca="false">Sens!J10020*(1+Sens!K10021)</f>
        <v>17.7257833195413</v>
      </c>
    </row>
    <row r="10021" customFormat="false" ht="15" hidden="false" customHeight="false" outlineLevel="0" collapsed="false">
      <c r="A10021" s="1" t="s">
        <v>866</v>
      </c>
      <c r="B10021" s="0" t="s">
        <v>129</v>
      </c>
      <c r="E10021" s="7" t="n">
        <f aca="false">Sens!E10020/Sens!D10020-1</f>
        <v>-0.0131677736066995</v>
      </c>
      <c r="F10021" s="7" t="n">
        <f aca="false">Sens!$E$10021+(glt_win-Sens!$E$10021)*MIN(1,(Sens!F9962-base_fy)/n_conv)</f>
        <v>-0.00763981133891627</v>
      </c>
      <c r="G10021" s="7" t="n">
        <f aca="false">Sens!$E$10021+(glt_win-Sens!$E$10021)*MIN(1,(Sens!G9962-base_fy)/n_conv)</f>
        <v>-0.00211184907113301</v>
      </c>
      <c r="H10021" s="7" t="n">
        <f aca="false">Sens!$E$10021+(glt_win-Sens!$E$10021)*MIN(1,(Sens!H9962-base_fy)/n_conv)</f>
        <v>0.00341611319665024</v>
      </c>
      <c r="I10021" s="7" t="n">
        <f aca="false">Sens!$E$10021+(glt_win-Sens!$E$10021)*MIN(1,(Sens!I9962-base_fy)/n_conv)</f>
        <v>0.00894407546443349</v>
      </c>
      <c r="J10021" s="7" t="n">
        <f aca="false">Sens!$E$10021+(glt_win-Sens!$E$10021)*MIN(1,(Sens!J9962-base_fy)/n_conv)</f>
        <v>0.0144720377322168</v>
      </c>
      <c r="K10021" s="7" t="n">
        <f aca="false">Sens!$E$10021+(glt_win-Sens!$E$10021)*MIN(1,(Sens!K9962-base_fy)/n_conv)</f>
        <v>0.02</v>
      </c>
    </row>
    <row r="10022" customFormat="false" ht="15" hidden="false" customHeight="false" outlineLevel="0" collapsed="false">
      <c r="A10022" s="0" t="s">
        <v>718</v>
      </c>
      <c r="B10022" s="0" t="s">
        <v>98</v>
      </c>
      <c r="D10022" s="6" t="n">
        <f aca="false">Sens!D10016+Sens!D10018+Sens!D10020</f>
        <v>62.941</v>
      </c>
      <c r="E10022" s="6" t="n">
        <f aca="false">Sens!E10016+Sens!E10018+Sens!E10020</f>
        <v>63.712</v>
      </c>
      <c r="F10022" s="6" t="n">
        <f aca="false">Sens!F10016+Sens!F10018+Sens!F10020</f>
        <v>64.9963097896462</v>
      </c>
      <c r="G10022" s="6" t="n">
        <f aca="false">Sens!G10016+Sens!G10018+Sens!G10020</f>
        <v>66.7136225148641</v>
      </c>
      <c r="H10022" s="6" t="n">
        <f aca="false">Sens!H10016+Sens!H10018+Sens!H10020</f>
        <v>68.7890549736148</v>
      </c>
      <c r="I10022" s="6" t="n">
        <f aca="false">Sens!I10016+Sens!I10018+Sens!I10020</f>
        <v>71.1518060670993</v>
      </c>
      <c r="J10022" s="6" t="n">
        <f aca="false">Sens!J10016+Sens!J10018+Sens!J10020</f>
        <v>73.7346219940549</v>
      </c>
      <c r="K10022" s="6" t="n">
        <f aca="false">Sens!K10016+Sens!K10018+Sens!K10020</f>
        <v>76.4739536233724</v>
      </c>
    </row>
    <row r="10023" customFormat="false" ht="15" hidden="false" customHeight="false" outlineLevel="0" collapsed="false">
      <c r="A10023" s="1" t="s">
        <v>880</v>
      </c>
      <c r="B10023" s="0" t="s">
        <v>98</v>
      </c>
      <c r="D10023" s="6" t="n">
        <f aca="false">Sens!D10015+Sens!D10022</f>
        <v>281.724</v>
      </c>
      <c r="E10023" s="6" t="n">
        <f aca="false">Sens!E10015+Sens!E10022</f>
        <v>331.839</v>
      </c>
      <c r="F10023" s="6" t="n">
        <f aca="false">Sens!F10015+Sens!F10022</f>
        <v>399.261838041154</v>
      </c>
      <c r="G10023" s="6" t="n">
        <f aca="false">Sens!G10015+Sens!G10022</f>
        <v>474.785745574657</v>
      </c>
      <c r="H10023" s="6" t="n">
        <f aca="false">Sens!H10015+Sens!H10022</f>
        <v>551.98535097764</v>
      </c>
      <c r="I10023" s="6" t="n">
        <f aca="false">Sens!I10015+Sens!I10022</f>
        <v>623.055323693925</v>
      </c>
      <c r="J10023" s="6" t="n">
        <f aca="false">Sens!J10015+Sens!J10022</f>
        <v>681.188946138325</v>
      </c>
      <c r="K10023" s="6" t="n">
        <f aca="false">Sens!K10015+Sens!K10022</f>
        <v>727.715501436434</v>
      </c>
    </row>
    <row r="10024" customFormat="false" ht="15" hidden="false" customHeight="false" outlineLevel="0" collapsed="false">
      <c r="A10024" s="23" t="s">
        <v>881</v>
      </c>
      <c r="B10024" s="30" t="s">
        <v>98</v>
      </c>
      <c r="C10024" s="30"/>
      <c r="D10024" s="24" t="n">
        <f aca="false">(Sens!D10003+Sens!D10008+Sens!D10009+Sens!D10011+Sens!D10013-Sens!D10015)+(Sens!D10016+Sens!D10018+Sens!D10020-Sens!D10022)+(Sens!D10015-Q!L5)+(Sens!D10022-Q!L12)+(Sens!D10003-Q!L6)+(Sens!D10008-Q!L7)</f>
        <v>0</v>
      </c>
      <c r="E10024" s="24" t="n">
        <f aca="false">(Sens!E10003+Sens!E10008+Sens!E10009+Sens!E10011+Sens!E10013-Sens!E10015)+(Sens!E10016+Sens!E10018+Sens!E10020-Sens!E10022)+(Sens!E10015-Q!M5)+(Sens!E10022-Q!M12)+(Sens!E10003-Q!M6)+(Sens!E10008-Q!M7)</f>
        <v>0</v>
      </c>
      <c r="F10024" s="24" t="n">
        <f aca="false">(Sens!F10003+Sens!F10008+Sens!F10009+Sens!F10011+Sens!F10013-Sens!F10015)+(Sens!F10016+Sens!F10018+Sens!F10020-Sens!F10022)</f>
        <v>0</v>
      </c>
      <c r="G10024" s="24" t="n">
        <f aca="false">(Sens!G10003+Sens!G10008+Sens!G10009+Sens!G10011+Sens!G10013-Sens!G10015)+(Sens!G10016+Sens!G10018+Sens!G10020-Sens!G10022)</f>
        <v>0</v>
      </c>
      <c r="H10024" s="24" t="n">
        <f aca="false">(Sens!H10003+Sens!H10008+Sens!H10009+Sens!H10011+Sens!H10013-Sens!H10015)+(Sens!H10016+Sens!H10018+Sens!H10020-Sens!H10022)</f>
        <v>0</v>
      </c>
      <c r="I10024" s="24" t="n">
        <f aca="false">(Sens!I10003+Sens!I10008+Sens!I10009+Sens!I10011+Sens!I10013-Sens!I10015)+(Sens!I10016+Sens!I10018+Sens!I10020-Sens!I10022)</f>
        <v>0</v>
      </c>
      <c r="J10024" s="24" t="n">
        <f aca="false">(Sens!J10003+Sens!J10008+Sens!J10009+Sens!J10011+Sens!J10013-Sens!J10015)+(Sens!J10016+Sens!J10018+Sens!J10020-Sens!J10022)</f>
        <v>0</v>
      </c>
      <c r="K10024" s="24" t="n">
        <f aca="false">(Sens!K10003+Sens!K10008+Sens!K10009+Sens!K10011+Sens!K10013-Sens!K10015)+(Sens!K10016+Sens!K10018+Sens!K10020-Sens!K10022)</f>
        <v>0</v>
      </c>
    </row>
    <row r="10025" customFormat="false" ht="17.15" hidden="false" customHeight="false" outlineLevel="0" collapsed="false">
      <c r="A10025" s="3" t="s">
        <v>1496</v>
      </c>
    </row>
    <row r="10026" customFormat="false" ht="15" hidden="false" customHeight="false" outlineLevel="0" collapsed="false">
      <c r="A10026" s="4" t="s">
        <v>43</v>
      </c>
      <c r="B10026" s="4" t="s">
        <v>65</v>
      </c>
      <c r="C10026" s="20" t="s">
        <v>788</v>
      </c>
      <c r="D10026" s="20" t="s">
        <v>789</v>
      </c>
      <c r="E10026" s="20" t="s">
        <v>790</v>
      </c>
      <c r="F10026" s="20" t="s">
        <v>791</v>
      </c>
      <c r="G10026" s="20" t="s">
        <v>792</v>
      </c>
      <c r="H10026" s="20" t="s">
        <v>793</v>
      </c>
      <c r="I10026" s="20" t="s">
        <v>794</v>
      </c>
      <c r="J10026" s="20" t="s">
        <v>795</v>
      </c>
      <c r="K10026" s="20" t="s">
        <v>796</v>
      </c>
      <c r="L10026" s="4" t="s">
        <v>47</v>
      </c>
    </row>
    <row r="10027" customFormat="false" ht="15" hidden="false" customHeight="false" outlineLevel="0" collapsed="false">
      <c r="A10027" s="0" t="s">
        <v>867</v>
      </c>
      <c r="B10027" s="0" t="s">
        <v>98</v>
      </c>
      <c r="D10027" s="6" t="n">
        <f aca="false">Sens!D10003</f>
        <v>72.61</v>
      </c>
      <c r="E10027" s="6" t="n">
        <f aca="false">Sens!E10003</f>
        <v>101.938</v>
      </c>
      <c r="F10027" s="6" t="n">
        <f aca="false">Sens!F10003</f>
        <v>145.143956312325</v>
      </c>
      <c r="G10027" s="6" t="n">
        <f aca="false">Sens!G10003</f>
        <v>196.478966522364</v>
      </c>
      <c r="H10027" s="6" t="n">
        <f aca="false">Sens!H10003</f>
        <v>249.10761332251</v>
      </c>
      <c r="I10027" s="6" t="n">
        <f aca="false">Sens!I10003</f>
        <v>297.09216264734</v>
      </c>
      <c r="J10027" s="6" t="n">
        <f aca="false">Sens!J10003</f>
        <v>334.013427040101</v>
      </c>
      <c r="K10027" s="6" t="n">
        <f aca="false">Sens!K10003</f>
        <v>360.097478472886</v>
      </c>
    </row>
    <row r="10028" customFormat="false" ht="17.15" hidden="false" customHeight="false" outlineLevel="0" collapsed="false">
      <c r="A10028" s="0" t="s">
        <v>864</v>
      </c>
      <c r="B10028" s="0" t="s">
        <v>98</v>
      </c>
      <c r="D10028" s="6" t="n">
        <f aca="false">Sens!D10000</f>
        <v>12.9359794422418</v>
      </c>
      <c r="E10028" s="6" t="n">
        <f aca="false">Sens!E10000</f>
        <v>27.8095064661409</v>
      </c>
      <c r="F10028" s="6" t="n">
        <f aca="false">Sens!F10000</f>
        <v>55.0640065749585</v>
      </c>
      <c r="G10028" s="6" t="n">
        <f aca="false">Sens!G10000</f>
        <v>89.4505413190538</v>
      </c>
      <c r="H10028" s="6" t="n">
        <f aca="false">Sens!H10000</f>
        <v>124.835630736874</v>
      </c>
      <c r="I10028" s="6" t="n">
        <f aca="false">Sens!I10000</f>
        <v>156.158460265485</v>
      </c>
      <c r="J10028" s="6" t="n">
        <f aca="false">Sens!J10000</f>
        <v>177.99455972577</v>
      </c>
      <c r="K10028" s="6" t="n">
        <f aca="false">Sens!K10000</f>
        <v>191.597101773408</v>
      </c>
    </row>
    <row r="10029" customFormat="false" ht="17.15" hidden="false" customHeight="false" outlineLevel="0" collapsed="false">
      <c r="A10029" s="0" t="s">
        <v>892</v>
      </c>
      <c r="B10029" s="0" t="s">
        <v>98</v>
      </c>
      <c r="D10029" s="6" t="n">
        <f aca="false">Sens!D10001</f>
        <v>59.6740205577583</v>
      </c>
      <c r="E10029" s="6" t="n">
        <f aca="false">Sens!E10001</f>
        <v>74.1284935338591</v>
      </c>
      <c r="F10029" s="6" t="n">
        <f aca="false">Sens!F10001</f>
        <v>90.0799497373663</v>
      </c>
      <c r="G10029" s="6" t="n">
        <f aca="false">Sens!G10001</f>
        <v>107.02842520331</v>
      </c>
      <c r="H10029" s="6" t="n">
        <f aca="false">Sens!H10001</f>
        <v>124.271982585636</v>
      </c>
      <c r="I10029" s="6" t="n">
        <f aca="false">Sens!I10001</f>
        <v>140.933702381855</v>
      </c>
      <c r="J10029" s="6" t="n">
        <f aca="false">Sens!J10001</f>
        <v>156.018867314332</v>
      </c>
      <c r="K10029" s="6" t="n">
        <f aca="false">Sens!K10001</f>
        <v>168.500376699478</v>
      </c>
    </row>
    <row r="10030" customFormat="false" ht="15" hidden="false" customHeight="false" outlineLevel="0" collapsed="false">
      <c r="A10030" s="0" t="s">
        <v>873</v>
      </c>
      <c r="B10030" s="0" t="s">
        <v>98</v>
      </c>
      <c r="D10030" s="6" t="n">
        <f aca="false">Sens!D10008</f>
        <v>84.605</v>
      </c>
      <c r="E10030" s="6" t="n">
        <f aca="false">Sens!E10008</f>
        <v>100.299</v>
      </c>
      <c r="F10030" s="6" t="n">
        <f aca="false">Sens!F10008</f>
        <v>118.89238776686</v>
      </c>
      <c r="G10030" s="6" t="n">
        <f aca="false">Sens!G10008</f>
        <v>137.044168448684</v>
      </c>
      <c r="H10030" s="6" t="n">
        <f aca="false">Sens!H10008</f>
        <v>155.277359388781</v>
      </c>
      <c r="I10030" s="6" t="n">
        <f aca="false">Sens!I10008</f>
        <v>171.834028071957</v>
      </c>
      <c r="J10030" s="6" t="n">
        <f aca="false">Sens!J10008</f>
        <v>186.432702785465</v>
      </c>
      <c r="K10030" s="6" t="n">
        <f aca="false">Sens!K10008</f>
        <v>200.277991980448</v>
      </c>
    </row>
    <row r="10031" customFormat="false" ht="17.15" hidden="false" customHeight="false" outlineLevel="0" collapsed="false">
      <c r="A10031" s="0" t="s">
        <v>893</v>
      </c>
      <c r="B10031" s="0" t="s">
        <v>98</v>
      </c>
      <c r="D10031" s="6" t="n">
        <f aca="false">Sens!D10006</f>
        <v>83.705</v>
      </c>
      <c r="E10031" s="6" t="n">
        <f aca="false">Sens!E10006</f>
        <v>95.049</v>
      </c>
      <c r="F10031" s="6" t="n">
        <f aca="false">Sens!F10006</f>
        <v>106.89238776686</v>
      </c>
      <c r="G10031" s="6" t="n">
        <f aca="false">Sens!G10006</f>
        <v>119.044168448684</v>
      </c>
      <c r="H10031" s="6" t="n">
        <f aca="false">Sens!H10006</f>
        <v>131.277359388781</v>
      </c>
      <c r="I10031" s="6" t="n">
        <f aca="false">Sens!I10006</f>
        <v>143.334028071957</v>
      </c>
      <c r="J10031" s="6" t="n">
        <f aca="false">Sens!J10006</f>
        <v>154.932702785465</v>
      </c>
      <c r="K10031" s="6" t="n">
        <f aca="false">Sens!K10006</f>
        <v>165.777991980448</v>
      </c>
    </row>
    <row r="10032" customFormat="false" ht="17.15" hidden="false" customHeight="false" outlineLevel="0" collapsed="false">
      <c r="A10032" s="0" t="s">
        <v>894</v>
      </c>
      <c r="B10032" s="0" t="s">
        <v>98</v>
      </c>
      <c r="D10032" s="6" t="n">
        <f aca="false">Sens!D10005</f>
        <v>0.9</v>
      </c>
      <c r="E10032" s="6" t="n">
        <f aca="false">Sens!E10005</f>
        <v>5.25</v>
      </c>
      <c r="F10032" s="6" t="n">
        <f aca="false">Sens!F10005</f>
        <v>12</v>
      </c>
      <c r="G10032" s="6" t="n">
        <f aca="false">Sens!G10005</f>
        <v>18</v>
      </c>
      <c r="H10032" s="6" t="n">
        <f aca="false">Sens!H10005</f>
        <v>24</v>
      </c>
      <c r="I10032" s="6" t="n">
        <f aca="false">Sens!I10005</f>
        <v>28.5</v>
      </c>
      <c r="J10032" s="6" t="n">
        <f aca="false">Sens!J10005</f>
        <v>31.5</v>
      </c>
      <c r="K10032" s="6" t="n">
        <f aca="false">Sens!K10005</f>
        <v>34.5</v>
      </c>
    </row>
    <row r="10033" customFormat="false" ht="15" hidden="false" customHeight="false" outlineLevel="0" collapsed="false">
      <c r="A10033" s="0" t="s">
        <v>874</v>
      </c>
      <c r="B10033" s="0" t="s">
        <v>98</v>
      </c>
      <c r="D10033" s="6" t="n">
        <f aca="false">Sens!D10009</f>
        <v>35.391</v>
      </c>
      <c r="E10033" s="6" t="n">
        <f aca="false">Sens!E10009</f>
        <v>37.285</v>
      </c>
      <c r="F10033" s="6" t="n">
        <f aca="false">Sens!F10009</f>
        <v>39.0720834331704</v>
      </c>
      <c r="G10033" s="6" t="n">
        <f aca="false">Sens!G10009</f>
        <v>40.726562953769</v>
      </c>
      <c r="H10033" s="6" t="n">
        <f aca="false">Sens!H10009</f>
        <v>42.2235987259198</v>
      </c>
      <c r="I10033" s="6" t="n">
        <f aca="false">Sens!I10009</f>
        <v>43.5397988077414</v>
      </c>
      <c r="J10033" s="6" t="n">
        <f aca="false">Sens!J10009</f>
        <v>44.653811225693</v>
      </c>
      <c r="K10033" s="6" t="n">
        <f aca="false">Sens!K10009</f>
        <v>45.5468874502068</v>
      </c>
    </row>
    <row r="10034" customFormat="false" ht="15" hidden="false" customHeight="false" outlineLevel="0" collapsed="false">
      <c r="A10034" s="0" t="s">
        <v>875</v>
      </c>
      <c r="B10034" s="0" t="s">
        <v>98</v>
      </c>
      <c r="D10034" s="6" t="n">
        <f aca="false">Sens!D10011</f>
        <v>18.417</v>
      </c>
      <c r="E10034" s="6" t="n">
        <f aca="false">Sens!E10011</f>
        <v>20.345</v>
      </c>
      <c r="F10034" s="6" t="n">
        <f aca="false">Sens!F10011</f>
        <v>22.3572203267814</v>
      </c>
      <c r="G10034" s="6" t="n">
        <f aca="false">Sens!G10011</f>
        <v>24.4392124437232</v>
      </c>
      <c r="H10034" s="6" t="n">
        <f aca="false">Sens!H10011</f>
        <v>26.5738052080665</v>
      </c>
      <c r="I10034" s="6" t="n">
        <f aca="false">Sens!I10011</f>
        <v>28.7412169166967</v>
      </c>
      <c r="J10034" s="6" t="n">
        <f aca="false">Sens!J10011</f>
        <v>30.9192545395413</v>
      </c>
      <c r="K10034" s="6" t="n">
        <f aca="false">Sens!K10011</f>
        <v>33.0836023573092</v>
      </c>
    </row>
    <row r="10035" customFormat="false" ht="15" hidden="false" customHeight="false" outlineLevel="0" collapsed="false">
      <c r="A10035" s="0" t="s">
        <v>876</v>
      </c>
      <c r="B10035" s="0" t="s">
        <v>98</v>
      </c>
      <c r="D10035" s="6" t="n">
        <f aca="false">Sens!D10013</f>
        <v>7.76</v>
      </c>
      <c r="E10035" s="6" t="n">
        <f aca="false">Sens!E10013</f>
        <v>8.26</v>
      </c>
      <c r="F10035" s="6" t="n">
        <f aca="false">Sens!F10013</f>
        <v>8.79988041237113</v>
      </c>
      <c r="G10035" s="6" t="n">
        <f aca="false">Sens!G10013</f>
        <v>9.38321269125306</v>
      </c>
      <c r="H10035" s="6" t="n">
        <f aca="false">Sens!H10013</f>
        <v>10.0139193587476</v>
      </c>
      <c r="I10035" s="6" t="n">
        <f aca="false">Sens!I10013</f>
        <v>10.6963111830911</v>
      </c>
      <c r="J10035" s="6" t="n">
        <f aca="false">Sens!J10013</f>
        <v>11.4351285534696</v>
      </c>
      <c r="K10035" s="6" t="n">
        <f aca="false">Sens!K10013</f>
        <v>12.2355875522124</v>
      </c>
    </row>
    <row r="10036" customFormat="false" ht="15" hidden="false" customHeight="false" outlineLevel="0" collapsed="false">
      <c r="A10036" s="0" t="s">
        <v>704</v>
      </c>
      <c r="B10036" s="0" t="s">
        <v>98</v>
      </c>
      <c r="D10036" s="6" t="n">
        <f aca="false">Sens!D10015</f>
        <v>218.783</v>
      </c>
      <c r="E10036" s="6" t="n">
        <f aca="false">Sens!E10015</f>
        <v>268.127</v>
      </c>
      <c r="F10036" s="6" t="n">
        <f aca="false">Sens!F10015</f>
        <v>334.265528251508</v>
      </c>
      <c r="G10036" s="6" t="n">
        <f aca="false">Sens!G10015</f>
        <v>408.072123059793</v>
      </c>
      <c r="H10036" s="6" t="n">
        <f aca="false">Sens!H10015</f>
        <v>483.196296004025</v>
      </c>
      <c r="I10036" s="6" t="n">
        <f aca="false">Sens!I10015</f>
        <v>551.903517626826</v>
      </c>
      <c r="J10036" s="6" t="n">
        <f aca="false">Sens!J10015</f>
        <v>607.45432414427</v>
      </c>
      <c r="K10036" s="6" t="n">
        <f aca="false">Sens!K10015</f>
        <v>651.241547813062</v>
      </c>
    </row>
    <row r="10037" customFormat="false" ht="15" hidden="false" customHeight="false" outlineLevel="0" collapsed="false">
      <c r="A10037" s="0" t="s">
        <v>877</v>
      </c>
      <c r="B10037" s="0" t="s">
        <v>98</v>
      </c>
      <c r="D10037" s="6" t="n">
        <f aca="false">Sens!D10016</f>
        <v>22.171</v>
      </c>
      <c r="E10037" s="6" t="n">
        <f aca="false">Sens!E10016</f>
        <v>24.835</v>
      </c>
      <c r="F10037" s="6" t="n">
        <f aca="false">Sens!F10016</f>
        <v>27.6114901218559</v>
      </c>
      <c r="G10037" s="6" t="n">
        <f aca="false">Sens!G10016</f>
        <v>30.4675667338515</v>
      </c>
      <c r="H10037" s="6" t="n">
        <f aca="false">Sens!H10016</f>
        <v>33.3643766955789</v>
      </c>
      <c r="I10037" s="6" t="n">
        <f aca="false">Sens!I10016</f>
        <v>36.2577016533691</v>
      </c>
      <c r="J10037" s="6" t="n">
        <f aca="false">Sens!J10016</f>
        <v>39.0988367952171</v>
      </c>
      <c r="K10037" s="6" t="n">
        <f aca="false">Sens!K10016</f>
        <v>41.8357553708823</v>
      </c>
    </row>
    <row r="10038" customFormat="false" ht="15" hidden="false" customHeight="false" outlineLevel="0" collapsed="false">
      <c r="A10038" s="0" t="s">
        <v>878</v>
      </c>
      <c r="B10038" s="0" t="s">
        <v>98</v>
      </c>
      <c r="D10038" s="6" t="n">
        <f aca="false">Sens!D10018</f>
        <v>23.455</v>
      </c>
      <c r="E10038" s="6" t="n">
        <f aca="false">Sens!E10018</f>
        <v>21.79</v>
      </c>
      <c r="F10038" s="6" t="n">
        <f aca="false">Sens!F10018</f>
        <v>20.4283611241384</v>
      </c>
      <c r="G10038" s="6" t="n">
        <f aca="false">Sens!G10018</f>
        <v>19.3254067185857</v>
      </c>
      <c r="H10038" s="6" t="n">
        <f aca="false">Sens!H10018</f>
        <v>18.446226363051</v>
      </c>
      <c r="I10038" s="6" t="n">
        <f aca="false">Sens!I10018</f>
        <v>17.7637959435485</v>
      </c>
      <c r="J10038" s="6" t="n">
        <f aca="false">Sens!J10018</f>
        <v>17.2575662581111</v>
      </c>
      <c r="K10038" s="6" t="n">
        <f aca="false">Sens!K10018</f>
        <v>16.9124149329489</v>
      </c>
    </row>
    <row r="10039" customFormat="false" ht="15" hidden="false" customHeight="false" outlineLevel="0" collapsed="false">
      <c r="A10039" s="0" t="s">
        <v>879</v>
      </c>
      <c r="B10039" s="0" t="s">
        <v>98</v>
      </c>
      <c r="D10039" s="6" t="n">
        <f aca="false">Sens!D10020</f>
        <v>17.315</v>
      </c>
      <c r="E10039" s="6" t="n">
        <f aca="false">Sens!E10020</f>
        <v>17.087</v>
      </c>
      <c r="F10039" s="6" t="n">
        <f aca="false">Sens!F10020</f>
        <v>16.9564585436519</v>
      </c>
      <c r="G10039" s="6" t="n">
        <f aca="false">Sens!G10020</f>
        <v>16.9206490624268</v>
      </c>
      <c r="H10039" s="6" t="n">
        <f aca="false">Sens!H10020</f>
        <v>16.9784519149849</v>
      </c>
      <c r="I10039" s="6" t="n">
        <f aca="false">Sens!I10020</f>
        <v>17.1303084701817</v>
      </c>
      <c r="J10039" s="6" t="n">
        <f aca="false">Sens!J10020</f>
        <v>17.3782189407267</v>
      </c>
      <c r="K10039" s="6" t="n">
        <f aca="false">Sens!K10020</f>
        <v>17.7257833195413</v>
      </c>
    </row>
    <row r="10040" customFormat="false" ht="15" hidden="false" customHeight="false" outlineLevel="0" collapsed="false">
      <c r="A10040" s="0" t="s">
        <v>718</v>
      </c>
      <c r="B10040" s="0" t="s">
        <v>98</v>
      </c>
      <c r="D10040" s="6" t="n">
        <f aca="false">Sens!D10022</f>
        <v>62.941</v>
      </c>
      <c r="E10040" s="6" t="n">
        <f aca="false">Sens!E10022</f>
        <v>63.712</v>
      </c>
      <c r="F10040" s="6" t="n">
        <f aca="false">Sens!F10022</f>
        <v>64.9963097896462</v>
      </c>
      <c r="G10040" s="6" t="n">
        <f aca="false">Sens!G10022</f>
        <v>66.7136225148641</v>
      </c>
      <c r="H10040" s="6" t="n">
        <f aca="false">Sens!H10022</f>
        <v>68.7890549736148</v>
      </c>
      <c r="I10040" s="6" t="n">
        <f aca="false">Sens!I10022</f>
        <v>71.1518060670993</v>
      </c>
      <c r="J10040" s="6" t="n">
        <f aca="false">Sens!J10022</f>
        <v>73.7346219940549</v>
      </c>
      <c r="K10040" s="6" t="n">
        <f aca="false">Sens!K10022</f>
        <v>76.4739536233724</v>
      </c>
    </row>
    <row r="10041" customFormat="false" ht="15" hidden="false" customHeight="false" outlineLevel="0" collapsed="false">
      <c r="A10041" s="1" t="s">
        <v>895</v>
      </c>
      <c r="B10041" s="0" t="s">
        <v>98</v>
      </c>
      <c r="D10041" s="6" t="n">
        <f aca="false">Sens!D10023</f>
        <v>281.724</v>
      </c>
      <c r="E10041" s="6" t="n">
        <f aca="false">Sens!E10023</f>
        <v>331.839</v>
      </c>
      <c r="F10041" s="6" t="n">
        <f aca="false">Sens!F10023</f>
        <v>399.261838041154</v>
      </c>
      <c r="G10041" s="6" t="n">
        <f aca="false">Sens!G10023</f>
        <v>474.785745574657</v>
      </c>
      <c r="H10041" s="6" t="n">
        <f aca="false">Sens!H10023</f>
        <v>551.98535097764</v>
      </c>
      <c r="I10041" s="6" t="n">
        <f aca="false">Sens!I10023</f>
        <v>623.055323693925</v>
      </c>
      <c r="J10041" s="6" t="n">
        <f aca="false">Sens!J10023</f>
        <v>681.188946138325</v>
      </c>
      <c r="K10041" s="6" t="n">
        <f aca="false">Sens!K10023</f>
        <v>727.715501436434</v>
      </c>
    </row>
    <row r="10042" customFormat="false" ht="15" hidden="false" customHeight="false" outlineLevel="0" collapsed="false">
      <c r="A10042" s="1" t="s">
        <v>896</v>
      </c>
      <c r="B10042" s="0" t="s">
        <v>129</v>
      </c>
      <c r="E10042" s="7" t="n">
        <f aca="false">Sens!E10041/Sens!D10041-1</f>
        <v>0.177886867998467</v>
      </c>
      <c r="F10042" s="7" t="n">
        <f aca="false">Sens!F10041/Sens!E10041-1</f>
        <v>0.203179367226739</v>
      </c>
      <c r="G10042" s="7" t="n">
        <f aca="false">Sens!G10041/Sens!F10041-1</f>
        <v>0.189158843489867</v>
      </c>
      <c r="H10042" s="7" t="n">
        <f aca="false">Sens!H10041/Sens!G10041-1</f>
        <v>0.162598827202666</v>
      </c>
      <c r="I10042" s="7" t="n">
        <f aca="false">Sens!I10041/Sens!H10041-1</f>
        <v>0.128753367440659</v>
      </c>
      <c r="J10042" s="7" t="n">
        <f aca="false">Sens!J10041/Sens!I10041-1</f>
        <v>0.0933041099781344</v>
      </c>
      <c r="K10042" s="7" t="n">
        <f aca="false">Sens!K10041/Sens!J10041-1</f>
        <v>0.0683019822354269</v>
      </c>
    </row>
    <row r="10043" customFormat="false" ht="17.15" hidden="false" customHeight="false" outlineLevel="0" collapsed="false">
      <c r="A10043" s="23" t="s">
        <v>897</v>
      </c>
      <c r="B10043" s="30" t="s">
        <v>98</v>
      </c>
      <c r="C10043" s="30"/>
      <c r="D10043" s="24" t="n">
        <f aca="false">(Sens!D10036+Sens!D10040-Sens!D10041)+(Sens!D10028+Sens!D10029-Sens!D10027)+(Sens!D10031+Sens!D10032-Sens!D10030)+(Sens!D10041-Q!L18)</f>
        <v>0</v>
      </c>
      <c r="E10043" s="24" t="n">
        <f aca="false">(Sens!E10036+Sens!E10040-Sens!E10041)+(Sens!E10028+Sens!E10029-Sens!E10027)+(Sens!E10031+Sens!E10032-Sens!E10030)+(Sens!E10041-Q!M18)</f>
        <v>0</v>
      </c>
      <c r="F10043" s="24" t="n">
        <f aca="false">(Sens!F10036+Sens!F10040-Sens!F10041)+(Sens!F10028+Sens!F10029-Sens!F10027)+(Sens!F10031+Sens!F10032-Sens!F10030)</f>
        <v>0</v>
      </c>
      <c r="G10043" s="24" t="n">
        <f aca="false">(Sens!G10036+Sens!G10040-Sens!G10041)+(Sens!G10028+Sens!G10029-Sens!G10027)+(Sens!G10031+Sens!G10032-Sens!G10030)</f>
        <v>0</v>
      </c>
      <c r="H10043" s="24" t="n">
        <f aca="false">(Sens!H10036+Sens!H10040-Sens!H10041)+(Sens!H10028+Sens!H10029-Sens!H10027)+(Sens!H10031+Sens!H10032-Sens!H10030)</f>
        <v>0</v>
      </c>
      <c r="I10043" s="24" t="n">
        <f aca="false">(Sens!I10036+Sens!I10040-Sens!I10041)+(Sens!I10028+Sens!I10029-Sens!I10027)+(Sens!I10031+Sens!I10032-Sens!I10030)</f>
        <v>0</v>
      </c>
      <c r="J10043" s="24" t="n">
        <f aca="false">(Sens!J10036+Sens!J10040-Sens!J10041)+(Sens!J10028+Sens!J10029-Sens!J10027)+(Sens!J10031+Sens!J10032-Sens!J10030)</f>
        <v>0</v>
      </c>
      <c r="K10043" s="24" t="n">
        <f aca="false">(Sens!K10036+Sens!K10040-Sens!K10041)+(Sens!K10028+Sens!K10029-Sens!K10027)+(Sens!K10031+Sens!K10032-Sens!K10030)</f>
        <v>0</v>
      </c>
    </row>
    <row r="10044" customFormat="false" ht="17.15" hidden="false" customHeight="false" outlineLevel="0" collapsed="false">
      <c r="A10044" s="0" t="s">
        <v>898</v>
      </c>
      <c r="B10044" s="0" t="s">
        <v>129</v>
      </c>
      <c r="E10044" s="7" t="n">
        <f aca="false">(Q!M21+Sens!E9981+Sens!E9982+Sens!E9983+Sens!E9996-Sens!E9979)/(Q!M5-Sens!E9979)</f>
        <v>0.570957350878296</v>
      </c>
      <c r="F10044" s="7" t="n">
        <f aca="false">Sens!$E$10044+dm_seg</f>
        <v>0.570957350878296</v>
      </c>
      <c r="G10044" s="7" t="n">
        <f aca="false">Sens!$E$10044+dm_seg</f>
        <v>0.570957350878296</v>
      </c>
      <c r="H10044" s="7" t="n">
        <f aca="false">Sens!$E$10044+dm_seg</f>
        <v>0.570957350878296</v>
      </c>
      <c r="I10044" s="7" t="n">
        <f aca="false">Sens!$E$10044+dm_seg</f>
        <v>0.570957350878296</v>
      </c>
      <c r="J10044" s="7" t="n">
        <f aca="false">Sens!$E$10044+dm_seg</f>
        <v>0.570957350878296</v>
      </c>
      <c r="K10044" s="7" t="n">
        <f aca="false">Sens!$E$10044+dm_seg</f>
        <v>0.570957350878296</v>
      </c>
      <c r="L10044" s="11" t="s">
        <v>899</v>
      </c>
    </row>
    <row r="10045" customFormat="false" ht="17.15" hidden="false" customHeight="false" outlineLevel="0" collapsed="false">
      <c r="A10045" s="0" t="s">
        <v>732</v>
      </c>
      <c r="B10045" s="0" t="s">
        <v>98</v>
      </c>
      <c r="D10045" s="6" t="n">
        <f aca="false">Q!L21</f>
        <v>110.814</v>
      </c>
      <c r="E10045" s="6" t="n">
        <f aca="false">Q!M21</f>
        <v>136.365</v>
      </c>
      <c r="F10045" s="6" t="n">
        <f aca="false">Sens!F10044*(Sens!F10015-Sens!F9979)+Sens!F9979-(Sens!F9981+Sens!F9982+Sens!F9983)-Sens!F9996</f>
        <v>157.597772753779</v>
      </c>
      <c r="G10045" s="6" t="n">
        <f aca="false">Sens!G10044*(Sens!G10015-Sens!G9979)+Sens!G9979-(Sens!G9981+Sens!G9982+Sens!G9983)-Sens!G9996</f>
        <v>177.179998033313</v>
      </c>
      <c r="H10045" s="6" t="n">
        <f aca="false">Sens!H10044*(Sens!H10015-Sens!H9979)+Sens!H9979-(Sens!H9981+Sens!H9982+Sens!H9983)-Sens!H9996</f>
        <v>196.821828255292</v>
      </c>
      <c r="I10045" s="6" t="n">
        <f aca="false">Sens!I10044*(Sens!I10015-Sens!I9979)+Sens!I9979-(Sens!I9981+Sens!I9982+Sens!I9983)-Sens!I9996</f>
        <v>215.545021444647</v>
      </c>
      <c r="J10045" s="6" t="n">
        <f aca="false">Sens!J10044*(Sens!J10015-Sens!J9979)+Sens!J9979-(Sens!J9981+Sens!J9982+Sens!J9983)-Sens!J9996</f>
        <v>232.897843193438</v>
      </c>
      <c r="K10045" s="6" t="n">
        <f aca="false">Sens!K10044*(Sens!K10015-Sens!K9979)+Sens!K9979-(Sens!K9981+Sens!K9982+Sens!K9983)-Sens!K9996</f>
        <v>249.762890300641</v>
      </c>
      <c r="L10045" s="1" t="s">
        <v>900</v>
      </c>
    </row>
    <row r="10046" customFormat="false" ht="17.15" hidden="false" customHeight="false" outlineLevel="0" collapsed="false">
      <c r="A10046" s="0" t="s">
        <v>901</v>
      </c>
      <c r="B10046" s="0" t="s">
        <v>129</v>
      </c>
      <c r="E10046" s="7" t="n">
        <f aca="false">Q!M22/Q!M12</f>
        <v>0.296207935710698</v>
      </c>
      <c r="F10046" s="7" t="n">
        <f aca="false">Sens!$E$10046+dm_seg</f>
        <v>0.296207935710698</v>
      </c>
      <c r="G10046" s="7" t="n">
        <f aca="false">Sens!$E$10046+dm_seg</f>
        <v>0.296207935710698</v>
      </c>
      <c r="H10046" s="7" t="n">
        <f aca="false">Sens!$E$10046+dm_seg</f>
        <v>0.296207935710698</v>
      </c>
      <c r="I10046" s="7" t="n">
        <f aca="false">Sens!$E$10046+dm_seg</f>
        <v>0.296207935710698</v>
      </c>
      <c r="J10046" s="7" t="n">
        <f aca="false">Sens!$E$10046+dm_seg</f>
        <v>0.296207935710698</v>
      </c>
      <c r="K10046" s="7" t="n">
        <f aca="false">Sens!$E$10046+dm_seg</f>
        <v>0.296207935710698</v>
      </c>
      <c r="L10046" s="11" t="s">
        <v>902</v>
      </c>
    </row>
    <row r="10047" customFormat="false" ht="17.15" hidden="false" customHeight="false" outlineLevel="0" collapsed="false">
      <c r="A10047" s="0" t="s">
        <v>734</v>
      </c>
      <c r="B10047" s="0" t="s">
        <v>98</v>
      </c>
      <c r="D10047" s="6" t="n">
        <f aca="false">Q!L22</f>
        <v>17.714</v>
      </c>
      <c r="E10047" s="6" t="n">
        <f aca="false">Q!M22</f>
        <v>18.872</v>
      </c>
      <c r="F10047" s="6" t="n">
        <f aca="false">Sens!F10022*Sens!F10046</f>
        <v>19.2524227516042</v>
      </c>
      <c r="G10047" s="6" t="n">
        <f aca="false">Sens!G10022*Sens!G10046</f>
        <v>19.7611044089106</v>
      </c>
      <c r="H10047" s="6" t="n">
        <f aca="false">Sens!H10022*Sens!H10046</f>
        <v>20.3758639732242</v>
      </c>
      <c r="I10047" s="6" t="n">
        <f aca="false">Sens!I10022*Sens!I10046</f>
        <v>21.0757295972234</v>
      </c>
      <c r="J10047" s="6" t="n">
        <f aca="false">Sens!J10022*Sens!J10046</f>
        <v>21.8407801712676</v>
      </c>
      <c r="K10047" s="6" t="n">
        <f aca="false">Sens!K10022*Sens!K10046</f>
        <v>22.6521919384148</v>
      </c>
    </row>
    <row r="10048" customFormat="false" ht="15" hidden="false" customHeight="false" outlineLevel="0" collapsed="false">
      <c r="A10048" s="1" t="s">
        <v>903</v>
      </c>
      <c r="B10048" s="0" t="s">
        <v>98</v>
      </c>
      <c r="D10048" s="6" t="n">
        <f aca="false">Sens!D10045+Sens!D10047</f>
        <v>128.528</v>
      </c>
      <c r="E10048" s="6" t="n">
        <f aca="false">Sens!E10045+Sens!E10047</f>
        <v>155.237</v>
      </c>
      <c r="F10048" s="6" t="n">
        <f aca="false">Sens!F10045+Sens!F10047</f>
        <v>176.850195505383</v>
      </c>
      <c r="G10048" s="6" t="n">
        <f aca="false">Sens!G10045+Sens!G10047</f>
        <v>196.941102442224</v>
      </c>
      <c r="H10048" s="6" t="n">
        <f aca="false">Sens!H10045+Sens!H10047</f>
        <v>217.197692228517</v>
      </c>
      <c r="I10048" s="6" t="n">
        <f aca="false">Sens!I10045+Sens!I10047</f>
        <v>236.62075104187</v>
      </c>
      <c r="J10048" s="6" t="n">
        <f aca="false">Sens!J10045+Sens!J10047</f>
        <v>254.738623364706</v>
      </c>
      <c r="K10048" s="6" t="n">
        <f aca="false">Sens!K10045+Sens!K10047</f>
        <v>272.415082239056</v>
      </c>
    </row>
    <row r="10049" customFormat="false" ht="15" hidden="false" customHeight="false" outlineLevel="0" collapsed="false">
      <c r="A10049" s="23" t="s">
        <v>904</v>
      </c>
      <c r="B10049" s="30" t="s">
        <v>98</v>
      </c>
      <c r="C10049" s="30"/>
      <c r="D10049" s="24" t="n">
        <f aca="false">Sens!D10048-Q!L23</f>
        <v>0</v>
      </c>
      <c r="E10049" s="24" t="n">
        <f aca="false">Sens!E10048-Q!M23</f>
        <v>0</v>
      </c>
      <c r="F10049" s="30"/>
      <c r="G10049" s="30"/>
      <c r="H10049" s="30"/>
      <c r="I10049" s="30"/>
      <c r="J10049" s="30"/>
      <c r="K10049" s="30"/>
    </row>
    <row r="10050" customFormat="false" ht="15" hidden="false" customHeight="false" outlineLevel="0" collapsed="false">
      <c r="A10050" s="1" t="s">
        <v>905</v>
      </c>
      <c r="B10050" s="0" t="s">
        <v>129</v>
      </c>
      <c r="D10050" s="7" t="n">
        <f aca="false">Sens!D10048/Sens!D10041</f>
        <v>0.456219562408598</v>
      </c>
      <c r="E10050" s="7" t="n">
        <f aca="false">Sens!E10048/Sens!E10041</f>
        <v>0.467808184089272</v>
      </c>
      <c r="F10050" s="7" t="n">
        <f aca="false">Sens!F10048/Sens!F10041</f>
        <v>0.44294289775612</v>
      </c>
      <c r="G10050" s="7" t="n">
        <f aca="false">Sens!G10048/Sens!G10041</f>
        <v>0.414799947719273</v>
      </c>
      <c r="H10050" s="7" t="n">
        <f aca="false">Sens!H10048/Sens!H10041</f>
        <v>0.393484522449428</v>
      </c>
      <c r="I10050" s="7" t="n">
        <f aca="false">Sens!I10048/Sens!I10041</f>
        <v>0.37977486435556</v>
      </c>
      <c r="J10050" s="7" t="n">
        <f aca="false">Sens!J10048/Sens!J10041</f>
        <v>0.373961769063965</v>
      </c>
      <c r="K10050" s="7" t="n">
        <f aca="false">Sens!K10048/Sens!K10041</f>
        <v>0.374342832743478</v>
      </c>
    </row>
    <row r="10051" customFormat="false" ht="17.15" hidden="false" customHeight="false" outlineLevel="0" collapsed="false">
      <c r="A10051" s="1" t="s">
        <v>906</v>
      </c>
      <c r="B10051" s="0" t="s">
        <v>98</v>
      </c>
      <c r="F10051" s="6" t="n">
        <f aca="false">Sens!F10066</f>
        <v>19.9358184660572</v>
      </c>
      <c r="G10051" s="6" t="n">
        <f aca="false">Sens!G10066</f>
        <v>35.1359494439124</v>
      </c>
      <c r="H10051" s="6" t="n">
        <f aca="false">Sens!H10066</f>
        <v>51.688536514718</v>
      </c>
      <c r="I10051" s="6" t="n">
        <f aca="false">Sens!I10066</f>
        <v>66.8193432436896</v>
      </c>
      <c r="J10051" s="6" t="n">
        <f aca="false">Sens!J10066</f>
        <v>77.4328840229578</v>
      </c>
      <c r="K10051" s="6" t="n">
        <f aca="false">Sens!K10066</f>
        <v>83.3249638901295</v>
      </c>
      <c r="L10051" s="1" t="s">
        <v>907</v>
      </c>
    </row>
    <row r="10052" customFormat="false" ht="17.15" hidden="false" customHeight="false" outlineLevel="0" collapsed="false">
      <c r="A10052" s="1" t="s">
        <v>908</v>
      </c>
      <c r="B10052" s="0" t="s">
        <v>98</v>
      </c>
      <c r="D10052" s="6" t="n">
        <f aca="false">Sens!D10048</f>
        <v>128.528</v>
      </c>
      <c r="E10052" s="6" t="n">
        <f aca="false">Sens!E10048</f>
        <v>155.237</v>
      </c>
      <c r="F10052" s="6" t="n">
        <f aca="false">Sens!F10048+Sens!F10051</f>
        <v>196.786013971441</v>
      </c>
      <c r="G10052" s="6" t="n">
        <f aca="false">Sens!G10048+Sens!G10051</f>
        <v>232.077051886136</v>
      </c>
      <c r="H10052" s="6" t="n">
        <f aca="false">Sens!H10048+Sens!H10051</f>
        <v>268.886228743235</v>
      </c>
      <c r="I10052" s="6" t="n">
        <f aca="false">Sens!I10048+Sens!I10051</f>
        <v>303.44009428556</v>
      </c>
      <c r="J10052" s="6" t="n">
        <f aca="false">Sens!J10048+Sens!J10051</f>
        <v>332.171507387664</v>
      </c>
      <c r="K10052" s="6" t="n">
        <f aca="false">Sens!K10048+Sens!K10051</f>
        <v>355.740046129185</v>
      </c>
    </row>
    <row r="10053" customFormat="false" ht="17.15" hidden="false" customHeight="false" outlineLevel="0" collapsed="false">
      <c r="A10053" s="1" t="s">
        <v>909</v>
      </c>
      <c r="B10053" s="0" t="s">
        <v>98</v>
      </c>
      <c r="E10053" s="6" t="n">
        <f aca="false">Sens!E9996</f>
        <v>16.3054059770833</v>
      </c>
      <c r="F10053" s="6" t="n">
        <f aca="false">Sens!F9996</f>
        <v>34.7408986225365</v>
      </c>
      <c r="G10053" s="6" t="n">
        <f aca="false">Sens!G9996</f>
        <v>60.5074595936729</v>
      </c>
      <c r="H10053" s="6" t="n">
        <f aca="false">Sens!H9996</f>
        <v>87.7430423264729</v>
      </c>
      <c r="I10053" s="6" t="n">
        <f aca="false">Sens!I9996</f>
        <v>111.987766315554</v>
      </c>
      <c r="J10053" s="6" t="n">
        <f aca="false">Sens!J9996</f>
        <v>129.184437255999</v>
      </c>
      <c r="K10053" s="6" t="n">
        <f aca="false">Sens!K9996</f>
        <v>139.648373137807</v>
      </c>
    </row>
    <row r="10054" customFormat="false" ht="17.15" hidden="false" customHeight="false" outlineLevel="0" collapsed="false">
      <c r="A10054" s="1" t="s">
        <v>910</v>
      </c>
      <c r="B10054" s="0" t="s">
        <v>98</v>
      </c>
      <c r="E10054" s="6" t="n">
        <f aca="false">Sens!E10078</f>
        <v>22.2285940229167</v>
      </c>
      <c r="F10054" s="6" t="n">
        <f aca="false">Sens!F10078</f>
        <v>23.5632335435812</v>
      </c>
      <c r="G10054" s="6" t="n">
        <f aca="false">Sens!G10078</f>
        <v>25.3209643305724</v>
      </c>
      <c r="H10054" s="6" t="n">
        <f aca="false">Sens!H10078</f>
        <v>27.4676560118004</v>
      </c>
      <c r="I10054" s="6" t="n">
        <f aca="false">Sens!I10078</f>
        <v>29.9369159035596</v>
      </c>
      <c r="J10054" s="6" t="n">
        <f aca="false">Sens!J10078</f>
        <v>32.6457062752196</v>
      </c>
      <c r="K10054" s="6" t="n">
        <f aca="false">Sens!K10078</f>
        <v>35.5102134636642</v>
      </c>
    </row>
    <row r="10055" customFormat="false" ht="17.15" hidden="false" customHeight="false" outlineLevel="0" collapsed="false">
      <c r="A10055" s="1" t="s">
        <v>911</v>
      </c>
      <c r="B10055" s="0" t="s">
        <v>98</v>
      </c>
      <c r="D10055" s="6" t="n">
        <f aca="false">Q!L27</f>
        <v>-4.901</v>
      </c>
      <c r="E10055" s="6" t="n">
        <f aca="false">Q!M27</f>
        <v>10.697</v>
      </c>
      <c r="F10055" s="6" t="n">
        <f aca="false">oie_f</f>
        <v>-0.4</v>
      </c>
      <c r="G10055" s="6" t="n">
        <f aca="false">oie_f</f>
        <v>-0.4</v>
      </c>
      <c r="H10055" s="6" t="n">
        <f aca="false">oie_f</f>
        <v>-0.4</v>
      </c>
      <c r="I10055" s="6" t="n">
        <f aca="false">oie_f</f>
        <v>-0.4</v>
      </c>
      <c r="J10055" s="6" t="n">
        <f aca="false">oie_f</f>
        <v>-0.4</v>
      </c>
      <c r="K10055" s="6" t="n">
        <f aca="false">oie_f</f>
        <v>-0.4</v>
      </c>
      <c r="L10055" s="11" t="s">
        <v>912</v>
      </c>
    </row>
    <row r="10056" customFormat="false" ht="15" hidden="false" customHeight="false" outlineLevel="0" collapsed="false">
      <c r="A10056" s="1" t="s">
        <v>913</v>
      </c>
      <c r="B10056" s="0" t="s">
        <v>98</v>
      </c>
      <c r="D10056" s="6" t="n">
        <f aca="false">Sens!D10048+Sens!D10055</f>
        <v>123.627</v>
      </c>
      <c r="E10056" s="6" t="n">
        <f aca="false">Sens!E10048+Sens!E10055</f>
        <v>165.934</v>
      </c>
      <c r="F10056" s="6" t="n">
        <f aca="false">Sens!F10048+Sens!F10055</f>
        <v>176.450195505383</v>
      </c>
      <c r="G10056" s="6" t="n">
        <f aca="false">Sens!G10048+Sens!G10055</f>
        <v>196.541102442224</v>
      </c>
      <c r="H10056" s="6" t="n">
        <f aca="false">Sens!H10048+Sens!H10055</f>
        <v>216.797692228517</v>
      </c>
      <c r="I10056" s="6" t="n">
        <f aca="false">Sens!I10048+Sens!I10055</f>
        <v>236.22075104187</v>
      </c>
      <c r="J10056" s="6" t="n">
        <f aca="false">Sens!J10048+Sens!J10055</f>
        <v>254.338623364706</v>
      </c>
      <c r="K10056" s="6" t="n">
        <f aca="false">Sens!K10048+Sens!K10055</f>
        <v>272.015082239056</v>
      </c>
    </row>
    <row r="10057" customFormat="false" ht="15" hidden="false" customHeight="false" outlineLevel="0" collapsed="false">
      <c r="A10057" s="1" t="s">
        <v>914</v>
      </c>
      <c r="B10057" s="0" t="s">
        <v>98</v>
      </c>
      <c r="D10057" s="6" t="n">
        <f aca="false">Q!L29</f>
        <v>21.795</v>
      </c>
      <c r="E10057" s="6" t="n">
        <f aca="false">Q!M29</f>
        <v>32.185</v>
      </c>
      <c r="F10057" s="6" t="n">
        <f aca="false">Sens!F10056*tax_f</f>
        <v>35.2900391010767</v>
      </c>
      <c r="G10057" s="6" t="n">
        <f aca="false">Sens!G10056*tax_f</f>
        <v>39.3082204884447</v>
      </c>
      <c r="H10057" s="6" t="n">
        <f aca="false">Sens!H10056*tax_f</f>
        <v>43.3595384457033</v>
      </c>
      <c r="I10057" s="6" t="n">
        <f aca="false">Sens!I10056*tax_f</f>
        <v>47.244150208374</v>
      </c>
      <c r="J10057" s="6" t="n">
        <f aca="false">Sens!J10056*tax_f</f>
        <v>50.8677246729412</v>
      </c>
      <c r="K10057" s="6" t="n">
        <f aca="false">Sens!K10056*tax_f</f>
        <v>54.4030164478111</v>
      </c>
    </row>
    <row r="10058" customFormat="false" ht="15" hidden="false" customHeight="false" outlineLevel="0" collapsed="false">
      <c r="A10058" s="1" t="s">
        <v>915</v>
      </c>
      <c r="B10058" s="0" t="s">
        <v>98</v>
      </c>
      <c r="D10058" s="6" t="n">
        <f aca="false">Sens!D10056-Sens!D10057</f>
        <v>101.832</v>
      </c>
      <c r="E10058" s="6" t="n">
        <f aca="false">Sens!E10056-Sens!E10057</f>
        <v>133.749</v>
      </c>
      <c r="F10058" s="6" t="n">
        <f aca="false">Sens!F10056-Sens!F10057</f>
        <v>141.160156404307</v>
      </c>
      <c r="G10058" s="6" t="n">
        <f aca="false">Sens!G10056-Sens!G10057</f>
        <v>157.232881953779</v>
      </c>
      <c r="H10058" s="6" t="n">
        <f aca="false">Sens!H10056-Sens!H10057</f>
        <v>173.438153782813</v>
      </c>
      <c r="I10058" s="6" t="n">
        <f aca="false">Sens!I10056-Sens!I10057</f>
        <v>188.976600833496</v>
      </c>
      <c r="J10058" s="6" t="n">
        <f aca="false">Sens!J10056-Sens!J10057</f>
        <v>203.470898691765</v>
      </c>
      <c r="K10058" s="6" t="n">
        <f aca="false">Sens!K10056-Sens!K10057</f>
        <v>217.612065791244</v>
      </c>
    </row>
    <row r="10059" customFormat="false" ht="17.15" hidden="false" customHeight="false" outlineLevel="0" collapsed="false">
      <c r="A10059" s="1" t="s">
        <v>916</v>
      </c>
      <c r="B10059" s="1" t="s">
        <v>81</v>
      </c>
      <c r="D10059" s="14" t="n">
        <f aca="false">Q!L31</f>
        <v>7.465</v>
      </c>
      <c r="E10059" s="14" t="n">
        <f aca="false">Q!M31</f>
        <v>7.453</v>
      </c>
      <c r="F10059" s="14" t="n">
        <f aca="false">Sens!F10100</f>
        <v>7.4735</v>
      </c>
      <c r="G10059" s="14" t="n">
        <f aca="false">Sens!G10100</f>
        <v>7.51804509133581</v>
      </c>
      <c r="H10059" s="14" t="n">
        <f aca="false">Sens!H10100</f>
        <v>7.54534176852156</v>
      </c>
      <c r="I10059" s="14" t="n">
        <f aca="false">Sens!I10100</f>
        <v>7.55712260052888</v>
      </c>
      <c r="J10059" s="14" t="n">
        <f aca="false">Sens!J10100</f>
        <v>7.57136411164676</v>
      </c>
      <c r="K10059" s="14" t="n">
        <f aca="false">Sens!K10100</f>
        <v>7.5878840293485</v>
      </c>
    </row>
    <row r="10060" customFormat="false" ht="17.15" hidden="false" customHeight="false" outlineLevel="0" collapsed="false">
      <c r="A10060" s="0" t="s">
        <v>917</v>
      </c>
      <c r="B10060" s="0" t="s">
        <v>75</v>
      </c>
      <c r="D10060" s="8" t="n">
        <f aca="false">Sens!D10058/Sens!D10059</f>
        <v>13.641259209645</v>
      </c>
      <c r="E10060" s="8" t="n">
        <f aca="false">Sens!E10058/Sens!E10059</f>
        <v>17.9456594659869</v>
      </c>
      <c r="F10060" s="8" t="n">
        <f aca="false">Sens!F10058/Sens!F10059</f>
        <v>18.8880921127058</v>
      </c>
      <c r="G10060" s="8" t="n">
        <f aca="false">Sens!G10058/Sens!G10059</f>
        <v>20.9140647659832</v>
      </c>
      <c r="H10060" s="8" t="n">
        <f aca="false">Sens!H10058/Sens!H10059</f>
        <v>22.9861229754205</v>
      </c>
      <c r="I10060" s="8" t="n">
        <f aca="false">Sens!I10058/Sens!I10059</f>
        <v>25.0064225265144</v>
      </c>
      <c r="J10060" s="8" t="n">
        <f aca="false">Sens!J10058/Sens!J10059</f>
        <v>26.8737437126782</v>
      </c>
      <c r="K10060" s="8" t="n">
        <f aca="false">Sens!K10058/Sens!K10059</f>
        <v>28.6788866236703</v>
      </c>
      <c r="L10060" s="1" t="s">
        <v>918</v>
      </c>
    </row>
    <row r="10061" customFormat="false" ht="17.15" hidden="false" customHeight="false" outlineLevel="0" collapsed="false">
      <c r="A10061" s="1" t="s">
        <v>919</v>
      </c>
      <c r="B10061" s="0" t="s">
        <v>98</v>
      </c>
      <c r="D10061" s="6" t="n">
        <f aca="false">Sens!D10058</f>
        <v>101.832</v>
      </c>
      <c r="E10061" s="6" t="n">
        <f aca="false">Sens!E10058</f>
        <v>133.749</v>
      </c>
      <c r="F10061" s="6" t="n">
        <f aca="false">Sens!F10058+Sens!F10051*(1-tax_f)</f>
        <v>157.108811177152</v>
      </c>
      <c r="G10061" s="6" t="n">
        <f aca="false">Sens!G10058+Sens!G10051*(1-tax_f)</f>
        <v>185.341641508909</v>
      </c>
      <c r="H10061" s="6" t="n">
        <f aca="false">Sens!H10058+Sens!H10051*(1-tax_f)</f>
        <v>214.788982994588</v>
      </c>
      <c r="I10061" s="6" t="n">
        <f aca="false">Sens!I10058+Sens!I10051*(1-tax_f)</f>
        <v>242.432075428448</v>
      </c>
      <c r="J10061" s="6" t="n">
        <f aca="false">Sens!J10058+Sens!J10051*(1-tax_f)</f>
        <v>265.417205910131</v>
      </c>
      <c r="K10061" s="6" t="n">
        <f aca="false">Sens!K10058+Sens!K10051*(1-tax_f)</f>
        <v>284.272036903348</v>
      </c>
    </row>
    <row r="10062" customFormat="false" ht="17.15" hidden="false" customHeight="false" outlineLevel="0" collapsed="false">
      <c r="A10062" s="0" t="s">
        <v>920</v>
      </c>
      <c r="B10062" s="0" t="s">
        <v>75</v>
      </c>
      <c r="D10062" s="8" t="n">
        <f aca="false">Sens!D10061/Sens!D10059</f>
        <v>13.641259209645</v>
      </c>
      <c r="E10062" s="8" t="n">
        <f aca="false">Sens!E10061/Sens!E10059</f>
        <v>17.9456594659869</v>
      </c>
      <c r="F10062" s="8" t="n">
        <f aca="false">Sens!F10061/Sens!F10059</f>
        <v>21.0221196463708</v>
      </c>
      <c r="G10062" s="8" t="n">
        <f aca="false">Sens!G10061/Sens!G10059</f>
        <v>24.6529036813714</v>
      </c>
      <c r="H10062" s="8" t="n">
        <f aca="false">Sens!H10061/Sens!H10059</f>
        <v>28.4664352634981</v>
      </c>
      <c r="I10062" s="8" t="n">
        <f aca="false">Sens!I10061/Sens!I10059</f>
        <v>32.0799447413334</v>
      </c>
      <c r="J10062" s="8" t="n">
        <f aca="false">Sens!J10061/Sens!J10059</f>
        <v>35.0554011134994</v>
      </c>
      <c r="K10062" s="8" t="n">
        <f aca="false">Sens!K10061/Sens!K10059</f>
        <v>37.463940645882</v>
      </c>
      <c r="L10062" s="1" t="s">
        <v>921</v>
      </c>
    </row>
    <row r="10063" customFormat="false" ht="17.15" hidden="false" customHeight="false" outlineLevel="0" collapsed="false">
      <c r="A10063" s="0" t="s">
        <v>922</v>
      </c>
      <c r="B10063" s="0" t="s">
        <v>129</v>
      </c>
      <c r="E10063" s="7" t="n">
        <f aca="false">Sens!E10062/Sens!D10062-1</f>
        <v>0.315542736208578</v>
      </c>
      <c r="F10063" s="7" t="n">
        <f aca="false">Sens!F10062/Sens!E10062-1</f>
        <v>0.171431993692677</v>
      </c>
      <c r="G10063" s="7" t="n">
        <f aca="false">Sens!G10062/Sens!F10062-1</f>
        <v>0.172712556872322</v>
      </c>
      <c r="H10063" s="7" t="n">
        <f aca="false">Sens!H10062/Sens!G10062-1</f>
        <v>0.154688941773961</v>
      </c>
      <c r="I10063" s="7" t="n">
        <f aca="false">Sens!I10062/Sens!H10062-1</f>
        <v>0.126939303934158</v>
      </c>
      <c r="J10063" s="7" t="n">
        <f aca="false">Sens!J10062/Sens!I10062-1</f>
        <v>0.0927512935623081</v>
      </c>
      <c r="K10063" s="7" t="n">
        <f aca="false">Sens!K10062/Sens!J10062-1</f>
        <v>0.0687066601972242</v>
      </c>
    </row>
    <row r="10064" customFormat="false" ht="17.15" hidden="false" customHeight="false" outlineLevel="0" collapsed="false">
      <c r="A10064" s="0" t="s">
        <v>846</v>
      </c>
      <c r="B10064" s="0" t="s">
        <v>98</v>
      </c>
      <c r="E10064" s="6" t="n">
        <f aca="false">Sens!E10005</f>
        <v>5.25</v>
      </c>
      <c r="F10064" s="6" t="n">
        <f aca="false">Sens!F10005</f>
        <v>12</v>
      </c>
      <c r="G10064" s="6" t="n">
        <f aca="false">Sens!G10005</f>
        <v>18</v>
      </c>
      <c r="H10064" s="6" t="n">
        <f aca="false">Sens!H10005</f>
        <v>24</v>
      </c>
      <c r="I10064" s="6" t="n">
        <f aca="false">Sens!I10005</f>
        <v>28.5</v>
      </c>
      <c r="J10064" s="6" t="n">
        <f aca="false">Sens!J10005</f>
        <v>31.5</v>
      </c>
      <c r="K10064" s="6" t="n">
        <f aca="false">Sens!K10005</f>
        <v>34.5</v>
      </c>
    </row>
    <row r="10065" customFormat="false" ht="17.15" hidden="false" customHeight="false" outlineLevel="0" collapsed="false">
      <c r="A10065" s="1" t="s">
        <v>847</v>
      </c>
      <c r="B10065" s="0" t="s">
        <v>98</v>
      </c>
      <c r="F10065" s="6" t="n">
        <f aca="false">MAX(0,(Sens!E9968+Sens!F9968)/2*Sens!F9976/1000-Sens!F10064*Sens!F10044)</f>
        <v>19.9358184660572</v>
      </c>
      <c r="G10065" s="6" t="n">
        <f aca="false">MAX(0,(Sens!F9968+Sens!G9968)/2*Sens!G9976/1000-Sens!G10064*Sens!G10044)</f>
        <v>35.1359494439124</v>
      </c>
      <c r="H10065" s="6" t="n">
        <f aca="false">MAX(0,(Sens!G9968+Sens!H9968)/2*Sens!H9976/1000-Sens!H10064*Sens!H10044)</f>
        <v>51.688536514718</v>
      </c>
      <c r="I10065" s="6" t="n">
        <f aca="false">MAX(0,(Sens!H9968+Sens!I9968)/2*Sens!I9976/1000-Sens!I10064*Sens!I10044)</f>
        <v>66.8193432436896</v>
      </c>
      <c r="J10065" s="6" t="n">
        <f aca="false">MAX(0,(Sens!I9968+Sens!J9968)/2*Sens!J9976/1000-Sens!J10064*Sens!J10044)</f>
        <v>77.4328840229578</v>
      </c>
      <c r="K10065" s="6" t="n">
        <f aca="false">MAX(0,(Sens!J9968+Sens!K9968)/2*Sens!K9976/1000-Sens!K10064*Sens!K10044)</f>
        <v>83.3249638901295</v>
      </c>
      <c r="L10065" s="1" t="s">
        <v>848</v>
      </c>
    </row>
    <row r="10066" customFormat="false" ht="17.15" hidden="false" customHeight="false" outlineLevel="0" collapsed="false">
      <c r="A10066" s="1" t="s">
        <v>849</v>
      </c>
      <c r="B10066" s="0" t="s">
        <v>98</v>
      </c>
      <c r="F10066" s="6" t="n">
        <f aca="false">IF(internal_ai_reading=2,1,0)*Sens!F10065</f>
        <v>19.9358184660572</v>
      </c>
      <c r="G10066" s="6" t="n">
        <f aca="false">IF(internal_ai_reading=2,1,0)*Sens!G10065</f>
        <v>35.1359494439124</v>
      </c>
      <c r="H10066" s="6" t="n">
        <f aca="false">IF(internal_ai_reading=2,1,0)*Sens!H10065</f>
        <v>51.688536514718</v>
      </c>
      <c r="I10066" s="6" t="n">
        <f aca="false">IF(internal_ai_reading=2,1,0)*Sens!I10065</f>
        <v>66.8193432436896</v>
      </c>
      <c r="J10066" s="6" t="n">
        <f aca="false">IF(internal_ai_reading=2,1,0)*Sens!J10065</f>
        <v>77.4328840229578</v>
      </c>
      <c r="K10066" s="6" t="n">
        <f aca="false">IF(internal_ai_reading=2,1,0)*Sens!K10065</f>
        <v>83.3249638901295</v>
      </c>
    </row>
    <row r="10067" customFormat="false" ht="17.15" hidden="false" customHeight="false" outlineLevel="0" collapsed="false">
      <c r="A10067" s="0" t="s">
        <v>850</v>
      </c>
      <c r="B10067" s="0" t="s">
        <v>98</v>
      </c>
      <c r="F10067" s="6" t="n">
        <f aca="false">Sens!F9985+Sens!F10064*Sens!F10044+Sens!F10066-Sens!F9986-Sens!F9996</f>
        <v>24.9729182527443</v>
      </c>
      <c r="G10067" s="6" t="n">
        <f aca="false">Sens!G9985+Sens!G10064*Sens!G10044+Sens!G10066-Sens!G9986-Sens!G9996</f>
        <v>40.6738455496898</v>
      </c>
      <c r="H10067" s="6" t="n">
        <f aca="false">Sens!H9985+Sens!H10064*Sens!H10044+Sens!H10066-Sens!H9986-Sens!H9996</f>
        <v>57.6046850911732</v>
      </c>
      <c r="I10067" s="6" t="n">
        <f aca="false">Sens!I9985+Sens!I10064*Sens!I10044+Sens!I10066-Sens!I9986-Sens!I9996</f>
        <v>72.6830996141571</v>
      </c>
      <c r="J10067" s="6" t="n">
        <f aca="false">Sens!J9985+Sens!J10064*Sens!J10044+Sens!J10066-Sens!J9986-Sens!J9996</f>
        <v>83.1126743678582</v>
      </c>
      <c r="K10067" s="6" t="n">
        <f aca="false">Sens!K9985+Sens!K10064*Sens!K10044+Sens!K10066-Sens!K9986-Sens!K9996</f>
        <v>90.3485075393485</v>
      </c>
    </row>
    <row r="10068" customFormat="false" ht="17.15" hidden="false" customHeight="false" outlineLevel="0" collapsed="false">
      <c r="A10068" s="0" t="s">
        <v>851</v>
      </c>
      <c r="B10068" s="0" t="s">
        <v>98</v>
      </c>
      <c r="E10068" s="6" t="n">
        <f aca="false">Sens!E9967*(cxit_open+self_build*tk_cxfac)/1000*ai_net_open</f>
        <v>126.6980382</v>
      </c>
      <c r="F10068" s="6" t="n">
        <f aca="false">Sens!E10068+Sens!F9993-Sens!F9996</f>
        <v>260.582150347901</v>
      </c>
      <c r="G10068" s="6" t="n">
        <f aca="false">Sens!F10068+Sens!G9993-Sens!G9996</f>
        <v>383.648871237428</v>
      </c>
      <c r="H10068" s="6" t="n">
        <f aca="false">Sens!G10068+Sens!H9993-Sens!H9996</f>
        <v>483.986114821355</v>
      </c>
      <c r="I10068" s="6" t="n">
        <f aca="false">Sens!H10068+Sens!I9993-Sens!I9996</f>
        <v>535.705017660046</v>
      </c>
      <c r="J10068" s="6" t="n">
        <f aca="false">Sens!I10068+Sens!J9993-Sens!J9996</f>
        <v>531.033057122137</v>
      </c>
      <c r="K10068" s="6" t="n">
        <f aca="false">Sens!J10068+Sens!K9993-Sens!K9996</f>
        <v>506.344119626267</v>
      </c>
      <c r="L10068" s="1" t="s">
        <v>852</v>
      </c>
    </row>
    <row r="10069" customFormat="false" ht="17.15" hidden="false" customHeight="false" outlineLevel="0" collapsed="false">
      <c r="A10069" s="0" t="s">
        <v>853</v>
      </c>
      <c r="B10069" s="0" t="s">
        <v>129</v>
      </c>
      <c r="F10069" s="7" t="n">
        <f aca="false">Sens!F10067*(1-tax_f)/((Sens!E10068+Sens!F10068)/2)</f>
        <v>0.103172510203033</v>
      </c>
      <c r="G10069" s="7" t="n">
        <f aca="false">Sens!G10067*(1-tax_f)/((Sens!F10068+Sens!G10068)/2)</f>
        <v>0.101016794750676</v>
      </c>
      <c r="H10069" s="7" t="n">
        <f aca="false">Sens!H10067*(1-tax_f)/((Sens!G10068+Sens!H10068)/2)</f>
        <v>0.106228422812393</v>
      </c>
      <c r="I10069" s="7" t="n">
        <f aca="false">Sens!I10067*(1-tax_f)/((Sens!H10068+Sens!I10068)/2)</f>
        <v>0.114047240069308</v>
      </c>
      <c r="J10069" s="7" t="n">
        <f aca="false">Sens!J10067*(1-tax_f)/((Sens!I10068+Sens!J10068)/2)</f>
        <v>0.124660666129993</v>
      </c>
      <c r="K10069" s="7" t="n">
        <f aca="false">Sens!K10067*(1-tax_f)/((Sens!J10068+Sens!K10068)/2)</f>
        <v>0.139349134821015</v>
      </c>
    </row>
    <row r="10070" customFormat="false" ht="17.15" hidden="false" customHeight="false" outlineLevel="0" collapsed="false">
      <c r="A10070" s="1" t="s">
        <v>854</v>
      </c>
      <c r="B10070" s="0" t="s">
        <v>129</v>
      </c>
      <c r="F10070" s="7" t="n">
        <f aca="false">(Sens!F10067-Sens!F10066)*(1-tax_f)/((Sens!E10068+Sens!F10068)/2)</f>
        <v>0.0208101521766911</v>
      </c>
      <c r="G10070" s="7" t="n">
        <f aca="false">(Sens!G10067-Sens!G10066)*(1-tax_f)/((Sens!F10068+Sens!G10068)/2)</f>
        <v>0.0137538141945408</v>
      </c>
      <c r="H10070" s="7" t="n">
        <f aca="false">(Sens!H10067-Sens!H10066)*(1-tax_f)/((Sens!G10068+Sens!H10068)/2)</f>
        <v>0.0109099308746489</v>
      </c>
      <c r="I10070" s="7" t="n">
        <f aca="false">(Sens!I10067-Sens!I10066)*(1-tax_f)/((Sens!H10068+Sens!I10068)/2)</f>
        <v>0.00920083532541557</v>
      </c>
      <c r="J10070" s="7" t="n">
        <f aca="false">(Sens!J10067-Sens!J10066)*(1-tax_f)/((Sens!I10068+Sens!J10068)/2)</f>
        <v>0.00851911520426069</v>
      </c>
      <c r="K10070" s="7" t="n">
        <f aca="false">(Sens!K10067-Sens!K10066)*(1-tax_f)/((Sens!J10068+Sens!K10068)/2)</f>
        <v>0.0108327714264682</v>
      </c>
    </row>
    <row r="10071" customFormat="false" ht="17.15" hidden="false" customHeight="false" outlineLevel="0" collapsed="false">
      <c r="A10071" s="1" t="s">
        <v>855</v>
      </c>
      <c r="B10071" s="0" t="s">
        <v>129</v>
      </c>
      <c r="F10071" s="7" t="n">
        <f aca="false">(Sens!F10067-Sens!F10066+Sens!F10065)*(1-tax_f)/((Sens!E10068+Sens!F10068)/2)</f>
        <v>0.103172510203033</v>
      </c>
      <c r="G10071" s="7" t="n">
        <f aca="false">(Sens!G10067-Sens!G10066+Sens!G10065)*(1-tax_f)/((Sens!F10068+Sens!G10068)/2)</f>
        <v>0.101016794750676</v>
      </c>
      <c r="H10071" s="7" t="n">
        <f aca="false">(Sens!H10067-Sens!H10066+Sens!H10065)*(1-tax_f)/((Sens!G10068+Sens!H10068)/2)</f>
        <v>0.106228422812393</v>
      </c>
      <c r="I10071" s="7" t="n">
        <f aca="false">(Sens!I10067-Sens!I10066+Sens!I10065)*(1-tax_f)/((Sens!H10068+Sens!I10068)/2)</f>
        <v>0.114047240069308</v>
      </c>
      <c r="J10071" s="7" t="n">
        <f aca="false">(Sens!J10067-Sens!J10066+Sens!J10065)*(1-tax_f)/((Sens!I10068+Sens!J10068)/2)</f>
        <v>0.124660666129993</v>
      </c>
      <c r="K10071" s="7" t="n">
        <f aca="false">(Sens!K10067-Sens!K10066+Sens!K10065)*(1-tax_f)/((Sens!J10068+Sens!K10068)/2)</f>
        <v>0.139349134821015</v>
      </c>
    </row>
    <row r="10072" customFormat="false" ht="17.15" hidden="false" customHeight="false" outlineLevel="0" collapsed="false">
      <c r="A10072" s="1" t="s">
        <v>856</v>
      </c>
      <c r="B10072" s="0" t="s">
        <v>129</v>
      </c>
      <c r="F10072" s="7" t="n">
        <f aca="false">Sens!F9997*(1-tax_f)/(Sens!F9984*(Sens!E10068+Sens!F10068)/2)</f>
        <v>0.128175256579089</v>
      </c>
      <c r="G10072" s="7" t="n">
        <f aca="false">Sens!G9997*(1-tax_f)/(Sens!G9984*(Sens!F10068+Sens!G10068)/2)</f>
        <v>0.12520675674043</v>
      </c>
      <c r="H10072" s="7" t="n">
        <f aca="false">Sens!H9997*(1-tax_f)/(Sens!H9984*(Sens!G10068+Sens!H10068)/2)</f>
        <v>0.130850170166193</v>
      </c>
      <c r="I10072" s="7" t="n">
        <f aca="false">Sens!I9997*(1-tax_f)/(Sens!I9984*(Sens!H10068+Sens!I10068)/2)</f>
        <v>0.139989923153014</v>
      </c>
      <c r="J10072" s="7" t="n">
        <f aca="false">Sens!J9997*(1-tax_f)/(Sens!J9984*(Sens!I10068+Sens!J10068)/2)</f>
        <v>0.152805440837336</v>
      </c>
      <c r="K10072" s="7" t="n">
        <f aca="false">Sens!K9997*(1-tax_f)/(Sens!K9984*(Sens!J10068+Sens!K10068)/2)</f>
        <v>0.170547582815013</v>
      </c>
    </row>
    <row r="10073" customFormat="false" ht="17.15" hidden="false" customHeight="false" outlineLevel="0" collapsed="false">
      <c r="A10073" s="0" t="s">
        <v>857</v>
      </c>
      <c r="B10073" s="0" t="s">
        <v>209</v>
      </c>
      <c r="F10073" s="7" t="n">
        <f aca="false">Sens!F10069-wacc</f>
        <v>0.000238090110157366</v>
      </c>
      <c r="G10073" s="7" t="n">
        <f aca="false">Sens!G10069-wacc</f>
        <v>-0.00191762534219946</v>
      </c>
      <c r="H10073" s="7" t="n">
        <f aca="false">Sens!H10069-wacc</f>
        <v>0.00329400271951719</v>
      </c>
      <c r="I10073" s="7" t="n">
        <f aca="false">Sens!I10069-wacc</f>
        <v>0.0111128199764327</v>
      </c>
      <c r="J10073" s="7" t="n">
        <f aca="false">Sens!J10069-wacc</f>
        <v>0.0217262460371172</v>
      </c>
      <c r="K10073" s="7" t="n">
        <f aca="false">Sens!K10069-wacc</f>
        <v>0.0364147147281396</v>
      </c>
    </row>
    <row r="10074" customFormat="false" ht="17.15" hidden="false" customHeight="false" outlineLevel="0" collapsed="false">
      <c r="A10074" s="0" t="s">
        <v>858</v>
      </c>
      <c r="B10074" s="0" t="s">
        <v>98</v>
      </c>
      <c r="F10074" s="6" t="n">
        <f aca="false">Sens!F10067*(1-tax_f)-wacc*(Sens!E10068+Sens!F10068)/2</f>
        <v>0.0461037913765701</v>
      </c>
      <c r="G10074" s="6" t="n">
        <f aca="false">Sens!G10067*(1-tax_f)-wacc*(Sens!F10068+Sens!G10068)/2</f>
        <v>-0.617696866611539</v>
      </c>
      <c r="H10074" s="6" t="n">
        <f aca="false">Sens!H10067*(1-tax_f)-wacc*(Sens!G10068+Sens!H10068)/2</f>
        <v>1.42899600181294</v>
      </c>
      <c r="I10074" s="6" t="n">
        <f aca="false">Sens!I10067*(1-tax_f)-wacc*(Sens!H10068+Sens!I10068)/2</f>
        <v>5.66582199341529</v>
      </c>
      <c r="J10074" s="6" t="n">
        <f aca="false">Sens!J10067*(1-tax_f)-wacc*(Sens!I10068+Sens!J10068)/2</f>
        <v>11.5881069349392</v>
      </c>
      <c r="K10074" s="6" t="n">
        <f aca="false">Sens!K10067*(1-tax_f)-wacc*(Sens!J10068+Sens!K10068)/2</f>
        <v>18.887896978388</v>
      </c>
    </row>
    <row r="10075" customFormat="false" ht="17.15" hidden="false" customHeight="false" outlineLevel="0" collapsed="false">
      <c r="A10075" s="3" t="s">
        <v>1497</v>
      </c>
    </row>
    <row r="10076" customFormat="false" ht="15" hidden="false" customHeight="false" outlineLevel="0" collapsed="false">
      <c r="A10076" s="4" t="s">
        <v>43</v>
      </c>
      <c r="B10076" s="4" t="s">
        <v>65</v>
      </c>
      <c r="C10076" s="20" t="s">
        <v>788</v>
      </c>
      <c r="D10076" s="20" t="s">
        <v>789</v>
      </c>
      <c r="E10076" s="20" t="s">
        <v>790</v>
      </c>
      <c r="F10076" s="20" t="s">
        <v>791</v>
      </c>
      <c r="G10076" s="20" t="s">
        <v>792</v>
      </c>
      <c r="H10076" s="20" t="s">
        <v>793</v>
      </c>
      <c r="I10076" s="20" t="s">
        <v>794</v>
      </c>
      <c r="J10076" s="20" t="s">
        <v>795</v>
      </c>
      <c r="K10076" s="20" t="s">
        <v>796</v>
      </c>
      <c r="L10076" s="4" t="s">
        <v>47</v>
      </c>
    </row>
    <row r="10077" customFormat="false" ht="15" hidden="false" customHeight="false" outlineLevel="0" collapsed="false">
      <c r="A10077" s="1" t="s">
        <v>915</v>
      </c>
      <c r="B10077" s="0" t="s">
        <v>98</v>
      </c>
      <c r="F10077" s="6" t="n">
        <f aca="false">Sens!F10058</f>
        <v>141.160156404307</v>
      </c>
      <c r="G10077" s="6" t="n">
        <f aca="false">Sens!G10058</f>
        <v>157.232881953779</v>
      </c>
      <c r="H10077" s="6" t="n">
        <f aca="false">Sens!H10058</f>
        <v>173.438153782813</v>
      </c>
      <c r="I10077" s="6" t="n">
        <f aca="false">Sens!I10058</f>
        <v>188.976600833496</v>
      </c>
      <c r="J10077" s="6" t="n">
        <f aca="false">Sens!J10058</f>
        <v>203.470898691765</v>
      </c>
      <c r="K10077" s="6" t="n">
        <f aca="false">Sens!K10058</f>
        <v>217.612065791244</v>
      </c>
    </row>
    <row r="10078" customFormat="false" ht="17.15" hidden="false" customHeight="false" outlineLevel="0" collapsed="false">
      <c r="A10078" s="1" t="s">
        <v>937</v>
      </c>
      <c r="B10078" s="0" t="s">
        <v>98</v>
      </c>
      <c r="E10078" s="6" t="n">
        <f aca="false">Q!M38-Sens!E9996</f>
        <v>22.2285940229167</v>
      </c>
      <c r="F10078" s="6" t="n">
        <f aca="false">Sens!E10078*(1-1/life_nonai)+Sens!F10084/life_nonai</f>
        <v>23.5632335435812</v>
      </c>
      <c r="G10078" s="6" t="n">
        <f aca="false">Sens!F10078*(1-1/life_nonai)+Sens!G10084/life_nonai</f>
        <v>25.3209643305724</v>
      </c>
      <c r="H10078" s="6" t="n">
        <f aca="false">Sens!G10078*(1-1/life_nonai)+Sens!H10084/life_nonai</f>
        <v>27.4676560118004</v>
      </c>
      <c r="I10078" s="6" t="n">
        <f aca="false">Sens!H10078*(1-1/life_nonai)+Sens!I10084/life_nonai</f>
        <v>29.9369159035596</v>
      </c>
      <c r="J10078" s="6" t="n">
        <f aca="false">Sens!I10078*(1-1/life_nonai)+Sens!J10084/life_nonai</f>
        <v>32.6457062752196</v>
      </c>
      <c r="K10078" s="6" t="n">
        <f aca="false">Sens!J10078*(1-1/life_nonai)+Sens!K10084/life_nonai</f>
        <v>35.5102134636642</v>
      </c>
      <c r="L10078" s="11" t="s">
        <v>938</v>
      </c>
    </row>
    <row r="10079" customFormat="false" ht="17.15" hidden="false" customHeight="false" outlineLevel="0" collapsed="false">
      <c r="A10079" s="1" t="s">
        <v>939</v>
      </c>
      <c r="B10079" s="0" t="s">
        <v>98</v>
      </c>
      <c r="E10079" s="6" t="n">
        <f aca="false">Sens!E9996+Sens!E10078</f>
        <v>38.534</v>
      </c>
      <c r="F10079" s="6" t="n">
        <f aca="false">Sens!F9996+Sens!F10078</f>
        <v>58.3041321661177</v>
      </c>
      <c r="G10079" s="6" t="n">
        <f aca="false">Sens!G9996+Sens!G10078</f>
        <v>85.8284239242454</v>
      </c>
      <c r="H10079" s="6" t="n">
        <f aca="false">Sens!H9996+Sens!H10078</f>
        <v>115.210698338273</v>
      </c>
      <c r="I10079" s="6" t="n">
        <f aca="false">Sens!I9996+Sens!I10078</f>
        <v>141.924682219114</v>
      </c>
      <c r="J10079" s="6" t="n">
        <f aca="false">Sens!J9996+Sens!J10078</f>
        <v>161.830143531219</v>
      </c>
      <c r="K10079" s="6" t="n">
        <f aca="false">Sens!K9996+Sens!K10078</f>
        <v>175.158586601471</v>
      </c>
    </row>
    <row r="10080" customFormat="false" ht="17.15" hidden="false" customHeight="false" outlineLevel="0" collapsed="false">
      <c r="A10080" s="1" t="s">
        <v>940</v>
      </c>
      <c r="B10080" s="0" t="s">
        <v>98</v>
      </c>
      <c r="F10080" s="6" t="n">
        <f aca="false">Sens!F10023*sbc_r</f>
        <v>14.9254400504477</v>
      </c>
      <c r="G10080" s="6" t="n">
        <f aca="false">Sens!G10023*sbc_r</f>
        <v>17.7487190289677</v>
      </c>
      <c r="H10080" s="6" t="n">
        <f aca="false">Sens!H10023*sbc_r</f>
        <v>20.6346399274275</v>
      </c>
      <c r="I10080" s="6" t="n">
        <f aca="false">Sens!I10023*sbc_r</f>
        <v>23.2914193040093</v>
      </c>
      <c r="J10080" s="6" t="n">
        <f aca="false">Sens!J10023*sbc_r</f>
        <v>25.4646044522974</v>
      </c>
      <c r="K10080" s="6" t="n">
        <f aca="false">Sens!K10023*sbc_r</f>
        <v>27.2038874132304</v>
      </c>
    </row>
    <row r="10081" customFormat="false" ht="17.15" hidden="false" customHeight="false" outlineLevel="0" collapsed="false">
      <c r="A10081" s="1" t="s">
        <v>941</v>
      </c>
      <c r="B10081" s="0" t="s">
        <v>98</v>
      </c>
      <c r="F10081" s="6" t="n">
        <f aca="false">wc27</f>
        <v>-4.895</v>
      </c>
      <c r="G10081" s="6" t="n">
        <f aca="false">wc_f</f>
        <v>0</v>
      </c>
      <c r="H10081" s="6" t="n">
        <f aca="false">wc_f</f>
        <v>0</v>
      </c>
      <c r="I10081" s="6" t="n">
        <f aca="false">wc_f</f>
        <v>0</v>
      </c>
      <c r="J10081" s="6" t="n">
        <f aca="false">wc_f</f>
        <v>0</v>
      </c>
      <c r="K10081" s="6" t="n">
        <f aca="false">wc_f</f>
        <v>0</v>
      </c>
      <c r="L10081" s="11" t="s">
        <v>942</v>
      </c>
    </row>
    <row r="10082" customFormat="false" ht="15" hidden="false" customHeight="false" outlineLevel="0" collapsed="false">
      <c r="A10082" s="1" t="s">
        <v>756</v>
      </c>
      <c r="B10082" s="0" t="s">
        <v>98</v>
      </c>
      <c r="E10082" s="6" t="n">
        <f aca="false">Q!M35</f>
        <v>182.935</v>
      </c>
      <c r="F10082" s="6" t="n">
        <f aca="false">Sens!F10077+Sens!F10079+Sens!F10080+Sens!F10081</f>
        <v>209.494728620872</v>
      </c>
      <c r="G10082" s="6" t="n">
        <f aca="false">Sens!G10077+Sens!G10079+Sens!G10080+Sens!G10081</f>
        <v>260.810024906992</v>
      </c>
      <c r="H10082" s="6" t="n">
        <f aca="false">Sens!H10077+Sens!H10079+Sens!H10080+Sens!H10081</f>
        <v>309.283492048514</v>
      </c>
      <c r="I10082" s="6" t="n">
        <f aca="false">Sens!I10077+Sens!I10079+Sens!I10080+Sens!I10081</f>
        <v>354.192702356619</v>
      </c>
      <c r="J10082" s="6" t="n">
        <f aca="false">Sens!J10077+Sens!J10079+Sens!J10080+Sens!J10081</f>
        <v>390.765646675281</v>
      </c>
      <c r="K10082" s="6" t="n">
        <f aca="false">Sens!K10077+Sens!K10079+Sens!K10080+Sens!K10081</f>
        <v>419.974539805946</v>
      </c>
    </row>
    <row r="10083" customFormat="false" ht="17.15" hidden="false" customHeight="false" outlineLevel="0" collapsed="false">
      <c r="A10083" s="0" t="s">
        <v>943</v>
      </c>
      <c r="B10083" s="0" t="s">
        <v>98</v>
      </c>
      <c r="F10083" s="6" t="n">
        <f aca="false">Sens!F9993</f>
        <v>168.625010770438</v>
      </c>
      <c r="G10083" s="6" t="n">
        <f aca="false">Sens!G9993</f>
        <v>183.5741804832</v>
      </c>
      <c r="H10083" s="6" t="n">
        <f aca="false">Sens!H9993</f>
        <v>188.0802859104</v>
      </c>
      <c r="I10083" s="6" t="n">
        <f aca="false">Sens!I9993</f>
        <v>163.706669154245</v>
      </c>
      <c r="J10083" s="6" t="n">
        <f aca="false">Sens!J9993</f>
        <v>124.51247671809</v>
      </c>
      <c r="K10083" s="6" t="n">
        <f aca="false">Sens!K9993</f>
        <v>114.959435641936</v>
      </c>
    </row>
    <row r="10084" customFormat="false" ht="17.15" hidden="false" customHeight="false" outlineLevel="0" collapsed="false">
      <c r="A10084" s="1" t="s">
        <v>944</v>
      </c>
      <c r="B10084" s="0" t="s">
        <v>98</v>
      </c>
      <c r="E10084" s="6" t="n">
        <f aca="false">Sens!E10001*cx_azo+Sens!E10008*cx_m365+Sens!E10009*cx_lic+(Sens!E10011+Sens!E10013)*cx_ind+Sens!E10016*cx_srch+(Sens!E10018+Sens!E10020)*cx_dev</f>
        <v>30.1846587067718</v>
      </c>
      <c r="F10084" s="6" t="n">
        <f aca="false">Sens!F10001*cx_azo+Sens!F10008*cx_m365+Sens!F10009*cx_lic+(Sens!F10011+Sens!F10013)*cx_ind+Sens!F10016*cx_srch+(Sens!F10018+Sens!F10020)*cx_dev</f>
        <v>35.5749892295625</v>
      </c>
      <c r="G10084" s="6" t="n">
        <f aca="false">Sens!G10001*cx_azo+Sens!G10008*cx_m365+Sens!G10009*cx_lic+(Sens!G10011+Sens!G10013)*cx_ind+Sens!G10016*cx_srch+(Sens!G10018+Sens!G10020)*cx_dev</f>
        <v>41.1405414134931</v>
      </c>
      <c r="H10084" s="6" t="n">
        <f aca="false">Sens!H10001*cx_azo+Sens!H10008*cx_m365+Sens!H10009*cx_lic+(Sens!H10011+Sens!H10013)*cx_ind+Sens!H10016*cx_srch+(Sens!H10018+Sens!H10020)*cx_dev</f>
        <v>46.7878811428518</v>
      </c>
      <c r="I10084" s="6" t="n">
        <f aca="false">Sens!I10001*cx_azo+Sens!I10008*cx_m365+Sens!I10009*cx_lic+(Sens!I10011+Sens!I10013)*cx_ind+Sens!I10016*cx_srch+(Sens!I10018+Sens!I10020)*cx_dev</f>
        <v>52.1602549293923</v>
      </c>
      <c r="J10084" s="6" t="n">
        <f aca="false">Sens!J10001*cx_azo+Sens!J10008*cx_m365+Sens!J10009*cx_lic+(Sens!J10011+Sens!J10013)*cx_ind+Sens!J10016*cx_srch+(Sens!J10018+Sens!J10020)*cx_dev</f>
        <v>57.0248196201597</v>
      </c>
      <c r="K10084" s="6" t="n">
        <f aca="false">Sens!K10001*cx_azo+Sens!K10008*cx_m365+Sens!K10009*cx_lic+(Sens!K10011+Sens!K10013)*cx_ind+Sens!K10016*cx_srch+(Sens!K10018+Sens!K10020)*cx_dev</f>
        <v>61.2907781596659</v>
      </c>
    </row>
    <row r="10085" customFormat="false" ht="17.15" hidden="false" customHeight="false" outlineLevel="0" collapsed="false">
      <c r="A10085" s="1" t="s">
        <v>945</v>
      </c>
      <c r="B10085" s="0" t="s">
        <v>98</v>
      </c>
      <c r="E10085" s="6" t="n">
        <f aca="false">Q!M42</f>
        <v>145.3</v>
      </c>
      <c r="F10085" s="6" t="n">
        <f aca="false">Sens!F10083+Sens!F10084</f>
        <v>204.2</v>
      </c>
      <c r="G10085" s="6" t="n">
        <f aca="false">Sens!G10083+Sens!G10084</f>
        <v>224.714721896693</v>
      </c>
      <c r="H10085" s="6" t="n">
        <f aca="false">Sens!H10083+Sens!H10084</f>
        <v>234.868167053252</v>
      </c>
      <c r="I10085" s="6" t="n">
        <f aca="false">Sens!I10083+Sens!I10084</f>
        <v>215.866924083638</v>
      </c>
      <c r="J10085" s="6" t="n">
        <f aca="false">Sens!J10083+Sens!J10084</f>
        <v>181.53729633825</v>
      </c>
      <c r="K10085" s="6" t="n">
        <f aca="false">Sens!K10083+Sens!K10084</f>
        <v>176.250213801602</v>
      </c>
      <c r="L10085" s="1" t="s">
        <v>946</v>
      </c>
    </row>
    <row r="10086" customFormat="false" ht="15" hidden="false" customHeight="false" outlineLevel="0" collapsed="false">
      <c r="A10086" s="1" t="s">
        <v>947</v>
      </c>
      <c r="B10086" s="0" t="s">
        <v>98</v>
      </c>
      <c r="E10086" s="6" t="n">
        <f aca="false">fl_liab</f>
        <v>66.594</v>
      </c>
      <c r="F10086" s="6" t="n">
        <f aca="false">Sens!E10086-Sens!F10087</f>
        <v>62.46973</v>
      </c>
      <c r="G10086" s="6" t="n">
        <f aca="false">Sens!F10086-Sens!G10087</f>
        <v>57.98686785</v>
      </c>
      <c r="H10086" s="6" t="n">
        <f aca="false">Sens!G10086-Sens!H10087</f>
        <v>53.92827690325</v>
      </c>
      <c r="I10086" s="6" t="n">
        <f aca="false">Sens!H10086-Sens!I10087</f>
        <v>49.7850493638962</v>
      </c>
      <c r="J10086" s="6" t="n">
        <f aca="false">Sens!I10086-Sens!J10087</f>
        <v>45.4823765852716</v>
      </c>
      <c r="K10086" s="6" t="n">
        <f aca="false">Sens!J10086-Sens!K10087</f>
        <v>40.9860835316088</v>
      </c>
    </row>
    <row r="10087" customFormat="false" ht="15" hidden="false" customHeight="false" outlineLevel="0" collapsed="false">
      <c r="A10087" s="1" t="s">
        <v>948</v>
      </c>
      <c r="B10087" s="0" t="s">
        <v>98</v>
      </c>
      <c r="F10087" s="6" t="n">
        <f aca="false">fl_pay_27-Sens!E10086*fl_rate</f>
        <v>4.12427</v>
      </c>
      <c r="G10087" s="6" t="n">
        <f aca="false">fl_pay_28-Sens!F10086*fl_rate</f>
        <v>4.48286215</v>
      </c>
      <c r="H10087" s="6" t="n">
        <f aca="false">fl_pay_29-Sens!G10086*fl_rate</f>
        <v>4.05859094675</v>
      </c>
      <c r="I10087" s="6" t="n">
        <f aca="false">fl_pay_30-Sens!H10086*fl_rate</f>
        <v>4.14322753935375</v>
      </c>
      <c r="J10087" s="6" t="n">
        <f aca="false">fl_pay_31-Sens!I10086*fl_rate</f>
        <v>4.30267277862467</v>
      </c>
      <c r="K10087" s="6" t="n">
        <f aca="false">fl_pay_32-Sens!J10086*fl_rate</f>
        <v>4.49629305366278</v>
      </c>
    </row>
    <row r="10088" customFormat="false" ht="17.15" hidden="false" customHeight="false" outlineLevel="0" collapsed="false">
      <c r="A10088" s="1" t="s">
        <v>949</v>
      </c>
      <c r="B10088" s="0" t="s">
        <v>98</v>
      </c>
      <c r="E10088" s="6" t="n">
        <f aca="false">Q!M35-Q!M36-Q!M43</f>
        <v>63.886</v>
      </c>
      <c r="F10088" s="6" t="n">
        <f aca="false">Sens!F10082-Sens!F10085-Sens!F10087</f>
        <v>1.17045862087212</v>
      </c>
      <c r="G10088" s="6" t="n">
        <f aca="false">Sens!G10082-Sens!G10085-Sens!G10087</f>
        <v>31.6124408602989</v>
      </c>
      <c r="H10088" s="6" t="n">
        <f aca="false">Sens!H10082-Sens!H10085-Sens!H10087</f>
        <v>70.3567340485124</v>
      </c>
      <c r="I10088" s="6" t="n">
        <f aca="false">Sens!I10082-Sens!I10085-Sens!I10087</f>
        <v>134.182550733628</v>
      </c>
      <c r="J10088" s="6" t="n">
        <f aca="false">Sens!J10082-Sens!J10085-Sens!J10087</f>
        <v>204.925677558406</v>
      </c>
      <c r="K10088" s="6" t="n">
        <f aca="false">Sens!K10082-Sens!K10085-Sens!K10087</f>
        <v>239.228032950681</v>
      </c>
      <c r="L10088" s="11" t="s">
        <v>950</v>
      </c>
    </row>
    <row r="10089" customFormat="false" ht="15" hidden="false" customHeight="false" outlineLevel="0" collapsed="false">
      <c r="A10089" s="1" t="s">
        <v>951</v>
      </c>
      <c r="B10089" s="0" t="s">
        <v>75</v>
      </c>
      <c r="F10089" s="8" t="n">
        <f aca="false">dps_27</f>
        <v>3.85</v>
      </c>
      <c r="G10089" s="8" t="n">
        <f aca="false">Sens!F10089*(1+dps_g)</f>
        <v>4.158</v>
      </c>
      <c r="H10089" s="8" t="n">
        <f aca="false">Sens!G10089*(1+dps_g)</f>
        <v>4.49064</v>
      </c>
      <c r="I10089" s="8" t="n">
        <f aca="false">Sens!H10089*(1+dps_g)</f>
        <v>4.8498912</v>
      </c>
      <c r="J10089" s="8" t="n">
        <f aca="false">Sens!I10089*(1+dps_g)</f>
        <v>5.237882496</v>
      </c>
      <c r="K10089" s="8" t="n">
        <f aca="false">Sens!J10089*(1+dps_g)</f>
        <v>5.65691309568</v>
      </c>
    </row>
    <row r="10090" customFormat="false" ht="17.15" hidden="false" customHeight="false" outlineLevel="0" collapsed="false">
      <c r="A10090" s="1" t="s">
        <v>952</v>
      </c>
      <c r="B10090" s="0" t="s">
        <v>98</v>
      </c>
      <c r="E10090" s="6" t="n">
        <f aca="false">Q!M41</f>
        <v>26.445</v>
      </c>
      <c r="F10090" s="6" t="n">
        <f aca="false">Sens!F10089*Sens!E10099</f>
        <v>28.59395</v>
      </c>
      <c r="G10090" s="6" t="n">
        <f aca="false">Sens!G10089*Sens!F10099</f>
        <v>31.068576</v>
      </c>
      <c r="H10090" s="6" t="n">
        <f aca="false">Sens!H10089*Sens!G10099</f>
        <v>33.7520552179125</v>
      </c>
      <c r="I10090" s="6" t="n">
        <f aca="false">Sens!I10089*Sens!H10099</f>
        <v>36.5031588753449</v>
      </c>
      <c r="J10090" s="6" t="n">
        <f aca="false">Sens!J10089*Sens!I10099</f>
        <v>39.4918104336919</v>
      </c>
      <c r="K10090" s="6" t="n">
        <f aca="false">Sens!K10089*Sens!J10099</f>
        <v>42.7384104936923</v>
      </c>
      <c r="L10090" s="1" t="s">
        <v>953</v>
      </c>
    </row>
    <row r="10091" customFormat="false" ht="15" hidden="false" customHeight="false" outlineLevel="0" collapsed="false">
      <c r="A10091" s="1" t="s">
        <v>954</v>
      </c>
      <c r="B10091" s="0" t="s">
        <v>98</v>
      </c>
      <c r="E10091" s="6" t="n">
        <f aca="false">Sens!E10088-Sens!E10090</f>
        <v>37.441</v>
      </c>
      <c r="F10091" s="6" t="n">
        <f aca="false">Sens!F10088-Sens!F10090</f>
        <v>-27.4234913791279</v>
      </c>
      <c r="G10091" s="6" t="n">
        <f aca="false">Sens!G10088-Sens!G10090</f>
        <v>0.543864860298893</v>
      </c>
      <c r="H10091" s="6" t="n">
        <f aca="false">Sens!H10088-Sens!H10090</f>
        <v>36.6046788305999</v>
      </c>
      <c r="I10091" s="6" t="n">
        <f aca="false">Sens!I10088-Sens!I10090</f>
        <v>97.6793918582829</v>
      </c>
      <c r="J10091" s="6" t="n">
        <f aca="false">Sens!J10088-Sens!J10090</f>
        <v>165.433867124714</v>
      </c>
      <c r="K10091" s="6" t="n">
        <f aca="false">Sens!K10088-Sens!K10090</f>
        <v>196.489622456989</v>
      </c>
    </row>
    <row r="10092" customFormat="false" ht="15" hidden="false" customHeight="false" outlineLevel="0" collapsed="false">
      <c r="A10092" s="1" t="s">
        <v>955</v>
      </c>
      <c r="B10092" s="0" t="s">
        <v>98</v>
      </c>
      <c r="F10092" s="6" t="n">
        <f aca="false">debt_mat_27</f>
        <v>9.25</v>
      </c>
      <c r="G10092" s="6" t="n">
        <f aca="false">debt_mat_28</f>
        <v>0</v>
      </c>
      <c r="H10092" s="6" t="n">
        <f aca="false">debt_mat_29</f>
        <v>2.001</v>
      </c>
      <c r="I10092" s="6" t="n">
        <f aca="false">debt_mat_30</f>
        <v>0</v>
      </c>
      <c r="J10092" s="6" t="n">
        <f aca="false">debt_mat_31</f>
        <v>0.5</v>
      </c>
      <c r="K10092" s="6" t="n">
        <f aca="false">debt_mat_32</f>
        <v>0</v>
      </c>
    </row>
    <row r="10093" customFormat="false" ht="15" hidden="false" customHeight="false" outlineLevel="0" collapsed="false">
      <c r="A10093" s="1" t="s">
        <v>956</v>
      </c>
      <c r="B10093" s="0" t="s">
        <v>98</v>
      </c>
      <c r="E10093" s="6" t="n">
        <f aca="false">Q!M40</f>
        <v>22.271</v>
      </c>
      <c r="F10093" s="6" t="n">
        <f aca="false">MAX(0,MIN(bb_target,Sens!E10095+Sens!F10091-Sens!F10092-min_cash))</f>
        <v>0</v>
      </c>
      <c r="G10093" s="6" t="n">
        <f aca="false">MAX(0,MIN(bb_target,Sens!F10095+Sens!G10091-Sens!G10092-min_cash))</f>
        <v>0.543864860298896</v>
      </c>
      <c r="H10093" s="6" t="n">
        <f aca="false">MAX(0,MIN(bb_target,Sens!G10095+Sens!H10091-Sens!H10092-min_cash))</f>
        <v>22.271</v>
      </c>
      <c r="I10093" s="6" t="n">
        <f aca="false">MAX(0,MIN(bb_target,Sens!H10095+Sens!I10091-Sens!I10092-min_cash))</f>
        <v>22.271</v>
      </c>
      <c r="J10093" s="6" t="n">
        <f aca="false">MAX(0,MIN(bb_target,Sens!I10095+Sens!J10091-Sens!J10092-min_cash))</f>
        <v>22.271</v>
      </c>
      <c r="K10093" s="6" t="n">
        <f aca="false">MAX(0,MIN(bb_target,Sens!J10095+Sens!K10091-Sens!K10092-min_cash))</f>
        <v>22.271</v>
      </c>
    </row>
    <row r="10094" customFormat="false" ht="15" hidden="false" customHeight="false" outlineLevel="0" collapsed="false">
      <c r="A10094" s="1" t="s">
        <v>957</v>
      </c>
      <c r="B10094" s="0" t="s">
        <v>98</v>
      </c>
      <c r="F10094" s="6" t="n">
        <f aca="false">MAX(0,min_cash-(Sens!E10095+Sens!F10091-Sens!F10092-Sens!F10093))</f>
        <v>9.83049137912788</v>
      </c>
      <c r="G10094" s="6" t="n">
        <f aca="false">MAX(0,min_cash-(Sens!F10095+Sens!G10091-Sens!G10092-Sens!G10093))</f>
        <v>0</v>
      </c>
      <c r="H10094" s="6" t="n">
        <f aca="false">MAX(0,min_cash-(Sens!G10095+Sens!H10091-Sens!H10092-Sens!H10093))</f>
        <v>0</v>
      </c>
      <c r="I10094" s="6" t="n">
        <f aca="false">MAX(0,min_cash-(Sens!H10095+Sens!I10091-Sens!I10092-Sens!I10093))</f>
        <v>0</v>
      </c>
      <c r="J10094" s="6" t="n">
        <f aca="false">MAX(0,min_cash-(Sens!I10095+Sens!J10091-Sens!J10092-Sens!J10093))</f>
        <v>0</v>
      </c>
      <c r="K10094" s="6" t="n">
        <f aca="false">MAX(0,min_cash-(Sens!J10095+Sens!K10091-Sens!K10092-Sens!K10093))</f>
        <v>0</v>
      </c>
    </row>
    <row r="10095" customFormat="false" ht="15" hidden="false" customHeight="false" outlineLevel="0" collapsed="false">
      <c r="A10095" s="1" t="s">
        <v>958</v>
      </c>
      <c r="B10095" s="0" t="s">
        <v>98</v>
      </c>
      <c r="E10095" s="6" t="n">
        <f aca="false">cash_open</f>
        <v>76.843</v>
      </c>
      <c r="F10095" s="6" t="n">
        <f aca="false">Sens!E10095+Sens!F10091-Sens!F10092-Sens!F10093+Sens!F10094</f>
        <v>50</v>
      </c>
      <c r="G10095" s="6" t="n">
        <f aca="false">Sens!F10095+Sens!G10091-Sens!G10092-Sens!G10093+Sens!G10094</f>
        <v>50</v>
      </c>
      <c r="H10095" s="6" t="n">
        <f aca="false">Sens!G10095+Sens!H10091-Sens!H10092-Sens!H10093+Sens!H10094</f>
        <v>62.3326788305999</v>
      </c>
      <c r="I10095" s="6" t="n">
        <f aca="false">Sens!H10095+Sens!I10091-Sens!I10092-Sens!I10093+Sens!I10094</f>
        <v>137.741070688883</v>
      </c>
      <c r="J10095" s="6" t="n">
        <f aca="false">Sens!I10095+Sens!J10091-Sens!J10092-Sens!J10093+Sens!J10094</f>
        <v>280.403937813597</v>
      </c>
      <c r="K10095" s="6" t="n">
        <f aca="false">Sens!J10095+Sens!K10091-Sens!K10092-Sens!K10093+Sens!K10094</f>
        <v>454.622560270586</v>
      </c>
    </row>
    <row r="10096" customFormat="false" ht="15" hidden="false" customHeight="false" outlineLevel="0" collapsed="false">
      <c r="A10096" s="1" t="s">
        <v>959</v>
      </c>
      <c r="B10096" s="0" t="s">
        <v>98</v>
      </c>
      <c r="E10096" s="6" t="n">
        <f aca="false">debt_face</f>
        <v>46.136</v>
      </c>
      <c r="F10096" s="6" t="n">
        <f aca="false">Sens!E10096-Sens!F10092+Sens!F10094</f>
        <v>46.7164913791279</v>
      </c>
      <c r="G10096" s="6" t="n">
        <f aca="false">Sens!F10096-Sens!G10092+Sens!G10094</f>
        <v>46.7164913791279</v>
      </c>
      <c r="H10096" s="6" t="n">
        <f aca="false">Sens!G10096-Sens!H10092+Sens!H10094</f>
        <v>44.7154913791279</v>
      </c>
      <c r="I10096" s="6" t="n">
        <f aca="false">Sens!H10096-Sens!I10092+Sens!I10094</f>
        <v>44.7154913791279</v>
      </c>
      <c r="J10096" s="6" t="n">
        <f aca="false">Sens!I10096-Sens!J10092+Sens!J10094</f>
        <v>44.2154913791279</v>
      </c>
      <c r="K10096" s="6" t="n">
        <f aca="false">Sens!J10096-Sens!K10092+Sens!K10094</f>
        <v>44.2154913791279</v>
      </c>
    </row>
    <row r="10097" customFormat="false" ht="15" hidden="false" customHeight="false" outlineLevel="0" collapsed="false">
      <c r="A10097" s="1" t="s">
        <v>960</v>
      </c>
      <c r="B10097" s="0" t="s">
        <v>98</v>
      </c>
      <c r="E10097" s="6" t="n">
        <f aca="false">Sens!E10095-Sens!E10096</f>
        <v>30.707</v>
      </c>
      <c r="F10097" s="6" t="n">
        <f aca="false">Sens!F10095-Sens!F10096</f>
        <v>3.28350862087212</v>
      </c>
      <c r="G10097" s="6" t="n">
        <f aca="false">Sens!G10095-Sens!G10096</f>
        <v>3.28350862087212</v>
      </c>
      <c r="H10097" s="6" t="n">
        <f aca="false">Sens!H10095-Sens!H10096</f>
        <v>17.617187451472</v>
      </c>
      <c r="I10097" s="6" t="n">
        <f aca="false">Sens!I10095-Sens!I10096</f>
        <v>93.0255793097549</v>
      </c>
      <c r="J10097" s="6" t="n">
        <f aca="false">Sens!J10095-Sens!J10096</f>
        <v>236.188446434469</v>
      </c>
      <c r="K10097" s="6" t="n">
        <f aca="false">Sens!K10095-Sens!K10096</f>
        <v>410.407068891458</v>
      </c>
    </row>
    <row r="10098" customFormat="false" ht="15" hidden="false" customHeight="false" outlineLevel="0" collapsed="false">
      <c r="A10098" s="1" t="s">
        <v>961</v>
      </c>
      <c r="B10098" s="0" t="s">
        <v>75</v>
      </c>
      <c r="F10098" s="29" t="n">
        <f aca="false">px*(1+bb_g)^(Sens!F9962-base_fy-mid_yr)</f>
        <v>553.494156066711</v>
      </c>
      <c r="G10098" s="29" t="n">
        <f aca="false">px*(1+bb_g)^(Sens!G9962-base_fy-mid_yr)</f>
        <v>597.773688552047</v>
      </c>
      <c r="H10098" s="29" t="n">
        <f aca="false">px*(1+bb_g)^(Sens!H9962-base_fy-mid_yr)</f>
        <v>645.595583636211</v>
      </c>
      <c r="I10098" s="29" t="n">
        <f aca="false">px*(1+bb_g)^(Sens!I9962-base_fy-mid_yr)</f>
        <v>697.243230327108</v>
      </c>
      <c r="J10098" s="29" t="n">
        <f aca="false">px*(1+bb_g)^(Sens!J9962-base_fy-mid_yr)</f>
        <v>753.022688753277</v>
      </c>
      <c r="K10098" s="29" t="n">
        <f aca="false">px*(1+bb_g)^(Sens!K9962-base_fy-mid_yr)</f>
        <v>813.264503853539</v>
      </c>
    </row>
    <row r="10099" customFormat="false" ht="15" hidden="false" customHeight="false" outlineLevel="0" collapsed="false">
      <c r="A10099" s="1" t="s">
        <v>962</v>
      </c>
      <c r="B10099" s="1" t="s">
        <v>81</v>
      </c>
      <c r="E10099" s="14" t="n">
        <f aca="false">sh_out26</f>
        <v>7.427</v>
      </c>
      <c r="F10099" s="14" t="n">
        <f aca="false">Sens!E10099+sh_iss-Sens!F10093/Sens!F10098</f>
        <v>7.472</v>
      </c>
      <c r="G10099" s="14" t="n">
        <f aca="false">Sens!F10099+sh_iss-Sens!G10093/Sens!G10098</f>
        <v>7.51609018267161</v>
      </c>
      <c r="H10099" s="14" t="n">
        <f aca="false">Sens!G10099+sh_iss-Sens!H10093/Sens!H10098</f>
        <v>7.52659335437151</v>
      </c>
      <c r="I10099" s="14" t="n">
        <f aca="false">Sens!H10099+sh_iss-Sens!I10093/Sens!I10098</f>
        <v>7.53965184668624</v>
      </c>
      <c r="J10099" s="14" t="n">
        <f aca="false">Sens!I10099+sh_iss-Sens!J10093/Sens!J10098</f>
        <v>7.55507637660728</v>
      </c>
      <c r="K10099" s="14" t="n">
        <f aca="false">Sens!J10099+sh_iss-Sens!K10093/Sens!K10098</f>
        <v>7.57269168208972</v>
      </c>
    </row>
    <row r="10100" customFormat="false" ht="15" hidden="false" customHeight="false" outlineLevel="0" collapsed="false">
      <c r="A10100" s="1" t="s">
        <v>963</v>
      </c>
      <c r="B10100" s="1" t="s">
        <v>81</v>
      </c>
      <c r="E10100" s="14" t="n">
        <f aca="false">sh_dil26</f>
        <v>7.453</v>
      </c>
      <c r="F10100" s="14" t="n">
        <f aca="false">(Sens!E10099+Sens!F10099)/2+dil_gap</f>
        <v>7.4735</v>
      </c>
      <c r="G10100" s="14" t="n">
        <f aca="false">(Sens!F10099+Sens!G10099)/2+dil_gap</f>
        <v>7.51804509133581</v>
      </c>
      <c r="H10100" s="14" t="n">
        <f aca="false">(Sens!G10099+Sens!H10099)/2+dil_gap</f>
        <v>7.54534176852156</v>
      </c>
      <c r="I10100" s="14" t="n">
        <f aca="false">(Sens!H10099+Sens!I10099)/2+dil_gap</f>
        <v>7.55712260052888</v>
      </c>
      <c r="J10100" s="14" t="n">
        <f aca="false">(Sens!I10099+Sens!J10099)/2+dil_gap</f>
        <v>7.57136411164676</v>
      </c>
      <c r="K10100" s="14" t="n">
        <f aca="false">(Sens!J10099+Sens!K10099)/2+dil_gap</f>
        <v>7.5878840293485</v>
      </c>
    </row>
    <row r="10101" customFormat="false" ht="17.15" hidden="false" customHeight="false" outlineLevel="0" collapsed="false">
      <c r="A10101" s="1" t="s">
        <v>964</v>
      </c>
      <c r="B10101" s="0" t="s">
        <v>98</v>
      </c>
      <c r="C10101" s="6" t="n">
        <f aca="false">SUM(Sens!F10091:J10091)</f>
        <v>272.838311294768</v>
      </c>
    </row>
    <row r="10102" customFormat="false" ht="15" hidden="false" customHeight="false" outlineLevel="0" collapsed="false">
      <c r="A10102" s="23" t="s">
        <v>935</v>
      </c>
      <c r="B10102" s="30" t="s">
        <v>98</v>
      </c>
      <c r="C10102" s="24" t="n">
        <f aca="false">Sens!$C$10101-(Sens!F10091+Sens!G10091+Sens!H10091+Sens!I10091+Sens!J10091)</f>
        <v>0</v>
      </c>
      <c r="D10102" s="30"/>
      <c r="E10102" s="30"/>
      <c r="F10102" s="30"/>
      <c r="G10102" s="30"/>
      <c r="H10102" s="30"/>
      <c r="I10102" s="30"/>
      <c r="J10102" s="30"/>
      <c r="K10102" s="30"/>
    </row>
    <row r="10103" customFormat="false" ht="17.15" hidden="false" customHeight="false" outlineLevel="0" collapsed="false">
      <c r="A10103" s="1" t="s">
        <v>929</v>
      </c>
      <c r="B10103" s="1" t="s">
        <v>965</v>
      </c>
      <c r="C10103" s="32" t="str">
        <f aca="false">IF(SUM(Sens!F10094:J10094)&gt;0.05,"需要舉債 "&amp;TEXT(SUM(Sens!F10094:J10094),"0.0")&amp;" 十億美元","不需舉債")&amp;"；"&amp;IF(SUM(Sens!F10093:J10093)&lt;COUNT(Sens!F10093:J10093)*bb_target-0.05,"回購較每年 "&amp;TEXT(bb_target,"0.0")&amp;" 的目標少 "&amp;TEXT(COUNT(Sens!F10093:J10093)*bb_target-SUM(Sens!F10093:J10093),"0.0")&amp;" 十億美元（"&amp;TEXT(COUNTIF(Sens!F10093:J10093,"&lt;"&amp;(bb_target-0.05)),"0")&amp;" 年減少）","回購不減")</f>
        <v>需要舉債 9.8 十億美元；回購較每年 22.3 的目標少 44.0 十億美元（2 年減少）</v>
      </c>
    </row>
    <row r="10104" customFormat="false" ht="17.15" hidden="false" customHeight="false" outlineLevel="0" collapsed="false">
      <c r="A10104" s="3" t="s">
        <v>1498</v>
      </c>
    </row>
    <row r="10105" customFormat="false" ht="15" hidden="false" customHeight="false" outlineLevel="0" collapsed="false">
      <c r="A10105" s="4" t="s">
        <v>43</v>
      </c>
      <c r="B10105" s="4" t="s">
        <v>65</v>
      </c>
      <c r="C10105" s="20" t="s">
        <v>788</v>
      </c>
      <c r="D10105" s="20" t="s">
        <v>789</v>
      </c>
      <c r="E10105" s="20" t="s">
        <v>790</v>
      </c>
      <c r="F10105" s="20" t="s">
        <v>791</v>
      </c>
      <c r="G10105" s="20" t="s">
        <v>792</v>
      </c>
      <c r="H10105" s="20" t="s">
        <v>793</v>
      </c>
      <c r="I10105" s="20" t="s">
        <v>794</v>
      </c>
      <c r="J10105" s="20" t="s">
        <v>795</v>
      </c>
      <c r="K10105" s="20" t="s">
        <v>796</v>
      </c>
      <c r="L10105" s="4" t="s">
        <v>47</v>
      </c>
    </row>
    <row r="10106" customFormat="false" ht="15" hidden="false" customHeight="false" outlineLevel="0" collapsed="false">
      <c r="A10106" s="1" t="s">
        <v>1042</v>
      </c>
      <c r="B10106" s="1" t="s">
        <v>235</v>
      </c>
      <c r="F10106" s="36" t="n">
        <f aca="false">Sens!F9962-base_fy-mid_yr</f>
        <v>0.5</v>
      </c>
      <c r="G10106" s="36" t="n">
        <f aca="false">Sens!G9962-base_fy-mid_yr</f>
        <v>1.5</v>
      </c>
      <c r="H10106" s="36" t="n">
        <f aca="false">Sens!H9962-base_fy-mid_yr</f>
        <v>2.5</v>
      </c>
      <c r="I10106" s="36" t="n">
        <f aca="false">Sens!I9962-base_fy-mid_yr</f>
        <v>3.5</v>
      </c>
      <c r="J10106" s="36" t="n">
        <f aca="false">Sens!J9962-base_fy-mid_yr</f>
        <v>4.5</v>
      </c>
      <c r="K10106" s="36" t="n">
        <f aca="false">Sens!K9962-base_fy-mid_yr</f>
        <v>5.5</v>
      </c>
    </row>
    <row r="10107" customFormat="false" ht="15" hidden="false" customHeight="false" outlineLevel="0" collapsed="false">
      <c r="A10107" s="1" t="s">
        <v>1043</v>
      </c>
      <c r="B10107" s="0" t="s">
        <v>185</v>
      </c>
      <c r="F10107" s="14" t="n">
        <f aca="false">1/(1+wacc)^Sens!F10106</f>
        <v>0.952193373608246</v>
      </c>
      <c r="G10107" s="14" t="n">
        <f aca="false">1/(1+wacc)^Sens!G10106</f>
        <v>0.863327280626589</v>
      </c>
      <c r="H10107" s="14" t="n">
        <f aca="false">1/(1+wacc)^Sens!H10106</f>
        <v>0.782754862754115</v>
      </c>
      <c r="I10107" s="14" t="n">
        <f aca="false">1/(1+wacc)^Sens!I10106</f>
        <v>0.709702089711011</v>
      </c>
      <c r="J10107" s="14" t="n">
        <f aca="false">1/(1+wacc)^Sens!J10106</f>
        <v>0.643467169744551</v>
      </c>
      <c r="K10107" s="14" t="n">
        <f aca="false">1/(1+wacc)^Sens!K10106</f>
        <v>0.583413807767797</v>
      </c>
    </row>
    <row r="10108" customFormat="false" ht="17.15" hidden="false" customHeight="false" outlineLevel="0" collapsed="false">
      <c r="A10108" s="1" t="s">
        <v>1044</v>
      </c>
      <c r="B10108" s="0" t="s">
        <v>98</v>
      </c>
      <c r="F10108" s="6" t="n">
        <f aca="false">Sens!F10082-Sens!F10080-Sens!F10085+Sens!F10066*(1-tax_f)</f>
        <v>6.31794334327016</v>
      </c>
      <c r="G10108" s="6" t="n">
        <f aca="false">Sens!G10082-Sens!G10080-Sens!G10085+Sens!G10066*(1-tax_f)</f>
        <v>46.4553435364611</v>
      </c>
      <c r="H10108" s="6" t="n">
        <f aca="false">Sens!H10082-Sens!H10080-Sens!H10085+Sens!H10066*(1-tax_f)</f>
        <v>95.1315142796092</v>
      </c>
      <c r="I10108" s="6" t="n">
        <f aca="false">Sens!I10082-Sens!I10080-Sens!I10085+Sens!I10066*(1-tax_f)</f>
        <v>168.489833563924</v>
      </c>
      <c r="J10108" s="6" t="n">
        <f aca="false">Sens!J10082-Sens!J10080-Sens!J10085+Sens!J10066*(1-tax_f)</f>
        <v>245.710053103099</v>
      </c>
      <c r="K10108" s="6" t="n">
        <f aca="false">Sens!K10082-Sens!K10080-Sens!K10085+Sens!K10066*(1-tax_f)</f>
        <v>283.180409703217</v>
      </c>
      <c r="L10108" s="1" t="s">
        <v>1045</v>
      </c>
    </row>
    <row r="10109" customFormat="false" ht="15" hidden="false" customHeight="false" outlineLevel="0" collapsed="false">
      <c r="A10109" s="1" t="s">
        <v>1046</v>
      </c>
      <c r="B10109" s="0" t="s">
        <v>98</v>
      </c>
      <c r="F10109" s="6" t="n">
        <f aca="false">Sens!F10108*Sens!F10107</f>
        <v>6.01590378629417</v>
      </c>
      <c r="G10109" s="6" t="n">
        <f aca="false">Sens!G10108*Sens!G10107</f>
        <v>40.106165405907</v>
      </c>
      <c r="H10109" s="6" t="n">
        <f aca="false">Sens!H10108*Sens!H10107</f>
        <v>74.4646554035267</v>
      </c>
      <c r="I10109" s="6" t="n">
        <f aca="false">Sens!I10108*Sens!I10107</f>
        <v>119.577586975377</v>
      </c>
      <c r="J10109" s="6" t="n">
        <f aca="false">Sens!J10108*Sens!J10107</f>
        <v>158.106352448035</v>
      </c>
      <c r="K10109" s="6" t="n">
        <f aca="false">Sens!K10108*Sens!K10107</f>
        <v>165.211361110199</v>
      </c>
    </row>
    <row r="10110" customFormat="false" ht="17.15" hidden="false" customHeight="false" outlineLevel="0" collapsed="false">
      <c r="A10110" s="1" t="s">
        <v>1047</v>
      </c>
      <c r="B10110" s="0" t="s">
        <v>98</v>
      </c>
      <c r="C10110" s="6" t="n">
        <f aca="false">SUM(Sens!F10109:K10109)</f>
        <v>563.482025129339</v>
      </c>
    </row>
    <row r="10111" customFormat="false" ht="17.15" hidden="false" customHeight="false" outlineLevel="0" collapsed="false">
      <c r="A10111" s="1" t="s">
        <v>1048</v>
      </c>
      <c r="B10111" s="0" t="s">
        <v>98</v>
      </c>
      <c r="C10111" s="6" t="n">
        <f aca="false">Sens!K10052*(1+g_tv)*(1-tax_f)</f>
        <v>293.129798010448</v>
      </c>
    </row>
    <row r="10112" customFormat="false" ht="17.15" hidden="false" customHeight="false" outlineLevel="0" collapsed="false">
      <c r="A10112" s="1" t="s">
        <v>1049</v>
      </c>
      <c r="B10112" s="0" t="s">
        <v>98</v>
      </c>
      <c r="C10112" s="6" t="n">
        <f aca="false">Sens!$C$10111*(1-g_tv/(wacc+ronic_prem))</f>
        <v>207.69779254154</v>
      </c>
    </row>
    <row r="10113" customFormat="false" ht="17.15" hidden="false" customHeight="false" outlineLevel="0" collapsed="false">
      <c r="A10113" s="1" t="s">
        <v>1050</v>
      </c>
      <c r="B10113" s="0" t="s">
        <v>98</v>
      </c>
      <c r="C10113" s="6" t="n">
        <f aca="false">Sens!$C$10112/(wacc-g_tv)</f>
        <v>2847.73351563027</v>
      </c>
    </row>
    <row r="10114" customFormat="false" ht="15" hidden="false" customHeight="false" outlineLevel="0" collapsed="false">
      <c r="A10114" s="1" t="s">
        <v>1051</v>
      </c>
      <c r="B10114" s="0" t="s">
        <v>98</v>
      </c>
      <c r="C10114" s="6" t="n">
        <f aca="false">Sens!$C$10113/(1+wacc)^(Sens!K10106+mid_yr)</f>
        <v>1581.98078755323</v>
      </c>
    </row>
    <row r="10115" customFormat="false" ht="17.15" hidden="false" customHeight="false" outlineLevel="0" collapsed="false">
      <c r="A10115" s="0" t="s">
        <v>972</v>
      </c>
      <c r="B10115" s="0" t="s">
        <v>98</v>
      </c>
      <c r="C10115" s="6" t="n">
        <f aca="false">Sens!$C$10110+Sens!$C$10114</f>
        <v>2145.46281268257</v>
      </c>
    </row>
    <row r="10116" customFormat="false" ht="15" hidden="false" customHeight="false" outlineLevel="0" collapsed="false">
      <c r="A10116" s="1" t="s">
        <v>973</v>
      </c>
      <c r="B10116" s="0" t="s">
        <v>129</v>
      </c>
      <c r="C10116" s="7" t="n">
        <f aca="false">Sens!$C$10114/Sens!$C$10115</f>
        <v>0.737361085077587</v>
      </c>
    </row>
    <row r="10117" customFormat="false" ht="17.15" hidden="false" customHeight="false" outlineLevel="0" collapsed="false">
      <c r="A10117" s="1" t="s">
        <v>1052</v>
      </c>
      <c r="B10117" s="0" t="s">
        <v>98</v>
      </c>
      <c r="C10117" s="6" t="n">
        <f aca="false">Sens!$C$10115+Sens!E10097-Sens!E10086+oai_v</f>
        <v>2279.97581268257</v>
      </c>
    </row>
    <row r="10118" customFormat="false" ht="17.15" hidden="false" customHeight="false" outlineLevel="0" collapsed="false">
      <c r="A10118" s="0" t="s">
        <v>980</v>
      </c>
      <c r="B10118" s="0" t="s">
        <v>75</v>
      </c>
      <c r="C10118" s="5" t="n">
        <f aca="false">Sens!$C$10117/sh_dil26</f>
        <v>305.913835057369</v>
      </c>
    </row>
    <row r="10119" customFormat="false" ht="15" hidden="false" customHeight="false" outlineLevel="0" collapsed="false">
      <c r="A10119" s="1" t="s">
        <v>1053</v>
      </c>
      <c r="B10119" s="0" t="s">
        <v>75</v>
      </c>
      <c r="C10119" s="8" t="n">
        <f aca="false">dps_27+Sens!G10089*roll_div_q/q_per_yr</f>
        <v>4.8895</v>
      </c>
    </row>
    <row r="10120" customFormat="false" ht="17.15" hidden="false" customHeight="false" outlineLevel="0" collapsed="false">
      <c r="A10120" s="0" t="s">
        <v>1054</v>
      </c>
      <c r="B10120" s="0" t="s">
        <v>75</v>
      </c>
      <c r="C10120" s="5" t="n">
        <f aca="false">Sens!$C$10118*(1+wacc)^t_roll-Sens!$C$10119</f>
        <v>343.464798297697</v>
      </c>
    </row>
    <row r="10121" customFormat="false" ht="17.15" hidden="false" customHeight="false" outlineLevel="0" collapsed="false">
      <c r="A10121" s="1" t="s">
        <v>1055</v>
      </c>
      <c r="B10121" s="0" t="s">
        <v>129</v>
      </c>
      <c r="F10121" s="7" t="n">
        <f aca="false">Sens!F10078/(Sens!F10023-Sens!F9979)</f>
        <v>0.0684584020858233</v>
      </c>
      <c r="G10121" s="7" t="n">
        <f aca="false">Sens!G10078/(Sens!G10023-Sens!G9979)</f>
        <v>0.0657115260970974</v>
      </c>
      <c r="H10121" s="7" t="n">
        <f aca="false">Sens!H10078/(Sens!H10023-Sens!H9979)</f>
        <v>0.0643045159816985</v>
      </c>
      <c r="I10121" s="7" t="n">
        <f aca="false">Sens!I10078/(Sens!I10023-Sens!I9979)</f>
        <v>0.0641189055838408</v>
      </c>
      <c r="J10121" s="7" t="n">
        <f aca="false">Sens!J10078/(Sens!J10023-Sens!J9979)</f>
        <v>0.0648769285920735</v>
      </c>
      <c r="K10121" s="7" t="n">
        <f aca="false">Sens!K10078/(Sens!K10023-Sens!K9979)</f>
        <v>0.0662357671103695</v>
      </c>
    </row>
    <row r="10122" customFormat="false" ht="17.15" hidden="false" customHeight="false" outlineLevel="0" collapsed="false">
      <c r="A10122" s="0" t="s">
        <v>1056</v>
      </c>
      <c r="B10122" s="0" t="s">
        <v>98</v>
      </c>
      <c r="F10122" s="6" t="n">
        <f aca="false">Sens!F10008*(al_m365+Sens!F10121+sbc_r)</f>
        <v>83.9191204731316</v>
      </c>
      <c r="G10122" s="6" t="n">
        <f aca="false">Sens!G10008*(al_m365+Sens!G10121+sbc_r)</f>
        <v>96.3549479518267</v>
      </c>
      <c r="H10122" s="6" t="n">
        <f aca="false">Sens!H10008*(al_m365+Sens!H10121+sbc_r)</f>
        <v>108.956120333635</v>
      </c>
      <c r="I10122" s="6" t="n">
        <f aca="false">Sens!I10008*(al_m365+Sens!I10121+sbc_r)</f>
        <v>120.541827020301</v>
      </c>
      <c r="J10122" s="6" t="n">
        <f aca="false">Sens!J10008*(al_m365+Sens!J10121+sbc_r)</f>
        <v>130.924139387123</v>
      </c>
      <c r="K10122" s="6" t="n">
        <f aca="false">Sens!K10008*(al_m365+Sens!K10121+sbc_r)</f>
        <v>140.919270908299</v>
      </c>
      <c r="L10122" s="11" t="s">
        <v>1057</v>
      </c>
    </row>
    <row r="10123" customFormat="false" ht="17.15" hidden="false" customHeight="false" outlineLevel="0" collapsed="false">
      <c r="A10123" s="0" t="s">
        <v>1058</v>
      </c>
      <c r="B10123" s="0" t="s">
        <v>98</v>
      </c>
      <c r="F10123" s="6" t="n">
        <f aca="false">Sens!F10009*(al_lic+Sens!F10121+sbc_r)</f>
        <v>33.4394904972378</v>
      </c>
      <c r="G10123" s="6" t="n">
        <f aca="false">Sens!G10009*(al_lic+Sens!G10121+sbc_r)</f>
        <v>34.7435910672547</v>
      </c>
      <c r="H10123" s="6" t="n">
        <f aca="false">Sens!H10009*(al_lic+Sens!H10121+sbc_r)</f>
        <v>35.9612944397594</v>
      </c>
      <c r="I10123" s="6" t="n">
        <f aca="false">Sens!I10009*(al_lic+Sens!I10121+sbc_r)</f>
        <v>37.0742036338707</v>
      </c>
      <c r="J10123" s="6" t="n">
        <f aca="false">Sens!J10009*(al_lic+Sens!J10121+sbc_r)</f>
        <v>38.0566354858626</v>
      </c>
      <c r="K10123" s="6" t="n">
        <f aca="false">Sens!K10009*(al_lic+Sens!K10121+sbc_r)</f>
        <v>38.8796590606357</v>
      </c>
    </row>
    <row r="10124" customFormat="false" ht="17.15" hidden="false" customHeight="false" outlineLevel="0" collapsed="false">
      <c r="A10124" s="0" t="s">
        <v>1059</v>
      </c>
      <c r="B10124" s="0" t="s">
        <v>98</v>
      </c>
      <c r="F10124" s="6" t="n">
        <f aca="false">Sens!F10011*(al_ind+Sens!F10121+sbc_r)</f>
        <v>9.07347639126117</v>
      </c>
      <c r="G10124" s="6" t="n">
        <f aca="false">Sens!G10011*(al_ind+Sens!G10121+sbc_r)</f>
        <v>9.85130264362093</v>
      </c>
      <c r="H10124" s="6" t="n">
        <f aca="false">Sens!H10011*(al_ind+Sens!H10121+sbc_r)</f>
        <v>10.6743548062057</v>
      </c>
      <c r="I10124" s="6" t="n">
        <f aca="false">Sens!I10011*(al_ind+Sens!I10121+sbc_r)</f>
        <v>11.5396414658294</v>
      </c>
      <c r="J10124" s="6" t="n">
        <f aca="false">Sens!J10011*(al_ind+Sens!J10121+sbc_r)</f>
        <v>12.4375643267566</v>
      </c>
      <c r="K10124" s="6" t="n">
        <f aca="false">Sens!K10011*(al_ind+Sens!K10121+sbc_r)</f>
        <v>13.3531491028367</v>
      </c>
    </row>
    <row r="10125" customFormat="false" ht="17.15" hidden="false" customHeight="false" outlineLevel="0" collapsed="false">
      <c r="A10125" s="0" t="s">
        <v>1060</v>
      </c>
      <c r="B10125" s="0" t="s">
        <v>98</v>
      </c>
      <c r="F10125" s="6" t="n">
        <f aca="false">Sens!F10013*(al_fro+Sens!F10121+sbc_r)</f>
        <v>3.57135216276977</v>
      </c>
      <c r="G10125" s="6" t="n">
        <f aca="false">Sens!G10013*(al_fro+Sens!G10121+sbc_r)</f>
        <v>3.78231778965281</v>
      </c>
      <c r="H10125" s="6" t="n">
        <f aca="false">Sens!H10013*(al_fro+Sens!H10121+sbc_r)</f>
        <v>4.02246224803198</v>
      </c>
      <c r="I10125" s="6" t="n">
        <f aca="false">Sens!I10013*(al_fro+Sens!I10121+sbc_r)</f>
        <v>4.29458489588542</v>
      </c>
      <c r="J10125" s="6" t="n">
        <f aca="false">Sens!J10013*(al_fro+Sens!J10121+sbc_r)</f>
        <v>4.59988926274479</v>
      </c>
      <c r="K10125" s="6" t="n">
        <f aca="false">Sens!K10013*(al_fro+Sens!K10121+sbc_r)</f>
        <v>4.93850769879685</v>
      </c>
    </row>
    <row r="10126" customFormat="false" ht="17.15" hidden="false" customHeight="false" outlineLevel="0" collapsed="false">
      <c r="A10126" s="0" t="s">
        <v>1061</v>
      </c>
      <c r="B10126" s="0" t="s">
        <v>98</v>
      </c>
      <c r="F10126" s="6" t="n">
        <f aca="false">Sens!F10016*(al_srch+Sens!F10121+sbc_r)</f>
        <v>11.2058744372659</v>
      </c>
      <c r="G10126" s="6" t="n">
        <f aca="false">Sens!G10016*(al_srch+Sens!G10121+sbc_r)</f>
        <v>12.2812967644125</v>
      </c>
      <c r="H10126" s="6" t="n">
        <f aca="false">Sens!H10016*(al_srch+Sens!H10121+sbc_r)</f>
        <v>13.4020397887315</v>
      </c>
      <c r="I10126" s="6" t="n">
        <f aca="false">Sens!I10016*(al_srch+Sens!I10121+sbc_r)</f>
        <v>14.5575213000749</v>
      </c>
      <c r="J10126" s="6" t="n">
        <f aca="false">Sens!J10016*(al_srch+Sens!J10121+sbc_r)</f>
        <v>15.7278791155838</v>
      </c>
      <c r="K10126" s="6" t="n">
        <f aca="false">Sens!K10016*(al_srch+Sens!K10121+sbc_r)</f>
        <v>16.8856786895146</v>
      </c>
    </row>
    <row r="10127" customFormat="false" ht="17.15" hidden="false" customHeight="false" outlineLevel="0" collapsed="false">
      <c r="A10127" s="0" t="s">
        <v>1062</v>
      </c>
      <c r="B10127" s="0" t="s">
        <v>98</v>
      </c>
      <c r="F10127" s="6" t="n">
        <f aca="false">Sens!F9985-Sens!F9986+Sens!F10066</f>
        <v>52.8623286647412</v>
      </c>
      <c r="G10127" s="6" t="n">
        <f aca="false">Sens!G9985-Sens!G9986+Sens!G10066</f>
        <v>90.9040728275534</v>
      </c>
      <c r="H10127" s="6" t="n">
        <f aca="false">Sens!H9985-Sens!H9986+Sens!H10066</f>
        <v>131.644750996567</v>
      </c>
      <c r="I10127" s="6" t="n">
        <f aca="false">Sens!I9985-Sens!I9986+Sens!I10066</f>
        <v>168.39858142968</v>
      </c>
      <c r="J10127" s="6" t="n">
        <f aca="false">Sens!J9985-Sens!J9986+Sens!J10066</f>
        <v>194.311955071191</v>
      </c>
      <c r="K10127" s="6" t="n">
        <f aca="false">Sens!K9985-Sens!K9986+Sens!K10066</f>
        <v>210.298852071854</v>
      </c>
    </row>
    <row r="10128" customFormat="false" ht="17.15" hidden="false" customHeight="false" outlineLevel="0" collapsed="false">
      <c r="A10128" s="0" t="s">
        <v>1063</v>
      </c>
      <c r="B10128" s="0" t="s">
        <v>98</v>
      </c>
      <c r="F10128" s="6" t="n">
        <f aca="false">Sens!F10045+Sens!F10066+Sens!F9996+Sens!F10121*(Sens!F10015-Sens!F9979)+sbc_r*Sens!F10015</f>
        <v>243.883889777647</v>
      </c>
      <c r="G10128" s="6" t="n">
        <f aca="false">Sens!G10045+Sens!G10066+Sens!G9996+Sens!G10121*(Sens!G10015-Sens!G9979)+sbc_r*Sens!G10015</f>
        <v>309.015308743572</v>
      </c>
      <c r="H10128" s="6" t="n">
        <f aca="false">Sens!H10045+Sens!H10066+Sens!H9996+Sens!H10121*(Sens!H10015-Sens!H9979)+sbc_r*Sens!H10015</f>
        <v>377.360743378192</v>
      </c>
      <c r="I10128" s="6" t="n">
        <f aca="false">Sens!I10045+Sens!I10066+Sens!I9996+Sens!I10121*(Sens!I10015-Sens!I9979)+sbc_r*Sens!I10015</f>
        <v>440.358451757256</v>
      </c>
      <c r="J10128" s="6" t="n">
        <f aca="false">Sens!J10045+Sens!J10066+Sens!J9996+Sens!J10121*(Sens!J10015-Sens!J9979)+sbc_r*Sens!J10015</f>
        <v>490.085408536316</v>
      </c>
      <c r="K10128" s="6" t="n">
        <f aca="false">Sens!K10045+Sens!K10066+Sens!K9996+Sens!K10121*(Sens!K10015-Sens!K9979)+sbc_r*Sens!K10015</f>
        <v>527.526223064959</v>
      </c>
    </row>
    <row r="10129" customFormat="false" ht="17.15" hidden="false" customHeight="false" outlineLevel="0" collapsed="false">
      <c r="A10129" s="0" t="s">
        <v>1064</v>
      </c>
      <c r="B10129" s="0" t="s">
        <v>98</v>
      </c>
      <c r="F10129" s="6" t="n">
        <f aca="false">Sens!F10128-Sens!F10122-Sens!F10123-Sens!F10124-Sens!F10125-Sens!F10127</f>
        <v>61.0181215885059</v>
      </c>
      <c r="G10129" s="6" t="n">
        <f aca="false">Sens!G10128-Sens!G10122-Sens!G10123-Sens!G10124-Sens!G10125-Sens!G10127</f>
        <v>73.3790764636636</v>
      </c>
      <c r="H10129" s="6" t="n">
        <f aca="false">Sens!H10128-Sens!H10122-Sens!H10123-Sens!H10124-Sens!H10125-Sens!H10127</f>
        <v>86.1017605539925</v>
      </c>
      <c r="I10129" s="6" t="n">
        <f aca="false">Sens!I10128-Sens!I10122-Sens!I10123-Sens!I10124-Sens!I10125-Sens!I10127</f>
        <v>98.5096133116901</v>
      </c>
      <c r="J10129" s="6" t="n">
        <f aca="false">Sens!J10128-Sens!J10122-Sens!J10123-Sens!J10124-Sens!J10125-Sens!J10127</f>
        <v>109.755225002638</v>
      </c>
      <c r="K10129" s="6" t="n">
        <f aca="false">Sens!K10128-Sens!K10122-Sens!K10123-Sens!K10124-Sens!K10125-Sens!K10127</f>
        <v>119.136784222537</v>
      </c>
    </row>
    <row r="10130" customFormat="false" ht="17.15" hidden="false" customHeight="false" outlineLevel="0" collapsed="false">
      <c r="A10130" s="0" t="s">
        <v>1065</v>
      </c>
      <c r="B10130" s="0" t="s">
        <v>98</v>
      </c>
      <c r="F10130" s="6" t="n">
        <f aca="false">Sens!F10047+Sens!F10121*Sens!F10022+sbc_r*Sens!F10022</f>
        <v>26.1316964103585</v>
      </c>
      <c r="G10130" s="6" t="n">
        <f aca="false">Sens!G10047+Sens!G10121*Sens!G10022+sbc_r*Sens!G10022</f>
        <v>26.6388860957769</v>
      </c>
      <c r="H10130" s="6" t="n">
        <f aca="false">Sens!H10047+Sens!H10121*Sens!H10022+sbc_r*Sens!H10022</f>
        <v>27.3708236307436</v>
      </c>
      <c r="I10130" s="6" t="n">
        <f aca="false">Sens!I10047+Sens!I10121*Sens!I10022+sbc_r*Sens!I10022</f>
        <v>28.2977440514267</v>
      </c>
      <c r="J10130" s="6" t="n">
        <f aca="false">Sens!J10047+Sens!J10121*Sens!J10022+sbc_r*Sens!J10022</f>
        <v>29.3808468348634</v>
      </c>
      <c r="K10130" s="6" t="n">
        <f aca="false">Sens!K10047+Sens!K10121*Sens!K10022+sbc_r*Sens!K10022</f>
        <v>30.5762970789272</v>
      </c>
    </row>
    <row r="10131" customFormat="false" ht="17.15" hidden="false" customHeight="false" outlineLevel="0" collapsed="false">
      <c r="A10131" s="0" t="s">
        <v>1066</v>
      </c>
      <c r="B10131" s="0" t="s">
        <v>98</v>
      </c>
      <c r="F10131" s="6" t="n">
        <f aca="false">(Sens!F10130-Sens!F10126)*Sens!F10018/(Sens!F10018+Sens!F10020)</f>
        <v>8.15598641508596</v>
      </c>
      <c r="G10131" s="6" t="n">
        <f aca="false">(Sens!G10130-Sens!G10126)*Sens!G10018/(Sens!G10018+Sens!G10020)</f>
        <v>7.65507438942899</v>
      </c>
      <c r="H10131" s="6" t="n">
        <f aca="false">(Sens!H10130-Sens!H10126)*Sens!H10018/(Sens!H10018+Sens!H10020)</f>
        <v>7.27378091464689</v>
      </c>
      <c r="I10131" s="6" t="n">
        <f aca="false">(Sens!I10130-Sens!I10126)*Sens!I10018/(Sens!I10018+Sens!I10020)</f>
        <v>6.99483529595544</v>
      </c>
      <c r="J10131" s="6" t="n">
        <f aca="false">(Sens!J10130-Sens!J10126)*Sens!J10018/(Sens!J10018+Sens!J10020)</f>
        <v>6.8027040150147</v>
      </c>
      <c r="K10131" s="6" t="n">
        <f aca="false">(Sens!K10130-Sens!K10126)*Sens!K10018/(Sens!K10018+Sens!K10020)</f>
        <v>6.68456878740108</v>
      </c>
    </row>
    <row r="10132" customFormat="false" ht="17.15" hidden="false" customHeight="false" outlineLevel="0" collapsed="false">
      <c r="A10132" s="0" t="s">
        <v>1067</v>
      </c>
      <c r="B10132" s="0" t="s">
        <v>98</v>
      </c>
      <c r="F10132" s="6" t="n">
        <f aca="false">Sens!F10130-Sens!F10126-Sens!F10131</f>
        <v>6.76983555800667</v>
      </c>
      <c r="G10132" s="6" t="n">
        <f aca="false">Sens!G10130-Sens!G10126-Sens!G10131</f>
        <v>6.70251494193537</v>
      </c>
      <c r="H10132" s="6" t="n">
        <f aca="false">Sens!H10130-Sens!H10126-Sens!H10131</f>
        <v>6.69500292736515</v>
      </c>
      <c r="I10132" s="6" t="n">
        <f aca="false">Sens!I10130-Sens!I10126-Sens!I10131</f>
        <v>6.7453874553963</v>
      </c>
      <c r="J10132" s="6" t="n">
        <f aca="false">Sens!J10130-Sens!J10126-Sens!J10131</f>
        <v>6.85026370426494</v>
      </c>
      <c r="K10132" s="6" t="n">
        <f aca="false">Sens!K10130-Sens!K10126-Sens!K10131</f>
        <v>7.00604960201151</v>
      </c>
    </row>
    <row r="10133" customFormat="false" ht="17.15" hidden="false" customHeight="false" outlineLevel="0" collapsed="false">
      <c r="A10133" s="0" t="s">
        <v>1068</v>
      </c>
      <c r="B10133" s="0" t="s">
        <v>98</v>
      </c>
      <c r="F10133" s="6" t="n">
        <f aca="false">Sens!F10127-tax_f*(Sens!F10127-Sens!F9996)-Sens!F9993</f>
        <v>-119.386968114137</v>
      </c>
      <c r="G10133" s="6" t="n">
        <f aca="false">Sens!G10127-tax_f*(Sens!G10127-Sens!G9996)-Sens!G9993</f>
        <v>-98.7494303024227</v>
      </c>
      <c r="H10133" s="6" t="n">
        <f aca="false">Sens!H10127-tax_f*(Sens!H10127-Sens!H9996)-Sens!H9993</f>
        <v>-65.2158766478517</v>
      </c>
      <c r="I10133" s="6" t="n">
        <f aca="false">Sens!I10127-tax_f*(Sens!I10127-Sens!I9996)-Sens!I9993</f>
        <v>-6.59025074739046</v>
      </c>
      <c r="J10133" s="6" t="n">
        <f aca="false">Sens!J10127-tax_f*(Sens!J10127-Sens!J9996)-Sens!J9993</f>
        <v>56.7739747900622</v>
      </c>
      <c r="K10133" s="6" t="n">
        <f aca="false">Sens!K10127-tax_f*(Sens!K10127-Sens!K9996)-Sens!K9993</f>
        <v>81.2093206431087</v>
      </c>
    </row>
    <row r="10134" customFormat="false" ht="17.15" hidden="false" customHeight="false" outlineLevel="0" collapsed="false">
      <c r="A10134" s="0" t="s">
        <v>1069</v>
      </c>
      <c r="B10134" s="0" t="s">
        <v>98</v>
      </c>
      <c r="F10134" s="6" t="n">
        <f aca="false">Sens!F10133*Sens!F10107</f>
        <v>-113.67947993346</v>
      </c>
      <c r="G10134" s="6" t="n">
        <f aca="false">Sens!G10133*Sens!G10107</f>
        <v>-85.2530771264154</v>
      </c>
      <c r="H10134" s="6" t="n">
        <f aca="false">Sens!H10133*Sens!H10107</f>
        <v>-51.0480445748785</v>
      </c>
      <c r="I10134" s="6" t="n">
        <f aca="false">Sens!I10133*Sens!I10107</f>
        <v>-4.67711472714256</v>
      </c>
      <c r="J10134" s="6" t="n">
        <f aca="false">Sens!J10133*Sens!J10107</f>
        <v>36.5321888733098</v>
      </c>
      <c r="K10134" s="6" t="n">
        <f aca="false">Sens!K10133*Sens!K10107</f>
        <v>47.378638982632</v>
      </c>
    </row>
    <row r="10135" customFormat="false" ht="17.15" hidden="false" customHeight="false" outlineLevel="0" collapsed="false">
      <c r="A10135" s="0" t="s">
        <v>1070</v>
      </c>
      <c r="B10135" s="0" t="s">
        <v>98</v>
      </c>
      <c r="C10135" s="6" t="n">
        <f aca="false">(Sens!K10127-Sens!K9996)*(1-tax_f)*(1+g_tv)*(1-g_tv/(wacc+ronic_prem))/(wacc-g_tv)/(1+wacc)^(Sens!K10106+mid_yr)</f>
        <v>314.183633586503</v>
      </c>
    </row>
    <row r="10136" customFormat="false" ht="17.15" hidden="false" customHeight="false" outlineLevel="0" collapsed="false">
      <c r="A10136" s="1" t="s">
        <v>1071</v>
      </c>
      <c r="B10136" s="0" t="s">
        <v>98</v>
      </c>
      <c r="C10136" s="6" t="n">
        <f aca="false">(SUM(Sens!F10134:K10134)+Sens!$C$10135)*(1+wacc)^t_roll</f>
        <v>163.336210908112</v>
      </c>
      <c r="L10136" s="11" t="s">
        <v>1072</v>
      </c>
    </row>
    <row r="10137" customFormat="false" ht="17.15" hidden="false" customHeight="false" outlineLevel="0" collapsed="false">
      <c r="A10137" s="1" t="s">
        <v>1073</v>
      </c>
      <c r="B10137" s="0" t="s">
        <v>98</v>
      </c>
      <c r="C10137" s="6" t="n">
        <f aca="false">(w_ntm28*Sens!G9985+(1-w_ntm28)*Sens!H9985)*m_ai</f>
        <v>454.922440830797</v>
      </c>
    </row>
    <row r="10138" customFormat="false" ht="17.15" hidden="false" customHeight="false" outlineLevel="0" collapsed="false">
      <c r="A10138" s="1" t="s">
        <v>1074</v>
      </c>
      <c r="B10138" s="0" t="s">
        <v>98</v>
      </c>
      <c r="C10138" s="6" t="n">
        <f aca="false">(w_ntm28*Sens!G10129+(1-w_ntm28)*Sens!H10129)*m_cloud</f>
        <v>1070.9416978433</v>
      </c>
    </row>
    <row r="10139" customFormat="false" ht="17.15" hidden="false" customHeight="false" outlineLevel="0" collapsed="false">
      <c r="A10139" s="1" t="s">
        <v>1075</v>
      </c>
      <c r="B10139" s="0" t="s">
        <v>98</v>
      </c>
      <c r="C10139" s="6" t="n">
        <f aca="false">(w_ntm28*Sens!G10122+(1-w_ntm28)*Sens!H10122)*m_sw</f>
        <v>1084.63051756021</v>
      </c>
    </row>
    <row r="10140" customFormat="false" ht="17.15" hidden="false" customHeight="false" outlineLevel="0" collapsed="false">
      <c r="A10140" s="1" t="s">
        <v>1076</v>
      </c>
      <c r="B10140" s="0" t="s">
        <v>98</v>
      </c>
      <c r="C10140" s="6" t="n">
        <f aca="false">(w_ntm28*Sens!G10123+(1-w_ntm28)*Sens!H10123)*m_sw</f>
        <v>379.482403191885</v>
      </c>
    </row>
    <row r="10141" customFormat="false" ht="17.15" hidden="false" customHeight="false" outlineLevel="0" collapsed="false">
      <c r="A10141" s="1" t="s">
        <v>1077</v>
      </c>
      <c r="B10141" s="0" t="s">
        <v>98</v>
      </c>
      <c r="C10141" s="6" t="n">
        <f aca="false">(w_ntm28*Sens!G10124+(1-w_ntm28)*Sens!H10124)*m_sw</f>
        <v>109.267760814114</v>
      </c>
    </row>
    <row r="10142" customFormat="false" ht="17.15" hidden="false" customHeight="false" outlineLevel="0" collapsed="false">
      <c r="A10142" s="1" t="s">
        <v>1078</v>
      </c>
      <c r="B10142" s="0" t="s">
        <v>98</v>
      </c>
      <c r="C10142" s="6" t="n">
        <f aca="false">(w_ntm28*Sens!G10125+(1-w_ntm28)*Sens!H10125)*m_sw</f>
        <v>41.6874981495063</v>
      </c>
    </row>
    <row r="10143" customFormat="false" ht="17.15" hidden="false" customHeight="false" outlineLevel="0" collapsed="false">
      <c r="A10143" s="1" t="s">
        <v>1079</v>
      </c>
      <c r="B10143" s="0" t="s">
        <v>98</v>
      </c>
      <c r="C10143" s="6" t="n">
        <f aca="false">(w_ntm28*Sens!G10126+(1-w_ntm28)*Sens!H10126)*m_ads</f>
        <v>115.183370609503</v>
      </c>
    </row>
    <row r="10144" customFormat="false" ht="17.15" hidden="false" customHeight="false" outlineLevel="0" collapsed="false">
      <c r="A10144" s="1" t="s">
        <v>1080</v>
      </c>
      <c r="B10144" s="0" t="s">
        <v>98</v>
      </c>
      <c r="C10144" s="6" t="n">
        <f aca="false">(w_ntm28*Sens!G10131+(1-w_ntm28)*Sens!H10131)*m_game</f>
        <v>95.1267212721682</v>
      </c>
    </row>
    <row r="10145" customFormat="false" ht="17.15" hidden="false" customHeight="false" outlineLevel="0" collapsed="false">
      <c r="A10145" s="1" t="s">
        <v>1081</v>
      </c>
      <c r="B10145" s="0" t="s">
        <v>98</v>
      </c>
      <c r="C10145" s="6" t="n">
        <f aca="false">(w_ntm28*Sens!G10132+(1-w_ntm28)*Sens!H10132)*m_pc</f>
        <v>96.950250211454</v>
      </c>
    </row>
    <row r="10146" customFormat="false" ht="17.15" hidden="false" customHeight="false" outlineLevel="0" collapsed="false">
      <c r="A10146" s="1" t="s">
        <v>1082</v>
      </c>
      <c r="B10146" s="0" t="s">
        <v>98</v>
      </c>
      <c r="C10146" s="6" t="n">
        <f aca="false">Sens!$C$10136+Sens!$C$10138+Sens!$C$10139+Sens!$C$10140+Sens!$C$10141+Sens!$C$10142+Sens!$C$10143+Sens!$C$10144+Sens!$C$10145</f>
        <v>3156.60643056025</v>
      </c>
    </row>
    <row r="10147" customFormat="false" ht="17.15" hidden="false" customHeight="false" outlineLevel="0" collapsed="false">
      <c r="A10147" s="1" t="s">
        <v>1000</v>
      </c>
      <c r="B10147" s="0" t="s">
        <v>98</v>
      </c>
      <c r="C10147" s="6" t="n">
        <f aca="false">Sens!F10097+oai_v-Sens!F10086</f>
        <v>111.213778620872</v>
      </c>
      <c r="L10147" s="1" t="s">
        <v>1083</v>
      </c>
    </row>
    <row r="10148" customFormat="false" ht="15" hidden="false" customHeight="false" outlineLevel="0" collapsed="false">
      <c r="A10148" s="1" t="s">
        <v>1001</v>
      </c>
      <c r="B10148" s="0" t="s">
        <v>75</v>
      </c>
      <c r="C10148" s="5" t="n">
        <f aca="false">(Sens!$C$10146+Sens!$C$10147)/Sens!F10099</f>
        <v>437.342105083127</v>
      </c>
    </row>
    <row r="10149" customFormat="false" ht="17.15" hidden="false" customHeight="false" outlineLevel="0" collapsed="false">
      <c r="A10149" s="1" t="s">
        <v>1084</v>
      </c>
      <c r="B10149" s="0" t="s">
        <v>75</v>
      </c>
      <c r="C10149" s="5" t="n">
        <f aca="false">w_dcf*Sens!$C$10120+(1-w_dcf)*Sens!$C$10148</f>
        <v>390.403451690412</v>
      </c>
    </row>
    <row r="10150" customFormat="false" ht="17.15" hidden="false" customHeight="false" outlineLevel="0" collapsed="false">
      <c r="A10150" s="3" t="s">
        <v>1499</v>
      </c>
    </row>
    <row r="10151" customFormat="false" ht="15" hidden="false" customHeight="false" outlineLevel="0" collapsed="false">
      <c r="A10151" s="4" t="s">
        <v>43</v>
      </c>
      <c r="B10151" s="4" t="s">
        <v>65</v>
      </c>
      <c r="C10151" s="20" t="s">
        <v>788</v>
      </c>
      <c r="D10151" s="20" t="s">
        <v>789</v>
      </c>
      <c r="E10151" s="20" t="s">
        <v>790</v>
      </c>
      <c r="F10151" s="20" t="s">
        <v>791</v>
      </c>
      <c r="G10151" s="20" t="s">
        <v>792</v>
      </c>
      <c r="H10151" s="20" t="s">
        <v>793</v>
      </c>
      <c r="I10151" s="20" t="s">
        <v>794</v>
      </c>
      <c r="J10151" s="20" t="s">
        <v>795</v>
      </c>
      <c r="K10151" s="20" t="s">
        <v>796</v>
      </c>
      <c r="L10151" s="4" t="s">
        <v>47</v>
      </c>
    </row>
    <row r="10152" customFormat="false" ht="17.15" hidden="false" customHeight="false" outlineLevel="0" collapsed="false">
      <c r="A10152" s="1" t="s">
        <v>797</v>
      </c>
      <c r="B10152" s="1" t="s">
        <v>235</v>
      </c>
      <c r="C10152" s="28" t="n">
        <v>2024</v>
      </c>
      <c r="D10152" s="28" t="n">
        <v>2025</v>
      </c>
      <c r="E10152" s="28" t="n">
        <v>2026</v>
      </c>
      <c r="F10152" s="28" t="n">
        <v>2027</v>
      </c>
      <c r="G10152" s="28" t="n">
        <v>2028</v>
      </c>
      <c r="H10152" s="28" t="n">
        <v>2029</v>
      </c>
      <c r="I10152" s="28" t="n">
        <v>2030</v>
      </c>
      <c r="J10152" s="28" t="n">
        <v>2031</v>
      </c>
      <c r="K10152" s="28" t="n">
        <v>2032</v>
      </c>
    </row>
    <row r="10153" customFormat="false" ht="17.15" hidden="false" customHeight="false" outlineLevel="0" collapsed="false">
      <c r="A10153" s="1" t="s">
        <v>798</v>
      </c>
      <c r="B10153" s="0" t="s">
        <v>392</v>
      </c>
      <c r="F10153" s="29" t="n">
        <f aca="false">pace</f>
        <v>2527.2</v>
      </c>
      <c r="G10153" s="29" t="n">
        <f aca="false">pace</f>
        <v>2527.2</v>
      </c>
      <c r="H10153" s="29" t="n">
        <f aca="false">pace</f>
        <v>2527.2</v>
      </c>
      <c r="I10153" s="29" t="n">
        <f aca="false">pace+(g_tv*Sens!H10154-pace)*MIN(1,(Sens!I10152-pace_y0)/(pace_y1-pace_y0))</f>
        <v>1793.116</v>
      </c>
      <c r="J10153" s="29" t="n">
        <f aca="false">pace+(g_tv*Sens!H10154-pace)*MIN(1,(Sens!J10152-pace_y0)/(pace_y1-pace_y0))</f>
        <v>1059.032</v>
      </c>
      <c r="K10153" s="29" t="n">
        <f aca="false">pace+(g_tv*Sens!H10154-pace)*MIN(1,(Sens!K10152-pace_y0)/(pace_y1-pace_y0))</f>
        <v>324.948</v>
      </c>
      <c r="L10153" s="11" t="s">
        <v>799</v>
      </c>
    </row>
    <row r="10154" customFormat="false" ht="17.15" hidden="false" customHeight="false" outlineLevel="0" collapsed="false">
      <c r="A10154" s="1" t="s">
        <v>800</v>
      </c>
      <c r="B10154" s="0" t="s">
        <v>392</v>
      </c>
      <c r="C10154" s="29" t="n">
        <f aca="false">mw_ext_24</f>
        <v>640</v>
      </c>
      <c r="D10154" s="29" t="n">
        <f aca="false">mw_ext_25</f>
        <v>1630</v>
      </c>
      <c r="E10154" s="29" t="n">
        <f aca="false">mw_ext_26</f>
        <v>3250</v>
      </c>
      <c r="F10154" s="29" t="n">
        <f aca="false">Sens!E10154+Sens!F10153</f>
        <v>5777.2</v>
      </c>
      <c r="G10154" s="29" t="n">
        <f aca="false">Sens!F10154+Sens!G10153</f>
        <v>8304.4</v>
      </c>
      <c r="H10154" s="29" t="n">
        <f aca="false">Sens!G10154+Sens!H10153</f>
        <v>10831.6</v>
      </c>
      <c r="I10154" s="29" t="n">
        <f aca="false">Sens!H10154+Sens!I10153</f>
        <v>12624.716</v>
      </c>
      <c r="J10154" s="29" t="n">
        <f aca="false">Sens!I10154+Sens!J10153</f>
        <v>13683.748</v>
      </c>
      <c r="K10154" s="29" t="n">
        <f aca="false">Sens!J10154+Sens!K10153</f>
        <v>14008.696</v>
      </c>
      <c r="L10154" s="1" t="s">
        <v>801</v>
      </c>
    </row>
    <row r="10155" customFormat="false" ht="17.15" hidden="false" customHeight="false" outlineLevel="0" collapsed="false">
      <c r="A10155" s="1" t="s">
        <v>802</v>
      </c>
      <c r="B10155" s="0" t="s">
        <v>392</v>
      </c>
      <c r="C10155" s="29" t="n">
        <f aca="false">rent_ext_24</f>
        <v>150</v>
      </c>
      <c r="D10155" s="29" t="n">
        <f aca="false">rent_ext_25</f>
        <v>400</v>
      </c>
      <c r="E10155" s="29" t="n">
        <f aca="false">rent_ext_26</f>
        <v>550</v>
      </c>
      <c r="F10155" s="29" t="n">
        <f aca="false">rent_ext_f</f>
        <v>756</v>
      </c>
      <c r="G10155" s="29" t="n">
        <f aca="false">rent_ext_f</f>
        <v>756</v>
      </c>
      <c r="H10155" s="29" t="n">
        <f aca="false">rent_ext_f</f>
        <v>756</v>
      </c>
      <c r="I10155" s="29" t="n">
        <f aca="false">rent_ext_f</f>
        <v>756</v>
      </c>
      <c r="J10155" s="29" t="n">
        <f aca="false">rent_ext_f</f>
        <v>756</v>
      </c>
      <c r="K10155" s="29" t="n">
        <f aca="false">rent_ext_f</f>
        <v>756</v>
      </c>
      <c r="L10155" s="1" t="s">
        <v>803</v>
      </c>
    </row>
    <row r="10156" customFormat="false" ht="17.15" hidden="false" customHeight="false" outlineLevel="0" collapsed="false">
      <c r="A10156" s="1" t="s">
        <v>804</v>
      </c>
      <c r="B10156" s="0" t="s">
        <v>392</v>
      </c>
      <c r="C10156" s="29" t="n">
        <f aca="false">Sens!C10154-Sens!C10155</f>
        <v>490</v>
      </c>
      <c r="D10156" s="29" t="n">
        <f aca="false">Sens!D10154-Sens!D10155</f>
        <v>1230</v>
      </c>
      <c r="E10156" s="29" t="n">
        <f aca="false">Sens!E10154-Sens!E10155</f>
        <v>2700</v>
      </c>
      <c r="F10156" s="29" t="n">
        <f aca="false">Sens!F10154-Sens!F10155</f>
        <v>5021.2</v>
      </c>
      <c r="G10156" s="29" t="n">
        <f aca="false">Sens!G10154-Sens!G10155</f>
        <v>7548.4</v>
      </c>
      <c r="H10156" s="29" t="n">
        <f aca="false">Sens!H10154-Sens!H10155</f>
        <v>10075.6</v>
      </c>
      <c r="I10156" s="29" t="n">
        <f aca="false">Sens!I10154-Sens!I10155</f>
        <v>11868.716</v>
      </c>
      <c r="J10156" s="29" t="n">
        <f aca="false">Sens!J10154-Sens!J10155</f>
        <v>12927.748</v>
      </c>
      <c r="K10156" s="29" t="n">
        <f aca="false">Sens!K10154-Sens!K10155</f>
        <v>13252.696</v>
      </c>
    </row>
    <row r="10157" customFormat="false" ht="17.15" hidden="false" customHeight="false" outlineLevel="0" collapsed="false">
      <c r="A10157" s="1" t="s">
        <v>805</v>
      </c>
      <c r="B10157" s="0" t="s">
        <v>392</v>
      </c>
      <c r="C10157" s="29" t="n">
        <f aca="false">Sens!C10156/ext_sh</f>
        <v>816.666666666667</v>
      </c>
      <c r="D10157" s="29" t="n">
        <f aca="false">Sens!D10156/ext_sh</f>
        <v>2050</v>
      </c>
      <c r="E10157" s="29" t="n">
        <f aca="false">Sens!E10156/ext_sh</f>
        <v>4500</v>
      </c>
      <c r="F10157" s="29" t="n">
        <f aca="false">Sens!F10156/ext_sh</f>
        <v>8368.66666666667</v>
      </c>
      <c r="G10157" s="29" t="n">
        <f aca="false">Sens!G10156/ext_sh</f>
        <v>12580.6666666667</v>
      </c>
      <c r="H10157" s="29" t="n">
        <f aca="false">Sens!H10156/ext_sh</f>
        <v>16792.6666666667</v>
      </c>
      <c r="I10157" s="29" t="n">
        <f aca="false">Sens!I10156/ext_sh</f>
        <v>19781.1933333333</v>
      </c>
      <c r="J10157" s="29" t="n">
        <f aca="false">Sens!J10156/ext_sh</f>
        <v>21546.2466666667</v>
      </c>
      <c r="K10157" s="29" t="n">
        <f aca="false">Sens!K10156/ext_sh</f>
        <v>22087.8266666667</v>
      </c>
      <c r="L10157" s="1" t="s">
        <v>806</v>
      </c>
    </row>
    <row r="10158" customFormat="false" ht="17.15" hidden="false" customHeight="false" outlineLevel="0" collapsed="false">
      <c r="A10158" s="1" t="s">
        <v>807</v>
      </c>
      <c r="B10158" s="0" t="s">
        <v>392</v>
      </c>
      <c r="C10158" s="29" t="n">
        <f aca="false">Sens!C10157-Sens!C10156</f>
        <v>326.666666666667</v>
      </c>
      <c r="D10158" s="29" t="n">
        <f aca="false">Sens!D10157-Sens!D10156</f>
        <v>820</v>
      </c>
      <c r="E10158" s="29" t="n">
        <f aca="false">Sens!E10157-Sens!E10156</f>
        <v>1800</v>
      </c>
      <c r="F10158" s="29" t="n">
        <f aca="false">Sens!F10157-Sens!F10156</f>
        <v>3347.46666666667</v>
      </c>
      <c r="G10158" s="29" t="n">
        <f aca="false">Sens!G10157-Sens!G10156</f>
        <v>5032.26666666667</v>
      </c>
      <c r="H10158" s="29" t="n">
        <f aca="false">Sens!H10157-Sens!H10156</f>
        <v>6717.06666666667</v>
      </c>
      <c r="I10158" s="29" t="n">
        <f aca="false">Sens!I10157-Sens!I10156</f>
        <v>7912.47733333333</v>
      </c>
      <c r="J10158" s="29" t="n">
        <f aca="false">Sens!J10157-Sens!J10156</f>
        <v>8618.49866666667</v>
      </c>
      <c r="K10158" s="29" t="n">
        <f aca="false">Sens!K10157-Sens!K10156</f>
        <v>8835.13066666667</v>
      </c>
    </row>
    <row r="10159" customFormat="false" ht="17.15" hidden="false" customHeight="false" outlineLevel="0" collapsed="false">
      <c r="A10159" s="1" t="s">
        <v>808</v>
      </c>
      <c r="B10159" s="0" t="s">
        <v>392</v>
      </c>
      <c r="C10159" s="29" t="n">
        <f aca="false">Sens!C10157</f>
        <v>816.666666666667</v>
      </c>
      <c r="D10159" s="29" t="n">
        <f aca="false">Sens!D10157-Sens!C10157</f>
        <v>1233.33333333333</v>
      </c>
      <c r="E10159" s="29" t="n">
        <f aca="false">Sens!E10157-Sens!D10157</f>
        <v>2450</v>
      </c>
      <c r="F10159" s="29" t="n">
        <f aca="false">Sens!F10157-Sens!E10157</f>
        <v>3868.66666666667</v>
      </c>
      <c r="G10159" s="29" t="n">
        <f aca="false">Sens!G10157-Sens!F10157</f>
        <v>4212</v>
      </c>
      <c r="H10159" s="29" t="n">
        <f aca="false">Sens!H10157-Sens!G10157</f>
        <v>4212</v>
      </c>
      <c r="I10159" s="29" t="n">
        <f aca="false">Sens!I10157-Sens!H10157</f>
        <v>2988.52666666667</v>
      </c>
      <c r="J10159" s="29" t="n">
        <f aca="false">Sens!J10157-Sens!I10157</f>
        <v>1765.05333333333</v>
      </c>
      <c r="K10159" s="29" t="n">
        <f aca="false">Sens!K10157-Sens!J10157</f>
        <v>541.580000000002</v>
      </c>
    </row>
    <row r="10160" customFormat="false" ht="17.15" hidden="false" customHeight="false" outlineLevel="0" collapsed="false">
      <c r="A10160" s="1" t="s">
        <v>809</v>
      </c>
      <c r="B10160" s="0" t="s">
        <v>392</v>
      </c>
      <c r="D10160" s="29" t="n">
        <f aca="false">Sens!D10154-Sens!C10154</f>
        <v>990</v>
      </c>
      <c r="E10160" s="29" t="n">
        <f aca="false">Sens!E10154-Sens!D10154</f>
        <v>1620</v>
      </c>
      <c r="F10160" s="29" t="n">
        <f aca="false">Sens!F10154-Sens!E10154</f>
        <v>2527.2</v>
      </c>
      <c r="G10160" s="29" t="n">
        <f aca="false">Sens!G10154-Sens!F10154</f>
        <v>2527.2</v>
      </c>
      <c r="H10160" s="29" t="n">
        <f aca="false">Sens!H10154-Sens!G10154</f>
        <v>2527.2</v>
      </c>
      <c r="I10160" s="29" t="n">
        <f aca="false">Sens!I10154-Sens!H10154</f>
        <v>1793.116</v>
      </c>
      <c r="J10160" s="29" t="n">
        <f aca="false">Sens!J10154-Sens!I10154</f>
        <v>1059.032</v>
      </c>
      <c r="K10160" s="29" t="n">
        <f aca="false">Sens!K10154-Sens!J10154</f>
        <v>324.948</v>
      </c>
    </row>
    <row r="10161" customFormat="false" ht="17.15" hidden="false" customHeight="false" outlineLevel="0" collapsed="false">
      <c r="A10161" s="1" t="s">
        <v>810</v>
      </c>
      <c r="B10161" s="0" t="s">
        <v>392</v>
      </c>
      <c r="F10161" s="29" t="n">
        <f aca="false">Sens!F10178*ext_sh</f>
        <v>0</v>
      </c>
      <c r="G10161" s="29" t="n">
        <f aca="false">Sens!G10178*ext_sh</f>
        <v>0</v>
      </c>
      <c r="H10161" s="29" t="n">
        <f aca="false">Sens!H10178*ext_sh</f>
        <v>0</v>
      </c>
      <c r="I10161" s="29" t="n">
        <f aca="false">Sens!I10178*ext_sh</f>
        <v>490</v>
      </c>
      <c r="J10161" s="29" t="n">
        <f aca="false">Sens!J10178*ext_sh</f>
        <v>740</v>
      </c>
      <c r="K10161" s="29" t="n">
        <f aca="false">Sens!K10178*ext_sh</f>
        <v>1470</v>
      </c>
      <c r="L10161" s="1" t="s">
        <v>811</v>
      </c>
    </row>
    <row r="10162" customFormat="false" ht="17.15" hidden="false" customHeight="false" outlineLevel="0" collapsed="false">
      <c r="A10162" s="1" t="s">
        <v>812</v>
      </c>
      <c r="B10162" s="0" t="s">
        <v>392</v>
      </c>
      <c r="C10162" s="29" t="n">
        <f aca="false">mix_h*Sens!C10154</f>
        <v>128</v>
      </c>
      <c r="D10162" s="29" t="n">
        <f aca="false">mix_h*Sens!D10154</f>
        <v>326</v>
      </c>
      <c r="E10162" s="29" t="n">
        <f aca="false">mix_h*Sens!E10154</f>
        <v>650</v>
      </c>
      <c r="F10162" s="29" t="n">
        <f aca="false">Sens!E10162-Sens!F10161*mix_h</f>
        <v>650</v>
      </c>
      <c r="G10162" s="29" t="n">
        <f aca="false">Sens!F10162-Sens!G10161*mix_h</f>
        <v>650</v>
      </c>
      <c r="H10162" s="29" t="n">
        <f aca="false">Sens!G10162-Sens!H10161*mix_h</f>
        <v>650</v>
      </c>
      <c r="I10162" s="29" t="n">
        <f aca="false">Sens!H10162-Sens!I10161*mix_h</f>
        <v>552</v>
      </c>
      <c r="J10162" s="29" t="n">
        <f aca="false">Sens!I10162-Sens!J10161*mix_h</f>
        <v>404</v>
      </c>
      <c r="K10162" s="29" t="n">
        <f aca="false">Sens!J10162-Sens!K10161*mix_h</f>
        <v>110</v>
      </c>
    </row>
    <row r="10163" customFormat="false" ht="17.15" hidden="false" customHeight="false" outlineLevel="0" collapsed="false">
      <c r="A10163" s="1" t="s">
        <v>813</v>
      </c>
      <c r="B10163" s="0" t="s">
        <v>392</v>
      </c>
      <c r="C10163" s="29" t="n">
        <f aca="false">mix_g2*Sens!C10154</f>
        <v>288</v>
      </c>
      <c r="D10163" s="29" t="n">
        <f aca="false">mix_g2*Sens!D10154</f>
        <v>733.5</v>
      </c>
      <c r="E10163" s="29" t="n">
        <f aca="false">mix_g2*Sens!E10154</f>
        <v>1462.5</v>
      </c>
      <c r="F10163" s="29" t="n">
        <f aca="false">Sens!E10163-Sens!F10161*mix_g2</f>
        <v>1462.5</v>
      </c>
      <c r="G10163" s="29" t="n">
        <f aca="false">Sens!F10163-Sens!G10161*mix_g2</f>
        <v>1462.5</v>
      </c>
      <c r="H10163" s="29" t="n">
        <f aca="false">Sens!G10163-Sens!H10161*mix_g2</f>
        <v>1462.5</v>
      </c>
      <c r="I10163" s="29" t="n">
        <f aca="false">Sens!H10163-Sens!I10161*mix_g2</f>
        <v>1242</v>
      </c>
      <c r="J10163" s="29" t="n">
        <f aca="false">Sens!I10163-Sens!J10161*mix_g2</f>
        <v>909</v>
      </c>
      <c r="K10163" s="29" t="n">
        <f aca="false">Sens!J10163-Sens!K10161*mix_g2</f>
        <v>247.5</v>
      </c>
    </row>
    <row r="10164" customFormat="false" ht="17.15" hidden="false" customHeight="false" outlineLevel="0" collapsed="false">
      <c r="A10164" s="1" t="s">
        <v>814</v>
      </c>
      <c r="B10164" s="0" t="s">
        <v>392</v>
      </c>
      <c r="C10164" s="29" t="n">
        <f aca="false">mix_g3*Sens!C10154</f>
        <v>224</v>
      </c>
      <c r="D10164" s="29" t="n">
        <f aca="false">mix_g3*Sens!D10154</f>
        <v>570.5</v>
      </c>
      <c r="E10164" s="29" t="n">
        <f aca="false">mix_g3*Sens!E10154</f>
        <v>1137.5</v>
      </c>
      <c r="F10164" s="29" t="n">
        <f aca="false">Sens!E10164+(Sens!F10160+Sens!F10161)*a_g3_27-Sens!F10161*mix_g3</f>
        <v>2906.54</v>
      </c>
      <c r="G10164" s="29" t="n">
        <f aca="false">Sens!F10164+(Sens!G10160+Sens!G10161)*a_g3_28-Sens!G10161*mix_g3</f>
        <v>3664.7</v>
      </c>
      <c r="H10164" s="29" t="n">
        <f aca="false">Sens!G10164+(Sens!H10160+Sens!H10161)*a_g3_29-Sens!H10161*mix_g3</f>
        <v>3917.42</v>
      </c>
      <c r="I10164" s="29" t="n">
        <f aca="false">Sens!H10164+(Sens!I10160+Sens!I10161)*a_g3_29-Sens!I10161*mix_g3</f>
        <v>3974.2316</v>
      </c>
      <c r="J10164" s="29" t="n">
        <f aca="false">Sens!I10164+(Sens!J10160+Sens!J10161)*a_g3_29-Sens!J10161*mix_g3</f>
        <v>3895.1348</v>
      </c>
      <c r="K10164" s="29" t="n">
        <f aca="false">Sens!J10164+(Sens!K10160+Sens!K10161)*a_g3_29-Sens!K10161*mix_g3</f>
        <v>3560.1296</v>
      </c>
    </row>
    <row r="10165" customFormat="false" ht="17.15" hidden="false" customHeight="false" outlineLevel="0" collapsed="false">
      <c r="A10165" s="1" t="s">
        <v>815</v>
      </c>
      <c r="B10165" s="0" t="s">
        <v>392</v>
      </c>
      <c r="C10165" s="29" t="n">
        <v>0</v>
      </c>
      <c r="D10165" s="29" t="n">
        <v>0</v>
      </c>
      <c r="E10165" s="29" t="n">
        <v>0</v>
      </c>
      <c r="F10165" s="29" t="n">
        <f aca="false">Sens!E10165+(Sens!F10160+Sens!F10161)*(1-a_g3_27)</f>
        <v>758.16</v>
      </c>
      <c r="G10165" s="29" t="n">
        <f aca="false">Sens!F10165+(Sens!G10160+Sens!G10161)*(1-a_g3_28)</f>
        <v>2527.2</v>
      </c>
      <c r="H10165" s="29" t="n">
        <f aca="false">Sens!G10165+(Sens!H10160+Sens!H10161)*(1-a_g3_29)</f>
        <v>4801.68</v>
      </c>
      <c r="I10165" s="29" t="n">
        <f aca="false">Sens!H10165+(Sens!I10160+Sens!I10161)*(1-a_g3_29)</f>
        <v>6856.4844</v>
      </c>
      <c r="J10165" s="29" t="n">
        <f aca="false">Sens!I10165+(Sens!J10160+Sens!J10161)*(1-a_g3_29)</f>
        <v>8475.6132</v>
      </c>
      <c r="K10165" s="29" t="n">
        <f aca="false">Sens!J10165+(Sens!K10160+Sens!K10161)*(1-a_g3_29)</f>
        <v>10091.0664</v>
      </c>
    </row>
    <row r="10166" customFormat="false" ht="17.15" hidden="false" customHeight="false" outlineLevel="0" collapsed="false">
      <c r="A10166" s="1" t="s">
        <v>816</v>
      </c>
      <c r="B10166" s="0" t="s">
        <v>339</v>
      </c>
      <c r="C10166" s="14" t="n">
        <f aca="false">(Sens!C10162*tk_hold_h100+Sens!C10163*tk_hold_gb200+Sens!C10164*tk_hold_gb300+Sens!C10165*tk_hold_vr200)/Sens!C10154</f>
        <v>9.7235358126469</v>
      </c>
      <c r="D10166" s="14" t="n">
        <f aca="false">(Sens!D10162*tk_hold_h100+Sens!D10163*tk_hold_gb200+Sens!D10164*tk_hold_gb300+Sens!D10165*tk_hold_vr200)/Sens!D10154</f>
        <v>9.7235358126469</v>
      </c>
      <c r="E10166" s="14" t="n">
        <f aca="false">(Sens!E10162*tk_hold_h100+Sens!E10163*tk_hold_gb200+Sens!E10164*tk_hold_gb300+Sens!E10165*tk_hold_vr200)/Sens!E10154</f>
        <v>9.7235358126469</v>
      </c>
      <c r="F10166" s="14" t="n">
        <f aca="false">(Sens!F10162*tk_hold_h100+Sens!F10163*tk_hold_gb200+Sens!F10164*tk_hold_gb300+Sens!F10165*tk_hold_vr200)/Sens!F10154</f>
        <v>10.4079573161931</v>
      </c>
      <c r="G10166" s="14" t="n">
        <f aca="false">(Sens!G10162*tk_hold_h100+Sens!G10163*tk_hold_gb200+Sens!G10164*tk_hold_gb300+Sens!G10165*tk_hold_vr200)/Sens!G10154</f>
        <v>10.8388131109316</v>
      </c>
      <c r="H10166" s="14" t="n">
        <f aca="false">(Sens!H10162*tk_hold_h100+Sens!H10163*tk_hold_gb200+Sens!H10164*tk_hold_gb300+Sens!H10165*tk_hold_vr200)/Sens!H10154</f>
        <v>11.1311018388216</v>
      </c>
      <c r="I10166" s="14" t="n">
        <f aca="false">(Sens!I10162*tk_hold_h100+Sens!I10163*tk_hold_gb200+Sens!I10164*tk_hold_gb300+Sens!I10165*tk_hold_vr200)/Sens!I10154</f>
        <v>11.3594282560989</v>
      </c>
      <c r="J10166" s="14" t="n">
        <f aca="false">(Sens!J10162*tk_hold_h100+Sens!J10163*tk_hold_gb200+Sens!J10164*tk_hold_gb300+Sens!J10165*tk_hold_vr200)/Sens!J10154</f>
        <v>11.5441508808221</v>
      </c>
      <c r="K10166" s="14" t="n">
        <f aca="false">(Sens!K10162*tk_hold_h100+Sens!K10163*tk_hold_gb200+Sens!K10164*tk_hold_gb300+Sens!K10165*tk_hold_vr200)/Sens!K10154</f>
        <v>11.8053375063575</v>
      </c>
    </row>
    <row r="10167" customFormat="false" ht="17.15" hidden="false" customHeight="false" outlineLevel="0" collapsed="false">
      <c r="A10167" s="0" t="s">
        <v>817</v>
      </c>
      <c r="B10167" s="0" t="s">
        <v>185</v>
      </c>
      <c r="C10167" s="14" t="n">
        <f aca="false">k_B</f>
        <v>1.17213932619116</v>
      </c>
      <c r="D10167" s="14" t="n">
        <f aca="false">k_B</f>
        <v>1.17213932619116</v>
      </c>
      <c r="E10167" s="14" t="n">
        <f aca="false">k_B</f>
        <v>1.17213932619116</v>
      </c>
      <c r="F10167" s="14" t="n">
        <f aca="false">(k_B+((ls_C*k_long+(1-ls_C)*k_spot)-k_B)*MIN(1,(Sens!F10152-base_fy)/k_ramp))</f>
        <v>1.07843258004497</v>
      </c>
      <c r="G10167" s="14" t="n">
        <f aca="false">(k_B+((ls_C*k_long+(1-ls_C)*k_spot)-k_B)*MIN(1,(Sens!G10152-base_fy)/k_ramp))</f>
        <v>0.984725833898784</v>
      </c>
      <c r="H10167" s="14" t="n">
        <f aca="false">(k_B+((ls_C*k_long+(1-ls_C)*k_spot)-k_B)*MIN(1,(Sens!H10152-base_fy)/k_ramp))</f>
        <v>0.891019087752599</v>
      </c>
      <c r="I10167" s="14" t="n">
        <f aca="false">(k_B+((ls_C*k_long+(1-ls_C)*k_spot)-k_B)*MIN(1,(Sens!I10152-base_fy)/k_ramp))</f>
        <v>0.891019087752599</v>
      </c>
      <c r="J10167" s="14" t="n">
        <f aca="false">(k_B+((ls_C*k_long+(1-ls_C)*k_spot)-k_B)*MIN(1,(Sens!J10152-base_fy)/k_ramp))</f>
        <v>0.891019087752599</v>
      </c>
      <c r="K10167" s="14" t="n">
        <f aca="false">(k_B+((ls_C*k_long+(1-ls_C)*k_spot)-k_B)*MIN(1,(Sens!K10152-base_fy)/k_ramp))</f>
        <v>0.891019087752599</v>
      </c>
      <c r="L10167" s="1" t="s">
        <v>818</v>
      </c>
    </row>
    <row r="10168" customFormat="false" ht="17.15" hidden="false" customHeight="false" outlineLevel="0" collapsed="false">
      <c r="A10168" s="1" t="s">
        <v>819</v>
      </c>
      <c r="B10168" s="0" t="s">
        <v>339</v>
      </c>
      <c r="C10168" s="14" t="n">
        <f aca="false">Sens!C10166*Sens!C10167*chip_f</f>
        <v>11.3973387156315</v>
      </c>
      <c r="D10168" s="14" t="n">
        <f aca="false">Sens!D10166*Sens!D10167*chip_f</f>
        <v>11.3973387156315</v>
      </c>
      <c r="E10168" s="14" t="n">
        <f aca="false">Sens!E10166*Sens!E10167*chip_f</f>
        <v>11.3973387156315</v>
      </c>
      <c r="F10168" s="14" t="n">
        <f aca="false">Sens!F10166*Sens!F10167*chip_f</f>
        <v>11.2242802615</v>
      </c>
      <c r="G10168" s="14" t="n">
        <f aca="false">Sens!G10166*Sens!G10167*chip_f</f>
        <v>10.6732592791352</v>
      </c>
      <c r="H10168" s="14" t="n">
        <f aca="false">Sens!H10166*Sens!H10167*chip_f</f>
        <v>9.91802420610807</v>
      </c>
      <c r="I10168" s="14" t="n">
        <f aca="false">Sens!I10166*Sens!I10167*chip_f</f>
        <v>10.1214674021403</v>
      </c>
      <c r="J10168" s="14" t="n">
        <f aca="false">Sens!J10166*Sens!J10167*chip_f</f>
        <v>10.2860587867084</v>
      </c>
      <c r="K10168" s="14" t="n">
        <f aca="false">Sens!K10166*Sens!K10167*chip_f</f>
        <v>10.5187810555262</v>
      </c>
      <c r="L10168" s="1" t="s">
        <v>820</v>
      </c>
    </row>
    <row r="10169" customFormat="false" ht="17.15" hidden="false" customHeight="false" outlineLevel="0" collapsed="false">
      <c r="A10169" s="0" t="s">
        <v>821</v>
      </c>
      <c r="B10169" s="0" t="s">
        <v>98</v>
      </c>
      <c r="D10169" s="6" t="n">
        <f aca="false">(Sens!C10154+Sens!D10154)/2*Sens!D10168/1000</f>
        <v>12.9359794422418</v>
      </c>
      <c r="E10169" s="6" t="n">
        <f aca="false">(Sens!D10154+Sens!E10154)/2*Sens!E10168/1000</f>
        <v>27.8095064661409</v>
      </c>
      <c r="F10169" s="6" t="n">
        <f aca="false">(Sens!E10154+Sens!F10154)/2*Sens!F10168/1000</f>
        <v>50.6619113883066</v>
      </c>
      <c r="G10169" s="6" t="n">
        <f aca="false">(Sens!F10154+Sens!G10154)/2*Sens!G10168/1000</f>
        <v>75.1482839325348</v>
      </c>
      <c r="H10169" s="6" t="n">
        <f aca="false">(Sens!G10154+Sens!H10154)/2*Sens!H10168/1000</f>
        <v>94.895655604042</v>
      </c>
      <c r="I10169" s="6" t="n">
        <f aca="false">(Sens!H10154+Sens!I10154)/2*Sens!I10168/1000</f>
        <v>118.706168884151</v>
      </c>
      <c r="J10169" s="6" t="n">
        <f aca="false">(Sens!I10154+Sens!J10154)/2*Sens!J10168/1000</f>
        <v>135.305203646001</v>
      </c>
      <c r="K10169" s="6" t="n">
        <f aca="false">(Sens!J10154+Sens!K10154)/2*Sens!K10168/1000</f>
        <v>145.64537766421</v>
      </c>
      <c r="L10169" s="11" t="s">
        <v>822</v>
      </c>
    </row>
    <row r="10170" customFormat="false" ht="17.15" hidden="false" customHeight="false" outlineLevel="0" collapsed="false">
      <c r="A10170" s="1" t="s">
        <v>823</v>
      </c>
      <c r="B10170" s="0" t="s">
        <v>339</v>
      </c>
      <c r="C10170" s="14" t="n">
        <f aca="false">(Sens!C10162*tk_opex_h100+Sens!C10163*tk_opex_gb200+Sens!C10164*tk_opex_gb300+Sens!C10165*tk_opex_vr200)/Sens!C10154</f>
        <v>1.88636041306092</v>
      </c>
      <c r="D10170" s="14" t="n">
        <f aca="false">(Sens!D10162*tk_opex_h100+Sens!D10163*tk_opex_gb200+Sens!D10164*tk_opex_gb300+Sens!D10165*tk_opex_vr200)/Sens!D10154</f>
        <v>1.88636041306092</v>
      </c>
      <c r="E10170" s="14" t="n">
        <f aca="false">(Sens!E10162*tk_opex_h100+Sens!E10163*tk_opex_gb200+Sens!E10164*tk_opex_gb300+Sens!E10165*tk_opex_vr200)/Sens!E10154</f>
        <v>1.88636041306092</v>
      </c>
      <c r="F10170" s="14" t="n">
        <f aca="false">(Sens!F10162*tk_opex_h100+Sens!F10163*tk_opex_gb200+Sens!F10164*tk_opex_gb300+Sens!F10165*tk_opex_vr200)/Sens!F10154</f>
        <v>1.9430236476499</v>
      </c>
      <c r="G10170" s="14" t="n">
        <f aca="false">(Sens!G10162*tk_opex_h100+Sens!G10163*tk_opex_gb200+Sens!G10164*tk_opex_gb300+Sens!G10165*tk_opex_vr200)/Sens!G10154</f>
        <v>1.9786941852423</v>
      </c>
      <c r="H10170" s="14" t="n">
        <f aca="false">(Sens!H10162*tk_opex_h100+Sens!H10163*tk_opex_gb200+Sens!H10164*tk_opex_gb300+Sens!H10165*tk_opex_vr200)/Sens!H10154</f>
        <v>2.00289275976156</v>
      </c>
      <c r="I10170" s="14" t="n">
        <f aca="false">(Sens!I10162*tk_opex_h100+Sens!I10163*tk_opex_gb200+Sens!I10164*tk_opex_gb300+Sens!I10165*tk_opex_vr200)/Sens!I10154</f>
        <v>2.02179589661219</v>
      </c>
      <c r="J10170" s="14" t="n">
        <f aca="false">(Sens!J10162*tk_opex_h100+Sens!J10163*tk_opex_gb200+Sens!J10164*tk_opex_gb300+Sens!J10165*tk_opex_vr200)/Sens!J10154</f>
        <v>2.03708907685909</v>
      </c>
      <c r="K10170" s="14" t="n">
        <f aca="false">(Sens!K10162*tk_opex_h100+Sens!K10163*tk_opex_gb200+Sens!K10164*tk_opex_gb300+Sens!K10165*tk_opex_vr200)/Sens!K10154</f>
        <v>2.05871270931005</v>
      </c>
    </row>
    <row r="10171" customFormat="false" ht="17.15" hidden="false" customHeight="false" outlineLevel="0" collapsed="false">
      <c r="A10171" s="0" t="s">
        <v>824</v>
      </c>
      <c r="B10171" s="0" t="s">
        <v>98</v>
      </c>
      <c r="D10171" s="6" t="n">
        <f aca="false">(Sens!C10157+Sens!D10157)/2*Sens!D10170/1000</f>
        <v>2.70378325872065</v>
      </c>
      <c r="E10171" s="6" t="n">
        <f aca="false">(Sens!D10157+Sens!E10157)/2*Sens!E10170/1000</f>
        <v>6.17783035277451</v>
      </c>
      <c r="F10171" s="6" t="n">
        <f aca="false">(Sens!E10157+Sens!F10157)/2*Sens!F10170/1000</f>
        <v>12.5020618235287</v>
      </c>
      <c r="G10171" s="6" t="n">
        <f aca="false">(Sens!F10157+Sens!G10157)/2*Sens!G10170/1000</f>
        <v>20.7261620256847</v>
      </c>
      <c r="H10171" s="6" t="n">
        <f aca="false">(Sens!G10157+Sens!H10157)/2*Sens!H10170/1000</f>
        <v>29.4158183316982</v>
      </c>
      <c r="I10171" s="6" t="n">
        <f aca="false">(Sens!H10157+Sens!I10157)/2*Sens!I10170/1000</f>
        <v>36.9724400356344</v>
      </c>
      <c r="J10171" s="6" t="n">
        <f aca="false">(Sens!I10157+Sens!J10157)/2*Sens!J10170/1000</f>
        <v>42.0938382992747</v>
      </c>
      <c r="K10171" s="6" t="n">
        <f aca="false">(Sens!J10157+Sens!K10157)/2*Sens!K10170/1000</f>
        <v>44.9150106651501</v>
      </c>
    </row>
    <row r="10172" customFormat="false" ht="17.15" hidden="false" customHeight="false" outlineLevel="0" collapsed="false">
      <c r="A10172" s="0" t="s">
        <v>825</v>
      </c>
      <c r="B10172" s="0" t="s">
        <v>98</v>
      </c>
      <c r="D10172" s="6" t="n">
        <f aca="false">(Sens!C10155+Sens!D10155)/2*rent_mw/1000</f>
        <v>2.44475</v>
      </c>
      <c r="E10172" s="6" t="n">
        <f aca="false">(Sens!D10155+Sens!E10155)/2*rent_mw/1000</f>
        <v>4.22275</v>
      </c>
      <c r="F10172" s="6" t="n">
        <f aca="false">(Sens!E10155+Sens!F10155)/2*rent_mw/1000</f>
        <v>5.80517</v>
      </c>
      <c r="G10172" s="6" t="n">
        <f aca="false">(Sens!F10155+Sens!G10155)/2*rent_mw/1000</f>
        <v>6.72084</v>
      </c>
      <c r="H10172" s="6" t="n">
        <f aca="false">(Sens!G10155+Sens!H10155)/2*rent_mw/1000</f>
        <v>6.72084</v>
      </c>
      <c r="I10172" s="6" t="n">
        <f aca="false">(Sens!H10155+Sens!I10155)/2*rent_mw/1000</f>
        <v>6.72084</v>
      </c>
      <c r="J10172" s="6" t="n">
        <f aca="false">(Sens!I10155+Sens!J10155)/2*rent_mw/1000</f>
        <v>6.72084</v>
      </c>
      <c r="K10172" s="6" t="n">
        <f aca="false">(Sens!J10155+Sens!K10155)/2*rent_mw/1000</f>
        <v>6.72084</v>
      </c>
    </row>
    <row r="10173" customFormat="false" ht="17.15" hidden="false" customHeight="false" outlineLevel="0" collapsed="false">
      <c r="A10173" s="0" t="s">
        <v>826</v>
      </c>
      <c r="B10173" s="0" t="s">
        <v>98</v>
      </c>
      <c r="D10173" s="6" t="n">
        <f aca="false">(Sens!C10157+Sens!D10157)/2*(1-self_build)*fac_rent/1000</f>
        <v>0.853242375631075</v>
      </c>
      <c r="E10173" s="6" t="n">
        <f aca="false">(Sens!D10157+Sens!E10157)/2*(1-self_build)*fac_rent/1000</f>
        <v>1.94955961408728</v>
      </c>
      <c r="F10173" s="6" t="n">
        <f aca="false">(Sens!E10157+Sens!F10157)/2*(1-self_build)*fac_rent/1000</f>
        <v>3.83026455274573</v>
      </c>
      <c r="G10173" s="6" t="n">
        <f aca="false">(Sens!F10157+Sens!G10157)/2*(1-self_build)*fac_rent/1000</f>
        <v>6.23541590972812</v>
      </c>
      <c r="H10173" s="6" t="n">
        <f aca="false">(Sens!G10157+Sens!H10157)/2*(1-self_build)*fac_rent/1000</f>
        <v>8.74275792332679</v>
      </c>
      <c r="I10173" s="6" t="n">
        <f aca="false">(Sens!H10157+Sens!I10157)/2*(1-self_build)*fac_rent/1000</f>
        <v>10.8859420438599</v>
      </c>
      <c r="J10173" s="6" t="n">
        <f aca="false">(Sens!I10157+Sens!J10157)/2*(1-self_build)*fac_rent/1000</f>
        <v>12.3008103782619</v>
      </c>
      <c r="K10173" s="6" t="n">
        <f aca="false">(Sens!J10157+Sens!K10157)/2*(1-self_build)*fac_rent/1000</f>
        <v>12.9873629265328</v>
      </c>
      <c r="L10173" s="11" t="s">
        <v>827</v>
      </c>
    </row>
    <row r="10174" customFormat="false" ht="17.15" hidden="false" customHeight="false" outlineLevel="0" collapsed="false">
      <c r="A10174" s="1" t="s">
        <v>828</v>
      </c>
      <c r="B10174" s="0" t="s">
        <v>129</v>
      </c>
      <c r="D10174" s="7" t="n">
        <f aca="false">(Sens!C10156+Sens!D10156)/(Sens!C10157+Sens!D10157)</f>
        <v>0.6</v>
      </c>
      <c r="E10174" s="7" t="n">
        <f aca="false">(Sens!D10156+Sens!E10156)/(Sens!D10157+Sens!E10157)</f>
        <v>0.6</v>
      </c>
      <c r="F10174" s="7" t="n">
        <f aca="false">(Sens!E10156+Sens!F10156)/(Sens!E10157+Sens!F10157)</f>
        <v>0.6</v>
      </c>
      <c r="G10174" s="7" t="n">
        <f aca="false">(Sens!F10156+Sens!G10156)/(Sens!F10157+Sens!G10157)</f>
        <v>0.6</v>
      </c>
      <c r="H10174" s="7" t="n">
        <f aca="false">(Sens!G10156+Sens!H10156)/(Sens!G10157+Sens!H10157)</f>
        <v>0.6</v>
      </c>
      <c r="I10174" s="7" t="n">
        <f aca="false">(Sens!H10156+Sens!I10156)/(Sens!H10157+Sens!I10157)</f>
        <v>0.6</v>
      </c>
      <c r="J10174" s="7" t="n">
        <f aca="false">(Sens!I10156+Sens!J10156)/(Sens!I10157+Sens!J10157)</f>
        <v>0.6</v>
      </c>
      <c r="K10174" s="7" t="n">
        <f aca="false">(Sens!J10156+Sens!K10156)/(Sens!J10157+Sens!K10157)</f>
        <v>0.6</v>
      </c>
    </row>
    <row r="10175" customFormat="false" ht="17.15" hidden="false" customHeight="false" outlineLevel="0" collapsed="false">
      <c r="A10175" s="0" t="s">
        <v>829</v>
      </c>
      <c r="B10175" s="0" t="s">
        <v>98</v>
      </c>
      <c r="D10175" s="6" t="n">
        <f aca="false">Sens!D10169-Sens!D10174*(Sens!D10171+Sens!D10173)-Sens!D10172</f>
        <v>8.35701406163072</v>
      </c>
      <c r="E10175" s="6" t="n">
        <f aca="false">Sens!E10169-Sens!E10174*(Sens!E10171+Sens!E10173)-Sens!E10172</f>
        <v>18.7103224860238</v>
      </c>
      <c r="F10175" s="6" t="n">
        <f aca="false">Sens!F10169-Sens!F10174*(Sens!F10171+Sens!F10173)-Sens!F10172</f>
        <v>35.0573455625419</v>
      </c>
      <c r="G10175" s="6" t="n">
        <f aca="false">Sens!G10169-Sens!G10174*(Sens!G10171+Sens!G10173)-Sens!G10172</f>
        <v>52.2504971712871</v>
      </c>
      <c r="H10175" s="6" t="n">
        <f aca="false">Sens!H10169-Sens!H10174*(Sens!H10171+Sens!H10173)-Sens!H10172</f>
        <v>65.2796698510271</v>
      </c>
      <c r="I10175" s="6" t="n">
        <f aca="false">Sens!I10169-Sens!I10174*(Sens!I10171+Sens!I10173)-Sens!I10172</f>
        <v>83.2702996364549</v>
      </c>
      <c r="J10175" s="6" t="n">
        <f aca="false">Sens!J10169-Sens!J10174*(Sens!J10171+Sens!J10173)-Sens!J10172</f>
        <v>95.9475744394793</v>
      </c>
      <c r="K10175" s="6" t="n">
        <f aca="false">Sens!K10169-Sens!K10174*(Sens!K10171+Sens!K10173)-Sens!K10172</f>
        <v>104.1831135092</v>
      </c>
    </row>
    <row r="10176" customFormat="false" ht="17.15" hidden="false" customHeight="false" outlineLevel="0" collapsed="false">
      <c r="A10176" s="1" t="s">
        <v>830</v>
      </c>
      <c r="B10176" s="0" t="s">
        <v>98</v>
      </c>
      <c r="D10176" s="6" t="n">
        <f aca="false">(1-Sens!D10174)*(Sens!D10171+Sens!D10173)</f>
        <v>1.42281025374069</v>
      </c>
      <c r="E10176" s="6" t="n">
        <f aca="false">(1-Sens!E10174)*(Sens!E10171+Sens!E10173)</f>
        <v>3.25095598674472</v>
      </c>
      <c r="F10176" s="6" t="n">
        <f aca="false">(1-Sens!F10174)*(Sens!F10171+Sens!F10173)</f>
        <v>6.53293055050977</v>
      </c>
      <c r="G10176" s="6" t="n">
        <f aca="false">(1-Sens!G10174)*(Sens!G10171+Sens!G10173)</f>
        <v>10.7846311741651</v>
      </c>
      <c r="H10176" s="6" t="n">
        <f aca="false">(1-Sens!H10174)*(Sens!H10171+Sens!H10173)</f>
        <v>15.26343050201</v>
      </c>
      <c r="I10176" s="6" t="n">
        <f aca="false">(1-Sens!I10174)*(Sens!I10171+Sens!I10173)</f>
        <v>19.1433528317977</v>
      </c>
      <c r="J10176" s="6" t="n">
        <f aca="false">(1-Sens!J10174)*(Sens!J10171+Sens!J10173)</f>
        <v>21.7578594710146</v>
      </c>
      <c r="K10176" s="6" t="n">
        <f aca="false">(1-Sens!K10174)*(Sens!K10171+Sens!K10173)</f>
        <v>23.1609494366731</v>
      </c>
    </row>
    <row r="10177" customFormat="false" ht="17.15" hidden="false" customHeight="false" outlineLevel="0" collapsed="false">
      <c r="A10177" s="1" t="s">
        <v>831</v>
      </c>
      <c r="B10177" s="0" t="s">
        <v>350</v>
      </c>
      <c r="C10177" s="8" t="n">
        <f aca="false">cxit_open</f>
        <v>27.5918995</v>
      </c>
      <c r="D10177" s="8" t="n">
        <f aca="false">cxit_open</f>
        <v>27.5918995</v>
      </c>
      <c r="E10177" s="8" t="n">
        <f aca="false">cxit_open</f>
        <v>27.5918995</v>
      </c>
      <c r="F10177" s="8" t="n">
        <f aca="false">(a_g3_27*tk_cxit_gb300+(1-a_g3_27)*tk_cxit_vr200)</f>
        <v>33.8419624</v>
      </c>
      <c r="G10177" s="8" t="n">
        <f aca="false">(a_g3_28*tk_cxit_gb300+(1-a_g3_28)*tk_cxit_vr200)</f>
        <v>35.9816136</v>
      </c>
      <c r="H10177" s="8" t="n">
        <f aca="false">(a_g3_29*tk_cxit_gb300+(1-a_g3_29)*tk_cxit_vr200)</f>
        <v>37.0514392</v>
      </c>
      <c r="I10177" s="8" t="n">
        <f aca="false">(a_g3_29*tk_cxit_gb300+(1-a_g3_29)*tk_cxit_vr200)</f>
        <v>37.0514392</v>
      </c>
      <c r="J10177" s="8" t="n">
        <f aca="false">(a_g3_29*tk_cxit_gb300+(1-a_g3_29)*tk_cxit_vr200)</f>
        <v>37.0514392</v>
      </c>
      <c r="K10177" s="8" t="n">
        <f aca="false">(a_g3_29*tk_cxit_gb300+(1-a_g3_29)*tk_cxit_vr200)</f>
        <v>37.0514392</v>
      </c>
      <c r="L10177" s="11" t="s">
        <v>832</v>
      </c>
    </row>
    <row r="10178" customFormat="false" ht="17.15" hidden="false" customHeight="false" outlineLevel="0" collapsed="false">
      <c r="A10178" s="0" t="s">
        <v>833</v>
      </c>
      <c r="B10178" s="0" t="s">
        <v>392</v>
      </c>
      <c r="F10178" s="29" t="n">
        <f aca="false">Sens!C10159*IF(Sens!F10152-Sens!C10152=life_it,1,0)+Sens!D10159*IF(Sens!F10152-Sens!D10152=life_it,1,0)+Sens!E10159*IF(Sens!F10152-Sens!E10152=life_it,1,0)</f>
        <v>0</v>
      </c>
      <c r="G10178" s="29" t="n">
        <f aca="false">Sens!C10159*IF(Sens!G10152-Sens!C10152=life_it,1,0)+Sens!D10159*IF(Sens!G10152-Sens!D10152=life_it,1,0)+Sens!E10159*IF(Sens!G10152-Sens!E10152=life_it,1,0)+Sens!F10159*IF(Sens!G10152-Sens!F10152=life_it,1,0)</f>
        <v>0</v>
      </c>
      <c r="H10178" s="29" t="n">
        <f aca="false">Sens!C10159*IF(Sens!H10152-Sens!C10152=life_it,1,0)+Sens!D10159*IF(Sens!H10152-Sens!D10152=life_it,1,0)+Sens!E10159*IF(Sens!H10152-Sens!E10152=life_it,1,0)+Sens!F10159*IF(Sens!H10152-Sens!F10152=life_it,1,0)+Sens!G10159*IF(Sens!H10152-Sens!G10152=life_it,1,0)</f>
        <v>0</v>
      </c>
      <c r="I10178" s="29" t="n">
        <f aca="false">Sens!C10159*IF(Sens!I10152-Sens!C10152=life_it,1,0)+Sens!D10159*IF(Sens!I10152-Sens!D10152=life_it,1,0)+Sens!E10159*IF(Sens!I10152-Sens!E10152=life_it,1,0)+Sens!F10159*IF(Sens!I10152-Sens!F10152=life_it,1,0)+Sens!G10159*IF(Sens!I10152-Sens!G10152=life_it,1,0)+Sens!H10159*IF(Sens!I10152-Sens!H10152=life_it,1,0)</f>
        <v>816.666666666667</v>
      </c>
      <c r="J10178" s="29" t="n">
        <f aca="false">Sens!C10159*IF(Sens!J10152-Sens!C10152=life_it,1,0)+Sens!D10159*IF(Sens!J10152-Sens!D10152=life_it,1,0)+Sens!E10159*IF(Sens!J10152-Sens!E10152=life_it,1,0)+Sens!F10159*IF(Sens!J10152-Sens!F10152=life_it,1,0)+Sens!G10159*IF(Sens!J10152-Sens!G10152=life_it,1,0)+Sens!H10159*IF(Sens!J10152-Sens!H10152=life_it,1,0)+Sens!I10159*IF(Sens!J10152-Sens!I10152=life_it,1,0)</f>
        <v>1233.33333333333</v>
      </c>
      <c r="K10178" s="29" t="n">
        <f aca="false">Sens!C10159*IF(Sens!K10152-Sens!C10152=life_it,1,0)+Sens!D10159*IF(Sens!K10152-Sens!D10152=life_it,1,0)+Sens!E10159*IF(Sens!K10152-Sens!E10152=life_it,1,0)+Sens!F10159*IF(Sens!K10152-Sens!F10152=life_it,1,0)+Sens!G10159*IF(Sens!K10152-Sens!G10152=life_it,1,0)+Sens!H10159*IF(Sens!K10152-Sens!H10152=life_it,1,0)+Sens!I10159*IF(Sens!K10152-Sens!I10152=life_it,1,0)+Sens!J10159*IF(Sens!K10152-Sens!J10152=life_it,1,0)</f>
        <v>2450</v>
      </c>
      <c r="L10178" s="1" t="s">
        <v>834</v>
      </c>
    </row>
    <row r="10179" customFormat="false" ht="17.15" hidden="false" customHeight="false" outlineLevel="0" collapsed="false">
      <c r="A10179" s="0" t="s">
        <v>835</v>
      </c>
      <c r="B10179" s="0" t="s">
        <v>98</v>
      </c>
      <c r="C10179" s="6" t="n">
        <f aca="false">Sens!C10159*Sens!C10177/1000</f>
        <v>22.5333845916667</v>
      </c>
      <c r="D10179" s="6" t="n">
        <f aca="false">Sens!D10159*Sens!D10177/1000</f>
        <v>34.0300093833333</v>
      </c>
      <c r="E10179" s="6" t="n">
        <f aca="false">Sens!E10159*Sens!E10177/1000</f>
        <v>67.600153775</v>
      </c>
      <c r="F10179" s="6" t="n">
        <f aca="false">(Sens!F10159+Sens!F10178)*Sens!F10177/1000</f>
        <v>130.923271871467</v>
      </c>
      <c r="G10179" s="6" t="n">
        <f aca="false">(Sens!G10159+Sens!G10178)*Sens!G10177/1000</f>
        <v>151.5545564832</v>
      </c>
      <c r="H10179" s="6" t="n">
        <f aca="false">(Sens!H10159+Sens!H10178)*Sens!H10177/1000</f>
        <v>156.0606619104</v>
      </c>
      <c r="I10179" s="6" t="n">
        <f aca="false">(Sens!I10159+Sens!I10178)*Sens!I10177/1000</f>
        <v>140.987889434245</v>
      </c>
      <c r="J10179" s="6" t="n">
        <f aca="false">(Sens!J10159+Sens!J10178)*Sens!J10177/1000</f>
        <v>111.094541278091</v>
      </c>
      <c r="K10179" s="6" t="n">
        <f aca="false">(Sens!K10159+Sens!K10178)*Sens!K10177/1000</f>
        <v>110.842344481936</v>
      </c>
    </row>
    <row r="10180" customFormat="false" ht="17.15" hidden="false" customHeight="false" outlineLevel="0" collapsed="false">
      <c r="A10180" s="0" t="s">
        <v>836</v>
      </c>
      <c r="B10180" s="0" t="s">
        <v>98</v>
      </c>
      <c r="C10180" s="6" t="n">
        <f aca="false">Sens!C10159*self_build*tk_cxfac/1000</f>
        <v>6.2083</v>
      </c>
      <c r="D10180" s="6" t="n">
        <f aca="false">Sens!D10159*self_build*tk_cxfac/1000</f>
        <v>9.3758</v>
      </c>
      <c r="E10180" s="6" t="n">
        <f aca="false">Sens!E10159*self_build*tk_cxfac/1000</f>
        <v>18.6249</v>
      </c>
      <c r="F10180" s="6" t="n">
        <f aca="false">Sens!F10159*self_build*tk_cxfac/1000</f>
        <v>29.409604</v>
      </c>
      <c r="G10180" s="6" t="n">
        <f aca="false">Sens!G10159*self_build*tk_cxfac/1000</f>
        <v>32.019624</v>
      </c>
      <c r="H10180" s="6" t="n">
        <f aca="false">Sens!H10159*self_build*tk_cxfac/1000</f>
        <v>32.019624</v>
      </c>
      <c r="I10180" s="6" t="n">
        <f aca="false">Sens!I10159*self_build*tk_cxfac/1000</f>
        <v>22.71877972</v>
      </c>
      <c r="J10180" s="6" t="n">
        <f aca="false">Sens!J10159*self_build*tk_cxfac/1000</f>
        <v>13.41793544</v>
      </c>
      <c r="K10180" s="6" t="n">
        <f aca="false">Sens!K10159*self_build*tk_cxfac/1000</f>
        <v>4.11709116000001</v>
      </c>
    </row>
    <row r="10181" customFormat="false" ht="17.15" hidden="false" customHeight="false" outlineLevel="0" collapsed="false">
      <c r="A10181" s="0" t="s">
        <v>837</v>
      </c>
      <c r="B10181" s="0" t="s">
        <v>98</v>
      </c>
      <c r="F10181" s="6" t="n">
        <f aca="false">MAX(0,capex_floor27-Sens!F10179-Sens!F10180-Sens!F10274)</f>
        <v>8.44213489897089</v>
      </c>
      <c r="L10181" s="1" t="s">
        <v>838</v>
      </c>
    </row>
    <row r="10182" customFormat="false" ht="17.15" hidden="false" customHeight="false" outlineLevel="0" collapsed="false">
      <c r="A10182" s="0" t="s">
        <v>839</v>
      </c>
      <c r="B10182" s="0" t="s">
        <v>98</v>
      </c>
      <c r="C10182" s="6" t="n">
        <f aca="false">Sens!C10179</f>
        <v>22.5333845916667</v>
      </c>
      <c r="D10182" s="6" t="n">
        <f aca="false">Sens!D10179</f>
        <v>34.0300093833333</v>
      </c>
      <c r="E10182" s="6" t="n">
        <f aca="false">Sens!E10179</f>
        <v>67.600153775</v>
      </c>
      <c r="F10182" s="6" t="n">
        <f aca="false">Sens!F10179+Sens!F10181</f>
        <v>139.365406770438</v>
      </c>
      <c r="G10182" s="6" t="n">
        <f aca="false">Sens!G10179</f>
        <v>151.5545564832</v>
      </c>
      <c r="H10182" s="6" t="n">
        <f aca="false">Sens!H10179</f>
        <v>156.0606619104</v>
      </c>
      <c r="I10182" s="6" t="n">
        <f aca="false">Sens!I10179</f>
        <v>140.987889434245</v>
      </c>
      <c r="J10182" s="6" t="n">
        <f aca="false">Sens!J10179</f>
        <v>111.094541278091</v>
      </c>
      <c r="K10182" s="6" t="n">
        <f aca="false">Sens!K10179</f>
        <v>110.842344481936</v>
      </c>
    </row>
    <row r="10183" customFormat="false" ht="17.15" hidden="false" customHeight="false" outlineLevel="0" collapsed="false">
      <c r="A10183" s="0" t="s">
        <v>840</v>
      </c>
      <c r="B10183" s="0" t="s">
        <v>98</v>
      </c>
      <c r="C10183" s="6" t="n">
        <f aca="false">Sens!C10182+Sens!C10180</f>
        <v>28.7416845916667</v>
      </c>
      <c r="D10183" s="6" t="n">
        <f aca="false">Sens!D10182+Sens!D10180</f>
        <v>43.4058093833333</v>
      </c>
      <c r="E10183" s="6" t="n">
        <f aca="false">Sens!E10182+Sens!E10180</f>
        <v>86.225053775</v>
      </c>
      <c r="F10183" s="6" t="n">
        <f aca="false">Sens!F10182+Sens!F10180</f>
        <v>168.775010770438</v>
      </c>
      <c r="G10183" s="6" t="n">
        <f aca="false">Sens!G10182+Sens!G10180</f>
        <v>183.5741804832</v>
      </c>
      <c r="H10183" s="6" t="n">
        <f aca="false">Sens!H10182+Sens!H10180</f>
        <v>188.0802859104</v>
      </c>
      <c r="I10183" s="6" t="n">
        <f aca="false">Sens!I10182+Sens!I10180</f>
        <v>163.706669154245</v>
      </c>
      <c r="J10183" s="6" t="n">
        <f aca="false">Sens!J10182+Sens!J10180</f>
        <v>124.51247671809</v>
      </c>
      <c r="K10183" s="6" t="n">
        <f aca="false">Sens!K10182+Sens!K10180</f>
        <v>114.959435641936</v>
      </c>
      <c r="L10183" s="11" t="s">
        <v>841</v>
      </c>
    </row>
    <row r="10184" customFormat="false" ht="17.15" hidden="false" customHeight="false" outlineLevel="0" collapsed="false">
      <c r="A10184" s="0" t="s">
        <v>842</v>
      </c>
      <c r="B10184" s="0" t="s">
        <v>98</v>
      </c>
      <c r="E10184" s="6" t="n">
        <f aca="false">(Sens!C10182*IF(2&lt;life_it,1,IF(2=life_it,0.5,0))+Sens!D10182*IF(1&lt;life_it,1,IF(1=life_it,0.5,0))+Sens!E10182*0.5)/life_it</f>
        <v>15.0605784770833</v>
      </c>
      <c r="F10184" s="6" t="n">
        <f aca="false">(Sens!C10182*IF(3&lt;life_it,1,IF(3=life_it,0.5,0))+Sens!D10182*IF(2&lt;life_it,1,IF(2=life_it,0.5,0))+Sens!E10182*IF(1&lt;life_it,1,IF(1=life_it,0.5,0))+Sens!F10182*0.5)/life_it</f>
        <v>32.3077085225365</v>
      </c>
      <c r="G10184" s="6" t="n">
        <f aca="false">(Sens!C10182*IF(4&lt;life_it,1,IF(4=life_it,0.5,0))+Sens!D10182*IF(3&lt;life_it,1,IF(3=life_it,0.5,0))+Sens!E10182*IF(2&lt;life_it,1,IF(2=life_it,0.5,0))+Sens!F10182*IF(1&lt;life_it,1,IF(1=life_it,0.5,0))+Sens!G10182*0.5)/life_it</f>
        <v>56.5510387936729</v>
      </c>
      <c r="H10184" s="6" t="n">
        <f aca="false">(Sens!C10182*IF(5&lt;life_it,1,IF(5=life_it,0.5,0))+Sens!D10182*IF(4&lt;life_it,1,IF(4=life_it,0.5,0))+Sens!E10182*IF(3&lt;life_it,1,IF(3=life_it,0.5,0))+Sens!F10182*IF(2&lt;life_it,1,IF(2=life_it,0.5,0))+Sens!G10182*IF(1&lt;life_it,1,IF(1=life_it,0.5,0))+Sens!H10182*0.5)/life_it</f>
        <v>82.1856403264729</v>
      </c>
      <c r="I10184" s="6" t="n">
        <f aca="false">(Sens!C10182*IF(6&lt;life_it,1,IF(6=life_it,0.5,0))+Sens!D10182*IF(5&lt;life_it,1,IF(5=life_it,0.5,0))+Sens!E10182*IF(4&lt;life_it,1,IF(4=life_it,0.5,0))+Sens!F10182*IF(3&lt;life_it,1,IF(3=life_it,0.5,0))+Sens!G10182*IF(2&lt;life_it,1,IF(2=life_it,0.5,0))+Sens!H10182*IF(1&lt;life_it,1,IF(1=life_it,0.5,0))+Sens!I10182*0.5)/life_it</f>
        <v>105.061904222554</v>
      </c>
      <c r="J10184" s="6" t="n">
        <f aca="false">(Sens!C10182*IF(7&lt;life_it,1,IF(7=life_it,0.5,0))+Sens!D10182*IF(6&lt;life_it,1,IF(6=life_it,0.5,0))+Sens!E10182*IF(5&lt;life_it,1,IF(5=life_it,0.5,0))+Sens!F10182*IF(4&lt;life_it,1,IF(4=life_it,0.5,0))+Sens!G10182*IF(3&lt;life_it,1,IF(3=life_it,0.5,0))+Sens!H10182*IF(2&lt;life_it,1,IF(2=life_it,0.5,0))+Sens!I10182*IF(1&lt;life_it,1,IF(1=life_it,0.5,0))+Sens!J10182*0.5)/life_it</f>
        <v>121.355157283999</v>
      </c>
      <c r="K10184" s="6" t="n">
        <f aca="false">(Sens!C10182*IF(8&lt;life_it,1,IF(8=life_it,0.5,0))+Sens!D10182*IF(7&lt;life_it,1,IF(7=life_it,0.5,0))+Sens!E10182*IF(6&lt;life_it,1,IF(6=life_it,0.5,0))+Sens!F10182*IF(5&lt;life_it,1,IF(5=life_it,0.5,0))+Sens!G10182*IF(4&lt;life_it,1,IF(4=life_it,0.5,0))+Sens!H10182*IF(3&lt;life_it,1,IF(3=life_it,0.5,0))+Sens!I10182*IF(2&lt;life_it,1,IF(2=life_it,0.5,0))+Sens!J10182*IF(1&lt;life_it,1,IF(1=life_it,0.5,0))+Sens!K10182*0.5)/life_it</f>
        <v>131.380717500807</v>
      </c>
    </row>
    <row r="10185" customFormat="false" ht="17.15" hidden="false" customHeight="false" outlineLevel="0" collapsed="false">
      <c r="A10185" s="0" t="s">
        <v>843</v>
      </c>
      <c r="B10185" s="0" t="s">
        <v>98</v>
      </c>
      <c r="E10185" s="6" t="n">
        <f aca="false">(Sens!C10180*IF(2&lt;life_fac,1,IF(2=life_fac,0.5,0))+Sens!D10180*IF(1&lt;life_fac,1,IF(1=life_fac,0.5,0))+Sens!E10180*0.5)/life_fac</f>
        <v>1.2448275</v>
      </c>
      <c r="F10185" s="6" t="n">
        <f aca="false">(Sens!C10180*IF(3&lt;life_fac,1,IF(3=life_fac,0.5,0))+Sens!D10180*IF(2&lt;life_fac,1,IF(2=life_fac,0.5,0))+Sens!E10180*IF(1&lt;life_fac,1,IF(1=life_fac,0.5,0))+Sens!F10180*0.5)/life_fac</f>
        <v>2.4456901</v>
      </c>
      <c r="G10185" s="6" t="n">
        <f aca="false">(Sens!C10180*IF(4&lt;life_fac,1,IF(4=life_fac,0.5,0))+Sens!D10180*IF(3&lt;life_fac,1,IF(3=life_fac,0.5,0))+Sens!E10180*IF(2&lt;life_fac,1,IF(2=life_fac,0.5,0))+Sens!F10180*IF(1&lt;life_fac,1,IF(1=life_fac,0.5,0))+Sens!G10180*0.5)/life_fac</f>
        <v>3.9814208</v>
      </c>
      <c r="H10185" s="6" t="n">
        <f aca="false">(Sens!C10180*IF(5&lt;life_fac,1,IF(5=life_fac,0.5,0))+Sens!D10180*IF(4&lt;life_fac,1,IF(4=life_fac,0.5,0))+Sens!E10180*IF(3&lt;life_fac,1,IF(3=life_fac,0.5,0))+Sens!F10180*IF(2&lt;life_fac,1,IF(2=life_fac,0.5,0))+Sens!G10180*IF(1&lt;life_fac,1,IF(1=life_fac,0.5,0))+Sens!H10180*0.5)/life_fac</f>
        <v>5.582402</v>
      </c>
      <c r="I10185" s="6" t="n">
        <f aca="false">(Sens!C10180*IF(6&lt;life_fac,1,IF(6=life_fac,0.5,0))+Sens!D10180*IF(5&lt;life_fac,1,IF(5=life_fac,0.5,0))+Sens!E10180*IF(4&lt;life_fac,1,IF(4=life_fac,0.5,0))+Sens!F10180*IF(3&lt;life_fac,1,IF(3=life_fac,0.5,0))+Sens!G10180*IF(2&lt;life_fac,1,IF(2=life_fac,0.5,0))+Sens!H10180*IF(1&lt;life_fac,1,IF(1=life_fac,0.5,0))+Sens!I10180*0.5)/life_fac</f>
        <v>6.950862093</v>
      </c>
      <c r="J10185" s="6" t="n">
        <f aca="false">(Sens!C10180*IF(7&lt;life_fac,1,IF(7=life_fac,0.5,0))+Sens!D10180*IF(6&lt;life_fac,1,IF(6=life_fac,0.5,0))+Sens!E10180*IF(5&lt;life_fac,1,IF(5=life_fac,0.5,0))+Sens!F10180*IF(4&lt;life_fac,1,IF(4=life_fac,0.5,0))+Sens!G10180*IF(3&lt;life_fac,1,IF(3=life_fac,0.5,0))+Sens!H10180*IF(2&lt;life_fac,1,IF(2=life_fac,0.5,0))+Sens!I10180*IF(1&lt;life_fac,1,IF(1=life_fac,0.5,0))+Sens!J10180*0.5)/life_fac</f>
        <v>7.854279972</v>
      </c>
      <c r="K10185" s="6" t="n">
        <f aca="false">(Sens!C10180*IF(8&lt;life_fac,1,IF(8=life_fac,0.5,0))+Sens!D10180*IF(7&lt;life_fac,1,IF(7=life_fac,0.5,0))+Sens!E10180*IF(6&lt;life_fac,1,IF(6=life_fac,0.5,0))+Sens!F10180*IF(5&lt;life_fac,1,IF(5=life_fac,0.5,0))+Sens!G10180*IF(4&lt;life_fac,1,IF(4=life_fac,0.5,0))+Sens!H10180*IF(3&lt;life_fac,1,IF(3=life_fac,0.5,0))+Sens!I10180*IF(2&lt;life_fac,1,IF(2=life_fac,0.5,0))+Sens!J10180*IF(1&lt;life_fac,1,IF(1=life_fac,0.5,0))+Sens!K10180*0.5)/life_fac</f>
        <v>8.292655637</v>
      </c>
    </row>
    <row r="10186" customFormat="false" ht="17.15" hidden="false" customHeight="false" outlineLevel="0" collapsed="false">
      <c r="A10186" s="0" t="s">
        <v>844</v>
      </c>
      <c r="B10186" s="0" t="s">
        <v>98</v>
      </c>
      <c r="E10186" s="6" t="n">
        <f aca="false">Sens!E10184+Sens!E10185</f>
        <v>16.3054059770833</v>
      </c>
      <c r="F10186" s="6" t="n">
        <f aca="false">Sens!F10184+Sens!F10185</f>
        <v>34.7533986225365</v>
      </c>
      <c r="G10186" s="6" t="n">
        <f aca="false">Sens!G10184+Sens!G10185</f>
        <v>60.5324595936729</v>
      </c>
      <c r="H10186" s="6" t="n">
        <f aca="false">Sens!H10184+Sens!H10185</f>
        <v>87.7680423264729</v>
      </c>
      <c r="I10186" s="6" t="n">
        <f aca="false">Sens!I10184+Sens!I10185</f>
        <v>112.012766315554</v>
      </c>
      <c r="J10186" s="6" t="n">
        <f aca="false">Sens!J10184+Sens!J10185</f>
        <v>129.209437255999</v>
      </c>
      <c r="K10186" s="6" t="n">
        <f aca="false">Sens!K10184+Sens!K10185</f>
        <v>139.673373137807</v>
      </c>
    </row>
    <row r="10187" customFormat="false" ht="17.15" hidden="false" customHeight="false" outlineLevel="0" collapsed="false">
      <c r="A10187" s="0" t="s">
        <v>845</v>
      </c>
      <c r="B10187" s="0" t="s">
        <v>98</v>
      </c>
      <c r="E10187" s="6" t="n">
        <f aca="false">Sens!E10175-Sens!E10174*Sens!E10186</f>
        <v>8.92707889977379</v>
      </c>
      <c r="F10187" s="6" t="n">
        <f aca="false">Sens!F10175-Sens!F10174*Sens!F10186</f>
        <v>14.20530638902</v>
      </c>
      <c r="G10187" s="6" t="n">
        <f aca="false">Sens!G10175-Sens!G10174*Sens!G10186</f>
        <v>15.9310214150834</v>
      </c>
      <c r="H10187" s="6" t="n">
        <f aca="false">Sens!H10175-Sens!H10174*Sens!H10186</f>
        <v>12.6188444551433</v>
      </c>
      <c r="I10187" s="6" t="n">
        <f aca="false">Sens!I10175-Sens!I10174*Sens!I10186</f>
        <v>16.0626398471222</v>
      </c>
      <c r="J10187" s="6" t="n">
        <f aca="false">Sens!J10175-Sens!J10174*Sens!J10186</f>
        <v>18.4219120858798</v>
      </c>
      <c r="K10187" s="6" t="n">
        <f aca="false">Sens!K10175-Sens!K10174*Sens!K10186</f>
        <v>20.3790896265162</v>
      </c>
    </row>
    <row r="10188" customFormat="false" ht="17.15" hidden="false" customHeight="false" outlineLevel="0" collapsed="false">
      <c r="A10188" s="3" t="s">
        <v>1500</v>
      </c>
    </row>
    <row r="10189" customFormat="false" ht="15" hidden="false" customHeight="false" outlineLevel="0" collapsed="false">
      <c r="A10189" s="4" t="s">
        <v>43</v>
      </c>
      <c r="B10189" s="4" t="s">
        <v>65</v>
      </c>
      <c r="C10189" s="20" t="s">
        <v>788</v>
      </c>
      <c r="D10189" s="20" t="s">
        <v>789</v>
      </c>
      <c r="E10189" s="20" t="s">
        <v>790</v>
      </c>
      <c r="F10189" s="20" t="s">
        <v>791</v>
      </c>
      <c r="G10189" s="20" t="s">
        <v>792</v>
      </c>
      <c r="H10189" s="20" t="s">
        <v>793</v>
      </c>
      <c r="I10189" s="20" t="s">
        <v>794</v>
      </c>
      <c r="J10189" s="20" t="s">
        <v>795</v>
      </c>
      <c r="K10189" s="20" t="s">
        <v>796</v>
      </c>
      <c r="L10189" s="4" t="s">
        <v>47</v>
      </c>
    </row>
    <row r="10190" customFormat="false" ht="17.15" hidden="false" customHeight="false" outlineLevel="0" collapsed="false">
      <c r="A10190" s="0" t="s">
        <v>864</v>
      </c>
      <c r="B10190" s="0" t="s">
        <v>98</v>
      </c>
      <c r="D10190" s="6" t="n">
        <f aca="false">Sens!D10169</f>
        <v>12.9359794422418</v>
      </c>
      <c r="E10190" s="6" t="n">
        <f aca="false">Sens!E10169</f>
        <v>27.8095064661409</v>
      </c>
      <c r="F10190" s="6" t="n">
        <f aca="false">Sens!F10169</f>
        <v>50.6619113883066</v>
      </c>
      <c r="G10190" s="6" t="n">
        <f aca="false">Sens!G10169</f>
        <v>75.1482839325348</v>
      </c>
      <c r="H10190" s="6" t="n">
        <f aca="false">Sens!H10169</f>
        <v>94.895655604042</v>
      </c>
      <c r="I10190" s="6" t="n">
        <f aca="false">Sens!I10169</f>
        <v>118.706168884151</v>
      </c>
      <c r="J10190" s="6" t="n">
        <f aca="false">Sens!J10169</f>
        <v>135.305203646001</v>
      </c>
      <c r="K10190" s="6" t="n">
        <f aca="false">Sens!K10169</f>
        <v>145.64537766421</v>
      </c>
    </row>
    <row r="10191" customFormat="false" ht="17.15" hidden="false" customHeight="false" outlineLevel="0" collapsed="false">
      <c r="A10191" s="0" t="s">
        <v>865</v>
      </c>
      <c r="B10191" s="0" t="s">
        <v>98</v>
      </c>
      <c r="D10191" s="6" t="n">
        <f aca="false">Q!L6-Sens!D10190</f>
        <v>59.6740205577583</v>
      </c>
      <c r="E10191" s="6" t="n">
        <f aca="false">Q!M6-Sens!E10190</f>
        <v>74.1284935338591</v>
      </c>
      <c r="F10191" s="6" t="n">
        <f aca="false">Sens!E10191*(1+Sens!F10192)</f>
        <v>90.0799497373663</v>
      </c>
      <c r="G10191" s="6" t="n">
        <f aca="false">Sens!F10191*(1+Sens!G10192)</f>
        <v>107.02842520331</v>
      </c>
      <c r="H10191" s="6" t="n">
        <f aca="false">Sens!G10191*(1+Sens!H10192)</f>
        <v>124.271982585636</v>
      </c>
      <c r="I10191" s="6" t="n">
        <f aca="false">Sens!H10191*(1+Sens!I10192)</f>
        <v>140.933702381855</v>
      </c>
      <c r="J10191" s="6" t="n">
        <f aca="false">Sens!I10191*(1+Sens!J10192)</f>
        <v>156.018867314332</v>
      </c>
      <c r="K10191" s="6" t="n">
        <f aca="false">Sens!J10191*(1+Sens!K10192)</f>
        <v>168.500376699478</v>
      </c>
    </row>
    <row r="10192" customFormat="false" ht="15" hidden="false" customHeight="false" outlineLevel="0" collapsed="false">
      <c r="A10192" s="1" t="s">
        <v>866</v>
      </c>
      <c r="B10192" s="0" t="s">
        <v>129</v>
      </c>
      <c r="E10192" s="7" t="n">
        <f aca="false">Sens!E10191/Sens!D10191-1</f>
        <v>0.242223883039864</v>
      </c>
      <c r="F10192" s="7" t="n">
        <f aca="false">Sens!$E$10192+(glt_azo-Sens!$E$10192)*MIN(1,(Sens!F10152-base_fy)/n_conv)</f>
        <v>0.215186569199887</v>
      </c>
      <c r="G10192" s="7" t="n">
        <f aca="false">Sens!$E$10192+(glt_azo-Sens!$E$10192)*MIN(1,(Sens!G10152-base_fy)/n_conv)</f>
        <v>0.18814925535991</v>
      </c>
      <c r="H10192" s="7" t="n">
        <f aca="false">Sens!$E$10192+(glt_azo-Sens!$E$10192)*MIN(1,(Sens!H10152-base_fy)/n_conv)</f>
        <v>0.161111941519932</v>
      </c>
      <c r="I10192" s="7" t="n">
        <f aca="false">Sens!$E$10192+(glt_azo-Sens!$E$10192)*MIN(1,(Sens!I10152-base_fy)/n_conv)</f>
        <v>0.134074627679955</v>
      </c>
      <c r="J10192" s="7" t="n">
        <f aca="false">Sens!$E$10192+(glt_azo-Sens!$E$10192)*MIN(1,(Sens!J10152-base_fy)/n_conv)</f>
        <v>0.107037313839977</v>
      </c>
      <c r="K10192" s="7" t="n">
        <f aca="false">Sens!$E$10192+(glt_azo-Sens!$E$10192)*MIN(1,(Sens!K10152-base_fy)/n_conv)</f>
        <v>0.08</v>
      </c>
    </row>
    <row r="10193" customFormat="false" ht="15" hidden="false" customHeight="false" outlineLevel="0" collapsed="false">
      <c r="A10193" s="0" t="s">
        <v>867</v>
      </c>
      <c r="B10193" s="0" t="s">
        <v>98</v>
      </c>
      <c r="D10193" s="6" t="n">
        <f aca="false">Sens!D10190+Sens!D10191</f>
        <v>72.61</v>
      </c>
      <c r="E10193" s="6" t="n">
        <f aca="false">Sens!E10190+Sens!E10191</f>
        <v>101.938</v>
      </c>
      <c r="F10193" s="6" t="n">
        <f aca="false">Sens!F10190+Sens!F10191</f>
        <v>140.741861125673</v>
      </c>
      <c r="G10193" s="6" t="n">
        <f aca="false">Sens!G10190+Sens!G10191</f>
        <v>182.176709135845</v>
      </c>
      <c r="H10193" s="6" t="n">
        <f aca="false">Sens!H10190+Sens!H10191</f>
        <v>219.167638189678</v>
      </c>
      <c r="I10193" s="6" t="n">
        <f aca="false">Sens!I10190+Sens!I10191</f>
        <v>259.639871266006</v>
      </c>
      <c r="J10193" s="6" t="n">
        <f aca="false">Sens!J10190+Sens!J10191</f>
        <v>291.324070960333</v>
      </c>
      <c r="K10193" s="6" t="n">
        <f aca="false">Sens!K10190+Sens!K10191</f>
        <v>314.145754363688</v>
      </c>
    </row>
    <row r="10194" customFormat="false" ht="17.15" hidden="false" customHeight="false" outlineLevel="0" collapsed="false">
      <c r="A10194" s="0" t="s">
        <v>868</v>
      </c>
      <c r="B10194" s="1" t="s">
        <v>521</v>
      </c>
      <c r="C10194" s="29" t="n">
        <f aca="false">cop_s24</f>
        <v>1</v>
      </c>
      <c r="D10194" s="29" t="n">
        <f aca="false">cop_s25</f>
        <v>5</v>
      </c>
      <c r="E10194" s="29" t="n">
        <f aca="false">cop_s26</f>
        <v>30</v>
      </c>
      <c r="F10194" s="29" t="n">
        <f aca="false">Sens!E10194+cop_add_C</f>
        <v>40</v>
      </c>
      <c r="G10194" s="29" t="n">
        <f aca="false">Sens!F10194+cop_add_C</f>
        <v>50</v>
      </c>
      <c r="H10194" s="29" t="n">
        <f aca="false">Sens!G10194+cop_add_C</f>
        <v>60</v>
      </c>
      <c r="I10194" s="29" t="n">
        <f aca="false">Sens!H10194+cop_add_C*cop_tail</f>
        <v>65</v>
      </c>
      <c r="J10194" s="29" t="n">
        <f aca="false">Sens!I10194+cop_add_C*cop_tail</f>
        <v>70</v>
      </c>
      <c r="K10194" s="29" t="n">
        <f aca="false">Sens!J10194+cop_add_C*cop_tail</f>
        <v>75</v>
      </c>
      <c r="L10194" s="11" t="s">
        <v>869</v>
      </c>
    </row>
    <row r="10195" customFormat="false" ht="17.15" hidden="false" customHeight="false" outlineLevel="0" collapsed="false">
      <c r="A10195" s="0" t="s">
        <v>870</v>
      </c>
      <c r="B10195" s="0" t="s">
        <v>98</v>
      </c>
      <c r="D10195" s="6" t="n">
        <f aca="false">(Sens!C10194+Sens!D10194)/2*cop_px*12/1000</f>
        <v>0.9</v>
      </c>
      <c r="E10195" s="6" t="n">
        <f aca="false">(Sens!D10194+Sens!E10194)/2*cop_px*12/1000</f>
        <v>5.25</v>
      </c>
      <c r="F10195" s="6" t="n">
        <f aca="false">(Sens!E10194+Sens!F10194)/2*cop_px*12/1000</f>
        <v>10.5</v>
      </c>
      <c r="G10195" s="6" t="n">
        <f aca="false">(Sens!F10194+Sens!G10194)/2*cop_px*12/1000</f>
        <v>13.5</v>
      </c>
      <c r="H10195" s="6" t="n">
        <f aca="false">(Sens!G10194+Sens!H10194)/2*cop_px*12/1000</f>
        <v>16.5</v>
      </c>
      <c r="I10195" s="6" t="n">
        <f aca="false">(Sens!H10194+Sens!I10194)/2*cop_px*12/1000</f>
        <v>18.75</v>
      </c>
      <c r="J10195" s="6" t="n">
        <f aca="false">(Sens!I10194+Sens!J10194)/2*cop_px*12/1000</f>
        <v>20.25</v>
      </c>
      <c r="K10195" s="6" t="n">
        <f aca="false">(Sens!J10194+Sens!K10194)/2*cop_px*12/1000</f>
        <v>21.75</v>
      </c>
      <c r="L10195" s="1" t="s">
        <v>871</v>
      </c>
    </row>
    <row r="10196" customFormat="false" ht="17.15" hidden="false" customHeight="false" outlineLevel="0" collapsed="false">
      <c r="A10196" s="0" t="s">
        <v>872</v>
      </c>
      <c r="B10196" s="0" t="s">
        <v>98</v>
      </c>
      <c r="D10196" s="6" t="n">
        <f aca="false">Q!L7-Sens!D10195</f>
        <v>83.705</v>
      </c>
      <c r="E10196" s="6" t="n">
        <f aca="false">Q!M7-Sens!E10195</f>
        <v>95.049</v>
      </c>
      <c r="F10196" s="6" t="n">
        <f aca="false">Sens!E10196*(1+Sens!F10197)</f>
        <v>106.89238776686</v>
      </c>
      <c r="G10196" s="6" t="n">
        <f aca="false">Sens!F10196*(1+Sens!G10197)</f>
        <v>119.044168448684</v>
      </c>
      <c r="H10196" s="6" t="n">
        <f aca="false">Sens!G10196*(1+Sens!H10197)</f>
        <v>131.277359388781</v>
      </c>
      <c r="I10196" s="6" t="n">
        <f aca="false">Sens!H10196*(1+Sens!I10197)</f>
        <v>143.334028071957</v>
      </c>
      <c r="J10196" s="6" t="n">
        <f aca="false">Sens!I10196*(1+Sens!J10197)</f>
        <v>154.932702785465</v>
      </c>
      <c r="K10196" s="6" t="n">
        <f aca="false">Sens!J10196*(1+Sens!K10197)</f>
        <v>165.777991980448</v>
      </c>
    </row>
    <row r="10197" customFormat="false" ht="15" hidden="false" customHeight="false" outlineLevel="0" collapsed="false">
      <c r="A10197" s="1" t="s">
        <v>866</v>
      </c>
      <c r="B10197" s="0" t="s">
        <v>129</v>
      </c>
      <c r="E10197" s="7" t="n">
        <f aca="false">Sens!E10196/Sens!D10196-1</f>
        <v>0.135523564900544</v>
      </c>
      <c r="F10197" s="7" t="n">
        <f aca="false">Sens!$E$10197+(glt_m365b-Sens!$E$10197)*MIN(1,(Sens!F10152-base_fy)/n_conv)</f>
        <v>0.124602970750453</v>
      </c>
      <c r="G10197" s="7" t="n">
        <f aca="false">Sens!$E$10197+(glt_m365b-Sens!$E$10197)*MIN(1,(Sens!G10152-base_fy)/n_conv)</f>
        <v>0.113682376600363</v>
      </c>
      <c r="H10197" s="7" t="n">
        <f aca="false">Sens!$E$10197+(glt_m365b-Sens!$E$10197)*MIN(1,(Sens!H10152-base_fy)/n_conv)</f>
        <v>0.102761782450272</v>
      </c>
      <c r="I10197" s="7" t="n">
        <f aca="false">Sens!$E$10197+(glt_m365b-Sens!$E$10197)*MIN(1,(Sens!I10152-base_fy)/n_conv)</f>
        <v>0.0918411883001813</v>
      </c>
      <c r="J10197" s="7" t="n">
        <f aca="false">Sens!$E$10197+(glt_m365b-Sens!$E$10197)*MIN(1,(Sens!J10152-base_fy)/n_conv)</f>
        <v>0.0809205941500906</v>
      </c>
      <c r="K10197" s="7" t="n">
        <f aca="false">Sens!$E$10197+(glt_m365b-Sens!$E$10197)*MIN(1,(Sens!K10152-base_fy)/n_conv)</f>
        <v>0.07</v>
      </c>
    </row>
    <row r="10198" customFormat="false" ht="15" hidden="false" customHeight="false" outlineLevel="0" collapsed="false">
      <c r="A10198" s="0" t="s">
        <v>873</v>
      </c>
      <c r="B10198" s="0" t="s">
        <v>98</v>
      </c>
      <c r="D10198" s="6" t="n">
        <f aca="false">Sens!D10196+Sens!D10195</f>
        <v>84.605</v>
      </c>
      <c r="E10198" s="6" t="n">
        <f aca="false">Sens!E10196+Sens!E10195</f>
        <v>100.299</v>
      </c>
      <c r="F10198" s="6" t="n">
        <f aca="false">Sens!F10196+Sens!F10195</f>
        <v>117.39238776686</v>
      </c>
      <c r="G10198" s="6" t="n">
        <f aca="false">Sens!G10196+Sens!G10195</f>
        <v>132.544168448684</v>
      </c>
      <c r="H10198" s="6" t="n">
        <f aca="false">Sens!H10196+Sens!H10195</f>
        <v>147.777359388781</v>
      </c>
      <c r="I10198" s="6" t="n">
        <f aca="false">Sens!I10196+Sens!I10195</f>
        <v>162.084028071957</v>
      </c>
      <c r="J10198" s="6" t="n">
        <f aca="false">Sens!J10196+Sens!J10195</f>
        <v>175.182702785465</v>
      </c>
      <c r="K10198" s="6" t="n">
        <f aca="false">Sens!K10196+Sens!K10195</f>
        <v>187.527991980448</v>
      </c>
    </row>
    <row r="10199" customFormat="false" ht="15" hidden="false" customHeight="false" outlineLevel="0" collapsed="false">
      <c r="A10199" s="0" t="s">
        <v>874</v>
      </c>
      <c r="B10199" s="0" t="s">
        <v>98</v>
      </c>
      <c r="D10199" s="6" t="n">
        <f aca="false">Q!L8</f>
        <v>35.391</v>
      </c>
      <c r="E10199" s="6" t="n">
        <f aca="false">Q!M8</f>
        <v>37.285</v>
      </c>
      <c r="F10199" s="6" t="n">
        <f aca="false">Sens!E10199*(1+Sens!F10200)</f>
        <v>39.0720834331704</v>
      </c>
      <c r="G10199" s="6" t="n">
        <f aca="false">Sens!F10199*(1+Sens!G10200)</f>
        <v>40.726562953769</v>
      </c>
      <c r="H10199" s="6" t="n">
        <f aca="false">Sens!G10199*(1+Sens!H10200)</f>
        <v>42.2235987259198</v>
      </c>
      <c r="I10199" s="6" t="n">
        <f aca="false">Sens!H10199*(1+Sens!I10200)</f>
        <v>43.5397988077414</v>
      </c>
      <c r="J10199" s="6" t="n">
        <f aca="false">Sens!I10199*(1+Sens!J10200)</f>
        <v>44.653811225693</v>
      </c>
      <c r="K10199" s="6" t="n">
        <f aca="false">Sens!J10199*(1+Sens!K10200)</f>
        <v>45.5468874502068</v>
      </c>
    </row>
    <row r="10200" customFormat="false" ht="15" hidden="false" customHeight="false" outlineLevel="0" collapsed="false">
      <c r="A10200" s="1" t="s">
        <v>866</v>
      </c>
      <c r="B10200" s="0" t="s">
        <v>129</v>
      </c>
      <c r="E10200" s="7" t="n">
        <f aca="false">Sens!E10199/Sens!D10199-1</f>
        <v>0.0535164307309768</v>
      </c>
      <c r="F10200" s="7" t="n">
        <f aca="false">Sens!$E$10200+(glt_lic-Sens!$E$10200)*MIN(1,(Sens!F10152-base_fy)/n_conv)</f>
        <v>0.0479303589424807</v>
      </c>
      <c r="G10200" s="7" t="n">
        <f aca="false">Sens!$E$10200+(glt_lic-Sens!$E$10200)*MIN(1,(Sens!G10152-base_fy)/n_conv)</f>
        <v>0.0423442871539845</v>
      </c>
      <c r="H10200" s="7" t="n">
        <f aca="false">Sens!$E$10200+(glt_lic-Sens!$E$10200)*MIN(1,(Sens!H10152-base_fy)/n_conv)</f>
        <v>0.0367582153654884</v>
      </c>
      <c r="I10200" s="7" t="n">
        <f aca="false">Sens!$E$10200+(glt_lic-Sens!$E$10200)*MIN(1,(Sens!I10152-base_fy)/n_conv)</f>
        <v>0.0311721435769923</v>
      </c>
      <c r="J10200" s="7" t="n">
        <f aca="false">Sens!$E$10200+(glt_lic-Sens!$E$10200)*MIN(1,(Sens!J10152-base_fy)/n_conv)</f>
        <v>0.0255860717884961</v>
      </c>
      <c r="K10200" s="7" t="n">
        <f aca="false">Sens!$E$10200+(glt_lic-Sens!$E$10200)*MIN(1,(Sens!K10152-base_fy)/n_conv)</f>
        <v>0.02</v>
      </c>
    </row>
    <row r="10201" customFormat="false" ht="15" hidden="false" customHeight="false" outlineLevel="0" collapsed="false">
      <c r="A10201" s="0" t="s">
        <v>875</v>
      </c>
      <c r="B10201" s="0" t="s">
        <v>98</v>
      </c>
      <c r="D10201" s="6" t="n">
        <f aca="false">Q!L9</f>
        <v>18.417</v>
      </c>
      <c r="E10201" s="6" t="n">
        <f aca="false">Q!M9</f>
        <v>20.345</v>
      </c>
      <c r="F10201" s="6" t="n">
        <f aca="false">Sens!E10201*(1+Sens!F10202)</f>
        <v>22.3572203267814</v>
      </c>
      <c r="G10201" s="6" t="n">
        <f aca="false">Sens!F10201*(1+Sens!G10202)</f>
        <v>24.4392124437232</v>
      </c>
      <c r="H10201" s="6" t="n">
        <f aca="false">Sens!G10201*(1+Sens!H10202)</f>
        <v>26.5738052080665</v>
      </c>
      <c r="I10201" s="6" t="n">
        <f aca="false">Sens!H10201*(1+Sens!I10202)</f>
        <v>28.7412169166967</v>
      </c>
      <c r="J10201" s="6" t="n">
        <f aca="false">Sens!I10201*(1+Sens!J10202)</f>
        <v>30.9192545395413</v>
      </c>
      <c r="K10201" s="6" t="n">
        <f aca="false">Sens!J10201*(1+Sens!K10202)</f>
        <v>33.0836023573092</v>
      </c>
    </row>
    <row r="10202" customFormat="false" ht="15" hidden="false" customHeight="false" outlineLevel="0" collapsed="false">
      <c r="A10202" s="1" t="s">
        <v>866</v>
      </c>
      <c r="B10202" s="0" t="s">
        <v>129</v>
      </c>
      <c r="E10202" s="7" t="n">
        <f aca="false">Sens!E10201/Sens!D10201-1</f>
        <v>0.104685888038225</v>
      </c>
      <c r="F10202" s="7" t="n">
        <f aca="false">Sens!$E$10202+(glt_ind-Sens!$E$10202)*MIN(1,(Sens!F10152-base_fy)/n_conv)</f>
        <v>0.0989049066985211</v>
      </c>
      <c r="G10202" s="7" t="n">
        <f aca="false">Sens!$E$10202+(glt_ind-Sens!$E$10202)*MIN(1,(Sens!G10152-base_fy)/n_conv)</f>
        <v>0.0931239253588169</v>
      </c>
      <c r="H10202" s="7" t="n">
        <f aca="false">Sens!$E$10202+(glt_ind-Sens!$E$10202)*MIN(1,(Sens!H10152-base_fy)/n_conv)</f>
        <v>0.0873429440191127</v>
      </c>
      <c r="I10202" s="7" t="n">
        <f aca="false">Sens!$E$10202+(glt_ind-Sens!$E$10202)*MIN(1,(Sens!I10152-base_fy)/n_conv)</f>
        <v>0.0815619626794085</v>
      </c>
      <c r="J10202" s="7" t="n">
        <f aca="false">Sens!$E$10202+(glt_ind-Sens!$E$10202)*MIN(1,(Sens!J10152-base_fy)/n_conv)</f>
        <v>0.0757809813397042</v>
      </c>
      <c r="K10202" s="7" t="n">
        <f aca="false">Sens!$E$10202+(glt_ind-Sens!$E$10202)*MIN(1,(Sens!K10152-base_fy)/n_conv)</f>
        <v>0.07</v>
      </c>
    </row>
    <row r="10203" customFormat="false" ht="15" hidden="false" customHeight="false" outlineLevel="0" collapsed="false">
      <c r="A10203" s="0" t="s">
        <v>876</v>
      </c>
      <c r="B10203" s="0" t="s">
        <v>98</v>
      </c>
      <c r="D10203" s="6" t="n">
        <f aca="false">Q!L10</f>
        <v>7.76</v>
      </c>
      <c r="E10203" s="6" t="n">
        <f aca="false">Q!M10</f>
        <v>8.26</v>
      </c>
      <c r="F10203" s="6" t="n">
        <f aca="false">Sens!E10203*(1+Sens!F10204)</f>
        <v>8.79988041237113</v>
      </c>
      <c r="G10203" s="6" t="n">
        <f aca="false">Sens!F10203*(1+Sens!G10204)</f>
        <v>9.38321269125306</v>
      </c>
      <c r="H10203" s="6" t="n">
        <f aca="false">Sens!G10203*(1+Sens!H10204)</f>
        <v>10.0139193587476</v>
      </c>
      <c r="I10203" s="6" t="n">
        <f aca="false">Sens!H10203*(1+Sens!I10204)</f>
        <v>10.6963111830911</v>
      </c>
      <c r="J10203" s="6" t="n">
        <f aca="false">Sens!I10203*(1+Sens!J10204)</f>
        <v>11.4351285534696</v>
      </c>
      <c r="K10203" s="6" t="n">
        <f aca="false">Sens!J10203*(1+Sens!K10204)</f>
        <v>12.2355875522124</v>
      </c>
    </row>
    <row r="10204" customFormat="false" ht="15" hidden="false" customHeight="false" outlineLevel="0" collapsed="false">
      <c r="A10204" s="1" t="s">
        <v>866</v>
      </c>
      <c r="B10204" s="0" t="s">
        <v>129</v>
      </c>
      <c r="E10204" s="7" t="n">
        <f aca="false">Sens!E10203/Sens!D10203-1</f>
        <v>0.0644329896907216</v>
      </c>
      <c r="F10204" s="7" t="n">
        <f aca="false">Sens!$E$10204+(glt_fro-Sens!$E$10204)*MIN(1,(Sens!F10152-base_fy)/n_conv)</f>
        <v>0.065360824742268</v>
      </c>
      <c r="G10204" s="7" t="n">
        <f aca="false">Sens!$E$10204+(glt_fro-Sens!$E$10204)*MIN(1,(Sens!G10152-base_fy)/n_conv)</f>
        <v>0.0662886597938144</v>
      </c>
      <c r="H10204" s="7" t="n">
        <f aca="false">Sens!$E$10204+(glt_fro-Sens!$E$10204)*MIN(1,(Sens!H10152-base_fy)/n_conv)</f>
        <v>0.0672164948453608</v>
      </c>
      <c r="I10204" s="7" t="n">
        <f aca="false">Sens!$E$10204+(glt_fro-Sens!$E$10204)*MIN(1,(Sens!I10152-base_fy)/n_conv)</f>
        <v>0.0681443298969072</v>
      </c>
      <c r="J10204" s="7" t="n">
        <f aca="false">Sens!$E$10204+(glt_fro-Sens!$E$10204)*MIN(1,(Sens!J10152-base_fy)/n_conv)</f>
        <v>0.0690721649484536</v>
      </c>
      <c r="K10204" s="7" t="n">
        <f aca="false">Sens!$E$10204+(glt_fro-Sens!$E$10204)*MIN(1,(Sens!K10152-base_fy)/n_conv)</f>
        <v>0.07</v>
      </c>
    </row>
    <row r="10205" customFormat="false" ht="15" hidden="false" customHeight="false" outlineLevel="0" collapsed="false">
      <c r="A10205" s="0" t="s">
        <v>704</v>
      </c>
      <c r="B10205" s="0" t="s">
        <v>98</v>
      </c>
      <c r="D10205" s="6" t="n">
        <f aca="false">Sens!D10193+Sens!D10198+Sens!D10199+Sens!D10201+Sens!D10203</f>
        <v>218.783</v>
      </c>
      <c r="E10205" s="6" t="n">
        <f aca="false">Sens!E10193+Sens!E10198+Sens!E10199+Sens!E10201+Sens!E10203</f>
        <v>268.127</v>
      </c>
      <c r="F10205" s="6" t="n">
        <f aca="false">Sens!F10193+Sens!F10198+Sens!F10199+Sens!F10201+Sens!F10203</f>
        <v>328.363433064856</v>
      </c>
      <c r="G10205" s="6" t="n">
        <f aca="false">Sens!G10193+Sens!G10198+Sens!G10199+Sens!G10201+Sens!G10203</f>
        <v>389.269865673274</v>
      </c>
      <c r="H10205" s="6" t="n">
        <f aca="false">Sens!H10193+Sens!H10198+Sens!H10199+Sens!H10201+Sens!H10203</f>
        <v>445.756320871193</v>
      </c>
      <c r="I10205" s="6" t="n">
        <f aca="false">Sens!I10193+Sens!I10198+Sens!I10199+Sens!I10201+Sens!I10203</f>
        <v>504.701226245492</v>
      </c>
      <c r="J10205" s="6" t="n">
        <f aca="false">Sens!J10193+Sens!J10198+Sens!J10199+Sens!J10201+Sens!J10203</f>
        <v>553.514968064502</v>
      </c>
      <c r="K10205" s="6" t="n">
        <f aca="false">Sens!K10193+Sens!K10198+Sens!K10199+Sens!K10201+Sens!K10203</f>
        <v>592.539823703865</v>
      </c>
    </row>
    <row r="10206" customFormat="false" ht="15" hidden="false" customHeight="false" outlineLevel="0" collapsed="false">
      <c r="A10206" s="0" t="s">
        <v>877</v>
      </c>
      <c r="B10206" s="0" t="s">
        <v>98</v>
      </c>
      <c r="D10206" s="6" t="n">
        <f aca="false">Q!L13</f>
        <v>22.171</v>
      </c>
      <c r="E10206" s="6" t="n">
        <f aca="false">Q!M13</f>
        <v>24.835</v>
      </c>
      <c r="F10206" s="6" t="n">
        <f aca="false">Sens!E10206*(1+Sens!F10207)</f>
        <v>27.6114901218559</v>
      </c>
      <c r="G10206" s="6" t="n">
        <f aca="false">Sens!F10206*(1+Sens!G10207)</f>
        <v>30.4675667338515</v>
      </c>
      <c r="H10206" s="6" t="n">
        <f aca="false">Sens!G10206*(1+Sens!H10207)</f>
        <v>33.3643766955789</v>
      </c>
      <c r="I10206" s="6" t="n">
        <f aca="false">Sens!H10206*(1+Sens!I10207)</f>
        <v>36.2577016533691</v>
      </c>
      <c r="J10206" s="6" t="n">
        <f aca="false">Sens!I10206*(1+Sens!J10207)</f>
        <v>39.0988367952171</v>
      </c>
      <c r="K10206" s="6" t="n">
        <f aca="false">Sens!J10206*(1+Sens!K10207)</f>
        <v>41.8357553708823</v>
      </c>
    </row>
    <row r="10207" customFormat="false" ht="15" hidden="false" customHeight="false" outlineLevel="0" collapsed="false">
      <c r="A10207" s="1" t="s">
        <v>866</v>
      </c>
      <c r="B10207" s="0" t="s">
        <v>129</v>
      </c>
      <c r="E10207" s="7" t="n">
        <f aca="false">Sens!E10206/Sens!D10206-1</f>
        <v>0.120156961796942</v>
      </c>
      <c r="F10207" s="7" t="n">
        <f aca="false">Sens!$E$10207+(glt_srch-Sens!$E$10207)*MIN(1,(Sens!F10152-base_fy)/n_conv)</f>
        <v>0.111797468164118</v>
      </c>
      <c r="G10207" s="7" t="n">
        <f aca="false">Sens!$E$10207+(glt_srch-Sens!$E$10207)*MIN(1,(Sens!G10152-base_fy)/n_conv)</f>
        <v>0.103437974531295</v>
      </c>
      <c r="H10207" s="7" t="n">
        <f aca="false">Sens!$E$10207+(glt_srch-Sens!$E$10207)*MIN(1,(Sens!H10152-base_fy)/n_conv)</f>
        <v>0.095078480898471</v>
      </c>
      <c r="I10207" s="7" t="n">
        <f aca="false">Sens!$E$10207+(glt_srch-Sens!$E$10207)*MIN(1,(Sens!I10152-base_fy)/n_conv)</f>
        <v>0.0867189872656474</v>
      </c>
      <c r="J10207" s="7" t="n">
        <f aca="false">Sens!$E$10207+(glt_srch-Sens!$E$10207)*MIN(1,(Sens!J10152-base_fy)/n_conv)</f>
        <v>0.0783594936328237</v>
      </c>
      <c r="K10207" s="7" t="n">
        <f aca="false">Sens!$E$10207+(glt_srch-Sens!$E$10207)*MIN(1,(Sens!K10152-base_fy)/n_conv)</f>
        <v>0.07</v>
      </c>
    </row>
    <row r="10208" customFormat="false" ht="15" hidden="false" customHeight="false" outlineLevel="0" collapsed="false">
      <c r="A10208" s="0" t="s">
        <v>878</v>
      </c>
      <c r="B10208" s="0" t="s">
        <v>98</v>
      </c>
      <c r="D10208" s="6" t="n">
        <f aca="false">Q!L14</f>
        <v>23.455</v>
      </c>
      <c r="E10208" s="6" t="n">
        <f aca="false">Q!M14</f>
        <v>21.79</v>
      </c>
      <c r="F10208" s="6" t="n">
        <f aca="false">Sens!E10208*(1+Sens!F10209)</f>
        <v>20.4283611241384</v>
      </c>
      <c r="G10208" s="6" t="n">
        <f aca="false">Sens!F10208*(1+Sens!G10209)</f>
        <v>19.3254067185857</v>
      </c>
      <c r="H10208" s="6" t="n">
        <f aca="false">Sens!G10208*(1+Sens!H10209)</f>
        <v>18.446226363051</v>
      </c>
      <c r="I10208" s="6" t="n">
        <f aca="false">Sens!H10208*(1+Sens!I10209)</f>
        <v>17.7637959435485</v>
      </c>
      <c r="J10208" s="6" t="n">
        <f aca="false">Sens!I10208*(1+Sens!J10209)</f>
        <v>17.2575662581111</v>
      </c>
      <c r="K10208" s="6" t="n">
        <f aca="false">Sens!J10208*(1+Sens!K10209)</f>
        <v>16.9124149329489</v>
      </c>
    </row>
    <row r="10209" customFormat="false" ht="15" hidden="false" customHeight="false" outlineLevel="0" collapsed="false">
      <c r="A10209" s="1" t="s">
        <v>866</v>
      </c>
      <c r="B10209" s="0" t="s">
        <v>129</v>
      </c>
      <c r="E10209" s="7" t="n">
        <f aca="false">Sens!E10208/Sens!D10208-1</f>
        <v>-0.0709869963760392</v>
      </c>
      <c r="F10209" s="7" t="n">
        <f aca="false">Sens!$E$10209+(glt_xbox_lo-Sens!$E$10209)*MIN(1,(Sens!F10152-base_fy)/n_conv)</f>
        <v>-0.0624891636466994</v>
      </c>
      <c r="G10209" s="7" t="n">
        <f aca="false">Sens!$E$10209+(glt_xbox_lo-Sens!$E$10209)*MIN(1,(Sens!G10152-base_fy)/n_conv)</f>
        <v>-0.0539913309173595</v>
      </c>
      <c r="H10209" s="7" t="n">
        <f aca="false">Sens!$E$10209+(glt_xbox_lo-Sens!$E$10209)*MIN(1,(Sens!H10152-base_fy)/n_conv)</f>
        <v>-0.0454934981880196</v>
      </c>
      <c r="I10209" s="7" t="n">
        <f aca="false">Sens!$E$10209+(glt_xbox_lo-Sens!$E$10209)*MIN(1,(Sens!I10152-base_fy)/n_conv)</f>
        <v>-0.0369956654586797</v>
      </c>
      <c r="J10209" s="7" t="n">
        <f aca="false">Sens!$E$10209+(glt_xbox_lo-Sens!$E$10209)*MIN(1,(Sens!J10152-base_fy)/n_conv)</f>
        <v>-0.0284978327293399</v>
      </c>
      <c r="K10209" s="7" t="n">
        <f aca="false">Sens!$E$10209+(glt_xbox_lo-Sens!$E$10209)*MIN(1,(Sens!K10152-base_fy)/n_conv)</f>
        <v>-0.02</v>
      </c>
    </row>
    <row r="10210" customFormat="false" ht="15" hidden="false" customHeight="false" outlineLevel="0" collapsed="false">
      <c r="A10210" s="0" t="s">
        <v>879</v>
      </c>
      <c r="B10210" s="0" t="s">
        <v>98</v>
      </c>
      <c r="D10210" s="6" t="n">
        <f aca="false">Q!L15</f>
        <v>17.315</v>
      </c>
      <c r="E10210" s="6" t="n">
        <f aca="false">Q!M15</f>
        <v>17.087</v>
      </c>
      <c r="F10210" s="6" t="n">
        <f aca="false">Sens!E10210*(1+Sens!F10211)</f>
        <v>16.9564585436519</v>
      </c>
      <c r="G10210" s="6" t="n">
        <f aca="false">Sens!F10210*(1+Sens!G10211)</f>
        <v>16.9206490624268</v>
      </c>
      <c r="H10210" s="6" t="n">
        <f aca="false">Sens!G10210*(1+Sens!H10211)</f>
        <v>16.9784519149849</v>
      </c>
      <c r="I10210" s="6" t="n">
        <f aca="false">Sens!H10210*(1+Sens!I10211)</f>
        <v>17.1303084701817</v>
      </c>
      <c r="J10210" s="6" t="n">
        <f aca="false">Sens!I10210*(1+Sens!J10211)</f>
        <v>17.3782189407267</v>
      </c>
      <c r="K10210" s="6" t="n">
        <f aca="false">Sens!J10210*(1+Sens!K10211)</f>
        <v>17.7257833195413</v>
      </c>
    </row>
    <row r="10211" customFormat="false" ht="15" hidden="false" customHeight="false" outlineLevel="0" collapsed="false">
      <c r="A10211" s="1" t="s">
        <v>866</v>
      </c>
      <c r="B10211" s="0" t="s">
        <v>129</v>
      </c>
      <c r="E10211" s="7" t="n">
        <f aca="false">Sens!E10210/Sens!D10210-1</f>
        <v>-0.0131677736066995</v>
      </c>
      <c r="F10211" s="7" t="n">
        <f aca="false">Sens!$E$10211+(glt_win-Sens!$E$10211)*MIN(1,(Sens!F10152-base_fy)/n_conv)</f>
        <v>-0.00763981133891627</v>
      </c>
      <c r="G10211" s="7" t="n">
        <f aca="false">Sens!$E$10211+(glt_win-Sens!$E$10211)*MIN(1,(Sens!G10152-base_fy)/n_conv)</f>
        <v>-0.00211184907113301</v>
      </c>
      <c r="H10211" s="7" t="n">
        <f aca="false">Sens!$E$10211+(glt_win-Sens!$E$10211)*MIN(1,(Sens!H10152-base_fy)/n_conv)</f>
        <v>0.00341611319665024</v>
      </c>
      <c r="I10211" s="7" t="n">
        <f aca="false">Sens!$E$10211+(glt_win-Sens!$E$10211)*MIN(1,(Sens!I10152-base_fy)/n_conv)</f>
        <v>0.00894407546443349</v>
      </c>
      <c r="J10211" s="7" t="n">
        <f aca="false">Sens!$E$10211+(glt_win-Sens!$E$10211)*MIN(1,(Sens!J10152-base_fy)/n_conv)</f>
        <v>0.0144720377322168</v>
      </c>
      <c r="K10211" s="7" t="n">
        <f aca="false">Sens!$E$10211+(glt_win-Sens!$E$10211)*MIN(1,(Sens!K10152-base_fy)/n_conv)</f>
        <v>0.02</v>
      </c>
    </row>
    <row r="10212" customFormat="false" ht="15" hidden="false" customHeight="false" outlineLevel="0" collapsed="false">
      <c r="A10212" s="0" t="s">
        <v>718</v>
      </c>
      <c r="B10212" s="0" t="s">
        <v>98</v>
      </c>
      <c r="D10212" s="6" t="n">
        <f aca="false">Sens!D10206+Sens!D10208+Sens!D10210</f>
        <v>62.941</v>
      </c>
      <c r="E10212" s="6" t="n">
        <f aca="false">Sens!E10206+Sens!E10208+Sens!E10210</f>
        <v>63.712</v>
      </c>
      <c r="F10212" s="6" t="n">
        <f aca="false">Sens!F10206+Sens!F10208+Sens!F10210</f>
        <v>64.9963097896462</v>
      </c>
      <c r="G10212" s="6" t="n">
        <f aca="false">Sens!G10206+Sens!G10208+Sens!G10210</f>
        <v>66.7136225148641</v>
      </c>
      <c r="H10212" s="6" t="n">
        <f aca="false">Sens!H10206+Sens!H10208+Sens!H10210</f>
        <v>68.7890549736148</v>
      </c>
      <c r="I10212" s="6" t="n">
        <f aca="false">Sens!I10206+Sens!I10208+Sens!I10210</f>
        <v>71.1518060670993</v>
      </c>
      <c r="J10212" s="6" t="n">
        <f aca="false">Sens!J10206+Sens!J10208+Sens!J10210</f>
        <v>73.7346219940549</v>
      </c>
      <c r="K10212" s="6" t="n">
        <f aca="false">Sens!K10206+Sens!K10208+Sens!K10210</f>
        <v>76.4739536233724</v>
      </c>
    </row>
    <row r="10213" customFormat="false" ht="15" hidden="false" customHeight="false" outlineLevel="0" collapsed="false">
      <c r="A10213" s="1" t="s">
        <v>880</v>
      </c>
      <c r="B10213" s="0" t="s">
        <v>98</v>
      </c>
      <c r="D10213" s="6" t="n">
        <f aca="false">Sens!D10205+Sens!D10212</f>
        <v>281.724</v>
      </c>
      <c r="E10213" s="6" t="n">
        <f aca="false">Sens!E10205+Sens!E10212</f>
        <v>331.839</v>
      </c>
      <c r="F10213" s="6" t="n">
        <f aca="false">Sens!F10205+Sens!F10212</f>
        <v>393.359742854502</v>
      </c>
      <c r="G10213" s="6" t="n">
        <f aca="false">Sens!G10205+Sens!G10212</f>
        <v>455.983488188138</v>
      </c>
      <c r="H10213" s="6" t="n">
        <f aca="false">Sens!H10205+Sens!H10212</f>
        <v>514.545375844808</v>
      </c>
      <c r="I10213" s="6" t="n">
        <f aca="false">Sens!I10205+Sens!I10212</f>
        <v>575.853032312592</v>
      </c>
      <c r="J10213" s="6" t="n">
        <f aca="false">Sens!J10205+Sens!J10212</f>
        <v>627.249590058557</v>
      </c>
      <c r="K10213" s="6" t="n">
        <f aca="false">Sens!K10205+Sens!K10212</f>
        <v>669.013777327237</v>
      </c>
    </row>
    <row r="10214" customFormat="false" ht="15" hidden="false" customHeight="false" outlineLevel="0" collapsed="false">
      <c r="A10214" s="23" t="s">
        <v>881</v>
      </c>
      <c r="B10214" s="30" t="s">
        <v>98</v>
      </c>
      <c r="C10214" s="30"/>
      <c r="D10214" s="24" t="n">
        <f aca="false">(Sens!D10193+Sens!D10198+Sens!D10199+Sens!D10201+Sens!D10203-Sens!D10205)+(Sens!D10206+Sens!D10208+Sens!D10210-Sens!D10212)+(Sens!D10205-Q!L5)+(Sens!D10212-Q!L12)+(Sens!D10193-Q!L6)+(Sens!D10198-Q!L7)</f>
        <v>0</v>
      </c>
      <c r="E10214" s="24" t="n">
        <f aca="false">(Sens!E10193+Sens!E10198+Sens!E10199+Sens!E10201+Sens!E10203-Sens!E10205)+(Sens!E10206+Sens!E10208+Sens!E10210-Sens!E10212)+(Sens!E10205-Q!M5)+(Sens!E10212-Q!M12)+(Sens!E10193-Q!M6)+(Sens!E10198-Q!M7)</f>
        <v>0</v>
      </c>
      <c r="F10214" s="24" t="n">
        <f aca="false">(Sens!F10193+Sens!F10198+Sens!F10199+Sens!F10201+Sens!F10203-Sens!F10205)+(Sens!F10206+Sens!F10208+Sens!F10210-Sens!F10212)</f>
        <v>0</v>
      </c>
      <c r="G10214" s="24" t="n">
        <f aca="false">(Sens!G10193+Sens!G10198+Sens!G10199+Sens!G10201+Sens!G10203-Sens!G10205)+(Sens!G10206+Sens!G10208+Sens!G10210-Sens!G10212)</f>
        <v>0</v>
      </c>
      <c r="H10214" s="24" t="n">
        <f aca="false">(Sens!H10193+Sens!H10198+Sens!H10199+Sens!H10201+Sens!H10203-Sens!H10205)+(Sens!H10206+Sens!H10208+Sens!H10210-Sens!H10212)</f>
        <v>0</v>
      </c>
      <c r="I10214" s="24" t="n">
        <f aca="false">(Sens!I10193+Sens!I10198+Sens!I10199+Sens!I10201+Sens!I10203-Sens!I10205)+(Sens!I10206+Sens!I10208+Sens!I10210-Sens!I10212)</f>
        <v>0</v>
      </c>
      <c r="J10214" s="24" t="n">
        <f aca="false">(Sens!J10193+Sens!J10198+Sens!J10199+Sens!J10201+Sens!J10203-Sens!J10205)+(Sens!J10206+Sens!J10208+Sens!J10210-Sens!J10212)</f>
        <v>0</v>
      </c>
      <c r="K10214" s="24" t="n">
        <f aca="false">(Sens!K10193+Sens!K10198+Sens!K10199+Sens!K10201+Sens!K10203-Sens!K10205)+(Sens!K10206+Sens!K10208+Sens!K10210-Sens!K10212)</f>
        <v>0</v>
      </c>
    </row>
    <row r="10215" customFormat="false" ht="17.15" hidden="false" customHeight="false" outlineLevel="0" collapsed="false">
      <c r="A10215" s="3" t="s">
        <v>1501</v>
      </c>
    </row>
    <row r="10216" customFormat="false" ht="15" hidden="false" customHeight="false" outlineLevel="0" collapsed="false">
      <c r="A10216" s="4" t="s">
        <v>43</v>
      </c>
      <c r="B10216" s="4" t="s">
        <v>65</v>
      </c>
      <c r="C10216" s="20" t="s">
        <v>788</v>
      </c>
      <c r="D10216" s="20" t="s">
        <v>789</v>
      </c>
      <c r="E10216" s="20" t="s">
        <v>790</v>
      </c>
      <c r="F10216" s="20" t="s">
        <v>791</v>
      </c>
      <c r="G10216" s="20" t="s">
        <v>792</v>
      </c>
      <c r="H10216" s="20" t="s">
        <v>793</v>
      </c>
      <c r="I10216" s="20" t="s">
        <v>794</v>
      </c>
      <c r="J10216" s="20" t="s">
        <v>795</v>
      </c>
      <c r="K10216" s="20" t="s">
        <v>796</v>
      </c>
      <c r="L10216" s="4" t="s">
        <v>47</v>
      </c>
    </row>
    <row r="10217" customFormat="false" ht="15" hidden="false" customHeight="false" outlineLevel="0" collapsed="false">
      <c r="A10217" s="0" t="s">
        <v>867</v>
      </c>
      <c r="B10217" s="0" t="s">
        <v>98</v>
      </c>
      <c r="D10217" s="6" t="n">
        <f aca="false">Sens!D10193</f>
        <v>72.61</v>
      </c>
      <c r="E10217" s="6" t="n">
        <f aca="false">Sens!E10193</f>
        <v>101.938</v>
      </c>
      <c r="F10217" s="6" t="n">
        <f aca="false">Sens!F10193</f>
        <v>140.741861125673</v>
      </c>
      <c r="G10217" s="6" t="n">
        <f aca="false">Sens!G10193</f>
        <v>182.176709135845</v>
      </c>
      <c r="H10217" s="6" t="n">
        <f aca="false">Sens!H10193</f>
        <v>219.167638189678</v>
      </c>
      <c r="I10217" s="6" t="n">
        <f aca="false">Sens!I10193</f>
        <v>259.639871266006</v>
      </c>
      <c r="J10217" s="6" t="n">
        <f aca="false">Sens!J10193</f>
        <v>291.324070960333</v>
      </c>
      <c r="K10217" s="6" t="n">
        <f aca="false">Sens!K10193</f>
        <v>314.145754363688</v>
      </c>
    </row>
    <row r="10218" customFormat="false" ht="17.15" hidden="false" customHeight="false" outlineLevel="0" collapsed="false">
      <c r="A10218" s="0" t="s">
        <v>864</v>
      </c>
      <c r="B10218" s="0" t="s">
        <v>98</v>
      </c>
      <c r="D10218" s="6" t="n">
        <f aca="false">Sens!D10190</f>
        <v>12.9359794422418</v>
      </c>
      <c r="E10218" s="6" t="n">
        <f aca="false">Sens!E10190</f>
        <v>27.8095064661409</v>
      </c>
      <c r="F10218" s="6" t="n">
        <f aca="false">Sens!F10190</f>
        <v>50.6619113883066</v>
      </c>
      <c r="G10218" s="6" t="n">
        <f aca="false">Sens!G10190</f>
        <v>75.1482839325348</v>
      </c>
      <c r="H10218" s="6" t="n">
        <f aca="false">Sens!H10190</f>
        <v>94.895655604042</v>
      </c>
      <c r="I10218" s="6" t="n">
        <f aca="false">Sens!I10190</f>
        <v>118.706168884151</v>
      </c>
      <c r="J10218" s="6" t="n">
        <f aca="false">Sens!J10190</f>
        <v>135.305203646001</v>
      </c>
      <c r="K10218" s="6" t="n">
        <f aca="false">Sens!K10190</f>
        <v>145.64537766421</v>
      </c>
    </row>
    <row r="10219" customFormat="false" ht="17.15" hidden="false" customHeight="false" outlineLevel="0" collapsed="false">
      <c r="A10219" s="0" t="s">
        <v>892</v>
      </c>
      <c r="B10219" s="0" t="s">
        <v>98</v>
      </c>
      <c r="D10219" s="6" t="n">
        <f aca="false">Sens!D10191</f>
        <v>59.6740205577583</v>
      </c>
      <c r="E10219" s="6" t="n">
        <f aca="false">Sens!E10191</f>
        <v>74.1284935338591</v>
      </c>
      <c r="F10219" s="6" t="n">
        <f aca="false">Sens!F10191</f>
        <v>90.0799497373663</v>
      </c>
      <c r="G10219" s="6" t="n">
        <f aca="false">Sens!G10191</f>
        <v>107.02842520331</v>
      </c>
      <c r="H10219" s="6" t="n">
        <f aca="false">Sens!H10191</f>
        <v>124.271982585636</v>
      </c>
      <c r="I10219" s="6" t="n">
        <f aca="false">Sens!I10191</f>
        <v>140.933702381855</v>
      </c>
      <c r="J10219" s="6" t="n">
        <f aca="false">Sens!J10191</f>
        <v>156.018867314332</v>
      </c>
      <c r="K10219" s="6" t="n">
        <f aca="false">Sens!K10191</f>
        <v>168.500376699478</v>
      </c>
    </row>
    <row r="10220" customFormat="false" ht="15" hidden="false" customHeight="false" outlineLevel="0" collapsed="false">
      <c r="A10220" s="0" t="s">
        <v>873</v>
      </c>
      <c r="B10220" s="0" t="s">
        <v>98</v>
      </c>
      <c r="D10220" s="6" t="n">
        <f aca="false">Sens!D10198</f>
        <v>84.605</v>
      </c>
      <c r="E10220" s="6" t="n">
        <f aca="false">Sens!E10198</f>
        <v>100.299</v>
      </c>
      <c r="F10220" s="6" t="n">
        <f aca="false">Sens!F10198</f>
        <v>117.39238776686</v>
      </c>
      <c r="G10220" s="6" t="n">
        <f aca="false">Sens!G10198</f>
        <v>132.544168448684</v>
      </c>
      <c r="H10220" s="6" t="n">
        <f aca="false">Sens!H10198</f>
        <v>147.777359388781</v>
      </c>
      <c r="I10220" s="6" t="n">
        <f aca="false">Sens!I10198</f>
        <v>162.084028071957</v>
      </c>
      <c r="J10220" s="6" t="n">
        <f aca="false">Sens!J10198</f>
        <v>175.182702785465</v>
      </c>
      <c r="K10220" s="6" t="n">
        <f aca="false">Sens!K10198</f>
        <v>187.527991980448</v>
      </c>
    </row>
    <row r="10221" customFormat="false" ht="17.15" hidden="false" customHeight="false" outlineLevel="0" collapsed="false">
      <c r="A10221" s="0" t="s">
        <v>893</v>
      </c>
      <c r="B10221" s="0" t="s">
        <v>98</v>
      </c>
      <c r="D10221" s="6" t="n">
        <f aca="false">Sens!D10196</f>
        <v>83.705</v>
      </c>
      <c r="E10221" s="6" t="n">
        <f aca="false">Sens!E10196</f>
        <v>95.049</v>
      </c>
      <c r="F10221" s="6" t="n">
        <f aca="false">Sens!F10196</f>
        <v>106.89238776686</v>
      </c>
      <c r="G10221" s="6" t="n">
        <f aca="false">Sens!G10196</f>
        <v>119.044168448684</v>
      </c>
      <c r="H10221" s="6" t="n">
        <f aca="false">Sens!H10196</f>
        <v>131.277359388781</v>
      </c>
      <c r="I10221" s="6" t="n">
        <f aca="false">Sens!I10196</f>
        <v>143.334028071957</v>
      </c>
      <c r="J10221" s="6" t="n">
        <f aca="false">Sens!J10196</f>
        <v>154.932702785465</v>
      </c>
      <c r="K10221" s="6" t="n">
        <f aca="false">Sens!K10196</f>
        <v>165.777991980448</v>
      </c>
    </row>
    <row r="10222" customFormat="false" ht="17.15" hidden="false" customHeight="false" outlineLevel="0" collapsed="false">
      <c r="A10222" s="0" t="s">
        <v>894</v>
      </c>
      <c r="B10222" s="0" t="s">
        <v>98</v>
      </c>
      <c r="D10222" s="6" t="n">
        <f aca="false">Sens!D10195</f>
        <v>0.9</v>
      </c>
      <c r="E10222" s="6" t="n">
        <f aca="false">Sens!E10195</f>
        <v>5.25</v>
      </c>
      <c r="F10222" s="6" t="n">
        <f aca="false">Sens!F10195</f>
        <v>10.5</v>
      </c>
      <c r="G10222" s="6" t="n">
        <f aca="false">Sens!G10195</f>
        <v>13.5</v>
      </c>
      <c r="H10222" s="6" t="n">
        <f aca="false">Sens!H10195</f>
        <v>16.5</v>
      </c>
      <c r="I10222" s="6" t="n">
        <f aca="false">Sens!I10195</f>
        <v>18.75</v>
      </c>
      <c r="J10222" s="6" t="n">
        <f aca="false">Sens!J10195</f>
        <v>20.25</v>
      </c>
      <c r="K10222" s="6" t="n">
        <f aca="false">Sens!K10195</f>
        <v>21.75</v>
      </c>
    </row>
    <row r="10223" customFormat="false" ht="15" hidden="false" customHeight="false" outlineLevel="0" collapsed="false">
      <c r="A10223" s="0" t="s">
        <v>874</v>
      </c>
      <c r="B10223" s="0" t="s">
        <v>98</v>
      </c>
      <c r="D10223" s="6" t="n">
        <f aca="false">Sens!D10199</f>
        <v>35.391</v>
      </c>
      <c r="E10223" s="6" t="n">
        <f aca="false">Sens!E10199</f>
        <v>37.285</v>
      </c>
      <c r="F10223" s="6" t="n">
        <f aca="false">Sens!F10199</f>
        <v>39.0720834331704</v>
      </c>
      <c r="G10223" s="6" t="n">
        <f aca="false">Sens!G10199</f>
        <v>40.726562953769</v>
      </c>
      <c r="H10223" s="6" t="n">
        <f aca="false">Sens!H10199</f>
        <v>42.2235987259198</v>
      </c>
      <c r="I10223" s="6" t="n">
        <f aca="false">Sens!I10199</f>
        <v>43.5397988077414</v>
      </c>
      <c r="J10223" s="6" t="n">
        <f aca="false">Sens!J10199</f>
        <v>44.653811225693</v>
      </c>
      <c r="K10223" s="6" t="n">
        <f aca="false">Sens!K10199</f>
        <v>45.5468874502068</v>
      </c>
    </row>
    <row r="10224" customFormat="false" ht="15" hidden="false" customHeight="false" outlineLevel="0" collapsed="false">
      <c r="A10224" s="0" t="s">
        <v>875</v>
      </c>
      <c r="B10224" s="0" t="s">
        <v>98</v>
      </c>
      <c r="D10224" s="6" t="n">
        <f aca="false">Sens!D10201</f>
        <v>18.417</v>
      </c>
      <c r="E10224" s="6" t="n">
        <f aca="false">Sens!E10201</f>
        <v>20.345</v>
      </c>
      <c r="F10224" s="6" t="n">
        <f aca="false">Sens!F10201</f>
        <v>22.3572203267814</v>
      </c>
      <c r="G10224" s="6" t="n">
        <f aca="false">Sens!G10201</f>
        <v>24.4392124437232</v>
      </c>
      <c r="H10224" s="6" t="n">
        <f aca="false">Sens!H10201</f>
        <v>26.5738052080665</v>
      </c>
      <c r="I10224" s="6" t="n">
        <f aca="false">Sens!I10201</f>
        <v>28.7412169166967</v>
      </c>
      <c r="J10224" s="6" t="n">
        <f aca="false">Sens!J10201</f>
        <v>30.9192545395413</v>
      </c>
      <c r="K10224" s="6" t="n">
        <f aca="false">Sens!K10201</f>
        <v>33.0836023573092</v>
      </c>
    </row>
    <row r="10225" customFormat="false" ht="15" hidden="false" customHeight="false" outlineLevel="0" collapsed="false">
      <c r="A10225" s="0" t="s">
        <v>876</v>
      </c>
      <c r="B10225" s="0" t="s">
        <v>98</v>
      </c>
      <c r="D10225" s="6" t="n">
        <f aca="false">Sens!D10203</f>
        <v>7.76</v>
      </c>
      <c r="E10225" s="6" t="n">
        <f aca="false">Sens!E10203</f>
        <v>8.26</v>
      </c>
      <c r="F10225" s="6" t="n">
        <f aca="false">Sens!F10203</f>
        <v>8.79988041237113</v>
      </c>
      <c r="G10225" s="6" t="n">
        <f aca="false">Sens!G10203</f>
        <v>9.38321269125306</v>
      </c>
      <c r="H10225" s="6" t="n">
        <f aca="false">Sens!H10203</f>
        <v>10.0139193587476</v>
      </c>
      <c r="I10225" s="6" t="n">
        <f aca="false">Sens!I10203</f>
        <v>10.6963111830911</v>
      </c>
      <c r="J10225" s="6" t="n">
        <f aca="false">Sens!J10203</f>
        <v>11.4351285534696</v>
      </c>
      <c r="K10225" s="6" t="n">
        <f aca="false">Sens!K10203</f>
        <v>12.2355875522124</v>
      </c>
    </row>
    <row r="10226" customFormat="false" ht="15" hidden="false" customHeight="false" outlineLevel="0" collapsed="false">
      <c r="A10226" s="0" t="s">
        <v>704</v>
      </c>
      <c r="B10226" s="0" t="s">
        <v>98</v>
      </c>
      <c r="D10226" s="6" t="n">
        <f aca="false">Sens!D10205</f>
        <v>218.783</v>
      </c>
      <c r="E10226" s="6" t="n">
        <f aca="false">Sens!E10205</f>
        <v>268.127</v>
      </c>
      <c r="F10226" s="6" t="n">
        <f aca="false">Sens!F10205</f>
        <v>328.363433064856</v>
      </c>
      <c r="G10226" s="6" t="n">
        <f aca="false">Sens!G10205</f>
        <v>389.269865673274</v>
      </c>
      <c r="H10226" s="6" t="n">
        <f aca="false">Sens!H10205</f>
        <v>445.756320871193</v>
      </c>
      <c r="I10226" s="6" t="n">
        <f aca="false">Sens!I10205</f>
        <v>504.701226245492</v>
      </c>
      <c r="J10226" s="6" t="n">
        <f aca="false">Sens!J10205</f>
        <v>553.514968064502</v>
      </c>
      <c r="K10226" s="6" t="n">
        <f aca="false">Sens!K10205</f>
        <v>592.539823703865</v>
      </c>
    </row>
    <row r="10227" customFormat="false" ht="15" hidden="false" customHeight="false" outlineLevel="0" collapsed="false">
      <c r="A10227" s="0" t="s">
        <v>877</v>
      </c>
      <c r="B10227" s="0" t="s">
        <v>98</v>
      </c>
      <c r="D10227" s="6" t="n">
        <f aca="false">Sens!D10206</f>
        <v>22.171</v>
      </c>
      <c r="E10227" s="6" t="n">
        <f aca="false">Sens!E10206</f>
        <v>24.835</v>
      </c>
      <c r="F10227" s="6" t="n">
        <f aca="false">Sens!F10206</f>
        <v>27.6114901218559</v>
      </c>
      <c r="G10227" s="6" t="n">
        <f aca="false">Sens!G10206</f>
        <v>30.4675667338515</v>
      </c>
      <c r="H10227" s="6" t="n">
        <f aca="false">Sens!H10206</f>
        <v>33.3643766955789</v>
      </c>
      <c r="I10227" s="6" t="n">
        <f aca="false">Sens!I10206</f>
        <v>36.2577016533691</v>
      </c>
      <c r="J10227" s="6" t="n">
        <f aca="false">Sens!J10206</f>
        <v>39.0988367952171</v>
      </c>
      <c r="K10227" s="6" t="n">
        <f aca="false">Sens!K10206</f>
        <v>41.8357553708823</v>
      </c>
    </row>
    <row r="10228" customFormat="false" ht="15" hidden="false" customHeight="false" outlineLevel="0" collapsed="false">
      <c r="A10228" s="0" t="s">
        <v>878</v>
      </c>
      <c r="B10228" s="0" t="s">
        <v>98</v>
      </c>
      <c r="D10228" s="6" t="n">
        <f aca="false">Sens!D10208</f>
        <v>23.455</v>
      </c>
      <c r="E10228" s="6" t="n">
        <f aca="false">Sens!E10208</f>
        <v>21.79</v>
      </c>
      <c r="F10228" s="6" t="n">
        <f aca="false">Sens!F10208</f>
        <v>20.4283611241384</v>
      </c>
      <c r="G10228" s="6" t="n">
        <f aca="false">Sens!G10208</f>
        <v>19.3254067185857</v>
      </c>
      <c r="H10228" s="6" t="n">
        <f aca="false">Sens!H10208</f>
        <v>18.446226363051</v>
      </c>
      <c r="I10228" s="6" t="n">
        <f aca="false">Sens!I10208</f>
        <v>17.7637959435485</v>
      </c>
      <c r="J10228" s="6" t="n">
        <f aca="false">Sens!J10208</f>
        <v>17.2575662581111</v>
      </c>
      <c r="K10228" s="6" t="n">
        <f aca="false">Sens!K10208</f>
        <v>16.9124149329489</v>
      </c>
    </row>
    <row r="10229" customFormat="false" ht="15" hidden="false" customHeight="false" outlineLevel="0" collapsed="false">
      <c r="A10229" s="0" t="s">
        <v>879</v>
      </c>
      <c r="B10229" s="0" t="s">
        <v>98</v>
      </c>
      <c r="D10229" s="6" t="n">
        <f aca="false">Sens!D10210</f>
        <v>17.315</v>
      </c>
      <c r="E10229" s="6" t="n">
        <f aca="false">Sens!E10210</f>
        <v>17.087</v>
      </c>
      <c r="F10229" s="6" t="n">
        <f aca="false">Sens!F10210</f>
        <v>16.9564585436519</v>
      </c>
      <c r="G10229" s="6" t="n">
        <f aca="false">Sens!G10210</f>
        <v>16.9206490624268</v>
      </c>
      <c r="H10229" s="6" t="n">
        <f aca="false">Sens!H10210</f>
        <v>16.9784519149849</v>
      </c>
      <c r="I10229" s="6" t="n">
        <f aca="false">Sens!I10210</f>
        <v>17.1303084701817</v>
      </c>
      <c r="J10229" s="6" t="n">
        <f aca="false">Sens!J10210</f>
        <v>17.3782189407267</v>
      </c>
      <c r="K10229" s="6" t="n">
        <f aca="false">Sens!K10210</f>
        <v>17.7257833195413</v>
      </c>
    </row>
    <row r="10230" customFormat="false" ht="15" hidden="false" customHeight="false" outlineLevel="0" collapsed="false">
      <c r="A10230" s="0" t="s">
        <v>718</v>
      </c>
      <c r="B10230" s="0" t="s">
        <v>98</v>
      </c>
      <c r="D10230" s="6" t="n">
        <f aca="false">Sens!D10212</f>
        <v>62.941</v>
      </c>
      <c r="E10230" s="6" t="n">
        <f aca="false">Sens!E10212</f>
        <v>63.712</v>
      </c>
      <c r="F10230" s="6" t="n">
        <f aca="false">Sens!F10212</f>
        <v>64.9963097896462</v>
      </c>
      <c r="G10230" s="6" t="n">
        <f aca="false">Sens!G10212</f>
        <v>66.7136225148641</v>
      </c>
      <c r="H10230" s="6" t="n">
        <f aca="false">Sens!H10212</f>
        <v>68.7890549736148</v>
      </c>
      <c r="I10230" s="6" t="n">
        <f aca="false">Sens!I10212</f>
        <v>71.1518060670993</v>
      </c>
      <c r="J10230" s="6" t="n">
        <f aca="false">Sens!J10212</f>
        <v>73.7346219940549</v>
      </c>
      <c r="K10230" s="6" t="n">
        <f aca="false">Sens!K10212</f>
        <v>76.4739536233724</v>
      </c>
    </row>
    <row r="10231" customFormat="false" ht="15" hidden="false" customHeight="false" outlineLevel="0" collapsed="false">
      <c r="A10231" s="1" t="s">
        <v>895</v>
      </c>
      <c r="B10231" s="0" t="s">
        <v>98</v>
      </c>
      <c r="D10231" s="6" t="n">
        <f aca="false">Sens!D10213</f>
        <v>281.724</v>
      </c>
      <c r="E10231" s="6" t="n">
        <f aca="false">Sens!E10213</f>
        <v>331.839</v>
      </c>
      <c r="F10231" s="6" t="n">
        <f aca="false">Sens!F10213</f>
        <v>393.359742854502</v>
      </c>
      <c r="G10231" s="6" t="n">
        <f aca="false">Sens!G10213</f>
        <v>455.983488188138</v>
      </c>
      <c r="H10231" s="6" t="n">
        <f aca="false">Sens!H10213</f>
        <v>514.545375844808</v>
      </c>
      <c r="I10231" s="6" t="n">
        <f aca="false">Sens!I10213</f>
        <v>575.853032312592</v>
      </c>
      <c r="J10231" s="6" t="n">
        <f aca="false">Sens!J10213</f>
        <v>627.249590058557</v>
      </c>
      <c r="K10231" s="6" t="n">
        <f aca="false">Sens!K10213</f>
        <v>669.013777327237</v>
      </c>
    </row>
    <row r="10232" customFormat="false" ht="15" hidden="false" customHeight="false" outlineLevel="0" collapsed="false">
      <c r="A10232" s="1" t="s">
        <v>896</v>
      </c>
      <c r="B10232" s="0" t="s">
        <v>129</v>
      </c>
      <c r="E10232" s="7" t="n">
        <f aca="false">Sens!E10231/Sens!D10231-1</f>
        <v>0.177886867998467</v>
      </c>
      <c r="F10232" s="7" t="n">
        <f aca="false">Sens!F10231/Sens!E10231-1</f>
        <v>0.185393346937828</v>
      </c>
      <c r="G10232" s="7" t="n">
        <f aca="false">Sens!G10231/Sens!F10231-1</f>
        <v>0.159202222574158</v>
      </c>
      <c r="H10232" s="7" t="n">
        <f aca="false">Sens!H10231/Sens!G10231-1</f>
        <v>0.12842984268875</v>
      </c>
      <c r="I10232" s="7" t="n">
        <f aca="false">Sens!I10231/Sens!H10231-1</f>
        <v>0.119149173903518</v>
      </c>
      <c r="J10232" s="7" t="n">
        <f aca="false">Sens!J10231/Sens!I10231-1</f>
        <v>0.0892529080546116</v>
      </c>
      <c r="K10232" s="7" t="n">
        <f aca="false">Sens!K10231/Sens!J10231-1</f>
        <v>0.0665830443424944</v>
      </c>
    </row>
    <row r="10233" customFormat="false" ht="17.15" hidden="false" customHeight="false" outlineLevel="0" collapsed="false">
      <c r="A10233" s="23" t="s">
        <v>897</v>
      </c>
      <c r="B10233" s="30" t="s">
        <v>98</v>
      </c>
      <c r="C10233" s="30"/>
      <c r="D10233" s="24" t="n">
        <f aca="false">(Sens!D10226+Sens!D10230-Sens!D10231)+(Sens!D10218+Sens!D10219-Sens!D10217)+(Sens!D10221+Sens!D10222-Sens!D10220)+(Sens!D10231-Q!L18)</f>
        <v>0</v>
      </c>
      <c r="E10233" s="24" t="n">
        <f aca="false">(Sens!E10226+Sens!E10230-Sens!E10231)+(Sens!E10218+Sens!E10219-Sens!E10217)+(Sens!E10221+Sens!E10222-Sens!E10220)+(Sens!E10231-Q!M18)</f>
        <v>0</v>
      </c>
      <c r="F10233" s="24" t="n">
        <f aca="false">(Sens!F10226+Sens!F10230-Sens!F10231)+(Sens!F10218+Sens!F10219-Sens!F10217)+(Sens!F10221+Sens!F10222-Sens!F10220)</f>
        <v>0</v>
      </c>
      <c r="G10233" s="24" t="n">
        <f aca="false">(Sens!G10226+Sens!G10230-Sens!G10231)+(Sens!G10218+Sens!G10219-Sens!G10217)+(Sens!G10221+Sens!G10222-Sens!G10220)</f>
        <v>0</v>
      </c>
      <c r="H10233" s="24" t="n">
        <f aca="false">(Sens!H10226+Sens!H10230-Sens!H10231)+(Sens!H10218+Sens!H10219-Sens!H10217)+(Sens!H10221+Sens!H10222-Sens!H10220)</f>
        <v>0</v>
      </c>
      <c r="I10233" s="24" t="n">
        <f aca="false">(Sens!I10226+Sens!I10230-Sens!I10231)+(Sens!I10218+Sens!I10219-Sens!I10217)+(Sens!I10221+Sens!I10222-Sens!I10220)</f>
        <v>0</v>
      </c>
      <c r="J10233" s="24" t="n">
        <f aca="false">(Sens!J10226+Sens!J10230-Sens!J10231)+(Sens!J10218+Sens!J10219-Sens!J10217)+(Sens!J10221+Sens!J10222-Sens!J10220)</f>
        <v>0</v>
      </c>
      <c r="K10233" s="24" t="n">
        <f aca="false">(Sens!K10226+Sens!K10230-Sens!K10231)+(Sens!K10218+Sens!K10219-Sens!K10217)+(Sens!K10221+Sens!K10222-Sens!K10220)</f>
        <v>0</v>
      </c>
    </row>
    <row r="10234" customFormat="false" ht="17.15" hidden="false" customHeight="false" outlineLevel="0" collapsed="false">
      <c r="A10234" s="0" t="s">
        <v>898</v>
      </c>
      <c r="B10234" s="0" t="s">
        <v>129</v>
      </c>
      <c r="E10234" s="7" t="n">
        <f aca="false">(Q!M21+Sens!E10171+Sens!E10172+Sens!E10173+Sens!E10186-Sens!E10169)/(Q!M5-Sens!E10169)</f>
        <v>0.570957350878296</v>
      </c>
      <c r="F10234" s="7" t="n">
        <f aca="false">Sens!$E$10234+dm_seg</f>
        <v>0.570957350878296</v>
      </c>
      <c r="G10234" s="7" t="n">
        <f aca="false">Sens!$E$10234+dm_seg</f>
        <v>0.570957350878296</v>
      </c>
      <c r="H10234" s="7" t="n">
        <f aca="false">Sens!$E$10234+dm_seg</f>
        <v>0.570957350878296</v>
      </c>
      <c r="I10234" s="7" t="n">
        <f aca="false">Sens!$E$10234+dm_seg</f>
        <v>0.570957350878296</v>
      </c>
      <c r="J10234" s="7" t="n">
        <f aca="false">Sens!$E$10234+dm_seg</f>
        <v>0.570957350878296</v>
      </c>
      <c r="K10234" s="7" t="n">
        <f aca="false">Sens!$E$10234+dm_seg</f>
        <v>0.570957350878296</v>
      </c>
      <c r="L10234" s="11" t="s">
        <v>899</v>
      </c>
    </row>
    <row r="10235" customFormat="false" ht="17.15" hidden="false" customHeight="false" outlineLevel="0" collapsed="false">
      <c r="A10235" s="0" t="s">
        <v>732</v>
      </c>
      <c r="B10235" s="0" t="s">
        <v>98</v>
      </c>
      <c r="D10235" s="6" t="n">
        <f aca="false">Q!L21</f>
        <v>110.814</v>
      </c>
      <c r="E10235" s="6" t="n">
        <f aca="false">Q!M21</f>
        <v>136.365</v>
      </c>
      <c r="F10235" s="6" t="n">
        <f aca="false">Sens!F10234*(Sens!F10205-Sens!F10169)+Sens!F10169-(Sens!F10171+Sens!F10172+Sens!F10173)-Sens!F10186</f>
        <v>152.32674154081</v>
      </c>
      <c r="G10235" s="6" t="n">
        <f aca="false">Sens!G10234*(Sens!G10205-Sens!G10169)+Sens!G10169-(Sens!G10171+Sens!G10172+Sens!G10173)-Sens!G10186</f>
        <v>160.283432567842</v>
      </c>
      <c r="H10235" s="6" t="n">
        <f aca="false">Sens!H10234*(Sens!H10205-Sens!H10169)+Sens!H10169-(Sens!H10171+Sens!H10172+Sens!H10173)-Sens!H10186</f>
        <v>162.574672990873</v>
      </c>
      <c r="I10235" s="6" t="n">
        <f aca="false">Sens!I10234*(Sens!I10205-Sens!I10169)+Sens!I10169-(Sens!I10171+Sens!I10172+Sens!I10173)-Sens!I10186</f>
        <v>172.50089589225</v>
      </c>
      <c r="J10235" s="6" t="n">
        <f aca="false">Sens!J10234*(Sens!J10205-Sens!J10169)+Sens!J10169-(Sens!J10171+Sens!J10172+Sens!J10173)-Sens!J10186</f>
        <v>183.760216916289</v>
      </c>
      <c r="K10235" s="6" t="n">
        <f aca="false">Sens!K10234*(Sens!K10205-Sens!K10169)+Sens!K10169-(Sens!K10171+Sens!K10172+Sens!K10173)-Sens!K10186</f>
        <v>196.506459967745</v>
      </c>
      <c r="L10235" s="1" t="s">
        <v>900</v>
      </c>
    </row>
    <row r="10236" customFormat="false" ht="17.15" hidden="false" customHeight="false" outlineLevel="0" collapsed="false">
      <c r="A10236" s="0" t="s">
        <v>901</v>
      </c>
      <c r="B10236" s="0" t="s">
        <v>129</v>
      </c>
      <c r="E10236" s="7" t="n">
        <f aca="false">Q!M22/Q!M12</f>
        <v>0.296207935710698</v>
      </c>
      <c r="F10236" s="7" t="n">
        <f aca="false">Sens!$E$10236+dm_seg</f>
        <v>0.296207935710698</v>
      </c>
      <c r="G10236" s="7" t="n">
        <f aca="false">Sens!$E$10236+dm_seg</f>
        <v>0.296207935710698</v>
      </c>
      <c r="H10236" s="7" t="n">
        <f aca="false">Sens!$E$10236+dm_seg</f>
        <v>0.296207935710698</v>
      </c>
      <c r="I10236" s="7" t="n">
        <f aca="false">Sens!$E$10236+dm_seg</f>
        <v>0.296207935710698</v>
      </c>
      <c r="J10236" s="7" t="n">
        <f aca="false">Sens!$E$10236+dm_seg</f>
        <v>0.296207935710698</v>
      </c>
      <c r="K10236" s="7" t="n">
        <f aca="false">Sens!$E$10236+dm_seg</f>
        <v>0.296207935710698</v>
      </c>
      <c r="L10236" s="11" t="s">
        <v>902</v>
      </c>
    </row>
    <row r="10237" customFormat="false" ht="17.15" hidden="false" customHeight="false" outlineLevel="0" collapsed="false">
      <c r="A10237" s="0" t="s">
        <v>734</v>
      </c>
      <c r="B10237" s="0" t="s">
        <v>98</v>
      </c>
      <c r="D10237" s="6" t="n">
        <f aca="false">Q!L22</f>
        <v>17.714</v>
      </c>
      <c r="E10237" s="6" t="n">
        <f aca="false">Q!M22</f>
        <v>18.872</v>
      </c>
      <c r="F10237" s="6" t="n">
        <f aca="false">Sens!F10212*Sens!F10236</f>
        <v>19.2524227516042</v>
      </c>
      <c r="G10237" s="6" t="n">
        <f aca="false">Sens!G10212*Sens!G10236</f>
        <v>19.7611044089106</v>
      </c>
      <c r="H10237" s="6" t="n">
        <f aca="false">Sens!H10212*Sens!H10236</f>
        <v>20.3758639732242</v>
      </c>
      <c r="I10237" s="6" t="n">
        <f aca="false">Sens!I10212*Sens!I10236</f>
        <v>21.0757295972234</v>
      </c>
      <c r="J10237" s="6" t="n">
        <f aca="false">Sens!J10212*Sens!J10236</f>
        <v>21.8407801712676</v>
      </c>
      <c r="K10237" s="6" t="n">
        <f aca="false">Sens!K10212*Sens!K10236</f>
        <v>22.6521919384148</v>
      </c>
    </row>
    <row r="10238" customFormat="false" ht="15" hidden="false" customHeight="false" outlineLevel="0" collapsed="false">
      <c r="A10238" s="1" t="s">
        <v>903</v>
      </c>
      <c r="B10238" s="0" t="s">
        <v>98</v>
      </c>
      <c r="D10238" s="6" t="n">
        <f aca="false">Sens!D10235+Sens!D10237</f>
        <v>128.528</v>
      </c>
      <c r="E10238" s="6" t="n">
        <f aca="false">Sens!E10235+Sens!E10237</f>
        <v>155.237</v>
      </c>
      <c r="F10238" s="6" t="n">
        <f aca="false">Sens!F10235+Sens!F10237</f>
        <v>171.579164292414</v>
      </c>
      <c r="G10238" s="6" t="n">
        <f aca="false">Sens!G10235+Sens!G10237</f>
        <v>180.044536976752</v>
      </c>
      <c r="H10238" s="6" t="n">
        <f aca="false">Sens!H10235+Sens!H10237</f>
        <v>182.950536964097</v>
      </c>
      <c r="I10238" s="6" t="n">
        <f aca="false">Sens!I10235+Sens!I10237</f>
        <v>193.576625489473</v>
      </c>
      <c r="J10238" s="6" t="n">
        <f aca="false">Sens!J10235+Sens!J10237</f>
        <v>205.600997087557</v>
      </c>
      <c r="K10238" s="6" t="n">
        <f aca="false">Sens!K10235+Sens!K10237</f>
        <v>219.15865190616</v>
      </c>
    </row>
    <row r="10239" customFormat="false" ht="15" hidden="false" customHeight="false" outlineLevel="0" collapsed="false">
      <c r="A10239" s="23" t="s">
        <v>904</v>
      </c>
      <c r="B10239" s="30" t="s">
        <v>98</v>
      </c>
      <c r="C10239" s="30"/>
      <c r="D10239" s="24" t="n">
        <f aca="false">Sens!D10238-Q!L23</f>
        <v>0</v>
      </c>
      <c r="E10239" s="24" t="n">
        <f aca="false">Sens!E10238-Q!M23</f>
        <v>0</v>
      </c>
      <c r="F10239" s="30"/>
      <c r="G10239" s="30"/>
      <c r="H10239" s="30"/>
      <c r="I10239" s="30"/>
      <c r="J10239" s="30"/>
      <c r="K10239" s="30"/>
    </row>
    <row r="10240" customFormat="false" ht="15" hidden="false" customHeight="false" outlineLevel="0" collapsed="false">
      <c r="A10240" s="1" t="s">
        <v>905</v>
      </c>
      <c r="B10240" s="0" t="s">
        <v>129</v>
      </c>
      <c r="D10240" s="7" t="n">
        <f aca="false">Sens!D10238/Sens!D10231</f>
        <v>0.456219562408598</v>
      </c>
      <c r="E10240" s="7" t="n">
        <f aca="false">Sens!E10238/Sens!E10231</f>
        <v>0.467808184089272</v>
      </c>
      <c r="F10240" s="7" t="n">
        <f aca="false">Sens!F10238/Sens!F10231</f>
        <v>0.436188927334841</v>
      </c>
      <c r="G10240" s="7" t="n">
        <f aca="false">Sens!G10238/Sens!G10231</f>
        <v>0.394848808434191</v>
      </c>
      <c r="H10240" s="7" t="n">
        <f aca="false">Sens!H10238/Sens!H10231</f>
        <v>0.35555763505545</v>
      </c>
      <c r="I10240" s="7" t="n">
        <f aca="false">Sens!I10238/Sens!I10231</f>
        <v>0.336156301395307</v>
      </c>
      <c r="J10240" s="7" t="n">
        <f aca="false">Sens!J10238/Sens!J10231</f>
        <v>0.32778179586911</v>
      </c>
      <c r="K10240" s="7" t="n">
        <f aca="false">Sens!K10238/Sens!K10231</f>
        <v>0.327584661681731</v>
      </c>
    </row>
    <row r="10241" customFormat="false" ht="17.15" hidden="false" customHeight="false" outlineLevel="0" collapsed="false">
      <c r="A10241" s="1" t="s">
        <v>906</v>
      </c>
      <c r="B10241" s="0" t="s">
        <v>98</v>
      </c>
      <c r="F10241" s="6" t="n">
        <f aca="false">Sens!F10256</f>
        <v>20.7922544923746</v>
      </c>
      <c r="G10241" s="6" t="n">
        <f aca="false">Sens!G10256</f>
        <v>37.7052575228648</v>
      </c>
      <c r="H10241" s="6" t="n">
        <f aca="false">Sens!H10256</f>
        <v>55.9707166463052</v>
      </c>
      <c r="I10241" s="6" t="n">
        <f aca="false">Sens!I10256</f>
        <v>72.386177414753</v>
      </c>
      <c r="J10241" s="6" t="n">
        <f aca="false">Sens!J10256</f>
        <v>83.8561542203386</v>
      </c>
      <c r="K10241" s="6" t="n">
        <f aca="false">Sens!K10256</f>
        <v>90.6046701138278</v>
      </c>
      <c r="L10241" s="1" t="s">
        <v>907</v>
      </c>
    </row>
    <row r="10242" customFormat="false" ht="17.15" hidden="false" customHeight="false" outlineLevel="0" collapsed="false">
      <c r="A10242" s="1" t="s">
        <v>908</v>
      </c>
      <c r="B10242" s="0" t="s">
        <v>98</v>
      </c>
      <c r="D10242" s="6" t="n">
        <f aca="false">Sens!D10238</f>
        <v>128.528</v>
      </c>
      <c r="E10242" s="6" t="n">
        <f aca="false">Sens!E10238</f>
        <v>155.237</v>
      </c>
      <c r="F10242" s="6" t="n">
        <f aca="false">Sens!F10238+Sens!F10241</f>
        <v>192.371418784789</v>
      </c>
      <c r="G10242" s="6" t="n">
        <f aca="false">Sens!G10238+Sens!G10241</f>
        <v>217.749794499617</v>
      </c>
      <c r="H10242" s="6" t="n">
        <f aca="false">Sens!H10238+Sens!H10241</f>
        <v>238.921253610403</v>
      </c>
      <c r="I10242" s="6" t="n">
        <f aca="false">Sens!I10238+Sens!I10241</f>
        <v>265.962802904226</v>
      </c>
      <c r="J10242" s="6" t="n">
        <f aca="false">Sens!J10238+Sens!J10241</f>
        <v>289.457151307895</v>
      </c>
      <c r="K10242" s="6" t="n">
        <f aca="false">Sens!K10238+Sens!K10241</f>
        <v>309.763322019988</v>
      </c>
    </row>
    <row r="10243" customFormat="false" ht="17.15" hidden="false" customHeight="false" outlineLevel="0" collapsed="false">
      <c r="A10243" s="1" t="s">
        <v>909</v>
      </c>
      <c r="B10243" s="0" t="s">
        <v>98</v>
      </c>
      <c r="E10243" s="6" t="n">
        <f aca="false">Sens!E10186</f>
        <v>16.3054059770833</v>
      </c>
      <c r="F10243" s="6" t="n">
        <f aca="false">Sens!F10186</f>
        <v>34.7533986225365</v>
      </c>
      <c r="G10243" s="6" t="n">
        <f aca="false">Sens!G10186</f>
        <v>60.5324595936729</v>
      </c>
      <c r="H10243" s="6" t="n">
        <f aca="false">Sens!H10186</f>
        <v>87.7680423264729</v>
      </c>
      <c r="I10243" s="6" t="n">
        <f aca="false">Sens!I10186</f>
        <v>112.012766315554</v>
      </c>
      <c r="J10243" s="6" t="n">
        <f aca="false">Sens!J10186</f>
        <v>129.209437255999</v>
      </c>
      <c r="K10243" s="6" t="n">
        <f aca="false">Sens!K10186</f>
        <v>139.673373137807</v>
      </c>
    </row>
    <row r="10244" customFormat="false" ht="17.15" hidden="false" customHeight="false" outlineLevel="0" collapsed="false">
      <c r="A10244" s="1" t="s">
        <v>910</v>
      </c>
      <c r="B10244" s="0" t="s">
        <v>98</v>
      </c>
      <c r="E10244" s="6" t="n">
        <f aca="false">Sens!E10268</f>
        <v>22.2285940229167</v>
      </c>
      <c r="F10244" s="6" t="n">
        <f aca="false">Sens!F10268</f>
        <v>23.5482335435812</v>
      </c>
      <c r="G10244" s="6" t="n">
        <f aca="false">Sens!G10268</f>
        <v>25.2624643305724</v>
      </c>
      <c r="H10244" s="6" t="n">
        <f aca="false">Sens!H10268</f>
        <v>27.3400060118004</v>
      </c>
      <c r="I10244" s="6" t="n">
        <f aca="false">Sens!I10268</f>
        <v>29.7245309035596</v>
      </c>
      <c r="J10244" s="6" t="n">
        <f aca="false">Sens!J10268</f>
        <v>32.3420597752196</v>
      </c>
      <c r="K10244" s="6" t="n">
        <f aca="false">Sens!K10268</f>
        <v>35.1094316136642</v>
      </c>
    </row>
    <row r="10245" customFormat="false" ht="17.15" hidden="false" customHeight="false" outlineLevel="0" collapsed="false">
      <c r="A10245" s="1" t="s">
        <v>911</v>
      </c>
      <c r="B10245" s="0" t="s">
        <v>98</v>
      </c>
      <c r="D10245" s="6" t="n">
        <f aca="false">Q!L27</f>
        <v>-4.901</v>
      </c>
      <c r="E10245" s="6" t="n">
        <f aca="false">Q!M27</f>
        <v>10.697</v>
      </c>
      <c r="F10245" s="6" t="n">
        <f aca="false">oie_f</f>
        <v>-0.4</v>
      </c>
      <c r="G10245" s="6" t="n">
        <f aca="false">oie_f</f>
        <v>-0.4</v>
      </c>
      <c r="H10245" s="6" t="n">
        <f aca="false">oie_f</f>
        <v>-0.4</v>
      </c>
      <c r="I10245" s="6" t="n">
        <f aca="false">oie_f</f>
        <v>-0.4</v>
      </c>
      <c r="J10245" s="6" t="n">
        <f aca="false">oie_f</f>
        <v>-0.4</v>
      </c>
      <c r="K10245" s="6" t="n">
        <f aca="false">oie_f</f>
        <v>-0.4</v>
      </c>
      <c r="L10245" s="11" t="s">
        <v>912</v>
      </c>
    </row>
    <row r="10246" customFormat="false" ht="15" hidden="false" customHeight="false" outlineLevel="0" collapsed="false">
      <c r="A10246" s="1" t="s">
        <v>913</v>
      </c>
      <c r="B10246" s="0" t="s">
        <v>98</v>
      </c>
      <c r="D10246" s="6" t="n">
        <f aca="false">Sens!D10238+Sens!D10245</f>
        <v>123.627</v>
      </c>
      <c r="E10246" s="6" t="n">
        <f aca="false">Sens!E10238+Sens!E10245</f>
        <v>165.934</v>
      </c>
      <c r="F10246" s="6" t="n">
        <f aca="false">Sens!F10238+Sens!F10245</f>
        <v>171.179164292414</v>
      </c>
      <c r="G10246" s="6" t="n">
        <f aca="false">Sens!G10238+Sens!G10245</f>
        <v>179.644536976752</v>
      </c>
      <c r="H10246" s="6" t="n">
        <f aca="false">Sens!H10238+Sens!H10245</f>
        <v>182.550536964097</v>
      </c>
      <c r="I10246" s="6" t="n">
        <f aca="false">Sens!I10238+Sens!I10245</f>
        <v>193.176625489473</v>
      </c>
      <c r="J10246" s="6" t="n">
        <f aca="false">Sens!J10238+Sens!J10245</f>
        <v>205.200997087557</v>
      </c>
      <c r="K10246" s="6" t="n">
        <f aca="false">Sens!K10238+Sens!K10245</f>
        <v>218.75865190616</v>
      </c>
    </row>
    <row r="10247" customFormat="false" ht="15" hidden="false" customHeight="false" outlineLevel="0" collapsed="false">
      <c r="A10247" s="1" t="s">
        <v>914</v>
      </c>
      <c r="B10247" s="0" t="s">
        <v>98</v>
      </c>
      <c r="D10247" s="6" t="n">
        <f aca="false">Q!L29</f>
        <v>21.795</v>
      </c>
      <c r="E10247" s="6" t="n">
        <f aca="false">Q!M29</f>
        <v>32.185</v>
      </c>
      <c r="F10247" s="6" t="n">
        <f aca="false">Sens!F10246*tax_f</f>
        <v>34.2358328584828</v>
      </c>
      <c r="G10247" s="6" t="n">
        <f aca="false">Sens!G10246*tax_f</f>
        <v>35.9289073953504</v>
      </c>
      <c r="H10247" s="6" t="n">
        <f aca="false">Sens!H10246*tax_f</f>
        <v>36.5101073928195</v>
      </c>
      <c r="I10247" s="6" t="n">
        <f aca="false">Sens!I10246*tax_f</f>
        <v>38.6353250978946</v>
      </c>
      <c r="J10247" s="6" t="n">
        <f aca="false">Sens!J10246*tax_f</f>
        <v>41.0401994175113</v>
      </c>
      <c r="K10247" s="6" t="n">
        <f aca="false">Sens!K10246*tax_f</f>
        <v>43.751730381232</v>
      </c>
    </row>
    <row r="10248" customFormat="false" ht="15" hidden="false" customHeight="false" outlineLevel="0" collapsed="false">
      <c r="A10248" s="1" t="s">
        <v>915</v>
      </c>
      <c r="B10248" s="0" t="s">
        <v>98</v>
      </c>
      <c r="D10248" s="6" t="n">
        <f aca="false">Sens!D10246-Sens!D10247</f>
        <v>101.832</v>
      </c>
      <c r="E10248" s="6" t="n">
        <f aca="false">Sens!E10246-Sens!E10247</f>
        <v>133.749</v>
      </c>
      <c r="F10248" s="6" t="n">
        <f aca="false">Sens!F10246-Sens!F10247</f>
        <v>136.943331433931</v>
      </c>
      <c r="G10248" s="6" t="n">
        <f aca="false">Sens!G10246-Sens!G10247</f>
        <v>143.715629581402</v>
      </c>
      <c r="H10248" s="6" t="n">
        <f aca="false">Sens!H10246-Sens!H10247</f>
        <v>146.040429571278</v>
      </c>
      <c r="I10248" s="6" t="n">
        <f aca="false">Sens!I10246-Sens!I10247</f>
        <v>154.541300391579</v>
      </c>
      <c r="J10248" s="6" t="n">
        <f aca="false">Sens!J10246-Sens!J10247</f>
        <v>164.160797670045</v>
      </c>
      <c r="K10248" s="6" t="n">
        <f aca="false">Sens!K10246-Sens!K10247</f>
        <v>175.006921524928</v>
      </c>
    </row>
    <row r="10249" customFormat="false" ht="17.15" hidden="false" customHeight="false" outlineLevel="0" collapsed="false">
      <c r="A10249" s="1" t="s">
        <v>916</v>
      </c>
      <c r="B10249" s="1" t="s">
        <v>81</v>
      </c>
      <c r="D10249" s="14" t="n">
        <f aca="false">Q!L31</f>
        <v>7.465</v>
      </c>
      <c r="E10249" s="14" t="n">
        <f aca="false">Q!M31</f>
        <v>7.453</v>
      </c>
      <c r="F10249" s="14" t="n">
        <f aca="false">Sens!F10290</f>
        <v>7.4735</v>
      </c>
      <c r="G10249" s="14" t="n">
        <f aca="false">Sens!G10290</f>
        <v>7.5185</v>
      </c>
      <c r="H10249" s="14" t="n">
        <f aca="false">Sens!H10290</f>
        <v>7.55850491017503</v>
      </c>
      <c r="I10249" s="14" t="n">
        <f aca="false">Sens!I10290</f>
        <v>7.58253906650742</v>
      </c>
      <c r="J10249" s="14" t="n">
        <f aca="false">Sens!J10290</f>
        <v>7.59678057762531</v>
      </c>
      <c r="K10249" s="14" t="n">
        <f aca="false">Sens!K10290</f>
        <v>7.61330049532705</v>
      </c>
    </row>
    <row r="10250" customFormat="false" ht="17.15" hidden="false" customHeight="false" outlineLevel="0" collapsed="false">
      <c r="A10250" s="0" t="s">
        <v>917</v>
      </c>
      <c r="B10250" s="0" t="s">
        <v>75</v>
      </c>
      <c r="D10250" s="8" t="n">
        <f aca="false">Sens!D10248/Sens!D10249</f>
        <v>13.641259209645</v>
      </c>
      <c r="E10250" s="8" t="n">
        <f aca="false">Sens!E10248/Sens!E10249</f>
        <v>17.9456594659869</v>
      </c>
      <c r="F10250" s="8" t="n">
        <f aca="false">Sens!F10248/Sens!F10249</f>
        <v>18.3238551460402</v>
      </c>
      <c r="G10250" s="8" t="n">
        <f aca="false">Sens!G10248/Sens!G10249</f>
        <v>19.1149337742105</v>
      </c>
      <c r="H10250" s="8" t="n">
        <f aca="false">Sens!H10248/Sens!H10249</f>
        <v>19.3213381888107</v>
      </c>
      <c r="I10250" s="8" t="n">
        <f aca="false">Sens!I10248/Sens!I10249</f>
        <v>20.3812072758316</v>
      </c>
      <c r="J10250" s="8" t="n">
        <f aca="false">Sens!J10248/Sens!J10249</f>
        <v>21.6092588159708</v>
      </c>
      <c r="K10250" s="8" t="n">
        <f aca="false">Sens!K10248/Sens!K10249</f>
        <v>22.9869977721679</v>
      </c>
      <c r="L10250" s="1" t="s">
        <v>918</v>
      </c>
    </row>
    <row r="10251" customFormat="false" ht="17.15" hidden="false" customHeight="false" outlineLevel="0" collapsed="false">
      <c r="A10251" s="1" t="s">
        <v>919</v>
      </c>
      <c r="B10251" s="0" t="s">
        <v>98</v>
      </c>
      <c r="D10251" s="6" t="n">
        <f aca="false">Sens!D10248</f>
        <v>101.832</v>
      </c>
      <c r="E10251" s="6" t="n">
        <f aca="false">Sens!E10248</f>
        <v>133.749</v>
      </c>
      <c r="F10251" s="6" t="n">
        <f aca="false">Sens!F10248+Sens!F10241*(1-tax_f)</f>
        <v>153.577135027831</v>
      </c>
      <c r="G10251" s="6" t="n">
        <f aca="false">Sens!G10248+Sens!G10241*(1-tax_f)</f>
        <v>173.879835599694</v>
      </c>
      <c r="H10251" s="6" t="n">
        <f aca="false">Sens!H10248+Sens!H10241*(1-tax_f)</f>
        <v>190.817002888322</v>
      </c>
      <c r="I10251" s="6" t="n">
        <f aca="false">Sens!I10248+Sens!I10241*(1-tax_f)</f>
        <v>212.450242323381</v>
      </c>
      <c r="J10251" s="6" t="n">
        <f aca="false">Sens!J10248+Sens!J10241*(1-tax_f)</f>
        <v>231.245721046316</v>
      </c>
      <c r="K10251" s="6" t="n">
        <f aca="false">Sens!K10248+Sens!K10241*(1-tax_f)</f>
        <v>247.49065761599</v>
      </c>
    </row>
    <row r="10252" customFormat="false" ht="17.15" hidden="false" customHeight="false" outlineLevel="0" collapsed="false">
      <c r="A10252" s="0" t="s">
        <v>920</v>
      </c>
      <c r="B10252" s="0" t="s">
        <v>75</v>
      </c>
      <c r="D10252" s="8" t="n">
        <f aca="false">Sens!D10251/Sens!D10249</f>
        <v>13.641259209645</v>
      </c>
      <c r="E10252" s="8" t="n">
        <f aca="false">Sens!E10251/Sens!E10249</f>
        <v>17.9456594659869</v>
      </c>
      <c r="F10252" s="8" t="n">
        <f aca="false">Sens!F10251/Sens!F10249</f>
        <v>20.5495597816058</v>
      </c>
      <c r="G10252" s="8" t="n">
        <f aca="false">Sens!G10251/Sens!G10249</f>
        <v>23.1269316485594</v>
      </c>
      <c r="H10252" s="8" t="n">
        <f aca="false">Sens!H10251/Sens!H10249</f>
        <v>25.2453368961169</v>
      </c>
      <c r="I10252" s="8" t="n">
        <f aca="false">Sens!I10251/Sens!I10249</f>
        <v>28.0183511697009</v>
      </c>
      <c r="J10252" s="8" t="n">
        <f aca="false">Sens!J10251/Sens!J10249</f>
        <v>30.4399631769543</v>
      </c>
      <c r="K10252" s="8" t="n">
        <f aca="false">Sens!K10251/Sens!K10249</f>
        <v>32.5076696720295</v>
      </c>
      <c r="L10252" s="1" t="s">
        <v>921</v>
      </c>
    </row>
    <row r="10253" customFormat="false" ht="17.15" hidden="false" customHeight="false" outlineLevel="0" collapsed="false">
      <c r="A10253" s="0" t="s">
        <v>922</v>
      </c>
      <c r="B10253" s="0" t="s">
        <v>129</v>
      </c>
      <c r="E10253" s="7" t="n">
        <f aca="false">Sens!E10252/Sens!D10252-1</f>
        <v>0.315542736208578</v>
      </c>
      <c r="F10253" s="7" t="n">
        <f aca="false">Sens!F10252/Sens!E10252-1</f>
        <v>0.145099171226012</v>
      </c>
      <c r="G10253" s="7" t="n">
        <f aca="false">Sens!G10252/Sens!F10252-1</f>
        <v>0.125422242342175</v>
      </c>
      <c r="H10253" s="7" t="n">
        <f aca="false">Sens!H10252/Sens!G10252-1</f>
        <v>0.0915990620696738</v>
      </c>
      <c r="I10253" s="7" t="n">
        <f aca="false">Sens!I10252/Sens!H10252-1</f>
        <v>0.1098426329185</v>
      </c>
      <c r="J10253" s="7" t="n">
        <f aca="false">Sens!J10252/Sens!I10252-1</f>
        <v>0.0864294973171789</v>
      </c>
      <c r="K10253" s="7" t="n">
        <f aca="false">Sens!K10252/Sens!J10252-1</f>
        <v>0.0679273651894747</v>
      </c>
    </row>
    <row r="10254" customFormat="false" ht="17.15" hidden="false" customHeight="false" outlineLevel="0" collapsed="false">
      <c r="A10254" s="0" t="s">
        <v>846</v>
      </c>
      <c r="B10254" s="0" t="s">
        <v>98</v>
      </c>
      <c r="E10254" s="6" t="n">
        <f aca="false">Sens!E10195</f>
        <v>5.25</v>
      </c>
      <c r="F10254" s="6" t="n">
        <f aca="false">Sens!F10195</f>
        <v>10.5</v>
      </c>
      <c r="G10254" s="6" t="n">
        <f aca="false">Sens!G10195</f>
        <v>13.5</v>
      </c>
      <c r="H10254" s="6" t="n">
        <f aca="false">Sens!H10195</f>
        <v>16.5</v>
      </c>
      <c r="I10254" s="6" t="n">
        <f aca="false">Sens!I10195</f>
        <v>18.75</v>
      </c>
      <c r="J10254" s="6" t="n">
        <f aca="false">Sens!J10195</f>
        <v>20.25</v>
      </c>
      <c r="K10254" s="6" t="n">
        <f aca="false">Sens!K10195</f>
        <v>21.75</v>
      </c>
    </row>
    <row r="10255" customFormat="false" ht="17.15" hidden="false" customHeight="false" outlineLevel="0" collapsed="false">
      <c r="A10255" s="1" t="s">
        <v>847</v>
      </c>
      <c r="B10255" s="0" t="s">
        <v>98</v>
      </c>
      <c r="F10255" s="6" t="n">
        <f aca="false">MAX(0,(Sens!E10158+Sens!F10158)/2*Sens!F10166/1000-Sens!F10254*Sens!F10234)</f>
        <v>20.7922544923746</v>
      </c>
      <c r="G10255" s="6" t="n">
        <f aca="false">MAX(0,(Sens!F10158+Sens!G10158)/2*Sens!G10166/1000-Sens!G10254*Sens!G10234)</f>
        <v>37.7052575228648</v>
      </c>
      <c r="H10255" s="6" t="n">
        <f aca="false">MAX(0,(Sens!G10158+Sens!H10158)/2*Sens!H10166/1000-Sens!H10254*Sens!H10234)</f>
        <v>55.9707166463052</v>
      </c>
      <c r="I10255" s="6" t="n">
        <f aca="false">MAX(0,(Sens!H10158+Sens!I10158)/2*Sens!I10166/1000-Sens!I10254*Sens!I10234)</f>
        <v>72.386177414753</v>
      </c>
      <c r="J10255" s="6" t="n">
        <f aca="false">MAX(0,(Sens!I10158+Sens!J10158)/2*Sens!J10166/1000-Sens!J10254*Sens!J10234)</f>
        <v>83.8561542203386</v>
      </c>
      <c r="K10255" s="6" t="n">
        <f aca="false">MAX(0,(Sens!J10158+Sens!K10158)/2*Sens!K10166/1000-Sens!K10254*Sens!K10234)</f>
        <v>90.6046701138278</v>
      </c>
      <c r="L10255" s="1" t="s">
        <v>848</v>
      </c>
    </row>
    <row r="10256" customFormat="false" ht="17.15" hidden="false" customHeight="false" outlineLevel="0" collapsed="false">
      <c r="A10256" s="1" t="s">
        <v>849</v>
      </c>
      <c r="B10256" s="0" t="s">
        <v>98</v>
      </c>
      <c r="F10256" s="6" t="n">
        <f aca="false">IF(internal_ai_reading=2,1,0)*Sens!F10255</f>
        <v>20.7922544923746</v>
      </c>
      <c r="G10256" s="6" t="n">
        <f aca="false">IF(internal_ai_reading=2,1,0)*Sens!G10255</f>
        <v>37.7052575228648</v>
      </c>
      <c r="H10256" s="6" t="n">
        <f aca="false">IF(internal_ai_reading=2,1,0)*Sens!H10255</f>
        <v>55.9707166463052</v>
      </c>
      <c r="I10256" s="6" t="n">
        <f aca="false">IF(internal_ai_reading=2,1,0)*Sens!I10255</f>
        <v>72.386177414753</v>
      </c>
      <c r="J10256" s="6" t="n">
        <f aca="false">IF(internal_ai_reading=2,1,0)*Sens!J10255</f>
        <v>83.8561542203386</v>
      </c>
      <c r="K10256" s="6" t="n">
        <f aca="false">IF(internal_ai_reading=2,1,0)*Sens!K10255</f>
        <v>90.6046701138278</v>
      </c>
    </row>
    <row r="10257" customFormat="false" ht="17.15" hidden="false" customHeight="false" outlineLevel="0" collapsed="false">
      <c r="A10257" s="0" t="s">
        <v>850</v>
      </c>
      <c r="B10257" s="0" t="s">
        <v>98</v>
      </c>
      <c r="F10257" s="6" t="n">
        <f aca="false">Sens!F10175+Sens!F10254*Sens!F10234+Sens!F10256-Sens!F10176-Sens!F10186</f>
        <v>20.5583230660924</v>
      </c>
      <c r="G10257" s="6" t="n">
        <f aca="false">Sens!G10175+Sens!G10254*Sens!G10234+Sens!G10256-Sens!G10176-Sens!G10186</f>
        <v>26.3465881631708</v>
      </c>
      <c r="H10257" s="6" t="n">
        <f aca="false">Sens!H10175+Sens!H10254*Sens!H10234+Sens!H10256-Sens!H10176-Sens!H10186</f>
        <v>27.6397099583413</v>
      </c>
      <c r="I10257" s="6" t="n">
        <f aca="false">Sens!I10175+Sens!I10254*Sens!I10234+Sens!I10256-Sens!I10176-Sens!I10186</f>
        <v>35.2058082328237</v>
      </c>
      <c r="J10257" s="6" t="n">
        <f aca="false">Sens!J10175+Sens!J10254*Sens!J10234+Sens!J10256-Sens!J10176-Sens!J10186</f>
        <v>40.3983182880897</v>
      </c>
      <c r="K10257" s="6" t="n">
        <f aca="false">Sens!K10175+Sens!K10254*Sens!K10234+Sens!K10256-Sens!K10176-Sens!K10186</f>
        <v>44.371783430151</v>
      </c>
    </row>
    <row r="10258" customFormat="false" ht="17.15" hidden="false" customHeight="false" outlineLevel="0" collapsed="false">
      <c r="A10258" s="0" t="s">
        <v>851</v>
      </c>
      <c r="B10258" s="0" t="s">
        <v>98</v>
      </c>
      <c r="E10258" s="6" t="n">
        <f aca="false">Sens!E10157*(cxit_open+self_build*tk_cxfac)/1000*ai_net_open</f>
        <v>126.6980382</v>
      </c>
      <c r="F10258" s="6" t="n">
        <f aca="false">Sens!E10258+Sens!F10183-Sens!F10186</f>
        <v>260.719650347901</v>
      </c>
      <c r="G10258" s="6" t="n">
        <f aca="false">Sens!F10258+Sens!G10183-Sens!G10186</f>
        <v>383.761371237428</v>
      </c>
      <c r="H10258" s="6" t="n">
        <f aca="false">Sens!G10258+Sens!H10183-Sens!H10186</f>
        <v>484.073614821355</v>
      </c>
      <c r="I10258" s="6" t="n">
        <f aca="false">Sens!H10258+Sens!I10183-Sens!I10186</f>
        <v>535.767517660046</v>
      </c>
      <c r="J10258" s="6" t="n">
        <f aca="false">Sens!I10258+Sens!J10183-Sens!J10186</f>
        <v>531.070557122138</v>
      </c>
      <c r="K10258" s="6" t="n">
        <f aca="false">Sens!J10258+Sens!K10183-Sens!K10186</f>
        <v>506.356619626267</v>
      </c>
      <c r="L10258" s="1" t="s">
        <v>852</v>
      </c>
    </row>
    <row r="10259" customFormat="false" ht="17.15" hidden="false" customHeight="false" outlineLevel="0" collapsed="false">
      <c r="A10259" s="0" t="s">
        <v>853</v>
      </c>
      <c r="B10259" s="0" t="s">
        <v>129</v>
      </c>
      <c r="F10259" s="7" t="n">
        <f aca="false">Sens!F10257*(1-tax_f)/((Sens!E10258+Sens!F10258)/2)</f>
        <v>0.0849040141379112</v>
      </c>
      <c r="G10259" s="7" t="n">
        <f aca="false">Sens!G10257*(1-tax_f)/((Sens!F10258+Sens!G10258)/2)</f>
        <v>0.0654085064559066</v>
      </c>
      <c r="H10259" s="7" t="n">
        <f aca="false">Sens!H10257*(1-tax_f)/((Sens!G10258+Sens!H10258)/2)</f>
        <v>0.0509584617395806</v>
      </c>
      <c r="I10259" s="7" t="n">
        <f aca="false">Sens!I10257*(1-tax_f)/((Sens!H10258+Sens!I10258)/2)</f>
        <v>0.0552333999663867</v>
      </c>
      <c r="J10259" s="7" t="n">
        <f aca="false">Sens!J10257*(1-tax_f)/((Sens!I10258+Sens!J10258)/2)</f>
        <v>0.0605877412784883</v>
      </c>
      <c r="K10259" s="7" t="n">
        <f aca="false">Sens!K10257*(1-tax_f)/((Sens!J10258+Sens!K10258)/2)</f>
        <v>0.0684335778736392</v>
      </c>
    </row>
    <row r="10260" customFormat="false" ht="17.15" hidden="false" customHeight="false" outlineLevel="0" collapsed="false">
      <c r="A10260" s="1" t="s">
        <v>854</v>
      </c>
      <c r="B10260" s="0" t="s">
        <v>129</v>
      </c>
      <c r="F10260" s="7" t="n">
        <f aca="false">(Sens!F10257-Sens!F10256)*(1-tax_f)/((Sens!E10258+Sens!F10258)/2)</f>
        <v>-0.000966115624339227</v>
      </c>
      <c r="G10260" s="7" t="n">
        <f aca="false">(Sens!G10257-Sens!G10256)*(1-tax_f)/((Sens!F10258+Sens!G10258)/2)</f>
        <v>-0.0281992337506002</v>
      </c>
      <c r="H10260" s="7" t="n">
        <f aca="false">(Sens!H10257-Sens!H10256)*(1-tax_f)/((Sens!G10258+Sens!H10258)/2)</f>
        <v>-0.0522329837226358</v>
      </c>
      <c r="I10260" s="7" t="n">
        <f aca="false">(Sens!I10257-Sens!I10256)*(1-tax_f)/((Sens!H10258+Sens!I10258)/2)</f>
        <v>-0.0583312329699271</v>
      </c>
      <c r="J10260" s="7" t="n">
        <f aca="false">(Sens!J10257-Sens!J10256)*(1-tax_f)/((Sens!I10258+Sens!J10258)/2)</f>
        <v>-0.065176280388938</v>
      </c>
      <c r="K10260" s="7" t="n">
        <f aca="false">(Sens!K10257-Sens!K10256)*(1-tax_f)/((Sens!J10258+Sens!K10258)/2)</f>
        <v>-0.0713039144836502</v>
      </c>
    </row>
    <row r="10261" customFormat="false" ht="17.15" hidden="false" customHeight="false" outlineLevel="0" collapsed="false">
      <c r="A10261" s="1" t="s">
        <v>855</v>
      </c>
      <c r="B10261" s="0" t="s">
        <v>129</v>
      </c>
      <c r="F10261" s="7" t="n">
        <f aca="false">(Sens!F10257-Sens!F10256+Sens!F10255)*(1-tax_f)/((Sens!E10258+Sens!F10258)/2)</f>
        <v>0.0849040141379112</v>
      </c>
      <c r="G10261" s="7" t="n">
        <f aca="false">(Sens!G10257-Sens!G10256+Sens!G10255)*(1-tax_f)/((Sens!F10258+Sens!G10258)/2)</f>
        <v>0.0654085064559066</v>
      </c>
      <c r="H10261" s="7" t="n">
        <f aca="false">(Sens!H10257-Sens!H10256+Sens!H10255)*(1-tax_f)/((Sens!G10258+Sens!H10258)/2)</f>
        <v>0.0509584617395806</v>
      </c>
      <c r="I10261" s="7" t="n">
        <f aca="false">(Sens!I10257-Sens!I10256+Sens!I10255)*(1-tax_f)/((Sens!H10258+Sens!I10258)/2)</f>
        <v>0.0552333999663867</v>
      </c>
      <c r="J10261" s="7" t="n">
        <f aca="false">(Sens!J10257-Sens!J10256+Sens!J10255)*(1-tax_f)/((Sens!I10258+Sens!J10258)/2)</f>
        <v>0.0605877412784883</v>
      </c>
      <c r="K10261" s="7" t="n">
        <f aca="false">(Sens!K10257-Sens!K10256+Sens!K10255)*(1-tax_f)/((Sens!J10258+Sens!K10258)/2)</f>
        <v>0.0684335778736392</v>
      </c>
    </row>
    <row r="10262" customFormat="false" ht="17.15" hidden="false" customHeight="false" outlineLevel="0" collapsed="false">
      <c r="A10262" s="1" t="s">
        <v>856</v>
      </c>
      <c r="B10262" s="0" t="s">
        <v>129</v>
      </c>
      <c r="F10262" s="7" t="n">
        <f aca="false">Sens!F10187*(1-tax_f)/(Sens!F10174*(Sens!E10258+Sens!F10258)/2)</f>
        <v>0.0977777168083618</v>
      </c>
      <c r="G10262" s="7" t="n">
        <f aca="false">Sens!G10187*(1-tax_f)/(Sens!G10174*(Sens!F10258+Sens!G10258)/2)</f>
        <v>0.0659177265903879</v>
      </c>
      <c r="H10262" s="7" t="n">
        <f aca="false">Sens!H10187*(1-tax_f)/(Sens!H10174*(Sens!G10258+Sens!H10258)/2)</f>
        <v>0.0387749427263846</v>
      </c>
      <c r="I10262" s="7" t="n">
        <f aca="false">Sens!I10187*(1-tax_f)/(Sens!I10174*(Sens!H10258+Sens!I10258)/2)</f>
        <v>0.042000371327221</v>
      </c>
      <c r="J10262" s="7" t="n">
        <f aca="false">Sens!J10187*(1-tax_f)/(Sens!J10174*(Sens!I10258+Sens!J10258)/2)</f>
        <v>0.0460473806258831</v>
      </c>
      <c r="K10262" s="7" t="n">
        <f aca="false">Sens!K10187*(1-tax_f)/(Sens!K10174*(Sens!J10258+Sens!K10258)/2)</f>
        <v>0.052383666267905</v>
      </c>
    </row>
    <row r="10263" customFormat="false" ht="17.15" hidden="false" customHeight="false" outlineLevel="0" collapsed="false">
      <c r="A10263" s="0" t="s">
        <v>857</v>
      </c>
      <c r="B10263" s="0" t="s">
        <v>209</v>
      </c>
      <c r="F10263" s="7" t="n">
        <f aca="false">Sens!F10259-wacc</f>
        <v>-0.0180304059549646</v>
      </c>
      <c r="G10263" s="7" t="n">
        <f aca="false">Sens!G10259-wacc</f>
        <v>-0.0375259136369691</v>
      </c>
      <c r="H10263" s="7" t="n">
        <f aca="false">Sens!H10259-wacc</f>
        <v>-0.0519759583532951</v>
      </c>
      <c r="I10263" s="7" t="n">
        <f aca="false">Sens!I10259-wacc</f>
        <v>-0.0477010201264891</v>
      </c>
      <c r="J10263" s="7" t="n">
        <f aca="false">Sens!J10259-wacc</f>
        <v>-0.0423466788143875</v>
      </c>
      <c r="K10263" s="7" t="n">
        <f aca="false">Sens!K10259-wacc</f>
        <v>-0.0345008422192365</v>
      </c>
    </row>
    <row r="10264" customFormat="false" ht="17.15" hidden="false" customHeight="false" outlineLevel="0" collapsed="false">
      <c r="A10264" s="0" t="s">
        <v>858</v>
      </c>
      <c r="B10264" s="0" t="s">
        <v>98</v>
      </c>
      <c r="F10264" s="6" t="n">
        <f aca="false">Sens!F10257*(1-tax_f)-wacc*(Sens!E10258+Sens!F10258)/2</f>
        <v>-3.49264909932635</v>
      </c>
      <c r="G10264" s="6" t="n">
        <f aca="false">Sens!G10257*(1-tax_f)-wacc*(Sens!F10258+Sens!G10258)/2</f>
        <v>-12.0923695783383</v>
      </c>
      <c r="H10264" s="6" t="n">
        <f aca="false">Sens!H10257*(1-tax_f)-wacc*(Sens!G10258+Sens!H10258)/2</f>
        <v>-22.5532775464619</v>
      </c>
      <c r="I10264" s="6" t="n">
        <f aca="false">Sens!I10257*(1-tax_f)-wacc*(Sens!H10258+Sens!I10258)/2</f>
        <v>-24.3237311931584</v>
      </c>
      <c r="J10264" s="6" t="n">
        <f aca="false">Sens!J10257*(1-tax_f)-wacc*(Sens!I10258+Sens!J10258)/2</f>
        <v>-22.5885246498803</v>
      </c>
      <c r="K10264" s="6" t="n">
        <f aca="false">Sens!K10257*(1-tax_f)-wacc*(Sens!J10258+Sens!K10258)/2</f>
        <v>-17.8960556694723</v>
      </c>
    </row>
    <row r="10265" customFormat="false" ht="17.15" hidden="false" customHeight="false" outlineLevel="0" collapsed="false">
      <c r="A10265" s="3" t="s">
        <v>1502</v>
      </c>
    </row>
    <row r="10266" customFormat="false" ht="15" hidden="false" customHeight="false" outlineLevel="0" collapsed="false">
      <c r="A10266" s="4" t="s">
        <v>43</v>
      </c>
      <c r="B10266" s="4" t="s">
        <v>65</v>
      </c>
      <c r="C10266" s="20" t="s">
        <v>788</v>
      </c>
      <c r="D10266" s="20" t="s">
        <v>789</v>
      </c>
      <c r="E10266" s="20" t="s">
        <v>790</v>
      </c>
      <c r="F10266" s="20" t="s">
        <v>791</v>
      </c>
      <c r="G10266" s="20" t="s">
        <v>792</v>
      </c>
      <c r="H10266" s="20" t="s">
        <v>793</v>
      </c>
      <c r="I10266" s="20" t="s">
        <v>794</v>
      </c>
      <c r="J10266" s="20" t="s">
        <v>795</v>
      </c>
      <c r="K10266" s="20" t="s">
        <v>796</v>
      </c>
      <c r="L10266" s="4" t="s">
        <v>47</v>
      </c>
    </row>
    <row r="10267" customFormat="false" ht="15" hidden="false" customHeight="false" outlineLevel="0" collapsed="false">
      <c r="A10267" s="1" t="s">
        <v>915</v>
      </c>
      <c r="B10267" s="0" t="s">
        <v>98</v>
      </c>
      <c r="F10267" s="6" t="n">
        <f aca="false">Sens!F10248</f>
        <v>136.943331433931</v>
      </c>
      <c r="G10267" s="6" t="n">
        <f aca="false">Sens!G10248</f>
        <v>143.715629581402</v>
      </c>
      <c r="H10267" s="6" t="n">
        <f aca="false">Sens!H10248</f>
        <v>146.040429571278</v>
      </c>
      <c r="I10267" s="6" t="n">
        <f aca="false">Sens!I10248</f>
        <v>154.541300391579</v>
      </c>
      <c r="J10267" s="6" t="n">
        <f aca="false">Sens!J10248</f>
        <v>164.160797670045</v>
      </c>
      <c r="K10267" s="6" t="n">
        <f aca="false">Sens!K10248</f>
        <v>175.006921524928</v>
      </c>
    </row>
    <row r="10268" customFormat="false" ht="17.15" hidden="false" customHeight="false" outlineLevel="0" collapsed="false">
      <c r="A10268" s="1" t="s">
        <v>937</v>
      </c>
      <c r="B10268" s="0" t="s">
        <v>98</v>
      </c>
      <c r="E10268" s="6" t="n">
        <f aca="false">Q!M38-Sens!E10186</f>
        <v>22.2285940229167</v>
      </c>
      <c r="F10268" s="6" t="n">
        <f aca="false">Sens!E10268*(1-1/life_nonai)+Sens!F10274/life_nonai</f>
        <v>23.5482335435812</v>
      </c>
      <c r="G10268" s="6" t="n">
        <f aca="false">Sens!F10268*(1-1/life_nonai)+Sens!G10274/life_nonai</f>
        <v>25.2624643305724</v>
      </c>
      <c r="H10268" s="6" t="n">
        <f aca="false">Sens!G10268*(1-1/life_nonai)+Sens!H10274/life_nonai</f>
        <v>27.3400060118004</v>
      </c>
      <c r="I10268" s="6" t="n">
        <f aca="false">Sens!H10268*(1-1/life_nonai)+Sens!I10274/life_nonai</f>
        <v>29.7245309035596</v>
      </c>
      <c r="J10268" s="6" t="n">
        <f aca="false">Sens!I10268*(1-1/life_nonai)+Sens!J10274/life_nonai</f>
        <v>32.3420597752196</v>
      </c>
      <c r="K10268" s="6" t="n">
        <f aca="false">Sens!J10268*(1-1/life_nonai)+Sens!K10274/life_nonai</f>
        <v>35.1094316136642</v>
      </c>
      <c r="L10268" s="11" t="s">
        <v>938</v>
      </c>
    </row>
    <row r="10269" customFormat="false" ht="17.15" hidden="false" customHeight="false" outlineLevel="0" collapsed="false">
      <c r="A10269" s="1" t="s">
        <v>939</v>
      </c>
      <c r="B10269" s="0" t="s">
        <v>98</v>
      </c>
      <c r="E10269" s="6" t="n">
        <f aca="false">Sens!E10186+Sens!E10268</f>
        <v>38.534</v>
      </c>
      <c r="F10269" s="6" t="n">
        <f aca="false">Sens!F10186+Sens!F10268</f>
        <v>58.3016321661177</v>
      </c>
      <c r="G10269" s="6" t="n">
        <f aca="false">Sens!G10186+Sens!G10268</f>
        <v>85.7949239242454</v>
      </c>
      <c r="H10269" s="6" t="n">
        <f aca="false">Sens!H10186+Sens!H10268</f>
        <v>115.108048338273</v>
      </c>
      <c r="I10269" s="6" t="n">
        <f aca="false">Sens!I10186+Sens!I10268</f>
        <v>141.737297219114</v>
      </c>
      <c r="J10269" s="6" t="n">
        <f aca="false">Sens!J10186+Sens!J10268</f>
        <v>161.551497031219</v>
      </c>
      <c r="K10269" s="6" t="n">
        <f aca="false">Sens!K10186+Sens!K10268</f>
        <v>174.782804751471</v>
      </c>
    </row>
    <row r="10270" customFormat="false" ht="17.15" hidden="false" customHeight="false" outlineLevel="0" collapsed="false">
      <c r="A10270" s="1" t="s">
        <v>940</v>
      </c>
      <c r="B10270" s="0" t="s">
        <v>98</v>
      </c>
      <c r="F10270" s="6" t="n">
        <f aca="false">Sens!F10213*sbc_r</f>
        <v>14.7048044687638</v>
      </c>
      <c r="G10270" s="6" t="n">
        <f aca="false">Sens!G10213*sbc_r</f>
        <v>17.0458420227094</v>
      </c>
      <c r="H10270" s="6" t="n">
        <f aca="false">Sens!H10213*sbc_r</f>
        <v>19.2350368321832</v>
      </c>
      <c r="I10270" s="6" t="n">
        <f aca="false">Sens!I10213*sbc_r</f>
        <v>21.5268755807416</v>
      </c>
      <c r="J10270" s="6" t="n">
        <f aca="false">Sens!J10213*sbc_r</f>
        <v>23.4482118276525</v>
      </c>
      <c r="K10270" s="6" t="n">
        <f aca="false">Sens!K10213*sbc_r</f>
        <v>25.0094651555253</v>
      </c>
    </row>
    <row r="10271" customFormat="false" ht="17.15" hidden="false" customHeight="false" outlineLevel="0" collapsed="false">
      <c r="A10271" s="1" t="s">
        <v>941</v>
      </c>
      <c r="B10271" s="0" t="s">
        <v>98</v>
      </c>
      <c r="F10271" s="6" t="n">
        <f aca="false">wc27</f>
        <v>-4.895</v>
      </c>
      <c r="G10271" s="6" t="n">
        <f aca="false">wc_f</f>
        <v>0</v>
      </c>
      <c r="H10271" s="6" t="n">
        <f aca="false">wc_f</f>
        <v>0</v>
      </c>
      <c r="I10271" s="6" t="n">
        <f aca="false">wc_f</f>
        <v>0</v>
      </c>
      <c r="J10271" s="6" t="n">
        <f aca="false">wc_f</f>
        <v>0</v>
      </c>
      <c r="K10271" s="6" t="n">
        <f aca="false">wc_f</f>
        <v>0</v>
      </c>
      <c r="L10271" s="11" t="s">
        <v>942</v>
      </c>
    </row>
    <row r="10272" customFormat="false" ht="15" hidden="false" customHeight="false" outlineLevel="0" collapsed="false">
      <c r="A10272" s="1" t="s">
        <v>756</v>
      </c>
      <c r="B10272" s="0" t="s">
        <v>98</v>
      </c>
      <c r="E10272" s="6" t="n">
        <f aca="false">Q!M35</f>
        <v>182.935</v>
      </c>
      <c r="F10272" s="6" t="n">
        <f aca="false">Sens!F10267+Sens!F10269+Sens!F10270+Sens!F10271</f>
        <v>205.054768068813</v>
      </c>
      <c r="G10272" s="6" t="n">
        <f aca="false">Sens!G10267+Sens!G10269+Sens!G10270+Sens!G10271</f>
        <v>246.556395528357</v>
      </c>
      <c r="H10272" s="6" t="n">
        <f aca="false">Sens!H10267+Sens!H10269+Sens!H10270+Sens!H10271</f>
        <v>280.383514741735</v>
      </c>
      <c r="I10272" s="6" t="n">
        <f aca="false">Sens!I10267+Sens!I10269+Sens!I10270+Sens!I10271</f>
        <v>317.805473191434</v>
      </c>
      <c r="J10272" s="6" t="n">
        <f aca="false">Sens!J10267+Sens!J10269+Sens!J10270+Sens!J10271</f>
        <v>349.160506528916</v>
      </c>
      <c r="K10272" s="6" t="n">
        <f aca="false">Sens!K10267+Sens!K10269+Sens!K10270+Sens!K10271</f>
        <v>374.799191431924</v>
      </c>
    </row>
    <row r="10273" customFormat="false" ht="17.15" hidden="false" customHeight="false" outlineLevel="0" collapsed="false">
      <c r="A10273" s="0" t="s">
        <v>943</v>
      </c>
      <c r="B10273" s="0" t="s">
        <v>98</v>
      </c>
      <c r="F10273" s="6" t="n">
        <f aca="false">Sens!F10183</f>
        <v>168.775010770438</v>
      </c>
      <c r="G10273" s="6" t="n">
        <f aca="false">Sens!G10183</f>
        <v>183.5741804832</v>
      </c>
      <c r="H10273" s="6" t="n">
        <f aca="false">Sens!H10183</f>
        <v>188.0802859104</v>
      </c>
      <c r="I10273" s="6" t="n">
        <f aca="false">Sens!I10183</f>
        <v>163.706669154245</v>
      </c>
      <c r="J10273" s="6" t="n">
        <f aca="false">Sens!J10183</f>
        <v>124.51247671809</v>
      </c>
      <c r="K10273" s="6" t="n">
        <f aca="false">Sens!K10183</f>
        <v>114.959435641936</v>
      </c>
    </row>
    <row r="10274" customFormat="false" ht="17.15" hidden="false" customHeight="false" outlineLevel="0" collapsed="false">
      <c r="A10274" s="1" t="s">
        <v>944</v>
      </c>
      <c r="B10274" s="0" t="s">
        <v>98</v>
      </c>
      <c r="E10274" s="6" t="n">
        <f aca="false">Sens!E10191*cx_azo+Sens!E10198*cx_m365+Sens!E10199*cx_lic+(Sens!E10201+Sens!E10203)*cx_ind+Sens!E10206*cx_srch+(Sens!E10208+Sens!E10210)*cx_dev</f>
        <v>30.1846587067718</v>
      </c>
      <c r="F10274" s="6" t="n">
        <f aca="false">Sens!F10191*cx_azo+Sens!F10198*cx_m365+Sens!F10199*cx_lic+(Sens!F10201+Sens!F10203)*cx_ind+Sens!F10206*cx_srch+(Sens!F10208+Sens!F10210)*cx_dev</f>
        <v>35.4249892295625</v>
      </c>
      <c r="G10274" s="6" t="n">
        <f aca="false">Sens!G10191*cx_azo+Sens!G10198*cx_m365+Sens!G10199*cx_lic+(Sens!G10201+Sens!G10203)*cx_ind+Sens!G10206*cx_srch+(Sens!G10208+Sens!G10210)*cx_dev</f>
        <v>40.6905414134931</v>
      </c>
      <c r="H10274" s="6" t="n">
        <f aca="false">Sens!H10191*cx_azo+Sens!H10198*cx_m365+Sens!H10199*cx_lic+(Sens!H10201+Sens!H10203)*cx_ind+Sens!H10206*cx_srch+(Sens!H10208+Sens!H10210)*cx_dev</f>
        <v>46.0378811428518</v>
      </c>
      <c r="I10274" s="6" t="n">
        <f aca="false">Sens!I10191*cx_azo+Sens!I10198*cx_m365+Sens!I10199*cx_lic+(Sens!I10201+Sens!I10203)*cx_ind+Sens!I10206*cx_srch+(Sens!I10208+Sens!I10210)*cx_dev</f>
        <v>51.1852549293923</v>
      </c>
      <c r="J10274" s="6" t="n">
        <f aca="false">Sens!J10191*cx_azo+Sens!J10198*cx_m365+Sens!J10199*cx_lic+(Sens!J10201+Sens!J10203)*cx_ind+Sens!J10206*cx_srch+(Sens!J10208+Sens!J10210)*cx_dev</f>
        <v>55.8998196201597</v>
      </c>
      <c r="K10274" s="6" t="n">
        <f aca="false">Sens!K10191*cx_azo+Sens!K10198*cx_m365+Sens!K10199*cx_lic+(Sens!K10201+Sens!K10203)*cx_ind+Sens!K10206*cx_srch+(Sens!K10208+Sens!K10210)*cx_dev</f>
        <v>60.0157781596659</v>
      </c>
    </row>
    <row r="10275" customFormat="false" ht="17.15" hidden="false" customHeight="false" outlineLevel="0" collapsed="false">
      <c r="A10275" s="1" t="s">
        <v>945</v>
      </c>
      <c r="B10275" s="0" t="s">
        <v>98</v>
      </c>
      <c r="E10275" s="6" t="n">
        <f aca="false">Q!M42</f>
        <v>145.3</v>
      </c>
      <c r="F10275" s="6" t="n">
        <f aca="false">Sens!F10273+Sens!F10274</f>
        <v>204.2</v>
      </c>
      <c r="G10275" s="6" t="n">
        <f aca="false">Sens!G10273+Sens!G10274</f>
        <v>224.264721896693</v>
      </c>
      <c r="H10275" s="6" t="n">
        <f aca="false">Sens!H10273+Sens!H10274</f>
        <v>234.118167053252</v>
      </c>
      <c r="I10275" s="6" t="n">
        <f aca="false">Sens!I10273+Sens!I10274</f>
        <v>214.891924083638</v>
      </c>
      <c r="J10275" s="6" t="n">
        <f aca="false">Sens!J10273+Sens!J10274</f>
        <v>180.41229633825</v>
      </c>
      <c r="K10275" s="6" t="n">
        <f aca="false">Sens!K10273+Sens!K10274</f>
        <v>174.975213801602</v>
      </c>
      <c r="L10275" s="1" t="s">
        <v>946</v>
      </c>
    </row>
    <row r="10276" customFormat="false" ht="15" hidden="false" customHeight="false" outlineLevel="0" collapsed="false">
      <c r="A10276" s="1" t="s">
        <v>947</v>
      </c>
      <c r="B10276" s="0" t="s">
        <v>98</v>
      </c>
      <c r="E10276" s="6" t="n">
        <f aca="false">fl_liab</f>
        <v>66.594</v>
      </c>
      <c r="F10276" s="6" t="n">
        <f aca="false">Sens!E10276-Sens!F10277</f>
        <v>62.46973</v>
      </c>
      <c r="G10276" s="6" t="n">
        <f aca="false">Sens!F10276-Sens!G10277</f>
        <v>57.98686785</v>
      </c>
      <c r="H10276" s="6" t="n">
        <f aca="false">Sens!G10276-Sens!H10277</f>
        <v>53.92827690325</v>
      </c>
      <c r="I10276" s="6" t="n">
        <f aca="false">Sens!H10276-Sens!I10277</f>
        <v>49.7850493638962</v>
      </c>
      <c r="J10276" s="6" t="n">
        <f aca="false">Sens!I10276-Sens!J10277</f>
        <v>45.4823765852716</v>
      </c>
      <c r="K10276" s="6" t="n">
        <f aca="false">Sens!J10276-Sens!K10277</f>
        <v>40.9860835316088</v>
      </c>
    </row>
    <row r="10277" customFormat="false" ht="15" hidden="false" customHeight="false" outlineLevel="0" collapsed="false">
      <c r="A10277" s="1" t="s">
        <v>948</v>
      </c>
      <c r="B10277" s="0" t="s">
        <v>98</v>
      </c>
      <c r="F10277" s="6" t="n">
        <f aca="false">fl_pay_27-Sens!E10276*fl_rate</f>
        <v>4.12427</v>
      </c>
      <c r="G10277" s="6" t="n">
        <f aca="false">fl_pay_28-Sens!F10276*fl_rate</f>
        <v>4.48286215</v>
      </c>
      <c r="H10277" s="6" t="n">
        <f aca="false">fl_pay_29-Sens!G10276*fl_rate</f>
        <v>4.05859094675</v>
      </c>
      <c r="I10277" s="6" t="n">
        <f aca="false">fl_pay_30-Sens!H10276*fl_rate</f>
        <v>4.14322753935375</v>
      </c>
      <c r="J10277" s="6" t="n">
        <f aca="false">fl_pay_31-Sens!I10276*fl_rate</f>
        <v>4.30267277862467</v>
      </c>
      <c r="K10277" s="6" t="n">
        <f aca="false">fl_pay_32-Sens!J10276*fl_rate</f>
        <v>4.49629305366278</v>
      </c>
    </row>
    <row r="10278" customFormat="false" ht="17.15" hidden="false" customHeight="false" outlineLevel="0" collapsed="false">
      <c r="A10278" s="1" t="s">
        <v>949</v>
      </c>
      <c r="B10278" s="0" t="s">
        <v>98</v>
      </c>
      <c r="E10278" s="6" t="n">
        <f aca="false">Q!M35-Q!M36-Q!M43</f>
        <v>63.886</v>
      </c>
      <c r="F10278" s="6" t="n">
        <f aca="false">Sens!F10272-Sens!F10275-Sens!F10277</f>
        <v>-3.2695019311874</v>
      </c>
      <c r="G10278" s="6" t="n">
        <f aca="false">Sens!G10272-Sens!G10275-Sens!G10277</f>
        <v>17.8088114816634</v>
      </c>
      <c r="H10278" s="6" t="n">
        <f aca="false">Sens!H10272-Sens!H10275-Sens!H10277</f>
        <v>42.2067567417328</v>
      </c>
      <c r="I10278" s="6" t="n">
        <f aca="false">Sens!I10272-Sens!I10275-Sens!I10277</f>
        <v>98.7703215684426</v>
      </c>
      <c r="J10278" s="6" t="n">
        <f aca="false">Sens!J10272-Sens!J10275-Sens!J10277</f>
        <v>164.445537412042</v>
      </c>
      <c r="K10278" s="6" t="n">
        <f aca="false">Sens!K10272-Sens!K10275-Sens!K10277</f>
        <v>195.32768457666</v>
      </c>
      <c r="L10278" s="11" t="s">
        <v>950</v>
      </c>
    </row>
    <row r="10279" customFormat="false" ht="15" hidden="false" customHeight="false" outlineLevel="0" collapsed="false">
      <c r="A10279" s="1" t="s">
        <v>951</v>
      </c>
      <c r="B10279" s="0" t="s">
        <v>75</v>
      </c>
      <c r="F10279" s="8" t="n">
        <f aca="false">dps_27</f>
        <v>3.85</v>
      </c>
      <c r="G10279" s="8" t="n">
        <f aca="false">Sens!F10279*(1+dps_g)</f>
        <v>4.158</v>
      </c>
      <c r="H10279" s="8" t="n">
        <f aca="false">Sens!G10279*(1+dps_g)</f>
        <v>4.49064</v>
      </c>
      <c r="I10279" s="8" t="n">
        <f aca="false">Sens!H10279*(1+dps_g)</f>
        <v>4.8498912</v>
      </c>
      <c r="J10279" s="8" t="n">
        <f aca="false">Sens!I10279*(1+dps_g)</f>
        <v>5.237882496</v>
      </c>
      <c r="K10279" s="8" t="n">
        <f aca="false">Sens!J10279*(1+dps_g)</f>
        <v>5.65691309568</v>
      </c>
    </row>
    <row r="10280" customFormat="false" ht="17.15" hidden="false" customHeight="false" outlineLevel="0" collapsed="false">
      <c r="A10280" s="1" t="s">
        <v>952</v>
      </c>
      <c r="B10280" s="0" t="s">
        <v>98</v>
      </c>
      <c r="E10280" s="6" t="n">
        <f aca="false">Q!M41</f>
        <v>26.445</v>
      </c>
      <c r="F10280" s="6" t="n">
        <f aca="false">Sens!F10279*Sens!E10289</f>
        <v>28.59395</v>
      </c>
      <c r="G10280" s="6" t="n">
        <f aca="false">Sens!G10279*Sens!F10289</f>
        <v>31.068576</v>
      </c>
      <c r="H10280" s="6" t="n">
        <f aca="false">Sens!H10279*Sens!G10289</f>
        <v>33.75614088</v>
      </c>
      <c r="I10280" s="6" t="n">
        <f aca="false">Sens!I10279*Sens!H10289</f>
        <v>36.6264259700293</v>
      </c>
      <c r="J10280" s="6" t="n">
        <f aca="false">Sens!J10279*Sens!I10289</f>
        <v>39.6249388959511</v>
      </c>
      <c r="K10280" s="6" t="n">
        <f aca="false">Sens!K10279*Sens!J10289</f>
        <v>42.8821892329323</v>
      </c>
      <c r="L10280" s="1" t="s">
        <v>953</v>
      </c>
    </row>
    <row r="10281" customFormat="false" ht="15" hidden="false" customHeight="false" outlineLevel="0" collapsed="false">
      <c r="A10281" s="1" t="s">
        <v>954</v>
      </c>
      <c r="B10281" s="0" t="s">
        <v>98</v>
      </c>
      <c r="E10281" s="6" t="n">
        <f aca="false">Sens!E10278-Sens!E10280</f>
        <v>37.441</v>
      </c>
      <c r="F10281" s="6" t="n">
        <f aca="false">Sens!F10278-Sens!F10280</f>
        <v>-31.8634519311874</v>
      </c>
      <c r="G10281" s="6" t="n">
        <f aca="false">Sens!G10278-Sens!G10280</f>
        <v>-13.2597645183366</v>
      </c>
      <c r="H10281" s="6" t="n">
        <f aca="false">Sens!H10278-Sens!H10280</f>
        <v>8.45061586173276</v>
      </c>
      <c r="I10281" s="6" t="n">
        <f aca="false">Sens!I10278-Sens!I10280</f>
        <v>62.1438955984133</v>
      </c>
      <c r="J10281" s="6" t="n">
        <f aca="false">Sens!J10278-Sens!J10280</f>
        <v>124.82059851609</v>
      </c>
      <c r="K10281" s="6" t="n">
        <f aca="false">Sens!K10278-Sens!K10280</f>
        <v>152.445495343727</v>
      </c>
    </row>
    <row r="10282" customFormat="false" ht="15" hidden="false" customHeight="false" outlineLevel="0" collapsed="false">
      <c r="A10282" s="1" t="s">
        <v>955</v>
      </c>
      <c r="B10282" s="0" t="s">
        <v>98</v>
      </c>
      <c r="F10282" s="6" t="n">
        <f aca="false">debt_mat_27</f>
        <v>9.25</v>
      </c>
      <c r="G10282" s="6" t="n">
        <f aca="false">debt_mat_28</f>
        <v>0</v>
      </c>
      <c r="H10282" s="6" t="n">
        <f aca="false">debt_mat_29</f>
        <v>2.001</v>
      </c>
      <c r="I10282" s="6" t="n">
        <f aca="false">debt_mat_30</f>
        <v>0</v>
      </c>
      <c r="J10282" s="6" t="n">
        <f aca="false">debt_mat_31</f>
        <v>0.5</v>
      </c>
      <c r="K10282" s="6" t="n">
        <f aca="false">debt_mat_32</f>
        <v>0</v>
      </c>
    </row>
    <row r="10283" customFormat="false" ht="15" hidden="false" customHeight="false" outlineLevel="0" collapsed="false">
      <c r="A10283" s="1" t="s">
        <v>956</v>
      </c>
      <c r="B10283" s="0" t="s">
        <v>98</v>
      </c>
      <c r="E10283" s="6" t="n">
        <f aca="false">Q!M40</f>
        <v>22.271</v>
      </c>
      <c r="F10283" s="6" t="n">
        <f aca="false">MAX(0,MIN(bb_target,Sens!E10285+Sens!F10281-Sens!F10282-min_cash))</f>
        <v>0</v>
      </c>
      <c r="G10283" s="6" t="n">
        <f aca="false">MAX(0,MIN(bb_target,Sens!F10285+Sens!G10281-Sens!G10282-min_cash))</f>
        <v>0</v>
      </c>
      <c r="H10283" s="6" t="n">
        <f aca="false">MAX(0,MIN(bb_target,Sens!G10285+Sens!H10281-Sens!H10282-min_cash))</f>
        <v>6.44961586173276</v>
      </c>
      <c r="I10283" s="6" t="n">
        <f aca="false">MAX(0,MIN(bb_target,Sens!H10285+Sens!I10281-Sens!I10282-min_cash))</f>
        <v>22.271</v>
      </c>
      <c r="J10283" s="6" t="n">
        <f aca="false">MAX(0,MIN(bb_target,Sens!I10285+Sens!J10281-Sens!J10282-min_cash))</f>
        <v>22.271</v>
      </c>
      <c r="K10283" s="6" t="n">
        <f aca="false">MAX(0,MIN(bb_target,Sens!J10285+Sens!K10281-Sens!K10282-min_cash))</f>
        <v>22.271</v>
      </c>
    </row>
    <row r="10284" customFormat="false" ht="15" hidden="false" customHeight="false" outlineLevel="0" collapsed="false">
      <c r="A10284" s="1" t="s">
        <v>957</v>
      </c>
      <c r="B10284" s="0" t="s">
        <v>98</v>
      </c>
      <c r="F10284" s="6" t="n">
        <f aca="false">MAX(0,min_cash-(Sens!E10285+Sens!F10281-Sens!F10282-Sens!F10283))</f>
        <v>14.2704519311874</v>
      </c>
      <c r="G10284" s="6" t="n">
        <f aca="false">MAX(0,min_cash-(Sens!F10285+Sens!G10281-Sens!G10282-Sens!G10283))</f>
        <v>13.2597645183366</v>
      </c>
      <c r="H10284" s="6" t="n">
        <f aca="false">MAX(0,min_cash-(Sens!G10285+Sens!H10281-Sens!H10282-Sens!H10283))</f>
        <v>0</v>
      </c>
      <c r="I10284" s="6" t="n">
        <f aca="false">MAX(0,min_cash-(Sens!H10285+Sens!I10281-Sens!I10282-Sens!I10283))</f>
        <v>0</v>
      </c>
      <c r="J10284" s="6" t="n">
        <f aca="false">MAX(0,min_cash-(Sens!I10285+Sens!J10281-Sens!J10282-Sens!J10283))</f>
        <v>0</v>
      </c>
      <c r="K10284" s="6" t="n">
        <f aca="false">MAX(0,min_cash-(Sens!J10285+Sens!K10281-Sens!K10282-Sens!K10283))</f>
        <v>0</v>
      </c>
    </row>
    <row r="10285" customFormat="false" ht="15" hidden="false" customHeight="false" outlineLevel="0" collapsed="false">
      <c r="A10285" s="1" t="s">
        <v>958</v>
      </c>
      <c r="B10285" s="0" t="s">
        <v>98</v>
      </c>
      <c r="E10285" s="6" t="n">
        <f aca="false">cash_open</f>
        <v>76.843</v>
      </c>
      <c r="F10285" s="6" t="n">
        <f aca="false">Sens!E10285+Sens!F10281-Sens!F10282-Sens!F10283+Sens!F10284</f>
        <v>50</v>
      </c>
      <c r="G10285" s="6" t="n">
        <f aca="false">Sens!F10285+Sens!G10281-Sens!G10282-Sens!G10283+Sens!G10284</f>
        <v>50</v>
      </c>
      <c r="H10285" s="6" t="n">
        <f aca="false">Sens!G10285+Sens!H10281-Sens!H10282-Sens!H10283+Sens!H10284</f>
        <v>50</v>
      </c>
      <c r="I10285" s="6" t="n">
        <f aca="false">Sens!H10285+Sens!I10281-Sens!I10282-Sens!I10283+Sens!I10284</f>
        <v>89.8728955984133</v>
      </c>
      <c r="J10285" s="6" t="n">
        <f aca="false">Sens!I10285+Sens!J10281-Sens!J10282-Sens!J10283+Sens!J10284</f>
        <v>191.922494114504</v>
      </c>
      <c r="K10285" s="6" t="n">
        <f aca="false">Sens!J10285+Sens!K10281-Sens!K10282-Sens!K10283+Sens!K10284</f>
        <v>322.096989458231</v>
      </c>
    </row>
    <row r="10286" customFormat="false" ht="15" hidden="false" customHeight="false" outlineLevel="0" collapsed="false">
      <c r="A10286" s="1" t="s">
        <v>959</v>
      </c>
      <c r="B10286" s="0" t="s">
        <v>98</v>
      </c>
      <c r="E10286" s="6" t="n">
        <f aca="false">debt_face</f>
        <v>46.136</v>
      </c>
      <c r="F10286" s="6" t="n">
        <f aca="false">Sens!E10286-Sens!F10282+Sens!F10284</f>
        <v>51.1564519311874</v>
      </c>
      <c r="G10286" s="6" t="n">
        <f aca="false">Sens!F10286-Sens!G10282+Sens!G10284</f>
        <v>64.416216449524</v>
      </c>
      <c r="H10286" s="6" t="n">
        <f aca="false">Sens!G10286-Sens!H10282+Sens!H10284</f>
        <v>62.415216449524</v>
      </c>
      <c r="I10286" s="6" t="n">
        <f aca="false">Sens!H10286-Sens!I10282+Sens!I10284</f>
        <v>62.415216449524</v>
      </c>
      <c r="J10286" s="6" t="n">
        <f aca="false">Sens!I10286-Sens!J10282+Sens!J10284</f>
        <v>61.915216449524</v>
      </c>
      <c r="K10286" s="6" t="n">
        <f aca="false">Sens!J10286-Sens!K10282+Sens!K10284</f>
        <v>61.915216449524</v>
      </c>
    </row>
    <row r="10287" customFormat="false" ht="15" hidden="false" customHeight="false" outlineLevel="0" collapsed="false">
      <c r="A10287" s="1" t="s">
        <v>960</v>
      </c>
      <c r="B10287" s="0" t="s">
        <v>98</v>
      </c>
      <c r="E10287" s="6" t="n">
        <f aca="false">Sens!E10285-Sens!E10286</f>
        <v>30.707</v>
      </c>
      <c r="F10287" s="6" t="n">
        <f aca="false">Sens!F10285-Sens!F10286</f>
        <v>-1.1564519311874</v>
      </c>
      <c r="G10287" s="6" t="n">
        <f aca="false">Sens!G10285-Sens!G10286</f>
        <v>-14.416216449524</v>
      </c>
      <c r="H10287" s="6" t="n">
        <f aca="false">Sens!H10285-Sens!H10286</f>
        <v>-12.415216449524</v>
      </c>
      <c r="I10287" s="6" t="n">
        <f aca="false">Sens!I10285-Sens!I10286</f>
        <v>27.4576791488893</v>
      </c>
      <c r="J10287" s="6" t="n">
        <f aca="false">Sens!J10285-Sens!J10286</f>
        <v>130.00727766498</v>
      </c>
      <c r="K10287" s="6" t="n">
        <f aca="false">Sens!K10285-Sens!K10286</f>
        <v>260.181773008707</v>
      </c>
    </row>
    <row r="10288" customFormat="false" ht="15" hidden="false" customHeight="false" outlineLevel="0" collapsed="false">
      <c r="A10288" s="1" t="s">
        <v>961</v>
      </c>
      <c r="B10288" s="0" t="s">
        <v>75</v>
      </c>
      <c r="F10288" s="29" t="n">
        <f aca="false">px*(1+bb_g)^(Sens!F10152-base_fy-mid_yr)</f>
        <v>553.494156066711</v>
      </c>
      <c r="G10288" s="29" t="n">
        <f aca="false">px*(1+bb_g)^(Sens!G10152-base_fy-mid_yr)</f>
        <v>597.773688552047</v>
      </c>
      <c r="H10288" s="29" t="n">
        <f aca="false">px*(1+bb_g)^(Sens!H10152-base_fy-mid_yr)</f>
        <v>645.595583636211</v>
      </c>
      <c r="I10288" s="29" t="n">
        <f aca="false">px*(1+bb_g)^(Sens!I10152-base_fy-mid_yr)</f>
        <v>697.243230327108</v>
      </c>
      <c r="J10288" s="29" t="n">
        <f aca="false">px*(1+bb_g)^(Sens!J10152-base_fy-mid_yr)</f>
        <v>753.022688753277</v>
      </c>
      <c r="K10288" s="29" t="n">
        <f aca="false">px*(1+bb_g)^(Sens!K10152-base_fy-mid_yr)</f>
        <v>813.264503853539</v>
      </c>
    </row>
    <row r="10289" customFormat="false" ht="15" hidden="false" customHeight="false" outlineLevel="0" collapsed="false">
      <c r="A10289" s="1" t="s">
        <v>962</v>
      </c>
      <c r="B10289" s="1" t="s">
        <v>81</v>
      </c>
      <c r="E10289" s="14" t="n">
        <f aca="false">sh_out26</f>
        <v>7.427</v>
      </c>
      <c r="F10289" s="14" t="n">
        <f aca="false">Sens!E10289+sh_iss-Sens!F10283/Sens!F10288</f>
        <v>7.472</v>
      </c>
      <c r="G10289" s="14" t="n">
        <f aca="false">Sens!F10289+sh_iss-Sens!G10283/Sens!G10288</f>
        <v>7.517</v>
      </c>
      <c r="H10289" s="14" t="n">
        <f aca="false">Sens!G10289+sh_iss-Sens!H10283/Sens!H10288</f>
        <v>7.55200982035006</v>
      </c>
      <c r="I10289" s="14" t="n">
        <f aca="false">Sens!H10289+sh_iss-Sens!I10283/Sens!I10288</f>
        <v>7.56506831266479</v>
      </c>
      <c r="J10289" s="14" t="n">
        <f aca="false">Sens!I10289+sh_iss-Sens!J10283/Sens!J10288</f>
        <v>7.58049284258583</v>
      </c>
      <c r="K10289" s="14" t="n">
        <f aca="false">Sens!J10289+sh_iss-Sens!K10283/Sens!K10288</f>
        <v>7.59810814806827</v>
      </c>
    </row>
    <row r="10290" customFormat="false" ht="15" hidden="false" customHeight="false" outlineLevel="0" collapsed="false">
      <c r="A10290" s="1" t="s">
        <v>963</v>
      </c>
      <c r="B10290" s="1" t="s">
        <v>81</v>
      </c>
      <c r="E10290" s="14" t="n">
        <f aca="false">sh_dil26</f>
        <v>7.453</v>
      </c>
      <c r="F10290" s="14" t="n">
        <f aca="false">(Sens!E10289+Sens!F10289)/2+dil_gap</f>
        <v>7.4735</v>
      </c>
      <c r="G10290" s="14" t="n">
        <f aca="false">(Sens!F10289+Sens!G10289)/2+dil_gap</f>
        <v>7.5185</v>
      </c>
      <c r="H10290" s="14" t="n">
        <f aca="false">(Sens!G10289+Sens!H10289)/2+dil_gap</f>
        <v>7.55850491017503</v>
      </c>
      <c r="I10290" s="14" t="n">
        <f aca="false">(Sens!H10289+Sens!I10289)/2+dil_gap</f>
        <v>7.58253906650742</v>
      </c>
      <c r="J10290" s="14" t="n">
        <f aca="false">(Sens!I10289+Sens!J10289)/2+dil_gap</f>
        <v>7.59678057762531</v>
      </c>
      <c r="K10290" s="14" t="n">
        <f aca="false">(Sens!J10289+Sens!K10289)/2+dil_gap</f>
        <v>7.61330049532705</v>
      </c>
    </row>
    <row r="10291" customFormat="false" ht="17.15" hidden="false" customHeight="false" outlineLevel="0" collapsed="false">
      <c r="A10291" s="1" t="s">
        <v>964</v>
      </c>
      <c r="B10291" s="0" t="s">
        <v>98</v>
      </c>
      <c r="C10291" s="6" t="n">
        <f aca="false">SUM(Sens!F10281:J10281)</f>
        <v>150.291893526712</v>
      </c>
    </row>
    <row r="10292" customFormat="false" ht="15" hidden="false" customHeight="false" outlineLevel="0" collapsed="false">
      <c r="A10292" s="23" t="s">
        <v>935</v>
      </c>
      <c r="B10292" s="30" t="s">
        <v>98</v>
      </c>
      <c r="C10292" s="24" t="n">
        <f aca="false">Sens!$C$10291-(Sens!F10281+Sens!G10281+Sens!H10281+Sens!I10281+Sens!J10281)</f>
        <v>0</v>
      </c>
      <c r="D10292" s="30"/>
      <c r="E10292" s="30"/>
      <c r="F10292" s="30"/>
      <c r="G10292" s="30"/>
      <c r="H10292" s="30"/>
      <c r="I10292" s="30"/>
      <c r="J10292" s="30"/>
      <c r="K10292" s="30"/>
    </row>
    <row r="10293" customFormat="false" ht="17.15" hidden="false" customHeight="false" outlineLevel="0" collapsed="false">
      <c r="A10293" s="1" t="s">
        <v>929</v>
      </c>
      <c r="B10293" s="1" t="s">
        <v>965</v>
      </c>
      <c r="C10293" s="32" t="str">
        <f aca="false">IF(SUM(Sens!F10284:J10284)&gt;0.05,"需要舉債 "&amp;TEXT(SUM(Sens!F10284:J10284),"0.0")&amp;" 十億美元","不需舉債")&amp;"；"&amp;IF(SUM(Sens!F10283:J10283)&lt;COUNT(Sens!F10283:J10283)*bb_target-0.05,"回購較每年 "&amp;TEXT(bb_target,"0.0")&amp;" 的目標少 "&amp;TEXT(COUNT(Sens!F10283:J10283)*bb_target-SUM(Sens!F10283:J10283),"0.0")&amp;" 十億美元（"&amp;TEXT(COUNTIF(Sens!F10283:J10283,"&lt;"&amp;(bb_target-0.05)),"0")&amp;" 年減少）","回購不減")</f>
        <v>需要舉債 27.5 十億美元；回購較每年 22.3 的目標少 60.4 十億美元（3 年減少）</v>
      </c>
    </row>
    <row r="10294" customFormat="false" ht="17.15" hidden="false" customHeight="false" outlineLevel="0" collapsed="false">
      <c r="A10294" s="3" t="s">
        <v>1503</v>
      </c>
    </row>
    <row r="10295" customFormat="false" ht="15" hidden="false" customHeight="false" outlineLevel="0" collapsed="false">
      <c r="A10295" s="4" t="s">
        <v>43</v>
      </c>
      <c r="B10295" s="4" t="s">
        <v>65</v>
      </c>
      <c r="C10295" s="20" t="s">
        <v>788</v>
      </c>
      <c r="D10295" s="20" t="s">
        <v>789</v>
      </c>
      <c r="E10295" s="20" t="s">
        <v>790</v>
      </c>
      <c r="F10295" s="20" t="s">
        <v>791</v>
      </c>
      <c r="G10295" s="20" t="s">
        <v>792</v>
      </c>
      <c r="H10295" s="20" t="s">
        <v>793</v>
      </c>
      <c r="I10295" s="20" t="s">
        <v>794</v>
      </c>
      <c r="J10295" s="20" t="s">
        <v>795</v>
      </c>
      <c r="K10295" s="20" t="s">
        <v>796</v>
      </c>
      <c r="L10295" s="4" t="s">
        <v>47</v>
      </c>
    </row>
    <row r="10296" customFormat="false" ht="15" hidden="false" customHeight="false" outlineLevel="0" collapsed="false">
      <c r="A10296" s="1" t="s">
        <v>1042</v>
      </c>
      <c r="B10296" s="1" t="s">
        <v>235</v>
      </c>
      <c r="F10296" s="36" t="n">
        <f aca="false">Sens!F10152-base_fy-mid_yr</f>
        <v>0.5</v>
      </c>
      <c r="G10296" s="36" t="n">
        <f aca="false">Sens!G10152-base_fy-mid_yr</f>
        <v>1.5</v>
      </c>
      <c r="H10296" s="36" t="n">
        <f aca="false">Sens!H10152-base_fy-mid_yr</f>
        <v>2.5</v>
      </c>
      <c r="I10296" s="36" t="n">
        <f aca="false">Sens!I10152-base_fy-mid_yr</f>
        <v>3.5</v>
      </c>
      <c r="J10296" s="36" t="n">
        <f aca="false">Sens!J10152-base_fy-mid_yr</f>
        <v>4.5</v>
      </c>
      <c r="K10296" s="36" t="n">
        <f aca="false">Sens!K10152-base_fy-mid_yr</f>
        <v>5.5</v>
      </c>
    </row>
    <row r="10297" customFormat="false" ht="15" hidden="false" customHeight="false" outlineLevel="0" collapsed="false">
      <c r="A10297" s="1" t="s">
        <v>1043</v>
      </c>
      <c r="B10297" s="0" t="s">
        <v>185</v>
      </c>
      <c r="F10297" s="14" t="n">
        <f aca="false">1/(1+wacc)^Sens!F10296</f>
        <v>0.952193373608246</v>
      </c>
      <c r="G10297" s="14" t="n">
        <f aca="false">1/(1+wacc)^Sens!G10296</f>
        <v>0.863327280626589</v>
      </c>
      <c r="H10297" s="14" t="n">
        <f aca="false">1/(1+wacc)^Sens!H10296</f>
        <v>0.782754862754115</v>
      </c>
      <c r="I10297" s="14" t="n">
        <f aca="false">1/(1+wacc)^Sens!I10296</f>
        <v>0.709702089711011</v>
      </c>
      <c r="J10297" s="14" t="n">
        <f aca="false">1/(1+wacc)^Sens!J10296</f>
        <v>0.643467169744551</v>
      </c>
      <c r="K10297" s="14" t="n">
        <f aca="false">1/(1+wacc)^Sens!K10296</f>
        <v>0.583413807767797</v>
      </c>
    </row>
    <row r="10298" customFormat="false" ht="17.15" hidden="false" customHeight="false" outlineLevel="0" collapsed="false">
      <c r="A10298" s="1" t="s">
        <v>1044</v>
      </c>
      <c r="B10298" s="0" t="s">
        <v>98</v>
      </c>
      <c r="F10298" s="6" t="n">
        <f aca="false">Sens!F10272-Sens!F10270-Sens!F10275+Sens!F10256*(1-tax_f)</f>
        <v>2.78376719394855</v>
      </c>
      <c r="G10298" s="6" t="n">
        <f aca="false">Sens!G10272-Sens!G10270-Sens!G10275+Sens!G10256*(1-tax_f)</f>
        <v>35.4100376272459</v>
      </c>
      <c r="H10298" s="6" t="n">
        <f aca="false">Sens!H10272-Sens!H10270-Sens!H10275+Sens!H10256*(1-tax_f)</f>
        <v>71.8068841733438</v>
      </c>
      <c r="I10298" s="6" t="n">
        <f aca="false">Sens!I10272-Sens!I10270-Sens!I10275+Sens!I10256*(1-tax_f)</f>
        <v>139.295615458857</v>
      </c>
      <c r="J10298" s="6" t="n">
        <f aca="false">Sens!J10272-Sens!J10270-Sens!J10275+Sens!J10256*(1-tax_f)</f>
        <v>212.384921739285</v>
      </c>
      <c r="K10298" s="6" t="n">
        <f aca="false">Sens!K10272-Sens!K10270-Sens!K10275+Sens!K10256*(1-tax_f)</f>
        <v>247.298248565859</v>
      </c>
      <c r="L10298" s="1" t="s">
        <v>1045</v>
      </c>
    </row>
    <row r="10299" customFormat="false" ht="15" hidden="false" customHeight="false" outlineLevel="0" collapsed="false">
      <c r="A10299" s="1" t="s">
        <v>1046</v>
      </c>
      <c r="B10299" s="0" t="s">
        <v>98</v>
      </c>
      <c r="F10299" s="6" t="n">
        <f aca="false">Sens!F10298*Sens!F10297</f>
        <v>2.65068467574583</v>
      </c>
      <c r="G10299" s="6" t="n">
        <f aca="false">Sens!G10298*Sens!G10297</f>
        <v>30.5704514916154</v>
      </c>
      <c r="H10299" s="6" t="n">
        <f aca="false">Sens!H10298*Sens!H10297</f>
        <v>56.2071877659064</v>
      </c>
      <c r="I10299" s="6" t="n">
        <f aca="false">Sens!I10298*Sens!I10297</f>
        <v>98.8583893787323</v>
      </c>
      <c r="J10299" s="6" t="n">
        <f aca="false">Sens!J10298*Sens!J10297</f>
        <v>136.662724487995</v>
      </c>
      <c r="K10299" s="6" t="n">
        <f aca="false">Sens!K10298*Sens!K10297</f>
        <v>144.277212850115</v>
      </c>
    </row>
    <row r="10300" customFormat="false" ht="17.15" hidden="false" customHeight="false" outlineLevel="0" collapsed="false">
      <c r="A10300" s="1" t="s">
        <v>1047</v>
      </c>
      <c r="B10300" s="0" t="s">
        <v>98</v>
      </c>
      <c r="C10300" s="6" t="n">
        <f aca="false">SUM(Sens!F10299:K10299)</f>
        <v>469.22665065011</v>
      </c>
    </row>
    <row r="10301" customFormat="false" ht="17.15" hidden="false" customHeight="false" outlineLevel="0" collapsed="false">
      <c r="A10301" s="1" t="s">
        <v>1048</v>
      </c>
      <c r="B10301" s="0" t="s">
        <v>98</v>
      </c>
      <c r="C10301" s="6" t="n">
        <f aca="false">Sens!K10242*(1+g_tv)*(1-tax_f)</f>
        <v>255.24497734447</v>
      </c>
    </row>
    <row r="10302" customFormat="false" ht="17.15" hidden="false" customHeight="false" outlineLevel="0" collapsed="false">
      <c r="A10302" s="1" t="s">
        <v>1049</v>
      </c>
      <c r="B10302" s="0" t="s">
        <v>98</v>
      </c>
      <c r="C10302" s="6" t="n">
        <f aca="false">Sens!$C$10301*(1-g_tv/(wacc+ronic_prem))</f>
        <v>180.854415728394</v>
      </c>
    </row>
    <row r="10303" customFormat="false" ht="17.15" hidden="false" customHeight="false" outlineLevel="0" collapsed="false">
      <c r="A10303" s="1" t="s">
        <v>1050</v>
      </c>
      <c r="B10303" s="0" t="s">
        <v>98</v>
      </c>
      <c r="C10303" s="6" t="n">
        <f aca="false">Sens!$C$10302/(wacc-g_tv)</f>
        <v>2479.68538720252</v>
      </c>
    </row>
    <row r="10304" customFormat="false" ht="15" hidden="false" customHeight="false" outlineLevel="0" collapsed="false">
      <c r="A10304" s="1" t="s">
        <v>1051</v>
      </c>
      <c r="B10304" s="0" t="s">
        <v>98</v>
      </c>
      <c r="C10304" s="6" t="n">
        <f aca="false">Sens!$C$10303/(1+wacc)^(Sens!K10296+mid_yr)</f>
        <v>1377.52167476341</v>
      </c>
    </row>
    <row r="10305" customFormat="false" ht="17.15" hidden="false" customHeight="false" outlineLevel="0" collapsed="false">
      <c r="A10305" s="0" t="s">
        <v>972</v>
      </c>
      <c r="B10305" s="0" t="s">
        <v>98</v>
      </c>
      <c r="C10305" s="6" t="n">
        <f aca="false">Sens!$C$10300+Sens!$C$10304</f>
        <v>1846.74832541352</v>
      </c>
    </row>
    <row r="10306" customFormat="false" ht="15" hidden="false" customHeight="false" outlineLevel="0" collapsed="false">
      <c r="A10306" s="1" t="s">
        <v>973</v>
      </c>
      <c r="B10306" s="0" t="s">
        <v>129</v>
      </c>
      <c r="C10306" s="7" t="n">
        <f aca="false">Sens!$C$10304/Sens!$C$10305</f>
        <v>0.745917381273356</v>
      </c>
    </row>
    <row r="10307" customFormat="false" ht="17.15" hidden="false" customHeight="false" outlineLevel="0" collapsed="false">
      <c r="A10307" s="1" t="s">
        <v>1052</v>
      </c>
      <c r="B10307" s="0" t="s">
        <v>98</v>
      </c>
      <c r="C10307" s="6" t="n">
        <f aca="false">Sens!$C$10305+Sens!E10287-Sens!E10276+oai_v</f>
        <v>1981.26132541352</v>
      </c>
    </row>
    <row r="10308" customFormat="false" ht="17.15" hidden="false" customHeight="false" outlineLevel="0" collapsed="false">
      <c r="A10308" s="0" t="s">
        <v>980</v>
      </c>
      <c r="B10308" s="0" t="s">
        <v>75</v>
      </c>
      <c r="C10308" s="5" t="n">
        <f aca="false">Sens!$C$10307/sh_dil26</f>
        <v>265.834070228568</v>
      </c>
    </row>
    <row r="10309" customFormat="false" ht="15" hidden="false" customHeight="false" outlineLevel="0" collapsed="false">
      <c r="A10309" s="1" t="s">
        <v>1053</v>
      </c>
      <c r="B10309" s="0" t="s">
        <v>75</v>
      </c>
      <c r="C10309" s="8" t="n">
        <f aca="false">dps_27+Sens!G10279*roll_div_q/q_per_yr</f>
        <v>4.8895</v>
      </c>
    </row>
    <row r="10310" customFormat="false" ht="17.15" hidden="false" customHeight="false" outlineLevel="0" collapsed="false">
      <c r="A10310" s="0" t="s">
        <v>1054</v>
      </c>
      <c r="B10310" s="0" t="s">
        <v>75</v>
      </c>
      <c r="C10310" s="5" t="n">
        <f aca="false">Sens!$C$10308*(1+wacc)^t_roll-Sens!$C$10309</f>
        <v>297.824631842801</v>
      </c>
    </row>
    <row r="10311" customFormat="false" ht="17.15" hidden="false" customHeight="false" outlineLevel="0" collapsed="false">
      <c r="A10311" s="1" t="s">
        <v>1055</v>
      </c>
      <c r="B10311" s="0" t="s">
        <v>129</v>
      </c>
      <c r="F10311" s="7" t="n">
        <f aca="false">Sens!F10268/(Sens!F10213-Sens!F10169)</f>
        <v>0.0687142764890945</v>
      </c>
      <c r="G10311" s="7" t="n">
        <f aca="false">Sens!G10268/(Sens!G10213-Sens!G10169)</f>
        <v>0.0663343725797397</v>
      </c>
      <c r="H10311" s="7" t="n">
        <f aca="false">Sens!H10268/(Sens!H10213-Sens!H10169)</f>
        <v>0.0651495871273656</v>
      </c>
      <c r="I10311" s="7" t="n">
        <f aca="false">Sens!I10268/(Sens!I10213-Sens!I10169)</f>
        <v>0.0650218415163916</v>
      </c>
      <c r="J10311" s="7" t="n">
        <f aca="false">Sens!J10268/(Sens!J10213-Sens!J10169)</f>
        <v>0.0657433251979357</v>
      </c>
      <c r="K10311" s="7" t="n">
        <f aca="false">Sens!K10268/(Sens!K10213-Sens!K10169)</f>
        <v>0.0670835909013031</v>
      </c>
    </row>
    <row r="10312" customFormat="false" ht="17.15" hidden="false" customHeight="false" outlineLevel="0" collapsed="false">
      <c r="A10312" s="0" t="s">
        <v>1056</v>
      </c>
      <c r="B10312" s="0" t="s">
        <v>98</v>
      </c>
      <c r="F10312" s="6" t="n">
        <f aca="false">Sens!F10198*(al_m365+Sens!F10311+sbc_r)</f>
        <v>82.8903966979708</v>
      </c>
      <c r="G10312" s="6" t="n">
        <f aca="false">Sens!G10198*(al_m365+Sens!G10311+sbc_r)</f>
        <v>93.2735791159014</v>
      </c>
      <c r="H10312" s="6" t="n">
        <f aca="false">Sens!H10198*(al_m365+Sens!H10311+sbc_r)</f>
        <v>103.818349450173</v>
      </c>
      <c r="I10312" s="6" t="n">
        <f aca="false">Sens!I10198*(al_m365+Sens!I10311+sbc_r)</f>
        <v>113.848538969094</v>
      </c>
      <c r="J10312" s="6" t="n">
        <f aca="false">Sens!J10198*(al_m365+Sens!J10311+sbc_r)</f>
        <v>123.175497545558</v>
      </c>
      <c r="K10312" s="6" t="n">
        <f aca="false">Sens!K10198*(al_m365+Sens!K10311+sbc_r)</f>
        <v>132.107127597505</v>
      </c>
      <c r="L10312" s="11" t="s">
        <v>1057</v>
      </c>
    </row>
    <row r="10313" customFormat="false" ht="17.15" hidden="false" customHeight="false" outlineLevel="0" collapsed="false">
      <c r="A10313" s="0" t="s">
        <v>1058</v>
      </c>
      <c r="B10313" s="0" t="s">
        <v>98</v>
      </c>
      <c r="F10313" s="6" t="n">
        <f aca="false">Sens!F10199*(al_lic+Sens!F10311+sbc_r)</f>
        <v>33.4494880432708</v>
      </c>
      <c r="G10313" s="6" t="n">
        <f aca="false">Sens!G10199*(al_lic+Sens!G10311+sbc_r)</f>
        <v>34.7689574637405</v>
      </c>
      <c r="H10313" s="6" t="n">
        <f aca="false">Sens!H10199*(al_lic+Sens!H10311+sbc_r)</f>
        <v>35.9969763847089</v>
      </c>
      <c r="I10313" s="6" t="n">
        <f aca="false">Sens!I10199*(al_lic+Sens!I10311+sbc_r)</f>
        <v>37.1135172827102</v>
      </c>
      <c r="J10313" s="6" t="n">
        <f aca="false">Sens!J10199*(al_lic+Sens!J10311+sbc_r)</f>
        <v>38.0953233963473</v>
      </c>
      <c r="K10313" s="6" t="n">
        <f aca="false">Sens!K10199*(al_lic+Sens!K10311+sbc_r)</f>
        <v>38.9182747954189</v>
      </c>
    </row>
    <row r="10314" customFormat="false" ht="17.15" hidden="false" customHeight="false" outlineLevel="0" collapsed="false">
      <c r="A10314" s="0" t="s">
        <v>1059</v>
      </c>
      <c r="B10314" s="0" t="s">
        <v>98</v>
      </c>
      <c r="F10314" s="6" t="n">
        <f aca="false">Sens!F10201*(al_ind+Sens!F10311+sbc_r)</f>
        <v>9.07919703167109</v>
      </c>
      <c r="G10314" s="6" t="n">
        <f aca="false">Sens!G10201*(al_ind+Sens!G10311+sbc_r)</f>
        <v>9.86652452113005</v>
      </c>
      <c r="H10314" s="6" t="n">
        <f aca="false">Sens!H10201*(al_ind+Sens!H10311+sbc_r)</f>
        <v>10.6968115622176</v>
      </c>
      <c r="I10314" s="6" t="n">
        <f aca="false">Sens!I10201*(al_ind+Sens!I10311+sbc_r)</f>
        <v>11.5655929433287</v>
      </c>
      <c r="J10314" s="6" t="n">
        <f aca="false">Sens!J10201*(al_ind+Sens!J10311+sbc_r)</f>
        <v>12.4643526639455</v>
      </c>
      <c r="K10314" s="6" t="n">
        <f aca="false">Sens!K10201*(al_ind+Sens!K10311+sbc_r)</f>
        <v>13.381198168005</v>
      </c>
    </row>
    <row r="10315" customFormat="false" ht="17.15" hidden="false" customHeight="false" outlineLevel="0" collapsed="false">
      <c r="A10315" s="0" t="s">
        <v>1060</v>
      </c>
      <c r="B10315" s="0" t="s">
        <v>98</v>
      </c>
      <c r="F10315" s="6" t="n">
        <f aca="false">Sens!F10203*(al_fro+Sens!F10311+sbc_r)</f>
        <v>3.57360382691915</v>
      </c>
      <c r="G10315" s="6" t="n">
        <f aca="false">Sens!G10203*(al_fro+Sens!G10311+sbc_r)</f>
        <v>3.78816209067344</v>
      </c>
      <c r="H10315" s="6" t="n">
        <f aca="false">Sens!H10203*(al_fro+Sens!H10311+sbc_r)</f>
        <v>4.03092472233709</v>
      </c>
      <c r="I10315" s="6" t="n">
        <f aca="false">Sens!I10203*(al_fro+Sens!I10311+sbc_r)</f>
        <v>4.30424297959838</v>
      </c>
      <c r="J10315" s="6" t="n">
        <f aca="false">Sens!J10203*(al_fro+Sens!J10311+sbc_r)</f>
        <v>4.60979661931111</v>
      </c>
      <c r="K10315" s="6" t="n">
        <f aca="false">Sens!K10203*(al_fro+Sens!K10311+sbc_r)</f>
        <v>4.94888132101967</v>
      </c>
    </row>
    <row r="10316" customFormat="false" ht="17.15" hidden="false" customHeight="false" outlineLevel="0" collapsed="false">
      <c r="A10316" s="0" t="s">
        <v>1061</v>
      </c>
      <c r="B10316" s="0" t="s">
        <v>98</v>
      </c>
      <c r="F10316" s="6" t="n">
        <f aca="false">Sens!F10206*(al_srch+Sens!F10311+sbc_r)</f>
        <v>11.2129395108242</v>
      </c>
      <c r="G10316" s="6" t="n">
        <f aca="false">Sens!G10206*(al_srch+Sens!G10311+sbc_r)</f>
        <v>12.3002733811874</v>
      </c>
      <c r="H10316" s="6" t="n">
        <f aca="false">Sens!H10206*(al_srch+Sens!H10311+sbc_r)</f>
        <v>13.4302350607701</v>
      </c>
      <c r="I10316" s="6" t="n">
        <f aca="false">Sens!I10206*(al_srch+Sens!I10311+sbc_r)</f>
        <v>14.5902596817295</v>
      </c>
      <c r="J10316" s="6" t="n">
        <f aca="false">Sens!J10206*(al_srch+Sens!J10311+sbc_r)</f>
        <v>15.7617542150763</v>
      </c>
      <c r="K10316" s="6" t="n">
        <f aca="false">Sens!K10206*(al_srch+Sens!K10311+sbc_r)</f>
        <v>16.9211480382297</v>
      </c>
    </row>
    <row r="10317" customFormat="false" ht="17.15" hidden="false" customHeight="false" outlineLevel="0" collapsed="false">
      <c r="A10317" s="0" t="s">
        <v>1062</v>
      </c>
      <c r="B10317" s="0" t="s">
        <v>98</v>
      </c>
      <c r="F10317" s="6" t="n">
        <f aca="false">Sens!F10175-Sens!F10176+Sens!F10256</f>
        <v>49.3166695044068</v>
      </c>
      <c r="G10317" s="6" t="n">
        <f aca="false">Sens!G10175-Sens!G10176+Sens!G10256</f>
        <v>79.1711235199867</v>
      </c>
      <c r="H10317" s="6" t="n">
        <f aca="false">Sens!H10175-Sens!H10176+Sens!H10256</f>
        <v>105.986955995322</v>
      </c>
      <c r="I10317" s="6" t="n">
        <f aca="false">Sens!I10175-Sens!I10176+Sens!I10256</f>
        <v>136.51312421941</v>
      </c>
      <c r="J10317" s="6" t="n">
        <f aca="false">Sens!J10175-Sens!J10176+Sens!J10256</f>
        <v>158.045869188803</v>
      </c>
      <c r="K10317" s="6" t="n">
        <f aca="false">Sens!K10175-Sens!K10176+Sens!K10256</f>
        <v>171.626834186355</v>
      </c>
    </row>
    <row r="10318" customFormat="false" ht="17.15" hidden="false" customHeight="false" outlineLevel="0" collapsed="false">
      <c r="A10318" s="0" t="s">
        <v>1063</v>
      </c>
      <c r="B10318" s="0" t="s">
        <v>98</v>
      </c>
      <c r="F10318" s="6" t="n">
        <f aca="false">Sens!F10235+Sens!F10256+Sens!F10186+Sens!F10311*(Sens!F10205-Sens!F10169)+sbc_r*Sens!F10205</f>
        <v>239.229528117329</v>
      </c>
      <c r="G10318" s="6" t="n">
        <f aca="false">Sens!G10235+Sens!G10256+Sens!G10186+Sens!G10311*(Sens!G10205-Sens!G10169)+sbc_r*Sens!G10205</f>
        <v>293.910122005667</v>
      </c>
      <c r="H10318" s="6" t="n">
        <f aca="false">Sens!H10235+Sens!H10256+Sens!H10186+Sens!H10311*(Sens!H10205-Sens!H10169)+sbc_r*Sens!H10205</f>
        <v>345.83538350462</v>
      </c>
      <c r="I10318" s="6" t="n">
        <f aca="false">Sens!I10235+Sens!I10256+Sens!I10186+Sens!I10311*(Sens!I10205-Sens!I10169)+sbc_r*Sens!I10205</f>
        <v>400.864986130291</v>
      </c>
      <c r="J10318" s="6" t="n">
        <f aca="false">Sens!J10235+Sens!J10256+Sens!J10186+Sens!J10311*(Sens!J10205-Sens!J10169)+sbc_r*Sens!J10205</f>
        <v>445.012129905673</v>
      </c>
      <c r="K10318" s="6" t="n">
        <f aca="false">Sens!K10235+Sens!K10256+Sens!K10186+Sens!K10311*(Sens!K10205-Sens!K10169)+sbc_r*Sens!K10205</f>
        <v>478.914458410788</v>
      </c>
    </row>
    <row r="10319" customFormat="false" ht="17.15" hidden="false" customHeight="false" outlineLevel="0" collapsed="false">
      <c r="A10319" s="0" t="s">
        <v>1064</v>
      </c>
      <c r="B10319" s="0" t="s">
        <v>98</v>
      </c>
      <c r="F10319" s="6" t="n">
        <f aca="false">Sens!F10318-Sens!F10312-Sens!F10313-Sens!F10314-Sens!F10315-Sens!F10317</f>
        <v>60.9201730130907</v>
      </c>
      <c r="G10319" s="6" t="n">
        <f aca="false">Sens!G10318-Sens!G10312-Sens!G10313-Sens!G10314-Sens!G10315-Sens!G10317</f>
        <v>73.041775294235</v>
      </c>
      <c r="H10319" s="6" t="n">
        <f aca="false">Sens!H10318-Sens!H10312-Sens!H10313-Sens!H10314-Sens!H10315-Sens!H10317</f>
        <v>85.3053653898612</v>
      </c>
      <c r="I10319" s="6" t="n">
        <f aca="false">Sens!I10318-Sens!I10312-Sens!I10313-Sens!I10314-Sens!I10315-Sens!I10317</f>
        <v>97.5199697361499</v>
      </c>
      <c r="J10319" s="6" t="n">
        <f aca="false">Sens!J10318-Sens!J10312-Sens!J10313-Sens!J10314-Sens!J10315-Sens!J10317</f>
        <v>108.621290491707</v>
      </c>
      <c r="K10319" s="6" t="n">
        <f aca="false">Sens!K10318-Sens!K10312-Sens!K10313-Sens!K10314-Sens!K10315-Sens!K10317</f>
        <v>117.932142342485</v>
      </c>
    </row>
    <row r="10320" customFormat="false" ht="17.15" hidden="false" customHeight="false" outlineLevel="0" collapsed="false">
      <c r="A10320" s="0" t="s">
        <v>1065</v>
      </c>
      <c r="B10320" s="0" t="s">
        <v>98</v>
      </c>
      <c r="F10320" s="6" t="n">
        <f aca="false">Sens!F10237+Sens!F10311*Sens!F10212+sbc_r*Sens!F10212</f>
        <v>26.1483273023408</v>
      </c>
      <c r="G10320" s="6" t="n">
        <f aca="false">Sens!G10237+Sens!G10311*Sens!G10212+sbc_r*Sens!G10212</f>
        <v>26.6804384409046</v>
      </c>
      <c r="H10320" s="6" t="n">
        <f aca="false">Sens!H10237+Sens!H10311*Sens!H10212+sbc_r*Sens!H10212</f>
        <v>27.4289552762395</v>
      </c>
      <c r="I10320" s="6" t="n">
        <f aca="false">Sens!I10237+Sens!I10311*Sens!I10212+sbc_r*Sens!I10212</f>
        <v>28.3619895737906</v>
      </c>
      <c r="J10320" s="6" t="n">
        <f aca="false">Sens!J10237+Sens!J10311*Sens!J10212+sbc_r*Sens!J10212</f>
        <v>29.4447302610936</v>
      </c>
      <c r="K10320" s="6" t="n">
        <f aca="false">Sens!K10237+Sens!K10311*Sens!K10212+sbc_r*Sens!K10212</f>
        <v>30.6411335161958</v>
      </c>
    </row>
    <row r="10321" customFormat="false" ht="17.15" hidden="false" customHeight="false" outlineLevel="0" collapsed="false">
      <c r="A10321" s="0" t="s">
        <v>1066</v>
      </c>
      <c r="B10321" s="0" t="s">
        <v>98</v>
      </c>
      <c r="F10321" s="6" t="n">
        <f aca="false">(Sens!F10320-Sens!F10316)*Sens!F10208/(Sens!F10208+Sens!F10210)</f>
        <v>8.16121350979841</v>
      </c>
      <c r="G10321" s="6" t="n">
        <f aca="false">(Sens!G10320-Sens!G10316)*Sens!G10208/(Sens!G10208+Sens!G10210)</f>
        <v>7.66711115102929</v>
      </c>
      <c r="H10321" s="6" t="n">
        <f aca="false">(Sens!H10320-Sens!H10316)*Sens!H10208/(Sens!H10208+Sens!H10210)</f>
        <v>7.28936928829275</v>
      </c>
      <c r="I10321" s="6" t="n">
        <f aca="false">(Sens!I10320-Sens!I10316)*Sens!I10208/(Sens!I10208+Sens!I10210)</f>
        <v>7.01087486561138</v>
      </c>
      <c r="J10321" s="6" t="n">
        <f aca="false">(Sens!J10320-Sens!J10316)*Sens!J10208/(Sens!J10208+Sens!J10210)</f>
        <v>6.81765591184616</v>
      </c>
      <c r="K10321" s="6" t="n">
        <f aca="false">(Sens!K10320-Sens!K10316)*Sens!K10208/(Sens!K10208+Sens!K10210)</f>
        <v>6.69890753514338</v>
      </c>
    </row>
    <row r="10322" customFormat="false" ht="17.15" hidden="false" customHeight="false" outlineLevel="0" collapsed="false">
      <c r="A10322" s="0" t="s">
        <v>1067</v>
      </c>
      <c r="B10322" s="0" t="s">
        <v>98</v>
      </c>
      <c r="F10322" s="6" t="n">
        <f aca="false">Sens!F10320-Sens!F10316-Sens!F10321</f>
        <v>6.77417428171813</v>
      </c>
      <c r="G10322" s="6" t="n">
        <f aca="false">Sens!G10320-Sens!G10316-Sens!G10321</f>
        <v>6.71305390868793</v>
      </c>
      <c r="H10322" s="6" t="n">
        <f aca="false">Sens!H10320-Sens!H10316-Sens!H10321</f>
        <v>6.7093509271766</v>
      </c>
      <c r="I10322" s="6" t="n">
        <f aca="false">Sens!I10320-Sens!I10316-Sens!I10321</f>
        <v>6.76085502644971</v>
      </c>
      <c r="J10322" s="6" t="n">
        <f aca="false">Sens!J10320-Sens!J10316-Sens!J10321</f>
        <v>6.86532013417112</v>
      </c>
      <c r="K10322" s="6" t="n">
        <f aca="false">Sens!K10320-Sens!K10316-Sens!K10321</f>
        <v>7.02107794282275</v>
      </c>
    </row>
    <row r="10323" customFormat="false" ht="17.15" hidden="false" customHeight="false" outlineLevel="0" collapsed="false">
      <c r="A10323" s="0" t="s">
        <v>1068</v>
      </c>
      <c r="B10323" s="0" t="s">
        <v>98</v>
      </c>
      <c r="F10323" s="6" t="n">
        <f aca="false">Sens!F10317-tax_f*(Sens!F10317-Sens!F10186)-Sens!F10183</f>
        <v>-122.370995442405</v>
      </c>
      <c r="G10323" s="6" t="n">
        <f aca="false">Sens!G10317-tax_f*(Sens!G10317-Sens!G10186)-Sens!G10183</f>
        <v>-108.130789748476</v>
      </c>
      <c r="H10323" s="6" t="n">
        <f aca="false">Sens!H10317-tax_f*(Sens!H10317-Sens!H10186)-Sens!H10183</f>
        <v>-85.7371126488475</v>
      </c>
      <c r="I10323" s="6" t="n">
        <f aca="false">Sens!I10317-tax_f*(Sens!I10317-Sens!I10186)-Sens!I10183</f>
        <v>-32.0936165156064</v>
      </c>
      <c r="J10323" s="6" t="n">
        <f aca="false">Sens!J10317-tax_f*(Sens!J10317-Sens!J10186)-Sens!J10183</f>
        <v>27.766106084152</v>
      </c>
      <c r="K10323" s="6" t="n">
        <f aca="false">Sens!K10317-tax_f*(Sens!K10317-Sens!K10186)-Sens!K10183</f>
        <v>50.2767063347093</v>
      </c>
    </row>
    <row r="10324" customFormat="false" ht="17.15" hidden="false" customHeight="false" outlineLevel="0" collapsed="false">
      <c r="A10324" s="0" t="s">
        <v>1069</v>
      </c>
      <c r="B10324" s="0" t="s">
        <v>98</v>
      </c>
      <c r="F10324" s="6" t="n">
        <f aca="false">Sens!F10323*Sens!F10297</f>
        <v>-116.520850982103</v>
      </c>
      <c r="G10324" s="6" t="n">
        <f aca="false">Sens!G10323*Sens!G10297</f>
        <v>-93.3522606655572</v>
      </c>
      <c r="H10324" s="6" t="n">
        <f aca="false">Sens!H10323*Sens!H10297</f>
        <v>-67.1111418443827</v>
      </c>
      <c r="I10324" s="6" t="n">
        <f aca="false">Sens!I10323*Sens!I10297</f>
        <v>-22.7769067075097</v>
      </c>
      <c r="J10324" s="6" t="n">
        <f aca="false">Sens!J10323*Sens!J10297</f>
        <v>17.8665776967962</v>
      </c>
      <c r="K10324" s="6" t="n">
        <f aca="false">Sens!K10323*Sens!K10297</f>
        <v>29.3321246847561</v>
      </c>
    </row>
    <row r="10325" customFormat="false" ht="17.15" hidden="false" customHeight="false" outlineLevel="0" collapsed="false">
      <c r="A10325" s="0" t="s">
        <v>1070</v>
      </c>
      <c r="B10325" s="0" t="s">
        <v>98</v>
      </c>
      <c r="C10325" s="6" t="n">
        <f aca="false">(Sens!K10317-Sens!K10186)*(1-tax_f)*(1+g_tv)*(1-g_tv/(wacc+ronic_prem))/(wacc-g_tv)/(1+wacc)^(Sens!K10296+mid_yr)</f>
        <v>142.097472647982</v>
      </c>
    </row>
    <row r="10326" customFormat="false" ht="17.15" hidden="false" customHeight="false" outlineLevel="0" collapsed="false">
      <c r="A10326" s="1" t="s">
        <v>1071</v>
      </c>
      <c r="B10326" s="0" t="s">
        <v>98</v>
      </c>
      <c r="C10326" s="6" t="n">
        <f aca="false">(SUM(Sens!F10324:K10324)+Sens!$C$10325)*(1+wacc)^t_roll</f>
        <v>-125.790166986566</v>
      </c>
      <c r="L10326" s="11" t="s">
        <v>1072</v>
      </c>
    </row>
    <row r="10327" customFormat="false" ht="17.15" hidden="false" customHeight="false" outlineLevel="0" collapsed="false">
      <c r="A10327" s="1" t="s">
        <v>1073</v>
      </c>
      <c r="B10327" s="0" t="s">
        <v>98</v>
      </c>
      <c r="C10327" s="6" t="n">
        <f aca="false">(w_ntm28*Sens!G10175+(1-w_ntm28)*Sens!H10175)*m_ai</f>
        <v>338.776008390068</v>
      </c>
    </row>
    <row r="10328" customFormat="false" ht="17.15" hidden="false" customHeight="false" outlineLevel="0" collapsed="false">
      <c r="A10328" s="1" t="s">
        <v>1074</v>
      </c>
      <c r="B10328" s="0" t="s">
        <v>98</v>
      </c>
      <c r="C10328" s="6" t="n">
        <f aca="false">(w_ntm28*Sens!G10319+(1-w_ntm28)*Sens!H10319)*m_cloud</f>
        <v>1064.22903918097</v>
      </c>
    </row>
    <row r="10329" customFormat="false" ht="17.15" hidden="false" customHeight="false" outlineLevel="0" collapsed="false">
      <c r="A10329" s="1" t="s">
        <v>1075</v>
      </c>
      <c r="B10329" s="0" t="s">
        <v>98</v>
      </c>
      <c r="C10329" s="6" t="n">
        <f aca="false">(w_ntm28*Sens!G10312+(1-w_ntm28)*Sens!H10312)*m_sw</f>
        <v>1044.1717922983</v>
      </c>
    </row>
    <row r="10330" customFormat="false" ht="17.15" hidden="false" customHeight="false" outlineLevel="0" collapsed="false">
      <c r="A10330" s="1" t="s">
        <v>1076</v>
      </c>
      <c r="B10330" s="0" t="s">
        <v>98</v>
      </c>
      <c r="C10330" s="6" t="n">
        <f aca="false">(w_ntm28*Sens!G10313+(1-w_ntm28)*Sens!H10313)*m_sw</f>
        <v>379.792377082047</v>
      </c>
    </row>
    <row r="10331" customFormat="false" ht="17.15" hidden="false" customHeight="false" outlineLevel="0" collapsed="false">
      <c r="A10331" s="1" t="s">
        <v>1077</v>
      </c>
      <c r="B10331" s="0" t="s">
        <v>98</v>
      </c>
      <c r="C10331" s="6" t="n">
        <f aca="false">(w_ntm28*Sens!G10314+(1-w_ntm28)*Sens!H10314)*m_sw</f>
        <v>109.457417719059</v>
      </c>
    </row>
    <row r="10332" customFormat="false" ht="17.15" hidden="false" customHeight="false" outlineLevel="0" collapsed="false">
      <c r="A10332" s="1" t="s">
        <v>1078</v>
      </c>
      <c r="B10332" s="0" t="s">
        <v>98</v>
      </c>
      <c r="C10332" s="6" t="n">
        <f aca="false">(w_ntm28*Sens!G10315+(1-w_ntm28)*Sens!H10315)*m_sw</f>
        <v>41.7597579704846</v>
      </c>
    </row>
    <row r="10333" customFormat="false" ht="17.15" hidden="false" customHeight="false" outlineLevel="0" collapsed="false">
      <c r="A10333" s="1" t="s">
        <v>1079</v>
      </c>
      <c r="B10333" s="0" t="s">
        <v>98</v>
      </c>
      <c r="C10333" s="6" t="n">
        <f aca="false">(w_ntm28*Sens!G10316+(1-w_ntm28)*Sens!H10316)*m_ads</f>
        <v>115.383397917187</v>
      </c>
    </row>
    <row r="10334" customFormat="false" ht="17.15" hidden="false" customHeight="false" outlineLevel="0" collapsed="false">
      <c r="A10334" s="1" t="s">
        <v>1080</v>
      </c>
      <c r="B10334" s="0" t="s">
        <v>98</v>
      </c>
      <c r="C10334" s="6" t="n">
        <f aca="false">(w_ntm28*Sens!G10321+(1-w_ntm28)*Sens!H10321)*m_game</f>
        <v>95.293247241032</v>
      </c>
    </row>
    <row r="10335" customFormat="false" ht="17.15" hidden="false" customHeight="false" outlineLevel="0" collapsed="false">
      <c r="A10335" s="1" t="s">
        <v>1081</v>
      </c>
      <c r="B10335" s="0" t="s">
        <v>98</v>
      </c>
      <c r="C10335" s="6" t="n">
        <f aca="false">(w_ntm28*Sens!G10322+(1-w_ntm28)*Sens!H10322)*m_pc</f>
        <v>97.1205676126559</v>
      </c>
    </row>
    <row r="10336" customFormat="false" ht="17.15" hidden="false" customHeight="false" outlineLevel="0" collapsed="false">
      <c r="A10336" s="1" t="s">
        <v>1082</v>
      </c>
      <c r="B10336" s="0" t="s">
        <v>98</v>
      </c>
      <c r="C10336" s="6" t="n">
        <f aca="false">Sens!$C$10326+Sens!$C$10328+Sens!$C$10329+Sens!$C$10330+Sens!$C$10331+Sens!$C$10332+Sens!$C$10333+Sens!$C$10334+Sens!$C$10335</f>
        <v>2821.41743003516</v>
      </c>
    </row>
    <row r="10337" customFormat="false" ht="17.15" hidden="false" customHeight="false" outlineLevel="0" collapsed="false">
      <c r="A10337" s="1" t="s">
        <v>1000</v>
      </c>
      <c r="B10337" s="0" t="s">
        <v>98</v>
      </c>
      <c r="C10337" s="6" t="n">
        <f aca="false">Sens!F10287+oai_v-Sens!F10276</f>
        <v>106.773818068813</v>
      </c>
      <c r="L10337" s="1" t="s">
        <v>1083</v>
      </c>
    </row>
    <row r="10338" customFormat="false" ht="15" hidden="false" customHeight="false" outlineLevel="0" collapsed="false">
      <c r="A10338" s="1" t="s">
        <v>1001</v>
      </c>
      <c r="B10338" s="0" t="s">
        <v>75</v>
      </c>
      <c r="C10338" s="5" t="n">
        <f aca="false">(Sens!$C$10336+Sens!$C$10337)/Sens!F10289</f>
        <v>391.888550335115</v>
      </c>
    </row>
    <row r="10339" customFormat="false" ht="17.15" hidden="false" customHeight="false" outlineLevel="0" collapsed="false">
      <c r="A10339" s="1" t="s">
        <v>1084</v>
      </c>
      <c r="B10339" s="0" t="s">
        <v>75</v>
      </c>
      <c r="C10339" s="5" t="n">
        <f aca="false">w_dcf*Sens!$C$10310+(1-w_dcf)*Sens!$C$10338</f>
        <v>344.856591088958</v>
      </c>
    </row>
    <row r="10340" customFormat="false" ht="17.15" hidden="false" customHeight="false" outlineLevel="0" collapsed="false">
      <c r="A10340" s="3" t="s">
        <v>1504</v>
      </c>
    </row>
    <row r="10341" customFormat="false" ht="15" hidden="false" customHeight="false" outlineLevel="0" collapsed="false">
      <c r="A10341" s="4" t="s">
        <v>43</v>
      </c>
      <c r="B10341" s="4" t="s">
        <v>65</v>
      </c>
      <c r="C10341" s="20" t="s">
        <v>788</v>
      </c>
      <c r="D10341" s="20" t="s">
        <v>789</v>
      </c>
      <c r="E10341" s="20" t="s">
        <v>790</v>
      </c>
      <c r="F10341" s="20" t="s">
        <v>791</v>
      </c>
      <c r="G10341" s="20" t="s">
        <v>792</v>
      </c>
      <c r="H10341" s="20" t="s">
        <v>793</v>
      </c>
      <c r="I10341" s="20" t="s">
        <v>794</v>
      </c>
      <c r="J10341" s="20" t="s">
        <v>795</v>
      </c>
      <c r="K10341" s="20" t="s">
        <v>796</v>
      </c>
      <c r="L10341" s="4" t="s">
        <v>47</v>
      </c>
    </row>
    <row r="10342" customFormat="false" ht="17.15" hidden="false" customHeight="false" outlineLevel="0" collapsed="false">
      <c r="A10342" s="1" t="s">
        <v>797</v>
      </c>
      <c r="B10342" s="1" t="s">
        <v>235</v>
      </c>
      <c r="C10342" s="28" t="n">
        <v>2024</v>
      </c>
      <c r="D10342" s="28" t="n">
        <v>2025</v>
      </c>
      <c r="E10342" s="28" t="n">
        <v>2026</v>
      </c>
      <c r="F10342" s="28" t="n">
        <v>2027</v>
      </c>
      <c r="G10342" s="28" t="n">
        <v>2028</v>
      </c>
      <c r="H10342" s="28" t="n">
        <v>2029</v>
      </c>
      <c r="I10342" s="28" t="n">
        <v>2030</v>
      </c>
      <c r="J10342" s="28" t="n">
        <v>2031</v>
      </c>
      <c r="K10342" s="28" t="n">
        <v>2032</v>
      </c>
    </row>
    <row r="10343" customFormat="false" ht="17.15" hidden="false" customHeight="false" outlineLevel="0" collapsed="false">
      <c r="A10343" s="1" t="s">
        <v>798</v>
      </c>
      <c r="B10343" s="0" t="s">
        <v>392</v>
      </c>
      <c r="F10343" s="29" t="n">
        <f aca="false">pace</f>
        <v>2527.2</v>
      </c>
      <c r="G10343" s="29" t="n">
        <f aca="false">pace</f>
        <v>2527.2</v>
      </c>
      <c r="H10343" s="29" t="n">
        <f aca="false">pace</f>
        <v>2527.2</v>
      </c>
      <c r="I10343" s="29" t="n">
        <f aca="false">pace+(g_tv*Sens!H10344-pace)*MIN(1,(Sens!I10342-pace_y0)/(pace_y1-pace_y0))</f>
        <v>1793.116</v>
      </c>
      <c r="J10343" s="29" t="n">
        <f aca="false">pace+(g_tv*Sens!H10344-pace)*MIN(1,(Sens!J10342-pace_y0)/(pace_y1-pace_y0))</f>
        <v>1059.032</v>
      </c>
      <c r="K10343" s="29" t="n">
        <f aca="false">pace+(g_tv*Sens!H10344-pace)*MIN(1,(Sens!K10342-pace_y0)/(pace_y1-pace_y0))</f>
        <v>324.948</v>
      </c>
      <c r="L10343" s="11" t="s">
        <v>799</v>
      </c>
    </row>
    <row r="10344" customFormat="false" ht="17.15" hidden="false" customHeight="false" outlineLevel="0" collapsed="false">
      <c r="A10344" s="1" t="s">
        <v>800</v>
      </c>
      <c r="B10344" s="0" t="s">
        <v>392</v>
      </c>
      <c r="C10344" s="29" t="n">
        <f aca="false">mw_ext_24</f>
        <v>640</v>
      </c>
      <c r="D10344" s="29" t="n">
        <f aca="false">mw_ext_25</f>
        <v>1630</v>
      </c>
      <c r="E10344" s="29" t="n">
        <f aca="false">mw_ext_26</f>
        <v>3250</v>
      </c>
      <c r="F10344" s="29" t="n">
        <f aca="false">Sens!E10344+Sens!F10343</f>
        <v>5777.2</v>
      </c>
      <c r="G10344" s="29" t="n">
        <f aca="false">Sens!F10344+Sens!G10343</f>
        <v>8304.4</v>
      </c>
      <c r="H10344" s="29" t="n">
        <f aca="false">Sens!G10344+Sens!H10343</f>
        <v>10831.6</v>
      </c>
      <c r="I10344" s="29" t="n">
        <f aca="false">Sens!H10344+Sens!I10343</f>
        <v>12624.716</v>
      </c>
      <c r="J10344" s="29" t="n">
        <f aca="false">Sens!I10344+Sens!J10343</f>
        <v>13683.748</v>
      </c>
      <c r="K10344" s="29" t="n">
        <f aca="false">Sens!J10344+Sens!K10343</f>
        <v>14008.696</v>
      </c>
      <c r="L10344" s="1" t="s">
        <v>801</v>
      </c>
    </row>
    <row r="10345" customFormat="false" ht="17.15" hidden="false" customHeight="false" outlineLevel="0" collapsed="false">
      <c r="A10345" s="1" t="s">
        <v>802</v>
      </c>
      <c r="B10345" s="0" t="s">
        <v>392</v>
      </c>
      <c r="C10345" s="29" t="n">
        <f aca="false">rent_ext_24</f>
        <v>150</v>
      </c>
      <c r="D10345" s="29" t="n">
        <f aca="false">rent_ext_25</f>
        <v>400</v>
      </c>
      <c r="E10345" s="29" t="n">
        <f aca="false">rent_ext_26</f>
        <v>550</v>
      </c>
      <c r="F10345" s="29" t="n">
        <f aca="false">rent_ext_f</f>
        <v>756</v>
      </c>
      <c r="G10345" s="29" t="n">
        <f aca="false">rent_ext_f</f>
        <v>756</v>
      </c>
      <c r="H10345" s="29" t="n">
        <f aca="false">rent_ext_f</f>
        <v>756</v>
      </c>
      <c r="I10345" s="29" t="n">
        <f aca="false">rent_ext_f</f>
        <v>756</v>
      </c>
      <c r="J10345" s="29" t="n">
        <f aca="false">rent_ext_f</f>
        <v>756</v>
      </c>
      <c r="K10345" s="29" t="n">
        <f aca="false">rent_ext_f</f>
        <v>756</v>
      </c>
      <c r="L10345" s="1" t="s">
        <v>803</v>
      </c>
    </row>
    <row r="10346" customFormat="false" ht="17.15" hidden="false" customHeight="false" outlineLevel="0" collapsed="false">
      <c r="A10346" s="1" t="s">
        <v>804</v>
      </c>
      <c r="B10346" s="0" t="s">
        <v>392</v>
      </c>
      <c r="C10346" s="29" t="n">
        <f aca="false">Sens!C10344-Sens!C10345</f>
        <v>490</v>
      </c>
      <c r="D10346" s="29" t="n">
        <f aca="false">Sens!D10344-Sens!D10345</f>
        <v>1230</v>
      </c>
      <c r="E10346" s="29" t="n">
        <f aca="false">Sens!E10344-Sens!E10345</f>
        <v>2700</v>
      </c>
      <c r="F10346" s="29" t="n">
        <f aca="false">Sens!F10344-Sens!F10345</f>
        <v>5021.2</v>
      </c>
      <c r="G10346" s="29" t="n">
        <f aca="false">Sens!G10344-Sens!G10345</f>
        <v>7548.4</v>
      </c>
      <c r="H10346" s="29" t="n">
        <f aca="false">Sens!H10344-Sens!H10345</f>
        <v>10075.6</v>
      </c>
      <c r="I10346" s="29" t="n">
        <f aca="false">Sens!I10344-Sens!I10345</f>
        <v>11868.716</v>
      </c>
      <c r="J10346" s="29" t="n">
        <f aca="false">Sens!J10344-Sens!J10345</f>
        <v>12927.748</v>
      </c>
      <c r="K10346" s="29" t="n">
        <f aca="false">Sens!K10344-Sens!K10345</f>
        <v>13252.696</v>
      </c>
    </row>
    <row r="10347" customFormat="false" ht="17.15" hidden="false" customHeight="false" outlineLevel="0" collapsed="false">
      <c r="A10347" s="1" t="s">
        <v>805</v>
      </c>
      <c r="B10347" s="0" t="s">
        <v>392</v>
      </c>
      <c r="C10347" s="29" t="n">
        <f aca="false">Sens!C10346/ext_sh</f>
        <v>816.666666666667</v>
      </c>
      <c r="D10347" s="29" t="n">
        <f aca="false">Sens!D10346/ext_sh</f>
        <v>2050</v>
      </c>
      <c r="E10347" s="29" t="n">
        <f aca="false">Sens!E10346/ext_sh</f>
        <v>4500</v>
      </c>
      <c r="F10347" s="29" t="n">
        <f aca="false">Sens!F10346/ext_sh</f>
        <v>8368.66666666667</v>
      </c>
      <c r="G10347" s="29" t="n">
        <f aca="false">Sens!G10346/ext_sh</f>
        <v>12580.6666666667</v>
      </c>
      <c r="H10347" s="29" t="n">
        <f aca="false">Sens!H10346/ext_sh</f>
        <v>16792.6666666667</v>
      </c>
      <c r="I10347" s="29" t="n">
        <f aca="false">Sens!I10346/ext_sh</f>
        <v>19781.1933333333</v>
      </c>
      <c r="J10347" s="29" t="n">
        <f aca="false">Sens!J10346/ext_sh</f>
        <v>21546.2466666667</v>
      </c>
      <c r="K10347" s="29" t="n">
        <f aca="false">Sens!K10346/ext_sh</f>
        <v>22087.8266666667</v>
      </c>
      <c r="L10347" s="1" t="s">
        <v>806</v>
      </c>
    </row>
    <row r="10348" customFormat="false" ht="17.15" hidden="false" customHeight="false" outlineLevel="0" collapsed="false">
      <c r="A10348" s="1" t="s">
        <v>807</v>
      </c>
      <c r="B10348" s="0" t="s">
        <v>392</v>
      </c>
      <c r="C10348" s="29" t="n">
        <f aca="false">Sens!C10347-Sens!C10346</f>
        <v>326.666666666667</v>
      </c>
      <c r="D10348" s="29" t="n">
        <f aca="false">Sens!D10347-Sens!D10346</f>
        <v>820</v>
      </c>
      <c r="E10348" s="29" t="n">
        <f aca="false">Sens!E10347-Sens!E10346</f>
        <v>1800</v>
      </c>
      <c r="F10348" s="29" t="n">
        <f aca="false">Sens!F10347-Sens!F10346</f>
        <v>3347.46666666667</v>
      </c>
      <c r="G10348" s="29" t="n">
        <f aca="false">Sens!G10347-Sens!G10346</f>
        <v>5032.26666666667</v>
      </c>
      <c r="H10348" s="29" t="n">
        <f aca="false">Sens!H10347-Sens!H10346</f>
        <v>6717.06666666667</v>
      </c>
      <c r="I10348" s="29" t="n">
        <f aca="false">Sens!I10347-Sens!I10346</f>
        <v>7912.47733333333</v>
      </c>
      <c r="J10348" s="29" t="n">
        <f aca="false">Sens!J10347-Sens!J10346</f>
        <v>8618.49866666667</v>
      </c>
      <c r="K10348" s="29" t="n">
        <f aca="false">Sens!K10347-Sens!K10346</f>
        <v>8835.13066666667</v>
      </c>
    </row>
    <row r="10349" customFormat="false" ht="17.15" hidden="false" customHeight="false" outlineLevel="0" collapsed="false">
      <c r="A10349" s="1" t="s">
        <v>808</v>
      </c>
      <c r="B10349" s="0" t="s">
        <v>392</v>
      </c>
      <c r="C10349" s="29" t="n">
        <f aca="false">Sens!C10347</f>
        <v>816.666666666667</v>
      </c>
      <c r="D10349" s="29" t="n">
        <f aca="false">Sens!D10347-Sens!C10347</f>
        <v>1233.33333333333</v>
      </c>
      <c r="E10349" s="29" t="n">
        <f aca="false">Sens!E10347-Sens!D10347</f>
        <v>2450</v>
      </c>
      <c r="F10349" s="29" t="n">
        <f aca="false">Sens!F10347-Sens!E10347</f>
        <v>3868.66666666667</v>
      </c>
      <c r="G10349" s="29" t="n">
        <f aca="false">Sens!G10347-Sens!F10347</f>
        <v>4212</v>
      </c>
      <c r="H10349" s="29" t="n">
        <f aca="false">Sens!H10347-Sens!G10347</f>
        <v>4212</v>
      </c>
      <c r="I10349" s="29" t="n">
        <f aca="false">Sens!I10347-Sens!H10347</f>
        <v>2988.52666666667</v>
      </c>
      <c r="J10349" s="29" t="n">
        <f aca="false">Sens!J10347-Sens!I10347</f>
        <v>1765.05333333333</v>
      </c>
      <c r="K10349" s="29" t="n">
        <f aca="false">Sens!K10347-Sens!J10347</f>
        <v>541.580000000002</v>
      </c>
    </row>
    <row r="10350" customFormat="false" ht="17.15" hidden="false" customHeight="false" outlineLevel="0" collapsed="false">
      <c r="A10350" s="1" t="s">
        <v>809</v>
      </c>
      <c r="B10350" s="0" t="s">
        <v>392</v>
      </c>
      <c r="D10350" s="29" t="n">
        <f aca="false">Sens!D10344-Sens!C10344</f>
        <v>990</v>
      </c>
      <c r="E10350" s="29" t="n">
        <f aca="false">Sens!E10344-Sens!D10344</f>
        <v>1620</v>
      </c>
      <c r="F10350" s="29" t="n">
        <f aca="false">Sens!F10344-Sens!E10344</f>
        <v>2527.2</v>
      </c>
      <c r="G10350" s="29" t="n">
        <f aca="false">Sens!G10344-Sens!F10344</f>
        <v>2527.2</v>
      </c>
      <c r="H10350" s="29" t="n">
        <f aca="false">Sens!H10344-Sens!G10344</f>
        <v>2527.2</v>
      </c>
      <c r="I10350" s="29" t="n">
        <f aca="false">Sens!I10344-Sens!H10344</f>
        <v>1793.116</v>
      </c>
      <c r="J10350" s="29" t="n">
        <f aca="false">Sens!J10344-Sens!I10344</f>
        <v>1059.032</v>
      </c>
      <c r="K10350" s="29" t="n">
        <f aca="false">Sens!K10344-Sens!J10344</f>
        <v>324.948</v>
      </c>
    </row>
    <row r="10351" customFormat="false" ht="17.15" hidden="false" customHeight="false" outlineLevel="0" collapsed="false">
      <c r="A10351" s="1" t="s">
        <v>810</v>
      </c>
      <c r="B10351" s="0" t="s">
        <v>392</v>
      </c>
      <c r="F10351" s="29" t="n">
        <f aca="false">Sens!F10368*ext_sh</f>
        <v>0</v>
      </c>
      <c r="G10351" s="29" t="n">
        <f aca="false">Sens!G10368*ext_sh</f>
        <v>0</v>
      </c>
      <c r="H10351" s="29" t="n">
        <f aca="false">Sens!H10368*ext_sh</f>
        <v>0</v>
      </c>
      <c r="I10351" s="29" t="n">
        <f aca="false">Sens!I10368*ext_sh</f>
        <v>490</v>
      </c>
      <c r="J10351" s="29" t="n">
        <f aca="false">Sens!J10368*ext_sh</f>
        <v>740</v>
      </c>
      <c r="K10351" s="29" t="n">
        <f aca="false">Sens!K10368*ext_sh</f>
        <v>1470</v>
      </c>
      <c r="L10351" s="1" t="s">
        <v>811</v>
      </c>
    </row>
    <row r="10352" customFormat="false" ht="17.15" hidden="false" customHeight="false" outlineLevel="0" collapsed="false">
      <c r="A10352" s="1" t="s">
        <v>812</v>
      </c>
      <c r="B10352" s="0" t="s">
        <v>392</v>
      </c>
      <c r="C10352" s="29" t="n">
        <f aca="false">mix_h*Sens!C10344</f>
        <v>128</v>
      </c>
      <c r="D10352" s="29" t="n">
        <f aca="false">mix_h*Sens!D10344</f>
        <v>326</v>
      </c>
      <c r="E10352" s="29" t="n">
        <f aca="false">mix_h*Sens!E10344</f>
        <v>650</v>
      </c>
      <c r="F10352" s="29" t="n">
        <f aca="false">Sens!E10352-Sens!F10351*mix_h</f>
        <v>650</v>
      </c>
      <c r="G10352" s="29" t="n">
        <f aca="false">Sens!F10352-Sens!G10351*mix_h</f>
        <v>650</v>
      </c>
      <c r="H10352" s="29" t="n">
        <f aca="false">Sens!G10352-Sens!H10351*mix_h</f>
        <v>650</v>
      </c>
      <c r="I10352" s="29" t="n">
        <f aca="false">Sens!H10352-Sens!I10351*mix_h</f>
        <v>552</v>
      </c>
      <c r="J10352" s="29" t="n">
        <f aca="false">Sens!I10352-Sens!J10351*mix_h</f>
        <v>404</v>
      </c>
      <c r="K10352" s="29" t="n">
        <f aca="false">Sens!J10352-Sens!K10351*mix_h</f>
        <v>110</v>
      </c>
    </row>
    <row r="10353" customFormat="false" ht="17.15" hidden="false" customHeight="false" outlineLevel="0" collapsed="false">
      <c r="A10353" s="1" t="s">
        <v>813</v>
      </c>
      <c r="B10353" s="0" t="s">
        <v>392</v>
      </c>
      <c r="C10353" s="29" t="n">
        <f aca="false">mix_g2*Sens!C10344</f>
        <v>288</v>
      </c>
      <c r="D10353" s="29" t="n">
        <f aca="false">mix_g2*Sens!D10344</f>
        <v>733.5</v>
      </c>
      <c r="E10353" s="29" t="n">
        <f aca="false">mix_g2*Sens!E10344</f>
        <v>1462.5</v>
      </c>
      <c r="F10353" s="29" t="n">
        <f aca="false">Sens!E10353-Sens!F10351*mix_g2</f>
        <v>1462.5</v>
      </c>
      <c r="G10353" s="29" t="n">
        <f aca="false">Sens!F10353-Sens!G10351*mix_g2</f>
        <v>1462.5</v>
      </c>
      <c r="H10353" s="29" t="n">
        <f aca="false">Sens!G10353-Sens!H10351*mix_g2</f>
        <v>1462.5</v>
      </c>
      <c r="I10353" s="29" t="n">
        <f aca="false">Sens!H10353-Sens!I10351*mix_g2</f>
        <v>1242</v>
      </c>
      <c r="J10353" s="29" t="n">
        <f aca="false">Sens!I10353-Sens!J10351*mix_g2</f>
        <v>909</v>
      </c>
      <c r="K10353" s="29" t="n">
        <f aca="false">Sens!J10353-Sens!K10351*mix_g2</f>
        <v>247.5</v>
      </c>
    </row>
    <row r="10354" customFormat="false" ht="17.15" hidden="false" customHeight="false" outlineLevel="0" collapsed="false">
      <c r="A10354" s="1" t="s">
        <v>814</v>
      </c>
      <c r="B10354" s="0" t="s">
        <v>392</v>
      </c>
      <c r="C10354" s="29" t="n">
        <f aca="false">mix_g3*Sens!C10344</f>
        <v>224</v>
      </c>
      <c r="D10354" s="29" t="n">
        <f aca="false">mix_g3*Sens!D10344</f>
        <v>570.5</v>
      </c>
      <c r="E10354" s="29" t="n">
        <f aca="false">mix_g3*Sens!E10344</f>
        <v>1137.5</v>
      </c>
      <c r="F10354" s="29" t="n">
        <f aca="false">Sens!E10354+(Sens!F10350+Sens!F10351)*a_g3_27-Sens!F10351*mix_g3</f>
        <v>2906.54</v>
      </c>
      <c r="G10354" s="29" t="n">
        <f aca="false">Sens!F10354+(Sens!G10350+Sens!G10351)*a_g3_28-Sens!G10351*mix_g3</f>
        <v>3664.7</v>
      </c>
      <c r="H10354" s="29" t="n">
        <f aca="false">Sens!G10354+(Sens!H10350+Sens!H10351)*a_g3_29-Sens!H10351*mix_g3</f>
        <v>3917.42</v>
      </c>
      <c r="I10354" s="29" t="n">
        <f aca="false">Sens!H10354+(Sens!I10350+Sens!I10351)*a_g3_29-Sens!I10351*mix_g3</f>
        <v>3974.2316</v>
      </c>
      <c r="J10354" s="29" t="n">
        <f aca="false">Sens!I10354+(Sens!J10350+Sens!J10351)*a_g3_29-Sens!J10351*mix_g3</f>
        <v>3895.1348</v>
      </c>
      <c r="K10354" s="29" t="n">
        <f aca="false">Sens!J10354+(Sens!K10350+Sens!K10351)*a_g3_29-Sens!K10351*mix_g3</f>
        <v>3560.1296</v>
      </c>
    </row>
    <row r="10355" customFormat="false" ht="17.15" hidden="false" customHeight="false" outlineLevel="0" collapsed="false">
      <c r="A10355" s="1" t="s">
        <v>815</v>
      </c>
      <c r="B10355" s="0" t="s">
        <v>392</v>
      </c>
      <c r="C10355" s="29" t="n">
        <v>0</v>
      </c>
      <c r="D10355" s="29" t="n">
        <v>0</v>
      </c>
      <c r="E10355" s="29" t="n">
        <v>0</v>
      </c>
      <c r="F10355" s="29" t="n">
        <f aca="false">Sens!E10355+(Sens!F10350+Sens!F10351)*(1-a_g3_27)</f>
        <v>758.16</v>
      </c>
      <c r="G10355" s="29" t="n">
        <f aca="false">Sens!F10355+(Sens!G10350+Sens!G10351)*(1-a_g3_28)</f>
        <v>2527.2</v>
      </c>
      <c r="H10355" s="29" t="n">
        <f aca="false">Sens!G10355+(Sens!H10350+Sens!H10351)*(1-a_g3_29)</f>
        <v>4801.68</v>
      </c>
      <c r="I10355" s="29" t="n">
        <f aca="false">Sens!H10355+(Sens!I10350+Sens!I10351)*(1-a_g3_29)</f>
        <v>6856.4844</v>
      </c>
      <c r="J10355" s="29" t="n">
        <f aca="false">Sens!I10355+(Sens!J10350+Sens!J10351)*(1-a_g3_29)</f>
        <v>8475.6132</v>
      </c>
      <c r="K10355" s="29" t="n">
        <f aca="false">Sens!J10355+(Sens!K10350+Sens!K10351)*(1-a_g3_29)</f>
        <v>10091.0664</v>
      </c>
    </row>
    <row r="10356" customFormat="false" ht="17.15" hidden="false" customHeight="false" outlineLevel="0" collapsed="false">
      <c r="A10356" s="1" t="s">
        <v>816</v>
      </c>
      <c r="B10356" s="0" t="s">
        <v>339</v>
      </c>
      <c r="C10356" s="14" t="n">
        <f aca="false">(Sens!C10352*tk_hold_h100+Sens!C10353*tk_hold_gb200+Sens!C10354*tk_hold_gb300+Sens!C10355*tk_hold_vr200)/Sens!C10344</f>
        <v>9.7235358126469</v>
      </c>
      <c r="D10356" s="14" t="n">
        <f aca="false">(Sens!D10352*tk_hold_h100+Sens!D10353*tk_hold_gb200+Sens!D10354*tk_hold_gb300+Sens!D10355*tk_hold_vr200)/Sens!D10344</f>
        <v>9.7235358126469</v>
      </c>
      <c r="E10356" s="14" t="n">
        <f aca="false">(Sens!E10352*tk_hold_h100+Sens!E10353*tk_hold_gb200+Sens!E10354*tk_hold_gb300+Sens!E10355*tk_hold_vr200)/Sens!E10344</f>
        <v>9.7235358126469</v>
      </c>
      <c r="F10356" s="14" t="n">
        <f aca="false">(Sens!F10352*tk_hold_h100+Sens!F10353*tk_hold_gb200+Sens!F10354*tk_hold_gb300+Sens!F10355*tk_hold_vr200)/Sens!F10344</f>
        <v>10.4079573161931</v>
      </c>
      <c r="G10356" s="14" t="n">
        <f aca="false">(Sens!G10352*tk_hold_h100+Sens!G10353*tk_hold_gb200+Sens!G10354*tk_hold_gb300+Sens!G10355*tk_hold_vr200)/Sens!G10344</f>
        <v>10.8388131109316</v>
      </c>
      <c r="H10356" s="14" t="n">
        <f aca="false">(Sens!H10352*tk_hold_h100+Sens!H10353*tk_hold_gb200+Sens!H10354*tk_hold_gb300+Sens!H10355*tk_hold_vr200)/Sens!H10344</f>
        <v>11.1311018388216</v>
      </c>
      <c r="I10356" s="14" t="n">
        <f aca="false">(Sens!I10352*tk_hold_h100+Sens!I10353*tk_hold_gb200+Sens!I10354*tk_hold_gb300+Sens!I10355*tk_hold_vr200)/Sens!I10344</f>
        <v>11.3594282560989</v>
      </c>
      <c r="J10356" s="14" t="n">
        <f aca="false">(Sens!J10352*tk_hold_h100+Sens!J10353*tk_hold_gb200+Sens!J10354*tk_hold_gb300+Sens!J10355*tk_hold_vr200)/Sens!J10344</f>
        <v>11.5441508808221</v>
      </c>
      <c r="K10356" s="14" t="n">
        <f aca="false">(Sens!K10352*tk_hold_h100+Sens!K10353*tk_hold_gb200+Sens!K10354*tk_hold_gb300+Sens!K10355*tk_hold_vr200)/Sens!K10344</f>
        <v>11.8053375063575</v>
      </c>
    </row>
    <row r="10357" customFormat="false" ht="17.15" hidden="false" customHeight="false" outlineLevel="0" collapsed="false">
      <c r="A10357" s="0" t="s">
        <v>817</v>
      </c>
      <c r="B10357" s="0" t="s">
        <v>185</v>
      </c>
      <c r="C10357" s="14" t="n">
        <f aca="false">k_B</f>
        <v>1.17213932619116</v>
      </c>
      <c r="D10357" s="14" t="n">
        <f aca="false">k_B</f>
        <v>1.17213932619116</v>
      </c>
      <c r="E10357" s="14" t="n">
        <f aca="false">k_B</f>
        <v>1.17213932619116</v>
      </c>
      <c r="F10357" s="14" t="n">
        <f aca="false">(k_B+((ls_A*k_long+(1-ls_A)*k_spot)-k_B)*MIN(1,(Sens!F10342-base_fy)/k_ramp))</f>
        <v>1.25022828131298</v>
      </c>
      <c r="G10357" s="14" t="n">
        <f aca="false">(k_B+((ls_A*k_long+(1-ls_A)*k_spot)-k_B)*MIN(1,(Sens!G10342-base_fy)/k_ramp))</f>
        <v>1.3283172364348</v>
      </c>
      <c r="H10357" s="14" t="n">
        <f aca="false">(k_B+((ls_A*k_long+(1-ls_A)*k_spot)-k_B)*MIN(1,(Sens!H10342-base_fy)/k_ramp))</f>
        <v>1.40640619155662</v>
      </c>
      <c r="I10357" s="14" t="n">
        <f aca="false">(k_B+((ls_A*k_long+(1-ls_A)*k_spot)-k_B)*MIN(1,(Sens!I10342-base_fy)/k_ramp))</f>
        <v>1.40640619155662</v>
      </c>
      <c r="J10357" s="14" t="n">
        <f aca="false">(k_B+((ls_A*k_long+(1-ls_A)*k_spot)-k_B)*MIN(1,(Sens!J10342-base_fy)/k_ramp))</f>
        <v>1.40640619155662</v>
      </c>
      <c r="K10357" s="14" t="n">
        <f aca="false">(k_B+((ls_A*k_long+(1-ls_A)*k_spot)-k_B)*MIN(1,(Sens!K10342-base_fy)/k_ramp))</f>
        <v>1.40640619155662</v>
      </c>
      <c r="L10357" s="1" t="s">
        <v>818</v>
      </c>
    </row>
    <row r="10358" customFormat="false" ht="17.15" hidden="false" customHeight="false" outlineLevel="0" collapsed="false">
      <c r="A10358" s="1" t="s">
        <v>819</v>
      </c>
      <c r="B10358" s="0" t="s">
        <v>339</v>
      </c>
      <c r="C10358" s="14" t="n">
        <f aca="false">Sens!C10356*Sens!C10357*chip_f</f>
        <v>11.3973387156315</v>
      </c>
      <c r="D10358" s="14" t="n">
        <f aca="false">Sens!D10356*Sens!D10357*chip_f</f>
        <v>11.3973387156315</v>
      </c>
      <c r="E10358" s="14" t="n">
        <f aca="false">Sens!E10356*Sens!E10357*chip_f</f>
        <v>11.3973387156315</v>
      </c>
      <c r="F10358" s="14" t="n">
        <f aca="false">Sens!F10356*Sens!F10357*chip_f</f>
        <v>13.0123225874029</v>
      </c>
      <c r="G10358" s="14" t="n">
        <f aca="false">Sens!G10356*Sens!G10357*chip_f</f>
        <v>14.3973822777458</v>
      </c>
      <c r="H10358" s="14" t="n">
        <f aca="false">Sens!H10356*Sens!H10357*chip_f</f>
        <v>15.6548505449659</v>
      </c>
      <c r="I10358" s="14" t="n">
        <f aca="false">Sens!I10356*Sens!I10357*chip_f</f>
        <v>15.9759702319207</v>
      </c>
      <c r="J10358" s="14" t="n">
        <f aca="false">Sens!J10356*Sens!J10357*chip_f</f>
        <v>16.2357652750519</v>
      </c>
      <c r="K10358" s="14" t="n">
        <f aca="false">Sens!K10356*Sens!K10357*chip_f</f>
        <v>16.6030997623568</v>
      </c>
      <c r="L10358" s="1" t="s">
        <v>820</v>
      </c>
    </row>
    <row r="10359" customFormat="false" ht="17.15" hidden="false" customHeight="false" outlineLevel="0" collapsed="false">
      <c r="A10359" s="0" t="s">
        <v>821</v>
      </c>
      <c r="B10359" s="0" t="s">
        <v>98</v>
      </c>
      <c r="D10359" s="6" t="n">
        <f aca="false">(Sens!C10344+Sens!D10344)/2*Sens!D10358/1000</f>
        <v>12.9359794422418</v>
      </c>
      <c r="E10359" s="6" t="n">
        <f aca="false">(Sens!D10344+Sens!E10344)/2*Sens!E10358/1000</f>
        <v>27.8095064661409</v>
      </c>
      <c r="F10359" s="6" t="n">
        <f aca="false">(Sens!E10344+Sens!F10344)/2*Sens!F10358/1000</f>
        <v>58.7324192305018</v>
      </c>
      <c r="G10359" s="6" t="n">
        <f aca="false">(Sens!F10344+Sens!G10344)/2*Sens!G10358/1000</f>
        <v>101.369089141153</v>
      </c>
      <c r="H10359" s="6" t="n">
        <f aca="false">(Sens!G10344+Sens!H10344)/2*Sens!H10358/1000</f>
        <v>149.785610014234</v>
      </c>
      <c r="I10359" s="6" t="n">
        <f aca="false">(Sens!H10344+Sens!I10344)/2*Sens!I10358/1000</f>
        <v>187.368703083263</v>
      </c>
      <c r="J10359" s="6" t="n">
        <f aca="false">(Sens!I10344+Sens!J10344)/2*Sens!J10358/1000</f>
        <v>213.569023125577</v>
      </c>
      <c r="K10359" s="6" t="n">
        <f aca="false">(Sens!J10344+Sens!K10344)/2*Sens!K10358/1000</f>
        <v>229.890205197739</v>
      </c>
      <c r="L10359" s="11" t="s">
        <v>822</v>
      </c>
    </row>
    <row r="10360" customFormat="false" ht="17.15" hidden="false" customHeight="false" outlineLevel="0" collapsed="false">
      <c r="A10360" s="1" t="s">
        <v>823</v>
      </c>
      <c r="B10360" s="0" t="s">
        <v>339</v>
      </c>
      <c r="C10360" s="14" t="n">
        <f aca="false">(Sens!C10352*tk_opex_h100+Sens!C10353*tk_opex_gb200+Sens!C10354*tk_opex_gb300+Sens!C10355*tk_opex_vr200)/Sens!C10344</f>
        <v>1.88636041306092</v>
      </c>
      <c r="D10360" s="14" t="n">
        <f aca="false">(Sens!D10352*tk_opex_h100+Sens!D10353*tk_opex_gb200+Sens!D10354*tk_opex_gb300+Sens!D10355*tk_opex_vr200)/Sens!D10344</f>
        <v>1.88636041306092</v>
      </c>
      <c r="E10360" s="14" t="n">
        <f aca="false">(Sens!E10352*tk_opex_h100+Sens!E10353*tk_opex_gb200+Sens!E10354*tk_opex_gb300+Sens!E10355*tk_opex_vr200)/Sens!E10344</f>
        <v>1.88636041306092</v>
      </c>
      <c r="F10360" s="14" t="n">
        <f aca="false">(Sens!F10352*tk_opex_h100+Sens!F10353*tk_opex_gb200+Sens!F10354*tk_opex_gb300+Sens!F10355*tk_opex_vr200)/Sens!F10344</f>
        <v>1.9430236476499</v>
      </c>
      <c r="G10360" s="14" t="n">
        <f aca="false">(Sens!G10352*tk_opex_h100+Sens!G10353*tk_opex_gb200+Sens!G10354*tk_opex_gb300+Sens!G10355*tk_opex_vr200)/Sens!G10344</f>
        <v>1.9786941852423</v>
      </c>
      <c r="H10360" s="14" t="n">
        <f aca="false">(Sens!H10352*tk_opex_h100+Sens!H10353*tk_opex_gb200+Sens!H10354*tk_opex_gb300+Sens!H10355*tk_opex_vr200)/Sens!H10344</f>
        <v>2.00289275976156</v>
      </c>
      <c r="I10360" s="14" t="n">
        <f aca="false">(Sens!I10352*tk_opex_h100+Sens!I10353*tk_opex_gb200+Sens!I10354*tk_opex_gb300+Sens!I10355*tk_opex_vr200)/Sens!I10344</f>
        <v>2.02179589661219</v>
      </c>
      <c r="J10360" s="14" t="n">
        <f aca="false">(Sens!J10352*tk_opex_h100+Sens!J10353*tk_opex_gb200+Sens!J10354*tk_opex_gb300+Sens!J10355*tk_opex_vr200)/Sens!J10344</f>
        <v>2.03708907685909</v>
      </c>
      <c r="K10360" s="14" t="n">
        <f aca="false">(Sens!K10352*tk_opex_h100+Sens!K10353*tk_opex_gb200+Sens!K10354*tk_opex_gb300+Sens!K10355*tk_opex_vr200)/Sens!K10344</f>
        <v>2.05871270931005</v>
      </c>
    </row>
    <row r="10361" customFormat="false" ht="17.15" hidden="false" customHeight="false" outlineLevel="0" collapsed="false">
      <c r="A10361" s="0" t="s">
        <v>824</v>
      </c>
      <c r="B10361" s="0" t="s">
        <v>98</v>
      </c>
      <c r="D10361" s="6" t="n">
        <f aca="false">(Sens!C10347+Sens!D10347)/2*Sens!D10360/1000</f>
        <v>2.70378325872065</v>
      </c>
      <c r="E10361" s="6" t="n">
        <f aca="false">(Sens!D10347+Sens!E10347)/2*Sens!E10360/1000</f>
        <v>6.17783035277451</v>
      </c>
      <c r="F10361" s="6" t="n">
        <f aca="false">(Sens!E10347+Sens!F10347)/2*Sens!F10360/1000</f>
        <v>12.5020618235287</v>
      </c>
      <c r="G10361" s="6" t="n">
        <f aca="false">(Sens!F10347+Sens!G10347)/2*Sens!G10360/1000</f>
        <v>20.7261620256847</v>
      </c>
      <c r="H10361" s="6" t="n">
        <f aca="false">(Sens!G10347+Sens!H10347)/2*Sens!H10360/1000</f>
        <v>29.4158183316982</v>
      </c>
      <c r="I10361" s="6" t="n">
        <f aca="false">(Sens!H10347+Sens!I10347)/2*Sens!I10360/1000</f>
        <v>36.9724400356344</v>
      </c>
      <c r="J10361" s="6" t="n">
        <f aca="false">(Sens!I10347+Sens!J10347)/2*Sens!J10360/1000</f>
        <v>42.0938382992747</v>
      </c>
      <c r="K10361" s="6" t="n">
        <f aca="false">(Sens!J10347+Sens!K10347)/2*Sens!K10360/1000</f>
        <v>44.9150106651501</v>
      </c>
    </row>
    <row r="10362" customFormat="false" ht="17.15" hidden="false" customHeight="false" outlineLevel="0" collapsed="false">
      <c r="A10362" s="0" t="s">
        <v>825</v>
      </c>
      <c r="B10362" s="0" t="s">
        <v>98</v>
      </c>
      <c r="D10362" s="6" t="n">
        <f aca="false">(Sens!C10345+Sens!D10345)/2*rent_mw/1000</f>
        <v>2.44475</v>
      </c>
      <c r="E10362" s="6" t="n">
        <f aca="false">(Sens!D10345+Sens!E10345)/2*rent_mw/1000</f>
        <v>4.22275</v>
      </c>
      <c r="F10362" s="6" t="n">
        <f aca="false">(Sens!E10345+Sens!F10345)/2*rent_mw/1000</f>
        <v>5.80517</v>
      </c>
      <c r="G10362" s="6" t="n">
        <f aca="false">(Sens!F10345+Sens!G10345)/2*rent_mw/1000</f>
        <v>6.72084</v>
      </c>
      <c r="H10362" s="6" t="n">
        <f aca="false">(Sens!G10345+Sens!H10345)/2*rent_mw/1000</f>
        <v>6.72084</v>
      </c>
      <c r="I10362" s="6" t="n">
        <f aca="false">(Sens!H10345+Sens!I10345)/2*rent_mw/1000</f>
        <v>6.72084</v>
      </c>
      <c r="J10362" s="6" t="n">
        <f aca="false">(Sens!I10345+Sens!J10345)/2*rent_mw/1000</f>
        <v>6.72084</v>
      </c>
      <c r="K10362" s="6" t="n">
        <f aca="false">(Sens!J10345+Sens!K10345)/2*rent_mw/1000</f>
        <v>6.72084</v>
      </c>
    </row>
    <row r="10363" customFormat="false" ht="17.15" hidden="false" customHeight="false" outlineLevel="0" collapsed="false">
      <c r="A10363" s="0" t="s">
        <v>826</v>
      </c>
      <c r="B10363" s="0" t="s">
        <v>98</v>
      </c>
      <c r="D10363" s="6" t="n">
        <f aca="false">(Sens!C10347+Sens!D10347)/2*(1-self_build)*fac_rent/1000</f>
        <v>0.853242375631075</v>
      </c>
      <c r="E10363" s="6" t="n">
        <f aca="false">(Sens!D10347+Sens!E10347)/2*(1-self_build)*fac_rent/1000</f>
        <v>1.94955961408728</v>
      </c>
      <c r="F10363" s="6" t="n">
        <f aca="false">(Sens!E10347+Sens!F10347)/2*(1-self_build)*fac_rent/1000</f>
        <v>3.83026455274573</v>
      </c>
      <c r="G10363" s="6" t="n">
        <f aca="false">(Sens!F10347+Sens!G10347)/2*(1-self_build)*fac_rent/1000</f>
        <v>6.23541590972812</v>
      </c>
      <c r="H10363" s="6" t="n">
        <f aca="false">(Sens!G10347+Sens!H10347)/2*(1-self_build)*fac_rent/1000</f>
        <v>8.74275792332679</v>
      </c>
      <c r="I10363" s="6" t="n">
        <f aca="false">(Sens!H10347+Sens!I10347)/2*(1-self_build)*fac_rent/1000</f>
        <v>10.8859420438599</v>
      </c>
      <c r="J10363" s="6" t="n">
        <f aca="false">(Sens!I10347+Sens!J10347)/2*(1-self_build)*fac_rent/1000</f>
        <v>12.3008103782619</v>
      </c>
      <c r="K10363" s="6" t="n">
        <f aca="false">(Sens!J10347+Sens!K10347)/2*(1-self_build)*fac_rent/1000</f>
        <v>12.9873629265328</v>
      </c>
      <c r="L10363" s="11" t="s">
        <v>827</v>
      </c>
    </row>
    <row r="10364" customFormat="false" ht="17.15" hidden="false" customHeight="false" outlineLevel="0" collapsed="false">
      <c r="A10364" s="1" t="s">
        <v>828</v>
      </c>
      <c r="B10364" s="0" t="s">
        <v>129</v>
      </c>
      <c r="D10364" s="7" t="n">
        <f aca="false">(Sens!C10346+Sens!D10346)/(Sens!C10347+Sens!D10347)</f>
        <v>0.6</v>
      </c>
      <c r="E10364" s="7" t="n">
        <f aca="false">(Sens!D10346+Sens!E10346)/(Sens!D10347+Sens!E10347)</f>
        <v>0.6</v>
      </c>
      <c r="F10364" s="7" t="n">
        <f aca="false">(Sens!E10346+Sens!F10346)/(Sens!E10347+Sens!F10347)</f>
        <v>0.6</v>
      </c>
      <c r="G10364" s="7" t="n">
        <f aca="false">(Sens!F10346+Sens!G10346)/(Sens!F10347+Sens!G10347)</f>
        <v>0.6</v>
      </c>
      <c r="H10364" s="7" t="n">
        <f aca="false">(Sens!G10346+Sens!H10346)/(Sens!G10347+Sens!H10347)</f>
        <v>0.6</v>
      </c>
      <c r="I10364" s="7" t="n">
        <f aca="false">(Sens!H10346+Sens!I10346)/(Sens!H10347+Sens!I10347)</f>
        <v>0.6</v>
      </c>
      <c r="J10364" s="7" t="n">
        <f aca="false">(Sens!I10346+Sens!J10346)/(Sens!I10347+Sens!J10347)</f>
        <v>0.6</v>
      </c>
      <c r="K10364" s="7" t="n">
        <f aca="false">(Sens!J10346+Sens!K10346)/(Sens!J10347+Sens!K10347)</f>
        <v>0.6</v>
      </c>
    </row>
    <row r="10365" customFormat="false" ht="17.15" hidden="false" customHeight="false" outlineLevel="0" collapsed="false">
      <c r="A10365" s="0" t="s">
        <v>829</v>
      </c>
      <c r="B10365" s="0" t="s">
        <v>98</v>
      </c>
      <c r="D10365" s="6" t="n">
        <f aca="false">Sens!D10359-Sens!D10364*(Sens!D10361+Sens!D10363)-Sens!D10362</f>
        <v>8.35701406163072</v>
      </c>
      <c r="E10365" s="6" t="n">
        <f aca="false">Sens!E10359-Sens!E10364*(Sens!E10361+Sens!E10363)-Sens!E10362</f>
        <v>18.7103224860238</v>
      </c>
      <c r="F10365" s="6" t="n">
        <f aca="false">Sens!F10359-Sens!F10364*(Sens!F10361+Sens!F10363)-Sens!F10362</f>
        <v>43.1278534047371</v>
      </c>
      <c r="G10365" s="6" t="n">
        <f aca="false">Sens!G10359-Sens!G10364*(Sens!G10361+Sens!G10363)-Sens!G10362</f>
        <v>78.4713023799053</v>
      </c>
      <c r="H10365" s="6" t="n">
        <f aca="false">Sens!H10359-Sens!H10364*(Sens!H10361+Sens!H10363)-Sens!H10362</f>
        <v>120.169624261219</v>
      </c>
      <c r="I10365" s="6" t="n">
        <f aca="false">Sens!I10359-Sens!I10364*(Sens!I10361+Sens!I10363)-Sens!I10362</f>
        <v>151.932833835566</v>
      </c>
      <c r="J10365" s="6" t="n">
        <f aca="false">Sens!J10359-Sens!J10364*(Sens!J10361+Sens!J10363)-Sens!J10362</f>
        <v>174.211393919055</v>
      </c>
      <c r="K10365" s="6" t="n">
        <f aca="false">Sens!K10359-Sens!K10364*(Sens!K10361+Sens!K10363)-Sens!K10362</f>
        <v>188.427941042729</v>
      </c>
    </row>
    <row r="10366" customFormat="false" ht="17.15" hidden="false" customHeight="false" outlineLevel="0" collapsed="false">
      <c r="A10366" s="1" t="s">
        <v>830</v>
      </c>
      <c r="B10366" s="0" t="s">
        <v>98</v>
      </c>
      <c r="D10366" s="6" t="n">
        <f aca="false">(1-Sens!D10364)*(Sens!D10361+Sens!D10363)</f>
        <v>1.42281025374069</v>
      </c>
      <c r="E10366" s="6" t="n">
        <f aca="false">(1-Sens!E10364)*(Sens!E10361+Sens!E10363)</f>
        <v>3.25095598674472</v>
      </c>
      <c r="F10366" s="6" t="n">
        <f aca="false">(1-Sens!F10364)*(Sens!F10361+Sens!F10363)</f>
        <v>6.53293055050977</v>
      </c>
      <c r="G10366" s="6" t="n">
        <f aca="false">(1-Sens!G10364)*(Sens!G10361+Sens!G10363)</f>
        <v>10.7846311741651</v>
      </c>
      <c r="H10366" s="6" t="n">
        <f aca="false">(1-Sens!H10364)*(Sens!H10361+Sens!H10363)</f>
        <v>15.26343050201</v>
      </c>
      <c r="I10366" s="6" t="n">
        <f aca="false">(1-Sens!I10364)*(Sens!I10361+Sens!I10363)</f>
        <v>19.1433528317977</v>
      </c>
      <c r="J10366" s="6" t="n">
        <f aca="false">(1-Sens!J10364)*(Sens!J10361+Sens!J10363)</f>
        <v>21.7578594710146</v>
      </c>
      <c r="K10366" s="6" t="n">
        <f aca="false">(1-Sens!K10364)*(Sens!K10361+Sens!K10363)</f>
        <v>23.1609494366731</v>
      </c>
    </row>
    <row r="10367" customFormat="false" ht="17.15" hidden="false" customHeight="false" outlineLevel="0" collapsed="false">
      <c r="A10367" s="1" t="s">
        <v>831</v>
      </c>
      <c r="B10367" s="0" t="s">
        <v>350</v>
      </c>
      <c r="C10367" s="8" t="n">
        <f aca="false">cxit_open</f>
        <v>27.5918995</v>
      </c>
      <c r="D10367" s="8" t="n">
        <f aca="false">cxit_open</f>
        <v>27.5918995</v>
      </c>
      <c r="E10367" s="8" t="n">
        <f aca="false">cxit_open</f>
        <v>27.5918995</v>
      </c>
      <c r="F10367" s="8" t="n">
        <f aca="false">(a_g3_27*tk_cxit_gb300+(1-a_g3_27)*tk_cxit_vr200)</f>
        <v>33.8419624</v>
      </c>
      <c r="G10367" s="8" t="n">
        <f aca="false">(a_g3_28*tk_cxit_gb300+(1-a_g3_28)*tk_cxit_vr200)</f>
        <v>35.9816136</v>
      </c>
      <c r="H10367" s="8" t="n">
        <f aca="false">(a_g3_29*tk_cxit_gb300+(1-a_g3_29)*tk_cxit_vr200)</f>
        <v>37.0514392</v>
      </c>
      <c r="I10367" s="8" t="n">
        <f aca="false">(a_g3_29*tk_cxit_gb300+(1-a_g3_29)*tk_cxit_vr200)</f>
        <v>37.0514392</v>
      </c>
      <c r="J10367" s="8" t="n">
        <f aca="false">(a_g3_29*tk_cxit_gb300+(1-a_g3_29)*tk_cxit_vr200)</f>
        <v>37.0514392</v>
      </c>
      <c r="K10367" s="8" t="n">
        <f aca="false">(a_g3_29*tk_cxit_gb300+(1-a_g3_29)*tk_cxit_vr200)</f>
        <v>37.0514392</v>
      </c>
      <c r="L10367" s="11" t="s">
        <v>832</v>
      </c>
    </row>
    <row r="10368" customFormat="false" ht="17.15" hidden="false" customHeight="false" outlineLevel="0" collapsed="false">
      <c r="A10368" s="0" t="s">
        <v>833</v>
      </c>
      <c r="B10368" s="0" t="s">
        <v>392</v>
      </c>
      <c r="F10368" s="29" t="n">
        <f aca="false">Sens!C10349*IF(Sens!F10342-Sens!C10342=life_it,1,0)+Sens!D10349*IF(Sens!F10342-Sens!D10342=life_it,1,0)+Sens!E10349*IF(Sens!F10342-Sens!E10342=life_it,1,0)</f>
        <v>0</v>
      </c>
      <c r="G10368" s="29" t="n">
        <f aca="false">Sens!C10349*IF(Sens!G10342-Sens!C10342=life_it,1,0)+Sens!D10349*IF(Sens!G10342-Sens!D10342=life_it,1,0)+Sens!E10349*IF(Sens!G10342-Sens!E10342=life_it,1,0)+Sens!F10349*IF(Sens!G10342-Sens!F10342=life_it,1,0)</f>
        <v>0</v>
      </c>
      <c r="H10368" s="29" t="n">
        <f aca="false">Sens!C10349*IF(Sens!H10342-Sens!C10342=life_it,1,0)+Sens!D10349*IF(Sens!H10342-Sens!D10342=life_it,1,0)+Sens!E10349*IF(Sens!H10342-Sens!E10342=life_it,1,0)+Sens!F10349*IF(Sens!H10342-Sens!F10342=life_it,1,0)+Sens!G10349*IF(Sens!H10342-Sens!G10342=life_it,1,0)</f>
        <v>0</v>
      </c>
      <c r="I10368" s="29" t="n">
        <f aca="false">Sens!C10349*IF(Sens!I10342-Sens!C10342=life_it,1,0)+Sens!D10349*IF(Sens!I10342-Sens!D10342=life_it,1,0)+Sens!E10349*IF(Sens!I10342-Sens!E10342=life_it,1,0)+Sens!F10349*IF(Sens!I10342-Sens!F10342=life_it,1,0)+Sens!G10349*IF(Sens!I10342-Sens!G10342=life_it,1,0)+Sens!H10349*IF(Sens!I10342-Sens!H10342=life_it,1,0)</f>
        <v>816.666666666667</v>
      </c>
      <c r="J10368" s="29" t="n">
        <f aca="false">Sens!C10349*IF(Sens!J10342-Sens!C10342=life_it,1,0)+Sens!D10349*IF(Sens!J10342-Sens!D10342=life_it,1,0)+Sens!E10349*IF(Sens!J10342-Sens!E10342=life_it,1,0)+Sens!F10349*IF(Sens!J10342-Sens!F10342=life_it,1,0)+Sens!G10349*IF(Sens!J10342-Sens!G10342=life_it,1,0)+Sens!H10349*IF(Sens!J10342-Sens!H10342=life_it,1,0)+Sens!I10349*IF(Sens!J10342-Sens!I10342=life_it,1,0)</f>
        <v>1233.33333333333</v>
      </c>
      <c r="K10368" s="29" t="n">
        <f aca="false">Sens!C10349*IF(Sens!K10342-Sens!C10342=life_it,1,0)+Sens!D10349*IF(Sens!K10342-Sens!D10342=life_it,1,0)+Sens!E10349*IF(Sens!K10342-Sens!E10342=life_it,1,0)+Sens!F10349*IF(Sens!K10342-Sens!F10342=life_it,1,0)+Sens!G10349*IF(Sens!K10342-Sens!G10342=life_it,1,0)+Sens!H10349*IF(Sens!K10342-Sens!H10342=life_it,1,0)+Sens!I10349*IF(Sens!K10342-Sens!I10342=life_it,1,0)+Sens!J10349*IF(Sens!K10342-Sens!J10342=life_it,1,0)</f>
        <v>2450</v>
      </c>
      <c r="L10368" s="1" t="s">
        <v>834</v>
      </c>
    </row>
    <row r="10369" customFormat="false" ht="17.15" hidden="false" customHeight="false" outlineLevel="0" collapsed="false">
      <c r="A10369" s="0" t="s">
        <v>835</v>
      </c>
      <c r="B10369" s="0" t="s">
        <v>98</v>
      </c>
      <c r="C10369" s="6" t="n">
        <f aca="false">Sens!C10349*Sens!C10367/1000</f>
        <v>22.5333845916667</v>
      </c>
      <c r="D10369" s="6" t="n">
        <f aca="false">Sens!D10349*Sens!D10367/1000</f>
        <v>34.0300093833333</v>
      </c>
      <c r="E10369" s="6" t="n">
        <f aca="false">Sens!E10349*Sens!E10367/1000</f>
        <v>67.600153775</v>
      </c>
      <c r="F10369" s="6" t="n">
        <f aca="false">(Sens!F10349+Sens!F10368)*Sens!F10367/1000</f>
        <v>130.923271871467</v>
      </c>
      <c r="G10369" s="6" t="n">
        <f aca="false">(Sens!G10349+Sens!G10368)*Sens!G10367/1000</f>
        <v>151.5545564832</v>
      </c>
      <c r="H10369" s="6" t="n">
        <f aca="false">(Sens!H10349+Sens!H10368)*Sens!H10367/1000</f>
        <v>156.0606619104</v>
      </c>
      <c r="I10369" s="6" t="n">
        <f aca="false">(Sens!I10349+Sens!I10368)*Sens!I10367/1000</f>
        <v>140.987889434245</v>
      </c>
      <c r="J10369" s="6" t="n">
        <f aca="false">(Sens!J10349+Sens!J10368)*Sens!J10367/1000</f>
        <v>111.094541278091</v>
      </c>
      <c r="K10369" s="6" t="n">
        <f aca="false">(Sens!K10349+Sens!K10368)*Sens!K10367/1000</f>
        <v>110.842344481936</v>
      </c>
    </row>
    <row r="10370" customFormat="false" ht="17.15" hidden="false" customHeight="false" outlineLevel="0" collapsed="false">
      <c r="A10370" s="0" t="s">
        <v>836</v>
      </c>
      <c r="B10370" s="0" t="s">
        <v>98</v>
      </c>
      <c r="C10370" s="6" t="n">
        <f aca="false">Sens!C10349*self_build*tk_cxfac/1000</f>
        <v>6.2083</v>
      </c>
      <c r="D10370" s="6" t="n">
        <f aca="false">Sens!D10349*self_build*tk_cxfac/1000</f>
        <v>9.3758</v>
      </c>
      <c r="E10370" s="6" t="n">
        <f aca="false">Sens!E10349*self_build*tk_cxfac/1000</f>
        <v>18.6249</v>
      </c>
      <c r="F10370" s="6" t="n">
        <f aca="false">Sens!F10349*self_build*tk_cxfac/1000</f>
        <v>29.409604</v>
      </c>
      <c r="G10370" s="6" t="n">
        <f aca="false">Sens!G10349*self_build*tk_cxfac/1000</f>
        <v>32.019624</v>
      </c>
      <c r="H10370" s="6" t="n">
        <f aca="false">Sens!H10349*self_build*tk_cxfac/1000</f>
        <v>32.019624</v>
      </c>
      <c r="I10370" s="6" t="n">
        <f aca="false">Sens!I10349*self_build*tk_cxfac/1000</f>
        <v>22.71877972</v>
      </c>
      <c r="J10370" s="6" t="n">
        <f aca="false">Sens!J10349*self_build*tk_cxfac/1000</f>
        <v>13.41793544</v>
      </c>
      <c r="K10370" s="6" t="n">
        <f aca="false">Sens!K10349*self_build*tk_cxfac/1000</f>
        <v>4.11709116000001</v>
      </c>
    </row>
    <row r="10371" customFormat="false" ht="17.15" hidden="false" customHeight="false" outlineLevel="0" collapsed="false">
      <c r="A10371" s="0" t="s">
        <v>837</v>
      </c>
      <c r="B10371" s="0" t="s">
        <v>98</v>
      </c>
      <c r="F10371" s="6" t="n">
        <f aca="false">MAX(0,capex_floor27-Sens!F10369-Sens!F10370-Sens!F10464)</f>
        <v>8.13450839897089</v>
      </c>
      <c r="L10371" s="1" t="s">
        <v>838</v>
      </c>
    </row>
    <row r="10372" customFormat="false" ht="17.15" hidden="false" customHeight="false" outlineLevel="0" collapsed="false">
      <c r="A10372" s="0" t="s">
        <v>839</v>
      </c>
      <c r="B10372" s="0" t="s">
        <v>98</v>
      </c>
      <c r="C10372" s="6" t="n">
        <f aca="false">Sens!C10369</f>
        <v>22.5333845916667</v>
      </c>
      <c r="D10372" s="6" t="n">
        <f aca="false">Sens!D10369</f>
        <v>34.0300093833333</v>
      </c>
      <c r="E10372" s="6" t="n">
        <f aca="false">Sens!E10369</f>
        <v>67.600153775</v>
      </c>
      <c r="F10372" s="6" t="n">
        <f aca="false">Sens!F10369+Sens!F10371</f>
        <v>139.057780270438</v>
      </c>
      <c r="G10372" s="6" t="n">
        <f aca="false">Sens!G10369</f>
        <v>151.5545564832</v>
      </c>
      <c r="H10372" s="6" t="n">
        <f aca="false">Sens!H10369</f>
        <v>156.0606619104</v>
      </c>
      <c r="I10372" s="6" t="n">
        <f aca="false">Sens!I10369</f>
        <v>140.987889434245</v>
      </c>
      <c r="J10372" s="6" t="n">
        <f aca="false">Sens!J10369</f>
        <v>111.094541278091</v>
      </c>
      <c r="K10372" s="6" t="n">
        <f aca="false">Sens!K10369</f>
        <v>110.842344481936</v>
      </c>
    </row>
    <row r="10373" customFormat="false" ht="17.15" hidden="false" customHeight="false" outlineLevel="0" collapsed="false">
      <c r="A10373" s="0" t="s">
        <v>840</v>
      </c>
      <c r="B10373" s="0" t="s">
        <v>98</v>
      </c>
      <c r="C10373" s="6" t="n">
        <f aca="false">Sens!C10372+Sens!C10370</f>
        <v>28.7416845916667</v>
      </c>
      <c r="D10373" s="6" t="n">
        <f aca="false">Sens!D10372+Sens!D10370</f>
        <v>43.4058093833333</v>
      </c>
      <c r="E10373" s="6" t="n">
        <f aca="false">Sens!E10372+Sens!E10370</f>
        <v>86.225053775</v>
      </c>
      <c r="F10373" s="6" t="n">
        <f aca="false">Sens!F10372+Sens!F10370</f>
        <v>168.467384270438</v>
      </c>
      <c r="G10373" s="6" t="n">
        <f aca="false">Sens!G10372+Sens!G10370</f>
        <v>183.5741804832</v>
      </c>
      <c r="H10373" s="6" t="n">
        <f aca="false">Sens!H10372+Sens!H10370</f>
        <v>188.0802859104</v>
      </c>
      <c r="I10373" s="6" t="n">
        <f aca="false">Sens!I10372+Sens!I10370</f>
        <v>163.706669154245</v>
      </c>
      <c r="J10373" s="6" t="n">
        <f aca="false">Sens!J10372+Sens!J10370</f>
        <v>124.51247671809</v>
      </c>
      <c r="K10373" s="6" t="n">
        <f aca="false">Sens!K10372+Sens!K10370</f>
        <v>114.959435641936</v>
      </c>
      <c r="L10373" s="11" t="s">
        <v>841</v>
      </c>
    </row>
    <row r="10374" customFormat="false" ht="17.15" hidden="false" customHeight="false" outlineLevel="0" collapsed="false">
      <c r="A10374" s="0" t="s">
        <v>842</v>
      </c>
      <c r="B10374" s="0" t="s">
        <v>98</v>
      </c>
      <c r="E10374" s="6" t="n">
        <f aca="false">(Sens!C10372*IF(2&lt;life_it,1,IF(2=life_it,0.5,0))+Sens!D10372*IF(1&lt;life_it,1,IF(1=life_it,0.5,0))+Sens!E10372*0.5)/life_it</f>
        <v>15.0605784770833</v>
      </c>
      <c r="F10374" s="6" t="n">
        <f aca="false">(Sens!C10372*IF(3&lt;life_it,1,IF(3=life_it,0.5,0))+Sens!D10372*IF(2&lt;life_it,1,IF(2=life_it,0.5,0))+Sens!E10372*IF(1&lt;life_it,1,IF(1=life_it,0.5,0))+Sens!F10372*0.5)/life_it</f>
        <v>32.2820729808698</v>
      </c>
      <c r="G10374" s="6" t="n">
        <f aca="false">(Sens!C10372*IF(4&lt;life_it,1,IF(4=life_it,0.5,0))+Sens!D10372*IF(3&lt;life_it,1,IF(3=life_it,0.5,0))+Sens!E10372*IF(2&lt;life_it,1,IF(2=life_it,0.5,0))+Sens!F10372*IF(1&lt;life_it,1,IF(1=life_it,0.5,0))+Sens!G10372*0.5)/life_it</f>
        <v>56.4997677103396</v>
      </c>
      <c r="H10374" s="6" t="n">
        <f aca="false">(Sens!C10372*IF(5&lt;life_it,1,IF(5=life_it,0.5,0))+Sens!D10372*IF(4&lt;life_it,1,IF(4=life_it,0.5,0))+Sens!E10372*IF(3&lt;life_it,1,IF(3=life_it,0.5,0))+Sens!F10372*IF(2&lt;life_it,1,IF(2=life_it,0.5,0))+Sens!G10372*IF(1&lt;life_it,1,IF(1=life_it,0.5,0))+Sens!H10372*0.5)/life_it</f>
        <v>82.1343692431396</v>
      </c>
      <c r="I10374" s="6" t="n">
        <f aca="false">(Sens!C10372*IF(6&lt;life_it,1,IF(6=life_it,0.5,0))+Sens!D10372*IF(5&lt;life_it,1,IF(5=life_it,0.5,0))+Sens!E10372*IF(4&lt;life_it,1,IF(4=life_it,0.5,0))+Sens!F10372*IF(3&lt;life_it,1,IF(3=life_it,0.5,0))+Sens!G10372*IF(2&lt;life_it,1,IF(2=life_it,0.5,0))+Sens!H10372*IF(1&lt;life_it,1,IF(1=life_it,0.5,0))+Sens!I10372*0.5)/life_it</f>
        <v>105.010633139221</v>
      </c>
      <c r="J10374" s="6" t="n">
        <f aca="false">(Sens!C10372*IF(7&lt;life_it,1,IF(7=life_it,0.5,0))+Sens!D10372*IF(6&lt;life_it,1,IF(6=life_it,0.5,0))+Sens!E10372*IF(5&lt;life_it,1,IF(5=life_it,0.5,0))+Sens!F10372*IF(4&lt;life_it,1,IF(4=life_it,0.5,0))+Sens!G10372*IF(3&lt;life_it,1,IF(3=life_it,0.5,0))+Sens!H10372*IF(2&lt;life_it,1,IF(2=life_it,0.5,0))+Sens!I10372*IF(1&lt;life_it,1,IF(1=life_it,0.5,0))+Sens!J10372*0.5)/life_it</f>
        <v>121.303886200666</v>
      </c>
      <c r="K10374" s="6" t="n">
        <f aca="false">(Sens!C10372*IF(8&lt;life_it,1,IF(8=life_it,0.5,0))+Sens!D10372*IF(7&lt;life_it,1,IF(7=life_it,0.5,0))+Sens!E10372*IF(6&lt;life_it,1,IF(6=life_it,0.5,0))+Sens!F10372*IF(5&lt;life_it,1,IF(5=life_it,0.5,0))+Sens!G10372*IF(4&lt;life_it,1,IF(4=life_it,0.5,0))+Sens!H10372*IF(3&lt;life_it,1,IF(3=life_it,0.5,0))+Sens!I10372*IF(2&lt;life_it,1,IF(2=life_it,0.5,0))+Sens!J10372*IF(1&lt;life_it,1,IF(1=life_it,0.5,0))+Sens!K10372*0.5)/life_it</f>
        <v>131.329446417474</v>
      </c>
    </row>
    <row r="10375" customFormat="false" ht="17.15" hidden="false" customHeight="false" outlineLevel="0" collapsed="false">
      <c r="A10375" s="0" t="s">
        <v>843</v>
      </c>
      <c r="B10375" s="0" t="s">
        <v>98</v>
      </c>
      <c r="E10375" s="6" t="n">
        <f aca="false">(Sens!C10370*IF(2&lt;life_fac,1,IF(2=life_fac,0.5,0))+Sens!D10370*IF(1&lt;life_fac,1,IF(1=life_fac,0.5,0))+Sens!E10370*0.5)/life_fac</f>
        <v>1.2448275</v>
      </c>
      <c r="F10375" s="6" t="n">
        <f aca="false">(Sens!C10370*IF(3&lt;life_fac,1,IF(3=life_fac,0.5,0))+Sens!D10370*IF(2&lt;life_fac,1,IF(2=life_fac,0.5,0))+Sens!E10370*IF(1&lt;life_fac,1,IF(1=life_fac,0.5,0))+Sens!F10370*0.5)/life_fac</f>
        <v>2.4456901</v>
      </c>
      <c r="G10375" s="6" t="n">
        <f aca="false">(Sens!C10370*IF(4&lt;life_fac,1,IF(4=life_fac,0.5,0))+Sens!D10370*IF(3&lt;life_fac,1,IF(3=life_fac,0.5,0))+Sens!E10370*IF(2&lt;life_fac,1,IF(2=life_fac,0.5,0))+Sens!F10370*IF(1&lt;life_fac,1,IF(1=life_fac,0.5,0))+Sens!G10370*0.5)/life_fac</f>
        <v>3.9814208</v>
      </c>
      <c r="H10375" s="6" t="n">
        <f aca="false">(Sens!C10370*IF(5&lt;life_fac,1,IF(5=life_fac,0.5,0))+Sens!D10370*IF(4&lt;life_fac,1,IF(4=life_fac,0.5,0))+Sens!E10370*IF(3&lt;life_fac,1,IF(3=life_fac,0.5,0))+Sens!F10370*IF(2&lt;life_fac,1,IF(2=life_fac,0.5,0))+Sens!G10370*IF(1&lt;life_fac,1,IF(1=life_fac,0.5,0))+Sens!H10370*0.5)/life_fac</f>
        <v>5.582402</v>
      </c>
      <c r="I10375" s="6" t="n">
        <f aca="false">(Sens!C10370*IF(6&lt;life_fac,1,IF(6=life_fac,0.5,0))+Sens!D10370*IF(5&lt;life_fac,1,IF(5=life_fac,0.5,0))+Sens!E10370*IF(4&lt;life_fac,1,IF(4=life_fac,0.5,0))+Sens!F10370*IF(3&lt;life_fac,1,IF(3=life_fac,0.5,0))+Sens!G10370*IF(2&lt;life_fac,1,IF(2=life_fac,0.5,0))+Sens!H10370*IF(1&lt;life_fac,1,IF(1=life_fac,0.5,0))+Sens!I10370*0.5)/life_fac</f>
        <v>6.950862093</v>
      </c>
      <c r="J10375" s="6" t="n">
        <f aca="false">(Sens!C10370*IF(7&lt;life_fac,1,IF(7=life_fac,0.5,0))+Sens!D10370*IF(6&lt;life_fac,1,IF(6=life_fac,0.5,0))+Sens!E10370*IF(5&lt;life_fac,1,IF(5=life_fac,0.5,0))+Sens!F10370*IF(4&lt;life_fac,1,IF(4=life_fac,0.5,0))+Sens!G10370*IF(3&lt;life_fac,1,IF(3=life_fac,0.5,0))+Sens!H10370*IF(2&lt;life_fac,1,IF(2=life_fac,0.5,0))+Sens!I10370*IF(1&lt;life_fac,1,IF(1=life_fac,0.5,0))+Sens!J10370*0.5)/life_fac</f>
        <v>7.854279972</v>
      </c>
      <c r="K10375" s="6" t="n">
        <f aca="false">(Sens!C10370*IF(8&lt;life_fac,1,IF(8=life_fac,0.5,0))+Sens!D10370*IF(7&lt;life_fac,1,IF(7=life_fac,0.5,0))+Sens!E10370*IF(6&lt;life_fac,1,IF(6=life_fac,0.5,0))+Sens!F10370*IF(5&lt;life_fac,1,IF(5=life_fac,0.5,0))+Sens!G10370*IF(4&lt;life_fac,1,IF(4=life_fac,0.5,0))+Sens!H10370*IF(3&lt;life_fac,1,IF(3=life_fac,0.5,0))+Sens!I10370*IF(2&lt;life_fac,1,IF(2=life_fac,0.5,0))+Sens!J10370*IF(1&lt;life_fac,1,IF(1=life_fac,0.5,0))+Sens!K10370*0.5)/life_fac</f>
        <v>8.292655637</v>
      </c>
    </row>
    <row r="10376" customFormat="false" ht="17.15" hidden="false" customHeight="false" outlineLevel="0" collapsed="false">
      <c r="A10376" s="0" t="s">
        <v>844</v>
      </c>
      <c r="B10376" s="0" t="s">
        <v>98</v>
      </c>
      <c r="E10376" s="6" t="n">
        <f aca="false">Sens!E10374+Sens!E10375</f>
        <v>16.3054059770833</v>
      </c>
      <c r="F10376" s="6" t="n">
        <f aca="false">Sens!F10374+Sens!F10375</f>
        <v>34.7277630808698</v>
      </c>
      <c r="G10376" s="6" t="n">
        <f aca="false">Sens!G10374+Sens!G10375</f>
        <v>60.4811885103396</v>
      </c>
      <c r="H10376" s="6" t="n">
        <f aca="false">Sens!H10374+Sens!H10375</f>
        <v>87.7167712431396</v>
      </c>
      <c r="I10376" s="6" t="n">
        <f aca="false">Sens!I10374+Sens!I10375</f>
        <v>111.961495232221</v>
      </c>
      <c r="J10376" s="6" t="n">
        <f aca="false">Sens!J10374+Sens!J10375</f>
        <v>129.158166172666</v>
      </c>
      <c r="K10376" s="6" t="n">
        <f aca="false">Sens!K10374+Sens!K10375</f>
        <v>139.622102054474</v>
      </c>
    </row>
    <row r="10377" customFormat="false" ht="17.15" hidden="false" customHeight="false" outlineLevel="0" collapsed="false">
      <c r="A10377" s="0" t="s">
        <v>845</v>
      </c>
      <c r="B10377" s="0" t="s">
        <v>98</v>
      </c>
      <c r="E10377" s="6" t="n">
        <f aca="false">Sens!E10365-Sens!E10364*Sens!E10376</f>
        <v>8.92707889977379</v>
      </c>
      <c r="F10377" s="6" t="n">
        <f aca="false">Sens!F10365-Sens!F10364*Sens!F10376</f>
        <v>22.2911955562152</v>
      </c>
      <c r="G10377" s="6" t="n">
        <f aca="false">Sens!G10365-Sens!G10364*Sens!G10376</f>
        <v>42.1825892737015</v>
      </c>
      <c r="H10377" s="6" t="n">
        <f aca="false">Sens!H10365-Sens!H10364*Sens!H10376</f>
        <v>67.5395615153351</v>
      </c>
      <c r="I10377" s="6" t="n">
        <f aca="false">Sens!I10365-Sens!I10364*Sens!I10376</f>
        <v>84.7559366962332</v>
      </c>
      <c r="J10377" s="6" t="n">
        <f aca="false">Sens!J10365-Sens!J10364*Sens!J10376</f>
        <v>96.7164942154554</v>
      </c>
      <c r="K10377" s="6" t="n">
        <f aca="false">Sens!K10365-Sens!K10364*Sens!K10376</f>
        <v>104.654679810045</v>
      </c>
    </row>
    <row r="10378" customFormat="false" ht="17.15" hidden="false" customHeight="false" outlineLevel="0" collapsed="false">
      <c r="A10378" s="3" t="s">
        <v>1505</v>
      </c>
    </row>
    <row r="10379" customFormat="false" ht="15" hidden="false" customHeight="false" outlineLevel="0" collapsed="false">
      <c r="A10379" s="4" t="s">
        <v>43</v>
      </c>
      <c r="B10379" s="4" t="s">
        <v>65</v>
      </c>
      <c r="C10379" s="20" t="s">
        <v>788</v>
      </c>
      <c r="D10379" s="20" t="s">
        <v>789</v>
      </c>
      <c r="E10379" s="20" t="s">
        <v>790</v>
      </c>
      <c r="F10379" s="20" t="s">
        <v>791</v>
      </c>
      <c r="G10379" s="20" t="s">
        <v>792</v>
      </c>
      <c r="H10379" s="20" t="s">
        <v>793</v>
      </c>
      <c r="I10379" s="20" t="s">
        <v>794</v>
      </c>
      <c r="J10379" s="20" t="s">
        <v>795</v>
      </c>
      <c r="K10379" s="20" t="s">
        <v>796</v>
      </c>
      <c r="L10379" s="4" t="s">
        <v>47</v>
      </c>
    </row>
    <row r="10380" customFormat="false" ht="17.15" hidden="false" customHeight="false" outlineLevel="0" collapsed="false">
      <c r="A10380" s="0" t="s">
        <v>864</v>
      </c>
      <c r="B10380" s="0" t="s">
        <v>98</v>
      </c>
      <c r="D10380" s="6" t="n">
        <f aca="false">Sens!D10359</f>
        <v>12.9359794422418</v>
      </c>
      <c r="E10380" s="6" t="n">
        <f aca="false">Sens!E10359</f>
        <v>27.8095064661409</v>
      </c>
      <c r="F10380" s="6" t="n">
        <f aca="false">Sens!F10359</f>
        <v>58.7324192305018</v>
      </c>
      <c r="G10380" s="6" t="n">
        <f aca="false">Sens!G10359</f>
        <v>101.369089141153</v>
      </c>
      <c r="H10380" s="6" t="n">
        <f aca="false">Sens!H10359</f>
        <v>149.785610014234</v>
      </c>
      <c r="I10380" s="6" t="n">
        <f aca="false">Sens!I10359</f>
        <v>187.368703083263</v>
      </c>
      <c r="J10380" s="6" t="n">
        <f aca="false">Sens!J10359</f>
        <v>213.569023125577</v>
      </c>
      <c r="K10380" s="6" t="n">
        <f aca="false">Sens!K10359</f>
        <v>229.890205197739</v>
      </c>
    </row>
    <row r="10381" customFormat="false" ht="17.15" hidden="false" customHeight="false" outlineLevel="0" collapsed="false">
      <c r="A10381" s="0" t="s">
        <v>865</v>
      </c>
      <c r="B10381" s="0" t="s">
        <v>98</v>
      </c>
      <c r="D10381" s="6" t="n">
        <f aca="false">Q!L6-Sens!D10380</f>
        <v>59.6740205577583</v>
      </c>
      <c r="E10381" s="6" t="n">
        <f aca="false">Q!M6-Sens!E10380</f>
        <v>74.1284935338591</v>
      </c>
      <c r="F10381" s="6" t="n">
        <f aca="false">Sens!E10381*(1+Sens!F10382)</f>
        <v>90.0799497373663</v>
      </c>
      <c r="G10381" s="6" t="n">
        <f aca="false">Sens!F10381*(1+Sens!G10382)</f>
        <v>107.02842520331</v>
      </c>
      <c r="H10381" s="6" t="n">
        <f aca="false">Sens!G10381*(1+Sens!H10382)</f>
        <v>124.271982585636</v>
      </c>
      <c r="I10381" s="6" t="n">
        <f aca="false">Sens!H10381*(1+Sens!I10382)</f>
        <v>140.933702381855</v>
      </c>
      <c r="J10381" s="6" t="n">
        <f aca="false">Sens!I10381*(1+Sens!J10382)</f>
        <v>156.018867314332</v>
      </c>
      <c r="K10381" s="6" t="n">
        <f aca="false">Sens!J10381*(1+Sens!K10382)</f>
        <v>168.500376699478</v>
      </c>
    </row>
    <row r="10382" customFormat="false" ht="15" hidden="false" customHeight="false" outlineLevel="0" collapsed="false">
      <c r="A10382" s="1" t="s">
        <v>866</v>
      </c>
      <c r="B10382" s="0" t="s">
        <v>129</v>
      </c>
      <c r="E10382" s="7" t="n">
        <f aca="false">Sens!E10381/Sens!D10381-1</f>
        <v>0.242223883039864</v>
      </c>
      <c r="F10382" s="7" t="n">
        <f aca="false">Sens!$E$10382+(glt_azo-Sens!$E$10382)*MIN(1,(Sens!F10342-base_fy)/n_conv)</f>
        <v>0.215186569199887</v>
      </c>
      <c r="G10382" s="7" t="n">
        <f aca="false">Sens!$E$10382+(glt_azo-Sens!$E$10382)*MIN(1,(Sens!G10342-base_fy)/n_conv)</f>
        <v>0.18814925535991</v>
      </c>
      <c r="H10382" s="7" t="n">
        <f aca="false">Sens!$E$10382+(glt_azo-Sens!$E$10382)*MIN(1,(Sens!H10342-base_fy)/n_conv)</f>
        <v>0.161111941519932</v>
      </c>
      <c r="I10382" s="7" t="n">
        <f aca="false">Sens!$E$10382+(glt_azo-Sens!$E$10382)*MIN(1,(Sens!I10342-base_fy)/n_conv)</f>
        <v>0.134074627679955</v>
      </c>
      <c r="J10382" s="7" t="n">
        <f aca="false">Sens!$E$10382+(glt_azo-Sens!$E$10382)*MIN(1,(Sens!J10342-base_fy)/n_conv)</f>
        <v>0.107037313839977</v>
      </c>
      <c r="K10382" s="7" t="n">
        <f aca="false">Sens!$E$10382+(glt_azo-Sens!$E$10382)*MIN(1,(Sens!K10342-base_fy)/n_conv)</f>
        <v>0.08</v>
      </c>
    </row>
    <row r="10383" customFormat="false" ht="15" hidden="false" customHeight="false" outlineLevel="0" collapsed="false">
      <c r="A10383" s="0" t="s">
        <v>867</v>
      </c>
      <c r="B10383" s="0" t="s">
        <v>98</v>
      </c>
      <c r="D10383" s="6" t="n">
        <f aca="false">Sens!D10380+Sens!D10381</f>
        <v>72.61</v>
      </c>
      <c r="E10383" s="6" t="n">
        <f aca="false">Sens!E10380+Sens!E10381</f>
        <v>101.938</v>
      </c>
      <c r="F10383" s="6" t="n">
        <f aca="false">Sens!F10380+Sens!F10381</f>
        <v>148.812368967868</v>
      </c>
      <c r="G10383" s="6" t="n">
        <f aca="false">Sens!G10380+Sens!G10381</f>
        <v>208.397514344463</v>
      </c>
      <c r="H10383" s="6" t="n">
        <f aca="false">Sens!H10380+Sens!H10381</f>
        <v>274.05759259987</v>
      </c>
      <c r="I10383" s="6" t="n">
        <f aca="false">Sens!I10380+Sens!I10381</f>
        <v>328.302405465117</v>
      </c>
      <c r="J10383" s="6" t="n">
        <f aca="false">Sens!J10380+Sens!J10381</f>
        <v>369.587890439908</v>
      </c>
      <c r="K10383" s="6" t="n">
        <f aca="false">Sens!K10380+Sens!K10381</f>
        <v>398.390581897217</v>
      </c>
    </row>
    <row r="10384" customFormat="false" ht="17.15" hidden="false" customHeight="false" outlineLevel="0" collapsed="false">
      <c r="A10384" s="0" t="s">
        <v>868</v>
      </c>
      <c r="B10384" s="1" t="s">
        <v>521</v>
      </c>
      <c r="C10384" s="29" t="n">
        <f aca="false">cop_s24</f>
        <v>1</v>
      </c>
      <c r="D10384" s="29" t="n">
        <f aca="false">cop_s25</f>
        <v>5</v>
      </c>
      <c r="E10384" s="29" t="n">
        <f aca="false">cop_s26</f>
        <v>30</v>
      </c>
      <c r="F10384" s="29" t="n">
        <f aca="false">Sens!E10384+cop_add_A</f>
        <v>60</v>
      </c>
      <c r="G10384" s="29" t="n">
        <f aca="false">Sens!F10384+cop_add_A</f>
        <v>90</v>
      </c>
      <c r="H10384" s="29" t="n">
        <f aca="false">Sens!G10384+cop_add_A</f>
        <v>120</v>
      </c>
      <c r="I10384" s="29" t="n">
        <f aca="false">Sens!H10384+cop_add_A*cop_tail</f>
        <v>135</v>
      </c>
      <c r="J10384" s="29" t="n">
        <f aca="false">Sens!I10384+cop_add_A*cop_tail</f>
        <v>150</v>
      </c>
      <c r="K10384" s="29" t="n">
        <f aca="false">Sens!J10384+cop_add_A*cop_tail</f>
        <v>165</v>
      </c>
      <c r="L10384" s="11" t="s">
        <v>869</v>
      </c>
    </row>
    <row r="10385" customFormat="false" ht="17.15" hidden="false" customHeight="false" outlineLevel="0" collapsed="false">
      <c r="A10385" s="0" t="s">
        <v>870</v>
      </c>
      <c r="B10385" s="0" t="s">
        <v>98</v>
      </c>
      <c r="D10385" s="6" t="n">
        <f aca="false">(Sens!C10384+Sens!D10384)/2*cop_px*12/1000</f>
        <v>0.9</v>
      </c>
      <c r="E10385" s="6" t="n">
        <f aca="false">(Sens!D10384+Sens!E10384)/2*cop_px*12/1000</f>
        <v>5.25</v>
      </c>
      <c r="F10385" s="6" t="n">
        <f aca="false">(Sens!E10384+Sens!F10384)/2*cop_px*12/1000</f>
        <v>13.5</v>
      </c>
      <c r="G10385" s="6" t="n">
        <f aca="false">(Sens!F10384+Sens!G10384)/2*cop_px*12/1000</f>
        <v>22.5</v>
      </c>
      <c r="H10385" s="6" t="n">
        <f aca="false">(Sens!G10384+Sens!H10384)/2*cop_px*12/1000</f>
        <v>31.5</v>
      </c>
      <c r="I10385" s="6" t="n">
        <f aca="false">(Sens!H10384+Sens!I10384)/2*cop_px*12/1000</f>
        <v>38.25</v>
      </c>
      <c r="J10385" s="6" t="n">
        <f aca="false">(Sens!I10384+Sens!J10384)/2*cop_px*12/1000</f>
        <v>42.75</v>
      </c>
      <c r="K10385" s="6" t="n">
        <f aca="false">(Sens!J10384+Sens!K10384)/2*cop_px*12/1000</f>
        <v>47.25</v>
      </c>
      <c r="L10385" s="1" t="s">
        <v>871</v>
      </c>
    </row>
    <row r="10386" customFormat="false" ht="17.15" hidden="false" customHeight="false" outlineLevel="0" collapsed="false">
      <c r="A10386" s="0" t="s">
        <v>872</v>
      </c>
      <c r="B10386" s="0" t="s">
        <v>98</v>
      </c>
      <c r="D10386" s="6" t="n">
        <f aca="false">Q!L7-Sens!D10385</f>
        <v>83.705</v>
      </c>
      <c r="E10386" s="6" t="n">
        <f aca="false">Q!M7-Sens!E10385</f>
        <v>95.049</v>
      </c>
      <c r="F10386" s="6" t="n">
        <f aca="false">Sens!E10386*(1+Sens!F10387)</f>
        <v>106.89238776686</v>
      </c>
      <c r="G10386" s="6" t="n">
        <f aca="false">Sens!F10386*(1+Sens!G10387)</f>
        <v>119.044168448684</v>
      </c>
      <c r="H10386" s="6" t="n">
        <f aca="false">Sens!G10386*(1+Sens!H10387)</f>
        <v>131.277359388781</v>
      </c>
      <c r="I10386" s="6" t="n">
        <f aca="false">Sens!H10386*(1+Sens!I10387)</f>
        <v>143.334028071957</v>
      </c>
      <c r="J10386" s="6" t="n">
        <f aca="false">Sens!I10386*(1+Sens!J10387)</f>
        <v>154.932702785465</v>
      </c>
      <c r="K10386" s="6" t="n">
        <f aca="false">Sens!J10386*(1+Sens!K10387)</f>
        <v>165.777991980448</v>
      </c>
    </row>
    <row r="10387" customFormat="false" ht="15" hidden="false" customHeight="false" outlineLevel="0" collapsed="false">
      <c r="A10387" s="1" t="s">
        <v>866</v>
      </c>
      <c r="B10387" s="0" t="s">
        <v>129</v>
      </c>
      <c r="E10387" s="7" t="n">
        <f aca="false">Sens!E10386/Sens!D10386-1</f>
        <v>0.135523564900544</v>
      </c>
      <c r="F10387" s="7" t="n">
        <f aca="false">Sens!$E$10387+(glt_m365b-Sens!$E$10387)*MIN(1,(Sens!F10342-base_fy)/n_conv)</f>
        <v>0.124602970750453</v>
      </c>
      <c r="G10387" s="7" t="n">
        <f aca="false">Sens!$E$10387+(glt_m365b-Sens!$E$10387)*MIN(1,(Sens!G10342-base_fy)/n_conv)</f>
        <v>0.113682376600363</v>
      </c>
      <c r="H10387" s="7" t="n">
        <f aca="false">Sens!$E$10387+(glt_m365b-Sens!$E$10387)*MIN(1,(Sens!H10342-base_fy)/n_conv)</f>
        <v>0.102761782450272</v>
      </c>
      <c r="I10387" s="7" t="n">
        <f aca="false">Sens!$E$10387+(glt_m365b-Sens!$E$10387)*MIN(1,(Sens!I10342-base_fy)/n_conv)</f>
        <v>0.0918411883001813</v>
      </c>
      <c r="J10387" s="7" t="n">
        <f aca="false">Sens!$E$10387+(glt_m365b-Sens!$E$10387)*MIN(1,(Sens!J10342-base_fy)/n_conv)</f>
        <v>0.0809205941500906</v>
      </c>
      <c r="K10387" s="7" t="n">
        <f aca="false">Sens!$E$10387+(glt_m365b-Sens!$E$10387)*MIN(1,(Sens!K10342-base_fy)/n_conv)</f>
        <v>0.07</v>
      </c>
    </row>
    <row r="10388" customFormat="false" ht="15" hidden="false" customHeight="false" outlineLevel="0" collapsed="false">
      <c r="A10388" s="0" t="s">
        <v>873</v>
      </c>
      <c r="B10388" s="0" t="s">
        <v>98</v>
      </c>
      <c r="D10388" s="6" t="n">
        <f aca="false">Sens!D10386+Sens!D10385</f>
        <v>84.605</v>
      </c>
      <c r="E10388" s="6" t="n">
        <f aca="false">Sens!E10386+Sens!E10385</f>
        <v>100.299</v>
      </c>
      <c r="F10388" s="6" t="n">
        <f aca="false">Sens!F10386+Sens!F10385</f>
        <v>120.39238776686</v>
      </c>
      <c r="G10388" s="6" t="n">
        <f aca="false">Sens!G10386+Sens!G10385</f>
        <v>141.544168448684</v>
      </c>
      <c r="H10388" s="6" t="n">
        <f aca="false">Sens!H10386+Sens!H10385</f>
        <v>162.777359388781</v>
      </c>
      <c r="I10388" s="6" t="n">
        <f aca="false">Sens!I10386+Sens!I10385</f>
        <v>181.584028071957</v>
      </c>
      <c r="J10388" s="6" t="n">
        <f aca="false">Sens!J10386+Sens!J10385</f>
        <v>197.682702785465</v>
      </c>
      <c r="K10388" s="6" t="n">
        <f aca="false">Sens!K10386+Sens!K10385</f>
        <v>213.027991980448</v>
      </c>
    </row>
    <row r="10389" customFormat="false" ht="15" hidden="false" customHeight="false" outlineLevel="0" collapsed="false">
      <c r="A10389" s="0" t="s">
        <v>874</v>
      </c>
      <c r="B10389" s="0" t="s">
        <v>98</v>
      </c>
      <c r="D10389" s="6" t="n">
        <f aca="false">Q!L8</f>
        <v>35.391</v>
      </c>
      <c r="E10389" s="6" t="n">
        <f aca="false">Q!M8</f>
        <v>37.285</v>
      </c>
      <c r="F10389" s="6" t="n">
        <f aca="false">Sens!E10389*(1+Sens!F10390)</f>
        <v>39.0720834331704</v>
      </c>
      <c r="G10389" s="6" t="n">
        <f aca="false">Sens!F10389*(1+Sens!G10390)</f>
        <v>40.726562953769</v>
      </c>
      <c r="H10389" s="6" t="n">
        <f aca="false">Sens!G10389*(1+Sens!H10390)</f>
        <v>42.2235987259198</v>
      </c>
      <c r="I10389" s="6" t="n">
        <f aca="false">Sens!H10389*(1+Sens!I10390)</f>
        <v>43.5397988077414</v>
      </c>
      <c r="J10389" s="6" t="n">
        <f aca="false">Sens!I10389*(1+Sens!J10390)</f>
        <v>44.653811225693</v>
      </c>
      <c r="K10389" s="6" t="n">
        <f aca="false">Sens!J10389*(1+Sens!K10390)</f>
        <v>45.5468874502068</v>
      </c>
    </row>
    <row r="10390" customFormat="false" ht="15" hidden="false" customHeight="false" outlineLevel="0" collapsed="false">
      <c r="A10390" s="1" t="s">
        <v>866</v>
      </c>
      <c r="B10390" s="0" t="s">
        <v>129</v>
      </c>
      <c r="E10390" s="7" t="n">
        <f aca="false">Sens!E10389/Sens!D10389-1</f>
        <v>0.0535164307309768</v>
      </c>
      <c r="F10390" s="7" t="n">
        <f aca="false">Sens!$E$10390+(glt_lic-Sens!$E$10390)*MIN(1,(Sens!F10342-base_fy)/n_conv)</f>
        <v>0.0479303589424807</v>
      </c>
      <c r="G10390" s="7" t="n">
        <f aca="false">Sens!$E$10390+(glt_lic-Sens!$E$10390)*MIN(1,(Sens!G10342-base_fy)/n_conv)</f>
        <v>0.0423442871539845</v>
      </c>
      <c r="H10390" s="7" t="n">
        <f aca="false">Sens!$E$10390+(glt_lic-Sens!$E$10390)*MIN(1,(Sens!H10342-base_fy)/n_conv)</f>
        <v>0.0367582153654884</v>
      </c>
      <c r="I10390" s="7" t="n">
        <f aca="false">Sens!$E$10390+(glt_lic-Sens!$E$10390)*MIN(1,(Sens!I10342-base_fy)/n_conv)</f>
        <v>0.0311721435769923</v>
      </c>
      <c r="J10390" s="7" t="n">
        <f aca="false">Sens!$E$10390+(glt_lic-Sens!$E$10390)*MIN(1,(Sens!J10342-base_fy)/n_conv)</f>
        <v>0.0255860717884961</v>
      </c>
      <c r="K10390" s="7" t="n">
        <f aca="false">Sens!$E$10390+(glt_lic-Sens!$E$10390)*MIN(1,(Sens!K10342-base_fy)/n_conv)</f>
        <v>0.02</v>
      </c>
    </row>
    <row r="10391" customFormat="false" ht="15" hidden="false" customHeight="false" outlineLevel="0" collapsed="false">
      <c r="A10391" s="0" t="s">
        <v>875</v>
      </c>
      <c r="B10391" s="0" t="s">
        <v>98</v>
      </c>
      <c r="D10391" s="6" t="n">
        <f aca="false">Q!L9</f>
        <v>18.417</v>
      </c>
      <c r="E10391" s="6" t="n">
        <f aca="false">Q!M9</f>
        <v>20.345</v>
      </c>
      <c r="F10391" s="6" t="n">
        <f aca="false">Sens!E10391*(1+Sens!F10392)</f>
        <v>22.3572203267814</v>
      </c>
      <c r="G10391" s="6" t="n">
        <f aca="false">Sens!F10391*(1+Sens!G10392)</f>
        <v>24.4392124437232</v>
      </c>
      <c r="H10391" s="6" t="n">
        <f aca="false">Sens!G10391*(1+Sens!H10392)</f>
        <v>26.5738052080665</v>
      </c>
      <c r="I10391" s="6" t="n">
        <f aca="false">Sens!H10391*(1+Sens!I10392)</f>
        <v>28.7412169166967</v>
      </c>
      <c r="J10391" s="6" t="n">
        <f aca="false">Sens!I10391*(1+Sens!J10392)</f>
        <v>30.9192545395413</v>
      </c>
      <c r="K10391" s="6" t="n">
        <f aca="false">Sens!J10391*(1+Sens!K10392)</f>
        <v>33.0836023573092</v>
      </c>
    </row>
    <row r="10392" customFormat="false" ht="15" hidden="false" customHeight="false" outlineLevel="0" collapsed="false">
      <c r="A10392" s="1" t="s">
        <v>866</v>
      </c>
      <c r="B10392" s="0" t="s">
        <v>129</v>
      </c>
      <c r="E10392" s="7" t="n">
        <f aca="false">Sens!E10391/Sens!D10391-1</f>
        <v>0.104685888038225</v>
      </c>
      <c r="F10392" s="7" t="n">
        <f aca="false">Sens!$E$10392+(glt_ind-Sens!$E$10392)*MIN(1,(Sens!F10342-base_fy)/n_conv)</f>
        <v>0.0989049066985211</v>
      </c>
      <c r="G10392" s="7" t="n">
        <f aca="false">Sens!$E$10392+(glt_ind-Sens!$E$10392)*MIN(1,(Sens!G10342-base_fy)/n_conv)</f>
        <v>0.0931239253588169</v>
      </c>
      <c r="H10392" s="7" t="n">
        <f aca="false">Sens!$E$10392+(glt_ind-Sens!$E$10392)*MIN(1,(Sens!H10342-base_fy)/n_conv)</f>
        <v>0.0873429440191127</v>
      </c>
      <c r="I10392" s="7" t="n">
        <f aca="false">Sens!$E$10392+(glt_ind-Sens!$E$10392)*MIN(1,(Sens!I10342-base_fy)/n_conv)</f>
        <v>0.0815619626794085</v>
      </c>
      <c r="J10392" s="7" t="n">
        <f aca="false">Sens!$E$10392+(glt_ind-Sens!$E$10392)*MIN(1,(Sens!J10342-base_fy)/n_conv)</f>
        <v>0.0757809813397042</v>
      </c>
      <c r="K10392" s="7" t="n">
        <f aca="false">Sens!$E$10392+(glt_ind-Sens!$E$10392)*MIN(1,(Sens!K10342-base_fy)/n_conv)</f>
        <v>0.07</v>
      </c>
    </row>
    <row r="10393" customFormat="false" ht="15" hidden="false" customHeight="false" outlineLevel="0" collapsed="false">
      <c r="A10393" s="0" t="s">
        <v>876</v>
      </c>
      <c r="B10393" s="0" t="s">
        <v>98</v>
      </c>
      <c r="D10393" s="6" t="n">
        <f aca="false">Q!L10</f>
        <v>7.76</v>
      </c>
      <c r="E10393" s="6" t="n">
        <f aca="false">Q!M10</f>
        <v>8.26</v>
      </c>
      <c r="F10393" s="6" t="n">
        <f aca="false">Sens!E10393*(1+Sens!F10394)</f>
        <v>8.79988041237113</v>
      </c>
      <c r="G10393" s="6" t="n">
        <f aca="false">Sens!F10393*(1+Sens!G10394)</f>
        <v>9.38321269125306</v>
      </c>
      <c r="H10393" s="6" t="n">
        <f aca="false">Sens!G10393*(1+Sens!H10394)</f>
        <v>10.0139193587476</v>
      </c>
      <c r="I10393" s="6" t="n">
        <f aca="false">Sens!H10393*(1+Sens!I10394)</f>
        <v>10.6963111830911</v>
      </c>
      <c r="J10393" s="6" t="n">
        <f aca="false">Sens!I10393*(1+Sens!J10394)</f>
        <v>11.4351285534696</v>
      </c>
      <c r="K10393" s="6" t="n">
        <f aca="false">Sens!J10393*(1+Sens!K10394)</f>
        <v>12.2355875522124</v>
      </c>
    </row>
    <row r="10394" customFormat="false" ht="15" hidden="false" customHeight="false" outlineLevel="0" collapsed="false">
      <c r="A10394" s="1" t="s">
        <v>866</v>
      </c>
      <c r="B10394" s="0" t="s">
        <v>129</v>
      </c>
      <c r="E10394" s="7" t="n">
        <f aca="false">Sens!E10393/Sens!D10393-1</f>
        <v>0.0644329896907216</v>
      </c>
      <c r="F10394" s="7" t="n">
        <f aca="false">Sens!$E$10394+(glt_fro-Sens!$E$10394)*MIN(1,(Sens!F10342-base_fy)/n_conv)</f>
        <v>0.065360824742268</v>
      </c>
      <c r="G10394" s="7" t="n">
        <f aca="false">Sens!$E$10394+(glt_fro-Sens!$E$10394)*MIN(1,(Sens!G10342-base_fy)/n_conv)</f>
        <v>0.0662886597938144</v>
      </c>
      <c r="H10394" s="7" t="n">
        <f aca="false">Sens!$E$10394+(glt_fro-Sens!$E$10394)*MIN(1,(Sens!H10342-base_fy)/n_conv)</f>
        <v>0.0672164948453608</v>
      </c>
      <c r="I10394" s="7" t="n">
        <f aca="false">Sens!$E$10394+(glt_fro-Sens!$E$10394)*MIN(1,(Sens!I10342-base_fy)/n_conv)</f>
        <v>0.0681443298969072</v>
      </c>
      <c r="J10394" s="7" t="n">
        <f aca="false">Sens!$E$10394+(glt_fro-Sens!$E$10394)*MIN(1,(Sens!J10342-base_fy)/n_conv)</f>
        <v>0.0690721649484536</v>
      </c>
      <c r="K10394" s="7" t="n">
        <f aca="false">Sens!$E$10394+(glt_fro-Sens!$E$10394)*MIN(1,(Sens!K10342-base_fy)/n_conv)</f>
        <v>0.07</v>
      </c>
    </row>
    <row r="10395" customFormat="false" ht="15" hidden="false" customHeight="false" outlineLevel="0" collapsed="false">
      <c r="A10395" s="0" t="s">
        <v>704</v>
      </c>
      <c r="B10395" s="0" t="s">
        <v>98</v>
      </c>
      <c r="D10395" s="6" t="n">
        <f aca="false">Sens!D10383+Sens!D10388+Sens!D10389+Sens!D10391+Sens!D10393</f>
        <v>218.783</v>
      </c>
      <c r="E10395" s="6" t="n">
        <f aca="false">Sens!E10383+Sens!E10388+Sens!E10389+Sens!E10391+Sens!E10393</f>
        <v>268.127</v>
      </c>
      <c r="F10395" s="6" t="n">
        <f aca="false">Sens!F10383+Sens!F10388+Sens!F10389+Sens!F10391+Sens!F10393</f>
        <v>339.433940907051</v>
      </c>
      <c r="G10395" s="6" t="n">
        <f aca="false">Sens!G10383+Sens!G10388+Sens!G10389+Sens!G10391+Sens!G10393</f>
        <v>424.490670881892</v>
      </c>
      <c r="H10395" s="6" t="n">
        <f aca="false">Sens!H10383+Sens!H10388+Sens!H10389+Sens!H10391+Sens!H10393</f>
        <v>515.646275281385</v>
      </c>
      <c r="I10395" s="6" t="n">
        <f aca="false">Sens!I10383+Sens!I10388+Sens!I10389+Sens!I10391+Sens!I10393</f>
        <v>592.863760444604</v>
      </c>
      <c r="J10395" s="6" t="n">
        <f aca="false">Sens!J10383+Sens!J10388+Sens!J10389+Sens!J10391+Sens!J10393</f>
        <v>654.278787544077</v>
      </c>
      <c r="K10395" s="6" t="n">
        <f aca="false">Sens!K10383+Sens!K10388+Sens!K10389+Sens!K10391+Sens!K10393</f>
        <v>702.284651237393</v>
      </c>
    </row>
    <row r="10396" customFormat="false" ht="15" hidden="false" customHeight="false" outlineLevel="0" collapsed="false">
      <c r="A10396" s="0" t="s">
        <v>877</v>
      </c>
      <c r="B10396" s="0" t="s">
        <v>98</v>
      </c>
      <c r="D10396" s="6" t="n">
        <f aca="false">Q!L13</f>
        <v>22.171</v>
      </c>
      <c r="E10396" s="6" t="n">
        <f aca="false">Q!M13</f>
        <v>24.835</v>
      </c>
      <c r="F10396" s="6" t="n">
        <f aca="false">Sens!E10396*(1+Sens!F10397)</f>
        <v>27.6114901218559</v>
      </c>
      <c r="G10396" s="6" t="n">
        <f aca="false">Sens!F10396*(1+Sens!G10397)</f>
        <v>30.4675667338515</v>
      </c>
      <c r="H10396" s="6" t="n">
        <f aca="false">Sens!G10396*(1+Sens!H10397)</f>
        <v>33.3643766955789</v>
      </c>
      <c r="I10396" s="6" t="n">
        <f aca="false">Sens!H10396*(1+Sens!I10397)</f>
        <v>36.2577016533691</v>
      </c>
      <c r="J10396" s="6" t="n">
        <f aca="false">Sens!I10396*(1+Sens!J10397)</f>
        <v>39.0988367952171</v>
      </c>
      <c r="K10396" s="6" t="n">
        <f aca="false">Sens!J10396*(1+Sens!K10397)</f>
        <v>41.8357553708823</v>
      </c>
    </row>
    <row r="10397" customFormat="false" ht="15" hidden="false" customHeight="false" outlineLevel="0" collapsed="false">
      <c r="A10397" s="1" t="s">
        <v>866</v>
      </c>
      <c r="B10397" s="0" t="s">
        <v>129</v>
      </c>
      <c r="E10397" s="7" t="n">
        <f aca="false">Sens!E10396/Sens!D10396-1</f>
        <v>0.120156961796942</v>
      </c>
      <c r="F10397" s="7" t="n">
        <f aca="false">Sens!$E$10397+(glt_srch-Sens!$E$10397)*MIN(1,(Sens!F10342-base_fy)/n_conv)</f>
        <v>0.111797468164118</v>
      </c>
      <c r="G10397" s="7" t="n">
        <f aca="false">Sens!$E$10397+(glt_srch-Sens!$E$10397)*MIN(1,(Sens!G10342-base_fy)/n_conv)</f>
        <v>0.103437974531295</v>
      </c>
      <c r="H10397" s="7" t="n">
        <f aca="false">Sens!$E$10397+(glt_srch-Sens!$E$10397)*MIN(1,(Sens!H10342-base_fy)/n_conv)</f>
        <v>0.095078480898471</v>
      </c>
      <c r="I10397" s="7" t="n">
        <f aca="false">Sens!$E$10397+(glt_srch-Sens!$E$10397)*MIN(1,(Sens!I10342-base_fy)/n_conv)</f>
        <v>0.0867189872656474</v>
      </c>
      <c r="J10397" s="7" t="n">
        <f aca="false">Sens!$E$10397+(glt_srch-Sens!$E$10397)*MIN(1,(Sens!J10342-base_fy)/n_conv)</f>
        <v>0.0783594936328237</v>
      </c>
      <c r="K10397" s="7" t="n">
        <f aca="false">Sens!$E$10397+(glt_srch-Sens!$E$10397)*MIN(1,(Sens!K10342-base_fy)/n_conv)</f>
        <v>0.07</v>
      </c>
    </row>
    <row r="10398" customFormat="false" ht="15" hidden="false" customHeight="false" outlineLevel="0" collapsed="false">
      <c r="A10398" s="0" t="s">
        <v>878</v>
      </c>
      <c r="B10398" s="0" t="s">
        <v>98</v>
      </c>
      <c r="D10398" s="6" t="n">
        <f aca="false">Q!L14</f>
        <v>23.455</v>
      </c>
      <c r="E10398" s="6" t="n">
        <f aca="false">Q!M14</f>
        <v>21.79</v>
      </c>
      <c r="F10398" s="6" t="n">
        <f aca="false">Sens!E10398*(1+Sens!F10399)</f>
        <v>20.6825777908051</v>
      </c>
      <c r="G10398" s="6" t="n">
        <f aca="false">Sens!F10398*(1+Sens!G10399)</f>
        <v>20.0484913708632</v>
      </c>
      <c r="H10398" s="6" t="n">
        <f aca="false">Sens!G10398*(1+Sens!H10399)</f>
        <v>19.8381125629905</v>
      </c>
      <c r="I10398" s="6" t="n">
        <f aca="false">Sens!H10398*(1+Sens!I10399)</f>
        <v>20.0299669735513</v>
      </c>
      <c r="J10398" s="6" t="n">
        <f aca="false">Sens!I10398*(1+Sens!J10399)</f>
        <v>20.6275710652887</v>
      </c>
      <c r="K10398" s="6" t="n">
        <f aca="false">Sens!J10398*(1+Sens!K10399)</f>
        <v>21.6589496185531</v>
      </c>
    </row>
    <row r="10399" customFormat="false" ht="15" hidden="false" customHeight="false" outlineLevel="0" collapsed="false">
      <c r="A10399" s="1" t="s">
        <v>866</v>
      </c>
      <c r="B10399" s="0" t="s">
        <v>129</v>
      </c>
      <c r="E10399" s="7" t="n">
        <f aca="false">Sens!E10398/Sens!D10398-1</f>
        <v>-0.0709869963760392</v>
      </c>
      <c r="F10399" s="7" t="n">
        <f aca="false">Sens!$E$10399+(glt_xbox_hi-Sens!$E$10399)*MIN(1,(Sens!F10342-base_fy)/n_conv)</f>
        <v>-0.0508224969800327</v>
      </c>
      <c r="G10399" s="7" t="n">
        <f aca="false">Sens!$E$10399+(glt_xbox_hi-Sens!$E$10399)*MIN(1,(Sens!G10342-base_fy)/n_conv)</f>
        <v>-0.0306579975840262</v>
      </c>
      <c r="H10399" s="7" t="n">
        <f aca="false">Sens!$E$10399+(glt_xbox_hi-Sens!$E$10399)*MIN(1,(Sens!H10342-base_fy)/n_conv)</f>
        <v>-0.0104934981880196</v>
      </c>
      <c r="I10399" s="7" t="n">
        <f aca="false">Sens!$E$10399+(glt_xbox_hi-Sens!$E$10399)*MIN(1,(Sens!I10342-base_fy)/n_conv)</f>
        <v>0.00967100120798692</v>
      </c>
      <c r="J10399" s="7" t="n">
        <f aca="false">Sens!$E$10399+(glt_xbox_hi-Sens!$E$10399)*MIN(1,(Sens!J10342-base_fy)/n_conv)</f>
        <v>0.0298355006039935</v>
      </c>
      <c r="K10399" s="7" t="n">
        <f aca="false">Sens!$E$10399+(glt_xbox_hi-Sens!$E$10399)*MIN(1,(Sens!K10342-base_fy)/n_conv)</f>
        <v>0.05</v>
      </c>
    </row>
    <row r="10400" customFormat="false" ht="15" hidden="false" customHeight="false" outlineLevel="0" collapsed="false">
      <c r="A10400" s="0" t="s">
        <v>879</v>
      </c>
      <c r="B10400" s="0" t="s">
        <v>98</v>
      </c>
      <c r="D10400" s="6" t="n">
        <f aca="false">Q!L15</f>
        <v>17.315</v>
      </c>
      <c r="E10400" s="6" t="n">
        <f aca="false">Q!M15</f>
        <v>17.087</v>
      </c>
      <c r="F10400" s="6" t="n">
        <f aca="false">Sens!E10400*(1+Sens!F10401)</f>
        <v>16.9564585436519</v>
      </c>
      <c r="G10400" s="6" t="n">
        <f aca="false">Sens!F10400*(1+Sens!G10401)</f>
        <v>16.9206490624268</v>
      </c>
      <c r="H10400" s="6" t="n">
        <f aca="false">Sens!G10400*(1+Sens!H10401)</f>
        <v>16.9784519149849</v>
      </c>
      <c r="I10400" s="6" t="n">
        <f aca="false">Sens!H10400*(1+Sens!I10401)</f>
        <v>17.1303084701817</v>
      </c>
      <c r="J10400" s="6" t="n">
        <f aca="false">Sens!I10400*(1+Sens!J10401)</f>
        <v>17.3782189407267</v>
      </c>
      <c r="K10400" s="6" t="n">
        <f aca="false">Sens!J10400*(1+Sens!K10401)</f>
        <v>17.7257833195413</v>
      </c>
    </row>
    <row r="10401" customFormat="false" ht="15" hidden="false" customHeight="false" outlineLevel="0" collapsed="false">
      <c r="A10401" s="1" t="s">
        <v>866</v>
      </c>
      <c r="B10401" s="0" t="s">
        <v>129</v>
      </c>
      <c r="E10401" s="7" t="n">
        <f aca="false">Sens!E10400/Sens!D10400-1</f>
        <v>-0.0131677736066995</v>
      </c>
      <c r="F10401" s="7" t="n">
        <f aca="false">Sens!$E$10401+(glt_win-Sens!$E$10401)*MIN(1,(Sens!F10342-base_fy)/n_conv)</f>
        <v>-0.00763981133891627</v>
      </c>
      <c r="G10401" s="7" t="n">
        <f aca="false">Sens!$E$10401+(glt_win-Sens!$E$10401)*MIN(1,(Sens!G10342-base_fy)/n_conv)</f>
        <v>-0.00211184907113301</v>
      </c>
      <c r="H10401" s="7" t="n">
        <f aca="false">Sens!$E$10401+(glt_win-Sens!$E$10401)*MIN(1,(Sens!H10342-base_fy)/n_conv)</f>
        <v>0.00341611319665024</v>
      </c>
      <c r="I10401" s="7" t="n">
        <f aca="false">Sens!$E$10401+(glt_win-Sens!$E$10401)*MIN(1,(Sens!I10342-base_fy)/n_conv)</f>
        <v>0.00894407546443349</v>
      </c>
      <c r="J10401" s="7" t="n">
        <f aca="false">Sens!$E$10401+(glt_win-Sens!$E$10401)*MIN(1,(Sens!J10342-base_fy)/n_conv)</f>
        <v>0.0144720377322168</v>
      </c>
      <c r="K10401" s="7" t="n">
        <f aca="false">Sens!$E$10401+(glt_win-Sens!$E$10401)*MIN(1,(Sens!K10342-base_fy)/n_conv)</f>
        <v>0.02</v>
      </c>
    </row>
    <row r="10402" customFormat="false" ht="15" hidden="false" customHeight="false" outlineLevel="0" collapsed="false">
      <c r="A10402" s="0" t="s">
        <v>718</v>
      </c>
      <c r="B10402" s="0" t="s">
        <v>98</v>
      </c>
      <c r="D10402" s="6" t="n">
        <f aca="false">Sens!D10396+Sens!D10398+Sens!D10400</f>
        <v>62.941</v>
      </c>
      <c r="E10402" s="6" t="n">
        <f aca="false">Sens!E10396+Sens!E10398+Sens!E10400</f>
        <v>63.712</v>
      </c>
      <c r="F10402" s="6" t="n">
        <f aca="false">Sens!F10396+Sens!F10398+Sens!F10400</f>
        <v>65.2505264563129</v>
      </c>
      <c r="G10402" s="6" t="n">
        <f aca="false">Sens!G10396+Sens!G10398+Sens!G10400</f>
        <v>67.4367071671415</v>
      </c>
      <c r="H10402" s="6" t="n">
        <f aca="false">Sens!H10396+Sens!H10398+Sens!H10400</f>
        <v>70.1809411735542</v>
      </c>
      <c r="I10402" s="6" t="n">
        <f aca="false">Sens!I10396+Sens!I10398+Sens!I10400</f>
        <v>73.4179770971021</v>
      </c>
      <c r="J10402" s="6" t="n">
        <f aca="false">Sens!J10396+Sens!J10398+Sens!J10400</f>
        <v>77.1046268012325</v>
      </c>
      <c r="K10402" s="6" t="n">
        <f aca="false">Sens!K10396+Sens!K10398+Sens!K10400</f>
        <v>81.2204883089766</v>
      </c>
    </row>
    <row r="10403" customFormat="false" ht="15" hidden="false" customHeight="false" outlineLevel="0" collapsed="false">
      <c r="A10403" s="1" t="s">
        <v>880</v>
      </c>
      <c r="B10403" s="0" t="s">
        <v>98</v>
      </c>
      <c r="D10403" s="6" t="n">
        <f aca="false">Sens!D10395+Sens!D10402</f>
        <v>281.724</v>
      </c>
      <c r="E10403" s="6" t="n">
        <f aca="false">Sens!E10395+Sens!E10402</f>
        <v>331.839</v>
      </c>
      <c r="F10403" s="6" t="n">
        <f aca="false">Sens!F10395+Sens!F10402</f>
        <v>404.684467363364</v>
      </c>
      <c r="G10403" s="6" t="n">
        <f aca="false">Sens!G10395+Sens!G10402</f>
        <v>491.927378049033</v>
      </c>
      <c r="H10403" s="6" t="n">
        <f aca="false">Sens!H10395+Sens!H10402</f>
        <v>585.827216454939</v>
      </c>
      <c r="I10403" s="6" t="n">
        <f aca="false">Sens!I10395+Sens!I10402</f>
        <v>666.281737541706</v>
      </c>
      <c r="J10403" s="6" t="n">
        <f aca="false">Sens!J10395+Sens!J10402</f>
        <v>731.38341434531</v>
      </c>
      <c r="K10403" s="6" t="n">
        <f aca="false">Sens!K10395+Sens!K10402</f>
        <v>783.50513954637</v>
      </c>
    </row>
    <row r="10404" customFormat="false" ht="15" hidden="false" customHeight="false" outlineLevel="0" collapsed="false">
      <c r="A10404" s="23" t="s">
        <v>881</v>
      </c>
      <c r="B10404" s="30" t="s">
        <v>98</v>
      </c>
      <c r="C10404" s="30"/>
      <c r="D10404" s="24" t="n">
        <f aca="false">(Sens!D10383+Sens!D10388+Sens!D10389+Sens!D10391+Sens!D10393-Sens!D10395)+(Sens!D10396+Sens!D10398+Sens!D10400-Sens!D10402)+(Sens!D10395-Q!L5)+(Sens!D10402-Q!L12)+(Sens!D10383-Q!L6)+(Sens!D10388-Q!L7)</f>
        <v>0</v>
      </c>
      <c r="E10404" s="24" t="n">
        <f aca="false">(Sens!E10383+Sens!E10388+Sens!E10389+Sens!E10391+Sens!E10393-Sens!E10395)+(Sens!E10396+Sens!E10398+Sens!E10400-Sens!E10402)+(Sens!E10395-Q!M5)+(Sens!E10402-Q!M12)+(Sens!E10383-Q!M6)+(Sens!E10388-Q!M7)</f>
        <v>0</v>
      </c>
      <c r="F10404" s="24" t="n">
        <f aca="false">(Sens!F10383+Sens!F10388+Sens!F10389+Sens!F10391+Sens!F10393-Sens!F10395)+(Sens!F10396+Sens!F10398+Sens!F10400-Sens!F10402)</f>
        <v>0</v>
      </c>
      <c r="G10404" s="24" t="n">
        <f aca="false">(Sens!G10383+Sens!G10388+Sens!G10389+Sens!G10391+Sens!G10393-Sens!G10395)+(Sens!G10396+Sens!G10398+Sens!G10400-Sens!G10402)</f>
        <v>0</v>
      </c>
      <c r="H10404" s="24" t="n">
        <f aca="false">(Sens!H10383+Sens!H10388+Sens!H10389+Sens!H10391+Sens!H10393-Sens!H10395)+(Sens!H10396+Sens!H10398+Sens!H10400-Sens!H10402)</f>
        <v>0</v>
      </c>
      <c r="I10404" s="24" t="n">
        <f aca="false">(Sens!I10383+Sens!I10388+Sens!I10389+Sens!I10391+Sens!I10393-Sens!I10395)+(Sens!I10396+Sens!I10398+Sens!I10400-Sens!I10402)</f>
        <v>0</v>
      </c>
      <c r="J10404" s="24" t="n">
        <f aca="false">(Sens!J10383+Sens!J10388+Sens!J10389+Sens!J10391+Sens!J10393-Sens!J10395)+(Sens!J10396+Sens!J10398+Sens!J10400-Sens!J10402)</f>
        <v>0</v>
      </c>
      <c r="K10404" s="24" t="n">
        <f aca="false">(Sens!K10383+Sens!K10388+Sens!K10389+Sens!K10391+Sens!K10393-Sens!K10395)+(Sens!K10396+Sens!K10398+Sens!K10400-Sens!K10402)</f>
        <v>0</v>
      </c>
    </row>
    <row r="10405" customFormat="false" ht="17.15" hidden="false" customHeight="false" outlineLevel="0" collapsed="false">
      <c r="A10405" s="3" t="s">
        <v>1506</v>
      </c>
    </row>
    <row r="10406" customFormat="false" ht="15" hidden="false" customHeight="false" outlineLevel="0" collapsed="false">
      <c r="A10406" s="4" t="s">
        <v>43</v>
      </c>
      <c r="B10406" s="4" t="s">
        <v>65</v>
      </c>
      <c r="C10406" s="20" t="s">
        <v>788</v>
      </c>
      <c r="D10406" s="20" t="s">
        <v>789</v>
      </c>
      <c r="E10406" s="20" t="s">
        <v>790</v>
      </c>
      <c r="F10406" s="20" t="s">
        <v>791</v>
      </c>
      <c r="G10406" s="20" t="s">
        <v>792</v>
      </c>
      <c r="H10406" s="20" t="s">
        <v>793</v>
      </c>
      <c r="I10406" s="20" t="s">
        <v>794</v>
      </c>
      <c r="J10406" s="20" t="s">
        <v>795</v>
      </c>
      <c r="K10406" s="20" t="s">
        <v>796</v>
      </c>
      <c r="L10406" s="4" t="s">
        <v>47</v>
      </c>
    </row>
    <row r="10407" customFormat="false" ht="15" hidden="false" customHeight="false" outlineLevel="0" collapsed="false">
      <c r="A10407" s="0" t="s">
        <v>867</v>
      </c>
      <c r="B10407" s="0" t="s">
        <v>98</v>
      </c>
      <c r="D10407" s="6" t="n">
        <f aca="false">Sens!D10383</f>
        <v>72.61</v>
      </c>
      <c r="E10407" s="6" t="n">
        <f aca="false">Sens!E10383</f>
        <v>101.938</v>
      </c>
      <c r="F10407" s="6" t="n">
        <f aca="false">Sens!F10383</f>
        <v>148.812368967868</v>
      </c>
      <c r="G10407" s="6" t="n">
        <f aca="false">Sens!G10383</f>
        <v>208.397514344463</v>
      </c>
      <c r="H10407" s="6" t="n">
        <f aca="false">Sens!H10383</f>
        <v>274.05759259987</v>
      </c>
      <c r="I10407" s="6" t="n">
        <f aca="false">Sens!I10383</f>
        <v>328.302405465117</v>
      </c>
      <c r="J10407" s="6" t="n">
        <f aca="false">Sens!J10383</f>
        <v>369.587890439908</v>
      </c>
      <c r="K10407" s="6" t="n">
        <f aca="false">Sens!K10383</f>
        <v>398.390581897217</v>
      </c>
    </row>
    <row r="10408" customFormat="false" ht="17.15" hidden="false" customHeight="false" outlineLevel="0" collapsed="false">
      <c r="A10408" s="0" t="s">
        <v>864</v>
      </c>
      <c r="B10408" s="0" t="s">
        <v>98</v>
      </c>
      <c r="D10408" s="6" t="n">
        <f aca="false">Sens!D10380</f>
        <v>12.9359794422418</v>
      </c>
      <c r="E10408" s="6" t="n">
        <f aca="false">Sens!E10380</f>
        <v>27.8095064661409</v>
      </c>
      <c r="F10408" s="6" t="n">
        <f aca="false">Sens!F10380</f>
        <v>58.7324192305018</v>
      </c>
      <c r="G10408" s="6" t="n">
        <f aca="false">Sens!G10380</f>
        <v>101.369089141153</v>
      </c>
      <c r="H10408" s="6" t="n">
        <f aca="false">Sens!H10380</f>
        <v>149.785610014234</v>
      </c>
      <c r="I10408" s="6" t="n">
        <f aca="false">Sens!I10380</f>
        <v>187.368703083263</v>
      </c>
      <c r="J10408" s="6" t="n">
        <f aca="false">Sens!J10380</f>
        <v>213.569023125577</v>
      </c>
      <c r="K10408" s="6" t="n">
        <f aca="false">Sens!K10380</f>
        <v>229.890205197739</v>
      </c>
    </row>
    <row r="10409" customFormat="false" ht="17.15" hidden="false" customHeight="false" outlineLevel="0" collapsed="false">
      <c r="A10409" s="0" t="s">
        <v>892</v>
      </c>
      <c r="B10409" s="0" t="s">
        <v>98</v>
      </c>
      <c r="D10409" s="6" t="n">
        <f aca="false">Sens!D10381</f>
        <v>59.6740205577583</v>
      </c>
      <c r="E10409" s="6" t="n">
        <f aca="false">Sens!E10381</f>
        <v>74.1284935338591</v>
      </c>
      <c r="F10409" s="6" t="n">
        <f aca="false">Sens!F10381</f>
        <v>90.0799497373663</v>
      </c>
      <c r="G10409" s="6" t="n">
        <f aca="false">Sens!G10381</f>
        <v>107.02842520331</v>
      </c>
      <c r="H10409" s="6" t="n">
        <f aca="false">Sens!H10381</f>
        <v>124.271982585636</v>
      </c>
      <c r="I10409" s="6" t="n">
        <f aca="false">Sens!I10381</f>
        <v>140.933702381855</v>
      </c>
      <c r="J10409" s="6" t="n">
        <f aca="false">Sens!J10381</f>
        <v>156.018867314332</v>
      </c>
      <c r="K10409" s="6" t="n">
        <f aca="false">Sens!K10381</f>
        <v>168.500376699478</v>
      </c>
    </row>
    <row r="10410" customFormat="false" ht="15" hidden="false" customHeight="false" outlineLevel="0" collapsed="false">
      <c r="A10410" s="0" t="s">
        <v>873</v>
      </c>
      <c r="B10410" s="0" t="s">
        <v>98</v>
      </c>
      <c r="D10410" s="6" t="n">
        <f aca="false">Sens!D10388</f>
        <v>84.605</v>
      </c>
      <c r="E10410" s="6" t="n">
        <f aca="false">Sens!E10388</f>
        <v>100.299</v>
      </c>
      <c r="F10410" s="6" t="n">
        <f aca="false">Sens!F10388</f>
        <v>120.39238776686</v>
      </c>
      <c r="G10410" s="6" t="n">
        <f aca="false">Sens!G10388</f>
        <v>141.544168448684</v>
      </c>
      <c r="H10410" s="6" t="n">
        <f aca="false">Sens!H10388</f>
        <v>162.777359388781</v>
      </c>
      <c r="I10410" s="6" t="n">
        <f aca="false">Sens!I10388</f>
        <v>181.584028071957</v>
      </c>
      <c r="J10410" s="6" t="n">
        <f aca="false">Sens!J10388</f>
        <v>197.682702785465</v>
      </c>
      <c r="K10410" s="6" t="n">
        <f aca="false">Sens!K10388</f>
        <v>213.027991980448</v>
      </c>
    </row>
    <row r="10411" customFormat="false" ht="17.15" hidden="false" customHeight="false" outlineLevel="0" collapsed="false">
      <c r="A10411" s="0" t="s">
        <v>893</v>
      </c>
      <c r="B10411" s="0" t="s">
        <v>98</v>
      </c>
      <c r="D10411" s="6" t="n">
        <f aca="false">Sens!D10386</f>
        <v>83.705</v>
      </c>
      <c r="E10411" s="6" t="n">
        <f aca="false">Sens!E10386</f>
        <v>95.049</v>
      </c>
      <c r="F10411" s="6" t="n">
        <f aca="false">Sens!F10386</f>
        <v>106.89238776686</v>
      </c>
      <c r="G10411" s="6" t="n">
        <f aca="false">Sens!G10386</f>
        <v>119.044168448684</v>
      </c>
      <c r="H10411" s="6" t="n">
        <f aca="false">Sens!H10386</f>
        <v>131.277359388781</v>
      </c>
      <c r="I10411" s="6" t="n">
        <f aca="false">Sens!I10386</f>
        <v>143.334028071957</v>
      </c>
      <c r="J10411" s="6" t="n">
        <f aca="false">Sens!J10386</f>
        <v>154.932702785465</v>
      </c>
      <c r="K10411" s="6" t="n">
        <f aca="false">Sens!K10386</f>
        <v>165.777991980448</v>
      </c>
    </row>
    <row r="10412" customFormat="false" ht="17.15" hidden="false" customHeight="false" outlineLevel="0" collapsed="false">
      <c r="A10412" s="0" t="s">
        <v>894</v>
      </c>
      <c r="B10412" s="0" t="s">
        <v>98</v>
      </c>
      <c r="D10412" s="6" t="n">
        <f aca="false">Sens!D10385</f>
        <v>0.9</v>
      </c>
      <c r="E10412" s="6" t="n">
        <f aca="false">Sens!E10385</f>
        <v>5.25</v>
      </c>
      <c r="F10412" s="6" t="n">
        <f aca="false">Sens!F10385</f>
        <v>13.5</v>
      </c>
      <c r="G10412" s="6" t="n">
        <f aca="false">Sens!G10385</f>
        <v>22.5</v>
      </c>
      <c r="H10412" s="6" t="n">
        <f aca="false">Sens!H10385</f>
        <v>31.5</v>
      </c>
      <c r="I10412" s="6" t="n">
        <f aca="false">Sens!I10385</f>
        <v>38.25</v>
      </c>
      <c r="J10412" s="6" t="n">
        <f aca="false">Sens!J10385</f>
        <v>42.75</v>
      </c>
      <c r="K10412" s="6" t="n">
        <f aca="false">Sens!K10385</f>
        <v>47.25</v>
      </c>
    </row>
    <row r="10413" customFormat="false" ht="15" hidden="false" customHeight="false" outlineLevel="0" collapsed="false">
      <c r="A10413" s="0" t="s">
        <v>874</v>
      </c>
      <c r="B10413" s="0" t="s">
        <v>98</v>
      </c>
      <c r="D10413" s="6" t="n">
        <f aca="false">Sens!D10389</f>
        <v>35.391</v>
      </c>
      <c r="E10413" s="6" t="n">
        <f aca="false">Sens!E10389</f>
        <v>37.285</v>
      </c>
      <c r="F10413" s="6" t="n">
        <f aca="false">Sens!F10389</f>
        <v>39.0720834331704</v>
      </c>
      <c r="G10413" s="6" t="n">
        <f aca="false">Sens!G10389</f>
        <v>40.726562953769</v>
      </c>
      <c r="H10413" s="6" t="n">
        <f aca="false">Sens!H10389</f>
        <v>42.2235987259198</v>
      </c>
      <c r="I10413" s="6" t="n">
        <f aca="false">Sens!I10389</f>
        <v>43.5397988077414</v>
      </c>
      <c r="J10413" s="6" t="n">
        <f aca="false">Sens!J10389</f>
        <v>44.653811225693</v>
      </c>
      <c r="K10413" s="6" t="n">
        <f aca="false">Sens!K10389</f>
        <v>45.5468874502068</v>
      </c>
    </row>
    <row r="10414" customFormat="false" ht="15" hidden="false" customHeight="false" outlineLevel="0" collapsed="false">
      <c r="A10414" s="0" t="s">
        <v>875</v>
      </c>
      <c r="B10414" s="0" t="s">
        <v>98</v>
      </c>
      <c r="D10414" s="6" t="n">
        <f aca="false">Sens!D10391</f>
        <v>18.417</v>
      </c>
      <c r="E10414" s="6" t="n">
        <f aca="false">Sens!E10391</f>
        <v>20.345</v>
      </c>
      <c r="F10414" s="6" t="n">
        <f aca="false">Sens!F10391</f>
        <v>22.3572203267814</v>
      </c>
      <c r="G10414" s="6" t="n">
        <f aca="false">Sens!G10391</f>
        <v>24.4392124437232</v>
      </c>
      <c r="H10414" s="6" t="n">
        <f aca="false">Sens!H10391</f>
        <v>26.5738052080665</v>
      </c>
      <c r="I10414" s="6" t="n">
        <f aca="false">Sens!I10391</f>
        <v>28.7412169166967</v>
      </c>
      <c r="J10414" s="6" t="n">
        <f aca="false">Sens!J10391</f>
        <v>30.9192545395413</v>
      </c>
      <c r="K10414" s="6" t="n">
        <f aca="false">Sens!K10391</f>
        <v>33.0836023573092</v>
      </c>
    </row>
    <row r="10415" customFormat="false" ht="15" hidden="false" customHeight="false" outlineLevel="0" collapsed="false">
      <c r="A10415" s="0" t="s">
        <v>876</v>
      </c>
      <c r="B10415" s="0" t="s">
        <v>98</v>
      </c>
      <c r="D10415" s="6" t="n">
        <f aca="false">Sens!D10393</f>
        <v>7.76</v>
      </c>
      <c r="E10415" s="6" t="n">
        <f aca="false">Sens!E10393</f>
        <v>8.26</v>
      </c>
      <c r="F10415" s="6" t="n">
        <f aca="false">Sens!F10393</f>
        <v>8.79988041237113</v>
      </c>
      <c r="G10415" s="6" t="n">
        <f aca="false">Sens!G10393</f>
        <v>9.38321269125306</v>
      </c>
      <c r="H10415" s="6" t="n">
        <f aca="false">Sens!H10393</f>
        <v>10.0139193587476</v>
      </c>
      <c r="I10415" s="6" t="n">
        <f aca="false">Sens!I10393</f>
        <v>10.6963111830911</v>
      </c>
      <c r="J10415" s="6" t="n">
        <f aca="false">Sens!J10393</f>
        <v>11.4351285534696</v>
      </c>
      <c r="K10415" s="6" t="n">
        <f aca="false">Sens!K10393</f>
        <v>12.2355875522124</v>
      </c>
    </row>
    <row r="10416" customFormat="false" ht="15" hidden="false" customHeight="false" outlineLevel="0" collapsed="false">
      <c r="A10416" s="0" t="s">
        <v>704</v>
      </c>
      <c r="B10416" s="0" t="s">
        <v>98</v>
      </c>
      <c r="D10416" s="6" t="n">
        <f aca="false">Sens!D10395</f>
        <v>218.783</v>
      </c>
      <c r="E10416" s="6" t="n">
        <f aca="false">Sens!E10395</f>
        <v>268.127</v>
      </c>
      <c r="F10416" s="6" t="n">
        <f aca="false">Sens!F10395</f>
        <v>339.433940907051</v>
      </c>
      <c r="G10416" s="6" t="n">
        <f aca="false">Sens!G10395</f>
        <v>424.490670881892</v>
      </c>
      <c r="H10416" s="6" t="n">
        <f aca="false">Sens!H10395</f>
        <v>515.646275281385</v>
      </c>
      <c r="I10416" s="6" t="n">
        <f aca="false">Sens!I10395</f>
        <v>592.863760444604</v>
      </c>
      <c r="J10416" s="6" t="n">
        <f aca="false">Sens!J10395</f>
        <v>654.278787544077</v>
      </c>
      <c r="K10416" s="6" t="n">
        <f aca="false">Sens!K10395</f>
        <v>702.284651237393</v>
      </c>
    </row>
    <row r="10417" customFormat="false" ht="15" hidden="false" customHeight="false" outlineLevel="0" collapsed="false">
      <c r="A10417" s="0" t="s">
        <v>877</v>
      </c>
      <c r="B10417" s="0" t="s">
        <v>98</v>
      </c>
      <c r="D10417" s="6" t="n">
        <f aca="false">Sens!D10396</f>
        <v>22.171</v>
      </c>
      <c r="E10417" s="6" t="n">
        <f aca="false">Sens!E10396</f>
        <v>24.835</v>
      </c>
      <c r="F10417" s="6" t="n">
        <f aca="false">Sens!F10396</f>
        <v>27.6114901218559</v>
      </c>
      <c r="G10417" s="6" t="n">
        <f aca="false">Sens!G10396</f>
        <v>30.4675667338515</v>
      </c>
      <c r="H10417" s="6" t="n">
        <f aca="false">Sens!H10396</f>
        <v>33.3643766955789</v>
      </c>
      <c r="I10417" s="6" t="n">
        <f aca="false">Sens!I10396</f>
        <v>36.2577016533691</v>
      </c>
      <c r="J10417" s="6" t="n">
        <f aca="false">Sens!J10396</f>
        <v>39.0988367952171</v>
      </c>
      <c r="K10417" s="6" t="n">
        <f aca="false">Sens!K10396</f>
        <v>41.8357553708823</v>
      </c>
    </row>
    <row r="10418" customFormat="false" ht="15" hidden="false" customHeight="false" outlineLevel="0" collapsed="false">
      <c r="A10418" s="0" t="s">
        <v>878</v>
      </c>
      <c r="B10418" s="0" t="s">
        <v>98</v>
      </c>
      <c r="D10418" s="6" t="n">
        <f aca="false">Sens!D10398</f>
        <v>23.455</v>
      </c>
      <c r="E10418" s="6" t="n">
        <f aca="false">Sens!E10398</f>
        <v>21.79</v>
      </c>
      <c r="F10418" s="6" t="n">
        <f aca="false">Sens!F10398</f>
        <v>20.6825777908051</v>
      </c>
      <c r="G10418" s="6" t="n">
        <f aca="false">Sens!G10398</f>
        <v>20.0484913708632</v>
      </c>
      <c r="H10418" s="6" t="n">
        <f aca="false">Sens!H10398</f>
        <v>19.8381125629905</v>
      </c>
      <c r="I10418" s="6" t="n">
        <f aca="false">Sens!I10398</f>
        <v>20.0299669735513</v>
      </c>
      <c r="J10418" s="6" t="n">
        <f aca="false">Sens!J10398</f>
        <v>20.6275710652887</v>
      </c>
      <c r="K10418" s="6" t="n">
        <f aca="false">Sens!K10398</f>
        <v>21.6589496185531</v>
      </c>
    </row>
    <row r="10419" customFormat="false" ht="15" hidden="false" customHeight="false" outlineLevel="0" collapsed="false">
      <c r="A10419" s="0" t="s">
        <v>879</v>
      </c>
      <c r="B10419" s="0" t="s">
        <v>98</v>
      </c>
      <c r="D10419" s="6" t="n">
        <f aca="false">Sens!D10400</f>
        <v>17.315</v>
      </c>
      <c r="E10419" s="6" t="n">
        <f aca="false">Sens!E10400</f>
        <v>17.087</v>
      </c>
      <c r="F10419" s="6" t="n">
        <f aca="false">Sens!F10400</f>
        <v>16.9564585436519</v>
      </c>
      <c r="G10419" s="6" t="n">
        <f aca="false">Sens!G10400</f>
        <v>16.9206490624268</v>
      </c>
      <c r="H10419" s="6" t="n">
        <f aca="false">Sens!H10400</f>
        <v>16.9784519149849</v>
      </c>
      <c r="I10419" s="6" t="n">
        <f aca="false">Sens!I10400</f>
        <v>17.1303084701817</v>
      </c>
      <c r="J10419" s="6" t="n">
        <f aca="false">Sens!J10400</f>
        <v>17.3782189407267</v>
      </c>
      <c r="K10419" s="6" t="n">
        <f aca="false">Sens!K10400</f>
        <v>17.7257833195413</v>
      </c>
    </row>
    <row r="10420" customFormat="false" ht="15" hidden="false" customHeight="false" outlineLevel="0" collapsed="false">
      <c r="A10420" s="0" t="s">
        <v>718</v>
      </c>
      <c r="B10420" s="0" t="s">
        <v>98</v>
      </c>
      <c r="D10420" s="6" t="n">
        <f aca="false">Sens!D10402</f>
        <v>62.941</v>
      </c>
      <c r="E10420" s="6" t="n">
        <f aca="false">Sens!E10402</f>
        <v>63.712</v>
      </c>
      <c r="F10420" s="6" t="n">
        <f aca="false">Sens!F10402</f>
        <v>65.2505264563129</v>
      </c>
      <c r="G10420" s="6" t="n">
        <f aca="false">Sens!G10402</f>
        <v>67.4367071671415</v>
      </c>
      <c r="H10420" s="6" t="n">
        <f aca="false">Sens!H10402</f>
        <v>70.1809411735542</v>
      </c>
      <c r="I10420" s="6" t="n">
        <f aca="false">Sens!I10402</f>
        <v>73.4179770971021</v>
      </c>
      <c r="J10420" s="6" t="n">
        <f aca="false">Sens!J10402</f>
        <v>77.1046268012325</v>
      </c>
      <c r="K10420" s="6" t="n">
        <f aca="false">Sens!K10402</f>
        <v>81.2204883089766</v>
      </c>
    </row>
    <row r="10421" customFormat="false" ht="15" hidden="false" customHeight="false" outlineLevel="0" collapsed="false">
      <c r="A10421" s="1" t="s">
        <v>895</v>
      </c>
      <c r="B10421" s="0" t="s">
        <v>98</v>
      </c>
      <c r="D10421" s="6" t="n">
        <f aca="false">Sens!D10403</f>
        <v>281.724</v>
      </c>
      <c r="E10421" s="6" t="n">
        <f aca="false">Sens!E10403</f>
        <v>331.839</v>
      </c>
      <c r="F10421" s="6" t="n">
        <f aca="false">Sens!F10403</f>
        <v>404.684467363364</v>
      </c>
      <c r="G10421" s="6" t="n">
        <f aca="false">Sens!G10403</f>
        <v>491.927378049033</v>
      </c>
      <c r="H10421" s="6" t="n">
        <f aca="false">Sens!H10403</f>
        <v>585.827216454939</v>
      </c>
      <c r="I10421" s="6" t="n">
        <f aca="false">Sens!I10403</f>
        <v>666.281737541706</v>
      </c>
      <c r="J10421" s="6" t="n">
        <f aca="false">Sens!J10403</f>
        <v>731.38341434531</v>
      </c>
      <c r="K10421" s="6" t="n">
        <f aca="false">Sens!K10403</f>
        <v>783.50513954637</v>
      </c>
    </row>
    <row r="10422" customFormat="false" ht="15" hidden="false" customHeight="false" outlineLevel="0" collapsed="false">
      <c r="A10422" s="1" t="s">
        <v>896</v>
      </c>
      <c r="B10422" s="0" t="s">
        <v>129</v>
      </c>
      <c r="E10422" s="7" t="n">
        <f aca="false">Sens!E10421/Sens!D10421-1</f>
        <v>0.177886867998467</v>
      </c>
      <c r="F10422" s="7" t="n">
        <f aca="false">Sens!F10421/Sens!E10421-1</f>
        <v>0.219520512547843</v>
      </c>
      <c r="G10422" s="7" t="n">
        <f aca="false">Sens!G10421/Sens!F10421-1</f>
        <v>0.215582553128571</v>
      </c>
      <c r="H10422" s="7" t="n">
        <f aca="false">Sens!H10421/Sens!G10421-1</f>
        <v>0.190881505270776</v>
      </c>
      <c r="I10422" s="7" t="n">
        <f aca="false">Sens!I10421/Sens!H10421-1</f>
        <v>0.137334898118301</v>
      </c>
      <c r="J10422" s="7" t="n">
        <f aca="false">Sens!J10421/Sens!I10421-1</f>
        <v>0.0977089317257913</v>
      </c>
      <c r="K10422" s="7" t="n">
        <f aca="false">Sens!K10421/Sens!J10421-1</f>
        <v>0.0712645709196405</v>
      </c>
    </row>
    <row r="10423" customFormat="false" ht="17.15" hidden="false" customHeight="false" outlineLevel="0" collapsed="false">
      <c r="A10423" s="23" t="s">
        <v>897</v>
      </c>
      <c r="B10423" s="30" t="s">
        <v>98</v>
      </c>
      <c r="C10423" s="30"/>
      <c r="D10423" s="24" t="n">
        <f aca="false">(Sens!D10416+Sens!D10420-Sens!D10421)+(Sens!D10408+Sens!D10409-Sens!D10407)+(Sens!D10411+Sens!D10412-Sens!D10410)+(Sens!D10421-Q!L18)</f>
        <v>0</v>
      </c>
      <c r="E10423" s="24" t="n">
        <f aca="false">(Sens!E10416+Sens!E10420-Sens!E10421)+(Sens!E10408+Sens!E10409-Sens!E10407)+(Sens!E10411+Sens!E10412-Sens!E10410)+(Sens!E10421-Q!M18)</f>
        <v>0</v>
      </c>
      <c r="F10423" s="24" t="n">
        <f aca="false">(Sens!F10416+Sens!F10420-Sens!F10421)+(Sens!F10408+Sens!F10409-Sens!F10407)+(Sens!F10411+Sens!F10412-Sens!F10410)</f>
        <v>0</v>
      </c>
      <c r="G10423" s="24" t="n">
        <f aca="false">(Sens!G10416+Sens!G10420-Sens!G10421)+(Sens!G10408+Sens!G10409-Sens!G10407)+(Sens!G10411+Sens!G10412-Sens!G10410)</f>
        <v>0</v>
      </c>
      <c r="H10423" s="24" t="n">
        <f aca="false">(Sens!H10416+Sens!H10420-Sens!H10421)+(Sens!H10408+Sens!H10409-Sens!H10407)+(Sens!H10411+Sens!H10412-Sens!H10410)</f>
        <v>0</v>
      </c>
      <c r="I10423" s="24" t="n">
        <f aca="false">(Sens!I10416+Sens!I10420-Sens!I10421)+(Sens!I10408+Sens!I10409-Sens!I10407)+(Sens!I10411+Sens!I10412-Sens!I10410)</f>
        <v>0</v>
      </c>
      <c r="J10423" s="24" t="n">
        <f aca="false">(Sens!J10416+Sens!J10420-Sens!J10421)+(Sens!J10408+Sens!J10409-Sens!J10407)+(Sens!J10411+Sens!J10412-Sens!J10410)</f>
        <v>0</v>
      </c>
      <c r="K10423" s="24" t="n">
        <f aca="false">(Sens!K10416+Sens!K10420-Sens!K10421)+(Sens!K10408+Sens!K10409-Sens!K10407)+(Sens!K10411+Sens!K10412-Sens!K10410)</f>
        <v>0</v>
      </c>
    </row>
    <row r="10424" customFormat="false" ht="17.15" hidden="false" customHeight="false" outlineLevel="0" collapsed="false">
      <c r="A10424" s="0" t="s">
        <v>898</v>
      </c>
      <c r="B10424" s="0" t="s">
        <v>129</v>
      </c>
      <c r="E10424" s="7" t="n">
        <f aca="false">(Q!M21+Sens!E10361+Sens!E10362+Sens!E10363+Sens!E10376-Sens!E10359)/(Q!M5-Sens!E10359)</f>
        <v>0.570957350878296</v>
      </c>
      <c r="F10424" s="7" t="n">
        <f aca="false">Sens!$E$10424+dm_seg</f>
        <v>0.570957350878296</v>
      </c>
      <c r="G10424" s="7" t="n">
        <f aca="false">Sens!$E$10424+dm_seg</f>
        <v>0.570957350878296</v>
      </c>
      <c r="H10424" s="7" t="n">
        <f aca="false">Sens!$E$10424+dm_seg</f>
        <v>0.570957350878296</v>
      </c>
      <c r="I10424" s="7" t="n">
        <f aca="false">Sens!$E$10424+dm_seg</f>
        <v>0.570957350878296</v>
      </c>
      <c r="J10424" s="7" t="n">
        <f aca="false">Sens!$E$10424+dm_seg</f>
        <v>0.570957350878296</v>
      </c>
      <c r="K10424" s="7" t="n">
        <f aca="false">Sens!$E$10424+dm_seg</f>
        <v>0.570957350878296</v>
      </c>
      <c r="L10424" s="11" t="s">
        <v>899</v>
      </c>
    </row>
    <row r="10425" customFormat="false" ht="17.15" hidden="false" customHeight="false" outlineLevel="0" collapsed="false">
      <c r="A10425" s="0" t="s">
        <v>732</v>
      </c>
      <c r="B10425" s="0" t="s">
        <v>98</v>
      </c>
      <c r="D10425" s="6" t="n">
        <f aca="false">Q!L21</f>
        <v>110.814</v>
      </c>
      <c r="E10425" s="6" t="n">
        <f aca="false">Q!M21</f>
        <v>136.365</v>
      </c>
      <c r="F10425" s="6" t="n">
        <f aca="false">Sens!F10424*(Sens!F10395-Sens!F10359)+Sens!F10359-(Sens!F10361+Sens!F10362+Sens!F10363)-Sens!F10376</f>
        <v>162.135756977307</v>
      </c>
      <c r="G10425" s="6" t="n">
        <f aca="false">Sens!G10424*(Sens!G10395-Sens!G10359)+Sens!G10359-(Sens!G10361+Sens!G10362+Sens!G10363)-Sens!G10376</f>
        <v>191.694125017698</v>
      </c>
      <c r="H10425" s="6" t="n">
        <f aca="false">Sens!H10424*(Sens!H10395-Sens!H10359)+Sens!H10359-(Sens!H10361+Sens!H10362+Sens!H10363)-Sens!H10376</f>
        <v>226.080258747573</v>
      </c>
      <c r="I10425" s="6" t="n">
        <f aca="false">Sens!I10424*(Sens!I10395-Sens!I10359)+Sens!I10359-(Sens!I10361+Sens!I10362+Sens!I10363)-Sens!I10376</f>
        <v>252.348369516821</v>
      </c>
      <c r="J10425" s="6" t="n">
        <f aca="false">Sens!J10424*(Sens!J10395-Sens!J10359)+Sens!J10359-(Sens!J10361+Sens!J10362+Sens!J10363)-Sens!J10376</f>
        <v>274.921847873959</v>
      </c>
      <c r="K10425" s="6" t="n">
        <f aca="false">Sens!K10424*(Sens!K10395-Sens!K10359)+Sens!K10359-(Sens!K10361+Sens!K10362+Sens!K10363)-Sens!K10376</f>
        <v>295.361971032004</v>
      </c>
      <c r="L10425" s="1" t="s">
        <v>900</v>
      </c>
    </row>
    <row r="10426" customFormat="false" ht="17.15" hidden="false" customHeight="false" outlineLevel="0" collapsed="false">
      <c r="A10426" s="0" t="s">
        <v>901</v>
      </c>
      <c r="B10426" s="0" t="s">
        <v>129</v>
      </c>
      <c r="E10426" s="7" t="n">
        <f aca="false">Q!M22/Q!M12</f>
        <v>0.296207935710698</v>
      </c>
      <c r="F10426" s="7" t="n">
        <f aca="false">Sens!$E$10426+dm_seg</f>
        <v>0.296207935710698</v>
      </c>
      <c r="G10426" s="7" t="n">
        <f aca="false">Sens!$E$10426+dm_seg</f>
        <v>0.296207935710698</v>
      </c>
      <c r="H10426" s="7" t="n">
        <f aca="false">Sens!$E$10426+dm_seg</f>
        <v>0.296207935710698</v>
      </c>
      <c r="I10426" s="7" t="n">
        <f aca="false">Sens!$E$10426+dm_seg</f>
        <v>0.296207935710698</v>
      </c>
      <c r="J10426" s="7" t="n">
        <f aca="false">Sens!$E$10426+dm_seg</f>
        <v>0.296207935710698</v>
      </c>
      <c r="K10426" s="7" t="n">
        <f aca="false">Sens!$E$10426+dm_seg</f>
        <v>0.296207935710698</v>
      </c>
      <c r="L10426" s="11" t="s">
        <v>902</v>
      </c>
    </row>
    <row r="10427" customFormat="false" ht="17.15" hidden="false" customHeight="false" outlineLevel="0" collapsed="false">
      <c r="A10427" s="0" t="s">
        <v>734</v>
      </c>
      <c r="B10427" s="0" t="s">
        <v>98</v>
      </c>
      <c r="D10427" s="6" t="n">
        <f aca="false">Q!L22</f>
        <v>17.714</v>
      </c>
      <c r="E10427" s="6" t="n">
        <f aca="false">Q!M22</f>
        <v>18.872</v>
      </c>
      <c r="F10427" s="6" t="n">
        <f aca="false">Sens!F10402*Sens!F10426</f>
        <v>19.3277237456607</v>
      </c>
      <c r="G10427" s="6" t="n">
        <f aca="false">Sens!G10402*Sens!G10426</f>
        <v>19.9752878211058</v>
      </c>
      <c r="H10427" s="6" t="n">
        <f aca="false">Sens!H10402*Sens!H10426</f>
        <v>20.7881517112524</v>
      </c>
      <c r="I10427" s="6" t="n">
        <f aca="false">Sens!I10402*Sens!I10426</f>
        <v>21.7469874399879</v>
      </c>
      <c r="J10427" s="6" t="n">
        <f aca="false">Sens!J10402*Sens!J10426</f>
        <v>22.8390023385368</v>
      </c>
      <c r="K10427" s="6" t="n">
        <f aca="false">Sens!K10402*Sens!K10426</f>
        <v>24.0581531794169</v>
      </c>
    </row>
    <row r="10428" customFormat="false" ht="15" hidden="false" customHeight="false" outlineLevel="0" collapsed="false">
      <c r="A10428" s="1" t="s">
        <v>903</v>
      </c>
      <c r="B10428" s="0" t="s">
        <v>98</v>
      </c>
      <c r="D10428" s="6" t="n">
        <f aca="false">Sens!D10425+Sens!D10427</f>
        <v>128.528</v>
      </c>
      <c r="E10428" s="6" t="n">
        <f aca="false">Sens!E10425+Sens!E10427</f>
        <v>155.237</v>
      </c>
      <c r="F10428" s="6" t="n">
        <f aca="false">Sens!F10425+Sens!F10427</f>
        <v>181.463480722967</v>
      </c>
      <c r="G10428" s="6" t="n">
        <f aca="false">Sens!G10425+Sens!G10427</f>
        <v>211.669412838804</v>
      </c>
      <c r="H10428" s="6" t="n">
        <f aca="false">Sens!H10425+Sens!H10427</f>
        <v>246.868410458825</v>
      </c>
      <c r="I10428" s="6" t="n">
        <f aca="false">Sens!I10425+Sens!I10427</f>
        <v>274.095356956809</v>
      </c>
      <c r="J10428" s="6" t="n">
        <f aca="false">Sens!J10425+Sens!J10427</f>
        <v>297.760850212496</v>
      </c>
      <c r="K10428" s="6" t="n">
        <f aca="false">Sens!K10425+Sens!K10427</f>
        <v>319.42012421142</v>
      </c>
    </row>
    <row r="10429" customFormat="false" ht="15" hidden="false" customHeight="false" outlineLevel="0" collapsed="false">
      <c r="A10429" s="23" t="s">
        <v>904</v>
      </c>
      <c r="B10429" s="30" t="s">
        <v>98</v>
      </c>
      <c r="C10429" s="30"/>
      <c r="D10429" s="24" t="n">
        <f aca="false">Sens!D10428-Q!L23</f>
        <v>0</v>
      </c>
      <c r="E10429" s="24" t="n">
        <f aca="false">Sens!E10428-Q!M23</f>
        <v>0</v>
      </c>
      <c r="F10429" s="30"/>
      <c r="G10429" s="30"/>
      <c r="H10429" s="30"/>
      <c r="I10429" s="30"/>
      <c r="J10429" s="30"/>
      <c r="K10429" s="30"/>
    </row>
    <row r="10430" customFormat="false" ht="15" hidden="false" customHeight="false" outlineLevel="0" collapsed="false">
      <c r="A10430" s="1" t="s">
        <v>905</v>
      </c>
      <c r="B10430" s="0" t="s">
        <v>129</v>
      </c>
      <c r="D10430" s="7" t="n">
        <f aca="false">Sens!D10428/Sens!D10421</f>
        <v>0.456219562408598</v>
      </c>
      <c r="E10430" s="7" t="n">
        <f aca="false">Sens!E10428/Sens!E10421</f>
        <v>0.467808184089272</v>
      </c>
      <c r="F10430" s="7" t="n">
        <f aca="false">Sens!F10428/Sens!F10421</f>
        <v>0.448407328072793</v>
      </c>
      <c r="G10430" s="7" t="n">
        <f aca="false">Sens!G10428/Sens!G10421</f>
        <v>0.430285896422917</v>
      </c>
      <c r="H10430" s="7" t="n">
        <f aca="false">Sens!H10428/Sens!H10421</f>
        <v>0.421401402196229</v>
      </c>
      <c r="I10430" s="7" t="n">
        <f aca="false">Sens!I10428/Sens!I10421</f>
        <v>0.411380563975989</v>
      </c>
      <c r="J10430" s="7" t="n">
        <f aca="false">Sens!J10428/Sens!J10421</f>
        <v>0.407120047258706</v>
      </c>
      <c r="K10430" s="7" t="n">
        <f aca="false">Sens!K10428/Sens!K10421</f>
        <v>0.407680955859915</v>
      </c>
    </row>
    <row r="10431" customFormat="false" ht="17.15" hidden="false" customHeight="false" outlineLevel="0" collapsed="false">
      <c r="A10431" s="1" t="s">
        <v>906</v>
      </c>
      <c r="B10431" s="0" t="s">
        <v>98</v>
      </c>
      <c r="F10431" s="6" t="n">
        <f aca="false">Sens!F10446</f>
        <v>19.0793824397397</v>
      </c>
      <c r="G10431" s="6" t="n">
        <f aca="false">Sens!G10446</f>
        <v>32.5666413649601</v>
      </c>
      <c r="H10431" s="6" t="n">
        <f aca="false">Sens!H10446</f>
        <v>47.4063563831308</v>
      </c>
      <c r="I10431" s="6" t="n">
        <f aca="false">Sens!I10446</f>
        <v>61.2525090726263</v>
      </c>
      <c r="J10431" s="6" t="n">
        <f aca="false">Sens!J10446</f>
        <v>71.009613825577</v>
      </c>
      <c r="K10431" s="6" t="n">
        <f aca="false">Sens!K10446</f>
        <v>76.0452576664312</v>
      </c>
      <c r="L10431" s="1" t="s">
        <v>907</v>
      </c>
    </row>
    <row r="10432" customFormat="false" ht="17.15" hidden="false" customHeight="false" outlineLevel="0" collapsed="false">
      <c r="A10432" s="1" t="s">
        <v>908</v>
      </c>
      <c r="B10432" s="0" t="s">
        <v>98</v>
      </c>
      <c r="D10432" s="6" t="n">
        <f aca="false">Sens!D10428</f>
        <v>128.528</v>
      </c>
      <c r="E10432" s="6" t="n">
        <f aca="false">Sens!E10428</f>
        <v>155.237</v>
      </c>
      <c r="F10432" s="6" t="n">
        <f aca="false">Sens!F10428+Sens!F10431</f>
        <v>200.542863162707</v>
      </c>
      <c r="G10432" s="6" t="n">
        <f aca="false">Sens!G10428+Sens!G10431</f>
        <v>244.236054203764</v>
      </c>
      <c r="H10432" s="6" t="n">
        <f aca="false">Sens!H10428+Sens!H10431</f>
        <v>294.274766841956</v>
      </c>
      <c r="I10432" s="6" t="n">
        <f aca="false">Sens!I10428+Sens!I10431</f>
        <v>335.347866029435</v>
      </c>
      <c r="J10432" s="6" t="n">
        <f aca="false">Sens!J10428+Sens!J10431</f>
        <v>368.770464038073</v>
      </c>
      <c r="K10432" s="6" t="n">
        <f aca="false">Sens!K10428+Sens!K10431</f>
        <v>395.465381877852</v>
      </c>
    </row>
    <row r="10433" customFormat="false" ht="17.15" hidden="false" customHeight="false" outlineLevel="0" collapsed="false">
      <c r="A10433" s="1" t="s">
        <v>909</v>
      </c>
      <c r="B10433" s="0" t="s">
        <v>98</v>
      </c>
      <c r="E10433" s="6" t="n">
        <f aca="false">Sens!E10376</f>
        <v>16.3054059770833</v>
      </c>
      <c r="F10433" s="6" t="n">
        <f aca="false">Sens!F10376</f>
        <v>34.7277630808698</v>
      </c>
      <c r="G10433" s="6" t="n">
        <f aca="false">Sens!G10376</f>
        <v>60.4811885103396</v>
      </c>
      <c r="H10433" s="6" t="n">
        <f aca="false">Sens!H10376</f>
        <v>87.7167712431396</v>
      </c>
      <c r="I10433" s="6" t="n">
        <f aca="false">Sens!I10376</f>
        <v>111.961495232221</v>
      </c>
      <c r="J10433" s="6" t="n">
        <f aca="false">Sens!J10376</f>
        <v>129.158166172666</v>
      </c>
      <c r="K10433" s="6" t="n">
        <f aca="false">Sens!K10376</f>
        <v>139.622102054474</v>
      </c>
    </row>
    <row r="10434" customFormat="false" ht="17.15" hidden="false" customHeight="false" outlineLevel="0" collapsed="false">
      <c r="A10434" s="1" t="s">
        <v>910</v>
      </c>
      <c r="B10434" s="0" t="s">
        <v>98</v>
      </c>
      <c r="E10434" s="6" t="n">
        <f aca="false">Sens!E10458</f>
        <v>22.2285940229167</v>
      </c>
      <c r="F10434" s="6" t="n">
        <f aca="false">Sens!F10458</f>
        <v>23.5789961935812</v>
      </c>
      <c r="G10434" s="6" t="n">
        <f aca="false">Sens!G10458</f>
        <v>25.3823199695293</v>
      </c>
      <c r="H10434" s="6" t="n">
        <f aca="false">Sens!H10458</f>
        <v>27.6020517454613</v>
      </c>
      <c r="I10434" s="6" t="n">
        <f aca="false">Sens!I10458</f>
        <v>30.1621705769444</v>
      </c>
      <c r="J10434" s="6" t="n">
        <f aca="false">Sens!J10458</f>
        <v>32.9710454956875</v>
      </c>
      <c r="K10434" s="6" t="n">
        <f aca="false">Sens!K10458</f>
        <v>35.9447583661421</v>
      </c>
    </row>
    <row r="10435" customFormat="false" ht="17.15" hidden="false" customHeight="false" outlineLevel="0" collapsed="false">
      <c r="A10435" s="1" t="s">
        <v>911</v>
      </c>
      <c r="B10435" s="0" t="s">
        <v>98</v>
      </c>
      <c r="D10435" s="6" t="n">
        <f aca="false">Q!L27</f>
        <v>-4.901</v>
      </c>
      <c r="E10435" s="6" t="n">
        <f aca="false">Q!M27</f>
        <v>10.697</v>
      </c>
      <c r="F10435" s="6" t="n">
        <f aca="false">oie_f</f>
        <v>-0.4</v>
      </c>
      <c r="G10435" s="6" t="n">
        <f aca="false">oie_f</f>
        <v>-0.4</v>
      </c>
      <c r="H10435" s="6" t="n">
        <f aca="false">oie_f</f>
        <v>-0.4</v>
      </c>
      <c r="I10435" s="6" t="n">
        <f aca="false">oie_f</f>
        <v>-0.4</v>
      </c>
      <c r="J10435" s="6" t="n">
        <f aca="false">oie_f</f>
        <v>-0.4</v>
      </c>
      <c r="K10435" s="6" t="n">
        <f aca="false">oie_f</f>
        <v>-0.4</v>
      </c>
      <c r="L10435" s="11" t="s">
        <v>912</v>
      </c>
    </row>
    <row r="10436" customFormat="false" ht="15" hidden="false" customHeight="false" outlineLevel="0" collapsed="false">
      <c r="A10436" s="1" t="s">
        <v>913</v>
      </c>
      <c r="B10436" s="0" t="s">
        <v>98</v>
      </c>
      <c r="D10436" s="6" t="n">
        <f aca="false">Sens!D10428+Sens!D10435</f>
        <v>123.627</v>
      </c>
      <c r="E10436" s="6" t="n">
        <f aca="false">Sens!E10428+Sens!E10435</f>
        <v>165.934</v>
      </c>
      <c r="F10436" s="6" t="n">
        <f aca="false">Sens!F10428+Sens!F10435</f>
        <v>181.063480722967</v>
      </c>
      <c r="G10436" s="6" t="n">
        <f aca="false">Sens!G10428+Sens!G10435</f>
        <v>211.269412838804</v>
      </c>
      <c r="H10436" s="6" t="n">
        <f aca="false">Sens!H10428+Sens!H10435</f>
        <v>246.468410458825</v>
      </c>
      <c r="I10436" s="6" t="n">
        <f aca="false">Sens!I10428+Sens!I10435</f>
        <v>273.695356956809</v>
      </c>
      <c r="J10436" s="6" t="n">
        <f aca="false">Sens!J10428+Sens!J10435</f>
        <v>297.360850212496</v>
      </c>
      <c r="K10436" s="6" t="n">
        <f aca="false">Sens!K10428+Sens!K10435</f>
        <v>319.02012421142</v>
      </c>
    </row>
    <row r="10437" customFormat="false" ht="15" hidden="false" customHeight="false" outlineLevel="0" collapsed="false">
      <c r="A10437" s="1" t="s">
        <v>914</v>
      </c>
      <c r="B10437" s="0" t="s">
        <v>98</v>
      </c>
      <c r="D10437" s="6" t="n">
        <f aca="false">Q!L29</f>
        <v>21.795</v>
      </c>
      <c r="E10437" s="6" t="n">
        <f aca="false">Q!M29</f>
        <v>32.185</v>
      </c>
      <c r="F10437" s="6" t="n">
        <f aca="false">Sens!F10436*tax_f</f>
        <v>36.2126961445935</v>
      </c>
      <c r="G10437" s="6" t="n">
        <f aca="false">Sens!G10436*tax_f</f>
        <v>42.2538825677607</v>
      </c>
      <c r="H10437" s="6" t="n">
        <f aca="false">Sens!H10436*tax_f</f>
        <v>49.2936820917651</v>
      </c>
      <c r="I10437" s="6" t="n">
        <f aca="false">Sens!I10436*tax_f</f>
        <v>54.7390713913618</v>
      </c>
      <c r="J10437" s="6" t="n">
        <f aca="false">Sens!J10436*tax_f</f>
        <v>59.4721700424993</v>
      </c>
      <c r="K10437" s="6" t="n">
        <f aca="false">Sens!K10436*tax_f</f>
        <v>63.8040248422841</v>
      </c>
    </row>
    <row r="10438" customFormat="false" ht="15" hidden="false" customHeight="false" outlineLevel="0" collapsed="false">
      <c r="A10438" s="1" t="s">
        <v>915</v>
      </c>
      <c r="B10438" s="0" t="s">
        <v>98</v>
      </c>
      <c r="D10438" s="6" t="n">
        <f aca="false">Sens!D10436-Sens!D10437</f>
        <v>101.832</v>
      </c>
      <c r="E10438" s="6" t="n">
        <f aca="false">Sens!E10436-Sens!E10437</f>
        <v>133.749</v>
      </c>
      <c r="F10438" s="6" t="n">
        <f aca="false">Sens!F10436-Sens!F10437</f>
        <v>144.850784578374</v>
      </c>
      <c r="G10438" s="6" t="n">
        <f aca="false">Sens!G10436-Sens!G10437</f>
        <v>169.015530271043</v>
      </c>
      <c r="H10438" s="6" t="n">
        <f aca="false">Sens!H10436-Sens!H10437</f>
        <v>197.17472836706</v>
      </c>
      <c r="I10438" s="6" t="n">
        <f aca="false">Sens!I10436-Sens!I10437</f>
        <v>218.956285565447</v>
      </c>
      <c r="J10438" s="6" t="n">
        <f aca="false">Sens!J10436-Sens!J10437</f>
        <v>237.888680169997</v>
      </c>
      <c r="K10438" s="6" t="n">
        <f aca="false">Sens!K10436-Sens!K10437</f>
        <v>255.216099369136</v>
      </c>
    </row>
    <row r="10439" customFormat="false" ht="17.15" hidden="false" customHeight="false" outlineLevel="0" collapsed="false">
      <c r="A10439" s="1" t="s">
        <v>916</v>
      </c>
      <c r="B10439" s="1" t="s">
        <v>81</v>
      </c>
      <c r="D10439" s="14" t="n">
        <f aca="false">Q!L31</f>
        <v>7.465</v>
      </c>
      <c r="E10439" s="14" t="n">
        <f aca="false">Q!M31</f>
        <v>7.453</v>
      </c>
      <c r="F10439" s="14" t="n">
        <f aca="false">Sens!F10480</f>
        <v>7.4735</v>
      </c>
      <c r="G10439" s="14" t="n">
        <f aca="false">Sens!G10480</f>
        <v>7.50801885639496</v>
      </c>
      <c r="H10439" s="14" t="n">
        <f aca="false">Sens!H10480</f>
        <v>7.52528929863986</v>
      </c>
      <c r="I10439" s="14" t="n">
        <f aca="false">Sens!I10480</f>
        <v>7.53707013064717</v>
      </c>
      <c r="J10439" s="14" t="n">
        <f aca="false">Sens!J10480</f>
        <v>7.55131164176506</v>
      </c>
      <c r="K10439" s="14" t="n">
        <f aca="false">Sens!K10480</f>
        <v>7.5678315594668</v>
      </c>
    </row>
    <row r="10440" customFormat="false" ht="17.15" hidden="false" customHeight="false" outlineLevel="0" collapsed="false">
      <c r="A10440" s="0" t="s">
        <v>917</v>
      </c>
      <c r="B10440" s="0" t="s">
        <v>75</v>
      </c>
      <c r="D10440" s="8" t="n">
        <f aca="false">Sens!D10438/Sens!D10439</f>
        <v>13.641259209645</v>
      </c>
      <c r="E10440" s="8" t="n">
        <f aca="false">Sens!E10438/Sens!E10439</f>
        <v>17.9456594659869</v>
      </c>
      <c r="F10440" s="8" t="n">
        <f aca="false">Sens!F10438/Sens!F10439</f>
        <v>19.3819207303638</v>
      </c>
      <c r="G10440" s="8" t="n">
        <f aca="false">Sens!G10438/Sens!G10439</f>
        <v>22.5113353474178</v>
      </c>
      <c r="H10440" s="8" t="n">
        <f aca="false">Sens!H10438/Sens!H10439</f>
        <v>26.2016143887914</v>
      </c>
      <c r="I10440" s="8" t="n">
        <f aca="false">Sens!I10438/Sens!I10439</f>
        <v>29.0505835517078</v>
      </c>
      <c r="J10440" s="8" t="n">
        <f aca="false">Sens!J10438/Sens!J10439</f>
        <v>31.5029615324408</v>
      </c>
      <c r="K10440" s="8" t="n">
        <f aca="false">Sens!K10438/Sens!K10439</f>
        <v>33.7238081164584</v>
      </c>
      <c r="L10440" s="1" t="s">
        <v>918</v>
      </c>
    </row>
    <row r="10441" customFormat="false" ht="17.15" hidden="false" customHeight="false" outlineLevel="0" collapsed="false">
      <c r="A10441" s="1" t="s">
        <v>919</v>
      </c>
      <c r="B10441" s="0" t="s">
        <v>98</v>
      </c>
      <c r="D10441" s="6" t="n">
        <f aca="false">Sens!D10438</f>
        <v>101.832</v>
      </c>
      <c r="E10441" s="6" t="n">
        <f aca="false">Sens!E10438</f>
        <v>133.749</v>
      </c>
      <c r="F10441" s="6" t="n">
        <f aca="false">Sens!F10438+Sens!F10431*(1-tax_f)</f>
        <v>160.114290530166</v>
      </c>
      <c r="G10441" s="6" t="n">
        <f aca="false">Sens!G10438+Sens!G10431*(1-tax_f)</f>
        <v>195.068843363011</v>
      </c>
      <c r="H10441" s="6" t="n">
        <f aca="false">Sens!H10438+Sens!H10431*(1-tax_f)</f>
        <v>235.099813473565</v>
      </c>
      <c r="I10441" s="6" t="n">
        <f aca="false">Sens!I10438+Sens!I10431*(1-tax_f)</f>
        <v>267.958292823548</v>
      </c>
      <c r="J10441" s="6" t="n">
        <f aca="false">Sens!J10438+Sens!J10431*(1-tax_f)</f>
        <v>294.696371230459</v>
      </c>
      <c r="K10441" s="6" t="n">
        <f aca="false">Sens!K10438+Sens!K10431*(1-tax_f)</f>
        <v>316.052305502281</v>
      </c>
    </row>
    <row r="10442" customFormat="false" ht="17.15" hidden="false" customHeight="false" outlineLevel="0" collapsed="false">
      <c r="A10442" s="0" t="s">
        <v>920</v>
      </c>
      <c r="B10442" s="0" t="s">
        <v>75</v>
      </c>
      <c r="D10442" s="8" t="n">
        <f aca="false">Sens!D10441/Sens!D10439</f>
        <v>13.641259209645</v>
      </c>
      <c r="E10442" s="8" t="n">
        <f aca="false">Sens!E10441/Sens!E10439</f>
        <v>17.9456594659869</v>
      </c>
      <c r="F10442" s="8" t="n">
        <f aca="false">Sens!F10441/Sens!F10439</f>
        <v>21.4242711621283</v>
      </c>
      <c r="G10442" s="8" t="n">
        <f aca="false">Sens!G10441/Sens!G10439</f>
        <v>25.9814002993428</v>
      </c>
      <c r="H10442" s="8" t="n">
        <f aca="false">Sens!H10441/Sens!H10439</f>
        <v>31.2412990575734</v>
      </c>
      <c r="I10442" s="8" t="n">
        <f aca="false">Sens!I10441/Sens!I10439</f>
        <v>35.5520498255653</v>
      </c>
      <c r="J10442" s="8" t="n">
        <f aca="false">Sens!J10441/Sens!J10439</f>
        <v>39.0258520917799</v>
      </c>
      <c r="K10442" s="8" t="n">
        <f aca="false">Sens!K10441/Sens!K10439</f>
        <v>41.7625977823097</v>
      </c>
      <c r="L10442" s="1" t="s">
        <v>921</v>
      </c>
    </row>
    <row r="10443" customFormat="false" ht="17.15" hidden="false" customHeight="false" outlineLevel="0" collapsed="false">
      <c r="A10443" s="0" t="s">
        <v>922</v>
      </c>
      <c r="B10443" s="0" t="s">
        <v>129</v>
      </c>
      <c r="E10443" s="7" t="n">
        <f aca="false">Sens!E10442/Sens!D10442-1</f>
        <v>0.315542736208578</v>
      </c>
      <c r="F10443" s="7" t="n">
        <f aca="false">Sens!F10442/Sens!E10442-1</f>
        <v>0.193841396730757</v>
      </c>
      <c r="G10443" s="7" t="n">
        <f aca="false">Sens!G10442/Sens!F10442-1</f>
        <v>0.212708712596493</v>
      </c>
      <c r="H10443" s="7" t="n">
        <f aca="false">Sens!H10442/Sens!G10442-1</f>
        <v>0.202448624694171</v>
      </c>
      <c r="I10443" s="7" t="n">
        <f aca="false">Sens!I10442/Sens!H10442-1</f>
        <v>0.137982443049111</v>
      </c>
      <c r="J10443" s="7" t="n">
        <f aca="false">Sens!J10442/Sens!I10442-1</f>
        <v>0.0977103228437932</v>
      </c>
      <c r="K10443" s="7" t="n">
        <f aca="false">Sens!K10442/Sens!J10442-1</f>
        <v>0.0701264813922216</v>
      </c>
    </row>
    <row r="10444" customFormat="false" ht="17.15" hidden="false" customHeight="false" outlineLevel="0" collapsed="false">
      <c r="A10444" s="0" t="s">
        <v>846</v>
      </c>
      <c r="B10444" s="0" t="s">
        <v>98</v>
      </c>
      <c r="E10444" s="6" t="n">
        <f aca="false">Sens!E10385</f>
        <v>5.25</v>
      </c>
      <c r="F10444" s="6" t="n">
        <f aca="false">Sens!F10385</f>
        <v>13.5</v>
      </c>
      <c r="G10444" s="6" t="n">
        <f aca="false">Sens!G10385</f>
        <v>22.5</v>
      </c>
      <c r="H10444" s="6" t="n">
        <f aca="false">Sens!H10385</f>
        <v>31.5</v>
      </c>
      <c r="I10444" s="6" t="n">
        <f aca="false">Sens!I10385</f>
        <v>38.25</v>
      </c>
      <c r="J10444" s="6" t="n">
        <f aca="false">Sens!J10385</f>
        <v>42.75</v>
      </c>
      <c r="K10444" s="6" t="n">
        <f aca="false">Sens!K10385</f>
        <v>47.25</v>
      </c>
    </row>
    <row r="10445" customFormat="false" ht="17.15" hidden="false" customHeight="false" outlineLevel="0" collapsed="false">
      <c r="A10445" s="1" t="s">
        <v>847</v>
      </c>
      <c r="B10445" s="0" t="s">
        <v>98</v>
      </c>
      <c r="F10445" s="6" t="n">
        <f aca="false">MAX(0,(Sens!E10348+Sens!F10348)/2*Sens!F10356/1000-Sens!F10444*Sens!F10424)</f>
        <v>19.0793824397397</v>
      </c>
      <c r="G10445" s="6" t="n">
        <f aca="false">MAX(0,(Sens!F10348+Sens!G10348)/2*Sens!G10356/1000-Sens!G10444*Sens!G10424)</f>
        <v>32.5666413649601</v>
      </c>
      <c r="H10445" s="6" t="n">
        <f aca="false">MAX(0,(Sens!G10348+Sens!H10348)/2*Sens!H10356/1000-Sens!H10444*Sens!H10424)</f>
        <v>47.4063563831308</v>
      </c>
      <c r="I10445" s="6" t="n">
        <f aca="false">MAX(0,(Sens!H10348+Sens!I10348)/2*Sens!I10356/1000-Sens!I10444*Sens!I10424)</f>
        <v>61.2525090726263</v>
      </c>
      <c r="J10445" s="6" t="n">
        <f aca="false">MAX(0,(Sens!I10348+Sens!J10348)/2*Sens!J10356/1000-Sens!J10444*Sens!J10424)</f>
        <v>71.009613825577</v>
      </c>
      <c r="K10445" s="6" t="n">
        <f aca="false">MAX(0,(Sens!J10348+Sens!K10348)/2*Sens!K10356/1000-Sens!K10444*Sens!K10424)</f>
        <v>76.0452576664312</v>
      </c>
      <c r="L10445" s="1" t="s">
        <v>848</v>
      </c>
    </row>
    <row r="10446" customFormat="false" ht="17.15" hidden="false" customHeight="false" outlineLevel="0" collapsed="false">
      <c r="A10446" s="1" t="s">
        <v>849</v>
      </c>
      <c r="B10446" s="0" t="s">
        <v>98</v>
      </c>
      <c r="F10446" s="6" t="n">
        <f aca="false">IF(internal_ai_reading=2,1,0)*Sens!F10445</f>
        <v>19.0793824397397</v>
      </c>
      <c r="G10446" s="6" t="n">
        <f aca="false">IF(internal_ai_reading=2,1,0)*Sens!G10445</f>
        <v>32.5666413649601</v>
      </c>
      <c r="H10446" s="6" t="n">
        <f aca="false">IF(internal_ai_reading=2,1,0)*Sens!H10445</f>
        <v>47.4063563831308</v>
      </c>
      <c r="I10446" s="6" t="n">
        <f aca="false">IF(internal_ai_reading=2,1,0)*Sens!I10445</f>
        <v>61.2525090726263</v>
      </c>
      <c r="J10446" s="6" t="n">
        <f aca="false">IF(internal_ai_reading=2,1,0)*Sens!J10445</f>
        <v>71.009613825577</v>
      </c>
      <c r="K10446" s="6" t="n">
        <f aca="false">IF(internal_ai_reading=2,1,0)*Sens!K10445</f>
        <v>76.0452576664312</v>
      </c>
    </row>
    <row r="10447" customFormat="false" ht="17.15" hidden="false" customHeight="false" outlineLevel="0" collapsed="false">
      <c r="A10447" s="0" t="s">
        <v>850</v>
      </c>
      <c r="B10447" s="0" t="s">
        <v>98</v>
      </c>
      <c r="F10447" s="6" t="n">
        <f aca="false">Sens!F10365+Sens!F10444*Sens!F10424+Sens!F10446-Sens!F10366-Sens!F10376</f>
        <v>28.6544664499543</v>
      </c>
      <c r="G10447" s="6" t="n">
        <f aca="false">Sens!G10365+Sens!G10444*Sens!G10424+Sens!G10446-Sens!G10366-Sens!G10376</f>
        <v>52.6186644551223</v>
      </c>
      <c r="H10447" s="6" t="n">
        <f aca="false">Sens!H10365+Sens!H10444*Sens!H10424+Sens!H10446-Sens!H10366-Sens!H10376</f>
        <v>82.5809354518664</v>
      </c>
      <c r="I10447" s="6" t="n">
        <f aca="false">Sens!I10365+Sens!I10444*Sens!I10424+Sens!I10446-Sens!I10366-Sens!I10376</f>
        <v>103.919613515268</v>
      </c>
      <c r="J10447" s="6" t="n">
        <f aca="false">Sens!J10365+Sens!J10444*Sens!J10424+Sens!J10446-Sens!J10366-Sens!J10376</f>
        <v>118.713408850999</v>
      </c>
      <c r="K10447" s="6" t="n">
        <f aca="false">Sens!K10365+Sens!K10444*Sens!K10424+Sens!K10446-Sens!K10366-Sens!K10376</f>
        <v>128.667882047013</v>
      </c>
    </row>
    <row r="10448" customFormat="false" ht="17.15" hidden="false" customHeight="false" outlineLevel="0" collapsed="false">
      <c r="A10448" s="0" t="s">
        <v>851</v>
      </c>
      <c r="B10448" s="0" t="s">
        <v>98</v>
      </c>
      <c r="E10448" s="6" t="n">
        <f aca="false">Sens!E10347*(cxit_open+self_build*tk_cxfac)/1000*ai_net_open</f>
        <v>126.6980382</v>
      </c>
      <c r="F10448" s="6" t="n">
        <f aca="false">Sens!E10448+Sens!F10373-Sens!F10376</f>
        <v>260.437659389568</v>
      </c>
      <c r="G10448" s="6" t="n">
        <f aca="false">Sens!F10448+Sens!G10373-Sens!G10376</f>
        <v>383.530651362428</v>
      </c>
      <c r="H10448" s="6" t="n">
        <f aca="false">Sens!G10448+Sens!H10373-Sens!H10376</f>
        <v>483.894166029688</v>
      </c>
      <c r="I10448" s="6" t="n">
        <f aca="false">Sens!H10448+Sens!I10373-Sens!I10376</f>
        <v>535.639339951713</v>
      </c>
      <c r="J10448" s="6" t="n">
        <f aca="false">Sens!I10448+Sens!J10373-Sens!J10376</f>
        <v>530.993650497137</v>
      </c>
      <c r="K10448" s="6" t="n">
        <f aca="false">Sens!J10448+Sens!K10373-Sens!K10376</f>
        <v>506.3309840846</v>
      </c>
      <c r="L10448" s="1" t="s">
        <v>852</v>
      </c>
    </row>
    <row r="10449" customFormat="false" ht="17.15" hidden="false" customHeight="false" outlineLevel="0" collapsed="false">
      <c r="A10449" s="0" t="s">
        <v>853</v>
      </c>
      <c r="B10449" s="0" t="s">
        <v>129</v>
      </c>
      <c r="F10449" s="7" t="n">
        <f aca="false">Sens!F10447*(1-tax_f)/((Sens!E10448+Sens!F10448)/2)</f>
        <v>0.118426553287093</v>
      </c>
      <c r="G10449" s="7" t="n">
        <f aca="false">Sens!G10447*(1-tax_f)/((Sens!F10448+Sens!G10448)/2)</f>
        <v>0.130736034246596</v>
      </c>
      <c r="H10449" s="7" t="n">
        <f aca="false">Sens!H10447*(1-tax_f)/((Sens!G10448+Sens!H10448)/2)</f>
        <v>0.152323860320516</v>
      </c>
      <c r="I10449" s="7" t="n">
        <f aca="false">Sens!I10447*(1-tax_f)/((Sens!H10448+Sens!I10448)/2)</f>
        <v>0.16308574524422</v>
      </c>
      <c r="J10449" s="7" t="n">
        <f aca="false">Sens!J10447*(1-tax_f)/((Sens!I10448+Sens!J10448)/2)</f>
        <v>0.178075735386423</v>
      </c>
      <c r="K10449" s="7" t="n">
        <f aca="false">Sens!K10447*(1-tax_f)/((Sens!J10448+Sens!K10448)/2)</f>
        <v>0.198461122402853</v>
      </c>
    </row>
    <row r="10450" customFormat="false" ht="17.15" hidden="false" customHeight="false" outlineLevel="0" collapsed="false">
      <c r="A10450" s="1" t="s">
        <v>854</v>
      </c>
      <c r="B10450" s="0" t="s">
        <v>129</v>
      </c>
      <c r="F10450" s="7" t="n">
        <f aca="false">(Sens!F10447-Sens!F10446)*(1-tax_f)/((Sens!E10448+Sens!F10448)/2)</f>
        <v>0.039573034756886</v>
      </c>
      <c r="G10450" s="7" t="n">
        <f aca="false">(Sens!G10447-Sens!G10446)*(1-tax_f)/((Sens!F10448+Sens!G10448)/2)</f>
        <v>0.0498211424515505</v>
      </c>
      <c r="H10450" s="7" t="n">
        <f aca="false">(Sens!H10447-Sens!H10446)*(1-tax_f)/((Sens!G10448+Sens!H10448)/2)</f>
        <v>0.0648809272937093</v>
      </c>
      <c r="I10450" s="7" t="n">
        <f aca="false">(Sens!I10447-Sens!I10446)*(1-tax_f)/((Sens!H10448+Sens!I10448)/2)</f>
        <v>0.0669594149752959</v>
      </c>
      <c r="J10450" s="7" t="n">
        <f aca="false">(Sens!J10447-Sens!J10446)*(1-tax_f)/((Sens!I10448+Sens!J10448)/2)</f>
        <v>0.0715579517267284</v>
      </c>
      <c r="K10450" s="7" t="n">
        <f aca="false">(Sens!K10447-Sens!K10446)*(1-tax_f)/((Sens!J10448+Sens!K10448)/2)</f>
        <v>0.0811666822536032</v>
      </c>
    </row>
    <row r="10451" customFormat="false" ht="17.15" hidden="false" customHeight="false" outlineLevel="0" collapsed="false">
      <c r="A10451" s="1" t="s">
        <v>855</v>
      </c>
      <c r="B10451" s="0" t="s">
        <v>129</v>
      </c>
      <c r="F10451" s="7" t="n">
        <f aca="false">(Sens!F10447-Sens!F10446+Sens!F10445)*(1-tax_f)/((Sens!E10448+Sens!F10448)/2)</f>
        <v>0.118426553287093</v>
      </c>
      <c r="G10451" s="7" t="n">
        <f aca="false">(Sens!G10447-Sens!G10446+Sens!G10445)*(1-tax_f)/((Sens!F10448+Sens!G10448)/2)</f>
        <v>0.130736034246596</v>
      </c>
      <c r="H10451" s="7" t="n">
        <f aca="false">(Sens!H10447-Sens!H10446+Sens!H10445)*(1-tax_f)/((Sens!G10448+Sens!H10448)/2)</f>
        <v>0.152323860320516</v>
      </c>
      <c r="I10451" s="7" t="n">
        <f aca="false">(Sens!I10447-Sens!I10446+Sens!I10445)*(1-tax_f)/((Sens!H10448+Sens!I10448)/2)</f>
        <v>0.16308574524422</v>
      </c>
      <c r="J10451" s="7" t="n">
        <f aca="false">(Sens!J10447-Sens!J10446+Sens!J10445)*(1-tax_f)/((Sens!I10448+Sens!J10448)/2)</f>
        <v>0.178075735386423</v>
      </c>
      <c r="K10451" s="7" t="n">
        <f aca="false">(Sens!K10447-Sens!K10446+Sens!K10445)*(1-tax_f)/((Sens!J10448+Sens!K10448)/2)</f>
        <v>0.198461122402853</v>
      </c>
    </row>
    <row r="10452" customFormat="false" ht="17.15" hidden="false" customHeight="false" outlineLevel="0" collapsed="false">
      <c r="A10452" s="1" t="s">
        <v>856</v>
      </c>
      <c r="B10452" s="0" t="s">
        <v>129</v>
      </c>
      <c r="F10452" s="7" t="n">
        <f aca="false">Sens!F10377*(1-tax_f)/(Sens!F10364*(Sens!E10448+Sens!F10448)/2)</f>
        <v>0.153546130000462</v>
      </c>
      <c r="G10452" s="7" t="n">
        <f aca="false">Sens!G10377*(1-tax_f)/(Sens!G10364*(Sens!F10448+Sens!G10448)/2)</f>
        <v>0.174677702072814</v>
      </c>
      <c r="H10452" s="7" t="n">
        <f aca="false">Sens!H10377*(1-tax_f)/(Sens!H10364*(Sens!G10448+Sens!H10448)/2)</f>
        <v>0.207632400829513</v>
      </c>
      <c r="I10452" s="7" t="n">
        <f aca="false">Sens!I10377*(1-tax_f)/(Sens!I10364*(Sens!H10448+Sens!I10448)/2)</f>
        <v>0.221685535457114</v>
      </c>
      <c r="J10452" s="7" t="n">
        <f aca="false">Sens!J10377*(1-tax_f)/(Sens!J10364*(Sens!I10448+Sens!J10448)/2)</f>
        <v>0.241798869480573</v>
      </c>
      <c r="K10452" s="7" t="n">
        <f aca="false">Sens!K10377*(1-tax_f)/(Sens!K10364*(Sens!J10448+Sens!K10448)/2)</f>
        <v>0.269037422670144</v>
      </c>
    </row>
    <row r="10453" customFormat="false" ht="17.15" hidden="false" customHeight="false" outlineLevel="0" collapsed="false">
      <c r="A10453" s="0" t="s">
        <v>857</v>
      </c>
      <c r="B10453" s="0" t="s">
        <v>209</v>
      </c>
      <c r="F10453" s="7" t="n">
        <f aca="false">Sens!F10449-wacc</f>
        <v>0.0154921331942172</v>
      </c>
      <c r="G10453" s="7" t="n">
        <f aca="false">Sens!G10449-wacc</f>
        <v>0.0278016141537206</v>
      </c>
      <c r="H10453" s="7" t="n">
        <f aca="false">Sens!H10449-wacc</f>
        <v>0.0493894402276407</v>
      </c>
      <c r="I10453" s="7" t="n">
        <f aca="false">Sens!I10449-wacc</f>
        <v>0.060151325151344</v>
      </c>
      <c r="J10453" s="7" t="n">
        <f aca="false">Sens!J10449-wacc</f>
        <v>0.0751413152935468</v>
      </c>
      <c r="K10453" s="7" t="n">
        <f aca="false">Sens!K10449-wacc</f>
        <v>0.0955267023099773</v>
      </c>
    </row>
    <row r="10454" customFormat="false" ht="17.15" hidden="false" customHeight="false" outlineLevel="0" collapsed="false">
      <c r="A10454" s="0" t="s">
        <v>858</v>
      </c>
      <c r="B10454" s="0" t="s">
        <v>98</v>
      </c>
      <c r="F10454" s="6" t="n">
        <f aca="false">Sens!F10447*(1-tax_f)-wacc*(Sens!E10448+Sens!F10448)/2</f>
        <v>2.99877889564688</v>
      </c>
      <c r="G10454" s="6" t="n">
        <f aca="false">Sens!G10447*(1-tax_f)-wacc*(Sens!F10448+Sens!G10448)/2</f>
        <v>8.9516792513751</v>
      </c>
      <c r="H10454" s="6" t="n">
        <f aca="false">Sens!H10447*(1-tax_f)-wacc*(Sens!G10448+Sens!H10448)/2</f>
        <v>21.4208130852801</v>
      </c>
      <c r="I10454" s="6" t="n">
        <f aca="false">Sens!I10447*(1-tax_f)-wacc*(Sens!H10448+Sens!I10448)/2</f>
        <v>30.6631457104885</v>
      </c>
      <c r="J10454" s="6" t="n">
        <f aca="false">Sens!J10447*(1-tax_f)-wacc*(Sens!I10448+Sens!J10448)/2</f>
        <v>40.0741029189078</v>
      </c>
      <c r="K10454" s="6" t="n">
        <f aca="false">Sens!K10447*(1-tax_f)-wacc*(Sens!J10448+Sens!K10448)/2</f>
        <v>49.5461007832478</v>
      </c>
    </row>
    <row r="10455" customFormat="false" ht="17.15" hidden="false" customHeight="false" outlineLevel="0" collapsed="false">
      <c r="A10455" s="3" t="s">
        <v>1507</v>
      </c>
    </row>
    <row r="10456" customFormat="false" ht="15" hidden="false" customHeight="false" outlineLevel="0" collapsed="false">
      <c r="A10456" s="4" t="s">
        <v>43</v>
      </c>
      <c r="B10456" s="4" t="s">
        <v>65</v>
      </c>
      <c r="C10456" s="20" t="s">
        <v>788</v>
      </c>
      <c r="D10456" s="20" t="s">
        <v>789</v>
      </c>
      <c r="E10456" s="20" t="s">
        <v>790</v>
      </c>
      <c r="F10456" s="20" t="s">
        <v>791</v>
      </c>
      <c r="G10456" s="20" t="s">
        <v>792</v>
      </c>
      <c r="H10456" s="20" t="s">
        <v>793</v>
      </c>
      <c r="I10456" s="20" t="s">
        <v>794</v>
      </c>
      <c r="J10456" s="20" t="s">
        <v>795</v>
      </c>
      <c r="K10456" s="20" t="s">
        <v>796</v>
      </c>
      <c r="L10456" s="4" t="s">
        <v>47</v>
      </c>
    </row>
    <row r="10457" customFormat="false" ht="15" hidden="false" customHeight="false" outlineLevel="0" collapsed="false">
      <c r="A10457" s="1" t="s">
        <v>915</v>
      </c>
      <c r="B10457" s="0" t="s">
        <v>98</v>
      </c>
      <c r="F10457" s="6" t="n">
        <f aca="false">Sens!F10438</f>
        <v>144.850784578374</v>
      </c>
      <c r="G10457" s="6" t="n">
        <f aca="false">Sens!G10438</f>
        <v>169.015530271043</v>
      </c>
      <c r="H10457" s="6" t="n">
        <f aca="false">Sens!H10438</f>
        <v>197.17472836706</v>
      </c>
      <c r="I10457" s="6" t="n">
        <f aca="false">Sens!I10438</f>
        <v>218.956285565447</v>
      </c>
      <c r="J10457" s="6" t="n">
        <f aca="false">Sens!J10438</f>
        <v>237.888680169997</v>
      </c>
      <c r="K10457" s="6" t="n">
        <f aca="false">Sens!K10438</f>
        <v>255.216099369136</v>
      </c>
    </row>
    <row r="10458" customFormat="false" ht="17.15" hidden="false" customHeight="false" outlineLevel="0" collapsed="false">
      <c r="A10458" s="1" t="s">
        <v>937</v>
      </c>
      <c r="B10458" s="0" t="s">
        <v>98</v>
      </c>
      <c r="E10458" s="6" t="n">
        <f aca="false">Q!M38-Sens!E10376</f>
        <v>22.2285940229167</v>
      </c>
      <c r="F10458" s="6" t="n">
        <f aca="false">Sens!E10458*(1-1/life_nonai)+Sens!F10464/life_nonai</f>
        <v>23.5789961935812</v>
      </c>
      <c r="G10458" s="6" t="n">
        <f aca="false">Sens!F10458*(1-1/life_nonai)+Sens!G10464/life_nonai</f>
        <v>25.3823199695293</v>
      </c>
      <c r="H10458" s="6" t="n">
        <f aca="false">Sens!G10458*(1-1/life_nonai)+Sens!H10464/life_nonai</f>
        <v>27.6020517454613</v>
      </c>
      <c r="I10458" s="6" t="n">
        <f aca="false">Sens!H10458*(1-1/life_nonai)+Sens!I10464/life_nonai</f>
        <v>30.1621705769444</v>
      </c>
      <c r="J10458" s="6" t="n">
        <f aca="false">Sens!I10458*(1-1/life_nonai)+Sens!J10464/life_nonai</f>
        <v>32.9710454956875</v>
      </c>
      <c r="K10458" s="6" t="n">
        <f aca="false">Sens!J10458*(1-1/life_nonai)+Sens!K10464/life_nonai</f>
        <v>35.9447583661421</v>
      </c>
      <c r="L10458" s="11" t="s">
        <v>938</v>
      </c>
    </row>
    <row r="10459" customFormat="false" ht="17.15" hidden="false" customHeight="false" outlineLevel="0" collapsed="false">
      <c r="A10459" s="1" t="s">
        <v>939</v>
      </c>
      <c r="B10459" s="0" t="s">
        <v>98</v>
      </c>
      <c r="E10459" s="6" t="n">
        <f aca="false">Sens!E10376+Sens!E10458</f>
        <v>38.534</v>
      </c>
      <c r="F10459" s="6" t="n">
        <f aca="false">Sens!F10376+Sens!F10458</f>
        <v>58.306759274451</v>
      </c>
      <c r="G10459" s="6" t="n">
        <f aca="false">Sens!G10376+Sens!G10458</f>
        <v>85.8635084798689</v>
      </c>
      <c r="H10459" s="6" t="n">
        <f aca="false">Sens!H10376+Sens!H10458</f>
        <v>115.318822988601</v>
      </c>
      <c r="I10459" s="6" t="n">
        <f aca="false">Sens!I10376+Sens!I10458</f>
        <v>142.123665809166</v>
      </c>
      <c r="J10459" s="6" t="n">
        <f aca="false">Sens!J10376+Sens!J10458</f>
        <v>162.129211668353</v>
      </c>
      <c r="K10459" s="6" t="n">
        <f aca="false">Sens!K10376+Sens!K10458</f>
        <v>175.566860420616</v>
      </c>
    </row>
    <row r="10460" customFormat="false" ht="17.15" hidden="false" customHeight="false" outlineLevel="0" collapsed="false">
      <c r="A10460" s="1" t="s">
        <v>940</v>
      </c>
      <c r="B10460" s="0" t="s">
        <v>98</v>
      </c>
      <c r="F10460" s="6" t="n">
        <f aca="false">Sens!F10403*sbc_r</f>
        <v>15.128151958156</v>
      </c>
      <c r="G10460" s="6" t="n">
        <f aca="false">Sens!G10403*sbc_r</f>
        <v>18.3895175814123</v>
      </c>
      <c r="H10460" s="6" t="n">
        <f aca="false">Sens!H10403*sbc_r</f>
        <v>21.8997363785556</v>
      </c>
      <c r="I10460" s="6" t="n">
        <f aca="false">Sens!I10403*sbc_r</f>
        <v>24.9073344429222</v>
      </c>
      <c r="J10460" s="6" t="n">
        <f aca="false">Sens!J10403*sbc_r</f>
        <v>27.3410034834771</v>
      </c>
      <c r="K10460" s="6" t="n">
        <f aca="false">Sens!K10403*sbc_r</f>
        <v>29.2894483652395</v>
      </c>
    </row>
    <row r="10461" customFormat="false" ht="17.15" hidden="false" customHeight="false" outlineLevel="0" collapsed="false">
      <c r="A10461" s="1" t="s">
        <v>941</v>
      </c>
      <c r="B10461" s="0" t="s">
        <v>98</v>
      </c>
      <c r="F10461" s="6" t="n">
        <f aca="false">wc27</f>
        <v>-4.895</v>
      </c>
      <c r="G10461" s="6" t="n">
        <f aca="false">wc_f</f>
        <v>0</v>
      </c>
      <c r="H10461" s="6" t="n">
        <f aca="false">wc_f</f>
        <v>0</v>
      </c>
      <c r="I10461" s="6" t="n">
        <f aca="false">wc_f</f>
        <v>0</v>
      </c>
      <c r="J10461" s="6" t="n">
        <f aca="false">wc_f</f>
        <v>0</v>
      </c>
      <c r="K10461" s="6" t="n">
        <f aca="false">wc_f</f>
        <v>0</v>
      </c>
      <c r="L10461" s="11" t="s">
        <v>942</v>
      </c>
    </row>
    <row r="10462" customFormat="false" ht="15" hidden="false" customHeight="false" outlineLevel="0" collapsed="false">
      <c r="A10462" s="1" t="s">
        <v>756</v>
      </c>
      <c r="B10462" s="0" t="s">
        <v>98</v>
      </c>
      <c r="E10462" s="6" t="n">
        <f aca="false">Q!M35</f>
        <v>182.935</v>
      </c>
      <c r="F10462" s="6" t="n">
        <f aca="false">Sens!F10457+Sens!F10459+Sens!F10460+Sens!F10461</f>
        <v>213.390695810981</v>
      </c>
      <c r="G10462" s="6" t="n">
        <f aca="false">Sens!G10457+Sens!G10459+Sens!G10460+Sens!G10461</f>
        <v>273.268556332324</v>
      </c>
      <c r="H10462" s="6" t="n">
        <f aca="false">Sens!H10457+Sens!H10459+Sens!H10460+Sens!H10461</f>
        <v>334.393287734217</v>
      </c>
      <c r="I10462" s="6" t="n">
        <f aca="false">Sens!I10457+Sens!I10459+Sens!I10460+Sens!I10461</f>
        <v>385.987285817535</v>
      </c>
      <c r="J10462" s="6" t="n">
        <f aca="false">Sens!J10457+Sens!J10459+Sens!J10460+Sens!J10461</f>
        <v>427.358895321827</v>
      </c>
      <c r="K10462" s="6" t="n">
        <f aca="false">Sens!K10457+Sens!K10459+Sens!K10460+Sens!K10461</f>
        <v>460.072408154992</v>
      </c>
    </row>
    <row r="10463" customFormat="false" ht="17.15" hidden="false" customHeight="false" outlineLevel="0" collapsed="false">
      <c r="A10463" s="0" t="s">
        <v>943</v>
      </c>
      <c r="B10463" s="0" t="s">
        <v>98</v>
      </c>
      <c r="F10463" s="6" t="n">
        <f aca="false">Sens!F10373</f>
        <v>168.467384270438</v>
      </c>
      <c r="G10463" s="6" t="n">
        <f aca="false">Sens!G10373</f>
        <v>183.5741804832</v>
      </c>
      <c r="H10463" s="6" t="n">
        <f aca="false">Sens!H10373</f>
        <v>188.0802859104</v>
      </c>
      <c r="I10463" s="6" t="n">
        <f aca="false">Sens!I10373</f>
        <v>163.706669154245</v>
      </c>
      <c r="J10463" s="6" t="n">
        <f aca="false">Sens!J10373</f>
        <v>124.51247671809</v>
      </c>
      <c r="K10463" s="6" t="n">
        <f aca="false">Sens!K10373</f>
        <v>114.959435641936</v>
      </c>
    </row>
    <row r="10464" customFormat="false" ht="17.15" hidden="false" customHeight="false" outlineLevel="0" collapsed="false">
      <c r="A10464" s="1" t="s">
        <v>944</v>
      </c>
      <c r="B10464" s="0" t="s">
        <v>98</v>
      </c>
      <c r="E10464" s="6" t="n">
        <f aca="false">Sens!E10381*cx_azo+Sens!E10388*cx_m365+Sens!E10389*cx_lic+(Sens!E10391+Sens!E10393)*cx_ind+Sens!E10396*cx_srch+(Sens!E10398+Sens!E10400)*cx_dev</f>
        <v>30.1846587067718</v>
      </c>
      <c r="F10464" s="6" t="n">
        <f aca="false">Sens!F10381*cx_azo+Sens!F10388*cx_m365+Sens!F10389*cx_lic+(Sens!F10391+Sens!F10393)*cx_ind+Sens!F10396*cx_srch+(Sens!F10398+Sens!F10400)*cx_dev</f>
        <v>35.7326157295625</v>
      </c>
      <c r="G10464" s="6" t="n">
        <f aca="false">Sens!G10381*cx_azo+Sens!G10388*cx_m365+Sens!G10389*cx_lic+(Sens!G10391+Sens!G10393)*cx_ind+Sens!G10396*cx_srch+(Sens!G10398+Sens!G10400)*cx_dev</f>
        <v>41.6122339530614</v>
      </c>
      <c r="H10464" s="6" t="n">
        <f aca="false">Sens!H10381*cx_azo+Sens!H10388*cx_m365+Sens!H10389*cx_lic+(Sens!H10391+Sens!H10393)*cx_ind+Sens!H10396*cx_srch+(Sens!H10398+Sens!H10400)*cx_dev</f>
        <v>47.57963772885</v>
      </c>
      <c r="I10464" s="6" t="n">
        <f aca="false">Sens!I10381*cx_azo+Sens!I10388*cx_m365+Sens!I10389*cx_lic+(Sens!I10391+Sens!I10393)*cx_ind+Sens!I10396*cx_srch+(Sens!I10398+Sens!I10400)*cx_dev</f>
        <v>53.2032400602924</v>
      </c>
      <c r="J10464" s="6" t="n">
        <f aca="false">Sens!J10381*cx_azo+Sens!J10388*cx_m365+Sens!J10389*cx_lic+(Sens!J10391+Sens!J10393)*cx_ind+Sens!J10396*cx_srch+(Sens!J10398+Sens!J10400)*cx_dev</f>
        <v>58.2509197643751</v>
      </c>
      <c r="K10464" s="6" t="n">
        <f aca="false">Sens!K10381*cx_azo+Sens!K10388*cx_m365+Sens!K10389*cx_lic+(Sens!K10391+Sens!K10393)*cx_ind+Sens!K10396*cx_srch+(Sens!K10398+Sens!K10400)*cx_dev</f>
        <v>62.708174200234</v>
      </c>
    </row>
    <row r="10465" customFormat="false" ht="17.15" hidden="false" customHeight="false" outlineLevel="0" collapsed="false">
      <c r="A10465" s="1" t="s">
        <v>945</v>
      </c>
      <c r="B10465" s="0" t="s">
        <v>98</v>
      </c>
      <c r="E10465" s="6" t="n">
        <f aca="false">Q!M42</f>
        <v>145.3</v>
      </c>
      <c r="F10465" s="6" t="n">
        <f aca="false">Sens!F10463+Sens!F10464</f>
        <v>204.2</v>
      </c>
      <c r="G10465" s="6" t="n">
        <f aca="false">Sens!G10463+Sens!G10464</f>
        <v>225.186414436261</v>
      </c>
      <c r="H10465" s="6" t="n">
        <f aca="false">Sens!H10463+Sens!H10464</f>
        <v>235.65992363925</v>
      </c>
      <c r="I10465" s="6" t="n">
        <f aca="false">Sens!I10463+Sens!I10464</f>
        <v>216.909909214538</v>
      </c>
      <c r="J10465" s="6" t="n">
        <f aca="false">Sens!J10463+Sens!J10464</f>
        <v>182.763396482466</v>
      </c>
      <c r="K10465" s="6" t="n">
        <f aca="false">Sens!K10463+Sens!K10464</f>
        <v>177.66760984217</v>
      </c>
      <c r="L10465" s="1" t="s">
        <v>946</v>
      </c>
    </row>
    <row r="10466" customFormat="false" ht="15" hidden="false" customHeight="false" outlineLevel="0" collapsed="false">
      <c r="A10466" s="1" t="s">
        <v>947</v>
      </c>
      <c r="B10466" s="0" t="s">
        <v>98</v>
      </c>
      <c r="E10466" s="6" t="n">
        <f aca="false">fl_liab</f>
        <v>66.594</v>
      </c>
      <c r="F10466" s="6" t="n">
        <f aca="false">Sens!E10466-Sens!F10467</f>
        <v>62.46973</v>
      </c>
      <c r="G10466" s="6" t="n">
        <f aca="false">Sens!F10466-Sens!G10467</f>
        <v>57.98686785</v>
      </c>
      <c r="H10466" s="6" t="n">
        <f aca="false">Sens!G10466-Sens!H10467</f>
        <v>53.92827690325</v>
      </c>
      <c r="I10466" s="6" t="n">
        <f aca="false">Sens!H10466-Sens!I10467</f>
        <v>49.7850493638962</v>
      </c>
      <c r="J10466" s="6" t="n">
        <f aca="false">Sens!I10466-Sens!J10467</f>
        <v>45.4823765852716</v>
      </c>
      <c r="K10466" s="6" t="n">
        <f aca="false">Sens!J10466-Sens!K10467</f>
        <v>40.9860835316088</v>
      </c>
    </row>
    <row r="10467" customFormat="false" ht="15" hidden="false" customHeight="false" outlineLevel="0" collapsed="false">
      <c r="A10467" s="1" t="s">
        <v>948</v>
      </c>
      <c r="B10467" s="0" t="s">
        <v>98</v>
      </c>
      <c r="F10467" s="6" t="n">
        <f aca="false">fl_pay_27-Sens!E10466*fl_rate</f>
        <v>4.12427</v>
      </c>
      <c r="G10467" s="6" t="n">
        <f aca="false">fl_pay_28-Sens!F10466*fl_rate</f>
        <v>4.48286215</v>
      </c>
      <c r="H10467" s="6" t="n">
        <f aca="false">fl_pay_29-Sens!G10466*fl_rate</f>
        <v>4.05859094675</v>
      </c>
      <c r="I10467" s="6" t="n">
        <f aca="false">fl_pay_30-Sens!H10466*fl_rate</f>
        <v>4.14322753935375</v>
      </c>
      <c r="J10467" s="6" t="n">
        <f aca="false">fl_pay_31-Sens!I10466*fl_rate</f>
        <v>4.30267277862467</v>
      </c>
      <c r="K10467" s="6" t="n">
        <f aca="false">fl_pay_32-Sens!J10466*fl_rate</f>
        <v>4.49629305366278</v>
      </c>
    </row>
    <row r="10468" customFormat="false" ht="17.15" hidden="false" customHeight="false" outlineLevel="0" collapsed="false">
      <c r="A10468" s="1" t="s">
        <v>949</v>
      </c>
      <c r="B10468" s="0" t="s">
        <v>98</v>
      </c>
      <c r="E10468" s="6" t="n">
        <f aca="false">Q!M35-Q!M36-Q!M43</f>
        <v>63.886</v>
      </c>
      <c r="F10468" s="6" t="n">
        <f aca="false">Sens!F10462-Sens!F10465-Sens!F10467</f>
        <v>5.06642581098088</v>
      </c>
      <c r="G10468" s="6" t="n">
        <f aca="false">Sens!G10462-Sens!G10465-Sens!G10467</f>
        <v>43.5992797460625</v>
      </c>
      <c r="H10468" s="6" t="n">
        <f aca="false">Sens!H10462-Sens!H10465-Sens!H10467</f>
        <v>94.6747731482168</v>
      </c>
      <c r="I10468" s="6" t="n">
        <f aca="false">Sens!I10462-Sens!I10465-Sens!I10467</f>
        <v>164.934149063643</v>
      </c>
      <c r="J10468" s="6" t="n">
        <f aca="false">Sens!J10462-Sens!J10465-Sens!J10467</f>
        <v>240.292826060737</v>
      </c>
      <c r="K10468" s="6" t="n">
        <f aca="false">Sens!K10462-Sens!K10465-Sens!K10467</f>
        <v>277.908505259159</v>
      </c>
      <c r="L10468" s="11" t="s">
        <v>950</v>
      </c>
    </row>
    <row r="10469" customFormat="false" ht="15" hidden="false" customHeight="false" outlineLevel="0" collapsed="false">
      <c r="A10469" s="1" t="s">
        <v>951</v>
      </c>
      <c r="B10469" s="0" t="s">
        <v>75</v>
      </c>
      <c r="F10469" s="8" t="n">
        <f aca="false">dps_27</f>
        <v>3.85</v>
      </c>
      <c r="G10469" s="8" t="n">
        <f aca="false">Sens!F10469*(1+dps_g)</f>
        <v>4.158</v>
      </c>
      <c r="H10469" s="8" t="n">
        <f aca="false">Sens!G10469*(1+dps_g)</f>
        <v>4.49064</v>
      </c>
      <c r="I10469" s="8" t="n">
        <f aca="false">Sens!H10469*(1+dps_g)</f>
        <v>4.8498912</v>
      </c>
      <c r="J10469" s="8" t="n">
        <f aca="false">Sens!I10469*(1+dps_g)</f>
        <v>5.237882496</v>
      </c>
      <c r="K10469" s="8" t="n">
        <f aca="false">Sens!J10469*(1+dps_g)</f>
        <v>5.65691309568</v>
      </c>
    </row>
    <row r="10470" customFormat="false" ht="17.15" hidden="false" customHeight="false" outlineLevel="0" collapsed="false">
      <c r="A10470" s="1" t="s">
        <v>952</v>
      </c>
      <c r="B10470" s="0" t="s">
        <v>98</v>
      </c>
      <c r="E10470" s="6" t="n">
        <f aca="false">Q!M41</f>
        <v>26.445</v>
      </c>
      <c r="F10470" s="6" t="n">
        <f aca="false">Sens!F10469*Sens!E10479</f>
        <v>28.59395</v>
      </c>
      <c r="G10470" s="6" t="n">
        <f aca="false">Sens!G10469*Sens!F10479</f>
        <v>31.068576</v>
      </c>
      <c r="H10470" s="6" t="n">
        <f aca="false">Sens!H10469*Sens!G10479</f>
        <v>33.6620067945629</v>
      </c>
      <c r="I10470" s="6" t="n">
        <f aca="false">Sens!I10469*Sens!H10479</f>
        <v>36.4059065781274</v>
      </c>
      <c r="J10470" s="6" t="n">
        <f aca="false">Sens!J10469*Sens!I10479</f>
        <v>39.386777952697</v>
      </c>
      <c r="K10470" s="6" t="n">
        <f aca="false">Sens!K10469*Sens!J10479</f>
        <v>42.6249754142178</v>
      </c>
      <c r="L10470" s="1" t="s">
        <v>953</v>
      </c>
    </row>
    <row r="10471" customFormat="false" ht="15" hidden="false" customHeight="false" outlineLevel="0" collapsed="false">
      <c r="A10471" s="1" t="s">
        <v>954</v>
      </c>
      <c r="B10471" s="0" t="s">
        <v>98</v>
      </c>
      <c r="E10471" s="6" t="n">
        <f aca="false">Sens!E10468-Sens!E10470</f>
        <v>37.441</v>
      </c>
      <c r="F10471" s="6" t="n">
        <f aca="false">Sens!F10468-Sens!F10470</f>
        <v>-23.5275241890191</v>
      </c>
      <c r="G10471" s="6" t="n">
        <f aca="false">Sens!G10468-Sens!G10470</f>
        <v>12.5307037460625</v>
      </c>
      <c r="H10471" s="6" t="n">
        <f aca="false">Sens!H10468-Sens!H10470</f>
        <v>61.0127663536539</v>
      </c>
      <c r="I10471" s="6" t="n">
        <f aca="false">Sens!I10468-Sens!I10470</f>
        <v>128.528242485516</v>
      </c>
      <c r="J10471" s="6" t="n">
        <f aca="false">Sens!J10468-Sens!J10470</f>
        <v>200.90604810804</v>
      </c>
      <c r="K10471" s="6" t="n">
        <f aca="false">Sens!K10468-Sens!K10470</f>
        <v>235.283529844941</v>
      </c>
    </row>
    <row r="10472" customFormat="false" ht="15" hidden="false" customHeight="false" outlineLevel="0" collapsed="false">
      <c r="A10472" s="1" t="s">
        <v>955</v>
      </c>
      <c r="B10472" s="0" t="s">
        <v>98</v>
      </c>
      <c r="F10472" s="6" t="n">
        <f aca="false">debt_mat_27</f>
        <v>9.25</v>
      </c>
      <c r="G10472" s="6" t="n">
        <f aca="false">debt_mat_28</f>
        <v>0</v>
      </c>
      <c r="H10472" s="6" t="n">
        <f aca="false">debt_mat_29</f>
        <v>2.001</v>
      </c>
      <c r="I10472" s="6" t="n">
        <f aca="false">debt_mat_30</f>
        <v>0</v>
      </c>
      <c r="J10472" s="6" t="n">
        <f aca="false">debt_mat_31</f>
        <v>0.5</v>
      </c>
      <c r="K10472" s="6" t="n">
        <f aca="false">debt_mat_32</f>
        <v>0</v>
      </c>
    </row>
    <row r="10473" customFormat="false" ht="15" hidden="false" customHeight="false" outlineLevel="0" collapsed="false">
      <c r="A10473" s="1" t="s">
        <v>956</v>
      </c>
      <c r="B10473" s="0" t="s">
        <v>98</v>
      </c>
      <c r="E10473" s="6" t="n">
        <f aca="false">Q!M40</f>
        <v>22.271</v>
      </c>
      <c r="F10473" s="6" t="n">
        <f aca="false">MAX(0,MIN(bb_target,Sens!E10475+Sens!F10471-Sens!F10472-min_cash))</f>
        <v>0</v>
      </c>
      <c r="G10473" s="6" t="n">
        <f aca="false">MAX(0,MIN(bb_target,Sens!F10475+Sens!G10471-Sens!G10472-min_cash))</f>
        <v>12.5307037460625</v>
      </c>
      <c r="H10473" s="6" t="n">
        <f aca="false">MAX(0,MIN(bb_target,Sens!G10475+Sens!H10471-Sens!H10472-min_cash))</f>
        <v>22.271</v>
      </c>
      <c r="I10473" s="6" t="n">
        <f aca="false">MAX(0,MIN(bb_target,Sens!H10475+Sens!I10471-Sens!I10472-min_cash))</f>
        <v>22.271</v>
      </c>
      <c r="J10473" s="6" t="n">
        <f aca="false">MAX(0,MIN(bb_target,Sens!I10475+Sens!J10471-Sens!J10472-min_cash))</f>
        <v>22.271</v>
      </c>
      <c r="K10473" s="6" t="n">
        <f aca="false">MAX(0,MIN(bb_target,Sens!J10475+Sens!K10471-Sens!K10472-min_cash))</f>
        <v>22.271</v>
      </c>
    </row>
    <row r="10474" customFormat="false" ht="15" hidden="false" customHeight="false" outlineLevel="0" collapsed="false">
      <c r="A10474" s="1" t="s">
        <v>957</v>
      </c>
      <c r="B10474" s="0" t="s">
        <v>98</v>
      </c>
      <c r="F10474" s="6" t="n">
        <f aca="false">MAX(0,min_cash-(Sens!E10475+Sens!F10471-Sens!F10472-Sens!F10473))</f>
        <v>5.93452418901912</v>
      </c>
      <c r="G10474" s="6" t="n">
        <f aca="false">MAX(0,min_cash-(Sens!F10475+Sens!G10471-Sens!G10472-Sens!G10473))</f>
        <v>0</v>
      </c>
      <c r="H10474" s="6" t="n">
        <f aca="false">MAX(0,min_cash-(Sens!G10475+Sens!H10471-Sens!H10472-Sens!H10473))</f>
        <v>0</v>
      </c>
      <c r="I10474" s="6" t="n">
        <f aca="false">MAX(0,min_cash-(Sens!H10475+Sens!I10471-Sens!I10472-Sens!I10473))</f>
        <v>0</v>
      </c>
      <c r="J10474" s="6" t="n">
        <f aca="false">MAX(0,min_cash-(Sens!I10475+Sens!J10471-Sens!J10472-Sens!J10473))</f>
        <v>0</v>
      </c>
      <c r="K10474" s="6" t="n">
        <f aca="false">MAX(0,min_cash-(Sens!J10475+Sens!K10471-Sens!K10472-Sens!K10473))</f>
        <v>0</v>
      </c>
    </row>
    <row r="10475" customFormat="false" ht="15" hidden="false" customHeight="false" outlineLevel="0" collapsed="false">
      <c r="A10475" s="1" t="s">
        <v>958</v>
      </c>
      <c r="B10475" s="0" t="s">
        <v>98</v>
      </c>
      <c r="E10475" s="6" t="n">
        <f aca="false">cash_open</f>
        <v>76.843</v>
      </c>
      <c r="F10475" s="6" t="n">
        <f aca="false">Sens!E10475+Sens!F10471-Sens!F10472-Sens!F10473+Sens!F10474</f>
        <v>50</v>
      </c>
      <c r="G10475" s="6" t="n">
        <f aca="false">Sens!F10475+Sens!G10471-Sens!G10472-Sens!G10473+Sens!G10474</f>
        <v>50</v>
      </c>
      <c r="H10475" s="6" t="n">
        <f aca="false">Sens!G10475+Sens!H10471-Sens!H10472-Sens!H10473+Sens!H10474</f>
        <v>86.7407663536539</v>
      </c>
      <c r="I10475" s="6" t="n">
        <f aca="false">Sens!H10475+Sens!I10471-Sens!I10472-Sens!I10473+Sens!I10474</f>
        <v>192.99800883917</v>
      </c>
      <c r="J10475" s="6" t="n">
        <f aca="false">Sens!I10475+Sens!J10471-Sens!J10472-Sens!J10473+Sens!J10474</f>
        <v>371.13305694721</v>
      </c>
      <c r="K10475" s="6" t="n">
        <f aca="false">Sens!J10475+Sens!K10471-Sens!K10472-Sens!K10473+Sens!K10474</f>
        <v>584.145586792151</v>
      </c>
    </row>
    <row r="10476" customFormat="false" ht="15" hidden="false" customHeight="false" outlineLevel="0" collapsed="false">
      <c r="A10476" s="1" t="s">
        <v>959</v>
      </c>
      <c r="B10476" s="0" t="s">
        <v>98</v>
      </c>
      <c r="E10476" s="6" t="n">
        <f aca="false">debt_face</f>
        <v>46.136</v>
      </c>
      <c r="F10476" s="6" t="n">
        <f aca="false">Sens!E10476-Sens!F10472+Sens!F10474</f>
        <v>42.8205241890191</v>
      </c>
      <c r="G10476" s="6" t="n">
        <f aca="false">Sens!F10476-Sens!G10472+Sens!G10474</f>
        <v>42.8205241890191</v>
      </c>
      <c r="H10476" s="6" t="n">
        <f aca="false">Sens!G10476-Sens!H10472+Sens!H10474</f>
        <v>40.8195241890191</v>
      </c>
      <c r="I10476" s="6" t="n">
        <f aca="false">Sens!H10476-Sens!I10472+Sens!I10474</f>
        <v>40.8195241890191</v>
      </c>
      <c r="J10476" s="6" t="n">
        <f aca="false">Sens!I10476-Sens!J10472+Sens!J10474</f>
        <v>40.3195241890191</v>
      </c>
      <c r="K10476" s="6" t="n">
        <f aca="false">Sens!J10476-Sens!K10472+Sens!K10474</f>
        <v>40.3195241890191</v>
      </c>
    </row>
    <row r="10477" customFormat="false" ht="15" hidden="false" customHeight="false" outlineLevel="0" collapsed="false">
      <c r="A10477" s="1" t="s">
        <v>960</v>
      </c>
      <c r="B10477" s="0" t="s">
        <v>98</v>
      </c>
      <c r="E10477" s="6" t="n">
        <f aca="false">Sens!E10475-Sens!E10476</f>
        <v>30.707</v>
      </c>
      <c r="F10477" s="6" t="n">
        <f aca="false">Sens!F10475-Sens!F10476</f>
        <v>7.17947581098088</v>
      </c>
      <c r="G10477" s="6" t="n">
        <f aca="false">Sens!G10475-Sens!G10476</f>
        <v>7.17947581098088</v>
      </c>
      <c r="H10477" s="6" t="n">
        <f aca="false">Sens!H10475-Sens!H10476</f>
        <v>45.9212421646348</v>
      </c>
      <c r="I10477" s="6" t="n">
        <f aca="false">Sens!I10475-Sens!I10476</f>
        <v>152.178484650151</v>
      </c>
      <c r="J10477" s="6" t="n">
        <f aca="false">Sens!J10475-Sens!J10476</f>
        <v>330.813532758191</v>
      </c>
      <c r="K10477" s="6" t="n">
        <f aca="false">Sens!K10475-Sens!K10476</f>
        <v>543.826062603132</v>
      </c>
    </row>
    <row r="10478" customFormat="false" ht="15" hidden="false" customHeight="false" outlineLevel="0" collapsed="false">
      <c r="A10478" s="1" t="s">
        <v>961</v>
      </c>
      <c r="B10478" s="0" t="s">
        <v>75</v>
      </c>
      <c r="F10478" s="29" t="n">
        <f aca="false">px*(1+bb_g)^(Sens!F10342-base_fy-mid_yr)</f>
        <v>553.494156066711</v>
      </c>
      <c r="G10478" s="29" t="n">
        <f aca="false">px*(1+bb_g)^(Sens!G10342-base_fy-mid_yr)</f>
        <v>597.773688552047</v>
      </c>
      <c r="H10478" s="29" t="n">
        <f aca="false">px*(1+bb_g)^(Sens!H10342-base_fy-mid_yr)</f>
        <v>645.595583636211</v>
      </c>
      <c r="I10478" s="29" t="n">
        <f aca="false">px*(1+bb_g)^(Sens!I10342-base_fy-mid_yr)</f>
        <v>697.243230327108</v>
      </c>
      <c r="J10478" s="29" t="n">
        <f aca="false">px*(1+bb_g)^(Sens!J10342-base_fy-mid_yr)</f>
        <v>753.022688753277</v>
      </c>
      <c r="K10478" s="29" t="n">
        <f aca="false">px*(1+bb_g)^(Sens!K10342-base_fy-mid_yr)</f>
        <v>813.264503853539</v>
      </c>
    </row>
    <row r="10479" customFormat="false" ht="15" hidden="false" customHeight="false" outlineLevel="0" collapsed="false">
      <c r="A10479" s="1" t="s">
        <v>962</v>
      </c>
      <c r="B10479" s="1" t="s">
        <v>81</v>
      </c>
      <c r="E10479" s="14" t="n">
        <f aca="false">sh_out26</f>
        <v>7.427</v>
      </c>
      <c r="F10479" s="14" t="n">
        <f aca="false">Sens!E10479+sh_iss-Sens!F10473/Sens!F10478</f>
        <v>7.472</v>
      </c>
      <c r="G10479" s="14" t="n">
        <f aca="false">Sens!F10479+sh_iss-Sens!G10473/Sens!G10478</f>
        <v>7.49603771278991</v>
      </c>
      <c r="H10479" s="14" t="n">
        <f aca="false">Sens!G10479+sh_iss-Sens!H10473/Sens!H10478</f>
        <v>7.50654088448981</v>
      </c>
      <c r="I10479" s="14" t="n">
        <f aca="false">Sens!H10479+sh_iss-Sens!I10473/Sens!I10478</f>
        <v>7.51959937680454</v>
      </c>
      <c r="J10479" s="14" t="n">
        <f aca="false">Sens!I10479+sh_iss-Sens!J10473/Sens!J10478</f>
        <v>7.53502390672558</v>
      </c>
      <c r="K10479" s="14" t="n">
        <f aca="false">Sens!J10479+sh_iss-Sens!K10473/Sens!K10478</f>
        <v>7.55263921220802</v>
      </c>
    </row>
    <row r="10480" customFormat="false" ht="15" hidden="false" customHeight="false" outlineLevel="0" collapsed="false">
      <c r="A10480" s="1" t="s">
        <v>963</v>
      </c>
      <c r="B10480" s="1" t="s">
        <v>81</v>
      </c>
      <c r="E10480" s="14" t="n">
        <f aca="false">sh_dil26</f>
        <v>7.453</v>
      </c>
      <c r="F10480" s="14" t="n">
        <f aca="false">(Sens!E10479+Sens!F10479)/2+dil_gap</f>
        <v>7.4735</v>
      </c>
      <c r="G10480" s="14" t="n">
        <f aca="false">(Sens!F10479+Sens!G10479)/2+dil_gap</f>
        <v>7.50801885639496</v>
      </c>
      <c r="H10480" s="14" t="n">
        <f aca="false">(Sens!G10479+Sens!H10479)/2+dil_gap</f>
        <v>7.52528929863986</v>
      </c>
      <c r="I10480" s="14" t="n">
        <f aca="false">(Sens!H10479+Sens!I10479)/2+dil_gap</f>
        <v>7.53707013064717</v>
      </c>
      <c r="J10480" s="14" t="n">
        <f aca="false">(Sens!I10479+Sens!J10479)/2+dil_gap</f>
        <v>7.55131164176506</v>
      </c>
      <c r="K10480" s="14" t="n">
        <f aca="false">(Sens!J10479+Sens!K10479)/2+dil_gap</f>
        <v>7.5678315594668</v>
      </c>
    </row>
    <row r="10481" customFormat="false" ht="17.15" hidden="false" customHeight="false" outlineLevel="0" collapsed="false">
      <c r="A10481" s="1" t="s">
        <v>964</v>
      </c>
      <c r="B10481" s="0" t="s">
        <v>98</v>
      </c>
      <c r="C10481" s="6" t="n">
        <f aca="false">SUM(Sens!F10471:J10471)</f>
        <v>379.450236504254</v>
      </c>
    </row>
    <row r="10482" customFormat="false" ht="15" hidden="false" customHeight="false" outlineLevel="0" collapsed="false">
      <c r="A10482" s="23" t="s">
        <v>935</v>
      </c>
      <c r="B10482" s="30" t="s">
        <v>98</v>
      </c>
      <c r="C10482" s="24" t="n">
        <f aca="false">Sens!$C$10481-(Sens!F10471+Sens!G10471+Sens!H10471+Sens!I10471+Sens!J10471)</f>
        <v>0</v>
      </c>
      <c r="D10482" s="30"/>
      <c r="E10482" s="30"/>
      <c r="F10482" s="30"/>
      <c r="G10482" s="30"/>
      <c r="H10482" s="30"/>
      <c r="I10482" s="30"/>
      <c r="J10482" s="30"/>
      <c r="K10482" s="30"/>
    </row>
    <row r="10483" customFormat="false" ht="17.15" hidden="false" customHeight="false" outlineLevel="0" collapsed="false">
      <c r="A10483" s="1" t="s">
        <v>929</v>
      </c>
      <c r="B10483" s="1" t="s">
        <v>965</v>
      </c>
      <c r="C10483" s="32" t="str">
        <f aca="false">IF(SUM(Sens!F10474:J10474)&gt;0.05,"需要舉債 "&amp;TEXT(SUM(Sens!F10474:J10474),"0.0")&amp;" 十億美元","不需舉債")&amp;"；"&amp;IF(SUM(Sens!F10473:J10473)&lt;COUNT(Sens!F10473:J10473)*bb_target-0.05,"回購較每年 "&amp;TEXT(bb_target,"0.0")&amp;" 的目標少 "&amp;TEXT(COUNT(Sens!F10473:J10473)*bb_target-SUM(Sens!F10473:J10473),"0.0")&amp;" 十億美元（"&amp;TEXT(COUNTIF(Sens!F10473:J10473,"&lt;"&amp;(bb_target-0.05)),"0")&amp;" 年減少）","回購不減")</f>
        <v>需要舉債 5.9 十億美元；回購較每年 22.3 的目標少 32.0 十億美元（2 年減少）</v>
      </c>
    </row>
    <row r="10484" customFormat="false" ht="17.15" hidden="false" customHeight="false" outlineLevel="0" collapsed="false">
      <c r="A10484" s="3" t="s">
        <v>1508</v>
      </c>
    </row>
    <row r="10485" customFormat="false" ht="15" hidden="false" customHeight="false" outlineLevel="0" collapsed="false">
      <c r="A10485" s="4" t="s">
        <v>43</v>
      </c>
      <c r="B10485" s="4" t="s">
        <v>65</v>
      </c>
      <c r="C10485" s="20" t="s">
        <v>788</v>
      </c>
      <c r="D10485" s="20" t="s">
        <v>789</v>
      </c>
      <c r="E10485" s="20" t="s">
        <v>790</v>
      </c>
      <c r="F10485" s="20" t="s">
        <v>791</v>
      </c>
      <c r="G10485" s="20" t="s">
        <v>792</v>
      </c>
      <c r="H10485" s="20" t="s">
        <v>793</v>
      </c>
      <c r="I10485" s="20" t="s">
        <v>794</v>
      </c>
      <c r="J10485" s="20" t="s">
        <v>795</v>
      </c>
      <c r="K10485" s="20" t="s">
        <v>796</v>
      </c>
      <c r="L10485" s="4" t="s">
        <v>47</v>
      </c>
    </row>
    <row r="10486" customFormat="false" ht="15" hidden="false" customHeight="false" outlineLevel="0" collapsed="false">
      <c r="A10486" s="1" t="s">
        <v>1042</v>
      </c>
      <c r="B10486" s="1" t="s">
        <v>235</v>
      </c>
      <c r="F10486" s="36" t="n">
        <f aca="false">Sens!F10342-base_fy-mid_yr</f>
        <v>0.5</v>
      </c>
      <c r="G10486" s="36" t="n">
        <f aca="false">Sens!G10342-base_fy-mid_yr</f>
        <v>1.5</v>
      </c>
      <c r="H10486" s="36" t="n">
        <f aca="false">Sens!H10342-base_fy-mid_yr</f>
        <v>2.5</v>
      </c>
      <c r="I10486" s="36" t="n">
        <f aca="false">Sens!I10342-base_fy-mid_yr</f>
        <v>3.5</v>
      </c>
      <c r="J10486" s="36" t="n">
        <f aca="false">Sens!J10342-base_fy-mid_yr</f>
        <v>4.5</v>
      </c>
      <c r="K10486" s="36" t="n">
        <f aca="false">Sens!K10342-base_fy-mid_yr</f>
        <v>5.5</v>
      </c>
    </row>
    <row r="10487" customFormat="false" ht="15" hidden="false" customHeight="false" outlineLevel="0" collapsed="false">
      <c r="A10487" s="1" t="s">
        <v>1043</v>
      </c>
      <c r="B10487" s="0" t="s">
        <v>185</v>
      </c>
      <c r="F10487" s="14" t="n">
        <f aca="false">1/(1+wacc)^Sens!F10486</f>
        <v>0.952193373608246</v>
      </c>
      <c r="G10487" s="14" t="n">
        <f aca="false">1/(1+wacc)^Sens!G10486</f>
        <v>0.863327280626589</v>
      </c>
      <c r="H10487" s="14" t="n">
        <f aca="false">1/(1+wacc)^Sens!H10486</f>
        <v>0.782754862754115</v>
      </c>
      <c r="I10487" s="14" t="n">
        <f aca="false">1/(1+wacc)^Sens!I10486</f>
        <v>0.709702089711011</v>
      </c>
      <c r="J10487" s="14" t="n">
        <f aca="false">1/(1+wacc)^Sens!J10486</f>
        <v>0.643467169744551</v>
      </c>
      <c r="K10487" s="14" t="n">
        <f aca="false">1/(1+wacc)^Sens!K10486</f>
        <v>0.583413807767797</v>
      </c>
    </row>
    <row r="10488" customFormat="false" ht="17.15" hidden="false" customHeight="false" outlineLevel="0" collapsed="false">
      <c r="A10488" s="1" t="s">
        <v>1044</v>
      </c>
      <c r="B10488" s="0" t="s">
        <v>98</v>
      </c>
      <c r="F10488" s="6" t="n">
        <f aca="false">Sens!F10462-Sens!F10460-Sens!F10465+Sens!F10446*(1-tax_f)</f>
        <v>9.32604980461666</v>
      </c>
      <c r="G10488" s="6" t="n">
        <f aca="false">Sens!G10462-Sens!G10460-Sens!G10465+Sens!G10446*(1-tax_f)</f>
        <v>55.7459374066184</v>
      </c>
      <c r="H10488" s="6" t="n">
        <f aca="false">Sens!H10462-Sens!H10460-Sens!H10465+Sens!H10446*(1-tax_f)</f>
        <v>114.758712822916</v>
      </c>
      <c r="I10488" s="6" t="n">
        <f aca="false">Sens!I10462-Sens!I10460-Sens!I10465+Sens!I10446*(1-tax_f)</f>
        <v>193.172049418176</v>
      </c>
      <c r="J10488" s="6" t="n">
        <f aca="false">Sens!J10462-Sens!J10460-Sens!J10465+Sens!J10446*(1-tax_f)</f>
        <v>274.062186416346</v>
      </c>
      <c r="K10488" s="6" t="n">
        <f aca="false">Sens!K10462-Sens!K10460-Sens!K10465+Sens!K10446*(1-tax_f)</f>
        <v>313.951556080727</v>
      </c>
      <c r="L10488" s="1" t="s">
        <v>1045</v>
      </c>
    </row>
    <row r="10489" customFormat="false" ht="15" hidden="false" customHeight="false" outlineLevel="0" collapsed="false">
      <c r="A10489" s="1" t="s">
        <v>1046</v>
      </c>
      <c r="B10489" s="0" t="s">
        <v>98</v>
      </c>
      <c r="F10489" s="6" t="n">
        <f aca="false">Sens!F10488*Sens!F10487</f>
        <v>8.88020282589646</v>
      </c>
      <c r="G10489" s="6" t="n">
        <f aca="false">Sens!G10488*Sens!G10487</f>
        <v>48.1269885472359</v>
      </c>
      <c r="H10489" s="6" t="n">
        <f aca="false">Sens!H10488*Sens!H10487</f>
        <v>89.8279405055404</v>
      </c>
      <c r="I10489" s="6" t="n">
        <f aca="false">Sens!I10488*Sens!I10487</f>
        <v>137.094607145838</v>
      </c>
      <c r="J10489" s="6" t="n">
        <f aca="false">Sens!J10488*Sens!J10487</f>
        <v>176.35001942733</v>
      </c>
      <c r="K10489" s="6" t="n">
        <f aca="false">Sens!K10488*Sens!K10487</f>
        <v>183.163672787682</v>
      </c>
    </row>
    <row r="10490" customFormat="false" ht="17.15" hidden="false" customHeight="false" outlineLevel="0" collapsed="false">
      <c r="A10490" s="1" t="s">
        <v>1047</v>
      </c>
      <c r="B10490" s="0" t="s">
        <v>98</v>
      </c>
      <c r="C10490" s="6" t="n">
        <f aca="false">SUM(Sens!F10489:K10489)</f>
        <v>643.443431239523</v>
      </c>
    </row>
    <row r="10491" customFormat="false" ht="17.15" hidden="false" customHeight="false" outlineLevel="0" collapsed="false">
      <c r="A10491" s="1" t="s">
        <v>1048</v>
      </c>
      <c r="B10491" s="0" t="s">
        <v>98</v>
      </c>
      <c r="C10491" s="6" t="n">
        <f aca="false">Sens!K10432*(1+g_tv)*(1-tax_f)</f>
        <v>325.86347466735</v>
      </c>
    </row>
    <row r="10492" customFormat="false" ht="17.15" hidden="false" customHeight="false" outlineLevel="0" collapsed="false">
      <c r="A10492" s="1" t="s">
        <v>1049</v>
      </c>
      <c r="B10492" s="0" t="s">
        <v>98</v>
      </c>
      <c r="C10492" s="6" t="n">
        <f aca="false">Sens!$C$10491*(1-g_tv/(wacc+ronic_prem))</f>
        <v>230.891314420079</v>
      </c>
    </row>
    <row r="10493" customFormat="false" ht="17.15" hidden="false" customHeight="false" outlineLevel="0" collapsed="false">
      <c r="A10493" s="1" t="s">
        <v>1050</v>
      </c>
      <c r="B10493" s="0" t="s">
        <v>98</v>
      </c>
      <c r="C10493" s="6" t="n">
        <f aca="false">Sens!$C$10492/(wacc-g_tv)</f>
        <v>3165.73867490903</v>
      </c>
    </row>
    <row r="10494" customFormat="false" ht="15" hidden="false" customHeight="false" outlineLevel="0" collapsed="false">
      <c r="A10494" s="1" t="s">
        <v>1051</v>
      </c>
      <c r="B10494" s="0" t="s">
        <v>98</v>
      </c>
      <c r="C10494" s="6" t="n">
        <f aca="false">Sens!$C$10493/(1+wacc)^(Sens!K10486+mid_yr)</f>
        <v>1758.63989191134</v>
      </c>
    </row>
    <row r="10495" customFormat="false" ht="17.15" hidden="false" customHeight="false" outlineLevel="0" collapsed="false">
      <c r="A10495" s="0" t="s">
        <v>972</v>
      </c>
      <c r="B10495" s="0" t="s">
        <v>98</v>
      </c>
      <c r="C10495" s="6" t="n">
        <f aca="false">Sens!$C$10490+Sens!$C$10494</f>
        <v>2402.08332315086</v>
      </c>
    </row>
    <row r="10496" customFormat="false" ht="15" hidden="false" customHeight="false" outlineLevel="0" collapsed="false">
      <c r="A10496" s="1" t="s">
        <v>973</v>
      </c>
      <c r="B10496" s="0" t="s">
        <v>129</v>
      </c>
      <c r="C10496" s="7" t="n">
        <f aca="false">Sens!$C$10494/Sens!$C$10495</f>
        <v>0.732131094272157</v>
      </c>
    </row>
    <row r="10497" customFormat="false" ht="17.15" hidden="false" customHeight="false" outlineLevel="0" collapsed="false">
      <c r="A10497" s="1" t="s">
        <v>1052</v>
      </c>
      <c r="B10497" s="0" t="s">
        <v>98</v>
      </c>
      <c r="C10497" s="6" t="n">
        <f aca="false">Sens!$C$10495+Sens!E10477-Sens!E10466+oai_v</f>
        <v>2536.59632315086</v>
      </c>
    </row>
    <row r="10498" customFormat="false" ht="17.15" hidden="false" customHeight="false" outlineLevel="0" collapsed="false">
      <c r="A10498" s="0" t="s">
        <v>980</v>
      </c>
      <c r="B10498" s="0" t="s">
        <v>75</v>
      </c>
      <c r="C10498" s="5" t="n">
        <f aca="false">Sens!$C$10497/sh_dil26</f>
        <v>340.34567598965</v>
      </c>
    </row>
    <row r="10499" customFormat="false" ht="15" hidden="false" customHeight="false" outlineLevel="0" collapsed="false">
      <c r="A10499" s="1" t="s">
        <v>1053</v>
      </c>
      <c r="B10499" s="0" t="s">
        <v>75</v>
      </c>
      <c r="C10499" s="8" t="n">
        <f aca="false">dps_27+Sens!G10469*roll_div_q/q_per_yr</f>
        <v>4.8895</v>
      </c>
    </row>
    <row r="10500" customFormat="false" ht="17.15" hidden="false" customHeight="false" outlineLevel="0" collapsed="false">
      <c r="A10500" s="0" t="s">
        <v>1054</v>
      </c>
      <c r="B10500" s="0" t="s">
        <v>75</v>
      </c>
      <c r="C10500" s="5" t="n">
        <f aca="false">Sens!$C$10498*(1+wacc)^t_roll-Sens!$C$10499</f>
        <v>382.673485230124</v>
      </c>
    </row>
    <row r="10501" customFormat="false" ht="17.15" hidden="false" customHeight="false" outlineLevel="0" collapsed="false">
      <c r="A10501" s="1" t="s">
        <v>1055</v>
      </c>
      <c r="B10501" s="0" t="s">
        <v>129</v>
      </c>
      <c r="F10501" s="7" t="n">
        <f aca="false">Sens!F10458/(Sens!F10403-Sens!F10359)</f>
        <v>0.0681568336445454</v>
      </c>
      <c r="G10501" s="7" t="n">
        <f aca="false">Sens!G10458/(Sens!G10403-Sens!G10359)</f>
        <v>0.0649898381122724</v>
      </c>
      <c r="H10501" s="7" t="n">
        <f aca="false">Sens!H10458/(Sens!H10403-Sens!H10359)</f>
        <v>0.0633014174284187</v>
      </c>
      <c r="I10501" s="7" t="n">
        <f aca="false">Sens!I10458/(Sens!I10403-Sens!I10359)</f>
        <v>0.0629804753822413</v>
      </c>
      <c r="J10501" s="7" t="n">
        <f aca="false">Sens!J10458/(Sens!J10403-Sens!J10359)</f>
        <v>0.0636734823418539</v>
      </c>
      <c r="K10501" s="7" t="n">
        <f aca="false">Sens!K10458/(Sens!K10403-Sens!K10359)</f>
        <v>0.064927364014184</v>
      </c>
    </row>
    <row r="10502" customFormat="false" ht="17.15" hidden="false" customHeight="false" outlineLevel="0" collapsed="false">
      <c r="A10502" s="0" t="s">
        <v>1056</v>
      </c>
      <c r="B10502" s="0" t="s">
        <v>98</v>
      </c>
      <c r="F10502" s="6" t="n">
        <f aca="false">Sens!F10388*(al_m365+Sens!F10501+sbc_r)</f>
        <v>84.9415754107402</v>
      </c>
      <c r="G10502" s="6" t="n">
        <f aca="false">Sens!G10388*(al_m365+Sens!G10501+sbc_r)</f>
        <v>99.4167207311735</v>
      </c>
      <c r="H10502" s="6" t="n">
        <f aca="false">Sens!H10388*(al_m365+Sens!H10501+sbc_r)</f>
        <v>114.055491865791</v>
      </c>
      <c r="I10502" s="6" t="n">
        <f aca="false">Sens!I10388*(al_m365+Sens!I10501+sbc_r)</f>
        <v>127.174745822861</v>
      </c>
      <c r="J10502" s="6" t="n">
        <f aca="false">Sens!J10388*(al_m365+Sens!J10501+sbc_r)</f>
        <v>138.586658420387</v>
      </c>
      <c r="K10502" s="6" t="n">
        <f aca="false">Sens!K10388*(al_m365+Sens!K10501+sbc_r)</f>
        <v>149.611678427879</v>
      </c>
      <c r="L10502" s="11" t="s">
        <v>1057</v>
      </c>
    </row>
    <row r="10503" customFormat="false" ht="17.15" hidden="false" customHeight="false" outlineLevel="0" collapsed="false">
      <c r="A10503" s="0" t="s">
        <v>1058</v>
      </c>
      <c r="B10503" s="0" t="s">
        <v>98</v>
      </c>
      <c r="F10503" s="6" t="n">
        <f aca="false">Sens!F10389*(al_lic+Sens!F10501+sbc_r)</f>
        <v>33.4277075899393</v>
      </c>
      <c r="G10503" s="6" t="n">
        <f aca="false">Sens!G10389*(al_lic+Sens!G10501+sbc_r)</f>
        <v>34.7141991961077</v>
      </c>
      <c r="H10503" s="6" t="n">
        <f aca="false">Sens!H10389*(al_lic+Sens!H10501+sbc_r)</f>
        <v>35.9189400089631</v>
      </c>
      <c r="I10503" s="6" t="n">
        <f aca="false">Sens!I10389*(al_lic+Sens!I10501+sbc_r)</f>
        <v>37.0246366119364</v>
      </c>
      <c r="J10503" s="6" t="n">
        <f aca="false">Sens!J10389*(al_lic+Sens!J10501+sbc_r)</f>
        <v>38.002897024185</v>
      </c>
      <c r="K10503" s="6" t="n">
        <f aca="false">Sens!K10389*(al_lic+Sens!K10501+sbc_r)</f>
        <v>38.8200653720742</v>
      </c>
    </row>
    <row r="10504" customFormat="false" ht="17.15" hidden="false" customHeight="false" outlineLevel="0" collapsed="false">
      <c r="A10504" s="0" t="s">
        <v>1059</v>
      </c>
      <c r="B10504" s="0" t="s">
        <v>98</v>
      </c>
      <c r="F10504" s="6" t="n">
        <f aca="false">Sens!F10391*(al_ind+Sens!F10501+sbc_r)</f>
        <v>9.06673415917592</v>
      </c>
      <c r="G10504" s="6" t="n">
        <f aca="false">Sens!G10391*(al_ind+Sens!G10501+sbc_r)</f>
        <v>9.83366515764171</v>
      </c>
      <c r="H10504" s="6" t="n">
        <f aca="false">Sens!H10391*(al_ind+Sens!H10501+sbc_r)</f>
        <v>10.6476986606463</v>
      </c>
      <c r="I10504" s="6" t="n">
        <f aca="false">Sens!I10391*(al_ind+Sens!I10501+sbc_r)</f>
        <v>11.5069215964607</v>
      </c>
      <c r="J10504" s="6" t="n">
        <f aca="false">Sens!J10391*(al_ind+Sens!J10501+sbc_r)</f>
        <v>12.4003546658214</v>
      </c>
      <c r="K10504" s="6" t="n">
        <f aca="false">Sens!K10391*(al_ind+Sens!K10501+sbc_r)</f>
        <v>13.3098624150794</v>
      </c>
    </row>
    <row r="10505" customFormat="false" ht="17.15" hidden="false" customHeight="false" outlineLevel="0" collapsed="false">
      <c r="A10505" s="0" t="s">
        <v>1060</v>
      </c>
      <c r="B10505" s="0" t="s">
        <v>98</v>
      </c>
      <c r="F10505" s="6" t="n">
        <f aca="false">Sens!F10393*(al_fro+Sens!F10501+sbc_r)</f>
        <v>3.56869839655038</v>
      </c>
      <c r="G10505" s="6" t="n">
        <f aca="false">Sens!G10393*(al_fro+Sens!G10501+sbc_r)</f>
        <v>3.77554603779448</v>
      </c>
      <c r="H10505" s="6" t="n">
        <f aca="false">Sens!H10393*(al_fro+Sens!H10501+sbc_r)</f>
        <v>4.01241730001056</v>
      </c>
      <c r="I10505" s="6" t="n">
        <f aca="false">Sens!I10393*(al_fro+Sens!I10501+sbc_r)</f>
        <v>4.28240789218889</v>
      </c>
      <c r="J10505" s="6" t="n">
        <f aca="false">Sens!J10393*(al_fro+Sens!J10501+sbc_r)</f>
        <v>4.58612770016633</v>
      </c>
      <c r="K10505" s="6" t="n">
        <f aca="false">Sens!K10393*(al_fro+Sens!K10501+sbc_r)</f>
        <v>4.92249861815989</v>
      </c>
    </row>
    <row r="10506" customFormat="false" ht="17.15" hidden="false" customHeight="false" outlineLevel="0" collapsed="false">
      <c r="A10506" s="0" t="s">
        <v>1061</v>
      </c>
      <c r="B10506" s="0" t="s">
        <v>98</v>
      </c>
      <c r="F10506" s="6" t="n">
        <f aca="false">Sens!F10396*(al_srch+Sens!F10501+sbc_r)</f>
        <v>11.1975476832285</v>
      </c>
      <c r="G10506" s="6" t="n">
        <f aca="false">Sens!G10396*(al_srch+Sens!G10501+sbc_r)</f>
        <v>12.2593086875739</v>
      </c>
      <c r="H10506" s="6" t="n">
        <f aca="false">Sens!H10396*(al_srch+Sens!H10501+sbc_r)</f>
        <v>13.3685720307371</v>
      </c>
      <c r="I10506" s="6" t="n">
        <f aca="false">Sens!I10396*(al_srch+Sens!I10501+sbc_r)</f>
        <v>14.5162444374722</v>
      </c>
      <c r="J10506" s="6" t="n">
        <f aca="false">Sens!J10396*(al_srch+Sens!J10501+sbc_r)</f>
        <v>15.6808257670546</v>
      </c>
      <c r="K10506" s="6" t="n">
        <f aca="false">Sens!K10396*(al_srch+Sens!K10501+sbc_r)</f>
        <v>16.8309406576561</v>
      </c>
    </row>
    <row r="10507" customFormat="false" ht="17.15" hidden="false" customHeight="false" outlineLevel="0" collapsed="false">
      <c r="A10507" s="0" t="s">
        <v>1062</v>
      </c>
      <c r="B10507" s="0" t="s">
        <v>98</v>
      </c>
      <c r="F10507" s="6" t="n">
        <f aca="false">Sens!F10365-Sens!F10366+Sens!F10446</f>
        <v>55.6743052939671</v>
      </c>
      <c r="G10507" s="6" t="n">
        <f aca="false">Sens!G10365-Sens!G10366+Sens!G10446</f>
        <v>100.2533125707</v>
      </c>
      <c r="H10507" s="6" t="n">
        <f aca="false">Sens!H10365-Sens!H10366+Sens!H10446</f>
        <v>152.31255014234</v>
      </c>
      <c r="I10507" s="6" t="n">
        <f aca="false">Sens!I10365-Sens!I10366+Sens!I10446</f>
        <v>194.041990076394</v>
      </c>
      <c r="J10507" s="6" t="n">
        <f aca="false">Sens!J10365-Sens!J10366+Sens!J10446</f>
        <v>223.463148273617</v>
      </c>
      <c r="K10507" s="6" t="n">
        <f aca="false">Sens!K10365-Sens!K10366+Sens!K10446</f>
        <v>241.312249272487</v>
      </c>
    </row>
    <row r="10508" customFormat="false" ht="17.15" hidden="false" customHeight="false" outlineLevel="0" collapsed="false">
      <c r="A10508" s="0" t="s">
        <v>1063</v>
      </c>
      <c r="B10508" s="0" t="s">
        <v>98</v>
      </c>
      <c r="F10508" s="6" t="n">
        <f aca="false">Sens!F10425+Sens!F10446+Sens!F10376+Sens!F10501*(Sens!F10395-Sens!F10359)+sbc_r*Sens!F10395</f>
        <v>247.763547947233</v>
      </c>
      <c r="G10508" s="6" t="n">
        <f aca="false">Sens!G10425+Sens!G10446+Sens!G10376+Sens!G10501*(Sens!G10395-Sens!G10359)+sbc_r*Sens!G10395</f>
        <v>321.610133248077</v>
      </c>
      <c r="H10508" s="6" t="n">
        <f aca="false">Sens!H10425+Sens!H10446+Sens!H10376+Sens!H10501*(Sens!H10395-Sens!H10359)+sbc_r*Sens!H10395</f>
        <v>403.639076366754</v>
      </c>
      <c r="I10508" s="6" t="n">
        <f aca="false">Sens!I10425+Sens!I10446+Sens!I10376+Sens!I10501*(Sens!I10395-Sens!I10359)+sbc_r*Sens!I10395</f>
        <v>473.263425889767</v>
      </c>
      <c r="J10508" s="6" t="n">
        <f aca="false">Sens!J10425+Sens!J10446+Sens!J10376+Sens!J10501*(Sens!J10395-Sens!J10359)+sbc_r*Sens!J10395</f>
        <v>527.609786405564</v>
      </c>
      <c r="K10508" s="6" t="n">
        <f aca="false">Sens!K10425+Sens!K10446+Sens!K10376+Sens!K10501*(Sens!K10395-Sens!K10359)+sbc_r*Sens!K10395</f>
        <v>567.953873374417</v>
      </c>
    </row>
    <row r="10509" customFormat="false" ht="17.15" hidden="false" customHeight="false" outlineLevel="0" collapsed="false">
      <c r="A10509" s="0" t="s">
        <v>1064</v>
      </c>
      <c r="B10509" s="0" t="s">
        <v>98</v>
      </c>
      <c r="F10509" s="6" t="n">
        <f aca="false">Sens!F10508-Sens!F10502-Sens!F10503-Sens!F10504-Sens!F10505-Sens!F10507</f>
        <v>61.0845270968602</v>
      </c>
      <c r="G10509" s="6" t="n">
        <f aca="false">Sens!G10508-Sens!G10502-Sens!G10503-Sens!G10504-Sens!G10505-Sens!G10507</f>
        <v>73.6166895546595</v>
      </c>
      <c r="H10509" s="6" t="n">
        <f aca="false">Sens!H10508-Sens!H10502-Sens!H10503-Sens!H10504-Sens!H10505-Sens!H10507</f>
        <v>86.6919783890032</v>
      </c>
      <c r="I10509" s="6" t="n">
        <f aca="false">Sens!I10508-Sens!I10502-Sens!I10503-Sens!I10504-Sens!I10505-Sens!I10507</f>
        <v>99.2327238899261</v>
      </c>
      <c r="J10509" s="6" t="n">
        <f aca="false">Sens!J10508-Sens!J10502-Sens!J10503-Sens!J10504-Sens!J10505-Sens!J10507</f>
        <v>110.570600321387</v>
      </c>
      <c r="K10509" s="6" t="n">
        <f aca="false">Sens!K10508-Sens!K10502-Sens!K10503-Sens!K10504-Sens!K10505-Sens!K10507</f>
        <v>119.977519268738</v>
      </c>
    </row>
    <row r="10510" customFormat="false" ht="17.15" hidden="false" customHeight="false" outlineLevel="0" collapsed="false">
      <c r="A10510" s="0" t="s">
        <v>1065</v>
      </c>
      <c r="B10510" s="0" t="s">
        <v>98</v>
      </c>
      <c r="F10510" s="6" t="n">
        <f aca="false">Sens!F10427+Sens!F10501*Sens!F10402+sbc_r*Sens!F10402</f>
        <v>26.214226448081</v>
      </c>
      <c r="G10510" s="6" t="n">
        <f aca="false">Sens!G10427+Sens!G10501*Sens!G10402+sbc_r*Sens!G10402</f>
        <v>26.8789470169676</v>
      </c>
      <c r="H10510" s="6" t="n">
        <f aca="false">Sens!H10427+Sens!H10501*Sens!H10402+sbc_r*Sens!H10402</f>
        <v>27.854249842359</v>
      </c>
      <c r="I10510" s="6" t="n">
        <f aca="false">Sens!I10427+Sens!I10501*Sens!I10402+sbc_r*Sens!I10402</f>
        <v>29.1154403917557</v>
      </c>
      <c r="J10510" s="6" t="n">
        <f aca="false">Sens!J10427+Sens!J10501*Sens!J10402+sbc_r*Sens!J10402</f>
        <v>30.6308927843394</v>
      </c>
      <c r="K10510" s="6" t="n">
        <f aca="false">Sens!K10427+Sens!K10501*Sens!K10402+sbc_r*Sens!K10402</f>
        <v>32.3678172892899</v>
      </c>
    </row>
    <row r="10511" customFormat="false" ht="17.15" hidden="false" customHeight="false" outlineLevel="0" collapsed="false">
      <c r="A10511" s="0" t="s">
        <v>1066</v>
      </c>
      <c r="B10511" s="0" t="s">
        <v>98</v>
      </c>
      <c r="F10511" s="6" t="n">
        <f aca="false">(Sens!F10510-Sens!F10506)*Sens!F10398/(Sens!F10398+Sens!F10400)</f>
        <v>8.25163598647359</v>
      </c>
      <c r="G10511" s="6" t="n">
        <f aca="false">(Sens!G10510-Sens!G10506)*Sens!G10398/(Sens!G10398+Sens!G10400)</f>
        <v>7.92827989660421</v>
      </c>
      <c r="H10511" s="6" t="n">
        <f aca="false">(Sens!H10510-Sens!H10506)*Sens!H10398/(Sens!H10398+Sens!H10400)</f>
        <v>7.80541343421873</v>
      </c>
      <c r="I10511" s="6" t="n">
        <f aca="false">(Sens!I10510-Sens!I10506)*Sens!I10398/(Sens!I10398+Sens!I10400)</f>
        <v>7.86919389893866</v>
      </c>
      <c r="J10511" s="6" t="n">
        <f aca="false">(Sens!J10510-Sens!J10506)*Sens!J10398/(Sens!J10398+Sens!J10400)</f>
        <v>8.11412076373258</v>
      </c>
      <c r="K10511" s="6" t="n">
        <f aca="false">(Sens!K10510-Sens!K10506)*Sens!K10398/(Sens!K10398+Sens!K10400)</f>
        <v>8.54423536965884</v>
      </c>
    </row>
    <row r="10512" customFormat="false" ht="17.15" hidden="false" customHeight="false" outlineLevel="0" collapsed="false">
      <c r="A10512" s="0" t="s">
        <v>1067</v>
      </c>
      <c r="B10512" s="0" t="s">
        <v>98</v>
      </c>
      <c r="F10512" s="6" t="n">
        <f aca="false">Sens!F10510-Sens!F10506-Sens!F10511</f>
        <v>6.76504277837891</v>
      </c>
      <c r="G10512" s="6" t="n">
        <f aca="false">Sens!G10510-Sens!G10506-Sens!G10511</f>
        <v>6.69135843278953</v>
      </c>
      <c r="H10512" s="6" t="n">
        <f aca="false">Sens!H10510-Sens!H10506-Sens!H10511</f>
        <v>6.68026437740317</v>
      </c>
      <c r="I10512" s="6" t="n">
        <f aca="false">Sens!I10510-Sens!I10506-Sens!I10511</f>
        <v>6.73000205534492</v>
      </c>
      <c r="J10512" s="6" t="n">
        <f aca="false">Sens!J10510-Sens!J10506-Sens!J10511</f>
        <v>6.83594625355217</v>
      </c>
      <c r="K10512" s="6" t="n">
        <f aca="false">Sens!K10510-Sens!K10506-Sens!K10511</f>
        <v>6.99264126197503</v>
      </c>
    </row>
    <row r="10513" customFormat="false" ht="17.15" hidden="false" customHeight="false" outlineLevel="0" collapsed="false">
      <c r="A10513" s="0" t="s">
        <v>1068</v>
      </c>
      <c r="B10513" s="0" t="s">
        <v>98</v>
      </c>
      <c r="F10513" s="6" t="n">
        <f aca="false">Sens!F10507-tax_f*(Sens!F10507-Sens!F10376)-Sens!F10373</f>
        <v>-116.98238741909</v>
      </c>
      <c r="G10513" s="6" t="n">
        <f aca="false">Sens!G10507-tax_f*(Sens!G10507-Sens!G10376)-Sens!G10373</f>
        <v>-91.2752927245719</v>
      </c>
      <c r="H10513" s="6" t="n">
        <f aca="false">Sens!H10507-tax_f*(Sens!H10507-Sens!H10376)-Sens!H10373</f>
        <v>-48.6868915479003</v>
      </c>
      <c r="I10513" s="6" t="n">
        <f aca="false">Sens!I10507-tax_f*(Sens!I10507-Sens!I10376)-Sens!I10373</f>
        <v>13.9192219533143</v>
      </c>
      <c r="J10513" s="6" t="n">
        <f aca="false">Sens!J10507-tax_f*(Sens!J10507-Sens!J10376)-Sens!J10373</f>
        <v>80.0896751353365</v>
      </c>
      <c r="K10513" s="6" t="n">
        <f aca="false">Sens!K10507-tax_f*(Sens!K10507-Sens!K10376)-Sens!K10373</f>
        <v>106.014784186948</v>
      </c>
    </row>
    <row r="10514" customFormat="false" ht="17.15" hidden="false" customHeight="false" outlineLevel="0" collapsed="false">
      <c r="A10514" s="0" t="s">
        <v>1069</v>
      </c>
      <c r="B10514" s="0" t="s">
        <v>98</v>
      </c>
      <c r="F10514" s="6" t="n">
        <f aca="false">Sens!F10513*Sens!F10487</f>
        <v>-111.38985412933</v>
      </c>
      <c r="G10514" s="6" t="n">
        <f aca="false">Sens!G10513*Sens!G10487</f>
        <v>-78.8004502563005</v>
      </c>
      <c r="H10514" s="6" t="n">
        <f aca="false">Sens!H10513*Sens!H10487</f>
        <v>-38.1099011115012</v>
      </c>
      <c r="I10514" s="6" t="n">
        <f aca="false">Sens!I10513*Sens!I10487</f>
        <v>9.87850090741857</v>
      </c>
      <c r="J10514" s="6" t="n">
        <f aca="false">Sens!J10513*Sens!J10487</f>
        <v>51.5350765850955</v>
      </c>
      <c r="K10514" s="6" t="n">
        <f aca="false">Sens!K10513*Sens!K10487</f>
        <v>61.8504889221887</v>
      </c>
    </row>
    <row r="10515" customFormat="false" ht="17.15" hidden="false" customHeight="false" outlineLevel="0" collapsed="false">
      <c r="A10515" s="0" t="s">
        <v>1070</v>
      </c>
      <c r="B10515" s="0" t="s">
        <v>98</v>
      </c>
      <c r="C10515" s="6" t="n">
        <f aca="false">(Sens!K10507-Sens!K10376)*(1-tax_f)*(1+g_tv)*(1-g_tv/(wacc+ronic_prem))/(wacc-g_tv)/(1+wacc)^(Sens!K10486+mid_yr)</f>
        <v>452.217457474377</v>
      </c>
    </row>
    <row r="10516" customFormat="false" ht="17.15" hidden="false" customHeight="false" outlineLevel="0" collapsed="false">
      <c r="A10516" s="1" t="s">
        <v>1071</v>
      </c>
      <c r="B10516" s="0" t="s">
        <v>98</v>
      </c>
      <c r="C10516" s="6" t="n">
        <f aca="false">(SUM(Sens!F10514:K10514)+Sens!$C$10515)*(1+wacc)^t_roll</f>
        <v>395.346959472479</v>
      </c>
      <c r="L10516" s="11" t="s">
        <v>1072</v>
      </c>
    </row>
    <row r="10517" customFormat="false" ht="17.15" hidden="false" customHeight="false" outlineLevel="0" collapsed="false">
      <c r="A10517" s="1" t="s">
        <v>1073</v>
      </c>
      <c r="B10517" s="0" t="s">
        <v>98</v>
      </c>
      <c r="C10517" s="6" t="n">
        <f aca="false">(w_ntm28*Sens!G10365+(1-w_ntm28)*Sens!H10365)*m_ai</f>
        <v>551.711134531404</v>
      </c>
    </row>
    <row r="10518" customFormat="false" ht="17.15" hidden="false" customHeight="false" outlineLevel="0" collapsed="false">
      <c r="A10518" s="1" t="s">
        <v>1074</v>
      </c>
      <c r="B10518" s="0" t="s">
        <v>98</v>
      </c>
      <c r="C10518" s="6" t="n">
        <f aca="false">(w_ntm28*Sens!G10509+(1-w_ntm28)*Sens!H10509)*m_cloud</f>
        <v>1075.80089079469</v>
      </c>
    </row>
    <row r="10519" customFormat="false" ht="17.15" hidden="false" customHeight="false" outlineLevel="0" collapsed="false">
      <c r="A10519" s="1" t="s">
        <v>1075</v>
      </c>
      <c r="B10519" s="0" t="s">
        <v>98</v>
      </c>
      <c r="C10519" s="6" t="n">
        <f aca="false">(w_ntm28*Sens!G10502+(1-w_ntm28)*Sens!H10502)*m_sw</f>
        <v>1124.81195357875</v>
      </c>
    </row>
    <row r="10520" customFormat="false" ht="17.15" hidden="false" customHeight="false" outlineLevel="0" collapsed="false">
      <c r="A10520" s="1" t="s">
        <v>1076</v>
      </c>
      <c r="B10520" s="0" t="s">
        <v>98</v>
      </c>
      <c r="C10520" s="6" t="n">
        <f aca="false">(w_ntm28*Sens!G10503+(1-w_ntm28)*Sens!H10503)*m_sw</f>
        <v>379.119712117697</v>
      </c>
    </row>
    <row r="10521" customFormat="false" ht="17.15" hidden="false" customHeight="false" outlineLevel="0" collapsed="false">
      <c r="A10521" s="1" t="s">
        <v>1077</v>
      </c>
      <c r="B10521" s="0" t="s">
        <v>98</v>
      </c>
      <c r="C10521" s="6" t="n">
        <f aca="false">(w_ntm28*Sens!G10504+(1-w_ntm28)*Sens!H10504)*m_sw</f>
        <v>109.045787253843</v>
      </c>
    </row>
    <row r="10522" customFormat="false" ht="17.15" hidden="false" customHeight="false" outlineLevel="0" collapsed="false">
      <c r="A10522" s="1" t="s">
        <v>1078</v>
      </c>
      <c r="B10522" s="0" t="s">
        <v>98</v>
      </c>
      <c r="C10522" s="6" t="n">
        <f aca="false">(w_ntm28*Sens!G10505+(1-w_ntm28)*Sens!H10505)*m_sw</f>
        <v>41.6029348426137</v>
      </c>
    </row>
    <row r="10523" customFormat="false" ht="17.15" hidden="false" customHeight="false" outlineLevel="0" collapsed="false">
      <c r="A10523" s="1" t="s">
        <v>1079</v>
      </c>
      <c r="B10523" s="0" t="s">
        <v>98</v>
      </c>
      <c r="C10523" s="6" t="n">
        <f aca="false">(w_ntm28*Sens!G10506+(1-w_ntm28)*Sens!H10506)*m_ads</f>
        <v>114.949249838685</v>
      </c>
    </row>
    <row r="10524" customFormat="false" ht="17.15" hidden="false" customHeight="false" outlineLevel="0" collapsed="false">
      <c r="A10524" s="1" t="s">
        <v>1080</v>
      </c>
      <c r="B10524" s="0" t="s">
        <v>98</v>
      </c>
      <c r="C10524" s="6" t="n">
        <f aca="false">(w_ntm28*Sens!G10511+(1-w_ntm28)*Sens!H10511)*m_game</f>
        <v>99.6324961802712</v>
      </c>
    </row>
    <row r="10525" customFormat="false" ht="17.15" hidden="false" customHeight="false" outlineLevel="0" collapsed="false">
      <c r="A10525" s="1" t="s">
        <v>1081</v>
      </c>
      <c r="B10525" s="0" t="s">
        <v>98</v>
      </c>
      <c r="C10525" s="6" t="n">
        <f aca="false">(w_ntm28*Sens!G10512+(1-w_ntm28)*Sens!H10512)*m_pc</f>
        <v>96.7720588353138</v>
      </c>
    </row>
    <row r="10526" customFormat="false" ht="17.15" hidden="false" customHeight="false" outlineLevel="0" collapsed="false">
      <c r="A10526" s="1" t="s">
        <v>1082</v>
      </c>
      <c r="B10526" s="0" t="s">
        <v>98</v>
      </c>
      <c r="C10526" s="6" t="n">
        <f aca="false">Sens!$C$10516+Sens!$C$10518+Sens!$C$10519+Sens!$C$10520+Sens!$C$10521+Sens!$C$10522+Sens!$C$10523+Sens!$C$10524+Sens!$C$10525</f>
        <v>3437.08204291434</v>
      </c>
    </row>
    <row r="10527" customFormat="false" ht="17.15" hidden="false" customHeight="false" outlineLevel="0" collapsed="false">
      <c r="A10527" s="1" t="s">
        <v>1000</v>
      </c>
      <c r="B10527" s="0" t="s">
        <v>98</v>
      </c>
      <c r="C10527" s="6" t="n">
        <f aca="false">Sens!F10477+oai_v-Sens!F10466</f>
        <v>115.109745810981</v>
      </c>
      <c r="L10527" s="1" t="s">
        <v>1083</v>
      </c>
    </row>
    <row r="10528" customFormat="false" ht="15" hidden="false" customHeight="false" outlineLevel="0" collapsed="false">
      <c r="A10528" s="1" t="s">
        <v>1001</v>
      </c>
      <c r="B10528" s="0" t="s">
        <v>75</v>
      </c>
      <c r="C10528" s="5" t="n">
        <f aca="false">(Sens!$C$10526+Sens!$C$10527)/Sens!F10479</f>
        <v>475.400399990006</v>
      </c>
    </row>
    <row r="10529" customFormat="false" ht="17.15" hidden="false" customHeight="false" outlineLevel="0" collapsed="false">
      <c r="A10529" s="1" t="s">
        <v>1084</v>
      </c>
      <c r="B10529" s="0" t="s">
        <v>75</v>
      </c>
      <c r="C10529" s="5" t="n">
        <f aca="false">w_dcf*Sens!$C$10500+(1-w_dcf)*Sens!$C$10528</f>
        <v>429.036942610065</v>
      </c>
    </row>
    <row r="10530" customFormat="false" ht="17.15" hidden="false" customHeight="false" outlineLevel="0" collapsed="false">
      <c r="A10530" s="3" t="s">
        <v>1509</v>
      </c>
    </row>
    <row r="10531" customFormat="false" ht="15" hidden="false" customHeight="false" outlineLevel="0" collapsed="false">
      <c r="A10531" s="4" t="s">
        <v>43</v>
      </c>
      <c r="B10531" s="4" t="s">
        <v>65</v>
      </c>
      <c r="C10531" s="20" t="s">
        <v>788</v>
      </c>
      <c r="D10531" s="20" t="s">
        <v>789</v>
      </c>
      <c r="E10531" s="20" t="s">
        <v>790</v>
      </c>
      <c r="F10531" s="20" t="s">
        <v>791</v>
      </c>
      <c r="G10531" s="20" t="s">
        <v>792</v>
      </c>
      <c r="H10531" s="20" t="s">
        <v>793</v>
      </c>
      <c r="I10531" s="20" t="s">
        <v>794</v>
      </c>
      <c r="J10531" s="20" t="s">
        <v>795</v>
      </c>
      <c r="K10531" s="20" t="s">
        <v>796</v>
      </c>
      <c r="L10531" s="4" t="s">
        <v>47</v>
      </c>
    </row>
    <row r="10532" customFormat="false" ht="17.15" hidden="false" customHeight="false" outlineLevel="0" collapsed="false">
      <c r="A10532" s="1" t="s">
        <v>797</v>
      </c>
      <c r="B10532" s="1" t="s">
        <v>235</v>
      </c>
      <c r="C10532" s="28" t="n">
        <v>2024</v>
      </c>
      <c r="D10532" s="28" t="n">
        <v>2025</v>
      </c>
      <c r="E10532" s="28" t="n">
        <v>2026</v>
      </c>
      <c r="F10532" s="28" t="n">
        <v>2027</v>
      </c>
      <c r="G10532" s="28" t="n">
        <v>2028</v>
      </c>
      <c r="H10532" s="28" t="n">
        <v>2029</v>
      </c>
      <c r="I10532" s="28" t="n">
        <v>2030</v>
      </c>
      <c r="J10532" s="28" t="n">
        <v>2031</v>
      </c>
      <c r="K10532" s="28" t="n">
        <v>2032</v>
      </c>
    </row>
    <row r="10533" customFormat="false" ht="17.15" hidden="false" customHeight="false" outlineLevel="0" collapsed="false">
      <c r="A10533" s="1" t="s">
        <v>798</v>
      </c>
      <c r="B10533" s="0" t="s">
        <v>392</v>
      </c>
      <c r="F10533" s="29" t="n">
        <f aca="false">pace</f>
        <v>2527.2</v>
      </c>
      <c r="G10533" s="29" t="n">
        <f aca="false">pace</f>
        <v>2527.2</v>
      </c>
      <c r="H10533" s="29" t="n">
        <f aca="false">pace</f>
        <v>2527.2</v>
      </c>
      <c r="I10533" s="29" t="n">
        <f aca="false">pace+(g_tv*Sens!H10534-pace)*MIN(1,(Sens!I10532-pace_y0)/(pace_y1-pace_y0))</f>
        <v>1793.116</v>
      </c>
      <c r="J10533" s="29" t="n">
        <f aca="false">pace+(g_tv*Sens!H10534-pace)*MIN(1,(Sens!J10532-pace_y0)/(pace_y1-pace_y0))</f>
        <v>1059.032</v>
      </c>
      <c r="K10533" s="29" t="n">
        <f aca="false">pace+(g_tv*Sens!H10534-pace)*MIN(1,(Sens!K10532-pace_y0)/(pace_y1-pace_y0))</f>
        <v>324.948</v>
      </c>
      <c r="L10533" s="11" t="s">
        <v>799</v>
      </c>
    </row>
    <row r="10534" customFormat="false" ht="17.15" hidden="false" customHeight="false" outlineLevel="0" collapsed="false">
      <c r="A10534" s="1" t="s">
        <v>800</v>
      </c>
      <c r="B10534" s="0" t="s">
        <v>392</v>
      </c>
      <c r="C10534" s="29" t="n">
        <f aca="false">mw_ext_24</f>
        <v>640</v>
      </c>
      <c r="D10534" s="29" t="n">
        <f aca="false">mw_ext_25</f>
        <v>1630</v>
      </c>
      <c r="E10534" s="29" t="n">
        <f aca="false">mw_ext_26</f>
        <v>3250</v>
      </c>
      <c r="F10534" s="29" t="n">
        <f aca="false">Sens!E10534+Sens!F10533</f>
        <v>5777.2</v>
      </c>
      <c r="G10534" s="29" t="n">
        <f aca="false">Sens!F10534+Sens!G10533</f>
        <v>8304.4</v>
      </c>
      <c r="H10534" s="29" t="n">
        <f aca="false">Sens!G10534+Sens!H10533</f>
        <v>10831.6</v>
      </c>
      <c r="I10534" s="29" t="n">
        <f aca="false">Sens!H10534+Sens!I10533</f>
        <v>12624.716</v>
      </c>
      <c r="J10534" s="29" t="n">
        <f aca="false">Sens!I10534+Sens!J10533</f>
        <v>13683.748</v>
      </c>
      <c r="K10534" s="29" t="n">
        <f aca="false">Sens!J10534+Sens!K10533</f>
        <v>14008.696</v>
      </c>
      <c r="L10534" s="1" t="s">
        <v>801</v>
      </c>
    </row>
    <row r="10535" customFormat="false" ht="17.15" hidden="false" customHeight="false" outlineLevel="0" collapsed="false">
      <c r="A10535" s="1" t="s">
        <v>802</v>
      </c>
      <c r="B10535" s="0" t="s">
        <v>392</v>
      </c>
      <c r="C10535" s="29" t="n">
        <f aca="false">rent_ext_24</f>
        <v>150</v>
      </c>
      <c r="D10535" s="29" t="n">
        <f aca="false">rent_ext_25</f>
        <v>400</v>
      </c>
      <c r="E10535" s="29" t="n">
        <f aca="false">rent_ext_26</f>
        <v>550</v>
      </c>
      <c r="F10535" s="29" t="n">
        <f aca="false">rent_ext_f</f>
        <v>756</v>
      </c>
      <c r="G10535" s="29" t="n">
        <f aca="false">rent_ext_f</f>
        <v>756</v>
      </c>
      <c r="H10535" s="29" t="n">
        <f aca="false">rent_ext_f</f>
        <v>756</v>
      </c>
      <c r="I10535" s="29" t="n">
        <f aca="false">rent_ext_f</f>
        <v>756</v>
      </c>
      <c r="J10535" s="29" t="n">
        <f aca="false">rent_ext_f</f>
        <v>756</v>
      </c>
      <c r="K10535" s="29" t="n">
        <f aca="false">rent_ext_f</f>
        <v>756</v>
      </c>
      <c r="L10535" s="1" t="s">
        <v>803</v>
      </c>
    </row>
    <row r="10536" customFormat="false" ht="17.15" hidden="false" customHeight="false" outlineLevel="0" collapsed="false">
      <c r="A10536" s="1" t="s">
        <v>804</v>
      </c>
      <c r="B10536" s="0" t="s">
        <v>392</v>
      </c>
      <c r="C10536" s="29" t="n">
        <f aca="false">Sens!C10534-Sens!C10535</f>
        <v>490</v>
      </c>
      <c r="D10536" s="29" t="n">
        <f aca="false">Sens!D10534-Sens!D10535</f>
        <v>1230</v>
      </c>
      <c r="E10536" s="29" t="n">
        <f aca="false">Sens!E10534-Sens!E10535</f>
        <v>2700</v>
      </c>
      <c r="F10536" s="29" t="n">
        <f aca="false">Sens!F10534-Sens!F10535</f>
        <v>5021.2</v>
      </c>
      <c r="G10536" s="29" t="n">
        <f aca="false">Sens!G10534-Sens!G10535</f>
        <v>7548.4</v>
      </c>
      <c r="H10536" s="29" t="n">
        <f aca="false">Sens!H10534-Sens!H10535</f>
        <v>10075.6</v>
      </c>
      <c r="I10536" s="29" t="n">
        <f aca="false">Sens!I10534-Sens!I10535</f>
        <v>11868.716</v>
      </c>
      <c r="J10536" s="29" t="n">
        <f aca="false">Sens!J10534-Sens!J10535</f>
        <v>12927.748</v>
      </c>
      <c r="K10536" s="29" t="n">
        <f aca="false">Sens!K10534-Sens!K10535</f>
        <v>13252.696</v>
      </c>
    </row>
    <row r="10537" customFormat="false" ht="17.15" hidden="false" customHeight="false" outlineLevel="0" collapsed="false">
      <c r="A10537" s="1" t="s">
        <v>805</v>
      </c>
      <c r="B10537" s="0" t="s">
        <v>392</v>
      </c>
      <c r="C10537" s="29" t="n">
        <f aca="false">Sens!C10536/ext_sh</f>
        <v>816.666666666667</v>
      </c>
      <c r="D10537" s="29" t="n">
        <f aca="false">Sens!D10536/ext_sh</f>
        <v>2050</v>
      </c>
      <c r="E10537" s="29" t="n">
        <f aca="false">Sens!E10536/ext_sh</f>
        <v>4500</v>
      </c>
      <c r="F10537" s="29" t="n">
        <f aca="false">Sens!F10536/ext_sh</f>
        <v>8368.66666666667</v>
      </c>
      <c r="G10537" s="29" t="n">
        <f aca="false">Sens!G10536/ext_sh</f>
        <v>12580.6666666667</v>
      </c>
      <c r="H10537" s="29" t="n">
        <f aca="false">Sens!H10536/ext_sh</f>
        <v>16792.6666666667</v>
      </c>
      <c r="I10537" s="29" t="n">
        <f aca="false">Sens!I10536/ext_sh</f>
        <v>19781.1933333333</v>
      </c>
      <c r="J10537" s="29" t="n">
        <f aca="false">Sens!J10536/ext_sh</f>
        <v>21546.2466666667</v>
      </c>
      <c r="K10537" s="29" t="n">
        <f aca="false">Sens!K10536/ext_sh</f>
        <v>22087.8266666667</v>
      </c>
      <c r="L10537" s="1" t="s">
        <v>806</v>
      </c>
    </row>
    <row r="10538" customFormat="false" ht="17.15" hidden="false" customHeight="false" outlineLevel="0" collapsed="false">
      <c r="A10538" s="1" t="s">
        <v>807</v>
      </c>
      <c r="B10538" s="0" t="s">
        <v>392</v>
      </c>
      <c r="C10538" s="29" t="n">
        <f aca="false">Sens!C10537-Sens!C10536</f>
        <v>326.666666666667</v>
      </c>
      <c r="D10538" s="29" t="n">
        <f aca="false">Sens!D10537-Sens!D10536</f>
        <v>820</v>
      </c>
      <c r="E10538" s="29" t="n">
        <f aca="false">Sens!E10537-Sens!E10536</f>
        <v>1800</v>
      </c>
      <c r="F10538" s="29" t="n">
        <f aca="false">Sens!F10537-Sens!F10536</f>
        <v>3347.46666666667</v>
      </c>
      <c r="G10538" s="29" t="n">
        <f aca="false">Sens!G10537-Sens!G10536</f>
        <v>5032.26666666667</v>
      </c>
      <c r="H10538" s="29" t="n">
        <f aca="false">Sens!H10537-Sens!H10536</f>
        <v>6717.06666666667</v>
      </c>
      <c r="I10538" s="29" t="n">
        <f aca="false">Sens!I10537-Sens!I10536</f>
        <v>7912.47733333333</v>
      </c>
      <c r="J10538" s="29" t="n">
        <f aca="false">Sens!J10537-Sens!J10536</f>
        <v>8618.49866666667</v>
      </c>
      <c r="K10538" s="29" t="n">
        <f aca="false">Sens!K10537-Sens!K10536</f>
        <v>8835.13066666667</v>
      </c>
    </row>
    <row r="10539" customFormat="false" ht="17.15" hidden="false" customHeight="false" outlineLevel="0" collapsed="false">
      <c r="A10539" s="1" t="s">
        <v>808</v>
      </c>
      <c r="B10539" s="0" t="s">
        <v>392</v>
      </c>
      <c r="C10539" s="29" t="n">
        <f aca="false">Sens!C10537</f>
        <v>816.666666666667</v>
      </c>
      <c r="D10539" s="29" t="n">
        <f aca="false">Sens!D10537-Sens!C10537</f>
        <v>1233.33333333333</v>
      </c>
      <c r="E10539" s="29" t="n">
        <f aca="false">Sens!E10537-Sens!D10537</f>
        <v>2450</v>
      </c>
      <c r="F10539" s="29" t="n">
        <f aca="false">Sens!F10537-Sens!E10537</f>
        <v>3868.66666666667</v>
      </c>
      <c r="G10539" s="29" t="n">
        <f aca="false">Sens!G10537-Sens!F10537</f>
        <v>4212</v>
      </c>
      <c r="H10539" s="29" t="n">
        <f aca="false">Sens!H10537-Sens!G10537</f>
        <v>4212</v>
      </c>
      <c r="I10539" s="29" t="n">
        <f aca="false">Sens!I10537-Sens!H10537</f>
        <v>2988.52666666667</v>
      </c>
      <c r="J10539" s="29" t="n">
        <f aca="false">Sens!J10537-Sens!I10537</f>
        <v>1765.05333333333</v>
      </c>
      <c r="K10539" s="29" t="n">
        <f aca="false">Sens!K10537-Sens!J10537</f>
        <v>541.580000000002</v>
      </c>
    </row>
    <row r="10540" customFormat="false" ht="17.15" hidden="false" customHeight="false" outlineLevel="0" collapsed="false">
      <c r="A10540" s="1" t="s">
        <v>809</v>
      </c>
      <c r="B10540" s="0" t="s">
        <v>392</v>
      </c>
      <c r="D10540" s="29" t="n">
        <f aca="false">Sens!D10534-Sens!C10534</f>
        <v>990</v>
      </c>
      <c r="E10540" s="29" t="n">
        <f aca="false">Sens!E10534-Sens!D10534</f>
        <v>1620</v>
      </c>
      <c r="F10540" s="29" t="n">
        <f aca="false">Sens!F10534-Sens!E10534</f>
        <v>2527.2</v>
      </c>
      <c r="G10540" s="29" t="n">
        <f aca="false">Sens!G10534-Sens!F10534</f>
        <v>2527.2</v>
      </c>
      <c r="H10540" s="29" t="n">
        <f aca="false">Sens!H10534-Sens!G10534</f>
        <v>2527.2</v>
      </c>
      <c r="I10540" s="29" t="n">
        <f aca="false">Sens!I10534-Sens!H10534</f>
        <v>1793.116</v>
      </c>
      <c r="J10540" s="29" t="n">
        <f aca="false">Sens!J10534-Sens!I10534</f>
        <v>1059.032</v>
      </c>
      <c r="K10540" s="29" t="n">
        <f aca="false">Sens!K10534-Sens!J10534</f>
        <v>324.948</v>
      </c>
    </row>
    <row r="10541" customFormat="false" ht="17.15" hidden="false" customHeight="false" outlineLevel="0" collapsed="false">
      <c r="A10541" s="1" t="s">
        <v>810</v>
      </c>
      <c r="B10541" s="0" t="s">
        <v>392</v>
      </c>
      <c r="F10541" s="29" t="n">
        <f aca="false">Sens!F10558*ext_sh</f>
        <v>0</v>
      </c>
      <c r="G10541" s="29" t="n">
        <f aca="false">Sens!G10558*ext_sh</f>
        <v>0</v>
      </c>
      <c r="H10541" s="29" t="n">
        <f aca="false">Sens!H10558*ext_sh</f>
        <v>0</v>
      </c>
      <c r="I10541" s="29" t="n">
        <f aca="false">Sens!I10558*ext_sh</f>
        <v>490</v>
      </c>
      <c r="J10541" s="29" t="n">
        <f aca="false">Sens!J10558*ext_sh</f>
        <v>740</v>
      </c>
      <c r="K10541" s="29" t="n">
        <f aca="false">Sens!K10558*ext_sh</f>
        <v>1470</v>
      </c>
      <c r="L10541" s="1" t="s">
        <v>811</v>
      </c>
    </row>
    <row r="10542" customFormat="false" ht="17.15" hidden="false" customHeight="false" outlineLevel="0" collapsed="false">
      <c r="A10542" s="1" t="s">
        <v>812</v>
      </c>
      <c r="B10542" s="0" t="s">
        <v>392</v>
      </c>
      <c r="C10542" s="29" t="n">
        <f aca="false">mix_h*Sens!C10534</f>
        <v>128</v>
      </c>
      <c r="D10542" s="29" t="n">
        <f aca="false">mix_h*Sens!D10534</f>
        <v>326</v>
      </c>
      <c r="E10542" s="29" t="n">
        <f aca="false">mix_h*Sens!E10534</f>
        <v>650</v>
      </c>
      <c r="F10542" s="29" t="n">
        <f aca="false">Sens!E10542-Sens!F10541*mix_h</f>
        <v>650</v>
      </c>
      <c r="G10542" s="29" t="n">
        <f aca="false">Sens!F10542-Sens!G10541*mix_h</f>
        <v>650</v>
      </c>
      <c r="H10542" s="29" t="n">
        <f aca="false">Sens!G10542-Sens!H10541*mix_h</f>
        <v>650</v>
      </c>
      <c r="I10542" s="29" t="n">
        <f aca="false">Sens!H10542-Sens!I10541*mix_h</f>
        <v>552</v>
      </c>
      <c r="J10542" s="29" t="n">
        <f aca="false">Sens!I10542-Sens!J10541*mix_h</f>
        <v>404</v>
      </c>
      <c r="K10542" s="29" t="n">
        <f aca="false">Sens!J10542-Sens!K10541*mix_h</f>
        <v>110</v>
      </c>
    </row>
    <row r="10543" customFormat="false" ht="17.15" hidden="false" customHeight="false" outlineLevel="0" collapsed="false">
      <c r="A10543" s="1" t="s">
        <v>813</v>
      </c>
      <c r="B10543" s="0" t="s">
        <v>392</v>
      </c>
      <c r="C10543" s="29" t="n">
        <f aca="false">mix_g2*Sens!C10534</f>
        <v>288</v>
      </c>
      <c r="D10543" s="29" t="n">
        <f aca="false">mix_g2*Sens!D10534</f>
        <v>733.5</v>
      </c>
      <c r="E10543" s="29" t="n">
        <f aca="false">mix_g2*Sens!E10534</f>
        <v>1462.5</v>
      </c>
      <c r="F10543" s="29" t="n">
        <f aca="false">Sens!E10543-Sens!F10541*mix_g2</f>
        <v>1462.5</v>
      </c>
      <c r="G10543" s="29" t="n">
        <f aca="false">Sens!F10543-Sens!G10541*mix_g2</f>
        <v>1462.5</v>
      </c>
      <c r="H10543" s="29" t="n">
        <f aca="false">Sens!G10543-Sens!H10541*mix_g2</f>
        <v>1462.5</v>
      </c>
      <c r="I10543" s="29" t="n">
        <f aca="false">Sens!H10543-Sens!I10541*mix_g2</f>
        <v>1242</v>
      </c>
      <c r="J10543" s="29" t="n">
        <f aca="false">Sens!I10543-Sens!J10541*mix_g2</f>
        <v>909</v>
      </c>
      <c r="K10543" s="29" t="n">
        <f aca="false">Sens!J10543-Sens!K10541*mix_g2</f>
        <v>247.5</v>
      </c>
    </row>
    <row r="10544" customFormat="false" ht="17.15" hidden="false" customHeight="false" outlineLevel="0" collapsed="false">
      <c r="A10544" s="1" t="s">
        <v>814</v>
      </c>
      <c r="B10544" s="0" t="s">
        <v>392</v>
      </c>
      <c r="C10544" s="29" t="n">
        <f aca="false">mix_g3*Sens!C10534</f>
        <v>224</v>
      </c>
      <c r="D10544" s="29" t="n">
        <f aca="false">mix_g3*Sens!D10534</f>
        <v>570.5</v>
      </c>
      <c r="E10544" s="29" t="n">
        <f aca="false">mix_g3*Sens!E10534</f>
        <v>1137.5</v>
      </c>
      <c r="F10544" s="29" t="n">
        <f aca="false">Sens!E10544+(Sens!F10540+Sens!F10541)*a_g3_27-Sens!F10541*mix_g3</f>
        <v>2906.54</v>
      </c>
      <c r="G10544" s="29" t="n">
        <f aca="false">Sens!F10544+(Sens!G10540+Sens!G10541)*a_g3_28-Sens!G10541*mix_g3</f>
        <v>3664.7</v>
      </c>
      <c r="H10544" s="29" t="n">
        <f aca="false">Sens!G10544+(Sens!H10540+Sens!H10541)*a_g3_29-Sens!H10541*mix_g3</f>
        <v>3917.42</v>
      </c>
      <c r="I10544" s="29" t="n">
        <f aca="false">Sens!H10544+(Sens!I10540+Sens!I10541)*a_g3_29-Sens!I10541*mix_g3</f>
        <v>3974.2316</v>
      </c>
      <c r="J10544" s="29" t="n">
        <f aca="false">Sens!I10544+(Sens!J10540+Sens!J10541)*a_g3_29-Sens!J10541*mix_g3</f>
        <v>3895.1348</v>
      </c>
      <c r="K10544" s="29" t="n">
        <f aca="false">Sens!J10544+(Sens!K10540+Sens!K10541)*a_g3_29-Sens!K10541*mix_g3</f>
        <v>3560.1296</v>
      </c>
    </row>
    <row r="10545" customFormat="false" ht="17.15" hidden="false" customHeight="false" outlineLevel="0" collapsed="false">
      <c r="A10545" s="1" t="s">
        <v>815</v>
      </c>
      <c r="B10545" s="0" t="s">
        <v>392</v>
      </c>
      <c r="C10545" s="29" t="n">
        <v>0</v>
      </c>
      <c r="D10545" s="29" t="n">
        <v>0</v>
      </c>
      <c r="E10545" s="29" t="n">
        <v>0</v>
      </c>
      <c r="F10545" s="29" t="n">
        <f aca="false">Sens!E10545+(Sens!F10540+Sens!F10541)*(1-a_g3_27)</f>
        <v>758.16</v>
      </c>
      <c r="G10545" s="29" t="n">
        <f aca="false">Sens!F10545+(Sens!G10540+Sens!G10541)*(1-a_g3_28)</f>
        <v>2527.2</v>
      </c>
      <c r="H10545" s="29" t="n">
        <f aca="false">Sens!G10545+(Sens!H10540+Sens!H10541)*(1-a_g3_29)</f>
        <v>4801.68</v>
      </c>
      <c r="I10545" s="29" t="n">
        <f aca="false">Sens!H10545+(Sens!I10540+Sens!I10541)*(1-a_g3_29)</f>
        <v>6856.4844</v>
      </c>
      <c r="J10545" s="29" t="n">
        <f aca="false">Sens!I10545+(Sens!J10540+Sens!J10541)*(1-a_g3_29)</f>
        <v>8475.6132</v>
      </c>
      <c r="K10545" s="29" t="n">
        <f aca="false">Sens!J10545+(Sens!K10540+Sens!K10541)*(1-a_g3_29)</f>
        <v>10091.0664</v>
      </c>
    </row>
    <row r="10546" customFormat="false" ht="17.15" hidden="false" customHeight="false" outlineLevel="0" collapsed="false">
      <c r="A10546" s="1" t="s">
        <v>816</v>
      </c>
      <c r="B10546" s="0" t="s">
        <v>339</v>
      </c>
      <c r="C10546" s="14" t="n">
        <f aca="false">(Sens!C10542*tk_hold_h100+Sens!C10543*tk_hold_gb200+Sens!C10544*tk_hold_gb300+Sens!C10545*tk_hold_vr200)/Sens!C10534</f>
        <v>9.7235358126469</v>
      </c>
      <c r="D10546" s="14" t="n">
        <f aca="false">(Sens!D10542*tk_hold_h100+Sens!D10543*tk_hold_gb200+Sens!D10544*tk_hold_gb300+Sens!D10545*tk_hold_vr200)/Sens!D10534</f>
        <v>9.7235358126469</v>
      </c>
      <c r="E10546" s="14" t="n">
        <f aca="false">(Sens!E10542*tk_hold_h100+Sens!E10543*tk_hold_gb200+Sens!E10544*tk_hold_gb300+Sens!E10545*tk_hold_vr200)/Sens!E10534</f>
        <v>9.7235358126469</v>
      </c>
      <c r="F10546" s="14" t="n">
        <f aca="false">(Sens!F10542*tk_hold_h100+Sens!F10543*tk_hold_gb200+Sens!F10544*tk_hold_gb300+Sens!F10545*tk_hold_vr200)/Sens!F10534</f>
        <v>10.4079573161931</v>
      </c>
      <c r="G10546" s="14" t="n">
        <f aca="false">(Sens!G10542*tk_hold_h100+Sens!G10543*tk_hold_gb200+Sens!G10544*tk_hold_gb300+Sens!G10545*tk_hold_vr200)/Sens!G10534</f>
        <v>10.8388131109316</v>
      </c>
      <c r="H10546" s="14" t="n">
        <f aca="false">(Sens!H10542*tk_hold_h100+Sens!H10543*tk_hold_gb200+Sens!H10544*tk_hold_gb300+Sens!H10545*tk_hold_vr200)/Sens!H10534</f>
        <v>11.1311018388216</v>
      </c>
      <c r="I10546" s="14" t="n">
        <f aca="false">(Sens!I10542*tk_hold_h100+Sens!I10543*tk_hold_gb200+Sens!I10544*tk_hold_gb300+Sens!I10545*tk_hold_vr200)/Sens!I10534</f>
        <v>11.3594282560989</v>
      </c>
      <c r="J10546" s="14" t="n">
        <f aca="false">(Sens!J10542*tk_hold_h100+Sens!J10543*tk_hold_gb200+Sens!J10544*tk_hold_gb300+Sens!J10545*tk_hold_vr200)/Sens!J10534</f>
        <v>11.5441508808221</v>
      </c>
      <c r="K10546" s="14" t="n">
        <f aca="false">(Sens!K10542*tk_hold_h100+Sens!K10543*tk_hold_gb200+Sens!K10544*tk_hold_gb300+Sens!K10545*tk_hold_vr200)/Sens!K10534</f>
        <v>11.8053375063575</v>
      </c>
    </row>
    <row r="10547" customFormat="false" ht="17.15" hidden="false" customHeight="false" outlineLevel="0" collapsed="false">
      <c r="A10547" s="0" t="s">
        <v>817</v>
      </c>
      <c r="B10547" s="0" t="s">
        <v>185</v>
      </c>
      <c r="C10547" s="14" t="n">
        <f aca="false">k_B</f>
        <v>1.17213932619116</v>
      </c>
      <c r="D10547" s="14" t="n">
        <f aca="false">k_B</f>
        <v>1.17213932619116</v>
      </c>
      <c r="E10547" s="14" t="n">
        <f aca="false">k_B</f>
        <v>1.17213932619116</v>
      </c>
      <c r="F10547" s="14" t="n">
        <f aca="false">(k_B+((ls_B*k_long+(1-ls_B)*k_spot)-k_B)*MIN(1,(Sens!F10532-base_fy)/k_ramp))</f>
        <v>1.17213932619116</v>
      </c>
      <c r="G10547" s="14" t="n">
        <f aca="false">(k_B+((ls_B*k_long+(1-ls_B)*k_spot)-k_B)*MIN(1,(Sens!G10532-base_fy)/k_ramp))</f>
        <v>1.17213932619116</v>
      </c>
      <c r="H10547" s="14" t="n">
        <f aca="false">(k_B+((ls_B*k_long+(1-ls_B)*k_spot)-k_B)*MIN(1,(Sens!H10532-base_fy)/k_ramp))</f>
        <v>1.17213932619116</v>
      </c>
      <c r="I10547" s="14" t="n">
        <f aca="false">(k_B+((ls_B*k_long+(1-ls_B)*k_spot)-k_B)*MIN(1,(Sens!I10532-base_fy)/k_ramp))</f>
        <v>1.17213932619116</v>
      </c>
      <c r="J10547" s="14" t="n">
        <f aca="false">(k_B+((ls_B*k_long+(1-ls_B)*k_spot)-k_B)*MIN(1,(Sens!J10532-base_fy)/k_ramp))</f>
        <v>1.17213932619116</v>
      </c>
      <c r="K10547" s="14" t="n">
        <f aca="false">(k_B+((ls_B*k_long+(1-ls_B)*k_spot)-k_B)*MIN(1,(Sens!K10532-base_fy)/k_ramp))</f>
        <v>1.17213932619116</v>
      </c>
      <c r="L10547" s="1" t="s">
        <v>818</v>
      </c>
    </row>
    <row r="10548" customFormat="false" ht="17.15" hidden="false" customHeight="false" outlineLevel="0" collapsed="false">
      <c r="A10548" s="1" t="s">
        <v>819</v>
      </c>
      <c r="B10548" s="0" t="s">
        <v>339</v>
      </c>
      <c r="C10548" s="14" t="n">
        <f aca="false">Sens!C10546*Sens!C10547*chip_f</f>
        <v>11.3973387156315</v>
      </c>
      <c r="D10548" s="14" t="n">
        <f aca="false">Sens!D10546*Sens!D10547*chip_f</f>
        <v>11.3973387156315</v>
      </c>
      <c r="E10548" s="14" t="n">
        <f aca="false">Sens!E10546*Sens!E10547*chip_f</f>
        <v>11.3973387156315</v>
      </c>
      <c r="F10548" s="14" t="n">
        <f aca="false">Sens!F10546*Sens!F10547*chip_f</f>
        <v>12.1995760756289</v>
      </c>
      <c r="G10548" s="14" t="n">
        <f aca="false">Sens!G10546*Sens!G10547*chip_f</f>
        <v>12.7045990965592</v>
      </c>
      <c r="H10548" s="14" t="n">
        <f aca="false">Sens!H10546*Sens!H10547*chip_f</f>
        <v>13.0472022091214</v>
      </c>
      <c r="I10548" s="14" t="n">
        <f aca="false">Sens!I10546*Sens!I10547*chip_f</f>
        <v>13.3148325820205</v>
      </c>
      <c r="J10548" s="14" t="n">
        <f aca="false">Sens!J10546*Sens!J10547*chip_f</f>
        <v>13.5313532348958</v>
      </c>
      <c r="K10548" s="14" t="n">
        <f aca="false">Sens!K10546*Sens!K10547*chip_f</f>
        <v>13.8375003501611</v>
      </c>
      <c r="L10548" s="1" t="s">
        <v>820</v>
      </c>
    </row>
    <row r="10549" customFormat="false" ht="17.15" hidden="false" customHeight="false" outlineLevel="0" collapsed="false">
      <c r="A10549" s="0" t="s">
        <v>821</v>
      </c>
      <c r="B10549" s="0" t="s">
        <v>98</v>
      </c>
      <c r="D10549" s="6" t="n">
        <f aca="false">(Sens!C10534+Sens!D10534)/2*Sens!D10548/1000</f>
        <v>12.9359794422418</v>
      </c>
      <c r="E10549" s="6" t="n">
        <f aca="false">(Sens!D10534+Sens!E10534)/2*Sens!E10548/1000</f>
        <v>27.8095064661409</v>
      </c>
      <c r="F10549" s="6" t="n">
        <f aca="false">(Sens!E10534+Sens!F10534)/2*Sens!F10548/1000</f>
        <v>55.0640065749585</v>
      </c>
      <c r="G10549" s="6" t="n">
        <f aca="false">(Sens!F10534+Sens!G10534)/2*Sens!G10548/1000</f>
        <v>89.4505413190538</v>
      </c>
      <c r="H10549" s="6" t="n">
        <f aca="false">(Sens!G10534+Sens!H10534)/2*Sens!H10548/1000</f>
        <v>124.835630736874</v>
      </c>
      <c r="I10549" s="6" t="n">
        <f aca="false">(Sens!H10534+Sens!I10534)/2*Sens!I10548/1000</f>
        <v>156.158460265485</v>
      </c>
      <c r="J10549" s="6" t="n">
        <f aca="false">(Sens!I10534+Sens!J10534)/2*Sens!J10548/1000</f>
        <v>177.99455972577</v>
      </c>
      <c r="K10549" s="6" t="n">
        <f aca="false">(Sens!J10534+Sens!K10534)/2*Sens!K10548/1000</f>
        <v>191.597101773408</v>
      </c>
      <c r="L10549" s="11" t="s">
        <v>822</v>
      </c>
    </row>
    <row r="10550" customFormat="false" ht="17.15" hidden="false" customHeight="false" outlineLevel="0" collapsed="false">
      <c r="A10550" s="1" t="s">
        <v>823</v>
      </c>
      <c r="B10550" s="0" t="s">
        <v>339</v>
      </c>
      <c r="C10550" s="14" t="n">
        <f aca="false">(Sens!C10542*tk_opex_h100+Sens!C10543*tk_opex_gb200+Sens!C10544*tk_opex_gb300+Sens!C10545*tk_opex_vr200)/Sens!C10534</f>
        <v>1.88636041306092</v>
      </c>
      <c r="D10550" s="14" t="n">
        <f aca="false">(Sens!D10542*tk_opex_h100+Sens!D10543*tk_opex_gb200+Sens!D10544*tk_opex_gb300+Sens!D10545*tk_opex_vr200)/Sens!D10534</f>
        <v>1.88636041306092</v>
      </c>
      <c r="E10550" s="14" t="n">
        <f aca="false">(Sens!E10542*tk_opex_h100+Sens!E10543*tk_opex_gb200+Sens!E10544*tk_opex_gb300+Sens!E10545*tk_opex_vr200)/Sens!E10534</f>
        <v>1.88636041306092</v>
      </c>
      <c r="F10550" s="14" t="n">
        <f aca="false">(Sens!F10542*tk_opex_h100+Sens!F10543*tk_opex_gb200+Sens!F10544*tk_opex_gb300+Sens!F10545*tk_opex_vr200)/Sens!F10534</f>
        <v>1.9430236476499</v>
      </c>
      <c r="G10550" s="14" t="n">
        <f aca="false">(Sens!G10542*tk_opex_h100+Sens!G10543*tk_opex_gb200+Sens!G10544*tk_opex_gb300+Sens!G10545*tk_opex_vr200)/Sens!G10534</f>
        <v>1.9786941852423</v>
      </c>
      <c r="H10550" s="14" t="n">
        <f aca="false">(Sens!H10542*tk_opex_h100+Sens!H10543*tk_opex_gb200+Sens!H10544*tk_opex_gb300+Sens!H10545*tk_opex_vr200)/Sens!H10534</f>
        <v>2.00289275976156</v>
      </c>
      <c r="I10550" s="14" t="n">
        <f aca="false">(Sens!I10542*tk_opex_h100+Sens!I10543*tk_opex_gb200+Sens!I10544*tk_opex_gb300+Sens!I10545*tk_opex_vr200)/Sens!I10534</f>
        <v>2.02179589661219</v>
      </c>
      <c r="J10550" s="14" t="n">
        <f aca="false">(Sens!J10542*tk_opex_h100+Sens!J10543*tk_opex_gb200+Sens!J10544*tk_opex_gb300+Sens!J10545*tk_opex_vr200)/Sens!J10534</f>
        <v>2.03708907685909</v>
      </c>
      <c r="K10550" s="14" t="n">
        <f aca="false">(Sens!K10542*tk_opex_h100+Sens!K10543*tk_opex_gb200+Sens!K10544*tk_opex_gb300+Sens!K10545*tk_opex_vr200)/Sens!K10534</f>
        <v>2.05871270931005</v>
      </c>
    </row>
    <row r="10551" customFormat="false" ht="17.15" hidden="false" customHeight="false" outlineLevel="0" collapsed="false">
      <c r="A10551" s="0" t="s">
        <v>824</v>
      </c>
      <c r="B10551" s="0" t="s">
        <v>98</v>
      </c>
      <c r="D10551" s="6" t="n">
        <f aca="false">(Sens!C10537+Sens!D10537)/2*Sens!D10550/1000</f>
        <v>2.70378325872065</v>
      </c>
      <c r="E10551" s="6" t="n">
        <f aca="false">(Sens!D10537+Sens!E10537)/2*Sens!E10550/1000</f>
        <v>6.17783035277451</v>
      </c>
      <c r="F10551" s="6" t="n">
        <f aca="false">(Sens!E10537+Sens!F10537)/2*Sens!F10550/1000</f>
        <v>12.5020618235287</v>
      </c>
      <c r="G10551" s="6" t="n">
        <f aca="false">(Sens!F10537+Sens!G10537)/2*Sens!G10550/1000</f>
        <v>20.7261620256847</v>
      </c>
      <c r="H10551" s="6" t="n">
        <f aca="false">(Sens!G10537+Sens!H10537)/2*Sens!H10550/1000</f>
        <v>29.4158183316982</v>
      </c>
      <c r="I10551" s="6" t="n">
        <f aca="false">(Sens!H10537+Sens!I10537)/2*Sens!I10550/1000</f>
        <v>36.9724400356344</v>
      </c>
      <c r="J10551" s="6" t="n">
        <f aca="false">(Sens!I10537+Sens!J10537)/2*Sens!J10550/1000</f>
        <v>42.0938382992747</v>
      </c>
      <c r="K10551" s="6" t="n">
        <f aca="false">(Sens!J10537+Sens!K10537)/2*Sens!K10550/1000</f>
        <v>44.9150106651501</v>
      </c>
    </row>
    <row r="10552" customFormat="false" ht="17.15" hidden="false" customHeight="false" outlineLevel="0" collapsed="false">
      <c r="A10552" s="0" t="s">
        <v>825</v>
      </c>
      <c r="B10552" s="0" t="s">
        <v>98</v>
      </c>
      <c r="D10552" s="6" t="n">
        <f aca="false">(Sens!C10535+Sens!D10535)/2*rent_mw/1000</f>
        <v>2.44475</v>
      </c>
      <c r="E10552" s="6" t="n">
        <f aca="false">(Sens!D10535+Sens!E10535)/2*rent_mw/1000</f>
        <v>4.22275</v>
      </c>
      <c r="F10552" s="6" t="n">
        <f aca="false">(Sens!E10535+Sens!F10535)/2*rent_mw/1000</f>
        <v>5.80517</v>
      </c>
      <c r="G10552" s="6" t="n">
        <f aca="false">(Sens!F10535+Sens!G10535)/2*rent_mw/1000</f>
        <v>6.72084</v>
      </c>
      <c r="H10552" s="6" t="n">
        <f aca="false">(Sens!G10535+Sens!H10535)/2*rent_mw/1000</f>
        <v>6.72084</v>
      </c>
      <c r="I10552" s="6" t="n">
        <f aca="false">(Sens!H10535+Sens!I10535)/2*rent_mw/1000</f>
        <v>6.72084</v>
      </c>
      <c r="J10552" s="6" t="n">
        <f aca="false">(Sens!I10535+Sens!J10535)/2*rent_mw/1000</f>
        <v>6.72084</v>
      </c>
      <c r="K10552" s="6" t="n">
        <f aca="false">(Sens!J10535+Sens!K10535)/2*rent_mw/1000</f>
        <v>6.72084</v>
      </c>
    </row>
    <row r="10553" customFormat="false" ht="17.15" hidden="false" customHeight="false" outlineLevel="0" collapsed="false">
      <c r="A10553" s="0" t="s">
        <v>826</v>
      </c>
      <c r="B10553" s="0" t="s">
        <v>98</v>
      </c>
      <c r="D10553" s="6" t="n">
        <f aca="false">(Sens!C10537+Sens!D10537)/2*(1-self_build)*fac_rent/1000</f>
        <v>0.853242375631075</v>
      </c>
      <c r="E10553" s="6" t="n">
        <f aca="false">(Sens!D10537+Sens!E10537)/2*(1-self_build)*fac_rent/1000</f>
        <v>1.94955961408728</v>
      </c>
      <c r="F10553" s="6" t="n">
        <f aca="false">(Sens!E10537+Sens!F10537)/2*(1-self_build)*fac_rent/1000</f>
        <v>3.83026455274573</v>
      </c>
      <c r="G10553" s="6" t="n">
        <f aca="false">(Sens!F10537+Sens!G10537)/2*(1-self_build)*fac_rent/1000</f>
        <v>6.23541590972812</v>
      </c>
      <c r="H10553" s="6" t="n">
        <f aca="false">(Sens!G10537+Sens!H10537)/2*(1-self_build)*fac_rent/1000</f>
        <v>8.74275792332679</v>
      </c>
      <c r="I10553" s="6" t="n">
        <f aca="false">(Sens!H10537+Sens!I10537)/2*(1-self_build)*fac_rent/1000</f>
        <v>10.8859420438599</v>
      </c>
      <c r="J10553" s="6" t="n">
        <f aca="false">(Sens!I10537+Sens!J10537)/2*(1-self_build)*fac_rent/1000</f>
        <v>12.3008103782619</v>
      </c>
      <c r="K10553" s="6" t="n">
        <f aca="false">(Sens!J10537+Sens!K10537)/2*(1-self_build)*fac_rent/1000</f>
        <v>12.9873629265328</v>
      </c>
      <c r="L10553" s="11" t="s">
        <v>827</v>
      </c>
    </row>
    <row r="10554" customFormat="false" ht="17.15" hidden="false" customHeight="false" outlineLevel="0" collapsed="false">
      <c r="A10554" s="1" t="s">
        <v>828</v>
      </c>
      <c r="B10554" s="0" t="s">
        <v>129</v>
      </c>
      <c r="D10554" s="7" t="n">
        <f aca="false">(Sens!C10536+Sens!D10536)/(Sens!C10537+Sens!D10537)</f>
        <v>0.6</v>
      </c>
      <c r="E10554" s="7" t="n">
        <f aca="false">(Sens!D10536+Sens!E10536)/(Sens!D10537+Sens!E10537)</f>
        <v>0.6</v>
      </c>
      <c r="F10554" s="7" t="n">
        <f aca="false">(Sens!E10536+Sens!F10536)/(Sens!E10537+Sens!F10537)</f>
        <v>0.6</v>
      </c>
      <c r="G10554" s="7" t="n">
        <f aca="false">(Sens!F10536+Sens!G10536)/(Sens!F10537+Sens!G10537)</f>
        <v>0.6</v>
      </c>
      <c r="H10554" s="7" t="n">
        <f aca="false">(Sens!G10536+Sens!H10536)/(Sens!G10537+Sens!H10537)</f>
        <v>0.6</v>
      </c>
      <c r="I10554" s="7" t="n">
        <f aca="false">(Sens!H10536+Sens!I10536)/(Sens!H10537+Sens!I10537)</f>
        <v>0.6</v>
      </c>
      <c r="J10554" s="7" t="n">
        <f aca="false">(Sens!I10536+Sens!J10536)/(Sens!I10537+Sens!J10537)</f>
        <v>0.6</v>
      </c>
      <c r="K10554" s="7" t="n">
        <f aca="false">(Sens!J10536+Sens!K10536)/(Sens!J10537+Sens!K10537)</f>
        <v>0.6</v>
      </c>
    </row>
    <row r="10555" customFormat="false" ht="17.15" hidden="false" customHeight="false" outlineLevel="0" collapsed="false">
      <c r="A10555" s="0" t="s">
        <v>829</v>
      </c>
      <c r="B10555" s="0" t="s">
        <v>98</v>
      </c>
      <c r="D10555" s="6" t="n">
        <f aca="false">Sens!D10549-Sens!D10554*(Sens!D10551+Sens!D10553)-Sens!D10552</f>
        <v>8.35701406163072</v>
      </c>
      <c r="E10555" s="6" t="n">
        <f aca="false">Sens!E10549-Sens!E10554*(Sens!E10551+Sens!E10553)-Sens!E10552</f>
        <v>18.7103224860238</v>
      </c>
      <c r="F10555" s="6" t="n">
        <f aca="false">Sens!F10549-Sens!F10554*(Sens!F10551+Sens!F10553)-Sens!F10552</f>
        <v>39.4594407491938</v>
      </c>
      <c r="G10555" s="6" t="n">
        <f aca="false">Sens!G10549-Sens!G10554*(Sens!G10551+Sens!G10553)-Sens!G10552</f>
        <v>66.5527545578061</v>
      </c>
      <c r="H10555" s="6" t="n">
        <f aca="false">Sens!H10549-Sens!H10554*(Sens!H10551+Sens!H10553)-Sens!H10552</f>
        <v>95.219644983859</v>
      </c>
      <c r="I10555" s="6" t="n">
        <f aca="false">Sens!I10549-Sens!I10554*(Sens!I10551+Sens!I10553)-Sens!I10552</f>
        <v>120.722591017788</v>
      </c>
      <c r="J10555" s="6" t="n">
        <f aca="false">Sens!J10549-Sens!J10554*(Sens!J10551+Sens!J10553)-Sens!J10552</f>
        <v>138.636930519248</v>
      </c>
      <c r="K10555" s="6" t="n">
        <f aca="false">Sens!K10549-Sens!K10554*(Sens!K10551+Sens!K10553)-Sens!K10552</f>
        <v>150.134837618398</v>
      </c>
    </row>
    <row r="10556" customFormat="false" ht="17.15" hidden="false" customHeight="false" outlineLevel="0" collapsed="false">
      <c r="A10556" s="1" t="s">
        <v>830</v>
      </c>
      <c r="B10556" s="0" t="s">
        <v>98</v>
      </c>
      <c r="D10556" s="6" t="n">
        <f aca="false">(1-Sens!D10554)*(Sens!D10551+Sens!D10553)</f>
        <v>1.42281025374069</v>
      </c>
      <c r="E10556" s="6" t="n">
        <f aca="false">(1-Sens!E10554)*(Sens!E10551+Sens!E10553)</f>
        <v>3.25095598674472</v>
      </c>
      <c r="F10556" s="6" t="n">
        <f aca="false">(1-Sens!F10554)*(Sens!F10551+Sens!F10553)</f>
        <v>6.53293055050977</v>
      </c>
      <c r="G10556" s="6" t="n">
        <f aca="false">(1-Sens!G10554)*(Sens!G10551+Sens!G10553)</f>
        <v>10.7846311741651</v>
      </c>
      <c r="H10556" s="6" t="n">
        <f aca="false">(1-Sens!H10554)*(Sens!H10551+Sens!H10553)</f>
        <v>15.26343050201</v>
      </c>
      <c r="I10556" s="6" t="n">
        <f aca="false">(1-Sens!I10554)*(Sens!I10551+Sens!I10553)</f>
        <v>19.1433528317977</v>
      </c>
      <c r="J10556" s="6" t="n">
        <f aca="false">(1-Sens!J10554)*(Sens!J10551+Sens!J10553)</f>
        <v>21.7578594710146</v>
      </c>
      <c r="K10556" s="6" t="n">
        <f aca="false">(1-Sens!K10554)*(Sens!K10551+Sens!K10553)</f>
        <v>23.1609494366731</v>
      </c>
    </row>
    <row r="10557" customFormat="false" ht="17.15" hidden="false" customHeight="false" outlineLevel="0" collapsed="false">
      <c r="A10557" s="1" t="s">
        <v>831</v>
      </c>
      <c r="B10557" s="0" t="s">
        <v>350</v>
      </c>
      <c r="C10557" s="8" t="n">
        <f aca="false">cxit_open</f>
        <v>27.5918995</v>
      </c>
      <c r="D10557" s="8" t="n">
        <f aca="false">cxit_open</f>
        <v>27.5918995</v>
      </c>
      <c r="E10557" s="8" t="n">
        <f aca="false">cxit_open</f>
        <v>27.5918995</v>
      </c>
      <c r="F10557" s="8" t="n">
        <f aca="false">(a_g3_27*tk_cxit_gb300+(1-a_g3_27)*tk_cxit_vr200)</f>
        <v>33.8419624</v>
      </c>
      <c r="G10557" s="8" t="n">
        <f aca="false">(a_g3_28*tk_cxit_gb300+(1-a_g3_28)*tk_cxit_vr200)</f>
        <v>35.9816136</v>
      </c>
      <c r="H10557" s="8" t="n">
        <f aca="false">(a_g3_29*tk_cxit_gb300+(1-a_g3_29)*tk_cxit_vr200)</f>
        <v>37.0514392</v>
      </c>
      <c r="I10557" s="8" t="n">
        <f aca="false">(a_g3_29*tk_cxit_gb300+(1-a_g3_29)*tk_cxit_vr200)</f>
        <v>37.0514392</v>
      </c>
      <c r="J10557" s="8" t="n">
        <f aca="false">(a_g3_29*tk_cxit_gb300+(1-a_g3_29)*tk_cxit_vr200)</f>
        <v>37.0514392</v>
      </c>
      <c r="K10557" s="8" t="n">
        <f aca="false">(a_g3_29*tk_cxit_gb300+(1-a_g3_29)*tk_cxit_vr200)</f>
        <v>37.0514392</v>
      </c>
      <c r="L10557" s="11" t="s">
        <v>832</v>
      </c>
    </row>
    <row r="10558" customFormat="false" ht="17.15" hidden="false" customHeight="false" outlineLevel="0" collapsed="false">
      <c r="A10558" s="0" t="s">
        <v>833</v>
      </c>
      <c r="B10558" s="0" t="s">
        <v>392</v>
      </c>
      <c r="F10558" s="29" t="n">
        <f aca="false">Sens!C10539*IF(Sens!F10532-Sens!C10532=life_it,1,0)+Sens!D10539*IF(Sens!F10532-Sens!D10532=life_it,1,0)+Sens!E10539*IF(Sens!F10532-Sens!E10532=life_it,1,0)</f>
        <v>0</v>
      </c>
      <c r="G10558" s="29" t="n">
        <f aca="false">Sens!C10539*IF(Sens!G10532-Sens!C10532=life_it,1,0)+Sens!D10539*IF(Sens!G10532-Sens!D10532=life_it,1,0)+Sens!E10539*IF(Sens!G10532-Sens!E10532=life_it,1,0)+Sens!F10539*IF(Sens!G10532-Sens!F10532=life_it,1,0)</f>
        <v>0</v>
      </c>
      <c r="H10558" s="29" t="n">
        <f aca="false">Sens!C10539*IF(Sens!H10532-Sens!C10532=life_it,1,0)+Sens!D10539*IF(Sens!H10532-Sens!D10532=life_it,1,0)+Sens!E10539*IF(Sens!H10532-Sens!E10532=life_it,1,0)+Sens!F10539*IF(Sens!H10532-Sens!F10532=life_it,1,0)+Sens!G10539*IF(Sens!H10532-Sens!G10532=life_it,1,0)</f>
        <v>0</v>
      </c>
      <c r="I10558" s="29" t="n">
        <f aca="false">Sens!C10539*IF(Sens!I10532-Sens!C10532=life_it,1,0)+Sens!D10539*IF(Sens!I10532-Sens!D10532=life_it,1,0)+Sens!E10539*IF(Sens!I10532-Sens!E10532=life_it,1,0)+Sens!F10539*IF(Sens!I10532-Sens!F10532=life_it,1,0)+Sens!G10539*IF(Sens!I10532-Sens!G10532=life_it,1,0)+Sens!H10539*IF(Sens!I10532-Sens!H10532=life_it,1,0)</f>
        <v>816.666666666667</v>
      </c>
      <c r="J10558" s="29" t="n">
        <f aca="false">Sens!C10539*IF(Sens!J10532-Sens!C10532=life_it,1,0)+Sens!D10539*IF(Sens!J10532-Sens!D10532=life_it,1,0)+Sens!E10539*IF(Sens!J10532-Sens!E10532=life_it,1,0)+Sens!F10539*IF(Sens!J10532-Sens!F10532=life_it,1,0)+Sens!G10539*IF(Sens!J10532-Sens!G10532=life_it,1,0)+Sens!H10539*IF(Sens!J10532-Sens!H10532=life_it,1,0)+Sens!I10539*IF(Sens!J10532-Sens!I10532=life_it,1,0)</f>
        <v>1233.33333333333</v>
      </c>
      <c r="K10558" s="29" t="n">
        <f aca="false">Sens!C10539*IF(Sens!K10532-Sens!C10532=life_it,1,0)+Sens!D10539*IF(Sens!K10532-Sens!D10532=life_it,1,0)+Sens!E10539*IF(Sens!K10532-Sens!E10532=life_it,1,0)+Sens!F10539*IF(Sens!K10532-Sens!F10532=life_it,1,0)+Sens!G10539*IF(Sens!K10532-Sens!G10532=life_it,1,0)+Sens!H10539*IF(Sens!K10532-Sens!H10532=life_it,1,0)+Sens!I10539*IF(Sens!K10532-Sens!I10532=life_it,1,0)+Sens!J10539*IF(Sens!K10532-Sens!J10532=life_it,1,0)</f>
        <v>2450</v>
      </c>
      <c r="L10558" s="1" t="s">
        <v>834</v>
      </c>
    </row>
    <row r="10559" customFormat="false" ht="17.15" hidden="false" customHeight="false" outlineLevel="0" collapsed="false">
      <c r="A10559" s="0" t="s">
        <v>835</v>
      </c>
      <c r="B10559" s="0" t="s">
        <v>98</v>
      </c>
      <c r="C10559" s="6" t="n">
        <f aca="false">Sens!C10539*Sens!C10557/1000</f>
        <v>22.5333845916667</v>
      </c>
      <c r="D10559" s="6" t="n">
        <f aca="false">Sens!D10539*Sens!D10557/1000</f>
        <v>34.0300093833333</v>
      </c>
      <c r="E10559" s="6" t="n">
        <f aca="false">Sens!E10539*Sens!E10557/1000</f>
        <v>67.600153775</v>
      </c>
      <c r="F10559" s="6" t="n">
        <f aca="false">(Sens!F10539+Sens!F10558)*Sens!F10557/1000</f>
        <v>130.923271871467</v>
      </c>
      <c r="G10559" s="6" t="n">
        <f aca="false">(Sens!G10539+Sens!G10558)*Sens!G10557/1000</f>
        <v>151.5545564832</v>
      </c>
      <c r="H10559" s="6" t="n">
        <f aca="false">(Sens!H10539+Sens!H10558)*Sens!H10557/1000</f>
        <v>156.0606619104</v>
      </c>
      <c r="I10559" s="6" t="n">
        <f aca="false">(Sens!I10539+Sens!I10558)*Sens!I10557/1000</f>
        <v>140.987889434245</v>
      </c>
      <c r="J10559" s="6" t="n">
        <f aca="false">(Sens!J10539+Sens!J10558)*Sens!J10557/1000</f>
        <v>111.094541278091</v>
      </c>
      <c r="K10559" s="6" t="n">
        <f aca="false">(Sens!K10539+Sens!K10558)*Sens!K10557/1000</f>
        <v>110.842344481936</v>
      </c>
    </row>
    <row r="10560" customFormat="false" ht="17.15" hidden="false" customHeight="false" outlineLevel="0" collapsed="false">
      <c r="A10560" s="0" t="s">
        <v>836</v>
      </c>
      <c r="B10560" s="0" t="s">
        <v>98</v>
      </c>
      <c r="C10560" s="6" t="n">
        <f aca="false">Sens!C10539*self_build*tk_cxfac/1000</f>
        <v>6.2083</v>
      </c>
      <c r="D10560" s="6" t="n">
        <f aca="false">Sens!D10539*self_build*tk_cxfac/1000</f>
        <v>9.3758</v>
      </c>
      <c r="E10560" s="6" t="n">
        <f aca="false">Sens!E10539*self_build*tk_cxfac/1000</f>
        <v>18.6249</v>
      </c>
      <c r="F10560" s="6" t="n">
        <f aca="false">Sens!F10539*self_build*tk_cxfac/1000</f>
        <v>29.409604</v>
      </c>
      <c r="G10560" s="6" t="n">
        <f aca="false">Sens!G10539*self_build*tk_cxfac/1000</f>
        <v>32.019624</v>
      </c>
      <c r="H10560" s="6" t="n">
        <f aca="false">Sens!H10539*self_build*tk_cxfac/1000</f>
        <v>32.019624</v>
      </c>
      <c r="I10560" s="6" t="n">
        <f aca="false">Sens!I10539*self_build*tk_cxfac/1000</f>
        <v>22.71877972</v>
      </c>
      <c r="J10560" s="6" t="n">
        <f aca="false">Sens!J10539*self_build*tk_cxfac/1000</f>
        <v>13.41793544</v>
      </c>
      <c r="K10560" s="6" t="n">
        <f aca="false">Sens!K10539*self_build*tk_cxfac/1000</f>
        <v>4.11709116000001</v>
      </c>
    </row>
    <row r="10561" customFormat="false" ht="17.15" hidden="false" customHeight="false" outlineLevel="0" collapsed="false">
      <c r="A10561" s="0" t="s">
        <v>837</v>
      </c>
      <c r="B10561" s="0" t="s">
        <v>98</v>
      </c>
      <c r="F10561" s="6" t="n">
        <f aca="false">MAX(0,capex_floor27-Sens!F10559-Sens!F10560-Sens!F10654)</f>
        <v>8.28450839897089</v>
      </c>
      <c r="L10561" s="1" t="s">
        <v>838</v>
      </c>
    </row>
    <row r="10562" customFormat="false" ht="17.15" hidden="false" customHeight="false" outlineLevel="0" collapsed="false">
      <c r="A10562" s="0" t="s">
        <v>839</v>
      </c>
      <c r="B10562" s="0" t="s">
        <v>98</v>
      </c>
      <c r="C10562" s="6" t="n">
        <f aca="false">Sens!C10559</f>
        <v>22.5333845916667</v>
      </c>
      <c r="D10562" s="6" t="n">
        <f aca="false">Sens!D10559</f>
        <v>34.0300093833333</v>
      </c>
      <c r="E10562" s="6" t="n">
        <f aca="false">Sens!E10559</f>
        <v>67.600153775</v>
      </c>
      <c r="F10562" s="6" t="n">
        <f aca="false">Sens!F10559+Sens!F10561</f>
        <v>139.207780270438</v>
      </c>
      <c r="G10562" s="6" t="n">
        <f aca="false">Sens!G10559</f>
        <v>151.5545564832</v>
      </c>
      <c r="H10562" s="6" t="n">
        <f aca="false">Sens!H10559</f>
        <v>156.0606619104</v>
      </c>
      <c r="I10562" s="6" t="n">
        <f aca="false">Sens!I10559</f>
        <v>140.987889434245</v>
      </c>
      <c r="J10562" s="6" t="n">
        <f aca="false">Sens!J10559</f>
        <v>111.094541278091</v>
      </c>
      <c r="K10562" s="6" t="n">
        <f aca="false">Sens!K10559</f>
        <v>110.842344481936</v>
      </c>
    </row>
    <row r="10563" customFormat="false" ht="17.15" hidden="false" customHeight="false" outlineLevel="0" collapsed="false">
      <c r="A10563" s="0" t="s">
        <v>840</v>
      </c>
      <c r="B10563" s="0" t="s">
        <v>98</v>
      </c>
      <c r="C10563" s="6" t="n">
        <f aca="false">Sens!C10562+Sens!C10560</f>
        <v>28.7416845916667</v>
      </c>
      <c r="D10563" s="6" t="n">
        <f aca="false">Sens!D10562+Sens!D10560</f>
        <v>43.4058093833333</v>
      </c>
      <c r="E10563" s="6" t="n">
        <f aca="false">Sens!E10562+Sens!E10560</f>
        <v>86.225053775</v>
      </c>
      <c r="F10563" s="6" t="n">
        <f aca="false">Sens!F10562+Sens!F10560</f>
        <v>168.617384270438</v>
      </c>
      <c r="G10563" s="6" t="n">
        <f aca="false">Sens!G10562+Sens!G10560</f>
        <v>183.5741804832</v>
      </c>
      <c r="H10563" s="6" t="n">
        <f aca="false">Sens!H10562+Sens!H10560</f>
        <v>188.0802859104</v>
      </c>
      <c r="I10563" s="6" t="n">
        <f aca="false">Sens!I10562+Sens!I10560</f>
        <v>163.706669154245</v>
      </c>
      <c r="J10563" s="6" t="n">
        <f aca="false">Sens!J10562+Sens!J10560</f>
        <v>124.51247671809</v>
      </c>
      <c r="K10563" s="6" t="n">
        <f aca="false">Sens!K10562+Sens!K10560</f>
        <v>114.959435641936</v>
      </c>
      <c r="L10563" s="11" t="s">
        <v>841</v>
      </c>
    </row>
    <row r="10564" customFormat="false" ht="17.15" hidden="false" customHeight="false" outlineLevel="0" collapsed="false">
      <c r="A10564" s="0" t="s">
        <v>842</v>
      </c>
      <c r="B10564" s="0" t="s">
        <v>98</v>
      </c>
      <c r="E10564" s="6" t="n">
        <f aca="false">(Sens!C10562*IF(2&lt;life_it,1,IF(2=life_it,0.5,0))+Sens!D10562*IF(1&lt;life_it,1,IF(1=life_it,0.5,0))+Sens!E10562*0.5)/life_it</f>
        <v>15.0605784770833</v>
      </c>
      <c r="F10564" s="6" t="n">
        <f aca="false">(Sens!C10562*IF(3&lt;life_it,1,IF(3=life_it,0.5,0))+Sens!D10562*IF(2&lt;life_it,1,IF(2=life_it,0.5,0))+Sens!E10562*IF(1&lt;life_it,1,IF(1=life_it,0.5,0))+Sens!F10562*0.5)/life_it</f>
        <v>32.2945729808698</v>
      </c>
      <c r="G10564" s="6" t="n">
        <f aca="false">(Sens!C10562*IF(4&lt;life_it,1,IF(4=life_it,0.5,0))+Sens!D10562*IF(3&lt;life_it,1,IF(3=life_it,0.5,0))+Sens!E10562*IF(2&lt;life_it,1,IF(2=life_it,0.5,0))+Sens!F10562*IF(1&lt;life_it,1,IF(1=life_it,0.5,0))+Sens!G10562*0.5)/life_it</f>
        <v>56.5247677103396</v>
      </c>
      <c r="H10564" s="6" t="n">
        <f aca="false">(Sens!C10562*IF(5&lt;life_it,1,IF(5=life_it,0.5,0))+Sens!D10562*IF(4&lt;life_it,1,IF(4=life_it,0.5,0))+Sens!E10562*IF(3&lt;life_it,1,IF(3=life_it,0.5,0))+Sens!F10562*IF(2&lt;life_it,1,IF(2=life_it,0.5,0))+Sens!G10562*IF(1&lt;life_it,1,IF(1=life_it,0.5,0))+Sens!H10562*0.5)/life_it</f>
        <v>82.1593692431396</v>
      </c>
      <c r="I10564" s="6" t="n">
        <f aca="false">(Sens!C10562*IF(6&lt;life_it,1,IF(6=life_it,0.5,0))+Sens!D10562*IF(5&lt;life_it,1,IF(5=life_it,0.5,0))+Sens!E10562*IF(4&lt;life_it,1,IF(4=life_it,0.5,0))+Sens!F10562*IF(3&lt;life_it,1,IF(3=life_it,0.5,0))+Sens!G10562*IF(2&lt;life_it,1,IF(2=life_it,0.5,0))+Sens!H10562*IF(1&lt;life_it,1,IF(1=life_it,0.5,0))+Sens!I10562*0.5)/life_it</f>
        <v>105.035633139221</v>
      </c>
      <c r="J10564" s="6" t="n">
        <f aca="false">(Sens!C10562*IF(7&lt;life_it,1,IF(7=life_it,0.5,0))+Sens!D10562*IF(6&lt;life_it,1,IF(6=life_it,0.5,0))+Sens!E10562*IF(5&lt;life_it,1,IF(5=life_it,0.5,0))+Sens!F10562*IF(4&lt;life_it,1,IF(4=life_it,0.5,0))+Sens!G10562*IF(3&lt;life_it,1,IF(3=life_it,0.5,0))+Sens!H10562*IF(2&lt;life_it,1,IF(2=life_it,0.5,0))+Sens!I10562*IF(1&lt;life_it,1,IF(1=life_it,0.5,0))+Sens!J10562*0.5)/life_it</f>
        <v>121.328886200666</v>
      </c>
      <c r="K10564" s="6" t="n">
        <f aca="false">(Sens!C10562*IF(8&lt;life_it,1,IF(8=life_it,0.5,0))+Sens!D10562*IF(7&lt;life_it,1,IF(7=life_it,0.5,0))+Sens!E10562*IF(6&lt;life_it,1,IF(6=life_it,0.5,0))+Sens!F10562*IF(5&lt;life_it,1,IF(5=life_it,0.5,0))+Sens!G10562*IF(4&lt;life_it,1,IF(4=life_it,0.5,0))+Sens!H10562*IF(3&lt;life_it,1,IF(3=life_it,0.5,0))+Sens!I10562*IF(2&lt;life_it,1,IF(2=life_it,0.5,0))+Sens!J10562*IF(1&lt;life_it,1,IF(1=life_it,0.5,0))+Sens!K10562*0.5)/life_it</f>
        <v>131.354446417474</v>
      </c>
    </row>
    <row r="10565" customFormat="false" ht="17.15" hidden="false" customHeight="false" outlineLevel="0" collapsed="false">
      <c r="A10565" s="0" t="s">
        <v>843</v>
      </c>
      <c r="B10565" s="0" t="s">
        <v>98</v>
      </c>
      <c r="E10565" s="6" t="n">
        <f aca="false">(Sens!C10560*IF(2&lt;life_fac,1,IF(2=life_fac,0.5,0))+Sens!D10560*IF(1&lt;life_fac,1,IF(1=life_fac,0.5,0))+Sens!E10560*0.5)/life_fac</f>
        <v>1.2448275</v>
      </c>
      <c r="F10565" s="6" t="n">
        <f aca="false">(Sens!C10560*IF(3&lt;life_fac,1,IF(3=life_fac,0.5,0))+Sens!D10560*IF(2&lt;life_fac,1,IF(2=life_fac,0.5,0))+Sens!E10560*IF(1&lt;life_fac,1,IF(1=life_fac,0.5,0))+Sens!F10560*0.5)/life_fac</f>
        <v>2.4456901</v>
      </c>
      <c r="G10565" s="6" t="n">
        <f aca="false">(Sens!C10560*IF(4&lt;life_fac,1,IF(4=life_fac,0.5,0))+Sens!D10560*IF(3&lt;life_fac,1,IF(3=life_fac,0.5,0))+Sens!E10560*IF(2&lt;life_fac,1,IF(2=life_fac,0.5,0))+Sens!F10560*IF(1&lt;life_fac,1,IF(1=life_fac,0.5,0))+Sens!G10560*0.5)/life_fac</f>
        <v>3.9814208</v>
      </c>
      <c r="H10565" s="6" t="n">
        <f aca="false">(Sens!C10560*IF(5&lt;life_fac,1,IF(5=life_fac,0.5,0))+Sens!D10560*IF(4&lt;life_fac,1,IF(4=life_fac,0.5,0))+Sens!E10560*IF(3&lt;life_fac,1,IF(3=life_fac,0.5,0))+Sens!F10560*IF(2&lt;life_fac,1,IF(2=life_fac,0.5,0))+Sens!G10560*IF(1&lt;life_fac,1,IF(1=life_fac,0.5,0))+Sens!H10560*0.5)/life_fac</f>
        <v>5.582402</v>
      </c>
      <c r="I10565" s="6" t="n">
        <f aca="false">(Sens!C10560*IF(6&lt;life_fac,1,IF(6=life_fac,0.5,0))+Sens!D10560*IF(5&lt;life_fac,1,IF(5=life_fac,0.5,0))+Sens!E10560*IF(4&lt;life_fac,1,IF(4=life_fac,0.5,0))+Sens!F10560*IF(3&lt;life_fac,1,IF(3=life_fac,0.5,0))+Sens!G10560*IF(2&lt;life_fac,1,IF(2=life_fac,0.5,0))+Sens!H10560*IF(1&lt;life_fac,1,IF(1=life_fac,0.5,0))+Sens!I10560*0.5)/life_fac</f>
        <v>6.950862093</v>
      </c>
      <c r="J10565" s="6" t="n">
        <f aca="false">(Sens!C10560*IF(7&lt;life_fac,1,IF(7=life_fac,0.5,0))+Sens!D10560*IF(6&lt;life_fac,1,IF(6=life_fac,0.5,0))+Sens!E10560*IF(5&lt;life_fac,1,IF(5=life_fac,0.5,0))+Sens!F10560*IF(4&lt;life_fac,1,IF(4=life_fac,0.5,0))+Sens!G10560*IF(3&lt;life_fac,1,IF(3=life_fac,0.5,0))+Sens!H10560*IF(2&lt;life_fac,1,IF(2=life_fac,0.5,0))+Sens!I10560*IF(1&lt;life_fac,1,IF(1=life_fac,0.5,0))+Sens!J10560*0.5)/life_fac</f>
        <v>7.854279972</v>
      </c>
      <c r="K10565" s="6" t="n">
        <f aca="false">(Sens!C10560*IF(8&lt;life_fac,1,IF(8=life_fac,0.5,0))+Sens!D10560*IF(7&lt;life_fac,1,IF(7=life_fac,0.5,0))+Sens!E10560*IF(6&lt;life_fac,1,IF(6=life_fac,0.5,0))+Sens!F10560*IF(5&lt;life_fac,1,IF(5=life_fac,0.5,0))+Sens!G10560*IF(4&lt;life_fac,1,IF(4=life_fac,0.5,0))+Sens!H10560*IF(3&lt;life_fac,1,IF(3=life_fac,0.5,0))+Sens!I10560*IF(2&lt;life_fac,1,IF(2=life_fac,0.5,0))+Sens!J10560*IF(1&lt;life_fac,1,IF(1=life_fac,0.5,0))+Sens!K10560*0.5)/life_fac</f>
        <v>8.292655637</v>
      </c>
    </row>
    <row r="10566" customFormat="false" ht="17.15" hidden="false" customHeight="false" outlineLevel="0" collapsed="false">
      <c r="A10566" s="0" t="s">
        <v>844</v>
      </c>
      <c r="B10566" s="0" t="s">
        <v>98</v>
      </c>
      <c r="E10566" s="6" t="n">
        <f aca="false">Sens!E10564+Sens!E10565</f>
        <v>16.3054059770833</v>
      </c>
      <c r="F10566" s="6" t="n">
        <f aca="false">Sens!F10564+Sens!F10565</f>
        <v>34.7402630808698</v>
      </c>
      <c r="G10566" s="6" t="n">
        <f aca="false">Sens!G10564+Sens!G10565</f>
        <v>60.5061885103396</v>
      </c>
      <c r="H10566" s="6" t="n">
        <f aca="false">Sens!H10564+Sens!H10565</f>
        <v>87.7417712431396</v>
      </c>
      <c r="I10566" s="6" t="n">
        <f aca="false">Sens!I10564+Sens!I10565</f>
        <v>111.986495232221</v>
      </c>
      <c r="J10566" s="6" t="n">
        <f aca="false">Sens!J10564+Sens!J10565</f>
        <v>129.183166172666</v>
      </c>
      <c r="K10566" s="6" t="n">
        <f aca="false">Sens!K10564+Sens!K10565</f>
        <v>139.647102054474</v>
      </c>
    </row>
    <row r="10567" customFormat="false" ht="17.15" hidden="false" customHeight="false" outlineLevel="0" collapsed="false">
      <c r="A10567" s="0" t="s">
        <v>845</v>
      </c>
      <c r="B10567" s="0" t="s">
        <v>98</v>
      </c>
      <c r="E10567" s="6" t="n">
        <f aca="false">Sens!E10555-Sens!E10554*Sens!E10566</f>
        <v>8.92707889977379</v>
      </c>
      <c r="F10567" s="6" t="n">
        <f aca="false">Sens!F10555-Sens!F10554*Sens!F10566</f>
        <v>18.615282900672</v>
      </c>
      <c r="G10567" s="6" t="n">
        <f aca="false">Sens!G10555-Sens!G10554*Sens!G10566</f>
        <v>30.2490414516024</v>
      </c>
      <c r="H10567" s="6" t="n">
        <f aca="false">Sens!H10555-Sens!H10554*Sens!H10566</f>
        <v>42.5745822379752</v>
      </c>
      <c r="I10567" s="6" t="n">
        <f aca="false">Sens!I10555-Sens!I10554*Sens!I10566</f>
        <v>53.5306938784555</v>
      </c>
      <c r="J10567" s="6" t="n">
        <f aca="false">Sens!J10555-Sens!J10554*Sens!J10566</f>
        <v>61.1270308156484</v>
      </c>
      <c r="K10567" s="6" t="n">
        <f aca="false">Sens!K10555-Sens!K10554*Sens!K10566</f>
        <v>66.3465763857137</v>
      </c>
    </row>
    <row r="10568" customFormat="false" ht="17.15" hidden="false" customHeight="false" outlineLevel="0" collapsed="false">
      <c r="A10568" s="3" t="s">
        <v>1510</v>
      </c>
    </row>
    <row r="10569" customFormat="false" ht="15" hidden="false" customHeight="false" outlineLevel="0" collapsed="false">
      <c r="A10569" s="4" t="s">
        <v>43</v>
      </c>
      <c r="B10569" s="4" t="s">
        <v>65</v>
      </c>
      <c r="C10569" s="20" t="s">
        <v>788</v>
      </c>
      <c r="D10569" s="20" t="s">
        <v>789</v>
      </c>
      <c r="E10569" s="20" t="s">
        <v>790</v>
      </c>
      <c r="F10569" s="20" t="s">
        <v>791</v>
      </c>
      <c r="G10569" s="20" t="s">
        <v>792</v>
      </c>
      <c r="H10569" s="20" t="s">
        <v>793</v>
      </c>
      <c r="I10569" s="20" t="s">
        <v>794</v>
      </c>
      <c r="J10569" s="20" t="s">
        <v>795</v>
      </c>
      <c r="K10569" s="20" t="s">
        <v>796</v>
      </c>
      <c r="L10569" s="4" t="s">
        <v>47</v>
      </c>
    </row>
    <row r="10570" customFormat="false" ht="17.15" hidden="false" customHeight="false" outlineLevel="0" collapsed="false">
      <c r="A10570" s="0" t="s">
        <v>864</v>
      </c>
      <c r="B10570" s="0" t="s">
        <v>98</v>
      </c>
      <c r="D10570" s="6" t="n">
        <f aca="false">Sens!D10549</f>
        <v>12.9359794422418</v>
      </c>
      <c r="E10570" s="6" t="n">
        <f aca="false">Sens!E10549</f>
        <v>27.8095064661409</v>
      </c>
      <c r="F10570" s="6" t="n">
        <f aca="false">Sens!F10549</f>
        <v>55.0640065749585</v>
      </c>
      <c r="G10570" s="6" t="n">
        <f aca="false">Sens!G10549</f>
        <v>89.4505413190538</v>
      </c>
      <c r="H10570" s="6" t="n">
        <f aca="false">Sens!H10549</f>
        <v>124.835630736874</v>
      </c>
      <c r="I10570" s="6" t="n">
        <f aca="false">Sens!I10549</f>
        <v>156.158460265485</v>
      </c>
      <c r="J10570" s="6" t="n">
        <f aca="false">Sens!J10549</f>
        <v>177.99455972577</v>
      </c>
      <c r="K10570" s="6" t="n">
        <f aca="false">Sens!K10549</f>
        <v>191.597101773408</v>
      </c>
    </row>
    <row r="10571" customFormat="false" ht="17.15" hidden="false" customHeight="false" outlineLevel="0" collapsed="false">
      <c r="A10571" s="0" t="s">
        <v>865</v>
      </c>
      <c r="B10571" s="0" t="s">
        <v>98</v>
      </c>
      <c r="D10571" s="6" t="n">
        <f aca="false">Q!L6-Sens!D10570</f>
        <v>59.6740205577583</v>
      </c>
      <c r="E10571" s="6" t="n">
        <f aca="false">Q!M6-Sens!E10570</f>
        <v>74.1284935338591</v>
      </c>
      <c r="F10571" s="6" t="n">
        <f aca="false">Sens!E10571*(1+Sens!F10572)</f>
        <v>90.0799497373663</v>
      </c>
      <c r="G10571" s="6" t="n">
        <f aca="false">Sens!F10571*(1+Sens!G10572)</f>
        <v>107.02842520331</v>
      </c>
      <c r="H10571" s="6" t="n">
        <f aca="false">Sens!G10571*(1+Sens!H10572)</f>
        <v>124.271982585636</v>
      </c>
      <c r="I10571" s="6" t="n">
        <f aca="false">Sens!H10571*(1+Sens!I10572)</f>
        <v>140.933702381855</v>
      </c>
      <c r="J10571" s="6" t="n">
        <f aca="false">Sens!I10571*(1+Sens!J10572)</f>
        <v>156.018867314332</v>
      </c>
      <c r="K10571" s="6" t="n">
        <f aca="false">Sens!J10571*(1+Sens!K10572)</f>
        <v>168.500376699478</v>
      </c>
    </row>
    <row r="10572" customFormat="false" ht="15" hidden="false" customHeight="false" outlineLevel="0" collapsed="false">
      <c r="A10572" s="1" t="s">
        <v>866</v>
      </c>
      <c r="B10572" s="0" t="s">
        <v>129</v>
      </c>
      <c r="E10572" s="7" t="n">
        <f aca="false">Sens!E10571/Sens!D10571-1</f>
        <v>0.242223883039864</v>
      </c>
      <c r="F10572" s="7" t="n">
        <f aca="false">Sens!$E$10572+(glt_azo-Sens!$E$10572)*MIN(1,(Sens!F10532-base_fy)/n_conv)</f>
        <v>0.215186569199887</v>
      </c>
      <c r="G10572" s="7" t="n">
        <f aca="false">Sens!$E$10572+(glt_azo-Sens!$E$10572)*MIN(1,(Sens!G10532-base_fy)/n_conv)</f>
        <v>0.18814925535991</v>
      </c>
      <c r="H10572" s="7" t="n">
        <f aca="false">Sens!$E$10572+(glt_azo-Sens!$E$10572)*MIN(1,(Sens!H10532-base_fy)/n_conv)</f>
        <v>0.161111941519932</v>
      </c>
      <c r="I10572" s="7" t="n">
        <f aca="false">Sens!$E$10572+(glt_azo-Sens!$E$10572)*MIN(1,(Sens!I10532-base_fy)/n_conv)</f>
        <v>0.134074627679955</v>
      </c>
      <c r="J10572" s="7" t="n">
        <f aca="false">Sens!$E$10572+(glt_azo-Sens!$E$10572)*MIN(1,(Sens!J10532-base_fy)/n_conv)</f>
        <v>0.107037313839977</v>
      </c>
      <c r="K10572" s="7" t="n">
        <f aca="false">Sens!$E$10572+(glt_azo-Sens!$E$10572)*MIN(1,(Sens!K10532-base_fy)/n_conv)</f>
        <v>0.08</v>
      </c>
    </row>
    <row r="10573" customFormat="false" ht="15" hidden="false" customHeight="false" outlineLevel="0" collapsed="false">
      <c r="A10573" s="0" t="s">
        <v>867</v>
      </c>
      <c r="B10573" s="0" t="s">
        <v>98</v>
      </c>
      <c r="D10573" s="6" t="n">
        <f aca="false">Sens!D10570+Sens!D10571</f>
        <v>72.61</v>
      </c>
      <c r="E10573" s="6" t="n">
        <f aca="false">Sens!E10570+Sens!E10571</f>
        <v>101.938</v>
      </c>
      <c r="F10573" s="6" t="n">
        <f aca="false">Sens!F10570+Sens!F10571</f>
        <v>145.143956312325</v>
      </c>
      <c r="G10573" s="6" t="n">
        <f aca="false">Sens!G10570+Sens!G10571</f>
        <v>196.478966522364</v>
      </c>
      <c r="H10573" s="6" t="n">
        <f aca="false">Sens!H10570+Sens!H10571</f>
        <v>249.10761332251</v>
      </c>
      <c r="I10573" s="6" t="n">
        <f aca="false">Sens!I10570+Sens!I10571</f>
        <v>297.09216264734</v>
      </c>
      <c r="J10573" s="6" t="n">
        <f aca="false">Sens!J10570+Sens!J10571</f>
        <v>334.013427040101</v>
      </c>
      <c r="K10573" s="6" t="n">
        <f aca="false">Sens!K10570+Sens!K10571</f>
        <v>360.097478472886</v>
      </c>
    </row>
    <row r="10574" customFormat="false" ht="17.15" hidden="false" customHeight="false" outlineLevel="0" collapsed="false">
      <c r="A10574" s="0" t="s">
        <v>868</v>
      </c>
      <c r="B10574" s="1" t="s">
        <v>521</v>
      </c>
      <c r="C10574" s="29" t="n">
        <f aca="false">cop_s24</f>
        <v>1</v>
      </c>
      <c r="D10574" s="29" t="n">
        <f aca="false">cop_s25</f>
        <v>5</v>
      </c>
      <c r="E10574" s="29" t="n">
        <f aca="false">cop_s26</f>
        <v>30</v>
      </c>
      <c r="F10574" s="29" t="n">
        <f aca="false">Sens!E10574+cop_add_B</f>
        <v>50</v>
      </c>
      <c r="G10574" s="29" t="n">
        <f aca="false">Sens!F10574+cop_add_B</f>
        <v>70</v>
      </c>
      <c r="H10574" s="29" t="n">
        <f aca="false">Sens!G10574+cop_add_B</f>
        <v>90</v>
      </c>
      <c r="I10574" s="29" t="n">
        <f aca="false">Sens!H10574+cop_add_B*cop_tail</f>
        <v>100</v>
      </c>
      <c r="J10574" s="29" t="n">
        <f aca="false">Sens!I10574+cop_add_B*cop_tail</f>
        <v>110</v>
      </c>
      <c r="K10574" s="29" t="n">
        <f aca="false">Sens!J10574+cop_add_B*cop_tail</f>
        <v>120</v>
      </c>
      <c r="L10574" s="11" t="s">
        <v>869</v>
      </c>
    </row>
    <row r="10575" customFormat="false" ht="17.15" hidden="false" customHeight="false" outlineLevel="0" collapsed="false">
      <c r="A10575" s="0" t="s">
        <v>870</v>
      </c>
      <c r="B10575" s="0" t="s">
        <v>98</v>
      </c>
      <c r="D10575" s="6" t="n">
        <f aca="false">(Sens!C10574+Sens!D10574)/2*cop_px*12/1000</f>
        <v>0.9</v>
      </c>
      <c r="E10575" s="6" t="n">
        <f aca="false">(Sens!D10574+Sens!E10574)/2*cop_px*12/1000</f>
        <v>5.25</v>
      </c>
      <c r="F10575" s="6" t="n">
        <f aca="false">(Sens!E10574+Sens!F10574)/2*cop_px*12/1000</f>
        <v>12</v>
      </c>
      <c r="G10575" s="6" t="n">
        <f aca="false">(Sens!F10574+Sens!G10574)/2*cop_px*12/1000</f>
        <v>18</v>
      </c>
      <c r="H10575" s="6" t="n">
        <f aca="false">(Sens!G10574+Sens!H10574)/2*cop_px*12/1000</f>
        <v>24</v>
      </c>
      <c r="I10575" s="6" t="n">
        <f aca="false">(Sens!H10574+Sens!I10574)/2*cop_px*12/1000</f>
        <v>28.5</v>
      </c>
      <c r="J10575" s="6" t="n">
        <f aca="false">(Sens!I10574+Sens!J10574)/2*cop_px*12/1000</f>
        <v>31.5</v>
      </c>
      <c r="K10575" s="6" t="n">
        <f aca="false">(Sens!J10574+Sens!K10574)/2*cop_px*12/1000</f>
        <v>34.5</v>
      </c>
      <c r="L10575" s="1" t="s">
        <v>871</v>
      </c>
    </row>
    <row r="10576" customFormat="false" ht="17.15" hidden="false" customHeight="false" outlineLevel="0" collapsed="false">
      <c r="A10576" s="0" t="s">
        <v>872</v>
      </c>
      <c r="B10576" s="0" t="s">
        <v>98</v>
      </c>
      <c r="D10576" s="6" t="n">
        <f aca="false">Q!L7-Sens!D10575</f>
        <v>83.705</v>
      </c>
      <c r="E10576" s="6" t="n">
        <f aca="false">Q!M7-Sens!E10575</f>
        <v>95.049</v>
      </c>
      <c r="F10576" s="6" t="n">
        <f aca="false">Sens!E10576*(1+Sens!F10577)</f>
        <v>106.89238776686</v>
      </c>
      <c r="G10576" s="6" t="n">
        <f aca="false">Sens!F10576*(1+Sens!G10577)</f>
        <v>119.044168448684</v>
      </c>
      <c r="H10576" s="6" t="n">
        <f aca="false">Sens!G10576*(1+Sens!H10577)</f>
        <v>131.277359388781</v>
      </c>
      <c r="I10576" s="6" t="n">
        <f aca="false">Sens!H10576*(1+Sens!I10577)</f>
        <v>143.334028071957</v>
      </c>
      <c r="J10576" s="6" t="n">
        <f aca="false">Sens!I10576*(1+Sens!J10577)</f>
        <v>154.932702785465</v>
      </c>
      <c r="K10576" s="6" t="n">
        <f aca="false">Sens!J10576*(1+Sens!K10577)</f>
        <v>165.777991980448</v>
      </c>
    </row>
    <row r="10577" customFormat="false" ht="15" hidden="false" customHeight="false" outlineLevel="0" collapsed="false">
      <c r="A10577" s="1" t="s">
        <v>866</v>
      </c>
      <c r="B10577" s="0" t="s">
        <v>129</v>
      </c>
      <c r="E10577" s="7" t="n">
        <f aca="false">Sens!E10576/Sens!D10576-1</f>
        <v>0.135523564900544</v>
      </c>
      <c r="F10577" s="7" t="n">
        <f aca="false">Sens!$E$10577+(glt_m365b-Sens!$E$10577)*MIN(1,(Sens!F10532-base_fy)/n_conv)</f>
        <v>0.124602970750453</v>
      </c>
      <c r="G10577" s="7" t="n">
        <f aca="false">Sens!$E$10577+(glt_m365b-Sens!$E$10577)*MIN(1,(Sens!G10532-base_fy)/n_conv)</f>
        <v>0.113682376600363</v>
      </c>
      <c r="H10577" s="7" t="n">
        <f aca="false">Sens!$E$10577+(glt_m365b-Sens!$E$10577)*MIN(1,(Sens!H10532-base_fy)/n_conv)</f>
        <v>0.102761782450272</v>
      </c>
      <c r="I10577" s="7" t="n">
        <f aca="false">Sens!$E$10577+(glt_m365b-Sens!$E$10577)*MIN(1,(Sens!I10532-base_fy)/n_conv)</f>
        <v>0.0918411883001813</v>
      </c>
      <c r="J10577" s="7" t="n">
        <f aca="false">Sens!$E$10577+(glt_m365b-Sens!$E$10577)*MIN(1,(Sens!J10532-base_fy)/n_conv)</f>
        <v>0.0809205941500906</v>
      </c>
      <c r="K10577" s="7" t="n">
        <f aca="false">Sens!$E$10577+(glt_m365b-Sens!$E$10577)*MIN(1,(Sens!K10532-base_fy)/n_conv)</f>
        <v>0.07</v>
      </c>
    </row>
    <row r="10578" customFormat="false" ht="15" hidden="false" customHeight="false" outlineLevel="0" collapsed="false">
      <c r="A10578" s="0" t="s">
        <v>873</v>
      </c>
      <c r="B10578" s="0" t="s">
        <v>98</v>
      </c>
      <c r="D10578" s="6" t="n">
        <f aca="false">Sens!D10576+Sens!D10575</f>
        <v>84.605</v>
      </c>
      <c r="E10578" s="6" t="n">
        <f aca="false">Sens!E10576+Sens!E10575</f>
        <v>100.299</v>
      </c>
      <c r="F10578" s="6" t="n">
        <f aca="false">Sens!F10576+Sens!F10575</f>
        <v>118.89238776686</v>
      </c>
      <c r="G10578" s="6" t="n">
        <f aca="false">Sens!G10576+Sens!G10575</f>
        <v>137.044168448684</v>
      </c>
      <c r="H10578" s="6" t="n">
        <f aca="false">Sens!H10576+Sens!H10575</f>
        <v>155.277359388781</v>
      </c>
      <c r="I10578" s="6" t="n">
        <f aca="false">Sens!I10576+Sens!I10575</f>
        <v>171.834028071957</v>
      </c>
      <c r="J10578" s="6" t="n">
        <f aca="false">Sens!J10576+Sens!J10575</f>
        <v>186.432702785465</v>
      </c>
      <c r="K10578" s="6" t="n">
        <f aca="false">Sens!K10576+Sens!K10575</f>
        <v>200.277991980448</v>
      </c>
    </row>
    <row r="10579" customFormat="false" ht="15" hidden="false" customHeight="false" outlineLevel="0" collapsed="false">
      <c r="A10579" s="0" t="s">
        <v>874</v>
      </c>
      <c r="B10579" s="0" t="s">
        <v>98</v>
      </c>
      <c r="D10579" s="6" t="n">
        <f aca="false">Q!L8</f>
        <v>35.391</v>
      </c>
      <c r="E10579" s="6" t="n">
        <f aca="false">Q!M8</f>
        <v>37.285</v>
      </c>
      <c r="F10579" s="6" t="n">
        <f aca="false">Sens!E10579*(1+Sens!F10580)</f>
        <v>39.0720834331704</v>
      </c>
      <c r="G10579" s="6" t="n">
        <f aca="false">Sens!F10579*(1+Sens!G10580)</f>
        <v>40.726562953769</v>
      </c>
      <c r="H10579" s="6" t="n">
        <f aca="false">Sens!G10579*(1+Sens!H10580)</f>
        <v>42.2235987259198</v>
      </c>
      <c r="I10579" s="6" t="n">
        <f aca="false">Sens!H10579*(1+Sens!I10580)</f>
        <v>43.5397988077414</v>
      </c>
      <c r="J10579" s="6" t="n">
        <f aca="false">Sens!I10579*(1+Sens!J10580)</f>
        <v>44.653811225693</v>
      </c>
      <c r="K10579" s="6" t="n">
        <f aca="false">Sens!J10579*(1+Sens!K10580)</f>
        <v>45.5468874502068</v>
      </c>
    </row>
    <row r="10580" customFormat="false" ht="15" hidden="false" customHeight="false" outlineLevel="0" collapsed="false">
      <c r="A10580" s="1" t="s">
        <v>866</v>
      </c>
      <c r="B10580" s="0" t="s">
        <v>129</v>
      </c>
      <c r="E10580" s="7" t="n">
        <f aca="false">Sens!E10579/Sens!D10579-1</f>
        <v>0.0535164307309768</v>
      </c>
      <c r="F10580" s="7" t="n">
        <f aca="false">Sens!$E$10580+(glt_lic-Sens!$E$10580)*MIN(1,(Sens!F10532-base_fy)/n_conv)</f>
        <v>0.0479303589424807</v>
      </c>
      <c r="G10580" s="7" t="n">
        <f aca="false">Sens!$E$10580+(glt_lic-Sens!$E$10580)*MIN(1,(Sens!G10532-base_fy)/n_conv)</f>
        <v>0.0423442871539845</v>
      </c>
      <c r="H10580" s="7" t="n">
        <f aca="false">Sens!$E$10580+(glt_lic-Sens!$E$10580)*MIN(1,(Sens!H10532-base_fy)/n_conv)</f>
        <v>0.0367582153654884</v>
      </c>
      <c r="I10580" s="7" t="n">
        <f aca="false">Sens!$E$10580+(glt_lic-Sens!$E$10580)*MIN(1,(Sens!I10532-base_fy)/n_conv)</f>
        <v>0.0311721435769923</v>
      </c>
      <c r="J10580" s="7" t="n">
        <f aca="false">Sens!$E$10580+(glt_lic-Sens!$E$10580)*MIN(1,(Sens!J10532-base_fy)/n_conv)</f>
        <v>0.0255860717884961</v>
      </c>
      <c r="K10580" s="7" t="n">
        <f aca="false">Sens!$E$10580+(glt_lic-Sens!$E$10580)*MIN(1,(Sens!K10532-base_fy)/n_conv)</f>
        <v>0.02</v>
      </c>
    </row>
    <row r="10581" customFormat="false" ht="15" hidden="false" customHeight="false" outlineLevel="0" collapsed="false">
      <c r="A10581" s="0" t="s">
        <v>875</v>
      </c>
      <c r="B10581" s="0" t="s">
        <v>98</v>
      </c>
      <c r="D10581" s="6" t="n">
        <f aca="false">Q!L9</f>
        <v>18.417</v>
      </c>
      <c r="E10581" s="6" t="n">
        <f aca="false">Q!M9</f>
        <v>20.345</v>
      </c>
      <c r="F10581" s="6" t="n">
        <f aca="false">Sens!E10581*(1+Sens!F10582)</f>
        <v>22.3572203267814</v>
      </c>
      <c r="G10581" s="6" t="n">
        <f aca="false">Sens!F10581*(1+Sens!G10582)</f>
        <v>24.4392124437232</v>
      </c>
      <c r="H10581" s="6" t="n">
        <f aca="false">Sens!G10581*(1+Sens!H10582)</f>
        <v>26.5738052080665</v>
      </c>
      <c r="I10581" s="6" t="n">
        <f aca="false">Sens!H10581*(1+Sens!I10582)</f>
        <v>28.7412169166967</v>
      </c>
      <c r="J10581" s="6" t="n">
        <f aca="false">Sens!I10581*(1+Sens!J10582)</f>
        <v>30.9192545395413</v>
      </c>
      <c r="K10581" s="6" t="n">
        <f aca="false">Sens!J10581*(1+Sens!K10582)</f>
        <v>33.0836023573092</v>
      </c>
    </row>
    <row r="10582" customFormat="false" ht="15" hidden="false" customHeight="false" outlineLevel="0" collapsed="false">
      <c r="A10582" s="1" t="s">
        <v>866</v>
      </c>
      <c r="B10582" s="0" t="s">
        <v>129</v>
      </c>
      <c r="E10582" s="7" t="n">
        <f aca="false">Sens!E10581/Sens!D10581-1</f>
        <v>0.104685888038225</v>
      </c>
      <c r="F10582" s="7" t="n">
        <f aca="false">Sens!$E$10582+(glt_ind-Sens!$E$10582)*MIN(1,(Sens!F10532-base_fy)/n_conv)</f>
        <v>0.0989049066985211</v>
      </c>
      <c r="G10582" s="7" t="n">
        <f aca="false">Sens!$E$10582+(glt_ind-Sens!$E$10582)*MIN(1,(Sens!G10532-base_fy)/n_conv)</f>
        <v>0.0931239253588169</v>
      </c>
      <c r="H10582" s="7" t="n">
        <f aca="false">Sens!$E$10582+(glt_ind-Sens!$E$10582)*MIN(1,(Sens!H10532-base_fy)/n_conv)</f>
        <v>0.0873429440191127</v>
      </c>
      <c r="I10582" s="7" t="n">
        <f aca="false">Sens!$E$10582+(glt_ind-Sens!$E$10582)*MIN(1,(Sens!I10532-base_fy)/n_conv)</f>
        <v>0.0815619626794085</v>
      </c>
      <c r="J10582" s="7" t="n">
        <f aca="false">Sens!$E$10582+(glt_ind-Sens!$E$10582)*MIN(1,(Sens!J10532-base_fy)/n_conv)</f>
        <v>0.0757809813397042</v>
      </c>
      <c r="K10582" s="7" t="n">
        <f aca="false">Sens!$E$10582+(glt_ind-Sens!$E$10582)*MIN(1,(Sens!K10532-base_fy)/n_conv)</f>
        <v>0.07</v>
      </c>
    </row>
    <row r="10583" customFormat="false" ht="15" hidden="false" customHeight="false" outlineLevel="0" collapsed="false">
      <c r="A10583" s="0" t="s">
        <v>876</v>
      </c>
      <c r="B10583" s="0" t="s">
        <v>98</v>
      </c>
      <c r="D10583" s="6" t="n">
        <f aca="false">Q!L10</f>
        <v>7.76</v>
      </c>
      <c r="E10583" s="6" t="n">
        <f aca="false">Q!M10</f>
        <v>8.26</v>
      </c>
      <c r="F10583" s="6" t="n">
        <f aca="false">Sens!E10583*(1+Sens!F10584)</f>
        <v>8.79988041237113</v>
      </c>
      <c r="G10583" s="6" t="n">
        <f aca="false">Sens!F10583*(1+Sens!G10584)</f>
        <v>9.38321269125306</v>
      </c>
      <c r="H10583" s="6" t="n">
        <f aca="false">Sens!G10583*(1+Sens!H10584)</f>
        <v>10.0139193587476</v>
      </c>
      <c r="I10583" s="6" t="n">
        <f aca="false">Sens!H10583*(1+Sens!I10584)</f>
        <v>10.6963111830911</v>
      </c>
      <c r="J10583" s="6" t="n">
        <f aca="false">Sens!I10583*(1+Sens!J10584)</f>
        <v>11.4351285534696</v>
      </c>
      <c r="K10583" s="6" t="n">
        <f aca="false">Sens!J10583*(1+Sens!K10584)</f>
        <v>12.2355875522124</v>
      </c>
    </row>
    <row r="10584" customFormat="false" ht="15" hidden="false" customHeight="false" outlineLevel="0" collapsed="false">
      <c r="A10584" s="1" t="s">
        <v>866</v>
      </c>
      <c r="B10584" s="0" t="s">
        <v>129</v>
      </c>
      <c r="E10584" s="7" t="n">
        <f aca="false">Sens!E10583/Sens!D10583-1</f>
        <v>0.0644329896907216</v>
      </c>
      <c r="F10584" s="7" t="n">
        <f aca="false">Sens!$E$10584+(glt_fro-Sens!$E$10584)*MIN(1,(Sens!F10532-base_fy)/n_conv)</f>
        <v>0.065360824742268</v>
      </c>
      <c r="G10584" s="7" t="n">
        <f aca="false">Sens!$E$10584+(glt_fro-Sens!$E$10584)*MIN(1,(Sens!G10532-base_fy)/n_conv)</f>
        <v>0.0662886597938144</v>
      </c>
      <c r="H10584" s="7" t="n">
        <f aca="false">Sens!$E$10584+(glt_fro-Sens!$E$10584)*MIN(1,(Sens!H10532-base_fy)/n_conv)</f>
        <v>0.0672164948453608</v>
      </c>
      <c r="I10584" s="7" t="n">
        <f aca="false">Sens!$E$10584+(glt_fro-Sens!$E$10584)*MIN(1,(Sens!I10532-base_fy)/n_conv)</f>
        <v>0.0681443298969072</v>
      </c>
      <c r="J10584" s="7" t="n">
        <f aca="false">Sens!$E$10584+(glt_fro-Sens!$E$10584)*MIN(1,(Sens!J10532-base_fy)/n_conv)</f>
        <v>0.0690721649484536</v>
      </c>
      <c r="K10584" s="7" t="n">
        <f aca="false">Sens!$E$10584+(glt_fro-Sens!$E$10584)*MIN(1,(Sens!K10532-base_fy)/n_conv)</f>
        <v>0.07</v>
      </c>
    </row>
    <row r="10585" customFormat="false" ht="15" hidden="false" customHeight="false" outlineLevel="0" collapsed="false">
      <c r="A10585" s="0" t="s">
        <v>704</v>
      </c>
      <c r="B10585" s="0" t="s">
        <v>98</v>
      </c>
      <c r="D10585" s="6" t="n">
        <f aca="false">Sens!D10573+Sens!D10578+Sens!D10579+Sens!D10581+Sens!D10583</f>
        <v>218.783</v>
      </c>
      <c r="E10585" s="6" t="n">
        <f aca="false">Sens!E10573+Sens!E10578+Sens!E10579+Sens!E10581+Sens!E10583</f>
        <v>268.127</v>
      </c>
      <c r="F10585" s="6" t="n">
        <f aca="false">Sens!F10573+Sens!F10578+Sens!F10579+Sens!F10581+Sens!F10583</f>
        <v>334.265528251508</v>
      </c>
      <c r="G10585" s="6" t="n">
        <f aca="false">Sens!G10573+Sens!G10578+Sens!G10579+Sens!G10581+Sens!G10583</f>
        <v>408.072123059793</v>
      </c>
      <c r="H10585" s="6" t="n">
        <f aca="false">Sens!H10573+Sens!H10578+Sens!H10579+Sens!H10581+Sens!H10583</f>
        <v>483.196296004025</v>
      </c>
      <c r="I10585" s="6" t="n">
        <f aca="false">Sens!I10573+Sens!I10578+Sens!I10579+Sens!I10581+Sens!I10583</f>
        <v>551.903517626826</v>
      </c>
      <c r="J10585" s="6" t="n">
        <f aca="false">Sens!J10573+Sens!J10578+Sens!J10579+Sens!J10581+Sens!J10583</f>
        <v>607.45432414427</v>
      </c>
      <c r="K10585" s="6" t="n">
        <f aca="false">Sens!K10573+Sens!K10578+Sens!K10579+Sens!K10581+Sens!K10583</f>
        <v>651.241547813062</v>
      </c>
    </row>
    <row r="10586" customFormat="false" ht="15" hidden="false" customHeight="false" outlineLevel="0" collapsed="false">
      <c r="A10586" s="0" t="s">
        <v>877</v>
      </c>
      <c r="B10586" s="0" t="s">
        <v>98</v>
      </c>
      <c r="D10586" s="6" t="n">
        <f aca="false">Q!L13</f>
        <v>22.171</v>
      </c>
      <c r="E10586" s="6" t="n">
        <f aca="false">Q!M13</f>
        <v>24.835</v>
      </c>
      <c r="F10586" s="6" t="n">
        <f aca="false">Sens!E10586*(1+Sens!F10587)</f>
        <v>27.6114901218559</v>
      </c>
      <c r="G10586" s="6" t="n">
        <f aca="false">Sens!F10586*(1+Sens!G10587)</f>
        <v>30.4675667338515</v>
      </c>
      <c r="H10586" s="6" t="n">
        <f aca="false">Sens!G10586*(1+Sens!H10587)</f>
        <v>33.3643766955789</v>
      </c>
      <c r="I10586" s="6" t="n">
        <f aca="false">Sens!H10586*(1+Sens!I10587)</f>
        <v>36.2577016533691</v>
      </c>
      <c r="J10586" s="6" t="n">
        <f aca="false">Sens!I10586*(1+Sens!J10587)</f>
        <v>39.0988367952171</v>
      </c>
      <c r="K10586" s="6" t="n">
        <f aca="false">Sens!J10586*(1+Sens!K10587)</f>
        <v>41.8357553708823</v>
      </c>
    </row>
    <row r="10587" customFormat="false" ht="15" hidden="false" customHeight="false" outlineLevel="0" collapsed="false">
      <c r="A10587" s="1" t="s">
        <v>866</v>
      </c>
      <c r="B10587" s="0" t="s">
        <v>129</v>
      </c>
      <c r="E10587" s="7" t="n">
        <f aca="false">Sens!E10586/Sens!D10586-1</f>
        <v>0.120156961796942</v>
      </c>
      <c r="F10587" s="7" t="n">
        <f aca="false">Sens!$E$10587+(glt_srch-Sens!$E$10587)*MIN(1,(Sens!F10532-base_fy)/n_conv)</f>
        <v>0.111797468164118</v>
      </c>
      <c r="G10587" s="7" t="n">
        <f aca="false">Sens!$E$10587+(glt_srch-Sens!$E$10587)*MIN(1,(Sens!G10532-base_fy)/n_conv)</f>
        <v>0.103437974531295</v>
      </c>
      <c r="H10587" s="7" t="n">
        <f aca="false">Sens!$E$10587+(glt_srch-Sens!$E$10587)*MIN(1,(Sens!H10532-base_fy)/n_conv)</f>
        <v>0.095078480898471</v>
      </c>
      <c r="I10587" s="7" t="n">
        <f aca="false">Sens!$E$10587+(glt_srch-Sens!$E$10587)*MIN(1,(Sens!I10532-base_fy)/n_conv)</f>
        <v>0.0867189872656474</v>
      </c>
      <c r="J10587" s="7" t="n">
        <f aca="false">Sens!$E$10587+(glt_srch-Sens!$E$10587)*MIN(1,(Sens!J10532-base_fy)/n_conv)</f>
        <v>0.0783594936328237</v>
      </c>
      <c r="K10587" s="7" t="n">
        <f aca="false">Sens!$E$10587+(glt_srch-Sens!$E$10587)*MIN(1,(Sens!K10532-base_fy)/n_conv)</f>
        <v>0.07</v>
      </c>
    </row>
    <row r="10588" customFormat="false" ht="15" hidden="false" customHeight="false" outlineLevel="0" collapsed="false">
      <c r="A10588" s="0" t="s">
        <v>878</v>
      </c>
      <c r="B10588" s="0" t="s">
        <v>98</v>
      </c>
      <c r="D10588" s="6" t="n">
        <f aca="false">Q!L14</f>
        <v>23.455</v>
      </c>
      <c r="E10588" s="6" t="n">
        <f aca="false">Q!M14</f>
        <v>21.79</v>
      </c>
      <c r="F10588" s="6" t="n">
        <f aca="false">Sens!E10588*(1+Sens!F10589)</f>
        <v>20.6825777908051</v>
      </c>
      <c r="G10588" s="6" t="n">
        <f aca="false">Sens!F10588*(1+Sens!G10589)</f>
        <v>20.0484913708632</v>
      </c>
      <c r="H10588" s="6" t="n">
        <f aca="false">Sens!G10588*(1+Sens!H10589)</f>
        <v>19.8381125629905</v>
      </c>
      <c r="I10588" s="6" t="n">
        <f aca="false">Sens!H10588*(1+Sens!I10589)</f>
        <v>20.0299669735513</v>
      </c>
      <c r="J10588" s="6" t="n">
        <f aca="false">Sens!I10588*(1+Sens!J10589)</f>
        <v>20.6275710652887</v>
      </c>
      <c r="K10588" s="6" t="n">
        <f aca="false">Sens!J10588*(1+Sens!K10589)</f>
        <v>21.6589496185531</v>
      </c>
    </row>
    <row r="10589" customFormat="false" ht="15" hidden="false" customHeight="false" outlineLevel="0" collapsed="false">
      <c r="A10589" s="1" t="s">
        <v>866</v>
      </c>
      <c r="B10589" s="0" t="s">
        <v>129</v>
      </c>
      <c r="E10589" s="7" t="n">
        <f aca="false">Sens!E10588/Sens!D10588-1</f>
        <v>-0.0709869963760392</v>
      </c>
      <c r="F10589" s="7" t="n">
        <f aca="false">Sens!$E$10589+(glt_xbox_hi-Sens!$E$10589)*MIN(1,(Sens!F10532-base_fy)/n_conv)</f>
        <v>-0.0508224969800327</v>
      </c>
      <c r="G10589" s="7" t="n">
        <f aca="false">Sens!$E$10589+(glt_xbox_hi-Sens!$E$10589)*MIN(1,(Sens!G10532-base_fy)/n_conv)</f>
        <v>-0.0306579975840262</v>
      </c>
      <c r="H10589" s="7" t="n">
        <f aca="false">Sens!$E$10589+(glt_xbox_hi-Sens!$E$10589)*MIN(1,(Sens!H10532-base_fy)/n_conv)</f>
        <v>-0.0104934981880196</v>
      </c>
      <c r="I10589" s="7" t="n">
        <f aca="false">Sens!$E$10589+(glt_xbox_hi-Sens!$E$10589)*MIN(1,(Sens!I10532-base_fy)/n_conv)</f>
        <v>0.00967100120798692</v>
      </c>
      <c r="J10589" s="7" t="n">
        <f aca="false">Sens!$E$10589+(glt_xbox_hi-Sens!$E$10589)*MIN(1,(Sens!J10532-base_fy)/n_conv)</f>
        <v>0.0298355006039935</v>
      </c>
      <c r="K10589" s="7" t="n">
        <f aca="false">Sens!$E$10589+(glt_xbox_hi-Sens!$E$10589)*MIN(1,(Sens!K10532-base_fy)/n_conv)</f>
        <v>0.05</v>
      </c>
    </row>
    <row r="10590" customFormat="false" ht="15" hidden="false" customHeight="false" outlineLevel="0" collapsed="false">
      <c r="A10590" s="0" t="s">
        <v>879</v>
      </c>
      <c r="B10590" s="0" t="s">
        <v>98</v>
      </c>
      <c r="D10590" s="6" t="n">
        <f aca="false">Q!L15</f>
        <v>17.315</v>
      </c>
      <c r="E10590" s="6" t="n">
        <f aca="false">Q!M15</f>
        <v>17.087</v>
      </c>
      <c r="F10590" s="6" t="n">
        <f aca="false">Sens!E10590*(1+Sens!F10591)</f>
        <v>16.9564585436519</v>
      </c>
      <c r="G10590" s="6" t="n">
        <f aca="false">Sens!F10590*(1+Sens!G10591)</f>
        <v>16.9206490624268</v>
      </c>
      <c r="H10590" s="6" t="n">
        <f aca="false">Sens!G10590*(1+Sens!H10591)</f>
        <v>16.9784519149849</v>
      </c>
      <c r="I10590" s="6" t="n">
        <f aca="false">Sens!H10590*(1+Sens!I10591)</f>
        <v>17.1303084701817</v>
      </c>
      <c r="J10590" s="6" t="n">
        <f aca="false">Sens!I10590*(1+Sens!J10591)</f>
        <v>17.3782189407267</v>
      </c>
      <c r="K10590" s="6" t="n">
        <f aca="false">Sens!J10590*(1+Sens!K10591)</f>
        <v>17.7257833195413</v>
      </c>
    </row>
    <row r="10591" customFormat="false" ht="15" hidden="false" customHeight="false" outlineLevel="0" collapsed="false">
      <c r="A10591" s="1" t="s">
        <v>866</v>
      </c>
      <c r="B10591" s="0" t="s">
        <v>129</v>
      </c>
      <c r="E10591" s="7" t="n">
        <f aca="false">Sens!E10590/Sens!D10590-1</f>
        <v>-0.0131677736066995</v>
      </c>
      <c r="F10591" s="7" t="n">
        <f aca="false">Sens!$E$10591+(glt_win-Sens!$E$10591)*MIN(1,(Sens!F10532-base_fy)/n_conv)</f>
        <v>-0.00763981133891627</v>
      </c>
      <c r="G10591" s="7" t="n">
        <f aca="false">Sens!$E$10591+(glt_win-Sens!$E$10591)*MIN(1,(Sens!G10532-base_fy)/n_conv)</f>
        <v>-0.00211184907113301</v>
      </c>
      <c r="H10591" s="7" t="n">
        <f aca="false">Sens!$E$10591+(glt_win-Sens!$E$10591)*MIN(1,(Sens!H10532-base_fy)/n_conv)</f>
        <v>0.00341611319665024</v>
      </c>
      <c r="I10591" s="7" t="n">
        <f aca="false">Sens!$E$10591+(glt_win-Sens!$E$10591)*MIN(1,(Sens!I10532-base_fy)/n_conv)</f>
        <v>0.00894407546443349</v>
      </c>
      <c r="J10591" s="7" t="n">
        <f aca="false">Sens!$E$10591+(glt_win-Sens!$E$10591)*MIN(1,(Sens!J10532-base_fy)/n_conv)</f>
        <v>0.0144720377322168</v>
      </c>
      <c r="K10591" s="7" t="n">
        <f aca="false">Sens!$E$10591+(glt_win-Sens!$E$10591)*MIN(1,(Sens!K10532-base_fy)/n_conv)</f>
        <v>0.02</v>
      </c>
    </row>
    <row r="10592" customFormat="false" ht="15" hidden="false" customHeight="false" outlineLevel="0" collapsed="false">
      <c r="A10592" s="0" t="s">
        <v>718</v>
      </c>
      <c r="B10592" s="0" t="s">
        <v>98</v>
      </c>
      <c r="D10592" s="6" t="n">
        <f aca="false">Sens!D10586+Sens!D10588+Sens!D10590</f>
        <v>62.941</v>
      </c>
      <c r="E10592" s="6" t="n">
        <f aca="false">Sens!E10586+Sens!E10588+Sens!E10590</f>
        <v>63.712</v>
      </c>
      <c r="F10592" s="6" t="n">
        <f aca="false">Sens!F10586+Sens!F10588+Sens!F10590</f>
        <v>65.2505264563129</v>
      </c>
      <c r="G10592" s="6" t="n">
        <f aca="false">Sens!G10586+Sens!G10588+Sens!G10590</f>
        <v>67.4367071671415</v>
      </c>
      <c r="H10592" s="6" t="n">
        <f aca="false">Sens!H10586+Sens!H10588+Sens!H10590</f>
        <v>70.1809411735542</v>
      </c>
      <c r="I10592" s="6" t="n">
        <f aca="false">Sens!I10586+Sens!I10588+Sens!I10590</f>
        <v>73.4179770971021</v>
      </c>
      <c r="J10592" s="6" t="n">
        <f aca="false">Sens!J10586+Sens!J10588+Sens!J10590</f>
        <v>77.1046268012325</v>
      </c>
      <c r="K10592" s="6" t="n">
        <f aca="false">Sens!K10586+Sens!K10588+Sens!K10590</f>
        <v>81.2204883089766</v>
      </c>
    </row>
    <row r="10593" customFormat="false" ht="15" hidden="false" customHeight="false" outlineLevel="0" collapsed="false">
      <c r="A10593" s="1" t="s">
        <v>880</v>
      </c>
      <c r="B10593" s="0" t="s">
        <v>98</v>
      </c>
      <c r="D10593" s="6" t="n">
        <f aca="false">Sens!D10585+Sens!D10592</f>
        <v>281.724</v>
      </c>
      <c r="E10593" s="6" t="n">
        <f aca="false">Sens!E10585+Sens!E10592</f>
        <v>331.839</v>
      </c>
      <c r="F10593" s="6" t="n">
        <f aca="false">Sens!F10585+Sens!F10592</f>
        <v>399.516054707821</v>
      </c>
      <c r="G10593" s="6" t="n">
        <f aca="false">Sens!G10585+Sens!G10592</f>
        <v>475.508830226934</v>
      </c>
      <c r="H10593" s="6" t="n">
        <f aca="false">Sens!H10585+Sens!H10592</f>
        <v>553.377237177579</v>
      </c>
      <c r="I10593" s="6" t="n">
        <f aca="false">Sens!I10585+Sens!I10592</f>
        <v>625.321494723928</v>
      </c>
      <c r="J10593" s="6" t="n">
        <f aca="false">Sens!J10585+Sens!J10592</f>
        <v>684.558950945503</v>
      </c>
      <c r="K10593" s="6" t="n">
        <f aca="false">Sens!K10585+Sens!K10592</f>
        <v>732.462036122039</v>
      </c>
    </row>
    <row r="10594" customFormat="false" ht="15" hidden="false" customHeight="false" outlineLevel="0" collapsed="false">
      <c r="A10594" s="23" t="s">
        <v>881</v>
      </c>
      <c r="B10594" s="30" t="s">
        <v>98</v>
      </c>
      <c r="C10594" s="30"/>
      <c r="D10594" s="24" t="n">
        <f aca="false">(Sens!D10573+Sens!D10578+Sens!D10579+Sens!D10581+Sens!D10583-Sens!D10585)+(Sens!D10586+Sens!D10588+Sens!D10590-Sens!D10592)+(Sens!D10585-Q!L5)+(Sens!D10592-Q!L12)+(Sens!D10573-Q!L6)+(Sens!D10578-Q!L7)</f>
        <v>0</v>
      </c>
      <c r="E10594" s="24" t="n">
        <f aca="false">(Sens!E10573+Sens!E10578+Sens!E10579+Sens!E10581+Sens!E10583-Sens!E10585)+(Sens!E10586+Sens!E10588+Sens!E10590-Sens!E10592)+(Sens!E10585-Q!M5)+(Sens!E10592-Q!M12)+(Sens!E10573-Q!M6)+(Sens!E10578-Q!M7)</f>
        <v>0</v>
      </c>
      <c r="F10594" s="24" t="n">
        <f aca="false">(Sens!F10573+Sens!F10578+Sens!F10579+Sens!F10581+Sens!F10583-Sens!F10585)+(Sens!F10586+Sens!F10588+Sens!F10590-Sens!F10592)</f>
        <v>0</v>
      </c>
      <c r="G10594" s="24" t="n">
        <f aca="false">(Sens!G10573+Sens!G10578+Sens!G10579+Sens!G10581+Sens!G10583-Sens!G10585)+(Sens!G10586+Sens!G10588+Sens!G10590-Sens!G10592)</f>
        <v>0</v>
      </c>
      <c r="H10594" s="24" t="n">
        <f aca="false">(Sens!H10573+Sens!H10578+Sens!H10579+Sens!H10581+Sens!H10583-Sens!H10585)+(Sens!H10586+Sens!H10588+Sens!H10590-Sens!H10592)</f>
        <v>0</v>
      </c>
      <c r="I10594" s="24" t="n">
        <f aca="false">(Sens!I10573+Sens!I10578+Sens!I10579+Sens!I10581+Sens!I10583-Sens!I10585)+(Sens!I10586+Sens!I10588+Sens!I10590-Sens!I10592)</f>
        <v>0</v>
      </c>
      <c r="J10594" s="24" t="n">
        <f aca="false">(Sens!J10573+Sens!J10578+Sens!J10579+Sens!J10581+Sens!J10583-Sens!J10585)+(Sens!J10586+Sens!J10588+Sens!J10590-Sens!J10592)</f>
        <v>0</v>
      </c>
      <c r="K10594" s="24" t="n">
        <f aca="false">(Sens!K10573+Sens!K10578+Sens!K10579+Sens!K10581+Sens!K10583-Sens!K10585)+(Sens!K10586+Sens!K10588+Sens!K10590-Sens!K10592)</f>
        <v>0</v>
      </c>
    </row>
    <row r="10595" customFormat="false" ht="17.15" hidden="false" customHeight="false" outlineLevel="0" collapsed="false">
      <c r="A10595" s="3" t="s">
        <v>1511</v>
      </c>
    </row>
    <row r="10596" customFormat="false" ht="15" hidden="false" customHeight="false" outlineLevel="0" collapsed="false">
      <c r="A10596" s="4" t="s">
        <v>43</v>
      </c>
      <c r="B10596" s="4" t="s">
        <v>65</v>
      </c>
      <c r="C10596" s="20" t="s">
        <v>788</v>
      </c>
      <c r="D10596" s="20" t="s">
        <v>789</v>
      </c>
      <c r="E10596" s="20" t="s">
        <v>790</v>
      </c>
      <c r="F10596" s="20" t="s">
        <v>791</v>
      </c>
      <c r="G10596" s="20" t="s">
        <v>792</v>
      </c>
      <c r="H10596" s="20" t="s">
        <v>793</v>
      </c>
      <c r="I10596" s="20" t="s">
        <v>794</v>
      </c>
      <c r="J10596" s="20" t="s">
        <v>795</v>
      </c>
      <c r="K10596" s="20" t="s">
        <v>796</v>
      </c>
      <c r="L10596" s="4" t="s">
        <v>47</v>
      </c>
    </row>
    <row r="10597" customFormat="false" ht="15" hidden="false" customHeight="false" outlineLevel="0" collapsed="false">
      <c r="A10597" s="0" t="s">
        <v>867</v>
      </c>
      <c r="B10597" s="0" t="s">
        <v>98</v>
      </c>
      <c r="D10597" s="6" t="n">
        <f aca="false">Sens!D10573</f>
        <v>72.61</v>
      </c>
      <c r="E10597" s="6" t="n">
        <f aca="false">Sens!E10573</f>
        <v>101.938</v>
      </c>
      <c r="F10597" s="6" t="n">
        <f aca="false">Sens!F10573</f>
        <v>145.143956312325</v>
      </c>
      <c r="G10597" s="6" t="n">
        <f aca="false">Sens!G10573</f>
        <v>196.478966522364</v>
      </c>
      <c r="H10597" s="6" t="n">
        <f aca="false">Sens!H10573</f>
        <v>249.10761332251</v>
      </c>
      <c r="I10597" s="6" t="n">
        <f aca="false">Sens!I10573</f>
        <v>297.09216264734</v>
      </c>
      <c r="J10597" s="6" t="n">
        <f aca="false">Sens!J10573</f>
        <v>334.013427040101</v>
      </c>
      <c r="K10597" s="6" t="n">
        <f aca="false">Sens!K10573</f>
        <v>360.097478472886</v>
      </c>
    </row>
    <row r="10598" customFormat="false" ht="17.15" hidden="false" customHeight="false" outlineLevel="0" collapsed="false">
      <c r="A10598" s="0" t="s">
        <v>864</v>
      </c>
      <c r="B10598" s="0" t="s">
        <v>98</v>
      </c>
      <c r="D10598" s="6" t="n">
        <f aca="false">Sens!D10570</f>
        <v>12.9359794422418</v>
      </c>
      <c r="E10598" s="6" t="n">
        <f aca="false">Sens!E10570</f>
        <v>27.8095064661409</v>
      </c>
      <c r="F10598" s="6" t="n">
        <f aca="false">Sens!F10570</f>
        <v>55.0640065749585</v>
      </c>
      <c r="G10598" s="6" t="n">
        <f aca="false">Sens!G10570</f>
        <v>89.4505413190538</v>
      </c>
      <c r="H10598" s="6" t="n">
        <f aca="false">Sens!H10570</f>
        <v>124.835630736874</v>
      </c>
      <c r="I10598" s="6" t="n">
        <f aca="false">Sens!I10570</f>
        <v>156.158460265485</v>
      </c>
      <c r="J10598" s="6" t="n">
        <f aca="false">Sens!J10570</f>
        <v>177.99455972577</v>
      </c>
      <c r="K10598" s="6" t="n">
        <f aca="false">Sens!K10570</f>
        <v>191.597101773408</v>
      </c>
    </row>
    <row r="10599" customFormat="false" ht="17.15" hidden="false" customHeight="false" outlineLevel="0" collapsed="false">
      <c r="A10599" s="0" t="s">
        <v>892</v>
      </c>
      <c r="B10599" s="0" t="s">
        <v>98</v>
      </c>
      <c r="D10599" s="6" t="n">
        <f aca="false">Sens!D10571</f>
        <v>59.6740205577583</v>
      </c>
      <c r="E10599" s="6" t="n">
        <f aca="false">Sens!E10571</f>
        <v>74.1284935338591</v>
      </c>
      <c r="F10599" s="6" t="n">
        <f aca="false">Sens!F10571</f>
        <v>90.0799497373663</v>
      </c>
      <c r="G10599" s="6" t="n">
        <f aca="false">Sens!G10571</f>
        <v>107.02842520331</v>
      </c>
      <c r="H10599" s="6" t="n">
        <f aca="false">Sens!H10571</f>
        <v>124.271982585636</v>
      </c>
      <c r="I10599" s="6" t="n">
        <f aca="false">Sens!I10571</f>
        <v>140.933702381855</v>
      </c>
      <c r="J10599" s="6" t="n">
        <f aca="false">Sens!J10571</f>
        <v>156.018867314332</v>
      </c>
      <c r="K10599" s="6" t="n">
        <f aca="false">Sens!K10571</f>
        <v>168.500376699478</v>
      </c>
    </row>
    <row r="10600" customFormat="false" ht="15" hidden="false" customHeight="false" outlineLevel="0" collapsed="false">
      <c r="A10600" s="0" t="s">
        <v>873</v>
      </c>
      <c r="B10600" s="0" t="s">
        <v>98</v>
      </c>
      <c r="D10600" s="6" t="n">
        <f aca="false">Sens!D10578</f>
        <v>84.605</v>
      </c>
      <c r="E10600" s="6" t="n">
        <f aca="false">Sens!E10578</f>
        <v>100.299</v>
      </c>
      <c r="F10600" s="6" t="n">
        <f aca="false">Sens!F10578</f>
        <v>118.89238776686</v>
      </c>
      <c r="G10600" s="6" t="n">
        <f aca="false">Sens!G10578</f>
        <v>137.044168448684</v>
      </c>
      <c r="H10600" s="6" t="n">
        <f aca="false">Sens!H10578</f>
        <v>155.277359388781</v>
      </c>
      <c r="I10600" s="6" t="n">
        <f aca="false">Sens!I10578</f>
        <v>171.834028071957</v>
      </c>
      <c r="J10600" s="6" t="n">
        <f aca="false">Sens!J10578</f>
        <v>186.432702785465</v>
      </c>
      <c r="K10600" s="6" t="n">
        <f aca="false">Sens!K10578</f>
        <v>200.277991980448</v>
      </c>
    </row>
    <row r="10601" customFormat="false" ht="17.15" hidden="false" customHeight="false" outlineLevel="0" collapsed="false">
      <c r="A10601" s="0" t="s">
        <v>893</v>
      </c>
      <c r="B10601" s="0" t="s">
        <v>98</v>
      </c>
      <c r="D10601" s="6" t="n">
        <f aca="false">Sens!D10576</f>
        <v>83.705</v>
      </c>
      <c r="E10601" s="6" t="n">
        <f aca="false">Sens!E10576</f>
        <v>95.049</v>
      </c>
      <c r="F10601" s="6" t="n">
        <f aca="false">Sens!F10576</f>
        <v>106.89238776686</v>
      </c>
      <c r="G10601" s="6" t="n">
        <f aca="false">Sens!G10576</f>
        <v>119.044168448684</v>
      </c>
      <c r="H10601" s="6" t="n">
        <f aca="false">Sens!H10576</f>
        <v>131.277359388781</v>
      </c>
      <c r="I10601" s="6" t="n">
        <f aca="false">Sens!I10576</f>
        <v>143.334028071957</v>
      </c>
      <c r="J10601" s="6" t="n">
        <f aca="false">Sens!J10576</f>
        <v>154.932702785465</v>
      </c>
      <c r="K10601" s="6" t="n">
        <f aca="false">Sens!K10576</f>
        <v>165.777991980448</v>
      </c>
    </row>
    <row r="10602" customFormat="false" ht="17.15" hidden="false" customHeight="false" outlineLevel="0" collapsed="false">
      <c r="A10602" s="0" t="s">
        <v>894</v>
      </c>
      <c r="B10602" s="0" t="s">
        <v>98</v>
      </c>
      <c r="D10602" s="6" t="n">
        <f aca="false">Sens!D10575</f>
        <v>0.9</v>
      </c>
      <c r="E10602" s="6" t="n">
        <f aca="false">Sens!E10575</f>
        <v>5.25</v>
      </c>
      <c r="F10602" s="6" t="n">
        <f aca="false">Sens!F10575</f>
        <v>12</v>
      </c>
      <c r="G10602" s="6" t="n">
        <f aca="false">Sens!G10575</f>
        <v>18</v>
      </c>
      <c r="H10602" s="6" t="n">
        <f aca="false">Sens!H10575</f>
        <v>24</v>
      </c>
      <c r="I10602" s="6" t="n">
        <f aca="false">Sens!I10575</f>
        <v>28.5</v>
      </c>
      <c r="J10602" s="6" t="n">
        <f aca="false">Sens!J10575</f>
        <v>31.5</v>
      </c>
      <c r="K10602" s="6" t="n">
        <f aca="false">Sens!K10575</f>
        <v>34.5</v>
      </c>
    </row>
    <row r="10603" customFormat="false" ht="15" hidden="false" customHeight="false" outlineLevel="0" collapsed="false">
      <c r="A10603" s="0" t="s">
        <v>874</v>
      </c>
      <c r="B10603" s="0" t="s">
        <v>98</v>
      </c>
      <c r="D10603" s="6" t="n">
        <f aca="false">Sens!D10579</f>
        <v>35.391</v>
      </c>
      <c r="E10603" s="6" t="n">
        <f aca="false">Sens!E10579</f>
        <v>37.285</v>
      </c>
      <c r="F10603" s="6" t="n">
        <f aca="false">Sens!F10579</f>
        <v>39.0720834331704</v>
      </c>
      <c r="G10603" s="6" t="n">
        <f aca="false">Sens!G10579</f>
        <v>40.726562953769</v>
      </c>
      <c r="H10603" s="6" t="n">
        <f aca="false">Sens!H10579</f>
        <v>42.2235987259198</v>
      </c>
      <c r="I10603" s="6" t="n">
        <f aca="false">Sens!I10579</f>
        <v>43.5397988077414</v>
      </c>
      <c r="J10603" s="6" t="n">
        <f aca="false">Sens!J10579</f>
        <v>44.653811225693</v>
      </c>
      <c r="K10603" s="6" t="n">
        <f aca="false">Sens!K10579</f>
        <v>45.5468874502068</v>
      </c>
    </row>
    <row r="10604" customFormat="false" ht="15" hidden="false" customHeight="false" outlineLevel="0" collapsed="false">
      <c r="A10604" s="0" t="s">
        <v>875</v>
      </c>
      <c r="B10604" s="0" t="s">
        <v>98</v>
      </c>
      <c r="D10604" s="6" t="n">
        <f aca="false">Sens!D10581</f>
        <v>18.417</v>
      </c>
      <c r="E10604" s="6" t="n">
        <f aca="false">Sens!E10581</f>
        <v>20.345</v>
      </c>
      <c r="F10604" s="6" t="n">
        <f aca="false">Sens!F10581</f>
        <v>22.3572203267814</v>
      </c>
      <c r="G10604" s="6" t="n">
        <f aca="false">Sens!G10581</f>
        <v>24.4392124437232</v>
      </c>
      <c r="H10604" s="6" t="n">
        <f aca="false">Sens!H10581</f>
        <v>26.5738052080665</v>
      </c>
      <c r="I10604" s="6" t="n">
        <f aca="false">Sens!I10581</f>
        <v>28.7412169166967</v>
      </c>
      <c r="J10604" s="6" t="n">
        <f aca="false">Sens!J10581</f>
        <v>30.9192545395413</v>
      </c>
      <c r="K10604" s="6" t="n">
        <f aca="false">Sens!K10581</f>
        <v>33.0836023573092</v>
      </c>
    </row>
    <row r="10605" customFormat="false" ht="15" hidden="false" customHeight="false" outlineLevel="0" collapsed="false">
      <c r="A10605" s="0" t="s">
        <v>876</v>
      </c>
      <c r="B10605" s="0" t="s">
        <v>98</v>
      </c>
      <c r="D10605" s="6" t="n">
        <f aca="false">Sens!D10583</f>
        <v>7.76</v>
      </c>
      <c r="E10605" s="6" t="n">
        <f aca="false">Sens!E10583</f>
        <v>8.26</v>
      </c>
      <c r="F10605" s="6" t="n">
        <f aca="false">Sens!F10583</f>
        <v>8.79988041237113</v>
      </c>
      <c r="G10605" s="6" t="n">
        <f aca="false">Sens!G10583</f>
        <v>9.38321269125306</v>
      </c>
      <c r="H10605" s="6" t="n">
        <f aca="false">Sens!H10583</f>
        <v>10.0139193587476</v>
      </c>
      <c r="I10605" s="6" t="n">
        <f aca="false">Sens!I10583</f>
        <v>10.6963111830911</v>
      </c>
      <c r="J10605" s="6" t="n">
        <f aca="false">Sens!J10583</f>
        <v>11.4351285534696</v>
      </c>
      <c r="K10605" s="6" t="n">
        <f aca="false">Sens!K10583</f>
        <v>12.2355875522124</v>
      </c>
    </row>
    <row r="10606" customFormat="false" ht="15" hidden="false" customHeight="false" outlineLevel="0" collapsed="false">
      <c r="A10606" s="0" t="s">
        <v>704</v>
      </c>
      <c r="B10606" s="0" t="s">
        <v>98</v>
      </c>
      <c r="D10606" s="6" t="n">
        <f aca="false">Sens!D10585</f>
        <v>218.783</v>
      </c>
      <c r="E10606" s="6" t="n">
        <f aca="false">Sens!E10585</f>
        <v>268.127</v>
      </c>
      <c r="F10606" s="6" t="n">
        <f aca="false">Sens!F10585</f>
        <v>334.265528251508</v>
      </c>
      <c r="G10606" s="6" t="n">
        <f aca="false">Sens!G10585</f>
        <v>408.072123059793</v>
      </c>
      <c r="H10606" s="6" t="n">
        <f aca="false">Sens!H10585</f>
        <v>483.196296004025</v>
      </c>
      <c r="I10606" s="6" t="n">
        <f aca="false">Sens!I10585</f>
        <v>551.903517626826</v>
      </c>
      <c r="J10606" s="6" t="n">
        <f aca="false">Sens!J10585</f>
        <v>607.45432414427</v>
      </c>
      <c r="K10606" s="6" t="n">
        <f aca="false">Sens!K10585</f>
        <v>651.241547813062</v>
      </c>
    </row>
    <row r="10607" customFormat="false" ht="15" hidden="false" customHeight="false" outlineLevel="0" collapsed="false">
      <c r="A10607" s="0" t="s">
        <v>877</v>
      </c>
      <c r="B10607" s="0" t="s">
        <v>98</v>
      </c>
      <c r="D10607" s="6" t="n">
        <f aca="false">Sens!D10586</f>
        <v>22.171</v>
      </c>
      <c r="E10607" s="6" t="n">
        <f aca="false">Sens!E10586</f>
        <v>24.835</v>
      </c>
      <c r="F10607" s="6" t="n">
        <f aca="false">Sens!F10586</f>
        <v>27.6114901218559</v>
      </c>
      <c r="G10607" s="6" t="n">
        <f aca="false">Sens!G10586</f>
        <v>30.4675667338515</v>
      </c>
      <c r="H10607" s="6" t="n">
        <f aca="false">Sens!H10586</f>
        <v>33.3643766955789</v>
      </c>
      <c r="I10607" s="6" t="n">
        <f aca="false">Sens!I10586</f>
        <v>36.2577016533691</v>
      </c>
      <c r="J10607" s="6" t="n">
        <f aca="false">Sens!J10586</f>
        <v>39.0988367952171</v>
      </c>
      <c r="K10607" s="6" t="n">
        <f aca="false">Sens!K10586</f>
        <v>41.8357553708823</v>
      </c>
    </row>
    <row r="10608" customFormat="false" ht="15" hidden="false" customHeight="false" outlineLevel="0" collapsed="false">
      <c r="A10608" s="0" t="s">
        <v>878</v>
      </c>
      <c r="B10608" s="0" t="s">
        <v>98</v>
      </c>
      <c r="D10608" s="6" t="n">
        <f aca="false">Sens!D10588</f>
        <v>23.455</v>
      </c>
      <c r="E10608" s="6" t="n">
        <f aca="false">Sens!E10588</f>
        <v>21.79</v>
      </c>
      <c r="F10608" s="6" t="n">
        <f aca="false">Sens!F10588</f>
        <v>20.6825777908051</v>
      </c>
      <c r="G10608" s="6" t="n">
        <f aca="false">Sens!G10588</f>
        <v>20.0484913708632</v>
      </c>
      <c r="H10608" s="6" t="n">
        <f aca="false">Sens!H10588</f>
        <v>19.8381125629905</v>
      </c>
      <c r="I10608" s="6" t="n">
        <f aca="false">Sens!I10588</f>
        <v>20.0299669735513</v>
      </c>
      <c r="J10608" s="6" t="n">
        <f aca="false">Sens!J10588</f>
        <v>20.6275710652887</v>
      </c>
      <c r="K10608" s="6" t="n">
        <f aca="false">Sens!K10588</f>
        <v>21.6589496185531</v>
      </c>
    </row>
    <row r="10609" customFormat="false" ht="15" hidden="false" customHeight="false" outlineLevel="0" collapsed="false">
      <c r="A10609" s="0" t="s">
        <v>879</v>
      </c>
      <c r="B10609" s="0" t="s">
        <v>98</v>
      </c>
      <c r="D10609" s="6" t="n">
        <f aca="false">Sens!D10590</f>
        <v>17.315</v>
      </c>
      <c r="E10609" s="6" t="n">
        <f aca="false">Sens!E10590</f>
        <v>17.087</v>
      </c>
      <c r="F10609" s="6" t="n">
        <f aca="false">Sens!F10590</f>
        <v>16.9564585436519</v>
      </c>
      <c r="G10609" s="6" t="n">
        <f aca="false">Sens!G10590</f>
        <v>16.9206490624268</v>
      </c>
      <c r="H10609" s="6" t="n">
        <f aca="false">Sens!H10590</f>
        <v>16.9784519149849</v>
      </c>
      <c r="I10609" s="6" t="n">
        <f aca="false">Sens!I10590</f>
        <v>17.1303084701817</v>
      </c>
      <c r="J10609" s="6" t="n">
        <f aca="false">Sens!J10590</f>
        <v>17.3782189407267</v>
      </c>
      <c r="K10609" s="6" t="n">
        <f aca="false">Sens!K10590</f>
        <v>17.7257833195413</v>
      </c>
    </row>
    <row r="10610" customFormat="false" ht="15" hidden="false" customHeight="false" outlineLevel="0" collapsed="false">
      <c r="A10610" s="0" t="s">
        <v>718</v>
      </c>
      <c r="B10610" s="0" t="s">
        <v>98</v>
      </c>
      <c r="D10610" s="6" t="n">
        <f aca="false">Sens!D10592</f>
        <v>62.941</v>
      </c>
      <c r="E10610" s="6" t="n">
        <f aca="false">Sens!E10592</f>
        <v>63.712</v>
      </c>
      <c r="F10610" s="6" t="n">
        <f aca="false">Sens!F10592</f>
        <v>65.2505264563129</v>
      </c>
      <c r="G10610" s="6" t="n">
        <f aca="false">Sens!G10592</f>
        <v>67.4367071671415</v>
      </c>
      <c r="H10610" s="6" t="n">
        <f aca="false">Sens!H10592</f>
        <v>70.1809411735542</v>
      </c>
      <c r="I10610" s="6" t="n">
        <f aca="false">Sens!I10592</f>
        <v>73.4179770971021</v>
      </c>
      <c r="J10610" s="6" t="n">
        <f aca="false">Sens!J10592</f>
        <v>77.1046268012325</v>
      </c>
      <c r="K10610" s="6" t="n">
        <f aca="false">Sens!K10592</f>
        <v>81.2204883089766</v>
      </c>
    </row>
    <row r="10611" customFormat="false" ht="15" hidden="false" customHeight="false" outlineLevel="0" collapsed="false">
      <c r="A10611" s="1" t="s">
        <v>895</v>
      </c>
      <c r="B10611" s="0" t="s">
        <v>98</v>
      </c>
      <c r="D10611" s="6" t="n">
        <f aca="false">Sens!D10593</f>
        <v>281.724</v>
      </c>
      <c r="E10611" s="6" t="n">
        <f aca="false">Sens!E10593</f>
        <v>331.839</v>
      </c>
      <c r="F10611" s="6" t="n">
        <f aca="false">Sens!F10593</f>
        <v>399.516054707821</v>
      </c>
      <c r="G10611" s="6" t="n">
        <f aca="false">Sens!G10593</f>
        <v>475.508830226934</v>
      </c>
      <c r="H10611" s="6" t="n">
        <f aca="false">Sens!H10593</f>
        <v>553.377237177579</v>
      </c>
      <c r="I10611" s="6" t="n">
        <f aca="false">Sens!I10593</f>
        <v>625.321494723928</v>
      </c>
      <c r="J10611" s="6" t="n">
        <f aca="false">Sens!J10593</f>
        <v>684.558950945503</v>
      </c>
      <c r="K10611" s="6" t="n">
        <f aca="false">Sens!K10593</f>
        <v>732.462036122039</v>
      </c>
    </row>
    <row r="10612" customFormat="false" ht="15" hidden="false" customHeight="false" outlineLevel="0" collapsed="false">
      <c r="A10612" s="1" t="s">
        <v>896</v>
      </c>
      <c r="B10612" s="0" t="s">
        <v>129</v>
      </c>
      <c r="E10612" s="7" t="n">
        <f aca="false">Sens!E10611/Sens!D10611-1</f>
        <v>0.177886867998467</v>
      </c>
      <c r="F10612" s="7" t="n">
        <f aca="false">Sens!F10611/Sens!E10611-1</f>
        <v>0.203945451582908</v>
      </c>
      <c r="G10612" s="7" t="n">
        <f aca="false">Sens!G10611/Sens!F10611-1</f>
        <v>0.190212069386523</v>
      </c>
      <c r="H10612" s="7" t="n">
        <f aca="false">Sens!H10611/Sens!G10611-1</f>
        <v>0.163758067149841</v>
      </c>
      <c r="I10612" s="7" t="n">
        <f aca="false">Sens!I10611/Sens!H10611-1</f>
        <v>0.130009427047072</v>
      </c>
      <c r="J10612" s="7" t="n">
        <f aca="false">Sens!J10611/Sens!I10611-1</f>
        <v>0.0947312010244066</v>
      </c>
      <c r="K10612" s="7" t="n">
        <f aca="false">Sens!K10611/Sens!J10611-1</f>
        <v>0.0699765668250671</v>
      </c>
    </row>
    <row r="10613" customFormat="false" ht="17.15" hidden="false" customHeight="false" outlineLevel="0" collapsed="false">
      <c r="A10613" s="23" t="s">
        <v>897</v>
      </c>
      <c r="B10613" s="30" t="s">
        <v>98</v>
      </c>
      <c r="C10613" s="30"/>
      <c r="D10613" s="24" t="n">
        <f aca="false">(Sens!D10606+Sens!D10610-Sens!D10611)+(Sens!D10598+Sens!D10599-Sens!D10597)+(Sens!D10601+Sens!D10602-Sens!D10600)+(Sens!D10611-Q!L18)</f>
        <v>0</v>
      </c>
      <c r="E10613" s="24" t="n">
        <f aca="false">(Sens!E10606+Sens!E10610-Sens!E10611)+(Sens!E10598+Sens!E10599-Sens!E10597)+(Sens!E10601+Sens!E10602-Sens!E10600)+(Sens!E10611-Q!M18)</f>
        <v>0</v>
      </c>
      <c r="F10613" s="24" t="n">
        <f aca="false">(Sens!F10606+Sens!F10610-Sens!F10611)+(Sens!F10598+Sens!F10599-Sens!F10597)+(Sens!F10601+Sens!F10602-Sens!F10600)</f>
        <v>0</v>
      </c>
      <c r="G10613" s="24" t="n">
        <f aca="false">(Sens!G10606+Sens!G10610-Sens!G10611)+(Sens!G10598+Sens!G10599-Sens!G10597)+(Sens!G10601+Sens!G10602-Sens!G10600)</f>
        <v>0</v>
      </c>
      <c r="H10613" s="24" t="n">
        <f aca="false">(Sens!H10606+Sens!H10610-Sens!H10611)+(Sens!H10598+Sens!H10599-Sens!H10597)+(Sens!H10601+Sens!H10602-Sens!H10600)</f>
        <v>0</v>
      </c>
      <c r="I10613" s="24" t="n">
        <f aca="false">(Sens!I10606+Sens!I10610-Sens!I10611)+(Sens!I10598+Sens!I10599-Sens!I10597)+(Sens!I10601+Sens!I10602-Sens!I10600)</f>
        <v>0</v>
      </c>
      <c r="J10613" s="24" t="n">
        <f aca="false">(Sens!J10606+Sens!J10610-Sens!J10611)+(Sens!J10598+Sens!J10599-Sens!J10597)+(Sens!J10601+Sens!J10602-Sens!J10600)</f>
        <v>0</v>
      </c>
      <c r="K10613" s="24" t="n">
        <f aca="false">(Sens!K10606+Sens!K10610-Sens!K10611)+(Sens!K10598+Sens!K10599-Sens!K10597)+(Sens!K10601+Sens!K10602-Sens!K10600)</f>
        <v>0</v>
      </c>
    </row>
    <row r="10614" customFormat="false" ht="17.15" hidden="false" customHeight="false" outlineLevel="0" collapsed="false">
      <c r="A10614" s="0" t="s">
        <v>898</v>
      </c>
      <c r="B10614" s="0" t="s">
        <v>129</v>
      </c>
      <c r="E10614" s="7" t="n">
        <f aca="false">(Q!M21+Sens!E10551+Sens!E10552+Sens!E10553+Sens!E10566-Sens!E10549)/(Q!M5-Sens!E10549)</f>
        <v>0.570957350878296</v>
      </c>
      <c r="F10614" s="7" t="n">
        <f aca="false">Sens!$E$10614+dm_seg</f>
        <v>0.570957350878296</v>
      </c>
      <c r="G10614" s="7" t="n">
        <f aca="false">Sens!$E$10614+dm_seg</f>
        <v>0.570957350878296</v>
      </c>
      <c r="H10614" s="7" t="n">
        <f aca="false">Sens!$E$10614+dm_seg</f>
        <v>0.570957350878296</v>
      </c>
      <c r="I10614" s="7" t="n">
        <f aca="false">Sens!$E$10614+dm_seg</f>
        <v>0.570957350878296</v>
      </c>
      <c r="J10614" s="7" t="n">
        <f aca="false">Sens!$E$10614+dm_seg</f>
        <v>0.570957350878296</v>
      </c>
      <c r="K10614" s="7" t="n">
        <f aca="false">Sens!$E$10614+dm_seg</f>
        <v>0.570957350878296</v>
      </c>
      <c r="L10614" s="11" t="s">
        <v>899</v>
      </c>
    </row>
    <row r="10615" customFormat="false" ht="17.15" hidden="false" customHeight="false" outlineLevel="0" collapsed="false">
      <c r="A10615" s="0" t="s">
        <v>732</v>
      </c>
      <c r="B10615" s="0" t="s">
        <v>98</v>
      </c>
      <c r="D10615" s="6" t="n">
        <f aca="false">Q!L21</f>
        <v>110.814</v>
      </c>
      <c r="E10615" s="6" t="n">
        <f aca="false">Q!M21</f>
        <v>136.365</v>
      </c>
      <c r="F10615" s="6" t="n">
        <f aca="false">Sens!F10614*(Sens!F10585-Sens!F10549)+Sens!F10549-(Sens!F10551+Sens!F10552+Sens!F10553)-Sens!F10566</f>
        <v>157.598408295446</v>
      </c>
      <c r="G10615" s="6" t="n">
        <f aca="false">Sens!G10614*(Sens!G10585-Sens!G10549)+Sens!G10549-(Sens!G10551+Sens!G10552+Sens!G10553)-Sens!G10566</f>
        <v>177.181269116646</v>
      </c>
      <c r="H10615" s="6" t="n">
        <f aca="false">Sens!H10614*(Sens!H10585-Sens!H10549)+Sens!H10549-(Sens!H10551+Sens!H10552+Sens!H10553)-Sens!H10566</f>
        <v>196.823099338626</v>
      </c>
      <c r="I10615" s="6" t="n">
        <f aca="false">Sens!I10614*(Sens!I10585-Sens!I10549)+Sens!I10549-(Sens!I10551+Sens!I10552+Sens!I10553)-Sens!I10566</f>
        <v>215.54629252798</v>
      </c>
      <c r="J10615" s="6" t="n">
        <f aca="false">Sens!J10614*(Sens!J10585-Sens!J10549)+Sens!J10549-(Sens!J10551+Sens!J10552+Sens!J10553)-Sens!J10566</f>
        <v>232.899114276772</v>
      </c>
      <c r="K10615" s="6" t="n">
        <f aca="false">Sens!K10614*(Sens!K10585-Sens!K10549)+Sens!K10549-(Sens!K10551+Sens!K10552+Sens!K10553)-Sens!K10566</f>
        <v>249.764161383974</v>
      </c>
      <c r="L10615" s="1" t="s">
        <v>900</v>
      </c>
    </row>
    <row r="10616" customFormat="false" ht="17.15" hidden="false" customHeight="false" outlineLevel="0" collapsed="false">
      <c r="A10616" s="0" t="s">
        <v>901</v>
      </c>
      <c r="B10616" s="0" t="s">
        <v>129</v>
      </c>
      <c r="E10616" s="7" t="n">
        <f aca="false">Q!M22/Q!M12</f>
        <v>0.296207935710698</v>
      </c>
      <c r="F10616" s="7" t="n">
        <f aca="false">Sens!$E$10616+dm_seg</f>
        <v>0.296207935710698</v>
      </c>
      <c r="G10616" s="7" t="n">
        <f aca="false">Sens!$E$10616+dm_seg</f>
        <v>0.296207935710698</v>
      </c>
      <c r="H10616" s="7" t="n">
        <f aca="false">Sens!$E$10616+dm_seg</f>
        <v>0.296207935710698</v>
      </c>
      <c r="I10616" s="7" t="n">
        <f aca="false">Sens!$E$10616+dm_seg</f>
        <v>0.296207935710698</v>
      </c>
      <c r="J10616" s="7" t="n">
        <f aca="false">Sens!$E$10616+dm_seg</f>
        <v>0.296207935710698</v>
      </c>
      <c r="K10616" s="7" t="n">
        <f aca="false">Sens!$E$10616+dm_seg</f>
        <v>0.296207935710698</v>
      </c>
      <c r="L10616" s="11" t="s">
        <v>902</v>
      </c>
    </row>
    <row r="10617" customFormat="false" ht="17.15" hidden="false" customHeight="false" outlineLevel="0" collapsed="false">
      <c r="A10617" s="0" t="s">
        <v>734</v>
      </c>
      <c r="B10617" s="0" t="s">
        <v>98</v>
      </c>
      <c r="D10617" s="6" t="n">
        <f aca="false">Q!L22</f>
        <v>17.714</v>
      </c>
      <c r="E10617" s="6" t="n">
        <f aca="false">Q!M22</f>
        <v>18.872</v>
      </c>
      <c r="F10617" s="6" t="n">
        <f aca="false">Sens!F10592*Sens!F10616</f>
        <v>19.3277237456607</v>
      </c>
      <c r="G10617" s="6" t="n">
        <f aca="false">Sens!G10592*Sens!G10616</f>
        <v>19.9752878211058</v>
      </c>
      <c r="H10617" s="6" t="n">
        <f aca="false">Sens!H10592*Sens!H10616</f>
        <v>20.7881517112524</v>
      </c>
      <c r="I10617" s="6" t="n">
        <f aca="false">Sens!I10592*Sens!I10616</f>
        <v>21.7469874399879</v>
      </c>
      <c r="J10617" s="6" t="n">
        <f aca="false">Sens!J10592*Sens!J10616</f>
        <v>22.8390023385368</v>
      </c>
      <c r="K10617" s="6" t="n">
        <f aca="false">Sens!K10592*Sens!K10616</f>
        <v>24.0581531794169</v>
      </c>
    </row>
    <row r="10618" customFormat="false" ht="15" hidden="false" customHeight="false" outlineLevel="0" collapsed="false">
      <c r="A10618" s="1" t="s">
        <v>903</v>
      </c>
      <c r="B10618" s="0" t="s">
        <v>98</v>
      </c>
      <c r="D10618" s="6" t="n">
        <f aca="false">Sens!D10615+Sens!D10617</f>
        <v>128.528</v>
      </c>
      <c r="E10618" s="6" t="n">
        <f aca="false">Sens!E10615+Sens!E10617</f>
        <v>155.237</v>
      </c>
      <c r="F10618" s="6" t="n">
        <f aca="false">Sens!F10615+Sens!F10617</f>
        <v>176.926132041107</v>
      </c>
      <c r="G10618" s="6" t="n">
        <f aca="false">Sens!G10615+Sens!G10617</f>
        <v>197.156556937752</v>
      </c>
      <c r="H10618" s="6" t="n">
        <f aca="false">Sens!H10615+Sens!H10617</f>
        <v>217.611251049878</v>
      </c>
      <c r="I10618" s="6" t="n">
        <f aca="false">Sens!I10615+Sens!I10617</f>
        <v>237.293279967968</v>
      </c>
      <c r="J10618" s="6" t="n">
        <f aca="false">Sens!J10615+Sens!J10617</f>
        <v>255.738116615308</v>
      </c>
      <c r="K10618" s="6" t="n">
        <f aca="false">Sens!K10615+Sens!K10617</f>
        <v>273.822314563391</v>
      </c>
    </row>
    <row r="10619" customFormat="false" ht="15" hidden="false" customHeight="false" outlineLevel="0" collapsed="false">
      <c r="A10619" s="23" t="s">
        <v>904</v>
      </c>
      <c r="B10619" s="30" t="s">
        <v>98</v>
      </c>
      <c r="C10619" s="30"/>
      <c r="D10619" s="24" t="n">
        <f aca="false">Sens!D10618-Q!L23</f>
        <v>0</v>
      </c>
      <c r="E10619" s="24" t="n">
        <f aca="false">Sens!E10618-Q!M23</f>
        <v>0</v>
      </c>
      <c r="F10619" s="30"/>
      <c r="G10619" s="30"/>
      <c r="H10619" s="30"/>
      <c r="I10619" s="30"/>
      <c r="J10619" s="30"/>
      <c r="K10619" s="30"/>
    </row>
    <row r="10620" customFormat="false" ht="15" hidden="false" customHeight="false" outlineLevel="0" collapsed="false">
      <c r="A10620" s="1" t="s">
        <v>905</v>
      </c>
      <c r="B10620" s="0" t="s">
        <v>129</v>
      </c>
      <c r="D10620" s="7" t="n">
        <f aca="false">Sens!D10618/Sens!D10611</f>
        <v>0.456219562408598</v>
      </c>
      <c r="E10620" s="7" t="n">
        <f aca="false">Sens!E10618/Sens!E10611</f>
        <v>0.467808184089272</v>
      </c>
      <c r="F10620" s="7" t="n">
        <f aca="false">Sens!F10618/Sens!F10611</f>
        <v>0.442851119388678</v>
      </c>
      <c r="G10620" s="7" t="n">
        <f aca="false">Sens!G10618/Sens!G10611</f>
        <v>0.414622283341531</v>
      </c>
      <c r="H10620" s="7" t="n">
        <f aca="false">Sens!H10618/Sens!H10611</f>
        <v>0.393242143749485</v>
      </c>
      <c r="I10620" s="7" t="n">
        <f aca="false">Sens!I10618/Sens!I10611</f>
        <v>0.379474049700994</v>
      </c>
      <c r="J10620" s="7" t="n">
        <f aca="false">Sens!J10618/Sens!J10611</f>
        <v>0.373580852696596</v>
      </c>
      <c r="K10620" s="7" t="n">
        <f aca="false">Sens!K10618/Sens!K10611</f>
        <v>0.373838234692847</v>
      </c>
    </row>
    <row r="10621" customFormat="false" ht="17.15" hidden="false" customHeight="false" outlineLevel="0" collapsed="false">
      <c r="A10621" s="1" t="s">
        <v>906</v>
      </c>
      <c r="B10621" s="0" t="s">
        <v>98</v>
      </c>
      <c r="F10621" s="6" t="n">
        <f aca="false">Sens!F10636</f>
        <v>19.9358184660572</v>
      </c>
      <c r="G10621" s="6" t="n">
        <f aca="false">Sens!G10636</f>
        <v>35.1359494439124</v>
      </c>
      <c r="H10621" s="6" t="n">
        <f aca="false">Sens!H10636</f>
        <v>51.688536514718</v>
      </c>
      <c r="I10621" s="6" t="n">
        <f aca="false">Sens!I10636</f>
        <v>66.8193432436896</v>
      </c>
      <c r="J10621" s="6" t="n">
        <f aca="false">Sens!J10636</f>
        <v>77.4328840229578</v>
      </c>
      <c r="K10621" s="6" t="n">
        <f aca="false">Sens!K10636</f>
        <v>83.3249638901295</v>
      </c>
      <c r="L10621" s="1" t="s">
        <v>907</v>
      </c>
    </row>
    <row r="10622" customFormat="false" ht="17.15" hidden="false" customHeight="false" outlineLevel="0" collapsed="false">
      <c r="A10622" s="1" t="s">
        <v>908</v>
      </c>
      <c r="B10622" s="0" t="s">
        <v>98</v>
      </c>
      <c r="D10622" s="6" t="n">
        <f aca="false">Sens!D10618</f>
        <v>128.528</v>
      </c>
      <c r="E10622" s="6" t="n">
        <f aca="false">Sens!E10618</f>
        <v>155.237</v>
      </c>
      <c r="F10622" s="6" t="n">
        <f aca="false">Sens!F10618+Sens!F10621</f>
        <v>196.861950507164</v>
      </c>
      <c r="G10622" s="6" t="n">
        <f aca="false">Sens!G10618+Sens!G10621</f>
        <v>232.292506381665</v>
      </c>
      <c r="H10622" s="6" t="n">
        <f aca="false">Sens!H10618+Sens!H10621</f>
        <v>269.299787564596</v>
      </c>
      <c r="I10622" s="6" t="n">
        <f aca="false">Sens!I10618+Sens!I10621</f>
        <v>304.112623211658</v>
      </c>
      <c r="J10622" s="6" t="n">
        <f aca="false">Sens!J10618+Sens!J10621</f>
        <v>333.171000638266</v>
      </c>
      <c r="K10622" s="6" t="n">
        <f aca="false">Sens!K10618+Sens!K10621</f>
        <v>357.14727845352</v>
      </c>
    </row>
    <row r="10623" customFormat="false" ht="17.15" hidden="false" customHeight="false" outlineLevel="0" collapsed="false">
      <c r="A10623" s="1" t="s">
        <v>909</v>
      </c>
      <c r="B10623" s="0" t="s">
        <v>98</v>
      </c>
      <c r="E10623" s="6" t="n">
        <f aca="false">Sens!E10566</f>
        <v>16.3054059770833</v>
      </c>
      <c r="F10623" s="6" t="n">
        <f aca="false">Sens!F10566</f>
        <v>34.7402630808698</v>
      </c>
      <c r="G10623" s="6" t="n">
        <f aca="false">Sens!G10566</f>
        <v>60.5061885103396</v>
      </c>
      <c r="H10623" s="6" t="n">
        <f aca="false">Sens!H10566</f>
        <v>87.7417712431396</v>
      </c>
      <c r="I10623" s="6" t="n">
        <f aca="false">Sens!I10566</f>
        <v>111.986495232221</v>
      </c>
      <c r="J10623" s="6" t="n">
        <f aca="false">Sens!J10566</f>
        <v>129.183166172666</v>
      </c>
      <c r="K10623" s="6" t="n">
        <f aca="false">Sens!K10566</f>
        <v>139.647102054474</v>
      </c>
    </row>
    <row r="10624" customFormat="false" ht="17.15" hidden="false" customHeight="false" outlineLevel="0" collapsed="false">
      <c r="A10624" s="1" t="s">
        <v>910</v>
      </c>
      <c r="B10624" s="0" t="s">
        <v>98</v>
      </c>
      <c r="E10624" s="6" t="n">
        <f aca="false">Sens!E10648</f>
        <v>22.2285940229167</v>
      </c>
      <c r="F10624" s="6" t="n">
        <f aca="false">Sens!F10648</f>
        <v>23.5639961935813</v>
      </c>
      <c r="G10624" s="6" t="n">
        <f aca="false">Sens!G10648</f>
        <v>25.3238199695293</v>
      </c>
      <c r="H10624" s="6" t="n">
        <f aca="false">Sens!H10648</f>
        <v>27.4744017454613</v>
      </c>
      <c r="I10624" s="6" t="n">
        <f aca="false">Sens!I10648</f>
        <v>29.9497855769444</v>
      </c>
      <c r="J10624" s="6" t="n">
        <f aca="false">Sens!J10648</f>
        <v>32.6673989956875</v>
      </c>
      <c r="K10624" s="6" t="n">
        <f aca="false">Sens!K10648</f>
        <v>35.5439765161422</v>
      </c>
    </row>
    <row r="10625" customFormat="false" ht="17.15" hidden="false" customHeight="false" outlineLevel="0" collapsed="false">
      <c r="A10625" s="1" t="s">
        <v>911</v>
      </c>
      <c r="B10625" s="0" t="s">
        <v>98</v>
      </c>
      <c r="D10625" s="6" t="n">
        <f aca="false">Q!L27</f>
        <v>-4.901</v>
      </c>
      <c r="E10625" s="6" t="n">
        <f aca="false">Q!M27</f>
        <v>10.697</v>
      </c>
      <c r="F10625" s="6" t="n">
        <f aca="false">oie_f</f>
        <v>-0.4</v>
      </c>
      <c r="G10625" s="6" t="n">
        <f aca="false">oie_f</f>
        <v>-0.4</v>
      </c>
      <c r="H10625" s="6" t="n">
        <f aca="false">oie_f</f>
        <v>-0.4</v>
      </c>
      <c r="I10625" s="6" t="n">
        <f aca="false">oie_f</f>
        <v>-0.4</v>
      </c>
      <c r="J10625" s="6" t="n">
        <f aca="false">oie_f</f>
        <v>-0.4</v>
      </c>
      <c r="K10625" s="6" t="n">
        <f aca="false">oie_f</f>
        <v>-0.4</v>
      </c>
      <c r="L10625" s="11" t="s">
        <v>912</v>
      </c>
    </row>
    <row r="10626" customFormat="false" ht="15" hidden="false" customHeight="false" outlineLevel="0" collapsed="false">
      <c r="A10626" s="1" t="s">
        <v>913</v>
      </c>
      <c r="B10626" s="0" t="s">
        <v>98</v>
      </c>
      <c r="D10626" s="6" t="n">
        <f aca="false">Sens!D10618+Sens!D10625</f>
        <v>123.627</v>
      </c>
      <c r="E10626" s="6" t="n">
        <f aca="false">Sens!E10618+Sens!E10625</f>
        <v>165.934</v>
      </c>
      <c r="F10626" s="6" t="n">
        <f aca="false">Sens!F10618+Sens!F10625</f>
        <v>176.526132041107</v>
      </c>
      <c r="G10626" s="6" t="n">
        <f aca="false">Sens!G10618+Sens!G10625</f>
        <v>196.756556937752</v>
      </c>
      <c r="H10626" s="6" t="n">
        <f aca="false">Sens!H10618+Sens!H10625</f>
        <v>217.211251049878</v>
      </c>
      <c r="I10626" s="6" t="n">
        <f aca="false">Sens!I10618+Sens!I10625</f>
        <v>236.893279967968</v>
      </c>
      <c r="J10626" s="6" t="n">
        <f aca="false">Sens!J10618+Sens!J10625</f>
        <v>255.338116615308</v>
      </c>
      <c r="K10626" s="6" t="n">
        <f aca="false">Sens!K10618+Sens!K10625</f>
        <v>273.422314563391</v>
      </c>
    </row>
    <row r="10627" customFormat="false" ht="15" hidden="false" customHeight="false" outlineLevel="0" collapsed="false">
      <c r="A10627" s="1" t="s">
        <v>914</v>
      </c>
      <c r="B10627" s="0" t="s">
        <v>98</v>
      </c>
      <c r="D10627" s="6" t="n">
        <f aca="false">Q!L29</f>
        <v>21.795</v>
      </c>
      <c r="E10627" s="6" t="n">
        <f aca="false">Q!M29</f>
        <v>32.185</v>
      </c>
      <c r="F10627" s="6" t="n">
        <f aca="false">Sens!F10626*tax_f</f>
        <v>35.3052264082213</v>
      </c>
      <c r="G10627" s="6" t="n">
        <f aca="false">Sens!G10626*tax_f</f>
        <v>39.3513113875504</v>
      </c>
      <c r="H10627" s="6" t="n">
        <f aca="false">Sens!H10626*tax_f</f>
        <v>43.4422502099756</v>
      </c>
      <c r="I10627" s="6" t="n">
        <f aca="false">Sens!I10626*tax_f</f>
        <v>47.3786559935936</v>
      </c>
      <c r="J10627" s="6" t="n">
        <f aca="false">Sens!J10626*tax_f</f>
        <v>51.0676233230617</v>
      </c>
      <c r="K10627" s="6" t="n">
        <f aca="false">Sens!K10626*tax_f</f>
        <v>54.6844629126782</v>
      </c>
    </row>
    <row r="10628" customFormat="false" ht="15" hidden="false" customHeight="false" outlineLevel="0" collapsed="false">
      <c r="A10628" s="1" t="s">
        <v>915</v>
      </c>
      <c r="B10628" s="0" t="s">
        <v>98</v>
      </c>
      <c r="D10628" s="6" t="n">
        <f aca="false">Sens!D10626-Sens!D10627</f>
        <v>101.832</v>
      </c>
      <c r="E10628" s="6" t="n">
        <f aca="false">Sens!E10626-Sens!E10627</f>
        <v>133.749</v>
      </c>
      <c r="F10628" s="6" t="n">
        <f aca="false">Sens!F10626-Sens!F10627</f>
        <v>141.220905632885</v>
      </c>
      <c r="G10628" s="6" t="n">
        <f aca="false">Sens!G10626-Sens!G10627</f>
        <v>157.405245550202</v>
      </c>
      <c r="H10628" s="6" t="n">
        <f aca="false">Sens!H10626-Sens!H10627</f>
        <v>173.769000839903</v>
      </c>
      <c r="I10628" s="6" t="n">
        <f aca="false">Sens!I10626-Sens!I10627</f>
        <v>189.514623974374</v>
      </c>
      <c r="J10628" s="6" t="n">
        <f aca="false">Sens!J10626-Sens!J10627</f>
        <v>204.270493292247</v>
      </c>
      <c r="K10628" s="6" t="n">
        <f aca="false">Sens!K10626-Sens!K10627</f>
        <v>218.737851650713</v>
      </c>
    </row>
    <row r="10629" customFormat="false" ht="17.15" hidden="false" customHeight="false" outlineLevel="0" collapsed="false">
      <c r="A10629" s="1" t="s">
        <v>916</v>
      </c>
      <c r="B10629" s="1" t="s">
        <v>81</v>
      </c>
      <c r="D10629" s="14" t="n">
        <f aca="false">Q!L31</f>
        <v>7.465</v>
      </c>
      <c r="E10629" s="14" t="n">
        <f aca="false">Q!M31</f>
        <v>7.453</v>
      </c>
      <c r="F10629" s="14" t="n">
        <f aca="false">Sens!F10670</f>
        <v>7.4735</v>
      </c>
      <c r="G10629" s="14" t="n">
        <f aca="false">Sens!G10670</f>
        <v>7.51789512957753</v>
      </c>
      <c r="H10629" s="14" t="n">
        <f aca="false">Sens!H10670</f>
        <v>7.54504184500501</v>
      </c>
      <c r="I10629" s="14" t="n">
        <f aca="false">Sens!I10670</f>
        <v>7.55682267701232</v>
      </c>
      <c r="J10629" s="14" t="n">
        <f aca="false">Sens!J10670</f>
        <v>7.57106418813021</v>
      </c>
      <c r="K10629" s="14" t="n">
        <f aca="false">Sens!K10670</f>
        <v>7.58758410583195</v>
      </c>
    </row>
    <row r="10630" customFormat="false" ht="17.15" hidden="false" customHeight="false" outlineLevel="0" collapsed="false">
      <c r="A10630" s="0" t="s">
        <v>917</v>
      </c>
      <c r="B10630" s="0" t="s">
        <v>75</v>
      </c>
      <c r="D10630" s="8" t="n">
        <f aca="false">Sens!D10628/Sens!D10629</f>
        <v>13.641259209645</v>
      </c>
      <c r="E10630" s="8" t="n">
        <f aca="false">Sens!E10628/Sens!E10629</f>
        <v>17.9456594659869</v>
      </c>
      <c r="F10630" s="8" t="n">
        <f aca="false">Sens!F10628/Sens!F10629</f>
        <v>18.8962207309675</v>
      </c>
      <c r="G10630" s="8" t="n">
        <f aca="false">Sens!G10628/Sens!G10629</f>
        <v>20.9374090536226</v>
      </c>
      <c r="H10630" s="8" t="n">
        <f aca="false">Sens!H10628/Sens!H10629</f>
        <v>23.0308862971968</v>
      </c>
      <c r="I10630" s="8" t="n">
        <f aca="false">Sens!I10628/Sens!I10629</f>
        <v>25.0786120138657</v>
      </c>
      <c r="J10630" s="8" t="n">
        <f aca="false">Sens!J10628/Sens!J10629</f>
        <v>26.9804202178736</v>
      </c>
      <c r="K10630" s="8" t="n">
        <f aca="false">Sens!K10628/Sens!K10629</f>
        <v>28.8283923577977</v>
      </c>
      <c r="L10630" s="1" t="s">
        <v>918</v>
      </c>
    </row>
    <row r="10631" customFormat="false" ht="17.15" hidden="false" customHeight="false" outlineLevel="0" collapsed="false">
      <c r="A10631" s="1" t="s">
        <v>919</v>
      </c>
      <c r="B10631" s="0" t="s">
        <v>98</v>
      </c>
      <c r="D10631" s="6" t="n">
        <f aca="false">Sens!D10628</f>
        <v>101.832</v>
      </c>
      <c r="E10631" s="6" t="n">
        <f aca="false">Sens!E10628</f>
        <v>133.749</v>
      </c>
      <c r="F10631" s="6" t="n">
        <f aca="false">Sens!F10628+Sens!F10621*(1-tax_f)</f>
        <v>157.169560405731</v>
      </c>
      <c r="G10631" s="6" t="n">
        <f aca="false">Sens!G10628+Sens!G10621*(1-tax_f)</f>
        <v>185.514005105332</v>
      </c>
      <c r="H10631" s="6" t="n">
        <f aca="false">Sens!H10628+Sens!H10621*(1-tax_f)</f>
        <v>215.119830051677</v>
      </c>
      <c r="I10631" s="6" t="n">
        <f aca="false">Sens!I10628+Sens!I10621*(1-tax_f)</f>
        <v>242.970098569326</v>
      </c>
      <c r="J10631" s="6" t="n">
        <f aca="false">Sens!J10628+Sens!J10621*(1-tax_f)</f>
        <v>266.216800510613</v>
      </c>
      <c r="K10631" s="6" t="n">
        <f aca="false">Sens!K10628+Sens!K10621*(1-tax_f)</f>
        <v>285.397822762816</v>
      </c>
    </row>
    <row r="10632" customFormat="false" ht="17.15" hidden="false" customHeight="false" outlineLevel="0" collapsed="false">
      <c r="A10632" s="0" t="s">
        <v>920</v>
      </c>
      <c r="B10632" s="0" t="s">
        <v>75</v>
      </c>
      <c r="D10632" s="8" t="n">
        <f aca="false">Sens!D10631/Sens!D10629</f>
        <v>13.641259209645</v>
      </c>
      <c r="E10632" s="8" t="n">
        <f aca="false">Sens!E10631/Sens!E10629</f>
        <v>17.9456594659869</v>
      </c>
      <c r="F10632" s="8" t="n">
        <f aca="false">Sens!F10631/Sens!F10629</f>
        <v>21.0302482646325</v>
      </c>
      <c r="G10632" s="8" t="n">
        <f aca="false">Sens!G10631/Sens!G10629</f>
        <v>24.6763225487766</v>
      </c>
      <c r="H10632" s="8" t="n">
        <f aca="false">Sens!H10631/Sens!H10629</f>
        <v>28.5114164335737</v>
      </c>
      <c r="I10632" s="8" t="n">
        <f aca="false">Sens!I10631/Sens!I10629</f>
        <v>32.1524149704393</v>
      </c>
      <c r="J10632" s="8" t="n">
        <f aca="false">Sens!J10631/Sens!J10629</f>
        <v>35.1624017305234</v>
      </c>
      <c r="K10632" s="8" t="n">
        <f aca="false">Sens!K10631/Sens!K10629</f>
        <v>37.6137936373522</v>
      </c>
      <c r="L10632" s="1" t="s">
        <v>921</v>
      </c>
    </row>
    <row r="10633" customFormat="false" ht="17.15" hidden="false" customHeight="false" outlineLevel="0" collapsed="false">
      <c r="A10633" s="0" t="s">
        <v>922</v>
      </c>
      <c r="B10633" s="0" t="s">
        <v>129</v>
      </c>
      <c r="E10633" s="7" t="n">
        <f aca="false">Sens!E10632/Sens!D10632-1</f>
        <v>0.315542736208578</v>
      </c>
      <c r="F10633" s="7" t="n">
        <f aca="false">Sens!F10632/Sens!E10632-1</f>
        <v>0.171884951037436</v>
      </c>
      <c r="G10633" s="7" t="n">
        <f aca="false">Sens!G10632/Sens!F10632-1</f>
        <v>0.173372859809545</v>
      </c>
      <c r="H10633" s="7" t="n">
        <f aca="false">Sens!H10632/Sens!G10632-1</f>
        <v>0.155415940815997</v>
      </c>
      <c r="I10633" s="7" t="n">
        <f aca="false">Sens!I10632/Sens!H10632-1</f>
        <v>0.127703179719199</v>
      </c>
      <c r="J10633" s="7" t="n">
        <f aca="false">Sens!J10632/Sens!I10632-1</f>
        <v>0.0936161953262751</v>
      </c>
      <c r="K10633" s="7" t="n">
        <f aca="false">Sens!K10632/Sens!J10632-1</f>
        <v>0.0697162817720967</v>
      </c>
    </row>
    <row r="10634" customFormat="false" ht="17.15" hidden="false" customHeight="false" outlineLevel="0" collapsed="false">
      <c r="A10634" s="0" t="s">
        <v>846</v>
      </c>
      <c r="B10634" s="0" t="s">
        <v>98</v>
      </c>
      <c r="E10634" s="6" t="n">
        <f aca="false">Sens!E10575</f>
        <v>5.25</v>
      </c>
      <c r="F10634" s="6" t="n">
        <f aca="false">Sens!F10575</f>
        <v>12</v>
      </c>
      <c r="G10634" s="6" t="n">
        <f aca="false">Sens!G10575</f>
        <v>18</v>
      </c>
      <c r="H10634" s="6" t="n">
        <f aca="false">Sens!H10575</f>
        <v>24</v>
      </c>
      <c r="I10634" s="6" t="n">
        <f aca="false">Sens!I10575</f>
        <v>28.5</v>
      </c>
      <c r="J10634" s="6" t="n">
        <f aca="false">Sens!J10575</f>
        <v>31.5</v>
      </c>
      <c r="K10634" s="6" t="n">
        <f aca="false">Sens!K10575</f>
        <v>34.5</v>
      </c>
    </row>
    <row r="10635" customFormat="false" ht="17.15" hidden="false" customHeight="false" outlineLevel="0" collapsed="false">
      <c r="A10635" s="1" t="s">
        <v>847</v>
      </c>
      <c r="B10635" s="0" t="s">
        <v>98</v>
      </c>
      <c r="F10635" s="6" t="n">
        <f aca="false">MAX(0,(Sens!E10538+Sens!F10538)/2*Sens!F10546/1000-Sens!F10634*Sens!F10614)</f>
        <v>19.9358184660572</v>
      </c>
      <c r="G10635" s="6" t="n">
        <f aca="false">MAX(0,(Sens!F10538+Sens!G10538)/2*Sens!G10546/1000-Sens!G10634*Sens!G10614)</f>
        <v>35.1359494439124</v>
      </c>
      <c r="H10635" s="6" t="n">
        <f aca="false">MAX(0,(Sens!G10538+Sens!H10538)/2*Sens!H10546/1000-Sens!H10634*Sens!H10614)</f>
        <v>51.688536514718</v>
      </c>
      <c r="I10635" s="6" t="n">
        <f aca="false">MAX(0,(Sens!H10538+Sens!I10538)/2*Sens!I10546/1000-Sens!I10634*Sens!I10614)</f>
        <v>66.8193432436896</v>
      </c>
      <c r="J10635" s="6" t="n">
        <f aca="false">MAX(0,(Sens!I10538+Sens!J10538)/2*Sens!J10546/1000-Sens!J10634*Sens!J10614)</f>
        <v>77.4328840229578</v>
      </c>
      <c r="K10635" s="6" t="n">
        <f aca="false">MAX(0,(Sens!J10538+Sens!K10538)/2*Sens!K10546/1000-Sens!K10634*Sens!K10614)</f>
        <v>83.3249638901295</v>
      </c>
      <c r="L10635" s="1" t="s">
        <v>848</v>
      </c>
    </row>
    <row r="10636" customFormat="false" ht="17.15" hidden="false" customHeight="false" outlineLevel="0" collapsed="false">
      <c r="A10636" s="1" t="s">
        <v>849</v>
      </c>
      <c r="B10636" s="0" t="s">
        <v>98</v>
      </c>
      <c r="F10636" s="6" t="n">
        <f aca="false">IF(internal_ai_reading=2,1,0)*Sens!F10635</f>
        <v>19.9358184660572</v>
      </c>
      <c r="G10636" s="6" t="n">
        <f aca="false">IF(internal_ai_reading=2,1,0)*Sens!G10635</f>
        <v>35.1359494439124</v>
      </c>
      <c r="H10636" s="6" t="n">
        <f aca="false">IF(internal_ai_reading=2,1,0)*Sens!H10635</f>
        <v>51.688536514718</v>
      </c>
      <c r="I10636" s="6" t="n">
        <f aca="false">IF(internal_ai_reading=2,1,0)*Sens!I10635</f>
        <v>66.8193432436896</v>
      </c>
      <c r="J10636" s="6" t="n">
        <f aca="false">IF(internal_ai_reading=2,1,0)*Sens!J10635</f>
        <v>77.4328840229578</v>
      </c>
      <c r="K10636" s="6" t="n">
        <f aca="false">IF(internal_ai_reading=2,1,0)*Sens!K10635</f>
        <v>83.3249638901295</v>
      </c>
    </row>
    <row r="10637" customFormat="false" ht="17.15" hidden="false" customHeight="false" outlineLevel="0" collapsed="false">
      <c r="A10637" s="0" t="s">
        <v>850</v>
      </c>
      <c r="B10637" s="0" t="s">
        <v>98</v>
      </c>
      <c r="F10637" s="6" t="n">
        <f aca="false">Sens!F10555+Sens!F10634*Sens!F10614+Sens!F10636-Sens!F10556-Sens!F10566</f>
        <v>24.973553794411</v>
      </c>
      <c r="G10637" s="6" t="n">
        <f aca="false">Sens!G10555+Sens!G10634*Sens!G10614+Sens!G10636-Sens!G10556-Sens!G10566</f>
        <v>40.6751166330232</v>
      </c>
      <c r="H10637" s="6" t="n">
        <f aca="false">Sens!H10555+Sens!H10634*Sens!H10614+Sens!H10636-Sens!H10556-Sens!H10566</f>
        <v>57.6059561745065</v>
      </c>
      <c r="I10637" s="6" t="n">
        <f aca="false">Sens!I10555+Sens!I10634*Sens!I10614+Sens!I10636-Sens!I10556-Sens!I10566</f>
        <v>72.6843706974904</v>
      </c>
      <c r="J10637" s="6" t="n">
        <f aca="false">Sens!J10555+Sens!J10634*Sens!J10614+Sens!J10636-Sens!J10556-Sens!J10566</f>
        <v>83.1139454511916</v>
      </c>
      <c r="K10637" s="6" t="n">
        <f aca="false">Sens!K10555+Sens!K10634*Sens!K10614+Sens!K10636-Sens!K10556-Sens!K10566</f>
        <v>90.3497786226818</v>
      </c>
    </row>
    <row r="10638" customFormat="false" ht="17.15" hidden="false" customHeight="false" outlineLevel="0" collapsed="false">
      <c r="A10638" s="0" t="s">
        <v>851</v>
      </c>
      <c r="B10638" s="0" t="s">
        <v>98</v>
      </c>
      <c r="E10638" s="6" t="n">
        <f aca="false">Sens!E10537*(cxit_open+self_build*tk_cxfac)/1000*ai_net_open</f>
        <v>126.6980382</v>
      </c>
      <c r="F10638" s="6" t="n">
        <f aca="false">Sens!E10638+Sens!F10563-Sens!F10566</f>
        <v>260.575159389568</v>
      </c>
      <c r="G10638" s="6" t="n">
        <f aca="false">Sens!F10638+Sens!G10563-Sens!G10566</f>
        <v>383.643151362428</v>
      </c>
      <c r="H10638" s="6" t="n">
        <f aca="false">Sens!G10638+Sens!H10563-Sens!H10566</f>
        <v>483.981666029689</v>
      </c>
      <c r="I10638" s="6" t="n">
        <f aca="false">Sens!H10638+Sens!I10563-Sens!I10566</f>
        <v>535.701839951713</v>
      </c>
      <c r="J10638" s="6" t="n">
        <f aca="false">Sens!I10638+Sens!J10563-Sens!J10566</f>
        <v>531.031150497137</v>
      </c>
      <c r="K10638" s="6" t="n">
        <f aca="false">Sens!J10638+Sens!K10563-Sens!K10566</f>
        <v>506.3434840846</v>
      </c>
      <c r="L10638" s="1" t="s">
        <v>852</v>
      </c>
    </row>
    <row r="10639" customFormat="false" ht="17.15" hidden="false" customHeight="false" outlineLevel="0" collapsed="false">
      <c r="A10639" s="0" t="s">
        <v>853</v>
      </c>
      <c r="B10639" s="0" t="s">
        <v>129</v>
      </c>
      <c r="F10639" s="7" t="n">
        <f aca="false">Sens!F10637*(1-tax_f)/((Sens!E10638+Sens!F10638)/2)</f>
        <v>0.103176998356093</v>
      </c>
      <c r="G10639" s="7" t="n">
        <f aca="false">Sens!G10637*(1-tax_f)/((Sens!F10638+Sens!G10638)/2)</f>
        <v>0.10102194477656</v>
      </c>
      <c r="H10639" s="7" t="n">
        <f aca="false">Sens!H10637*(1-tax_f)/((Sens!G10638+Sens!H10638)/2)</f>
        <v>0.106232011846147</v>
      </c>
      <c r="I10639" s="7" t="n">
        <f aca="false">Sens!I10637*(1-tax_f)/((Sens!H10638+Sens!I10638)/2)</f>
        <v>0.114050087535795</v>
      </c>
      <c r="J10639" s="7" t="n">
        <f aca="false">Sens!J10637*(1-tax_f)/((Sens!I10638+Sens!J10638)/2)</f>
        <v>0.124663166802361</v>
      </c>
      <c r="K10639" s="7" t="n">
        <f aca="false">Sens!K10637*(1-tax_f)/((Sens!J10638+Sens!K10638)/2)</f>
        <v>0.139351436768624</v>
      </c>
    </row>
    <row r="10640" customFormat="false" ht="17.15" hidden="false" customHeight="false" outlineLevel="0" collapsed="false">
      <c r="A10640" s="1" t="s">
        <v>854</v>
      </c>
      <c r="B10640" s="0" t="s">
        <v>129</v>
      </c>
      <c r="F10640" s="7" t="n">
        <f aca="false">(Sens!F10637-Sens!F10636)*(1-tax_f)/((Sens!E10638+Sens!F10638)/2)</f>
        <v>0.0208131535451842</v>
      </c>
      <c r="G10640" s="7" t="n">
        <f aca="false">(Sens!G10637-Sens!G10636)*(1-tax_f)/((Sens!F10638+Sens!G10638)/2)</f>
        <v>0.013757242466815</v>
      </c>
      <c r="H10640" s="7" t="n">
        <f aca="false">(Sens!H10637-Sens!H10636)*(1-tax_f)/((Sens!G10638+Sens!H10638)/2)</f>
        <v>0.010912402764273</v>
      </c>
      <c r="I10640" s="7" t="n">
        <f aca="false">(Sens!I10637-Sens!I10636)*(1-tax_f)/((Sens!H10638+Sens!I10638)/2)</f>
        <v>0.00920289861612451</v>
      </c>
      <c r="J10640" s="7" t="n">
        <f aca="false">(Sens!J10637-Sens!J10636)*(1-tax_f)/((Sens!I10638+Sens!J10638)/2)</f>
        <v>0.00852106231508724</v>
      </c>
      <c r="K10640" s="7" t="n">
        <f aca="false">(Sens!K10637-Sens!K10636)*(1-tax_f)/((Sens!J10638+Sens!K10638)/2)</f>
        <v>0.0108347584348016</v>
      </c>
    </row>
    <row r="10641" customFormat="false" ht="17.15" hidden="false" customHeight="false" outlineLevel="0" collapsed="false">
      <c r="A10641" s="1" t="s">
        <v>855</v>
      </c>
      <c r="B10641" s="0" t="s">
        <v>129</v>
      </c>
      <c r="F10641" s="7" t="n">
        <f aca="false">(Sens!F10637-Sens!F10636+Sens!F10635)*(1-tax_f)/((Sens!E10638+Sens!F10638)/2)</f>
        <v>0.103176998356093</v>
      </c>
      <c r="G10641" s="7" t="n">
        <f aca="false">(Sens!G10637-Sens!G10636+Sens!G10635)*(1-tax_f)/((Sens!F10638+Sens!G10638)/2)</f>
        <v>0.10102194477656</v>
      </c>
      <c r="H10641" s="7" t="n">
        <f aca="false">(Sens!H10637-Sens!H10636+Sens!H10635)*(1-tax_f)/((Sens!G10638+Sens!H10638)/2)</f>
        <v>0.106232011846147</v>
      </c>
      <c r="I10641" s="7" t="n">
        <f aca="false">(Sens!I10637-Sens!I10636+Sens!I10635)*(1-tax_f)/((Sens!H10638+Sens!I10638)/2)</f>
        <v>0.114050087535795</v>
      </c>
      <c r="J10641" s="7" t="n">
        <f aca="false">(Sens!J10637-Sens!J10636+Sens!J10635)*(1-tax_f)/((Sens!I10638+Sens!J10638)/2)</f>
        <v>0.124663166802361</v>
      </c>
      <c r="K10641" s="7" t="n">
        <f aca="false">(Sens!K10637-Sens!K10636+Sens!K10635)*(1-tax_f)/((Sens!J10638+Sens!K10638)/2)</f>
        <v>0.139351436768624</v>
      </c>
    </row>
    <row r="10642" customFormat="false" ht="17.15" hidden="false" customHeight="false" outlineLevel="0" collapsed="false">
      <c r="A10642" s="1" t="s">
        <v>856</v>
      </c>
      <c r="B10642" s="0" t="s">
        <v>129</v>
      </c>
      <c r="F10642" s="7" t="n">
        <f aca="false">Sens!F10567*(1-tax_f)/(Sens!F10554*(Sens!E10638+Sens!F10638)/2)</f>
        <v>0.128180196075436</v>
      </c>
      <c r="G10642" s="7" t="n">
        <f aca="false">Sens!G10567*(1-tax_f)/(Sens!G10554*(Sens!F10638+Sens!G10638)/2)</f>
        <v>0.125212384049511</v>
      </c>
      <c r="H10642" s="7" t="n">
        <f aca="false">Sens!H10567*(1-tax_f)/(Sens!H10554*(Sens!G10638+Sens!H10638)/2)</f>
        <v>0.130854047769771</v>
      </c>
      <c r="I10642" s="7" t="n">
        <f aca="false">Sens!I10567*(1-tax_f)/(Sens!I10554*(Sens!H10638+Sens!I10638)/2)</f>
        <v>0.13999296465213</v>
      </c>
      <c r="J10642" s="7" t="n">
        <f aca="false">Sens!J10567*(1-tax_f)/(Sens!J10554*(Sens!I10638+Sens!J10638)/2)</f>
        <v>0.152808075655191</v>
      </c>
      <c r="K10642" s="7" t="n">
        <f aca="false">Sens!K10567*(1-tax_f)/(Sens!K10554*(Sens!J10638+Sens!K10638)/2)</f>
        <v>0.170549961216828</v>
      </c>
    </row>
    <row r="10643" customFormat="false" ht="17.15" hidden="false" customHeight="false" outlineLevel="0" collapsed="false">
      <c r="A10643" s="0" t="s">
        <v>857</v>
      </c>
      <c r="B10643" s="0" t="s">
        <v>209</v>
      </c>
      <c r="F10643" s="7" t="n">
        <f aca="false">Sens!F10639-wacc</f>
        <v>0.000242578263216928</v>
      </c>
      <c r="G10643" s="7" t="n">
        <f aca="false">Sens!G10639-wacc</f>
        <v>-0.00191247531631551</v>
      </c>
      <c r="H10643" s="7" t="n">
        <f aca="false">Sens!H10639-wacc</f>
        <v>0.00329759175327118</v>
      </c>
      <c r="I10643" s="7" t="n">
        <f aca="false">Sens!I10639-wacc</f>
        <v>0.0111156674429188</v>
      </c>
      <c r="J10643" s="7" t="n">
        <f aca="false">Sens!J10639-wacc</f>
        <v>0.0217287467094854</v>
      </c>
      <c r="K10643" s="7" t="n">
        <f aca="false">Sens!K10639-wacc</f>
        <v>0.0364170166757478</v>
      </c>
    </row>
    <row r="10644" customFormat="false" ht="17.15" hidden="false" customHeight="false" outlineLevel="0" collapsed="false">
      <c r="A10644" s="0" t="s">
        <v>858</v>
      </c>
      <c r="B10644" s="0" t="s">
        <v>98</v>
      </c>
      <c r="F10644" s="6" t="n">
        <f aca="false">Sens!F10637*(1-tax_f)-wacc*(Sens!E10638+Sens!F10638)/2</f>
        <v>0.0469720298308722</v>
      </c>
      <c r="G10644" s="6" t="n">
        <f aca="false">Sens!G10637*(1-tax_f)-wacc*(Sens!F10638+Sens!G10638)/2</f>
        <v>-0.616025808815834</v>
      </c>
      <c r="H10644" s="6" t="n">
        <f aca="false">Sens!H10637*(1-tax_f)-wacc*(Sens!G10638+Sens!H10638)/2</f>
        <v>1.43053622138283</v>
      </c>
      <c r="I10644" s="6" t="n">
        <f aca="false">Sens!I10637*(1-tax_f)-wacc*(Sens!H10638+Sens!I10638)/2</f>
        <v>5.66723137475937</v>
      </c>
      <c r="J10644" s="6" t="n">
        <f aca="false">Sens!J10637*(1-tax_f)-wacc*(Sens!I10638+Sens!J10638)/2</f>
        <v>11.5893854780575</v>
      </c>
      <c r="K10644" s="6" t="n">
        <f aca="false">Sens!K10637*(1-tax_f)-wacc*(Sens!J10638+Sens!K10638)/2</f>
        <v>18.8890446832804</v>
      </c>
    </row>
    <row r="10645" customFormat="false" ht="17.15" hidden="false" customHeight="false" outlineLevel="0" collapsed="false">
      <c r="A10645" s="3" t="s">
        <v>1512</v>
      </c>
    </row>
    <row r="10646" customFormat="false" ht="15" hidden="false" customHeight="false" outlineLevel="0" collapsed="false">
      <c r="A10646" s="4" t="s">
        <v>43</v>
      </c>
      <c r="B10646" s="4" t="s">
        <v>65</v>
      </c>
      <c r="C10646" s="20" t="s">
        <v>788</v>
      </c>
      <c r="D10646" s="20" t="s">
        <v>789</v>
      </c>
      <c r="E10646" s="20" t="s">
        <v>790</v>
      </c>
      <c r="F10646" s="20" t="s">
        <v>791</v>
      </c>
      <c r="G10646" s="20" t="s">
        <v>792</v>
      </c>
      <c r="H10646" s="20" t="s">
        <v>793</v>
      </c>
      <c r="I10646" s="20" t="s">
        <v>794</v>
      </c>
      <c r="J10646" s="20" t="s">
        <v>795</v>
      </c>
      <c r="K10646" s="20" t="s">
        <v>796</v>
      </c>
      <c r="L10646" s="4" t="s">
        <v>47</v>
      </c>
    </row>
    <row r="10647" customFormat="false" ht="15" hidden="false" customHeight="false" outlineLevel="0" collapsed="false">
      <c r="A10647" s="1" t="s">
        <v>915</v>
      </c>
      <c r="B10647" s="0" t="s">
        <v>98</v>
      </c>
      <c r="F10647" s="6" t="n">
        <f aca="false">Sens!F10628</f>
        <v>141.220905632885</v>
      </c>
      <c r="G10647" s="6" t="n">
        <f aca="false">Sens!G10628</f>
        <v>157.405245550202</v>
      </c>
      <c r="H10647" s="6" t="n">
        <f aca="false">Sens!H10628</f>
        <v>173.769000839903</v>
      </c>
      <c r="I10647" s="6" t="n">
        <f aca="false">Sens!I10628</f>
        <v>189.514623974374</v>
      </c>
      <c r="J10647" s="6" t="n">
        <f aca="false">Sens!J10628</f>
        <v>204.270493292247</v>
      </c>
      <c r="K10647" s="6" t="n">
        <f aca="false">Sens!K10628</f>
        <v>218.737851650713</v>
      </c>
    </row>
    <row r="10648" customFormat="false" ht="17.15" hidden="false" customHeight="false" outlineLevel="0" collapsed="false">
      <c r="A10648" s="1" t="s">
        <v>937</v>
      </c>
      <c r="B10648" s="0" t="s">
        <v>98</v>
      </c>
      <c r="E10648" s="6" t="n">
        <f aca="false">Q!M38-Sens!E10566</f>
        <v>22.2285940229167</v>
      </c>
      <c r="F10648" s="6" t="n">
        <f aca="false">Sens!E10648*(1-1/life_nonai)+Sens!F10654/life_nonai</f>
        <v>23.5639961935813</v>
      </c>
      <c r="G10648" s="6" t="n">
        <f aca="false">Sens!F10648*(1-1/life_nonai)+Sens!G10654/life_nonai</f>
        <v>25.3238199695293</v>
      </c>
      <c r="H10648" s="6" t="n">
        <f aca="false">Sens!G10648*(1-1/life_nonai)+Sens!H10654/life_nonai</f>
        <v>27.4744017454613</v>
      </c>
      <c r="I10648" s="6" t="n">
        <f aca="false">Sens!H10648*(1-1/life_nonai)+Sens!I10654/life_nonai</f>
        <v>29.9497855769444</v>
      </c>
      <c r="J10648" s="6" t="n">
        <f aca="false">Sens!I10648*(1-1/life_nonai)+Sens!J10654/life_nonai</f>
        <v>32.6673989956875</v>
      </c>
      <c r="K10648" s="6" t="n">
        <f aca="false">Sens!J10648*(1-1/life_nonai)+Sens!K10654/life_nonai</f>
        <v>35.5439765161422</v>
      </c>
      <c r="L10648" s="11" t="s">
        <v>938</v>
      </c>
    </row>
    <row r="10649" customFormat="false" ht="17.15" hidden="false" customHeight="false" outlineLevel="0" collapsed="false">
      <c r="A10649" s="1" t="s">
        <v>939</v>
      </c>
      <c r="B10649" s="0" t="s">
        <v>98</v>
      </c>
      <c r="E10649" s="6" t="n">
        <f aca="false">Sens!E10566+Sens!E10648</f>
        <v>38.534</v>
      </c>
      <c r="F10649" s="6" t="n">
        <f aca="false">Sens!F10566+Sens!F10648</f>
        <v>58.304259274451</v>
      </c>
      <c r="G10649" s="6" t="n">
        <f aca="false">Sens!G10566+Sens!G10648</f>
        <v>85.8300084798689</v>
      </c>
      <c r="H10649" s="6" t="n">
        <f aca="false">Sens!H10566+Sens!H10648</f>
        <v>115.216172988601</v>
      </c>
      <c r="I10649" s="6" t="n">
        <f aca="false">Sens!I10566+Sens!I10648</f>
        <v>141.936280809166</v>
      </c>
      <c r="J10649" s="6" t="n">
        <f aca="false">Sens!J10566+Sens!J10648</f>
        <v>161.850565168353</v>
      </c>
      <c r="K10649" s="6" t="n">
        <f aca="false">Sens!K10566+Sens!K10648</f>
        <v>175.191078570616</v>
      </c>
    </row>
    <row r="10650" customFormat="false" ht="17.15" hidden="false" customHeight="false" outlineLevel="0" collapsed="false">
      <c r="A10650" s="1" t="s">
        <v>940</v>
      </c>
      <c r="B10650" s="0" t="s">
        <v>98</v>
      </c>
      <c r="F10650" s="6" t="n">
        <f aca="false">Sens!F10593*sbc_r</f>
        <v>14.934943326886</v>
      </c>
      <c r="G10650" s="6" t="n">
        <f aca="false">Sens!G10593*sbc_r</f>
        <v>17.7757498032634</v>
      </c>
      <c r="H10650" s="6" t="n">
        <f aca="false">Sens!H10593*sbc_r</f>
        <v>20.686672233185</v>
      </c>
      <c r="I10650" s="6" t="n">
        <f aca="false">Sens!I10593*sbc_r</f>
        <v>23.3761346377319</v>
      </c>
      <c r="J10650" s="6" t="n">
        <f aca="false">Sens!J10593*sbc_r</f>
        <v>25.5905839472725</v>
      </c>
      <c r="K10650" s="6" t="n">
        <f aca="false">Sens!K10593*sbc_r</f>
        <v>27.3813251549513</v>
      </c>
    </row>
    <row r="10651" customFormat="false" ht="17.15" hidden="false" customHeight="false" outlineLevel="0" collapsed="false">
      <c r="A10651" s="1" t="s">
        <v>941</v>
      </c>
      <c r="B10651" s="0" t="s">
        <v>98</v>
      </c>
      <c r="F10651" s="6" t="n">
        <f aca="false">wc27</f>
        <v>-4.895</v>
      </c>
      <c r="G10651" s="6" t="n">
        <f aca="false">wc_f</f>
        <v>0</v>
      </c>
      <c r="H10651" s="6" t="n">
        <f aca="false">wc_f</f>
        <v>0</v>
      </c>
      <c r="I10651" s="6" t="n">
        <f aca="false">wc_f</f>
        <v>0</v>
      </c>
      <c r="J10651" s="6" t="n">
        <f aca="false">wc_f</f>
        <v>0</v>
      </c>
      <c r="K10651" s="6" t="n">
        <f aca="false">wc_f</f>
        <v>0</v>
      </c>
      <c r="L10651" s="11" t="s">
        <v>942</v>
      </c>
    </row>
    <row r="10652" customFormat="false" ht="15" hidden="false" customHeight="false" outlineLevel="0" collapsed="false">
      <c r="A10652" s="1" t="s">
        <v>756</v>
      </c>
      <c r="B10652" s="0" t="s">
        <v>98</v>
      </c>
      <c r="E10652" s="6" t="n">
        <f aca="false">Q!M35</f>
        <v>182.935</v>
      </c>
      <c r="F10652" s="6" t="n">
        <f aca="false">Sens!F10647+Sens!F10649+Sens!F10650+Sens!F10651</f>
        <v>209.565108234222</v>
      </c>
      <c r="G10652" s="6" t="n">
        <f aca="false">Sens!G10647+Sens!G10649+Sens!G10650+Sens!G10651</f>
        <v>261.011003833334</v>
      </c>
      <c r="H10652" s="6" t="n">
        <f aca="false">Sens!H10647+Sens!H10649+Sens!H10650+Sens!H10651</f>
        <v>309.671846061688</v>
      </c>
      <c r="I10652" s="6" t="n">
        <f aca="false">Sens!I10647+Sens!I10649+Sens!I10650+Sens!I10651</f>
        <v>354.827039421272</v>
      </c>
      <c r="J10652" s="6" t="n">
        <f aca="false">Sens!J10647+Sens!J10649+Sens!J10650+Sens!J10651</f>
        <v>391.711642407873</v>
      </c>
      <c r="K10652" s="6" t="n">
        <f aca="false">Sens!K10647+Sens!K10649+Sens!K10650+Sens!K10651</f>
        <v>421.31025537628</v>
      </c>
    </row>
    <row r="10653" customFormat="false" ht="17.15" hidden="false" customHeight="false" outlineLevel="0" collapsed="false">
      <c r="A10653" s="0" t="s">
        <v>943</v>
      </c>
      <c r="B10653" s="0" t="s">
        <v>98</v>
      </c>
      <c r="F10653" s="6" t="n">
        <f aca="false">Sens!F10563</f>
        <v>168.617384270438</v>
      </c>
      <c r="G10653" s="6" t="n">
        <f aca="false">Sens!G10563</f>
        <v>183.5741804832</v>
      </c>
      <c r="H10653" s="6" t="n">
        <f aca="false">Sens!H10563</f>
        <v>188.0802859104</v>
      </c>
      <c r="I10653" s="6" t="n">
        <f aca="false">Sens!I10563</f>
        <v>163.706669154245</v>
      </c>
      <c r="J10653" s="6" t="n">
        <f aca="false">Sens!J10563</f>
        <v>124.51247671809</v>
      </c>
      <c r="K10653" s="6" t="n">
        <f aca="false">Sens!K10563</f>
        <v>114.959435641936</v>
      </c>
    </row>
    <row r="10654" customFormat="false" ht="17.15" hidden="false" customHeight="false" outlineLevel="0" collapsed="false">
      <c r="A10654" s="1" t="s">
        <v>944</v>
      </c>
      <c r="B10654" s="0" t="s">
        <v>98</v>
      </c>
      <c r="E10654" s="6" t="n">
        <f aca="false">Sens!E10571*cx_azo+Sens!E10578*cx_m365+Sens!E10579*cx_lic+(Sens!E10581+Sens!E10583)*cx_ind+Sens!E10586*cx_srch+(Sens!E10588+Sens!E10590)*cx_dev</f>
        <v>30.1846587067718</v>
      </c>
      <c r="F10654" s="6" t="n">
        <f aca="false">Sens!F10571*cx_azo+Sens!F10578*cx_m365+Sens!F10579*cx_lic+(Sens!F10581+Sens!F10583)*cx_ind+Sens!F10586*cx_srch+(Sens!F10588+Sens!F10590)*cx_dev</f>
        <v>35.5826157295625</v>
      </c>
      <c r="G10654" s="6" t="n">
        <f aca="false">Sens!G10571*cx_azo+Sens!G10578*cx_m365+Sens!G10579*cx_lic+(Sens!G10581+Sens!G10583)*cx_ind+Sens!G10586*cx_srch+(Sens!G10588+Sens!G10590)*cx_dev</f>
        <v>41.1622339530614</v>
      </c>
      <c r="H10654" s="6" t="n">
        <f aca="false">Sens!H10571*cx_azo+Sens!H10578*cx_m365+Sens!H10579*cx_lic+(Sens!H10581+Sens!H10583)*cx_ind+Sens!H10586*cx_srch+(Sens!H10588+Sens!H10590)*cx_dev</f>
        <v>46.82963772885</v>
      </c>
      <c r="I10654" s="6" t="n">
        <f aca="false">Sens!I10571*cx_azo+Sens!I10578*cx_m365+Sens!I10579*cx_lic+(Sens!I10581+Sens!I10583)*cx_ind+Sens!I10586*cx_srch+(Sens!I10588+Sens!I10590)*cx_dev</f>
        <v>52.2282400602924</v>
      </c>
      <c r="J10654" s="6" t="n">
        <f aca="false">Sens!J10571*cx_azo+Sens!J10578*cx_m365+Sens!J10579*cx_lic+(Sens!J10581+Sens!J10583)*cx_ind+Sens!J10586*cx_srch+(Sens!J10588+Sens!J10590)*cx_dev</f>
        <v>57.1259197643751</v>
      </c>
      <c r="K10654" s="6" t="n">
        <f aca="false">Sens!K10571*cx_azo+Sens!K10578*cx_m365+Sens!K10579*cx_lic+(Sens!K10581+Sens!K10583)*cx_ind+Sens!K10586*cx_srch+(Sens!K10588+Sens!K10590)*cx_dev</f>
        <v>61.433174200234</v>
      </c>
    </row>
    <row r="10655" customFormat="false" ht="17.15" hidden="false" customHeight="false" outlineLevel="0" collapsed="false">
      <c r="A10655" s="1" t="s">
        <v>945</v>
      </c>
      <c r="B10655" s="0" t="s">
        <v>98</v>
      </c>
      <c r="E10655" s="6" t="n">
        <f aca="false">Q!M42</f>
        <v>145.3</v>
      </c>
      <c r="F10655" s="6" t="n">
        <f aca="false">Sens!F10653+Sens!F10654</f>
        <v>204.2</v>
      </c>
      <c r="G10655" s="6" t="n">
        <f aca="false">Sens!G10653+Sens!G10654</f>
        <v>224.736414436261</v>
      </c>
      <c r="H10655" s="6" t="n">
        <f aca="false">Sens!H10653+Sens!H10654</f>
        <v>234.90992363925</v>
      </c>
      <c r="I10655" s="6" t="n">
        <f aca="false">Sens!I10653+Sens!I10654</f>
        <v>215.934909214538</v>
      </c>
      <c r="J10655" s="6" t="n">
        <f aca="false">Sens!J10653+Sens!J10654</f>
        <v>181.638396482466</v>
      </c>
      <c r="K10655" s="6" t="n">
        <f aca="false">Sens!K10653+Sens!K10654</f>
        <v>176.39260984217</v>
      </c>
      <c r="L10655" s="1" t="s">
        <v>946</v>
      </c>
    </row>
    <row r="10656" customFormat="false" ht="15" hidden="false" customHeight="false" outlineLevel="0" collapsed="false">
      <c r="A10656" s="1" t="s">
        <v>947</v>
      </c>
      <c r="B10656" s="0" t="s">
        <v>98</v>
      </c>
      <c r="E10656" s="6" t="n">
        <f aca="false">fl_liab</f>
        <v>66.594</v>
      </c>
      <c r="F10656" s="6" t="n">
        <f aca="false">Sens!E10656-Sens!F10657</f>
        <v>62.46973</v>
      </c>
      <c r="G10656" s="6" t="n">
        <f aca="false">Sens!F10656-Sens!G10657</f>
        <v>57.98686785</v>
      </c>
      <c r="H10656" s="6" t="n">
        <f aca="false">Sens!G10656-Sens!H10657</f>
        <v>53.92827690325</v>
      </c>
      <c r="I10656" s="6" t="n">
        <f aca="false">Sens!H10656-Sens!I10657</f>
        <v>49.7850493638962</v>
      </c>
      <c r="J10656" s="6" t="n">
        <f aca="false">Sens!I10656-Sens!J10657</f>
        <v>45.4823765852716</v>
      </c>
      <c r="K10656" s="6" t="n">
        <f aca="false">Sens!J10656-Sens!K10657</f>
        <v>40.9860835316088</v>
      </c>
    </row>
    <row r="10657" customFormat="false" ht="15" hidden="false" customHeight="false" outlineLevel="0" collapsed="false">
      <c r="A10657" s="1" t="s">
        <v>948</v>
      </c>
      <c r="B10657" s="0" t="s">
        <v>98</v>
      </c>
      <c r="F10657" s="6" t="n">
        <f aca="false">fl_pay_27-Sens!E10656*fl_rate</f>
        <v>4.12427</v>
      </c>
      <c r="G10657" s="6" t="n">
        <f aca="false">fl_pay_28-Sens!F10656*fl_rate</f>
        <v>4.48286215</v>
      </c>
      <c r="H10657" s="6" t="n">
        <f aca="false">fl_pay_29-Sens!G10656*fl_rate</f>
        <v>4.05859094675</v>
      </c>
      <c r="I10657" s="6" t="n">
        <f aca="false">fl_pay_30-Sens!H10656*fl_rate</f>
        <v>4.14322753935375</v>
      </c>
      <c r="J10657" s="6" t="n">
        <f aca="false">fl_pay_31-Sens!I10656*fl_rate</f>
        <v>4.30267277862467</v>
      </c>
      <c r="K10657" s="6" t="n">
        <f aca="false">fl_pay_32-Sens!J10656*fl_rate</f>
        <v>4.49629305366278</v>
      </c>
    </row>
    <row r="10658" customFormat="false" ht="17.15" hidden="false" customHeight="false" outlineLevel="0" collapsed="false">
      <c r="A10658" s="1" t="s">
        <v>949</v>
      </c>
      <c r="B10658" s="0" t="s">
        <v>98</v>
      </c>
      <c r="E10658" s="6" t="n">
        <f aca="false">Q!M35-Q!M36-Q!M43</f>
        <v>63.886</v>
      </c>
      <c r="F10658" s="6" t="n">
        <f aca="false">Sens!F10652-Sens!F10655-Sens!F10657</f>
        <v>1.24083823422233</v>
      </c>
      <c r="G10658" s="6" t="n">
        <f aca="false">Sens!G10652-Sens!G10655-Sens!G10657</f>
        <v>31.7917272470725</v>
      </c>
      <c r="H10658" s="6" t="n">
        <f aca="false">Sens!H10652-Sens!H10655-Sens!H10657</f>
        <v>70.7033314756885</v>
      </c>
      <c r="I10658" s="6" t="n">
        <f aca="false">Sens!I10652-Sens!I10655-Sens!I10657</f>
        <v>134.74890266738</v>
      </c>
      <c r="J10658" s="6" t="n">
        <f aca="false">Sens!J10652-Sens!J10655-Sens!J10657</f>
        <v>205.770573146782</v>
      </c>
      <c r="K10658" s="6" t="n">
        <f aca="false">Sens!K10652-Sens!K10655-Sens!K10657</f>
        <v>240.421352480447</v>
      </c>
      <c r="L10658" s="11" t="s">
        <v>950</v>
      </c>
    </row>
    <row r="10659" customFormat="false" ht="15" hidden="false" customHeight="false" outlineLevel="0" collapsed="false">
      <c r="A10659" s="1" t="s">
        <v>951</v>
      </c>
      <c r="B10659" s="0" t="s">
        <v>75</v>
      </c>
      <c r="F10659" s="8" t="n">
        <f aca="false">dps_27</f>
        <v>3.85</v>
      </c>
      <c r="G10659" s="8" t="n">
        <f aca="false">Sens!F10659*(1+dps_g)</f>
        <v>4.158</v>
      </c>
      <c r="H10659" s="8" t="n">
        <f aca="false">Sens!G10659*(1+dps_g)</f>
        <v>4.49064</v>
      </c>
      <c r="I10659" s="8" t="n">
        <f aca="false">Sens!H10659*(1+dps_g)</f>
        <v>4.8498912</v>
      </c>
      <c r="J10659" s="8" t="n">
        <f aca="false">Sens!I10659*(1+dps_g)</f>
        <v>5.237882496</v>
      </c>
      <c r="K10659" s="8" t="n">
        <f aca="false">Sens!J10659*(1+dps_g)</f>
        <v>5.65691309568</v>
      </c>
    </row>
    <row r="10660" customFormat="false" ht="17.15" hidden="false" customHeight="false" outlineLevel="0" collapsed="false">
      <c r="A10660" s="1" t="s">
        <v>952</v>
      </c>
      <c r="B10660" s="0" t="s">
        <v>98</v>
      </c>
      <c r="E10660" s="6" t="n">
        <f aca="false">Q!M41</f>
        <v>26.445</v>
      </c>
      <c r="F10660" s="6" t="n">
        <f aca="false">Sens!F10659*Sens!E10669</f>
        <v>28.59395</v>
      </c>
      <c r="G10660" s="6" t="n">
        <f aca="false">Sens!G10659*Sens!F10669</f>
        <v>31.068576</v>
      </c>
      <c r="H10660" s="6" t="n">
        <f aca="false">Sens!H10659*Sens!G10669</f>
        <v>33.7507083693721</v>
      </c>
      <c r="I10660" s="6" t="n">
        <f aca="false">Sens!I10659*Sens!H10669</f>
        <v>36.5017042789213</v>
      </c>
      <c r="J10660" s="6" t="n">
        <f aca="false">Sens!J10659*Sens!I10669</f>
        <v>39.4902394695544</v>
      </c>
      <c r="K10660" s="6" t="n">
        <f aca="false">Sens!K10659*Sens!J10669</f>
        <v>42.7367138524238</v>
      </c>
      <c r="L10660" s="1" t="s">
        <v>953</v>
      </c>
    </row>
    <row r="10661" customFormat="false" ht="15" hidden="false" customHeight="false" outlineLevel="0" collapsed="false">
      <c r="A10661" s="1" t="s">
        <v>954</v>
      </c>
      <c r="B10661" s="0" t="s">
        <v>98</v>
      </c>
      <c r="E10661" s="6" t="n">
        <f aca="false">Sens!E10658-Sens!E10660</f>
        <v>37.441</v>
      </c>
      <c r="F10661" s="6" t="n">
        <f aca="false">Sens!F10658-Sens!F10660</f>
        <v>-27.3531117657777</v>
      </c>
      <c r="G10661" s="6" t="n">
        <f aca="false">Sens!G10658-Sens!G10660</f>
        <v>0.723151247072533</v>
      </c>
      <c r="H10661" s="6" t="n">
        <f aca="false">Sens!H10658-Sens!H10660</f>
        <v>36.9526231063165</v>
      </c>
      <c r="I10661" s="6" t="n">
        <f aca="false">Sens!I10658-Sens!I10660</f>
        <v>98.2471983884589</v>
      </c>
      <c r="J10661" s="6" t="n">
        <f aca="false">Sens!J10658-Sens!J10660</f>
        <v>166.280333677228</v>
      </c>
      <c r="K10661" s="6" t="n">
        <f aca="false">Sens!K10658-Sens!K10660</f>
        <v>197.684638628023</v>
      </c>
    </row>
    <row r="10662" customFormat="false" ht="15" hidden="false" customHeight="false" outlineLevel="0" collapsed="false">
      <c r="A10662" s="1" t="s">
        <v>955</v>
      </c>
      <c r="B10662" s="0" t="s">
        <v>98</v>
      </c>
      <c r="F10662" s="6" t="n">
        <f aca="false">debt_mat_27</f>
        <v>9.25</v>
      </c>
      <c r="G10662" s="6" t="n">
        <f aca="false">debt_mat_28</f>
        <v>0</v>
      </c>
      <c r="H10662" s="6" t="n">
        <f aca="false">debt_mat_29</f>
        <v>2.001</v>
      </c>
      <c r="I10662" s="6" t="n">
        <f aca="false">debt_mat_30</f>
        <v>0</v>
      </c>
      <c r="J10662" s="6" t="n">
        <f aca="false">debt_mat_31</f>
        <v>0.5</v>
      </c>
      <c r="K10662" s="6" t="n">
        <f aca="false">debt_mat_32</f>
        <v>0</v>
      </c>
    </row>
    <row r="10663" customFormat="false" ht="15" hidden="false" customHeight="false" outlineLevel="0" collapsed="false">
      <c r="A10663" s="1" t="s">
        <v>956</v>
      </c>
      <c r="B10663" s="0" t="s">
        <v>98</v>
      </c>
      <c r="E10663" s="6" t="n">
        <f aca="false">Q!M40</f>
        <v>22.271</v>
      </c>
      <c r="F10663" s="6" t="n">
        <f aca="false">MAX(0,MIN(bb_target,Sens!E10665+Sens!F10661-Sens!F10662-min_cash))</f>
        <v>0</v>
      </c>
      <c r="G10663" s="6" t="n">
        <f aca="false">MAX(0,MIN(bb_target,Sens!F10665+Sens!G10661-Sens!G10662-min_cash))</f>
        <v>0.723151247072536</v>
      </c>
      <c r="H10663" s="6" t="n">
        <f aca="false">MAX(0,MIN(bb_target,Sens!G10665+Sens!H10661-Sens!H10662-min_cash))</f>
        <v>22.271</v>
      </c>
      <c r="I10663" s="6" t="n">
        <f aca="false">MAX(0,MIN(bb_target,Sens!H10665+Sens!I10661-Sens!I10662-min_cash))</f>
        <v>22.271</v>
      </c>
      <c r="J10663" s="6" t="n">
        <f aca="false">MAX(0,MIN(bb_target,Sens!I10665+Sens!J10661-Sens!J10662-min_cash))</f>
        <v>22.271</v>
      </c>
      <c r="K10663" s="6" t="n">
        <f aca="false">MAX(0,MIN(bb_target,Sens!J10665+Sens!K10661-Sens!K10662-min_cash))</f>
        <v>22.271</v>
      </c>
    </row>
    <row r="10664" customFormat="false" ht="15" hidden="false" customHeight="false" outlineLevel="0" collapsed="false">
      <c r="A10664" s="1" t="s">
        <v>957</v>
      </c>
      <c r="B10664" s="0" t="s">
        <v>98</v>
      </c>
      <c r="F10664" s="6" t="n">
        <f aca="false">MAX(0,min_cash-(Sens!E10665+Sens!F10661-Sens!F10662-Sens!F10663))</f>
        <v>9.76011176577767</v>
      </c>
      <c r="G10664" s="6" t="n">
        <f aca="false">MAX(0,min_cash-(Sens!F10665+Sens!G10661-Sens!G10662-Sens!G10663))</f>
        <v>0</v>
      </c>
      <c r="H10664" s="6" t="n">
        <f aca="false">MAX(0,min_cash-(Sens!G10665+Sens!H10661-Sens!H10662-Sens!H10663))</f>
        <v>0</v>
      </c>
      <c r="I10664" s="6" t="n">
        <f aca="false">MAX(0,min_cash-(Sens!H10665+Sens!I10661-Sens!I10662-Sens!I10663))</f>
        <v>0</v>
      </c>
      <c r="J10664" s="6" t="n">
        <f aca="false">MAX(0,min_cash-(Sens!I10665+Sens!J10661-Sens!J10662-Sens!J10663))</f>
        <v>0</v>
      </c>
      <c r="K10664" s="6" t="n">
        <f aca="false">MAX(0,min_cash-(Sens!J10665+Sens!K10661-Sens!K10662-Sens!K10663))</f>
        <v>0</v>
      </c>
    </row>
    <row r="10665" customFormat="false" ht="15" hidden="false" customHeight="false" outlineLevel="0" collapsed="false">
      <c r="A10665" s="1" t="s">
        <v>958</v>
      </c>
      <c r="B10665" s="0" t="s">
        <v>98</v>
      </c>
      <c r="E10665" s="6" t="n">
        <f aca="false">cash_open</f>
        <v>76.843</v>
      </c>
      <c r="F10665" s="6" t="n">
        <f aca="false">Sens!E10665+Sens!F10661-Sens!F10662-Sens!F10663+Sens!F10664</f>
        <v>50</v>
      </c>
      <c r="G10665" s="6" t="n">
        <f aca="false">Sens!F10665+Sens!G10661-Sens!G10662-Sens!G10663+Sens!G10664</f>
        <v>50</v>
      </c>
      <c r="H10665" s="6" t="n">
        <f aca="false">Sens!G10665+Sens!H10661-Sens!H10662-Sens!H10663+Sens!H10664</f>
        <v>62.6806231063165</v>
      </c>
      <c r="I10665" s="6" t="n">
        <f aca="false">Sens!H10665+Sens!I10661-Sens!I10662-Sens!I10663+Sens!I10664</f>
        <v>138.656821494775</v>
      </c>
      <c r="J10665" s="6" t="n">
        <f aca="false">Sens!I10665+Sens!J10661-Sens!J10662-Sens!J10663+Sens!J10664</f>
        <v>282.166155172003</v>
      </c>
      <c r="K10665" s="6" t="n">
        <f aca="false">Sens!J10665+Sens!K10661-Sens!K10662-Sens!K10663+Sens!K10664</f>
        <v>457.579793800026</v>
      </c>
    </row>
    <row r="10666" customFormat="false" ht="15" hidden="false" customHeight="false" outlineLevel="0" collapsed="false">
      <c r="A10666" s="1" t="s">
        <v>959</v>
      </c>
      <c r="B10666" s="0" t="s">
        <v>98</v>
      </c>
      <c r="E10666" s="6" t="n">
        <f aca="false">debt_face</f>
        <v>46.136</v>
      </c>
      <c r="F10666" s="6" t="n">
        <f aca="false">Sens!E10666-Sens!F10662+Sens!F10664</f>
        <v>46.6461117657777</v>
      </c>
      <c r="G10666" s="6" t="n">
        <f aca="false">Sens!F10666-Sens!G10662+Sens!G10664</f>
        <v>46.6461117657777</v>
      </c>
      <c r="H10666" s="6" t="n">
        <f aca="false">Sens!G10666-Sens!H10662+Sens!H10664</f>
        <v>44.6451117657777</v>
      </c>
      <c r="I10666" s="6" t="n">
        <f aca="false">Sens!H10666-Sens!I10662+Sens!I10664</f>
        <v>44.6451117657777</v>
      </c>
      <c r="J10666" s="6" t="n">
        <f aca="false">Sens!I10666-Sens!J10662+Sens!J10664</f>
        <v>44.1451117657777</v>
      </c>
      <c r="K10666" s="6" t="n">
        <f aca="false">Sens!J10666-Sens!K10662+Sens!K10664</f>
        <v>44.1451117657777</v>
      </c>
    </row>
    <row r="10667" customFormat="false" ht="15" hidden="false" customHeight="false" outlineLevel="0" collapsed="false">
      <c r="A10667" s="1" t="s">
        <v>960</v>
      </c>
      <c r="B10667" s="0" t="s">
        <v>98</v>
      </c>
      <c r="E10667" s="6" t="n">
        <f aca="false">Sens!E10665-Sens!E10666</f>
        <v>30.707</v>
      </c>
      <c r="F10667" s="6" t="n">
        <f aca="false">Sens!F10665-Sens!F10666</f>
        <v>3.35388823422233</v>
      </c>
      <c r="G10667" s="6" t="n">
        <f aca="false">Sens!G10665-Sens!G10666</f>
        <v>3.35388823422233</v>
      </c>
      <c r="H10667" s="6" t="n">
        <f aca="false">Sens!H10665-Sens!H10666</f>
        <v>18.0355113405388</v>
      </c>
      <c r="I10667" s="6" t="n">
        <f aca="false">Sens!I10665-Sens!I10666</f>
        <v>94.0117097289977</v>
      </c>
      <c r="J10667" s="6" t="n">
        <f aca="false">Sens!J10665-Sens!J10666</f>
        <v>238.021043406226</v>
      </c>
      <c r="K10667" s="6" t="n">
        <f aca="false">Sens!K10665-Sens!K10666</f>
        <v>413.434682034249</v>
      </c>
    </row>
    <row r="10668" customFormat="false" ht="15" hidden="false" customHeight="false" outlineLevel="0" collapsed="false">
      <c r="A10668" s="1" t="s">
        <v>961</v>
      </c>
      <c r="B10668" s="0" t="s">
        <v>75</v>
      </c>
      <c r="F10668" s="29" t="n">
        <f aca="false">px*(1+bb_g)^(Sens!F10532-base_fy-mid_yr)</f>
        <v>553.494156066711</v>
      </c>
      <c r="G10668" s="29" t="n">
        <f aca="false">px*(1+bb_g)^(Sens!G10532-base_fy-mid_yr)</f>
        <v>597.773688552047</v>
      </c>
      <c r="H10668" s="29" t="n">
        <f aca="false">px*(1+bb_g)^(Sens!H10532-base_fy-mid_yr)</f>
        <v>645.595583636211</v>
      </c>
      <c r="I10668" s="29" t="n">
        <f aca="false">px*(1+bb_g)^(Sens!I10532-base_fy-mid_yr)</f>
        <v>697.243230327108</v>
      </c>
      <c r="J10668" s="29" t="n">
        <f aca="false">px*(1+bb_g)^(Sens!J10532-base_fy-mid_yr)</f>
        <v>753.022688753277</v>
      </c>
      <c r="K10668" s="29" t="n">
        <f aca="false">px*(1+bb_g)^(Sens!K10532-base_fy-mid_yr)</f>
        <v>813.264503853539</v>
      </c>
    </row>
    <row r="10669" customFormat="false" ht="15" hidden="false" customHeight="false" outlineLevel="0" collapsed="false">
      <c r="A10669" s="1" t="s">
        <v>962</v>
      </c>
      <c r="B10669" s="1" t="s">
        <v>81</v>
      </c>
      <c r="E10669" s="14" t="n">
        <f aca="false">sh_out26</f>
        <v>7.427</v>
      </c>
      <c r="F10669" s="14" t="n">
        <f aca="false">Sens!E10669+sh_iss-Sens!F10663/Sens!F10668</f>
        <v>7.472</v>
      </c>
      <c r="G10669" s="14" t="n">
        <f aca="false">Sens!F10669+sh_iss-Sens!G10663/Sens!G10668</f>
        <v>7.51579025915506</v>
      </c>
      <c r="H10669" s="14" t="n">
        <f aca="false">Sens!G10669+sh_iss-Sens!H10663/Sens!H10668</f>
        <v>7.52629343085496</v>
      </c>
      <c r="I10669" s="14" t="n">
        <f aca="false">Sens!H10669+sh_iss-Sens!I10663/Sens!I10668</f>
        <v>7.53935192316969</v>
      </c>
      <c r="J10669" s="14" t="n">
        <f aca="false">Sens!I10669+sh_iss-Sens!J10663/Sens!J10668</f>
        <v>7.55477645309073</v>
      </c>
      <c r="K10669" s="14" t="n">
        <f aca="false">Sens!J10669+sh_iss-Sens!K10663/Sens!K10668</f>
        <v>7.57239175857317</v>
      </c>
    </row>
    <row r="10670" customFormat="false" ht="15" hidden="false" customHeight="false" outlineLevel="0" collapsed="false">
      <c r="A10670" s="1" t="s">
        <v>963</v>
      </c>
      <c r="B10670" s="1" t="s">
        <v>81</v>
      </c>
      <c r="E10670" s="14" t="n">
        <f aca="false">sh_dil26</f>
        <v>7.453</v>
      </c>
      <c r="F10670" s="14" t="n">
        <f aca="false">(Sens!E10669+Sens!F10669)/2+dil_gap</f>
        <v>7.4735</v>
      </c>
      <c r="G10670" s="14" t="n">
        <f aca="false">(Sens!F10669+Sens!G10669)/2+dil_gap</f>
        <v>7.51789512957753</v>
      </c>
      <c r="H10670" s="14" t="n">
        <f aca="false">(Sens!G10669+Sens!H10669)/2+dil_gap</f>
        <v>7.54504184500501</v>
      </c>
      <c r="I10670" s="14" t="n">
        <f aca="false">(Sens!H10669+Sens!I10669)/2+dil_gap</f>
        <v>7.55682267701232</v>
      </c>
      <c r="J10670" s="14" t="n">
        <f aca="false">(Sens!I10669+Sens!J10669)/2+dil_gap</f>
        <v>7.57106418813021</v>
      </c>
      <c r="K10670" s="14" t="n">
        <f aca="false">(Sens!J10669+Sens!K10669)/2+dil_gap</f>
        <v>7.58758410583195</v>
      </c>
    </row>
    <row r="10671" customFormat="false" ht="17.15" hidden="false" customHeight="false" outlineLevel="0" collapsed="false">
      <c r="A10671" s="1" t="s">
        <v>964</v>
      </c>
      <c r="B10671" s="0" t="s">
        <v>98</v>
      </c>
      <c r="C10671" s="6" t="n">
        <f aca="false">SUM(Sens!F10661:J10661)</f>
        <v>274.850194653298</v>
      </c>
    </row>
    <row r="10672" customFormat="false" ht="15" hidden="false" customHeight="false" outlineLevel="0" collapsed="false">
      <c r="A10672" s="23" t="s">
        <v>935</v>
      </c>
      <c r="B10672" s="30" t="s">
        <v>98</v>
      </c>
      <c r="C10672" s="24" t="n">
        <f aca="false">Sens!$C$10671-(Sens!F10661+Sens!G10661+Sens!H10661+Sens!I10661+Sens!J10661)</f>
        <v>0</v>
      </c>
      <c r="D10672" s="30"/>
      <c r="E10672" s="30"/>
      <c r="F10672" s="30"/>
      <c r="G10672" s="30"/>
      <c r="H10672" s="30"/>
      <c r="I10672" s="30"/>
      <c r="J10672" s="30"/>
      <c r="K10672" s="30"/>
    </row>
    <row r="10673" customFormat="false" ht="17.15" hidden="false" customHeight="false" outlineLevel="0" collapsed="false">
      <c r="A10673" s="1" t="s">
        <v>929</v>
      </c>
      <c r="B10673" s="1" t="s">
        <v>965</v>
      </c>
      <c r="C10673" s="32" t="str">
        <f aca="false">IF(SUM(Sens!F10664:J10664)&gt;0.05,"需要舉債 "&amp;TEXT(SUM(Sens!F10664:J10664),"0.0")&amp;" 十億美元","不需舉債")&amp;"；"&amp;IF(SUM(Sens!F10663:J10663)&lt;COUNT(Sens!F10663:J10663)*bb_target-0.05,"回購較每年 "&amp;TEXT(bb_target,"0.0")&amp;" 的目標少 "&amp;TEXT(COUNT(Sens!F10663:J10663)*bb_target-SUM(Sens!F10663:J10663),"0.0")&amp;" 十億美元（"&amp;TEXT(COUNTIF(Sens!F10663:J10663,"&lt;"&amp;(bb_target-0.05)),"0")&amp;" 年減少）","回購不減")</f>
        <v>需要舉債 9.8 十億美元；回購較每年 22.3 的目標少 43.8 十億美元（2 年減少）</v>
      </c>
    </row>
    <row r="10674" customFormat="false" ht="17.15" hidden="false" customHeight="false" outlineLevel="0" collapsed="false">
      <c r="A10674" s="3" t="s">
        <v>1513</v>
      </c>
    </row>
    <row r="10675" customFormat="false" ht="15" hidden="false" customHeight="false" outlineLevel="0" collapsed="false">
      <c r="A10675" s="4" t="s">
        <v>43</v>
      </c>
      <c r="B10675" s="4" t="s">
        <v>65</v>
      </c>
      <c r="C10675" s="20" t="s">
        <v>788</v>
      </c>
      <c r="D10675" s="20" t="s">
        <v>789</v>
      </c>
      <c r="E10675" s="20" t="s">
        <v>790</v>
      </c>
      <c r="F10675" s="20" t="s">
        <v>791</v>
      </c>
      <c r="G10675" s="20" t="s">
        <v>792</v>
      </c>
      <c r="H10675" s="20" t="s">
        <v>793</v>
      </c>
      <c r="I10675" s="20" t="s">
        <v>794</v>
      </c>
      <c r="J10675" s="20" t="s">
        <v>795</v>
      </c>
      <c r="K10675" s="20" t="s">
        <v>796</v>
      </c>
      <c r="L10675" s="4" t="s">
        <v>47</v>
      </c>
    </row>
    <row r="10676" customFormat="false" ht="15" hidden="false" customHeight="false" outlineLevel="0" collapsed="false">
      <c r="A10676" s="1" t="s">
        <v>1042</v>
      </c>
      <c r="B10676" s="1" t="s">
        <v>235</v>
      </c>
      <c r="F10676" s="36" t="n">
        <f aca="false">Sens!F10532-base_fy-mid_yr</f>
        <v>0.5</v>
      </c>
      <c r="G10676" s="36" t="n">
        <f aca="false">Sens!G10532-base_fy-mid_yr</f>
        <v>1.5</v>
      </c>
      <c r="H10676" s="36" t="n">
        <f aca="false">Sens!H10532-base_fy-mid_yr</f>
        <v>2.5</v>
      </c>
      <c r="I10676" s="36" t="n">
        <f aca="false">Sens!I10532-base_fy-mid_yr</f>
        <v>3.5</v>
      </c>
      <c r="J10676" s="36" t="n">
        <f aca="false">Sens!J10532-base_fy-mid_yr</f>
        <v>4.5</v>
      </c>
      <c r="K10676" s="36" t="n">
        <f aca="false">Sens!K10532-base_fy-mid_yr</f>
        <v>5.5</v>
      </c>
    </row>
    <row r="10677" customFormat="false" ht="15" hidden="false" customHeight="false" outlineLevel="0" collapsed="false">
      <c r="A10677" s="1" t="s">
        <v>1043</v>
      </c>
      <c r="B10677" s="0" t="s">
        <v>185</v>
      </c>
      <c r="F10677" s="14" t="n">
        <f aca="false">1/(1+wacc)^Sens!F10676</f>
        <v>0.952193373608246</v>
      </c>
      <c r="G10677" s="14" t="n">
        <f aca="false">1/(1+wacc)^Sens!G10676</f>
        <v>0.863327280626589</v>
      </c>
      <c r="H10677" s="14" t="n">
        <f aca="false">1/(1+wacc)^Sens!H10676</f>
        <v>0.782754862754115</v>
      </c>
      <c r="I10677" s="14" t="n">
        <f aca="false">1/(1+wacc)^Sens!I10676</f>
        <v>0.709702089711011</v>
      </c>
      <c r="J10677" s="14" t="n">
        <f aca="false">1/(1+wacc)^Sens!J10676</f>
        <v>0.643467169744551</v>
      </c>
      <c r="K10677" s="14" t="n">
        <f aca="false">1/(1+wacc)^Sens!K10676</f>
        <v>0.583413807767797</v>
      </c>
    </row>
    <row r="10678" customFormat="false" ht="17.15" hidden="false" customHeight="false" outlineLevel="0" collapsed="false">
      <c r="A10678" s="1" t="s">
        <v>1044</v>
      </c>
      <c r="B10678" s="0" t="s">
        <v>98</v>
      </c>
      <c r="F10678" s="6" t="n">
        <f aca="false">Sens!F10652-Sens!F10650-Sens!F10655+Sens!F10636*(1-tax_f)</f>
        <v>6.3788196801821</v>
      </c>
      <c r="G10678" s="6" t="n">
        <f aca="false">Sens!G10652-Sens!G10650-Sens!G10655+Sens!G10636*(1-tax_f)</f>
        <v>46.6075991489391</v>
      </c>
      <c r="H10678" s="6" t="n">
        <f aca="false">Sens!H10652-Sens!H10650-Sens!H10655+Sens!H10636*(1-tax_f)</f>
        <v>95.426079401028</v>
      </c>
      <c r="I10678" s="6" t="n">
        <f aca="false">Sens!I10652-Sens!I10650-Sens!I10655+Sens!I10636*(1-tax_f)</f>
        <v>168.971470163954</v>
      </c>
      <c r="J10678" s="6" t="n">
        <f aca="false">Sens!J10652-Sens!J10650-Sens!J10655+Sens!J10636*(1-tax_f)</f>
        <v>246.428969196501</v>
      </c>
      <c r="K10678" s="6" t="n">
        <f aca="false">Sens!K10652-Sens!K10650-Sens!K10655+Sens!K10636*(1-tax_f)</f>
        <v>284.196291491262</v>
      </c>
      <c r="L10678" s="1" t="s">
        <v>1045</v>
      </c>
    </row>
    <row r="10679" customFormat="false" ht="15" hidden="false" customHeight="false" outlineLevel="0" collapsed="false">
      <c r="A10679" s="1" t="s">
        <v>1046</v>
      </c>
      <c r="B10679" s="0" t="s">
        <v>98</v>
      </c>
      <c r="F10679" s="6" t="n">
        <f aca="false">Sens!F10678*Sens!F10677</f>
        <v>6.07386983091127</v>
      </c>
      <c r="G10679" s="6" t="n">
        <f aca="false">Sens!G10678*Sens!G10677</f>
        <v>40.2376118297877</v>
      </c>
      <c r="H10679" s="6" t="n">
        <f aca="false">Sens!H10678*Sens!H10677</f>
        <v>74.695227684715</v>
      </c>
      <c r="I10679" s="6" t="n">
        <f aca="false">Sens!I10678*Sens!I10677</f>
        <v>119.9194054769</v>
      </c>
      <c r="J10679" s="6" t="n">
        <f aca="false">Sens!J10678*Sens!J10677</f>
        <v>158.56895135194</v>
      </c>
      <c r="K10679" s="6" t="n">
        <f aca="false">Sens!K10678*Sens!K10677</f>
        <v>165.804040572404</v>
      </c>
    </row>
    <row r="10680" customFormat="false" ht="17.15" hidden="false" customHeight="false" outlineLevel="0" collapsed="false">
      <c r="A10680" s="1" t="s">
        <v>1047</v>
      </c>
      <c r="B10680" s="0" t="s">
        <v>98</v>
      </c>
      <c r="C10680" s="6" t="n">
        <f aca="false">SUM(Sens!F10679:K10679)</f>
        <v>565.299106746657</v>
      </c>
    </row>
    <row r="10681" customFormat="false" ht="17.15" hidden="false" customHeight="false" outlineLevel="0" collapsed="false">
      <c r="A10681" s="1" t="s">
        <v>1048</v>
      </c>
      <c r="B10681" s="0" t="s">
        <v>98</v>
      </c>
      <c r="C10681" s="6" t="n">
        <f aca="false">Sens!K10622*(1+g_tv)*(1-tax_f)</f>
        <v>294.289357445701</v>
      </c>
    </row>
    <row r="10682" customFormat="false" ht="17.15" hidden="false" customHeight="false" outlineLevel="0" collapsed="false">
      <c r="A10682" s="1" t="s">
        <v>1049</v>
      </c>
      <c r="B10682" s="0" t="s">
        <v>98</v>
      </c>
      <c r="C10682" s="6" t="n">
        <f aca="false">Sens!$C$10681*(1-g_tv/(wacc+ronic_prem))</f>
        <v>208.519401046227</v>
      </c>
    </row>
    <row r="10683" customFormat="false" ht="17.15" hidden="false" customHeight="false" outlineLevel="0" collapsed="false">
      <c r="A10683" s="1" t="s">
        <v>1050</v>
      </c>
      <c r="B10683" s="0" t="s">
        <v>98</v>
      </c>
      <c r="C10683" s="6" t="n">
        <f aca="false">Sens!$C$10682/(wacc-g_tv)</f>
        <v>2858.99854664911</v>
      </c>
    </row>
    <row r="10684" customFormat="false" ht="15" hidden="false" customHeight="false" outlineLevel="0" collapsed="false">
      <c r="A10684" s="1" t="s">
        <v>1051</v>
      </c>
      <c r="B10684" s="0" t="s">
        <v>98</v>
      </c>
      <c r="C10684" s="6" t="n">
        <f aca="false">Sens!$C$10683/(1+wacc)^(Sens!K10676+mid_yr)</f>
        <v>1588.2387686969</v>
      </c>
    </row>
    <row r="10685" customFormat="false" ht="17.15" hidden="false" customHeight="false" outlineLevel="0" collapsed="false">
      <c r="A10685" s="0" t="s">
        <v>972</v>
      </c>
      <c r="B10685" s="0" t="s">
        <v>98</v>
      </c>
      <c r="C10685" s="6" t="n">
        <f aca="false">Sens!$C$10680+Sens!$C$10684</f>
        <v>2153.53787544356</v>
      </c>
    </row>
    <row r="10686" customFormat="false" ht="15" hidden="false" customHeight="false" outlineLevel="0" collapsed="false">
      <c r="A10686" s="1" t="s">
        <v>973</v>
      </c>
      <c r="B10686" s="0" t="s">
        <v>129</v>
      </c>
      <c r="C10686" s="7" t="n">
        <f aca="false">Sens!$C$10684/Sens!$C$10685</f>
        <v>0.737502129313503</v>
      </c>
    </row>
    <row r="10687" customFormat="false" ht="17.15" hidden="false" customHeight="false" outlineLevel="0" collapsed="false">
      <c r="A10687" s="1" t="s">
        <v>1052</v>
      </c>
      <c r="B10687" s="0" t="s">
        <v>98</v>
      </c>
      <c r="C10687" s="6" t="n">
        <f aca="false">Sens!$C$10685+Sens!E10667-Sens!E10656+oai_v</f>
        <v>2288.05087544356</v>
      </c>
    </row>
    <row r="10688" customFormat="false" ht="17.15" hidden="false" customHeight="false" outlineLevel="0" collapsed="false">
      <c r="A10688" s="0" t="s">
        <v>980</v>
      </c>
      <c r="B10688" s="0" t="s">
        <v>75</v>
      </c>
      <c r="C10688" s="5" t="n">
        <f aca="false">Sens!$C$10687/sh_dil26</f>
        <v>306.997299804583</v>
      </c>
    </row>
    <row r="10689" customFormat="false" ht="15" hidden="false" customHeight="false" outlineLevel="0" collapsed="false">
      <c r="A10689" s="1" t="s">
        <v>1053</v>
      </c>
      <c r="B10689" s="0" t="s">
        <v>75</v>
      </c>
      <c r="C10689" s="8" t="n">
        <f aca="false">dps_27+Sens!G10659*roll_div_q/q_per_yr</f>
        <v>4.8895</v>
      </c>
    </row>
    <row r="10690" customFormat="false" ht="17.15" hidden="false" customHeight="false" outlineLevel="0" collapsed="false">
      <c r="A10690" s="0" t="s">
        <v>1054</v>
      </c>
      <c r="B10690" s="0" t="s">
        <v>75</v>
      </c>
      <c r="C10690" s="5" t="n">
        <f aca="false">Sens!$C$10688*(1+wacc)^t_roll-Sens!$C$10689</f>
        <v>344.698575781723</v>
      </c>
    </row>
    <row r="10691" customFormat="false" ht="17.15" hidden="false" customHeight="false" outlineLevel="0" collapsed="false">
      <c r="A10691" s="1" t="s">
        <v>1055</v>
      </c>
      <c r="B10691" s="0" t="s">
        <v>129</v>
      </c>
      <c r="F10691" s="7" t="n">
        <f aca="false">Sens!F10648/(Sens!F10593-Sens!F10549)</f>
        <v>0.0684100916842049</v>
      </c>
      <c r="G10691" s="7" t="n">
        <f aca="false">Sens!G10648/(Sens!G10593-Sens!G10549)</f>
        <v>0.0655958457495311</v>
      </c>
      <c r="H10691" s="7" t="n">
        <f aca="false">Sens!H10648/(Sens!H10593-Sens!H10549)</f>
        <v>0.0641113985959326</v>
      </c>
      <c r="I10691" s="7" t="n">
        <f aca="false">Sens!I10648/(Sens!I10593-Sens!I10549)</f>
        <v>0.0638366268807081</v>
      </c>
      <c r="J10691" s="7" t="n">
        <f aca="false">Sens!J10648/(Sens!J10593-Sens!J10549)</f>
        <v>0.0644881471376801</v>
      </c>
      <c r="K10691" s="7" t="n">
        <f aca="false">Sens!K10648/(Sens!K10593-Sens!K10549)</f>
        <v>0.06571691795651</v>
      </c>
    </row>
    <row r="10692" customFormat="false" ht="17.15" hidden="false" customHeight="false" outlineLevel="0" collapsed="false">
      <c r="A10692" s="0" t="s">
        <v>1056</v>
      </c>
      <c r="B10692" s="0" t="s">
        <v>98</v>
      </c>
      <c r="F10692" s="6" t="n">
        <f aca="false">Sens!F10578*(al_m365+Sens!F10691+sbc_r)</f>
        <v>83.9133767341292</v>
      </c>
      <c r="G10692" s="6" t="n">
        <f aca="false">Sens!G10578*(al_m365+Sens!G10691+sbc_r)</f>
        <v>96.3390946347886</v>
      </c>
      <c r="H10692" s="6" t="n">
        <f aca="false">Sens!H10578*(al_m365+Sens!H10691+sbc_r)</f>
        <v>108.926133575922</v>
      </c>
      <c r="I10692" s="6" t="n">
        <f aca="false">Sens!I10578*(al_m365+Sens!I10691+sbc_r)</f>
        <v>120.493321933702</v>
      </c>
      <c r="J10692" s="6" t="n">
        <f aca="false">Sens!J10578*(al_m365+Sens!J10691+sbc_r)</f>
        <v>130.851657809788</v>
      </c>
      <c r="K10692" s="6" t="n">
        <f aca="false">Sens!K10578*(al_m365+Sens!K10691+sbc_r)</f>
        <v>140.815356841623</v>
      </c>
      <c r="L10692" s="11" t="s">
        <v>1057</v>
      </c>
    </row>
    <row r="10693" customFormat="false" ht="17.15" hidden="false" customHeight="false" outlineLevel="0" collapsed="false">
      <c r="A10693" s="0" t="s">
        <v>1058</v>
      </c>
      <c r="B10693" s="0" t="s">
        <v>98</v>
      </c>
      <c r="F10693" s="6" t="n">
        <f aca="false">Sens!F10579*(al_lic+Sens!F10691+sbc_r)</f>
        <v>33.437602909195</v>
      </c>
      <c r="G10693" s="6" t="n">
        <f aca="false">Sens!G10579*(al_lic+Sens!G10691+sbc_r)</f>
        <v>34.738879804297</v>
      </c>
      <c r="H10693" s="6" t="n">
        <f aca="false">Sens!H10579*(al_lic+Sens!H10691+sbc_r)</f>
        <v>35.9531403287558</v>
      </c>
      <c r="I10693" s="6" t="n">
        <f aca="false">Sens!I10579*(al_lic+Sens!I10691+sbc_r)</f>
        <v>37.0619132759286</v>
      </c>
      <c r="J10693" s="6" t="n">
        <f aca="false">Sens!J10579*(al_lic+Sens!J10691+sbc_r)</f>
        <v>38.0392749121901</v>
      </c>
      <c r="K10693" s="6" t="n">
        <f aca="false">Sens!K10579*(al_lic+Sens!K10691+sbc_r)</f>
        <v>38.8560270966212</v>
      </c>
    </row>
    <row r="10694" customFormat="false" ht="17.15" hidden="false" customHeight="false" outlineLevel="0" collapsed="false">
      <c r="A10694" s="0" t="s">
        <v>1059</v>
      </c>
      <c r="B10694" s="0" t="s">
        <v>98</v>
      </c>
      <c r="F10694" s="6" t="n">
        <f aca="false">Sens!F10581*(al_ind+Sens!F10691+sbc_r)</f>
        <v>9.07239630496812</v>
      </c>
      <c r="G10694" s="6" t="n">
        <f aca="false">Sens!G10581*(al_ind+Sens!G10691+sbc_r)</f>
        <v>9.8484755070312</v>
      </c>
      <c r="H10694" s="6" t="n">
        <f aca="false">Sens!H10581*(al_ind+Sens!H10691+sbc_r)</f>
        <v>10.669222942414</v>
      </c>
      <c r="I10694" s="6" t="n">
        <f aca="false">Sens!I10581*(al_ind+Sens!I10691+sbc_r)</f>
        <v>11.5315284323917</v>
      </c>
      <c r="J10694" s="6" t="n">
        <f aca="false">Sens!J10581*(al_ind+Sens!J10691+sbc_r)</f>
        <v>12.425543494008</v>
      </c>
      <c r="K10694" s="6" t="n">
        <f aca="false">Sens!K10581*(al_ind+Sens!K10691+sbc_r)</f>
        <v>13.335983703747</v>
      </c>
    </row>
    <row r="10695" customFormat="false" ht="17.15" hidden="false" customHeight="false" outlineLevel="0" collapsed="false">
      <c r="A10695" s="0" t="s">
        <v>1060</v>
      </c>
      <c r="B10695" s="0" t="s">
        <v>98</v>
      </c>
      <c r="F10695" s="6" t="n">
        <f aca="false">Sens!F10583*(al_fro+Sens!F10691+sbc_r)</f>
        <v>3.57092703701286</v>
      </c>
      <c r="G10695" s="6" t="n">
        <f aca="false">Sens!G10583*(al_fro+Sens!G10691+sbc_r)</f>
        <v>3.7812323363474</v>
      </c>
      <c r="H10695" s="6" t="n">
        <f aca="false">Sens!H10583*(al_fro+Sens!H10691+sbc_r)</f>
        <v>4.02052838610415</v>
      </c>
      <c r="I10695" s="6" t="n">
        <f aca="false">Sens!I10583*(al_fro+Sens!I10691+sbc_r)</f>
        <v>4.29156555503636</v>
      </c>
      <c r="J10695" s="6" t="n">
        <f aca="false">Sens!J10583*(al_fro+Sens!J10691+sbc_r)</f>
        <v>4.59544349683459</v>
      </c>
      <c r="K10695" s="6" t="n">
        <f aca="false">Sens!K10583*(al_fro+Sens!K10691+sbc_r)</f>
        <v>4.93215927454841</v>
      </c>
    </row>
    <row r="10696" customFormat="false" ht="17.15" hidden="false" customHeight="false" outlineLevel="0" collapsed="false">
      <c r="A10696" s="0" t="s">
        <v>1061</v>
      </c>
      <c r="B10696" s="0" t="s">
        <v>98</v>
      </c>
      <c r="F10696" s="6" t="n">
        <f aca="false">Sens!F10586*(al_srch+Sens!F10691+sbc_r)</f>
        <v>11.2045405150888</v>
      </c>
      <c r="G10696" s="6" t="n">
        <f aca="false">Sens!G10586*(al_srch+Sens!G10691+sbc_r)</f>
        <v>12.2777722657033</v>
      </c>
      <c r="H10696" s="6" t="n">
        <f aca="false">Sens!H10586*(al_srch+Sens!H10691+sbc_r)</f>
        <v>13.3955965475264</v>
      </c>
      <c r="I10696" s="6" t="n">
        <f aca="false">Sens!I10586*(al_srch+Sens!I10691+sbc_r)</f>
        <v>14.5472865230737</v>
      </c>
      <c r="J10696" s="6" t="n">
        <f aca="false">Sens!J10586*(al_srch+Sens!J10691+sbc_r)</f>
        <v>15.7126782129494</v>
      </c>
      <c r="K10696" s="6" t="n">
        <f aca="false">Sens!K10586*(al_srch+Sens!K10691+sbc_r)</f>
        <v>16.8639722432393</v>
      </c>
    </row>
    <row r="10697" customFormat="false" ht="17.15" hidden="false" customHeight="false" outlineLevel="0" collapsed="false">
      <c r="A10697" s="0" t="s">
        <v>1062</v>
      </c>
      <c r="B10697" s="0" t="s">
        <v>98</v>
      </c>
      <c r="F10697" s="6" t="n">
        <f aca="false">Sens!F10555-Sens!F10556+Sens!F10636</f>
        <v>52.8623286647412</v>
      </c>
      <c r="G10697" s="6" t="n">
        <f aca="false">Sens!G10555-Sens!G10556+Sens!G10636</f>
        <v>90.9040728275534</v>
      </c>
      <c r="H10697" s="6" t="n">
        <f aca="false">Sens!H10555-Sens!H10556+Sens!H10636</f>
        <v>131.644750996567</v>
      </c>
      <c r="I10697" s="6" t="n">
        <f aca="false">Sens!I10555-Sens!I10556+Sens!I10636</f>
        <v>168.39858142968</v>
      </c>
      <c r="J10697" s="6" t="n">
        <f aca="false">Sens!J10555-Sens!J10556+Sens!J10636</f>
        <v>194.311955071191</v>
      </c>
      <c r="K10697" s="6" t="n">
        <f aca="false">Sens!K10555-Sens!K10556+Sens!K10636</f>
        <v>210.298852071854</v>
      </c>
    </row>
    <row r="10698" customFormat="false" ht="17.15" hidden="false" customHeight="false" outlineLevel="0" collapsed="false">
      <c r="A10698" s="0" t="s">
        <v>1063</v>
      </c>
      <c r="B10698" s="0" t="s">
        <v>98</v>
      </c>
      <c r="F10698" s="6" t="n">
        <f aca="false">Sens!F10615+Sens!F10636+Sens!F10566+Sens!F10691*(Sens!F10585-Sens!F10549)+sbc_r*Sens!F10585</f>
        <v>243.870401440003</v>
      </c>
      <c r="G10698" s="6" t="n">
        <f aca="false">Sens!G10615+Sens!G10636+Sens!G10566+Sens!G10691*(Sens!G10585-Sens!G10549)+sbc_r*Sens!G10585</f>
        <v>308.978450488254</v>
      </c>
      <c r="H10698" s="6" t="n">
        <f aca="false">Sens!H10615+Sens!H10636+Sens!H10566+Sens!H10691*(Sens!H10585-Sens!H10549)+sbc_r*Sens!H10585</f>
        <v>377.291537703354</v>
      </c>
      <c r="I10698" s="6" t="n">
        <f aca="false">Sens!I10615+Sens!I10636+Sens!I10566+Sens!I10691*(Sens!I10585-Sens!I10549)+sbc_r*Sens!I10585</f>
        <v>440.246741355693</v>
      </c>
      <c r="J10698" s="6" t="n">
        <f aca="false">Sens!J10615+Sens!J10636+Sens!J10566+Sens!J10691*(Sens!J10585-Sens!J10549)+sbc_r*Sens!J10585</f>
        <v>489.918442544502</v>
      </c>
      <c r="K10698" s="6" t="n">
        <f aca="false">Sens!K10615+Sens!K10636+Sens!K10566+Sens!K10691*(Sens!K10585-Sens!K10549)+sbc_r*Sens!K10585</f>
        <v>527.287736933056</v>
      </c>
    </row>
    <row r="10699" customFormat="false" ht="17.15" hidden="false" customHeight="false" outlineLevel="0" collapsed="false">
      <c r="A10699" s="0" t="s">
        <v>1064</v>
      </c>
      <c r="B10699" s="0" t="s">
        <v>98</v>
      </c>
      <c r="F10699" s="6" t="n">
        <f aca="false">Sens!F10698-Sens!F10692-Sens!F10693-Sens!F10694-Sens!F10695-Sens!F10697</f>
        <v>61.0137697899564</v>
      </c>
      <c r="G10699" s="6" t="n">
        <f aca="false">Sens!G10698-Sens!G10692-Sens!G10693-Sens!G10694-Sens!G10695-Sens!G10697</f>
        <v>73.3666953782367</v>
      </c>
      <c r="H10699" s="6" t="n">
        <f aca="false">Sens!H10698-Sens!H10692-Sens!H10693-Sens!H10694-Sens!H10695-Sens!H10697</f>
        <v>86.0777614735915</v>
      </c>
      <c r="I10699" s="6" t="n">
        <f aca="false">Sens!I10698-Sens!I10692-Sens!I10693-Sens!I10694-Sens!I10695-Sens!I10697</f>
        <v>98.469830728954</v>
      </c>
      <c r="J10699" s="6" t="n">
        <f aca="false">Sens!J10698-Sens!J10692-Sens!J10693-Sens!J10694-Sens!J10695-Sens!J10697</f>
        <v>109.694567760491</v>
      </c>
      <c r="K10699" s="6" t="n">
        <f aca="false">Sens!K10698-Sens!K10692-Sens!K10693-Sens!K10694-Sens!K10695-Sens!K10697</f>
        <v>119.049357944661</v>
      </c>
    </row>
    <row r="10700" customFormat="false" ht="17.15" hidden="false" customHeight="false" outlineLevel="0" collapsed="false">
      <c r="A10700" s="0" t="s">
        <v>1065</v>
      </c>
      <c r="B10700" s="0" t="s">
        <v>98</v>
      </c>
      <c r="F10700" s="6" t="n">
        <f aca="false">Sens!F10617+Sens!F10691*Sens!F10592+sbc_r*Sens!F10592</f>
        <v>26.230751668498</v>
      </c>
      <c r="G10700" s="6" t="n">
        <f aca="false">Sens!G10617+Sens!G10691*Sens!G10592+sbc_r*Sens!G10592</f>
        <v>26.9198141765425</v>
      </c>
      <c r="H10700" s="6" t="n">
        <f aca="false">Sens!H10617+Sens!H10691*Sens!H10592+sbc_r*Sens!H10592</f>
        <v>27.911095083028</v>
      </c>
      <c r="I10700" s="6" t="n">
        <f aca="false">Sens!I10617+Sens!I10691*Sens!I10592+sbc_r*Sens!I10592</f>
        <v>29.1782973028618</v>
      </c>
      <c r="J10700" s="6" t="n">
        <f aca="false">Sens!J10617+Sens!J10691*Sens!J10592+sbc_r*Sens!J10592</f>
        <v>30.6937072093897</v>
      </c>
      <c r="K10700" s="6" t="n">
        <f aca="false">Sens!K10617+Sens!K10691*Sens!K10592+sbc_r*Sens!K10592</f>
        <v>32.4319452460319</v>
      </c>
    </row>
    <row r="10701" customFormat="false" ht="17.15" hidden="false" customHeight="false" outlineLevel="0" collapsed="false">
      <c r="A10701" s="0" t="s">
        <v>1066</v>
      </c>
      <c r="B10701" s="0" t="s">
        <v>98</v>
      </c>
      <c r="F10701" s="6" t="n">
        <f aca="false">(Sens!F10700-Sens!F10696)*Sens!F10588/(Sens!F10588+Sens!F10590)</f>
        <v>8.25687401558</v>
      </c>
      <c r="G10701" s="6" t="n">
        <f aca="false">(Sens!G10700-Sens!G10696)*Sens!G10588/(Sens!G10588+Sens!G10590)</f>
        <v>7.94042943549046</v>
      </c>
      <c r="H10701" s="6" t="n">
        <f aca="false">(Sens!H10700-Sens!H10696)*Sens!H10588/(Sens!H10588+Sens!H10590)</f>
        <v>7.82148193179377</v>
      </c>
      <c r="I10701" s="6" t="n">
        <f aca="false">(Sens!I10700-Sens!I10696)*Sens!I10588/(Sens!I10588+Sens!I10590)</f>
        <v>7.88634258517731</v>
      </c>
      <c r="J10701" s="6" t="n">
        <f aca="false">(Sens!J10700-Sens!J10696)*Sens!J10588/(Sens!J10588+Sens!J10590)</f>
        <v>8.13092531970287</v>
      </c>
      <c r="K10701" s="6" t="n">
        <f aca="false">(Sens!K10700-Sens!K10696)*Sens!K10588/(Sens!K10588+Sens!K10590)</f>
        <v>8.56133627871681</v>
      </c>
    </row>
    <row r="10702" customFormat="false" ht="17.15" hidden="false" customHeight="false" outlineLevel="0" collapsed="false">
      <c r="A10702" s="0" t="s">
        <v>1067</v>
      </c>
      <c r="B10702" s="0" t="s">
        <v>98</v>
      </c>
      <c r="F10702" s="6" t="n">
        <f aca="false">Sens!F10700-Sens!F10696-Sens!F10701</f>
        <v>6.76933713782924</v>
      </c>
      <c r="G10702" s="6" t="n">
        <f aca="false">Sens!G10700-Sens!G10696-Sens!G10701</f>
        <v>6.70161247534874</v>
      </c>
      <c r="H10702" s="6" t="n">
        <f aca="false">Sens!H10700-Sens!H10696-Sens!H10701</f>
        <v>6.69401660370785</v>
      </c>
      <c r="I10702" s="6" t="n">
        <f aca="false">Sens!I10700-Sens!I10696-Sens!I10701</f>
        <v>6.74466819461087</v>
      </c>
      <c r="J10702" s="6" t="n">
        <f aca="false">Sens!J10700-Sens!J10696-Sens!J10701</f>
        <v>6.85010367673734</v>
      </c>
      <c r="K10702" s="6" t="n">
        <f aca="false">Sens!K10700-Sens!K10696-Sens!K10701</f>
        <v>7.0066367240758</v>
      </c>
    </row>
    <row r="10703" customFormat="false" ht="17.15" hidden="false" customHeight="false" outlineLevel="0" collapsed="false">
      <c r="A10703" s="0" t="s">
        <v>1068</v>
      </c>
      <c r="B10703" s="0" t="s">
        <v>98</v>
      </c>
      <c r="F10703" s="6" t="n">
        <f aca="false">Sens!F10697-tax_f*(Sens!F10697-Sens!F10566)-Sens!F10563</f>
        <v>-119.379468722471</v>
      </c>
      <c r="G10703" s="6" t="n">
        <f aca="false">Sens!G10697-tax_f*(Sens!G10697-Sens!G10566)-Sens!G10563</f>
        <v>-98.7496845190893</v>
      </c>
      <c r="H10703" s="6" t="n">
        <f aca="false">Sens!H10697-tax_f*(Sens!H10697-Sens!H10566)-Sens!H10563</f>
        <v>-65.2161308645184</v>
      </c>
      <c r="I10703" s="6" t="n">
        <f aca="false">Sens!I10697-tax_f*(Sens!I10697-Sens!I10566)-Sens!I10563</f>
        <v>-6.59050496405712</v>
      </c>
      <c r="J10703" s="6" t="n">
        <f aca="false">Sens!J10697-tax_f*(Sens!J10697-Sens!J10566)-Sens!J10563</f>
        <v>56.7737205733955</v>
      </c>
      <c r="K10703" s="6" t="n">
        <f aca="false">Sens!K10697-tax_f*(Sens!K10697-Sens!K10566)-Sens!K10563</f>
        <v>81.209066426442</v>
      </c>
    </row>
    <row r="10704" customFormat="false" ht="17.15" hidden="false" customHeight="false" outlineLevel="0" collapsed="false">
      <c r="A10704" s="0" t="s">
        <v>1069</v>
      </c>
      <c r="B10704" s="0" t="s">
        <v>98</v>
      </c>
      <c r="F10704" s="6" t="n">
        <f aca="false">Sens!F10703*Sens!F10677</f>
        <v>-113.672339062409</v>
      </c>
      <c r="G10704" s="6" t="n">
        <f aca="false">Sens!G10703*Sens!G10677</f>
        <v>-85.253296598599</v>
      </c>
      <c r="H10704" s="6" t="n">
        <f aca="false">Sens!H10703*Sens!H10677</f>
        <v>-51.0482435642105</v>
      </c>
      <c r="I10704" s="6" t="n">
        <f aca="false">Sens!I10703*Sens!I10677</f>
        <v>-4.67729514524213</v>
      </c>
      <c r="J10704" s="6" t="n">
        <f aca="false">Sens!J10703*Sens!J10677</f>
        <v>36.5320252932308</v>
      </c>
      <c r="K10704" s="6" t="n">
        <f aca="false">Sens!K10703*Sens!K10677</f>
        <v>47.3784906691185</v>
      </c>
    </row>
    <row r="10705" customFormat="false" ht="17.15" hidden="false" customHeight="false" outlineLevel="0" collapsed="false">
      <c r="A10705" s="0" t="s">
        <v>1070</v>
      </c>
      <c r="B10705" s="0" t="s">
        <v>98</v>
      </c>
      <c r="C10705" s="6" t="n">
        <f aca="false">(Sens!K10697-Sens!K10566)*(1-tax_f)*(1+g_tv)*(1-g_tv/(wacc+ronic_prem))/(wacc-g_tv)/(1+wacc)^(Sens!K10676+mid_yr)</f>
        <v>314.189286111245</v>
      </c>
    </row>
    <row r="10706" customFormat="false" ht="17.15" hidden="false" customHeight="false" outlineLevel="0" collapsed="false">
      <c r="A10706" s="1" t="s">
        <v>1071</v>
      </c>
      <c r="B10706" s="0" t="s">
        <v>98</v>
      </c>
      <c r="C10706" s="6" t="n">
        <f aca="false">(SUM(Sens!F10704:K10704)+Sens!$C$10705)*(1+wacc)^t_roll</f>
        <v>163.349742047206</v>
      </c>
      <c r="L10706" s="11" t="s">
        <v>1072</v>
      </c>
    </row>
    <row r="10707" customFormat="false" ht="17.15" hidden="false" customHeight="false" outlineLevel="0" collapsed="false">
      <c r="A10707" s="1" t="s">
        <v>1073</v>
      </c>
      <c r="B10707" s="0" t="s">
        <v>98</v>
      </c>
      <c r="C10707" s="6" t="n">
        <f aca="false">(w_ntm28*Sens!G10555+(1-w_ntm28)*Sens!H10555)*m_ai</f>
        <v>454.922440830797</v>
      </c>
    </row>
    <row r="10708" customFormat="false" ht="17.15" hidden="false" customHeight="false" outlineLevel="0" collapsed="false">
      <c r="A10708" s="1" t="s">
        <v>1074</v>
      </c>
      <c r="B10708" s="0" t="s">
        <v>98</v>
      </c>
      <c r="C10708" s="6" t="n">
        <f aca="false">(w_ntm28*Sens!G10699+(1-w_ntm28)*Sens!H10699)*m_cloud</f>
        <v>1070.71868395096</v>
      </c>
    </row>
    <row r="10709" customFormat="false" ht="17.15" hidden="false" customHeight="false" outlineLevel="0" collapsed="false">
      <c r="A10709" s="1" t="s">
        <v>1075</v>
      </c>
      <c r="B10709" s="0" t="s">
        <v>98</v>
      </c>
      <c r="C10709" s="6" t="n">
        <f aca="false">(w_ntm28*Sens!G10692+(1-w_ntm28)*Sens!H10692)*m_sw</f>
        <v>1084.40995473128</v>
      </c>
    </row>
    <row r="10710" customFormat="false" ht="17.15" hidden="false" customHeight="false" outlineLevel="0" collapsed="false">
      <c r="A10710" s="1" t="s">
        <v>1076</v>
      </c>
      <c r="B10710" s="0" t="s">
        <v>98</v>
      </c>
      <c r="C10710" s="6" t="n">
        <f aca="false">(w_ntm28*Sens!G10693+(1-w_ntm28)*Sens!H10693)*m_sw</f>
        <v>379.419500824409</v>
      </c>
    </row>
    <row r="10711" customFormat="false" ht="17.15" hidden="false" customHeight="false" outlineLevel="0" collapsed="false">
      <c r="A10711" s="1" t="s">
        <v>1077</v>
      </c>
      <c r="B10711" s="0" t="s">
        <v>98</v>
      </c>
      <c r="C10711" s="6" t="n">
        <f aca="false">(w_ntm28*Sens!G10694+(1-w_ntm28)*Sens!H10694)*m_sw</f>
        <v>109.229180768134</v>
      </c>
    </row>
    <row r="10712" customFormat="false" ht="17.15" hidden="false" customHeight="false" outlineLevel="0" collapsed="false">
      <c r="A10712" s="1" t="s">
        <v>1078</v>
      </c>
      <c r="B10712" s="0" t="s">
        <v>98</v>
      </c>
      <c r="C10712" s="6" t="n">
        <f aca="false">(w_ntm28*Sens!G10695+(1-w_ntm28)*Sens!H10695)*m_sw</f>
        <v>41.6728130292916</v>
      </c>
    </row>
    <row r="10713" customFormat="false" ht="17.15" hidden="false" customHeight="false" outlineLevel="0" collapsed="false">
      <c r="A10713" s="1" t="s">
        <v>1079</v>
      </c>
      <c r="B10713" s="0" t="s">
        <v>98</v>
      </c>
      <c r="C10713" s="6" t="n">
        <f aca="false">(w_ntm28*Sens!G10696+(1-w_ntm28)*Sens!H10696)*m_ads</f>
        <v>115.142666289801</v>
      </c>
    </row>
    <row r="10714" customFormat="false" ht="17.15" hidden="false" customHeight="false" outlineLevel="0" collapsed="false">
      <c r="A10714" s="1" t="s">
        <v>1080</v>
      </c>
      <c r="B10714" s="0" t="s">
        <v>98</v>
      </c>
      <c r="C10714" s="6" t="n">
        <f aca="false">(w_ntm28*Sens!G10701+(1-w_ntm28)*Sens!H10701)*m_game</f>
        <v>99.8019464478902</v>
      </c>
    </row>
    <row r="10715" customFormat="false" ht="17.15" hidden="false" customHeight="false" outlineLevel="0" collapsed="false">
      <c r="A10715" s="1" t="s">
        <v>1081</v>
      </c>
      <c r="B10715" s="0" t="s">
        <v>98</v>
      </c>
      <c r="C10715" s="6" t="n">
        <f aca="false">(w_ntm28*Sens!G10702+(1-w_ntm28)*Sens!H10702)*m_pc</f>
        <v>96.9367992388662</v>
      </c>
    </row>
    <row r="10716" customFormat="false" ht="17.15" hidden="false" customHeight="false" outlineLevel="0" collapsed="false">
      <c r="A10716" s="1" t="s">
        <v>1082</v>
      </c>
      <c r="B10716" s="0" t="s">
        <v>98</v>
      </c>
      <c r="C10716" s="6" t="n">
        <f aca="false">Sens!$C$10706+Sens!$C$10708+Sens!$C$10709+Sens!$C$10710+Sens!$C$10711+Sens!$C$10712+Sens!$C$10713+Sens!$C$10714+Sens!$C$10715</f>
        <v>3160.68128732784</v>
      </c>
    </row>
    <row r="10717" customFormat="false" ht="17.15" hidden="false" customHeight="false" outlineLevel="0" collapsed="false">
      <c r="A10717" s="1" t="s">
        <v>1000</v>
      </c>
      <c r="B10717" s="0" t="s">
        <v>98</v>
      </c>
      <c r="C10717" s="6" t="n">
        <f aca="false">Sens!F10667+oai_v-Sens!F10656</f>
        <v>111.284158234222</v>
      </c>
      <c r="L10717" s="1" t="s">
        <v>1083</v>
      </c>
    </row>
    <row r="10718" customFormat="false" ht="15" hidden="false" customHeight="false" outlineLevel="0" collapsed="false">
      <c r="A10718" s="1" t="s">
        <v>1001</v>
      </c>
      <c r="B10718" s="0" t="s">
        <v>75</v>
      </c>
      <c r="C10718" s="5" t="n">
        <f aca="false">(Sens!$C$10716+Sens!$C$10717)/Sens!F10669</f>
        <v>437.896874406057</v>
      </c>
    </row>
    <row r="10719" customFormat="false" ht="17.15" hidden="false" customHeight="false" outlineLevel="0" collapsed="false">
      <c r="A10719" s="1" t="s">
        <v>1084</v>
      </c>
      <c r="B10719" s="0" t="s">
        <v>75</v>
      </c>
      <c r="C10719" s="5" t="n">
        <f aca="false">w_dcf*Sens!$C$10690+(1-w_dcf)*Sens!$C$10718</f>
        <v>391.29772509389</v>
      </c>
    </row>
    <row r="10720" customFormat="false" ht="17.15" hidden="false" customHeight="false" outlineLevel="0" collapsed="false">
      <c r="A10720" s="3" t="s">
        <v>1514</v>
      </c>
    </row>
    <row r="10721" customFormat="false" ht="15" hidden="false" customHeight="false" outlineLevel="0" collapsed="false">
      <c r="A10721" s="4" t="s">
        <v>43</v>
      </c>
      <c r="B10721" s="4" t="s">
        <v>65</v>
      </c>
      <c r="C10721" s="20" t="s">
        <v>788</v>
      </c>
      <c r="D10721" s="20" t="s">
        <v>789</v>
      </c>
      <c r="E10721" s="20" t="s">
        <v>790</v>
      </c>
      <c r="F10721" s="20" t="s">
        <v>791</v>
      </c>
      <c r="G10721" s="20" t="s">
        <v>792</v>
      </c>
      <c r="H10721" s="20" t="s">
        <v>793</v>
      </c>
      <c r="I10721" s="20" t="s">
        <v>794</v>
      </c>
      <c r="J10721" s="20" t="s">
        <v>795</v>
      </c>
      <c r="K10721" s="20" t="s">
        <v>796</v>
      </c>
      <c r="L10721" s="4" t="s">
        <v>47</v>
      </c>
    </row>
    <row r="10722" customFormat="false" ht="17.15" hidden="false" customHeight="false" outlineLevel="0" collapsed="false">
      <c r="A10722" s="1" t="s">
        <v>797</v>
      </c>
      <c r="B10722" s="1" t="s">
        <v>235</v>
      </c>
      <c r="C10722" s="28" t="n">
        <v>2024</v>
      </c>
      <c r="D10722" s="28" t="n">
        <v>2025</v>
      </c>
      <c r="E10722" s="28" t="n">
        <v>2026</v>
      </c>
      <c r="F10722" s="28" t="n">
        <v>2027</v>
      </c>
      <c r="G10722" s="28" t="n">
        <v>2028</v>
      </c>
      <c r="H10722" s="28" t="n">
        <v>2029</v>
      </c>
      <c r="I10722" s="28" t="n">
        <v>2030</v>
      </c>
      <c r="J10722" s="28" t="n">
        <v>2031</v>
      </c>
      <c r="K10722" s="28" t="n">
        <v>2032</v>
      </c>
    </row>
    <row r="10723" customFormat="false" ht="17.15" hidden="false" customHeight="false" outlineLevel="0" collapsed="false">
      <c r="A10723" s="1" t="s">
        <v>798</v>
      </c>
      <c r="B10723" s="0" t="s">
        <v>392</v>
      </c>
      <c r="F10723" s="29" t="n">
        <f aca="false">pace</f>
        <v>2527.2</v>
      </c>
      <c r="G10723" s="29" t="n">
        <f aca="false">pace</f>
        <v>2527.2</v>
      </c>
      <c r="H10723" s="29" t="n">
        <f aca="false">pace</f>
        <v>2527.2</v>
      </c>
      <c r="I10723" s="29" t="n">
        <f aca="false">pace+(g_tv*Sens!H10724-pace)*MIN(1,(Sens!I10722-pace_y0)/(pace_y1-pace_y0))</f>
        <v>1793.116</v>
      </c>
      <c r="J10723" s="29" t="n">
        <f aca="false">pace+(g_tv*Sens!H10724-pace)*MIN(1,(Sens!J10722-pace_y0)/(pace_y1-pace_y0))</f>
        <v>1059.032</v>
      </c>
      <c r="K10723" s="29" t="n">
        <f aca="false">pace+(g_tv*Sens!H10724-pace)*MIN(1,(Sens!K10722-pace_y0)/(pace_y1-pace_y0))</f>
        <v>324.948</v>
      </c>
      <c r="L10723" s="11" t="s">
        <v>799</v>
      </c>
    </row>
    <row r="10724" customFormat="false" ht="17.15" hidden="false" customHeight="false" outlineLevel="0" collapsed="false">
      <c r="A10724" s="1" t="s">
        <v>800</v>
      </c>
      <c r="B10724" s="0" t="s">
        <v>392</v>
      </c>
      <c r="C10724" s="29" t="n">
        <f aca="false">mw_ext_24</f>
        <v>640</v>
      </c>
      <c r="D10724" s="29" t="n">
        <f aca="false">mw_ext_25</f>
        <v>1630</v>
      </c>
      <c r="E10724" s="29" t="n">
        <f aca="false">mw_ext_26</f>
        <v>3250</v>
      </c>
      <c r="F10724" s="29" t="n">
        <f aca="false">Sens!E10724+Sens!F10723</f>
        <v>5777.2</v>
      </c>
      <c r="G10724" s="29" t="n">
        <f aca="false">Sens!F10724+Sens!G10723</f>
        <v>8304.4</v>
      </c>
      <c r="H10724" s="29" t="n">
        <f aca="false">Sens!G10724+Sens!H10723</f>
        <v>10831.6</v>
      </c>
      <c r="I10724" s="29" t="n">
        <f aca="false">Sens!H10724+Sens!I10723</f>
        <v>12624.716</v>
      </c>
      <c r="J10724" s="29" t="n">
        <f aca="false">Sens!I10724+Sens!J10723</f>
        <v>13683.748</v>
      </c>
      <c r="K10724" s="29" t="n">
        <f aca="false">Sens!J10724+Sens!K10723</f>
        <v>14008.696</v>
      </c>
      <c r="L10724" s="1" t="s">
        <v>801</v>
      </c>
    </row>
    <row r="10725" customFormat="false" ht="17.15" hidden="false" customHeight="false" outlineLevel="0" collapsed="false">
      <c r="A10725" s="1" t="s">
        <v>802</v>
      </c>
      <c r="B10725" s="0" t="s">
        <v>392</v>
      </c>
      <c r="C10725" s="29" t="n">
        <f aca="false">rent_ext_24</f>
        <v>150</v>
      </c>
      <c r="D10725" s="29" t="n">
        <f aca="false">rent_ext_25</f>
        <v>400</v>
      </c>
      <c r="E10725" s="29" t="n">
        <f aca="false">rent_ext_26</f>
        <v>550</v>
      </c>
      <c r="F10725" s="29" t="n">
        <f aca="false">rent_ext_f</f>
        <v>756</v>
      </c>
      <c r="G10725" s="29" t="n">
        <f aca="false">rent_ext_f</f>
        <v>756</v>
      </c>
      <c r="H10725" s="29" t="n">
        <f aca="false">rent_ext_f</f>
        <v>756</v>
      </c>
      <c r="I10725" s="29" t="n">
        <f aca="false">rent_ext_f</f>
        <v>756</v>
      </c>
      <c r="J10725" s="29" t="n">
        <f aca="false">rent_ext_f</f>
        <v>756</v>
      </c>
      <c r="K10725" s="29" t="n">
        <f aca="false">rent_ext_f</f>
        <v>756</v>
      </c>
      <c r="L10725" s="1" t="s">
        <v>803</v>
      </c>
    </row>
    <row r="10726" customFormat="false" ht="17.15" hidden="false" customHeight="false" outlineLevel="0" collapsed="false">
      <c r="A10726" s="1" t="s">
        <v>804</v>
      </c>
      <c r="B10726" s="0" t="s">
        <v>392</v>
      </c>
      <c r="C10726" s="29" t="n">
        <f aca="false">Sens!C10724-Sens!C10725</f>
        <v>490</v>
      </c>
      <c r="D10726" s="29" t="n">
        <f aca="false">Sens!D10724-Sens!D10725</f>
        <v>1230</v>
      </c>
      <c r="E10726" s="29" t="n">
        <f aca="false">Sens!E10724-Sens!E10725</f>
        <v>2700</v>
      </c>
      <c r="F10726" s="29" t="n">
        <f aca="false">Sens!F10724-Sens!F10725</f>
        <v>5021.2</v>
      </c>
      <c r="G10726" s="29" t="n">
        <f aca="false">Sens!G10724-Sens!G10725</f>
        <v>7548.4</v>
      </c>
      <c r="H10726" s="29" t="n">
        <f aca="false">Sens!H10724-Sens!H10725</f>
        <v>10075.6</v>
      </c>
      <c r="I10726" s="29" t="n">
        <f aca="false">Sens!I10724-Sens!I10725</f>
        <v>11868.716</v>
      </c>
      <c r="J10726" s="29" t="n">
        <f aca="false">Sens!J10724-Sens!J10725</f>
        <v>12927.748</v>
      </c>
      <c r="K10726" s="29" t="n">
        <f aca="false">Sens!K10724-Sens!K10725</f>
        <v>13252.696</v>
      </c>
    </row>
    <row r="10727" customFormat="false" ht="17.15" hidden="false" customHeight="false" outlineLevel="0" collapsed="false">
      <c r="A10727" s="1" t="s">
        <v>805</v>
      </c>
      <c r="B10727" s="0" t="s">
        <v>392</v>
      </c>
      <c r="C10727" s="29" t="n">
        <f aca="false">Sens!C10726/ext_sh</f>
        <v>816.666666666667</v>
      </c>
      <c r="D10727" s="29" t="n">
        <f aca="false">Sens!D10726/ext_sh</f>
        <v>2050</v>
      </c>
      <c r="E10727" s="29" t="n">
        <f aca="false">Sens!E10726/ext_sh</f>
        <v>4500</v>
      </c>
      <c r="F10727" s="29" t="n">
        <f aca="false">Sens!F10726/ext_sh</f>
        <v>8368.66666666667</v>
      </c>
      <c r="G10727" s="29" t="n">
        <f aca="false">Sens!G10726/ext_sh</f>
        <v>12580.6666666667</v>
      </c>
      <c r="H10727" s="29" t="n">
        <f aca="false">Sens!H10726/ext_sh</f>
        <v>16792.6666666667</v>
      </c>
      <c r="I10727" s="29" t="n">
        <f aca="false">Sens!I10726/ext_sh</f>
        <v>19781.1933333333</v>
      </c>
      <c r="J10727" s="29" t="n">
        <f aca="false">Sens!J10726/ext_sh</f>
        <v>21546.2466666667</v>
      </c>
      <c r="K10727" s="29" t="n">
        <f aca="false">Sens!K10726/ext_sh</f>
        <v>22087.8266666667</v>
      </c>
      <c r="L10727" s="1" t="s">
        <v>806</v>
      </c>
    </row>
    <row r="10728" customFormat="false" ht="17.15" hidden="false" customHeight="false" outlineLevel="0" collapsed="false">
      <c r="A10728" s="1" t="s">
        <v>807</v>
      </c>
      <c r="B10728" s="0" t="s">
        <v>392</v>
      </c>
      <c r="C10728" s="29" t="n">
        <f aca="false">Sens!C10727-Sens!C10726</f>
        <v>326.666666666667</v>
      </c>
      <c r="D10728" s="29" t="n">
        <f aca="false">Sens!D10727-Sens!D10726</f>
        <v>820</v>
      </c>
      <c r="E10728" s="29" t="n">
        <f aca="false">Sens!E10727-Sens!E10726</f>
        <v>1800</v>
      </c>
      <c r="F10728" s="29" t="n">
        <f aca="false">Sens!F10727-Sens!F10726</f>
        <v>3347.46666666667</v>
      </c>
      <c r="G10728" s="29" t="n">
        <f aca="false">Sens!G10727-Sens!G10726</f>
        <v>5032.26666666667</v>
      </c>
      <c r="H10728" s="29" t="n">
        <f aca="false">Sens!H10727-Sens!H10726</f>
        <v>6717.06666666667</v>
      </c>
      <c r="I10728" s="29" t="n">
        <f aca="false">Sens!I10727-Sens!I10726</f>
        <v>7912.47733333333</v>
      </c>
      <c r="J10728" s="29" t="n">
        <f aca="false">Sens!J10727-Sens!J10726</f>
        <v>8618.49866666667</v>
      </c>
      <c r="K10728" s="29" t="n">
        <f aca="false">Sens!K10727-Sens!K10726</f>
        <v>8835.13066666667</v>
      </c>
    </row>
    <row r="10729" customFormat="false" ht="17.15" hidden="false" customHeight="false" outlineLevel="0" collapsed="false">
      <c r="A10729" s="1" t="s">
        <v>808</v>
      </c>
      <c r="B10729" s="0" t="s">
        <v>392</v>
      </c>
      <c r="C10729" s="29" t="n">
        <f aca="false">Sens!C10727</f>
        <v>816.666666666667</v>
      </c>
      <c r="D10729" s="29" t="n">
        <f aca="false">Sens!D10727-Sens!C10727</f>
        <v>1233.33333333333</v>
      </c>
      <c r="E10729" s="29" t="n">
        <f aca="false">Sens!E10727-Sens!D10727</f>
        <v>2450</v>
      </c>
      <c r="F10729" s="29" t="n">
        <f aca="false">Sens!F10727-Sens!E10727</f>
        <v>3868.66666666667</v>
      </c>
      <c r="G10729" s="29" t="n">
        <f aca="false">Sens!G10727-Sens!F10727</f>
        <v>4212</v>
      </c>
      <c r="H10729" s="29" t="n">
        <f aca="false">Sens!H10727-Sens!G10727</f>
        <v>4212</v>
      </c>
      <c r="I10729" s="29" t="n">
        <f aca="false">Sens!I10727-Sens!H10727</f>
        <v>2988.52666666667</v>
      </c>
      <c r="J10729" s="29" t="n">
        <f aca="false">Sens!J10727-Sens!I10727</f>
        <v>1765.05333333333</v>
      </c>
      <c r="K10729" s="29" t="n">
        <f aca="false">Sens!K10727-Sens!J10727</f>
        <v>541.580000000002</v>
      </c>
    </row>
    <row r="10730" customFormat="false" ht="17.15" hidden="false" customHeight="false" outlineLevel="0" collapsed="false">
      <c r="A10730" s="1" t="s">
        <v>809</v>
      </c>
      <c r="B10730" s="0" t="s">
        <v>392</v>
      </c>
      <c r="D10730" s="29" t="n">
        <f aca="false">Sens!D10724-Sens!C10724</f>
        <v>990</v>
      </c>
      <c r="E10730" s="29" t="n">
        <f aca="false">Sens!E10724-Sens!D10724</f>
        <v>1620</v>
      </c>
      <c r="F10730" s="29" t="n">
        <f aca="false">Sens!F10724-Sens!E10724</f>
        <v>2527.2</v>
      </c>
      <c r="G10730" s="29" t="n">
        <f aca="false">Sens!G10724-Sens!F10724</f>
        <v>2527.2</v>
      </c>
      <c r="H10730" s="29" t="n">
        <f aca="false">Sens!H10724-Sens!G10724</f>
        <v>2527.2</v>
      </c>
      <c r="I10730" s="29" t="n">
        <f aca="false">Sens!I10724-Sens!H10724</f>
        <v>1793.116</v>
      </c>
      <c r="J10730" s="29" t="n">
        <f aca="false">Sens!J10724-Sens!I10724</f>
        <v>1059.032</v>
      </c>
      <c r="K10730" s="29" t="n">
        <f aca="false">Sens!K10724-Sens!J10724</f>
        <v>324.948</v>
      </c>
    </row>
    <row r="10731" customFormat="false" ht="17.15" hidden="false" customHeight="false" outlineLevel="0" collapsed="false">
      <c r="A10731" s="1" t="s">
        <v>810</v>
      </c>
      <c r="B10731" s="0" t="s">
        <v>392</v>
      </c>
      <c r="F10731" s="29" t="n">
        <f aca="false">Sens!F10748*ext_sh</f>
        <v>0</v>
      </c>
      <c r="G10731" s="29" t="n">
        <f aca="false">Sens!G10748*ext_sh</f>
        <v>0</v>
      </c>
      <c r="H10731" s="29" t="n">
        <f aca="false">Sens!H10748*ext_sh</f>
        <v>0</v>
      </c>
      <c r="I10731" s="29" t="n">
        <f aca="false">Sens!I10748*ext_sh</f>
        <v>490</v>
      </c>
      <c r="J10731" s="29" t="n">
        <f aca="false">Sens!J10748*ext_sh</f>
        <v>740</v>
      </c>
      <c r="K10731" s="29" t="n">
        <f aca="false">Sens!K10748*ext_sh</f>
        <v>1470</v>
      </c>
      <c r="L10731" s="1" t="s">
        <v>811</v>
      </c>
    </row>
    <row r="10732" customFormat="false" ht="17.15" hidden="false" customHeight="false" outlineLevel="0" collapsed="false">
      <c r="A10732" s="1" t="s">
        <v>812</v>
      </c>
      <c r="B10732" s="0" t="s">
        <v>392</v>
      </c>
      <c r="C10732" s="29" t="n">
        <f aca="false">mix_h*Sens!C10724</f>
        <v>128</v>
      </c>
      <c r="D10732" s="29" t="n">
        <f aca="false">mix_h*Sens!D10724</f>
        <v>326</v>
      </c>
      <c r="E10732" s="29" t="n">
        <f aca="false">mix_h*Sens!E10724</f>
        <v>650</v>
      </c>
      <c r="F10732" s="29" t="n">
        <f aca="false">Sens!E10732-Sens!F10731*mix_h</f>
        <v>650</v>
      </c>
      <c r="G10732" s="29" t="n">
        <f aca="false">Sens!F10732-Sens!G10731*mix_h</f>
        <v>650</v>
      </c>
      <c r="H10732" s="29" t="n">
        <f aca="false">Sens!G10732-Sens!H10731*mix_h</f>
        <v>650</v>
      </c>
      <c r="I10732" s="29" t="n">
        <f aca="false">Sens!H10732-Sens!I10731*mix_h</f>
        <v>552</v>
      </c>
      <c r="J10732" s="29" t="n">
        <f aca="false">Sens!I10732-Sens!J10731*mix_h</f>
        <v>404</v>
      </c>
      <c r="K10732" s="29" t="n">
        <f aca="false">Sens!J10732-Sens!K10731*mix_h</f>
        <v>110</v>
      </c>
    </row>
    <row r="10733" customFormat="false" ht="17.15" hidden="false" customHeight="false" outlineLevel="0" collapsed="false">
      <c r="A10733" s="1" t="s">
        <v>813</v>
      </c>
      <c r="B10733" s="0" t="s">
        <v>392</v>
      </c>
      <c r="C10733" s="29" t="n">
        <f aca="false">mix_g2*Sens!C10724</f>
        <v>288</v>
      </c>
      <c r="D10733" s="29" t="n">
        <f aca="false">mix_g2*Sens!D10724</f>
        <v>733.5</v>
      </c>
      <c r="E10733" s="29" t="n">
        <f aca="false">mix_g2*Sens!E10724</f>
        <v>1462.5</v>
      </c>
      <c r="F10733" s="29" t="n">
        <f aca="false">Sens!E10733-Sens!F10731*mix_g2</f>
        <v>1462.5</v>
      </c>
      <c r="G10733" s="29" t="n">
        <f aca="false">Sens!F10733-Sens!G10731*mix_g2</f>
        <v>1462.5</v>
      </c>
      <c r="H10733" s="29" t="n">
        <f aca="false">Sens!G10733-Sens!H10731*mix_g2</f>
        <v>1462.5</v>
      </c>
      <c r="I10733" s="29" t="n">
        <f aca="false">Sens!H10733-Sens!I10731*mix_g2</f>
        <v>1242</v>
      </c>
      <c r="J10733" s="29" t="n">
        <f aca="false">Sens!I10733-Sens!J10731*mix_g2</f>
        <v>909</v>
      </c>
      <c r="K10733" s="29" t="n">
        <f aca="false">Sens!J10733-Sens!K10731*mix_g2</f>
        <v>247.5</v>
      </c>
    </row>
    <row r="10734" customFormat="false" ht="17.15" hidden="false" customHeight="false" outlineLevel="0" collapsed="false">
      <c r="A10734" s="1" t="s">
        <v>814</v>
      </c>
      <c r="B10734" s="0" t="s">
        <v>392</v>
      </c>
      <c r="C10734" s="29" t="n">
        <f aca="false">mix_g3*Sens!C10724</f>
        <v>224</v>
      </c>
      <c r="D10734" s="29" t="n">
        <f aca="false">mix_g3*Sens!D10724</f>
        <v>570.5</v>
      </c>
      <c r="E10734" s="29" t="n">
        <f aca="false">mix_g3*Sens!E10724</f>
        <v>1137.5</v>
      </c>
      <c r="F10734" s="29" t="n">
        <f aca="false">Sens!E10734+(Sens!F10730+Sens!F10731)*a_g3_27-Sens!F10731*mix_g3</f>
        <v>2906.54</v>
      </c>
      <c r="G10734" s="29" t="n">
        <f aca="false">Sens!F10734+(Sens!G10730+Sens!G10731)*a_g3_28-Sens!G10731*mix_g3</f>
        <v>3664.7</v>
      </c>
      <c r="H10734" s="29" t="n">
        <f aca="false">Sens!G10734+(Sens!H10730+Sens!H10731)*a_g3_29-Sens!H10731*mix_g3</f>
        <v>3917.42</v>
      </c>
      <c r="I10734" s="29" t="n">
        <f aca="false">Sens!H10734+(Sens!I10730+Sens!I10731)*a_g3_29-Sens!I10731*mix_g3</f>
        <v>3974.2316</v>
      </c>
      <c r="J10734" s="29" t="n">
        <f aca="false">Sens!I10734+(Sens!J10730+Sens!J10731)*a_g3_29-Sens!J10731*mix_g3</f>
        <v>3895.1348</v>
      </c>
      <c r="K10734" s="29" t="n">
        <f aca="false">Sens!J10734+(Sens!K10730+Sens!K10731)*a_g3_29-Sens!K10731*mix_g3</f>
        <v>3560.1296</v>
      </c>
    </row>
    <row r="10735" customFormat="false" ht="17.15" hidden="false" customHeight="false" outlineLevel="0" collapsed="false">
      <c r="A10735" s="1" t="s">
        <v>815</v>
      </c>
      <c r="B10735" s="0" t="s">
        <v>392</v>
      </c>
      <c r="C10735" s="29" t="n">
        <v>0</v>
      </c>
      <c r="D10735" s="29" t="n">
        <v>0</v>
      </c>
      <c r="E10735" s="29" t="n">
        <v>0</v>
      </c>
      <c r="F10735" s="29" t="n">
        <f aca="false">Sens!E10735+(Sens!F10730+Sens!F10731)*(1-a_g3_27)</f>
        <v>758.16</v>
      </c>
      <c r="G10735" s="29" t="n">
        <f aca="false">Sens!F10735+(Sens!G10730+Sens!G10731)*(1-a_g3_28)</f>
        <v>2527.2</v>
      </c>
      <c r="H10735" s="29" t="n">
        <f aca="false">Sens!G10735+(Sens!H10730+Sens!H10731)*(1-a_g3_29)</f>
        <v>4801.68</v>
      </c>
      <c r="I10735" s="29" t="n">
        <f aca="false">Sens!H10735+(Sens!I10730+Sens!I10731)*(1-a_g3_29)</f>
        <v>6856.4844</v>
      </c>
      <c r="J10735" s="29" t="n">
        <f aca="false">Sens!I10735+(Sens!J10730+Sens!J10731)*(1-a_g3_29)</f>
        <v>8475.6132</v>
      </c>
      <c r="K10735" s="29" t="n">
        <f aca="false">Sens!J10735+(Sens!K10730+Sens!K10731)*(1-a_g3_29)</f>
        <v>10091.0664</v>
      </c>
    </row>
    <row r="10736" customFormat="false" ht="17.15" hidden="false" customHeight="false" outlineLevel="0" collapsed="false">
      <c r="A10736" s="1" t="s">
        <v>816</v>
      </c>
      <c r="B10736" s="0" t="s">
        <v>339</v>
      </c>
      <c r="C10736" s="14" t="n">
        <f aca="false">(Sens!C10732*tk_hold_h100+Sens!C10733*tk_hold_gb200+Sens!C10734*tk_hold_gb300+Sens!C10735*tk_hold_vr200)/Sens!C10724</f>
        <v>9.7235358126469</v>
      </c>
      <c r="D10736" s="14" t="n">
        <f aca="false">(Sens!D10732*tk_hold_h100+Sens!D10733*tk_hold_gb200+Sens!D10734*tk_hold_gb300+Sens!D10735*tk_hold_vr200)/Sens!D10724</f>
        <v>9.7235358126469</v>
      </c>
      <c r="E10736" s="14" t="n">
        <f aca="false">(Sens!E10732*tk_hold_h100+Sens!E10733*tk_hold_gb200+Sens!E10734*tk_hold_gb300+Sens!E10735*tk_hold_vr200)/Sens!E10724</f>
        <v>9.7235358126469</v>
      </c>
      <c r="F10736" s="14" t="n">
        <f aca="false">(Sens!F10732*tk_hold_h100+Sens!F10733*tk_hold_gb200+Sens!F10734*tk_hold_gb300+Sens!F10735*tk_hold_vr200)/Sens!F10724</f>
        <v>10.4079573161931</v>
      </c>
      <c r="G10736" s="14" t="n">
        <f aca="false">(Sens!G10732*tk_hold_h100+Sens!G10733*tk_hold_gb200+Sens!G10734*tk_hold_gb300+Sens!G10735*tk_hold_vr200)/Sens!G10724</f>
        <v>10.8388131109316</v>
      </c>
      <c r="H10736" s="14" t="n">
        <f aca="false">(Sens!H10732*tk_hold_h100+Sens!H10733*tk_hold_gb200+Sens!H10734*tk_hold_gb300+Sens!H10735*tk_hold_vr200)/Sens!H10724</f>
        <v>11.1311018388216</v>
      </c>
      <c r="I10736" s="14" t="n">
        <f aca="false">(Sens!I10732*tk_hold_h100+Sens!I10733*tk_hold_gb200+Sens!I10734*tk_hold_gb300+Sens!I10735*tk_hold_vr200)/Sens!I10724</f>
        <v>11.3594282560989</v>
      </c>
      <c r="J10736" s="14" t="n">
        <f aca="false">(Sens!J10732*tk_hold_h100+Sens!J10733*tk_hold_gb200+Sens!J10734*tk_hold_gb300+Sens!J10735*tk_hold_vr200)/Sens!J10724</f>
        <v>11.5441508808221</v>
      </c>
      <c r="K10736" s="14" t="n">
        <f aca="false">(Sens!K10732*tk_hold_h100+Sens!K10733*tk_hold_gb200+Sens!K10734*tk_hold_gb300+Sens!K10735*tk_hold_vr200)/Sens!K10724</f>
        <v>11.8053375063575</v>
      </c>
    </row>
    <row r="10737" customFormat="false" ht="17.15" hidden="false" customHeight="false" outlineLevel="0" collapsed="false">
      <c r="A10737" s="0" t="s">
        <v>817</v>
      </c>
      <c r="B10737" s="0" t="s">
        <v>185</v>
      </c>
      <c r="C10737" s="14" t="n">
        <f aca="false">k_B</f>
        <v>1.17213932619116</v>
      </c>
      <c r="D10737" s="14" t="n">
        <f aca="false">k_B</f>
        <v>1.17213932619116</v>
      </c>
      <c r="E10737" s="14" t="n">
        <f aca="false">k_B</f>
        <v>1.17213932619116</v>
      </c>
      <c r="F10737" s="14" t="n">
        <f aca="false">(k_B+((ls_C*k_long+(1-ls_C)*k_spot)-k_B)*MIN(1,(Sens!F10722-base_fy)/k_ramp))</f>
        <v>1.07843258004497</v>
      </c>
      <c r="G10737" s="14" t="n">
        <f aca="false">(k_B+((ls_C*k_long+(1-ls_C)*k_spot)-k_B)*MIN(1,(Sens!G10722-base_fy)/k_ramp))</f>
        <v>0.984725833898784</v>
      </c>
      <c r="H10737" s="14" t="n">
        <f aca="false">(k_B+((ls_C*k_long+(1-ls_C)*k_spot)-k_B)*MIN(1,(Sens!H10722-base_fy)/k_ramp))</f>
        <v>0.891019087752599</v>
      </c>
      <c r="I10737" s="14" t="n">
        <f aca="false">(k_B+((ls_C*k_long+(1-ls_C)*k_spot)-k_B)*MIN(1,(Sens!I10722-base_fy)/k_ramp))</f>
        <v>0.891019087752599</v>
      </c>
      <c r="J10737" s="14" t="n">
        <f aca="false">(k_B+((ls_C*k_long+(1-ls_C)*k_spot)-k_B)*MIN(1,(Sens!J10722-base_fy)/k_ramp))</f>
        <v>0.891019087752599</v>
      </c>
      <c r="K10737" s="14" t="n">
        <f aca="false">(k_B+((ls_C*k_long+(1-ls_C)*k_spot)-k_B)*MIN(1,(Sens!K10722-base_fy)/k_ramp))</f>
        <v>0.891019087752599</v>
      </c>
      <c r="L10737" s="1" t="s">
        <v>818</v>
      </c>
    </row>
    <row r="10738" customFormat="false" ht="17.15" hidden="false" customHeight="false" outlineLevel="0" collapsed="false">
      <c r="A10738" s="1" t="s">
        <v>819</v>
      </c>
      <c r="B10738" s="0" t="s">
        <v>339</v>
      </c>
      <c r="C10738" s="14" t="n">
        <f aca="false">Sens!C10736*Sens!C10737*chip_f</f>
        <v>11.3973387156315</v>
      </c>
      <c r="D10738" s="14" t="n">
        <f aca="false">Sens!D10736*Sens!D10737*chip_f</f>
        <v>11.3973387156315</v>
      </c>
      <c r="E10738" s="14" t="n">
        <f aca="false">Sens!E10736*Sens!E10737*chip_f</f>
        <v>11.3973387156315</v>
      </c>
      <c r="F10738" s="14" t="n">
        <f aca="false">Sens!F10736*Sens!F10737*chip_f</f>
        <v>11.2242802615</v>
      </c>
      <c r="G10738" s="14" t="n">
        <f aca="false">Sens!G10736*Sens!G10737*chip_f</f>
        <v>10.6732592791352</v>
      </c>
      <c r="H10738" s="14" t="n">
        <f aca="false">Sens!H10736*Sens!H10737*chip_f</f>
        <v>9.91802420610807</v>
      </c>
      <c r="I10738" s="14" t="n">
        <f aca="false">Sens!I10736*Sens!I10737*chip_f</f>
        <v>10.1214674021403</v>
      </c>
      <c r="J10738" s="14" t="n">
        <f aca="false">Sens!J10736*Sens!J10737*chip_f</f>
        <v>10.2860587867084</v>
      </c>
      <c r="K10738" s="14" t="n">
        <f aca="false">Sens!K10736*Sens!K10737*chip_f</f>
        <v>10.5187810555262</v>
      </c>
      <c r="L10738" s="1" t="s">
        <v>820</v>
      </c>
    </row>
    <row r="10739" customFormat="false" ht="17.15" hidden="false" customHeight="false" outlineLevel="0" collapsed="false">
      <c r="A10739" s="0" t="s">
        <v>821</v>
      </c>
      <c r="B10739" s="0" t="s">
        <v>98</v>
      </c>
      <c r="D10739" s="6" t="n">
        <f aca="false">(Sens!C10724+Sens!D10724)/2*Sens!D10738/1000</f>
        <v>12.9359794422418</v>
      </c>
      <c r="E10739" s="6" t="n">
        <f aca="false">(Sens!D10724+Sens!E10724)/2*Sens!E10738/1000</f>
        <v>27.8095064661409</v>
      </c>
      <c r="F10739" s="6" t="n">
        <f aca="false">(Sens!E10724+Sens!F10724)/2*Sens!F10738/1000</f>
        <v>50.6619113883066</v>
      </c>
      <c r="G10739" s="6" t="n">
        <f aca="false">(Sens!F10724+Sens!G10724)/2*Sens!G10738/1000</f>
        <v>75.1482839325348</v>
      </c>
      <c r="H10739" s="6" t="n">
        <f aca="false">(Sens!G10724+Sens!H10724)/2*Sens!H10738/1000</f>
        <v>94.895655604042</v>
      </c>
      <c r="I10739" s="6" t="n">
        <f aca="false">(Sens!H10724+Sens!I10724)/2*Sens!I10738/1000</f>
        <v>118.706168884151</v>
      </c>
      <c r="J10739" s="6" t="n">
        <f aca="false">(Sens!I10724+Sens!J10724)/2*Sens!J10738/1000</f>
        <v>135.305203646001</v>
      </c>
      <c r="K10739" s="6" t="n">
        <f aca="false">(Sens!J10724+Sens!K10724)/2*Sens!K10738/1000</f>
        <v>145.64537766421</v>
      </c>
      <c r="L10739" s="11" t="s">
        <v>822</v>
      </c>
    </row>
    <row r="10740" customFormat="false" ht="17.15" hidden="false" customHeight="false" outlineLevel="0" collapsed="false">
      <c r="A10740" s="1" t="s">
        <v>823</v>
      </c>
      <c r="B10740" s="0" t="s">
        <v>339</v>
      </c>
      <c r="C10740" s="14" t="n">
        <f aca="false">(Sens!C10732*tk_opex_h100+Sens!C10733*tk_opex_gb200+Sens!C10734*tk_opex_gb300+Sens!C10735*tk_opex_vr200)/Sens!C10724</f>
        <v>1.88636041306092</v>
      </c>
      <c r="D10740" s="14" t="n">
        <f aca="false">(Sens!D10732*tk_opex_h100+Sens!D10733*tk_opex_gb200+Sens!D10734*tk_opex_gb300+Sens!D10735*tk_opex_vr200)/Sens!D10724</f>
        <v>1.88636041306092</v>
      </c>
      <c r="E10740" s="14" t="n">
        <f aca="false">(Sens!E10732*tk_opex_h100+Sens!E10733*tk_opex_gb200+Sens!E10734*tk_opex_gb300+Sens!E10735*tk_opex_vr200)/Sens!E10724</f>
        <v>1.88636041306092</v>
      </c>
      <c r="F10740" s="14" t="n">
        <f aca="false">(Sens!F10732*tk_opex_h100+Sens!F10733*tk_opex_gb200+Sens!F10734*tk_opex_gb300+Sens!F10735*tk_opex_vr200)/Sens!F10724</f>
        <v>1.9430236476499</v>
      </c>
      <c r="G10740" s="14" t="n">
        <f aca="false">(Sens!G10732*tk_opex_h100+Sens!G10733*tk_opex_gb200+Sens!G10734*tk_opex_gb300+Sens!G10735*tk_opex_vr200)/Sens!G10724</f>
        <v>1.9786941852423</v>
      </c>
      <c r="H10740" s="14" t="n">
        <f aca="false">(Sens!H10732*tk_opex_h100+Sens!H10733*tk_opex_gb200+Sens!H10734*tk_opex_gb300+Sens!H10735*tk_opex_vr200)/Sens!H10724</f>
        <v>2.00289275976156</v>
      </c>
      <c r="I10740" s="14" t="n">
        <f aca="false">(Sens!I10732*tk_opex_h100+Sens!I10733*tk_opex_gb200+Sens!I10734*tk_opex_gb300+Sens!I10735*tk_opex_vr200)/Sens!I10724</f>
        <v>2.02179589661219</v>
      </c>
      <c r="J10740" s="14" t="n">
        <f aca="false">(Sens!J10732*tk_opex_h100+Sens!J10733*tk_opex_gb200+Sens!J10734*tk_opex_gb300+Sens!J10735*tk_opex_vr200)/Sens!J10724</f>
        <v>2.03708907685909</v>
      </c>
      <c r="K10740" s="14" t="n">
        <f aca="false">(Sens!K10732*tk_opex_h100+Sens!K10733*tk_opex_gb200+Sens!K10734*tk_opex_gb300+Sens!K10735*tk_opex_vr200)/Sens!K10724</f>
        <v>2.05871270931005</v>
      </c>
    </row>
    <row r="10741" customFormat="false" ht="17.15" hidden="false" customHeight="false" outlineLevel="0" collapsed="false">
      <c r="A10741" s="0" t="s">
        <v>824</v>
      </c>
      <c r="B10741" s="0" t="s">
        <v>98</v>
      </c>
      <c r="D10741" s="6" t="n">
        <f aca="false">(Sens!C10727+Sens!D10727)/2*Sens!D10740/1000</f>
        <v>2.70378325872065</v>
      </c>
      <c r="E10741" s="6" t="n">
        <f aca="false">(Sens!D10727+Sens!E10727)/2*Sens!E10740/1000</f>
        <v>6.17783035277451</v>
      </c>
      <c r="F10741" s="6" t="n">
        <f aca="false">(Sens!E10727+Sens!F10727)/2*Sens!F10740/1000</f>
        <v>12.5020618235287</v>
      </c>
      <c r="G10741" s="6" t="n">
        <f aca="false">(Sens!F10727+Sens!G10727)/2*Sens!G10740/1000</f>
        <v>20.7261620256847</v>
      </c>
      <c r="H10741" s="6" t="n">
        <f aca="false">(Sens!G10727+Sens!H10727)/2*Sens!H10740/1000</f>
        <v>29.4158183316982</v>
      </c>
      <c r="I10741" s="6" t="n">
        <f aca="false">(Sens!H10727+Sens!I10727)/2*Sens!I10740/1000</f>
        <v>36.9724400356344</v>
      </c>
      <c r="J10741" s="6" t="n">
        <f aca="false">(Sens!I10727+Sens!J10727)/2*Sens!J10740/1000</f>
        <v>42.0938382992747</v>
      </c>
      <c r="K10741" s="6" t="n">
        <f aca="false">(Sens!J10727+Sens!K10727)/2*Sens!K10740/1000</f>
        <v>44.9150106651501</v>
      </c>
    </row>
    <row r="10742" customFormat="false" ht="17.15" hidden="false" customHeight="false" outlineLevel="0" collapsed="false">
      <c r="A10742" s="0" t="s">
        <v>825</v>
      </c>
      <c r="B10742" s="0" t="s">
        <v>98</v>
      </c>
      <c r="D10742" s="6" t="n">
        <f aca="false">(Sens!C10725+Sens!D10725)/2*rent_mw/1000</f>
        <v>2.44475</v>
      </c>
      <c r="E10742" s="6" t="n">
        <f aca="false">(Sens!D10725+Sens!E10725)/2*rent_mw/1000</f>
        <v>4.22275</v>
      </c>
      <c r="F10742" s="6" t="n">
        <f aca="false">(Sens!E10725+Sens!F10725)/2*rent_mw/1000</f>
        <v>5.80517</v>
      </c>
      <c r="G10742" s="6" t="n">
        <f aca="false">(Sens!F10725+Sens!G10725)/2*rent_mw/1000</f>
        <v>6.72084</v>
      </c>
      <c r="H10742" s="6" t="n">
        <f aca="false">(Sens!G10725+Sens!H10725)/2*rent_mw/1000</f>
        <v>6.72084</v>
      </c>
      <c r="I10742" s="6" t="n">
        <f aca="false">(Sens!H10725+Sens!I10725)/2*rent_mw/1000</f>
        <v>6.72084</v>
      </c>
      <c r="J10742" s="6" t="n">
        <f aca="false">(Sens!I10725+Sens!J10725)/2*rent_mw/1000</f>
        <v>6.72084</v>
      </c>
      <c r="K10742" s="6" t="n">
        <f aca="false">(Sens!J10725+Sens!K10725)/2*rent_mw/1000</f>
        <v>6.72084</v>
      </c>
    </row>
    <row r="10743" customFormat="false" ht="17.15" hidden="false" customHeight="false" outlineLevel="0" collapsed="false">
      <c r="A10743" s="0" t="s">
        <v>826</v>
      </c>
      <c r="B10743" s="0" t="s">
        <v>98</v>
      </c>
      <c r="D10743" s="6" t="n">
        <f aca="false">(Sens!C10727+Sens!D10727)/2*(1-self_build)*fac_rent/1000</f>
        <v>0.853242375631075</v>
      </c>
      <c r="E10743" s="6" t="n">
        <f aca="false">(Sens!D10727+Sens!E10727)/2*(1-self_build)*fac_rent/1000</f>
        <v>1.94955961408728</v>
      </c>
      <c r="F10743" s="6" t="n">
        <f aca="false">(Sens!E10727+Sens!F10727)/2*(1-self_build)*fac_rent/1000</f>
        <v>3.83026455274573</v>
      </c>
      <c r="G10743" s="6" t="n">
        <f aca="false">(Sens!F10727+Sens!G10727)/2*(1-self_build)*fac_rent/1000</f>
        <v>6.23541590972812</v>
      </c>
      <c r="H10743" s="6" t="n">
        <f aca="false">(Sens!G10727+Sens!H10727)/2*(1-self_build)*fac_rent/1000</f>
        <v>8.74275792332679</v>
      </c>
      <c r="I10743" s="6" t="n">
        <f aca="false">(Sens!H10727+Sens!I10727)/2*(1-self_build)*fac_rent/1000</f>
        <v>10.8859420438599</v>
      </c>
      <c r="J10743" s="6" t="n">
        <f aca="false">(Sens!I10727+Sens!J10727)/2*(1-self_build)*fac_rent/1000</f>
        <v>12.3008103782619</v>
      </c>
      <c r="K10743" s="6" t="n">
        <f aca="false">(Sens!J10727+Sens!K10727)/2*(1-self_build)*fac_rent/1000</f>
        <v>12.9873629265328</v>
      </c>
      <c r="L10743" s="11" t="s">
        <v>827</v>
      </c>
    </row>
    <row r="10744" customFormat="false" ht="17.15" hidden="false" customHeight="false" outlineLevel="0" collapsed="false">
      <c r="A10744" s="1" t="s">
        <v>828</v>
      </c>
      <c r="B10744" s="0" t="s">
        <v>129</v>
      </c>
      <c r="D10744" s="7" t="n">
        <f aca="false">(Sens!C10726+Sens!D10726)/(Sens!C10727+Sens!D10727)</f>
        <v>0.6</v>
      </c>
      <c r="E10744" s="7" t="n">
        <f aca="false">(Sens!D10726+Sens!E10726)/(Sens!D10727+Sens!E10727)</f>
        <v>0.6</v>
      </c>
      <c r="F10744" s="7" t="n">
        <f aca="false">(Sens!E10726+Sens!F10726)/(Sens!E10727+Sens!F10727)</f>
        <v>0.6</v>
      </c>
      <c r="G10744" s="7" t="n">
        <f aca="false">(Sens!F10726+Sens!G10726)/(Sens!F10727+Sens!G10727)</f>
        <v>0.6</v>
      </c>
      <c r="H10744" s="7" t="n">
        <f aca="false">(Sens!G10726+Sens!H10726)/(Sens!G10727+Sens!H10727)</f>
        <v>0.6</v>
      </c>
      <c r="I10744" s="7" t="n">
        <f aca="false">(Sens!H10726+Sens!I10726)/(Sens!H10727+Sens!I10727)</f>
        <v>0.6</v>
      </c>
      <c r="J10744" s="7" t="n">
        <f aca="false">(Sens!I10726+Sens!J10726)/(Sens!I10727+Sens!J10727)</f>
        <v>0.6</v>
      </c>
      <c r="K10744" s="7" t="n">
        <f aca="false">(Sens!J10726+Sens!K10726)/(Sens!J10727+Sens!K10727)</f>
        <v>0.6</v>
      </c>
    </row>
    <row r="10745" customFormat="false" ht="17.15" hidden="false" customHeight="false" outlineLevel="0" collapsed="false">
      <c r="A10745" s="0" t="s">
        <v>829</v>
      </c>
      <c r="B10745" s="0" t="s">
        <v>98</v>
      </c>
      <c r="D10745" s="6" t="n">
        <f aca="false">Sens!D10739-Sens!D10744*(Sens!D10741+Sens!D10743)-Sens!D10742</f>
        <v>8.35701406163072</v>
      </c>
      <c r="E10745" s="6" t="n">
        <f aca="false">Sens!E10739-Sens!E10744*(Sens!E10741+Sens!E10743)-Sens!E10742</f>
        <v>18.7103224860238</v>
      </c>
      <c r="F10745" s="6" t="n">
        <f aca="false">Sens!F10739-Sens!F10744*(Sens!F10741+Sens!F10743)-Sens!F10742</f>
        <v>35.0573455625419</v>
      </c>
      <c r="G10745" s="6" t="n">
        <f aca="false">Sens!G10739-Sens!G10744*(Sens!G10741+Sens!G10743)-Sens!G10742</f>
        <v>52.2504971712871</v>
      </c>
      <c r="H10745" s="6" t="n">
        <f aca="false">Sens!H10739-Sens!H10744*(Sens!H10741+Sens!H10743)-Sens!H10742</f>
        <v>65.2796698510271</v>
      </c>
      <c r="I10745" s="6" t="n">
        <f aca="false">Sens!I10739-Sens!I10744*(Sens!I10741+Sens!I10743)-Sens!I10742</f>
        <v>83.2702996364549</v>
      </c>
      <c r="J10745" s="6" t="n">
        <f aca="false">Sens!J10739-Sens!J10744*(Sens!J10741+Sens!J10743)-Sens!J10742</f>
        <v>95.9475744394793</v>
      </c>
      <c r="K10745" s="6" t="n">
        <f aca="false">Sens!K10739-Sens!K10744*(Sens!K10741+Sens!K10743)-Sens!K10742</f>
        <v>104.1831135092</v>
      </c>
    </row>
    <row r="10746" customFormat="false" ht="17.15" hidden="false" customHeight="false" outlineLevel="0" collapsed="false">
      <c r="A10746" s="1" t="s">
        <v>830</v>
      </c>
      <c r="B10746" s="0" t="s">
        <v>98</v>
      </c>
      <c r="D10746" s="6" t="n">
        <f aca="false">(1-Sens!D10744)*(Sens!D10741+Sens!D10743)</f>
        <v>1.42281025374069</v>
      </c>
      <c r="E10746" s="6" t="n">
        <f aca="false">(1-Sens!E10744)*(Sens!E10741+Sens!E10743)</f>
        <v>3.25095598674472</v>
      </c>
      <c r="F10746" s="6" t="n">
        <f aca="false">(1-Sens!F10744)*(Sens!F10741+Sens!F10743)</f>
        <v>6.53293055050977</v>
      </c>
      <c r="G10746" s="6" t="n">
        <f aca="false">(1-Sens!G10744)*(Sens!G10741+Sens!G10743)</f>
        <v>10.7846311741651</v>
      </c>
      <c r="H10746" s="6" t="n">
        <f aca="false">(1-Sens!H10744)*(Sens!H10741+Sens!H10743)</f>
        <v>15.26343050201</v>
      </c>
      <c r="I10746" s="6" t="n">
        <f aca="false">(1-Sens!I10744)*(Sens!I10741+Sens!I10743)</f>
        <v>19.1433528317977</v>
      </c>
      <c r="J10746" s="6" t="n">
        <f aca="false">(1-Sens!J10744)*(Sens!J10741+Sens!J10743)</f>
        <v>21.7578594710146</v>
      </c>
      <c r="K10746" s="6" t="n">
        <f aca="false">(1-Sens!K10744)*(Sens!K10741+Sens!K10743)</f>
        <v>23.1609494366731</v>
      </c>
    </row>
    <row r="10747" customFormat="false" ht="17.15" hidden="false" customHeight="false" outlineLevel="0" collapsed="false">
      <c r="A10747" s="1" t="s">
        <v>831</v>
      </c>
      <c r="B10747" s="0" t="s">
        <v>350</v>
      </c>
      <c r="C10747" s="8" t="n">
        <f aca="false">cxit_open</f>
        <v>27.5918995</v>
      </c>
      <c r="D10747" s="8" t="n">
        <f aca="false">cxit_open</f>
        <v>27.5918995</v>
      </c>
      <c r="E10747" s="8" t="n">
        <f aca="false">cxit_open</f>
        <v>27.5918995</v>
      </c>
      <c r="F10747" s="8" t="n">
        <f aca="false">(a_g3_27*tk_cxit_gb300+(1-a_g3_27)*tk_cxit_vr200)</f>
        <v>33.8419624</v>
      </c>
      <c r="G10747" s="8" t="n">
        <f aca="false">(a_g3_28*tk_cxit_gb300+(1-a_g3_28)*tk_cxit_vr200)</f>
        <v>35.9816136</v>
      </c>
      <c r="H10747" s="8" t="n">
        <f aca="false">(a_g3_29*tk_cxit_gb300+(1-a_g3_29)*tk_cxit_vr200)</f>
        <v>37.0514392</v>
      </c>
      <c r="I10747" s="8" t="n">
        <f aca="false">(a_g3_29*tk_cxit_gb300+(1-a_g3_29)*tk_cxit_vr200)</f>
        <v>37.0514392</v>
      </c>
      <c r="J10747" s="8" t="n">
        <f aca="false">(a_g3_29*tk_cxit_gb300+(1-a_g3_29)*tk_cxit_vr200)</f>
        <v>37.0514392</v>
      </c>
      <c r="K10747" s="8" t="n">
        <f aca="false">(a_g3_29*tk_cxit_gb300+(1-a_g3_29)*tk_cxit_vr200)</f>
        <v>37.0514392</v>
      </c>
      <c r="L10747" s="11" t="s">
        <v>832</v>
      </c>
    </row>
    <row r="10748" customFormat="false" ht="17.15" hidden="false" customHeight="false" outlineLevel="0" collapsed="false">
      <c r="A10748" s="0" t="s">
        <v>833</v>
      </c>
      <c r="B10748" s="0" t="s">
        <v>392</v>
      </c>
      <c r="F10748" s="29" t="n">
        <f aca="false">Sens!C10729*IF(Sens!F10722-Sens!C10722=life_it,1,0)+Sens!D10729*IF(Sens!F10722-Sens!D10722=life_it,1,0)+Sens!E10729*IF(Sens!F10722-Sens!E10722=life_it,1,0)</f>
        <v>0</v>
      </c>
      <c r="G10748" s="29" t="n">
        <f aca="false">Sens!C10729*IF(Sens!G10722-Sens!C10722=life_it,1,0)+Sens!D10729*IF(Sens!G10722-Sens!D10722=life_it,1,0)+Sens!E10729*IF(Sens!G10722-Sens!E10722=life_it,1,0)+Sens!F10729*IF(Sens!G10722-Sens!F10722=life_it,1,0)</f>
        <v>0</v>
      </c>
      <c r="H10748" s="29" t="n">
        <f aca="false">Sens!C10729*IF(Sens!H10722-Sens!C10722=life_it,1,0)+Sens!D10729*IF(Sens!H10722-Sens!D10722=life_it,1,0)+Sens!E10729*IF(Sens!H10722-Sens!E10722=life_it,1,0)+Sens!F10729*IF(Sens!H10722-Sens!F10722=life_it,1,0)+Sens!G10729*IF(Sens!H10722-Sens!G10722=life_it,1,0)</f>
        <v>0</v>
      </c>
      <c r="I10748" s="29" t="n">
        <f aca="false">Sens!C10729*IF(Sens!I10722-Sens!C10722=life_it,1,0)+Sens!D10729*IF(Sens!I10722-Sens!D10722=life_it,1,0)+Sens!E10729*IF(Sens!I10722-Sens!E10722=life_it,1,0)+Sens!F10729*IF(Sens!I10722-Sens!F10722=life_it,1,0)+Sens!G10729*IF(Sens!I10722-Sens!G10722=life_it,1,0)+Sens!H10729*IF(Sens!I10722-Sens!H10722=life_it,1,0)</f>
        <v>816.666666666667</v>
      </c>
      <c r="J10748" s="29" t="n">
        <f aca="false">Sens!C10729*IF(Sens!J10722-Sens!C10722=life_it,1,0)+Sens!D10729*IF(Sens!J10722-Sens!D10722=life_it,1,0)+Sens!E10729*IF(Sens!J10722-Sens!E10722=life_it,1,0)+Sens!F10729*IF(Sens!J10722-Sens!F10722=life_it,1,0)+Sens!G10729*IF(Sens!J10722-Sens!G10722=life_it,1,0)+Sens!H10729*IF(Sens!J10722-Sens!H10722=life_it,1,0)+Sens!I10729*IF(Sens!J10722-Sens!I10722=life_it,1,0)</f>
        <v>1233.33333333333</v>
      </c>
      <c r="K10748" s="29" t="n">
        <f aca="false">Sens!C10729*IF(Sens!K10722-Sens!C10722=life_it,1,0)+Sens!D10729*IF(Sens!K10722-Sens!D10722=life_it,1,0)+Sens!E10729*IF(Sens!K10722-Sens!E10722=life_it,1,0)+Sens!F10729*IF(Sens!K10722-Sens!F10722=life_it,1,0)+Sens!G10729*IF(Sens!K10722-Sens!G10722=life_it,1,0)+Sens!H10729*IF(Sens!K10722-Sens!H10722=life_it,1,0)+Sens!I10729*IF(Sens!K10722-Sens!I10722=life_it,1,0)+Sens!J10729*IF(Sens!K10722-Sens!J10722=life_it,1,0)</f>
        <v>2450</v>
      </c>
      <c r="L10748" s="1" t="s">
        <v>834</v>
      </c>
    </row>
    <row r="10749" customFormat="false" ht="17.15" hidden="false" customHeight="false" outlineLevel="0" collapsed="false">
      <c r="A10749" s="0" t="s">
        <v>835</v>
      </c>
      <c r="B10749" s="0" t="s">
        <v>98</v>
      </c>
      <c r="C10749" s="6" t="n">
        <f aca="false">Sens!C10729*Sens!C10747/1000</f>
        <v>22.5333845916667</v>
      </c>
      <c r="D10749" s="6" t="n">
        <f aca="false">Sens!D10729*Sens!D10747/1000</f>
        <v>34.0300093833333</v>
      </c>
      <c r="E10749" s="6" t="n">
        <f aca="false">Sens!E10729*Sens!E10747/1000</f>
        <v>67.600153775</v>
      </c>
      <c r="F10749" s="6" t="n">
        <f aca="false">(Sens!F10729+Sens!F10748)*Sens!F10747/1000</f>
        <v>130.923271871467</v>
      </c>
      <c r="G10749" s="6" t="n">
        <f aca="false">(Sens!G10729+Sens!G10748)*Sens!G10747/1000</f>
        <v>151.5545564832</v>
      </c>
      <c r="H10749" s="6" t="n">
        <f aca="false">(Sens!H10729+Sens!H10748)*Sens!H10747/1000</f>
        <v>156.0606619104</v>
      </c>
      <c r="I10749" s="6" t="n">
        <f aca="false">(Sens!I10729+Sens!I10748)*Sens!I10747/1000</f>
        <v>140.987889434245</v>
      </c>
      <c r="J10749" s="6" t="n">
        <f aca="false">(Sens!J10729+Sens!J10748)*Sens!J10747/1000</f>
        <v>111.094541278091</v>
      </c>
      <c r="K10749" s="6" t="n">
        <f aca="false">(Sens!K10729+Sens!K10748)*Sens!K10747/1000</f>
        <v>110.842344481936</v>
      </c>
    </row>
    <row r="10750" customFormat="false" ht="17.15" hidden="false" customHeight="false" outlineLevel="0" collapsed="false">
      <c r="A10750" s="0" t="s">
        <v>836</v>
      </c>
      <c r="B10750" s="0" t="s">
        <v>98</v>
      </c>
      <c r="C10750" s="6" t="n">
        <f aca="false">Sens!C10729*self_build*tk_cxfac/1000</f>
        <v>6.2083</v>
      </c>
      <c r="D10750" s="6" t="n">
        <f aca="false">Sens!D10729*self_build*tk_cxfac/1000</f>
        <v>9.3758</v>
      </c>
      <c r="E10750" s="6" t="n">
        <f aca="false">Sens!E10729*self_build*tk_cxfac/1000</f>
        <v>18.6249</v>
      </c>
      <c r="F10750" s="6" t="n">
        <f aca="false">Sens!F10729*self_build*tk_cxfac/1000</f>
        <v>29.409604</v>
      </c>
      <c r="G10750" s="6" t="n">
        <f aca="false">Sens!G10729*self_build*tk_cxfac/1000</f>
        <v>32.019624</v>
      </c>
      <c r="H10750" s="6" t="n">
        <f aca="false">Sens!H10729*self_build*tk_cxfac/1000</f>
        <v>32.019624</v>
      </c>
      <c r="I10750" s="6" t="n">
        <f aca="false">Sens!I10729*self_build*tk_cxfac/1000</f>
        <v>22.71877972</v>
      </c>
      <c r="J10750" s="6" t="n">
        <f aca="false">Sens!J10729*self_build*tk_cxfac/1000</f>
        <v>13.41793544</v>
      </c>
      <c r="K10750" s="6" t="n">
        <f aca="false">Sens!K10729*self_build*tk_cxfac/1000</f>
        <v>4.11709116000001</v>
      </c>
    </row>
    <row r="10751" customFormat="false" ht="17.15" hidden="false" customHeight="false" outlineLevel="0" collapsed="false">
      <c r="A10751" s="0" t="s">
        <v>837</v>
      </c>
      <c r="B10751" s="0" t="s">
        <v>98</v>
      </c>
      <c r="F10751" s="6" t="n">
        <f aca="false">MAX(0,capex_floor27-Sens!F10749-Sens!F10750-Sens!F10844)</f>
        <v>8.43450839897088</v>
      </c>
      <c r="L10751" s="1" t="s">
        <v>838</v>
      </c>
    </row>
    <row r="10752" customFormat="false" ht="17.15" hidden="false" customHeight="false" outlineLevel="0" collapsed="false">
      <c r="A10752" s="0" t="s">
        <v>839</v>
      </c>
      <c r="B10752" s="0" t="s">
        <v>98</v>
      </c>
      <c r="C10752" s="6" t="n">
        <f aca="false">Sens!C10749</f>
        <v>22.5333845916667</v>
      </c>
      <c r="D10752" s="6" t="n">
        <f aca="false">Sens!D10749</f>
        <v>34.0300093833333</v>
      </c>
      <c r="E10752" s="6" t="n">
        <f aca="false">Sens!E10749</f>
        <v>67.600153775</v>
      </c>
      <c r="F10752" s="6" t="n">
        <f aca="false">Sens!F10749+Sens!F10751</f>
        <v>139.357780270438</v>
      </c>
      <c r="G10752" s="6" t="n">
        <f aca="false">Sens!G10749</f>
        <v>151.5545564832</v>
      </c>
      <c r="H10752" s="6" t="n">
        <f aca="false">Sens!H10749</f>
        <v>156.0606619104</v>
      </c>
      <c r="I10752" s="6" t="n">
        <f aca="false">Sens!I10749</f>
        <v>140.987889434245</v>
      </c>
      <c r="J10752" s="6" t="n">
        <f aca="false">Sens!J10749</f>
        <v>111.094541278091</v>
      </c>
      <c r="K10752" s="6" t="n">
        <f aca="false">Sens!K10749</f>
        <v>110.842344481936</v>
      </c>
    </row>
    <row r="10753" customFormat="false" ht="17.15" hidden="false" customHeight="false" outlineLevel="0" collapsed="false">
      <c r="A10753" s="0" t="s">
        <v>840</v>
      </c>
      <c r="B10753" s="0" t="s">
        <v>98</v>
      </c>
      <c r="C10753" s="6" t="n">
        <f aca="false">Sens!C10752+Sens!C10750</f>
        <v>28.7416845916667</v>
      </c>
      <c r="D10753" s="6" t="n">
        <f aca="false">Sens!D10752+Sens!D10750</f>
        <v>43.4058093833333</v>
      </c>
      <c r="E10753" s="6" t="n">
        <f aca="false">Sens!E10752+Sens!E10750</f>
        <v>86.225053775</v>
      </c>
      <c r="F10753" s="6" t="n">
        <f aca="false">Sens!F10752+Sens!F10750</f>
        <v>168.767384270438</v>
      </c>
      <c r="G10753" s="6" t="n">
        <f aca="false">Sens!G10752+Sens!G10750</f>
        <v>183.5741804832</v>
      </c>
      <c r="H10753" s="6" t="n">
        <f aca="false">Sens!H10752+Sens!H10750</f>
        <v>188.0802859104</v>
      </c>
      <c r="I10753" s="6" t="n">
        <f aca="false">Sens!I10752+Sens!I10750</f>
        <v>163.706669154245</v>
      </c>
      <c r="J10753" s="6" t="n">
        <f aca="false">Sens!J10752+Sens!J10750</f>
        <v>124.51247671809</v>
      </c>
      <c r="K10753" s="6" t="n">
        <f aca="false">Sens!K10752+Sens!K10750</f>
        <v>114.959435641936</v>
      </c>
      <c r="L10753" s="11" t="s">
        <v>841</v>
      </c>
    </row>
    <row r="10754" customFormat="false" ht="17.15" hidden="false" customHeight="false" outlineLevel="0" collapsed="false">
      <c r="A10754" s="0" t="s">
        <v>842</v>
      </c>
      <c r="B10754" s="0" t="s">
        <v>98</v>
      </c>
      <c r="E10754" s="6" t="n">
        <f aca="false">(Sens!C10752*IF(2&lt;life_it,1,IF(2=life_it,0.5,0))+Sens!D10752*IF(1&lt;life_it,1,IF(1=life_it,0.5,0))+Sens!E10752*0.5)/life_it</f>
        <v>15.0605784770833</v>
      </c>
      <c r="F10754" s="6" t="n">
        <f aca="false">(Sens!C10752*IF(3&lt;life_it,1,IF(3=life_it,0.5,0))+Sens!D10752*IF(2&lt;life_it,1,IF(2=life_it,0.5,0))+Sens!E10752*IF(1&lt;life_it,1,IF(1=life_it,0.5,0))+Sens!F10752*0.5)/life_it</f>
        <v>32.3070729808698</v>
      </c>
      <c r="G10754" s="6" t="n">
        <f aca="false">(Sens!C10752*IF(4&lt;life_it,1,IF(4=life_it,0.5,0))+Sens!D10752*IF(3&lt;life_it,1,IF(3=life_it,0.5,0))+Sens!E10752*IF(2&lt;life_it,1,IF(2=life_it,0.5,0))+Sens!F10752*IF(1&lt;life_it,1,IF(1=life_it,0.5,0))+Sens!G10752*0.5)/life_it</f>
        <v>56.5497677103396</v>
      </c>
      <c r="H10754" s="6" t="n">
        <f aca="false">(Sens!C10752*IF(5&lt;life_it,1,IF(5=life_it,0.5,0))+Sens!D10752*IF(4&lt;life_it,1,IF(4=life_it,0.5,0))+Sens!E10752*IF(3&lt;life_it,1,IF(3=life_it,0.5,0))+Sens!F10752*IF(2&lt;life_it,1,IF(2=life_it,0.5,0))+Sens!G10752*IF(1&lt;life_it,1,IF(1=life_it,0.5,0))+Sens!H10752*0.5)/life_it</f>
        <v>82.1843692431396</v>
      </c>
      <c r="I10754" s="6" t="n">
        <f aca="false">(Sens!C10752*IF(6&lt;life_it,1,IF(6=life_it,0.5,0))+Sens!D10752*IF(5&lt;life_it,1,IF(5=life_it,0.5,0))+Sens!E10752*IF(4&lt;life_it,1,IF(4=life_it,0.5,0))+Sens!F10752*IF(3&lt;life_it,1,IF(3=life_it,0.5,0))+Sens!G10752*IF(2&lt;life_it,1,IF(2=life_it,0.5,0))+Sens!H10752*IF(1&lt;life_it,1,IF(1=life_it,0.5,0))+Sens!I10752*0.5)/life_it</f>
        <v>105.060633139221</v>
      </c>
      <c r="J10754" s="6" t="n">
        <f aca="false">(Sens!C10752*IF(7&lt;life_it,1,IF(7=life_it,0.5,0))+Sens!D10752*IF(6&lt;life_it,1,IF(6=life_it,0.5,0))+Sens!E10752*IF(5&lt;life_it,1,IF(5=life_it,0.5,0))+Sens!F10752*IF(4&lt;life_it,1,IF(4=life_it,0.5,0))+Sens!G10752*IF(3&lt;life_it,1,IF(3=life_it,0.5,0))+Sens!H10752*IF(2&lt;life_it,1,IF(2=life_it,0.5,0))+Sens!I10752*IF(1&lt;life_it,1,IF(1=life_it,0.5,0))+Sens!J10752*0.5)/life_it</f>
        <v>121.353886200666</v>
      </c>
      <c r="K10754" s="6" t="n">
        <f aca="false">(Sens!C10752*IF(8&lt;life_it,1,IF(8=life_it,0.5,0))+Sens!D10752*IF(7&lt;life_it,1,IF(7=life_it,0.5,0))+Sens!E10752*IF(6&lt;life_it,1,IF(6=life_it,0.5,0))+Sens!F10752*IF(5&lt;life_it,1,IF(5=life_it,0.5,0))+Sens!G10752*IF(4&lt;life_it,1,IF(4=life_it,0.5,0))+Sens!H10752*IF(3&lt;life_it,1,IF(3=life_it,0.5,0))+Sens!I10752*IF(2&lt;life_it,1,IF(2=life_it,0.5,0))+Sens!J10752*IF(1&lt;life_it,1,IF(1=life_it,0.5,0))+Sens!K10752*0.5)/life_it</f>
        <v>131.379446417474</v>
      </c>
    </row>
    <row r="10755" customFormat="false" ht="17.15" hidden="false" customHeight="false" outlineLevel="0" collapsed="false">
      <c r="A10755" s="0" t="s">
        <v>843</v>
      </c>
      <c r="B10755" s="0" t="s">
        <v>98</v>
      </c>
      <c r="E10755" s="6" t="n">
        <f aca="false">(Sens!C10750*IF(2&lt;life_fac,1,IF(2=life_fac,0.5,0))+Sens!D10750*IF(1&lt;life_fac,1,IF(1=life_fac,0.5,0))+Sens!E10750*0.5)/life_fac</f>
        <v>1.2448275</v>
      </c>
      <c r="F10755" s="6" t="n">
        <f aca="false">(Sens!C10750*IF(3&lt;life_fac,1,IF(3=life_fac,0.5,0))+Sens!D10750*IF(2&lt;life_fac,1,IF(2=life_fac,0.5,0))+Sens!E10750*IF(1&lt;life_fac,1,IF(1=life_fac,0.5,0))+Sens!F10750*0.5)/life_fac</f>
        <v>2.4456901</v>
      </c>
      <c r="G10755" s="6" t="n">
        <f aca="false">(Sens!C10750*IF(4&lt;life_fac,1,IF(4=life_fac,0.5,0))+Sens!D10750*IF(3&lt;life_fac,1,IF(3=life_fac,0.5,0))+Sens!E10750*IF(2&lt;life_fac,1,IF(2=life_fac,0.5,0))+Sens!F10750*IF(1&lt;life_fac,1,IF(1=life_fac,0.5,0))+Sens!G10750*0.5)/life_fac</f>
        <v>3.9814208</v>
      </c>
      <c r="H10755" s="6" t="n">
        <f aca="false">(Sens!C10750*IF(5&lt;life_fac,1,IF(5=life_fac,0.5,0))+Sens!D10750*IF(4&lt;life_fac,1,IF(4=life_fac,0.5,0))+Sens!E10750*IF(3&lt;life_fac,1,IF(3=life_fac,0.5,0))+Sens!F10750*IF(2&lt;life_fac,1,IF(2=life_fac,0.5,0))+Sens!G10750*IF(1&lt;life_fac,1,IF(1=life_fac,0.5,0))+Sens!H10750*0.5)/life_fac</f>
        <v>5.582402</v>
      </c>
      <c r="I10755" s="6" t="n">
        <f aca="false">(Sens!C10750*IF(6&lt;life_fac,1,IF(6=life_fac,0.5,0))+Sens!D10750*IF(5&lt;life_fac,1,IF(5=life_fac,0.5,0))+Sens!E10750*IF(4&lt;life_fac,1,IF(4=life_fac,0.5,0))+Sens!F10750*IF(3&lt;life_fac,1,IF(3=life_fac,0.5,0))+Sens!G10750*IF(2&lt;life_fac,1,IF(2=life_fac,0.5,0))+Sens!H10750*IF(1&lt;life_fac,1,IF(1=life_fac,0.5,0))+Sens!I10750*0.5)/life_fac</f>
        <v>6.950862093</v>
      </c>
      <c r="J10755" s="6" t="n">
        <f aca="false">(Sens!C10750*IF(7&lt;life_fac,1,IF(7=life_fac,0.5,0))+Sens!D10750*IF(6&lt;life_fac,1,IF(6=life_fac,0.5,0))+Sens!E10750*IF(5&lt;life_fac,1,IF(5=life_fac,0.5,0))+Sens!F10750*IF(4&lt;life_fac,1,IF(4=life_fac,0.5,0))+Sens!G10750*IF(3&lt;life_fac,1,IF(3=life_fac,0.5,0))+Sens!H10750*IF(2&lt;life_fac,1,IF(2=life_fac,0.5,0))+Sens!I10750*IF(1&lt;life_fac,1,IF(1=life_fac,0.5,0))+Sens!J10750*0.5)/life_fac</f>
        <v>7.854279972</v>
      </c>
      <c r="K10755" s="6" t="n">
        <f aca="false">(Sens!C10750*IF(8&lt;life_fac,1,IF(8=life_fac,0.5,0))+Sens!D10750*IF(7&lt;life_fac,1,IF(7=life_fac,0.5,0))+Sens!E10750*IF(6&lt;life_fac,1,IF(6=life_fac,0.5,0))+Sens!F10750*IF(5&lt;life_fac,1,IF(5=life_fac,0.5,0))+Sens!G10750*IF(4&lt;life_fac,1,IF(4=life_fac,0.5,0))+Sens!H10750*IF(3&lt;life_fac,1,IF(3=life_fac,0.5,0))+Sens!I10750*IF(2&lt;life_fac,1,IF(2=life_fac,0.5,0))+Sens!J10750*IF(1&lt;life_fac,1,IF(1=life_fac,0.5,0))+Sens!K10750*0.5)/life_fac</f>
        <v>8.292655637</v>
      </c>
    </row>
    <row r="10756" customFormat="false" ht="17.15" hidden="false" customHeight="false" outlineLevel="0" collapsed="false">
      <c r="A10756" s="0" t="s">
        <v>844</v>
      </c>
      <c r="B10756" s="0" t="s">
        <v>98</v>
      </c>
      <c r="E10756" s="6" t="n">
        <f aca="false">Sens!E10754+Sens!E10755</f>
        <v>16.3054059770833</v>
      </c>
      <c r="F10756" s="6" t="n">
        <f aca="false">Sens!F10754+Sens!F10755</f>
        <v>34.7527630808698</v>
      </c>
      <c r="G10756" s="6" t="n">
        <f aca="false">Sens!G10754+Sens!G10755</f>
        <v>60.5311885103396</v>
      </c>
      <c r="H10756" s="6" t="n">
        <f aca="false">Sens!H10754+Sens!H10755</f>
        <v>87.7667712431396</v>
      </c>
      <c r="I10756" s="6" t="n">
        <f aca="false">Sens!I10754+Sens!I10755</f>
        <v>112.011495232221</v>
      </c>
      <c r="J10756" s="6" t="n">
        <f aca="false">Sens!J10754+Sens!J10755</f>
        <v>129.208166172666</v>
      </c>
      <c r="K10756" s="6" t="n">
        <f aca="false">Sens!K10754+Sens!K10755</f>
        <v>139.672102054474</v>
      </c>
    </row>
    <row r="10757" customFormat="false" ht="17.15" hidden="false" customHeight="false" outlineLevel="0" collapsed="false">
      <c r="A10757" s="0" t="s">
        <v>845</v>
      </c>
      <c r="B10757" s="0" t="s">
        <v>98</v>
      </c>
      <c r="E10757" s="6" t="n">
        <f aca="false">Sens!E10745-Sens!E10744*Sens!E10756</f>
        <v>8.92707889977379</v>
      </c>
      <c r="F10757" s="6" t="n">
        <f aca="false">Sens!F10745-Sens!F10744*Sens!F10756</f>
        <v>14.20568771402</v>
      </c>
      <c r="G10757" s="6" t="n">
        <f aca="false">Sens!G10745-Sens!G10744*Sens!G10756</f>
        <v>15.9317840650833</v>
      </c>
      <c r="H10757" s="6" t="n">
        <f aca="false">Sens!H10745-Sens!H10744*Sens!H10756</f>
        <v>12.6196071051433</v>
      </c>
      <c r="I10757" s="6" t="n">
        <f aca="false">Sens!I10745-Sens!I10744*Sens!I10756</f>
        <v>16.0634024971222</v>
      </c>
      <c r="J10757" s="6" t="n">
        <f aca="false">Sens!J10745-Sens!J10744*Sens!J10756</f>
        <v>18.4226747358798</v>
      </c>
      <c r="K10757" s="6" t="n">
        <f aca="false">Sens!K10745-Sens!K10744*Sens!K10756</f>
        <v>20.3798522765162</v>
      </c>
    </row>
    <row r="10758" customFormat="false" ht="17.15" hidden="false" customHeight="false" outlineLevel="0" collapsed="false">
      <c r="A10758" s="3" t="s">
        <v>1515</v>
      </c>
    </row>
    <row r="10759" customFormat="false" ht="15" hidden="false" customHeight="false" outlineLevel="0" collapsed="false">
      <c r="A10759" s="4" t="s">
        <v>43</v>
      </c>
      <c r="B10759" s="4" t="s">
        <v>65</v>
      </c>
      <c r="C10759" s="20" t="s">
        <v>788</v>
      </c>
      <c r="D10759" s="20" t="s">
        <v>789</v>
      </c>
      <c r="E10759" s="20" t="s">
        <v>790</v>
      </c>
      <c r="F10759" s="20" t="s">
        <v>791</v>
      </c>
      <c r="G10759" s="20" t="s">
        <v>792</v>
      </c>
      <c r="H10759" s="20" t="s">
        <v>793</v>
      </c>
      <c r="I10759" s="20" t="s">
        <v>794</v>
      </c>
      <c r="J10759" s="20" t="s">
        <v>795</v>
      </c>
      <c r="K10759" s="20" t="s">
        <v>796</v>
      </c>
      <c r="L10759" s="4" t="s">
        <v>47</v>
      </c>
    </row>
    <row r="10760" customFormat="false" ht="17.15" hidden="false" customHeight="false" outlineLevel="0" collapsed="false">
      <c r="A10760" s="0" t="s">
        <v>864</v>
      </c>
      <c r="B10760" s="0" t="s">
        <v>98</v>
      </c>
      <c r="D10760" s="6" t="n">
        <f aca="false">Sens!D10739</f>
        <v>12.9359794422418</v>
      </c>
      <c r="E10760" s="6" t="n">
        <f aca="false">Sens!E10739</f>
        <v>27.8095064661409</v>
      </c>
      <c r="F10760" s="6" t="n">
        <f aca="false">Sens!F10739</f>
        <v>50.6619113883066</v>
      </c>
      <c r="G10760" s="6" t="n">
        <f aca="false">Sens!G10739</f>
        <v>75.1482839325348</v>
      </c>
      <c r="H10760" s="6" t="n">
        <f aca="false">Sens!H10739</f>
        <v>94.895655604042</v>
      </c>
      <c r="I10760" s="6" t="n">
        <f aca="false">Sens!I10739</f>
        <v>118.706168884151</v>
      </c>
      <c r="J10760" s="6" t="n">
        <f aca="false">Sens!J10739</f>
        <v>135.305203646001</v>
      </c>
      <c r="K10760" s="6" t="n">
        <f aca="false">Sens!K10739</f>
        <v>145.64537766421</v>
      </c>
    </row>
    <row r="10761" customFormat="false" ht="17.15" hidden="false" customHeight="false" outlineLevel="0" collapsed="false">
      <c r="A10761" s="0" t="s">
        <v>865</v>
      </c>
      <c r="B10761" s="0" t="s">
        <v>98</v>
      </c>
      <c r="D10761" s="6" t="n">
        <f aca="false">Q!L6-Sens!D10760</f>
        <v>59.6740205577583</v>
      </c>
      <c r="E10761" s="6" t="n">
        <f aca="false">Q!M6-Sens!E10760</f>
        <v>74.1284935338591</v>
      </c>
      <c r="F10761" s="6" t="n">
        <f aca="false">Sens!E10761*(1+Sens!F10762)</f>
        <v>90.0799497373663</v>
      </c>
      <c r="G10761" s="6" t="n">
        <f aca="false">Sens!F10761*(1+Sens!G10762)</f>
        <v>107.02842520331</v>
      </c>
      <c r="H10761" s="6" t="n">
        <f aca="false">Sens!G10761*(1+Sens!H10762)</f>
        <v>124.271982585636</v>
      </c>
      <c r="I10761" s="6" t="n">
        <f aca="false">Sens!H10761*(1+Sens!I10762)</f>
        <v>140.933702381855</v>
      </c>
      <c r="J10761" s="6" t="n">
        <f aca="false">Sens!I10761*(1+Sens!J10762)</f>
        <v>156.018867314332</v>
      </c>
      <c r="K10761" s="6" t="n">
        <f aca="false">Sens!J10761*(1+Sens!K10762)</f>
        <v>168.500376699478</v>
      </c>
    </row>
    <row r="10762" customFormat="false" ht="15" hidden="false" customHeight="false" outlineLevel="0" collapsed="false">
      <c r="A10762" s="1" t="s">
        <v>866</v>
      </c>
      <c r="B10762" s="0" t="s">
        <v>129</v>
      </c>
      <c r="E10762" s="7" t="n">
        <f aca="false">Sens!E10761/Sens!D10761-1</f>
        <v>0.242223883039864</v>
      </c>
      <c r="F10762" s="7" t="n">
        <f aca="false">Sens!$E$10762+(glt_azo-Sens!$E$10762)*MIN(1,(Sens!F10722-base_fy)/n_conv)</f>
        <v>0.215186569199887</v>
      </c>
      <c r="G10762" s="7" t="n">
        <f aca="false">Sens!$E$10762+(glt_azo-Sens!$E$10762)*MIN(1,(Sens!G10722-base_fy)/n_conv)</f>
        <v>0.18814925535991</v>
      </c>
      <c r="H10762" s="7" t="n">
        <f aca="false">Sens!$E$10762+(glt_azo-Sens!$E$10762)*MIN(1,(Sens!H10722-base_fy)/n_conv)</f>
        <v>0.161111941519932</v>
      </c>
      <c r="I10762" s="7" t="n">
        <f aca="false">Sens!$E$10762+(glt_azo-Sens!$E$10762)*MIN(1,(Sens!I10722-base_fy)/n_conv)</f>
        <v>0.134074627679955</v>
      </c>
      <c r="J10762" s="7" t="n">
        <f aca="false">Sens!$E$10762+(glt_azo-Sens!$E$10762)*MIN(1,(Sens!J10722-base_fy)/n_conv)</f>
        <v>0.107037313839977</v>
      </c>
      <c r="K10762" s="7" t="n">
        <f aca="false">Sens!$E$10762+(glt_azo-Sens!$E$10762)*MIN(1,(Sens!K10722-base_fy)/n_conv)</f>
        <v>0.08</v>
      </c>
    </row>
    <row r="10763" customFormat="false" ht="15" hidden="false" customHeight="false" outlineLevel="0" collapsed="false">
      <c r="A10763" s="0" t="s">
        <v>867</v>
      </c>
      <c r="B10763" s="0" t="s">
        <v>98</v>
      </c>
      <c r="D10763" s="6" t="n">
        <f aca="false">Sens!D10760+Sens!D10761</f>
        <v>72.61</v>
      </c>
      <c r="E10763" s="6" t="n">
        <f aca="false">Sens!E10760+Sens!E10761</f>
        <v>101.938</v>
      </c>
      <c r="F10763" s="6" t="n">
        <f aca="false">Sens!F10760+Sens!F10761</f>
        <v>140.741861125673</v>
      </c>
      <c r="G10763" s="6" t="n">
        <f aca="false">Sens!G10760+Sens!G10761</f>
        <v>182.176709135845</v>
      </c>
      <c r="H10763" s="6" t="n">
        <f aca="false">Sens!H10760+Sens!H10761</f>
        <v>219.167638189678</v>
      </c>
      <c r="I10763" s="6" t="n">
        <f aca="false">Sens!I10760+Sens!I10761</f>
        <v>259.639871266006</v>
      </c>
      <c r="J10763" s="6" t="n">
        <f aca="false">Sens!J10760+Sens!J10761</f>
        <v>291.324070960333</v>
      </c>
      <c r="K10763" s="6" t="n">
        <f aca="false">Sens!K10760+Sens!K10761</f>
        <v>314.145754363688</v>
      </c>
    </row>
    <row r="10764" customFormat="false" ht="17.15" hidden="false" customHeight="false" outlineLevel="0" collapsed="false">
      <c r="A10764" s="0" t="s">
        <v>868</v>
      </c>
      <c r="B10764" s="1" t="s">
        <v>521</v>
      </c>
      <c r="C10764" s="29" t="n">
        <f aca="false">cop_s24</f>
        <v>1</v>
      </c>
      <c r="D10764" s="29" t="n">
        <f aca="false">cop_s25</f>
        <v>5</v>
      </c>
      <c r="E10764" s="29" t="n">
        <f aca="false">cop_s26</f>
        <v>30</v>
      </c>
      <c r="F10764" s="29" t="n">
        <f aca="false">Sens!E10764+cop_add_C</f>
        <v>40</v>
      </c>
      <c r="G10764" s="29" t="n">
        <f aca="false">Sens!F10764+cop_add_C</f>
        <v>50</v>
      </c>
      <c r="H10764" s="29" t="n">
        <f aca="false">Sens!G10764+cop_add_C</f>
        <v>60</v>
      </c>
      <c r="I10764" s="29" t="n">
        <f aca="false">Sens!H10764+cop_add_C*cop_tail</f>
        <v>65</v>
      </c>
      <c r="J10764" s="29" t="n">
        <f aca="false">Sens!I10764+cop_add_C*cop_tail</f>
        <v>70</v>
      </c>
      <c r="K10764" s="29" t="n">
        <f aca="false">Sens!J10764+cop_add_C*cop_tail</f>
        <v>75</v>
      </c>
      <c r="L10764" s="11" t="s">
        <v>869</v>
      </c>
    </row>
    <row r="10765" customFormat="false" ht="17.15" hidden="false" customHeight="false" outlineLevel="0" collapsed="false">
      <c r="A10765" s="0" t="s">
        <v>870</v>
      </c>
      <c r="B10765" s="0" t="s">
        <v>98</v>
      </c>
      <c r="D10765" s="6" t="n">
        <f aca="false">(Sens!C10764+Sens!D10764)/2*cop_px*12/1000</f>
        <v>0.9</v>
      </c>
      <c r="E10765" s="6" t="n">
        <f aca="false">(Sens!D10764+Sens!E10764)/2*cop_px*12/1000</f>
        <v>5.25</v>
      </c>
      <c r="F10765" s="6" t="n">
        <f aca="false">(Sens!E10764+Sens!F10764)/2*cop_px*12/1000</f>
        <v>10.5</v>
      </c>
      <c r="G10765" s="6" t="n">
        <f aca="false">(Sens!F10764+Sens!G10764)/2*cop_px*12/1000</f>
        <v>13.5</v>
      </c>
      <c r="H10765" s="6" t="n">
        <f aca="false">(Sens!G10764+Sens!H10764)/2*cop_px*12/1000</f>
        <v>16.5</v>
      </c>
      <c r="I10765" s="6" t="n">
        <f aca="false">(Sens!H10764+Sens!I10764)/2*cop_px*12/1000</f>
        <v>18.75</v>
      </c>
      <c r="J10765" s="6" t="n">
        <f aca="false">(Sens!I10764+Sens!J10764)/2*cop_px*12/1000</f>
        <v>20.25</v>
      </c>
      <c r="K10765" s="6" t="n">
        <f aca="false">(Sens!J10764+Sens!K10764)/2*cop_px*12/1000</f>
        <v>21.75</v>
      </c>
      <c r="L10765" s="1" t="s">
        <v>871</v>
      </c>
    </row>
    <row r="10766" customFormat="false" ht="17.15" hidden="false" customHeight="false" outlineLevel="0" collapsed="false">
      <c r="A10766" s="0" t="s">
        <v>872</v>
      </c>
      <c r="B10766" s="0" t="s">
        <v>98</v>
      </c>
      <c r="D10766" s="6" t="n">
        <f aca="false">Q!L7-Sens!D10765</f>
        <v>83.705</v>
      </c>
      <c r="E10766" s="6" t="n">
        <f aca="false">Q!M7-Sens!E10765</f>
        <v>95.049</v>
      </c>
      <c r="F10766" s="6" t="n">
        <f aca="false">Sens!E10766*(1+Sens!F10767)</f>
        <v>106.89238776686</v>
      </c>
      <c r="G10766" s="6" t="n">
        <f aca="false">Sens!F10766*(1+Sens!G10767)</f>
        <v>119.044168448684</v>
      </c>
      <c r="H10766" s="6" t="n">
        <f aca="false">Sens!G10766*(1+Sens!H10767)</f>
        <v>131.277359388781</v>
      </c>
      <c r="I10766" s="6" t="n">
        <f aca="false">Sens!H10766*(1+Sens!I10767)</f>
        <v>143.334028071957</v>
      </c>
      <c r="J10766" s="6" t="n">
        <f aca="false">Sens!I10766*(1+Sens!J10767)</f>
        <v>154.932702785465</v>
      </c>
      <c r="K10766" s="6" t="n">
        <f aca="false">Sens!J10766*(1+Sens!K10767)</f>
        <v>165.777991980448</v>
      </c>
    </row>
    <row r="10767" customFormat="false" ht="15" hidden="false" customHeight="false" outlineLevel="0" collapsed="false">
      <c r="A10767" s="1" t="s">
        <v>866</v>
      </c>
      <c r="B10767" s="0" t="s">
        <v>129</v>
      </c>
      <c r="E10767" s="7" t="n">
        <f aca="false">Sens!E10766/Sens!D10766-1</f>
        <v>0.135523564900544</v>
      </c>
      <c r="F10767" s="7" t="n">
        <f aca="false">Sens!$E$10767+(glt_m365b-Sens!$E$10767)*MIN(1,(Sens!F10722-base_fy)/n_conv)</f>
        <v>0.124602970750453</v>
      </c>
      <c r="G10767" s="7" t="n">
        <f aca="false">Sens!$E$10767+(glt_m365b-Sens!$E$10767)*MIN(1,(Sens!G10722-base_fy)/n_conv)</f>
        <v>0.113682376600363</v>
      </c>
      <c r="H10767" s="7" t="n">
        <f aca="false">Sens!$E$10767+(glt_m365b-Sens!$E$10767)*MIN(1,(Sens!H10722-base_fy)/n_conv)</f>
        <v>0.102761782450272</v>
      </c>
      <c r="I10767" s="7" t="n">
        <f aca="false">Sens!$E$10767+(glt_m365b-Sens!$E$10767)*MIN(1,(Sens!I10722-base_fy)/n_conv)</f>
        <v>0.0918411883001813</v>
      </c>
      <c r="J10767" s="7" t="n">
        <f aca="false">Sens!$E$10767+(glt_m365b-Sens!$E$10767)*MIN(1,(Sens!J10722-base_fy)/n_conv)</f>
        <v>0.0809205941500906</v>
      </c>
      <c r="K10767" s="7" t="n">
        <f aca="false">Sens!$E$10767+(glt_m365b-Sens!$E$10767)*MIN(1,(Sens!K10722-base_fy)/n_conv)</f>
        <v>0.07</v>
      </c>
    </row>
    <row r="10768" customFormat="false" ht="15" hidden="false" customHeight="false" outlineLevel="0" collapsed="false">
      <c r="A10768" s="0" t="s">
        <v>873</v>
      </c>
      <c r="B10768" s="0" t="s">
        <v>98</v>
      </c>
      <c r="D10768" s="6" t="n">
        <f aca="false">Sens!D10766+Sens!D10765</f>
        <v>84.605</v>
      </c>
      <c r="E10768" s="6" t="n">
        <f aca="false">Sens!E10766+Sens!E10765</f>
        <v>100.299</v>
      </c>
      <c r="F10768" s="6" t="n">
        <f aca="false">Sens!F10766+Sens!F10765</f>
        <v>117.39238776686</v>
      </c>
      <c r="G10768" s="6" t="n">
        <f aca="false">Sens!G10766+Sens!G10765</f>
        <v>132.544168448684</v>
      </c>
      <c r="H10768" s="6" t="n">
        <f aca="false">Sens!H10766+Sens!H10765</f>
        <v>147.777359388781</v>
      </c>
      <c r="I10768" s="6" t="n">
        <f aca="false">Sens!I10766+Sens!I10765</f>
        <v>162.084028071957</v>
      </c>
      <c r="J10768" s="6" t="n">
        <f aca="false">Sens!J10766+Sens!J10765</f>
        <v>175.182702785465</v>
      </c>
      <c r="K10768" s="6" t="n">
        <f aca="false">Sens!K10766+Sens!K10765</f>
        <v>187.527991980448</v>
      </c>
    </row>
    <row r="10769" customFormat="false" ht="15" hidden="false" customHeight="false" outlineLevel="0" collapsed="false">
      <c r="A10769" s="0" t="s">
        <v>874</v>
      </c>
      <c r="B10769" s="0" t="s">
        <v>98</v>
      </c>
      <c r="D10769" s="6" t="n">
        <f aca="false">Q!L8</f>
        <v>35.391</v>
      </c>
      <c r="E10769" s="6" t="n">
        <f aca="false">Q!M8</f>
        <v>37.285</v>
      </c>
      <c r="F10769" s="6" t="n">
        <f aca="false">Sens!E10769*(1+Sens!F10770)</f>
        <v>39.0720834331704</v>
      </c>
      <c r="G10769" s="6" t="n">
        <f aca="false">Sens!F10769*(1+Sens!G10770)</f>
        <v>40.726562953769</v>
      </c>
      <c r="H10769" s="6" t="n">
        <f aca="false">Sens!G10769*(1+Sens!H10770)</f>
        <v>42.2235987259198</v>
      </c>
      <c r="I10769" s="6" t="n">
        <f aca="false">Sens!H10769*(1+Sens!I10770)</f>
        <v>43.5397988077414</v>
      </c>
      <c r="J10769" s="6" t="n">
        <f aca="false">Sens!I10769*(1+Sens!J10770)</f>
        <v>44.653811225693</v>
      </c>
      <c r="K10769" s="6" t="n">
        <f aca="false">Sens!J10769*(1+Sens!K10770)</f>
        <v>45.5468874502068</v>
      </c>
    </row>
    <row r="10770" customFormat="false" ht="15" hidden="false" customHeight="false" outlineLevel="0" collapsed="false">
      <c r="A10770" s="1" t="s">
        <v>866</v>
      </c>
      <c r="B10770" s="0" t="s">
        <v>129</v>
      </c>
      <c r="E10770" s="7" t="n">
        <f aca="false">Sens!E10769/Sens!D10769-1</f>
        <v>0.0535164307309768</v>
      </c>
      <c r="F10770" s="7" t="n">
        <f aca="false">Sens!$E$10770+(glt_lic-Sens!$E$10770)*MIN(1,(Sens!F10722-base_fy)/n_conv)</f>
        <v>0.0479303589424807</v>
      </c>
      <c r="G10770" s="7" t="n">
        <f aca="false">Sens!$E$10770+(glt_lic-Sens!$E$10770)*MIN(1,(Sens!G10722-base_fy)/n_conv)</f>
        <v>0.0423442871539845</v>
      </c>
      <c r="H10770" s="7" t="n">
        <f aca="false">Sens!$E$10770+(glt_lic-Sens!$E$10770)*MIN(1,(Sens!H10722-base_fy)/n_conv)</f>
        <v>0.0367582153654884</v>
      </c>
      <c r="I10770" s="7" t="n">
        <f aca="false">Sens!$E$10770+(glt_lic-Sens!$E$10770)*MIN(1,(Sens!I10722-base_fy)/n_conv)</f>
        <v>0.0311721435769923</v>
      </c>
      <c r="J10770" s="7" t="n">
        <f aca="false">Sens!$E$10770+(glt_lic-Sens!$E$10770)*MIN(1,(Sens!J10722-base_fy)/n_conv)</f>
        <v>0.0255860717884961</v>
      </c>
      <c r="K10770" s="7" t="n">
        <f aca="false">Sens!$E$10770+(glt_lic-Sens!$E$10770)*MIN(1,(Sens!K10722-base_fy)/n_conv)</f>
        <v>0.02</v>
      </c>
    </row>
    <row r="10771" customFormat="false" ht="15" hidden="false" customHeight="false" outlineLevel="0" collapsed="false">
      <c r="A10771" s="0" t="s">
        <v>875</v>
      </c>
      <c r="B10771" s="0" t="s">
        <v>98</v>
      </c>
      <c r="D10771" s="6" t="n">
        <f aca="false">Q!L9</f>
        <v>18.417</v>
      </c>
      <c r="E10771" s="6" t="n">
        <f aca="false">Q!M9</f>
        <v>20.345</v>
      </c>
      <c r="F10771" s="6" t="n">
        <f aca="false">Sens!E10771*(1+Sens!F10772)</f>
        <v>22.3572203267814</v>
      </c>
      <c r="G10771" s="6" t="n">
        <f aca="false">Sens!F10771*(1+Sens!G10772)</f>
        <v>24.4392124437232</v>
      </c>
      <c r="H10771" s="6" t="n">
        <f aca="false">Sens!G10771*(1+Sens!H10772)</f>
        <v>26.5738052080665</v>
      </c>
      <c r="I10771" s="6" t="n">
        <f aca="false">Sens!H10771*(1+Sens!I10772)</f>
        <v>28.7412169166967</v>
      </c>
      <c r="J10771" s="6" t="n">
        <f aca="false">Sens!I10771*(1+Sens!J10772)</f>
        <v>30.9192545395413</v>
      </c>
      <c r="K10771" s="6" t="n">
        <f aca="false">Sens!J10771*(1+Sens!K10772)</f>
        <v>33.0836023573092</v>
      </c>
    </row>
    <row r="10772" customFormat="false" ht="15" hidden="false" customHeight="false" outlineLevel="0" collapsed="false">
      <c r="A10772" s="1" t="s">
        <v>866</v>
      </c>
      <c r="B10772" s="0" t="s">
        <v>129</v>
      </c>
      <c r="E10772" s="7" t="n">
        <f aca="false">Sens!E10771/Sens!D10771-1</f>
        <v>0.104685888038225</v>
      </c>
      <c r="F10772" s="7" t="n">
        <f aca="false">Sens!$E$10772+(glt_ind-Sens!$E$10772)*MIN(1,(Sens!F10722-base_fy)/n_conv)</f>
        <v>0.0989049066985211</v>
      </c>
      <c r="G10772" s="7" t="n">
        <f aca="false">Sens!$E$10772+(glt_ind-Sens!$E$10772)*MIN(1,(Sens!G10722-base_fy)/n_conv)</f>
        <v>0.0931239253588169</v>
      </c>
      <c r="H10772" s="7" t="n">
        <f aca="false">Sens!$E$10772+(glt_ind-Sens!$E$10772)*MIN(1,(Sens!H10722-base_fy)/n_conv)</f>
        <v>0.0873429440191127</v>
      </c>
      <c r="I10772" s="7" t="n">
        <f aca="false">Sens!$E$10772+(glt_ind-Sens!$E$10772)*MIN(1,(Sens!I10722-base_fy)/n_conv)</f>
        <v>0.0815619626794085</v>
      </c>
      <c r="J10772" s="7" t="n">
        <f aca="false">Sens!$E$10772+(glt_ind-Sens!$E$10772)*MIN(1,(Sens!J10722-base_fy)/n_conv)</f>
        <v>0.0757809813397042</v>
      </c>
      <c r="K10772" s="7" t="n">
        <f aca="false">Sens!$E$10772+(glt_ind-Sens!$E$10772)*MIN(1,(Sens!K10722-base_fy)/n_conv)</f>
        <v>0.07</v>
      </c>
    </row>
    <row r="10773" customFormat="false" ht="15" hidden="false" customHeight="false" outlineLevel="0" collapsed="false">
      <c r="A10773" s="0" t="s">
        <v>876</v>
      </c>
      <c r="B10773" s="0" t="s">
        <v>98</v>
      </c>
      <c r="D10773" s="6" t="n">
        <f aca="false">Q!L10</f>
        <v>7.76</v>
      </c>
      <c r="E10773" s="6" t="n">
        <f aca="false">Q!M10</f>
        <v>8.26</v>
      </c>
      <c r="F10773" s="6" t="n">
        <f aca="false">Sens!E10773*(1+Sens!F10774)</f>
        <v>8.79988041237113</v>
      </c>
      <c r="G10773" s="6" t="n">
        <f aca="false">Sens!F10773*(1+Sens!G10774)</f>
        <v>9.38321269125306</v>
      </c>
      <c r="H10773" s="6" t="n">
        <f aca="false">Sens!G10773*(1+Sens!H10774)</f>
        <v>10.0139193587476</v>
      </c>
      <c r="I10773" s="6" t="n">
        <f aca="false">Sens!H10773*(1+Sens!I10774)</f>
        <v>10.6963111830911</v>
      </c>
      <c r="J10773" s="6" t="n">
        <f aca="false">Sens!I10773*(1+Sens!J10774)</f>
        <v>11.4351285534696</v>
      </c>
      <c r="K10773" s="6" t="n">
        <f aca="false">Sens!J10773*(1+Sens!K10774)</f>
        <v>12.2355875522124</v>
      </c>
    </row>
    <row r="10774" customFormat="false" ht="15" hidden="false" customHeight="false" outlineLevel="0" collapsed="false">
      <c r="A10774" s="1" t="s">
        <v>866</v>
      </c>
      <c r="B10774" s="0" t="s">
        <v>129</v>
      </c>
      <c r="E10774" s="7" t="n">
        <f aca="false">Sens!E10773/Sens!D10773-1</f>
        <v>0.0644329896907216</v>
      </c>
      <c r="F10774" s="7" t="n">
        <f aca="false">Sens!$E$10774+(glt_fro-Sens!$E$10774)*MIN(1,(Sens!F10722-base_fy)/n_conv)</f>
        <v>0.065360824742268</v>
      </c>
      <c r="G10774" s="7" t="n">
        <f aca="false">Sens!$E$10774+(glt_fro-Sens!$E$10774)*MIN(1,(Sens!G10722-base_fy)/n_conv)</f>
        <v>0.0662886597938144</v>
      </c>
      <c r="H10774" s="7" t="n">
        <f aca="false">Sens!$E$10774+(glt_fro-Sens!$E$10774)*MIN(1,(Sens!H10722-base_fy)/n_conv)</f>
        <v>0.0672164948453608</v>
      </c>
      <c r="I10774" s="7" t="n">
        <f aca="false">Sens!$E$10774+(glt_fro-Sens!$E$10774)*MIN(1,(Sens!I10722-base_fy)/n_conv)</f>
        <v>0.0681443298969072</v>
      </c>
      <c r="J10774" s="7" t="n">
        <f aca="false">Sens!$E$10774+(glt_fro-Sens!$E$10774)*MIN(1,(Sens!J10722-base_fy)/n_conv)</f>
        <v>0.0690721649484536</v>
      </c>
      <c r="K10774" s="7" t="n">
        <f aca="false">Sens!$E$10774+(glt_fro-Sens!$E$10774)*MIN(1,(Sens!K10722-base_fy)/n_conv)</f>
        <v>0.07</v>
      </c>
    </row>
    <row r="10775" customFormat="false" ht="15" hidden="false" customHeight="false" outlineLevel="0" collapsed="false">
      <c r="A10775" s="0" t="s">
        <v>704</v>
      </c>
      <c r="B10775" s="0" t="s">
        <v>98</v>
      </c>
      <c r="D10775" s="6" t="n">
        <f aca="false">Sens!D10763+Sens!D10768+Sens!D10769+Sens!D10771+Sens!D10773</f>
        <v>218.783</v>
      </c>
      <c r="E10775" s="6" t="n">
        <f aca="false">Sens!E10763+Sens!E10768+Sens!E10769+Sens!E10771+Sens!E10773</f>
        <v>268.127</v>
      </c>
      <c r="F10775" s="6" t="n">
        <f aca="false">Sens!F10763+Sens!F10768+Sens!F10769+Sens!F10771+Sens!F10773</f>
        <v>328.363433064856</v>
      </c>
      <c r="G10775" s="6" t="n">
        <f aca="false">Sens!G10763+Sens!G10768+Sens!G10769+Sens!G10771+Sens!G10773</f>
        <v>389.269865673274</v>
      </c>
      <c r="H10775" s="6" t="n">
        <f aca="false">Sens!H10763+Sens!H10768+Sens!H10769+Sens!H10771+Sens!H10773</f>
        <v>445.756320871193</v>
      </c>
      <c r="I10775" s="6" t="n">
        <f aca="false">Sens!I10763+Sens!I10768+Sens!I10769+Sens!I10771+Sens!I10773</f>
        <v>504.701226245492</v>
      </c>
      <c r="J10775" s="6" t="n">
        <f aca="false">Sens!J10763+Sens!J10768+Sens!J10769+Sens!J10771+Sens!J10773</f>
        <v>553.514968064502</v>
      </c>
      <c r="K10775" s="6" t="n">
        <f aca="false">Sens!K10763+Sens!K10768+Sens!K10769+Sens!K10771+Sens!K10773</f>
        <v>592.539823703865</v>
      </c>
    </row>
    <row r="10776" customFormat="false" ht="15" hidden="false" customHeight="false" outlineLevel="0" collapsed="false">
      <c r="A10776" s="0" t="s">
        <v>877</v>
      </c>
      <c r="B10776" s="0" t="s">
        <v>98</v>
      </c>
      <c r="D10776" s="6" t="n">
        <f aca="false">Q!L13</f>
        <v>22.171</v>
      </c>
      <c r="E10776" s="6" t="n">
        <f aca="false">Q!M13</f>
        <v>24.835</v>
      </c>
      <c r="F10776" s="6" t="n">
        <f aca="false">Sens!E10776*(1+Sens!F10777)</f>
        <v>27.6114901218559</v>
      </c>
      <c r="G10776" s="6" t="n">
        <f aca="false">Sens!F10776*(1+Sens!G10777)</f>
        <v>30.4675667338515</v>
      </c>
      <c r="H10776" s="6" t="n">
        <f aca="false">Sens!G10776*(1+Sens!H10777)</f>
        <v>33.3643766955789</v>
      </c>
      <c r="I10776" s="6" t="n">
        <f aca="false">Sens!H10776*(1+Sens!I10777)</f>
        <v>36.2577016533691</v>
      </c>
      <c r="J10776" s="6" t="n">
        <f aca="false">Sens!I10776*(1+Sens!J10777)</f>
        <v>39.0988367952171</v>
      </c>
      <c r="K10776" s="6" t="n">
        <f aca="false">Sens!J10776*(1+Sens!K10777)</f>
        <v>41.8357553708823</v>
      </c>
    </row>
    <row r="10777" customFormat="false" ht="15" hidden="false" customHeight="false" outlineLevel="0" collapsed="false">
      <c r="A10777" s="1" t="s">
        <v>866</v>
      </c>
      <c r="B10777" s="0" t="s">
        <v>129</v>
      </c>
      <c r="E10777" s="7" t="n">
        <f aca="false">Sens!E10776/Sens!D10776-1</f>
        <v>0.120156961796942</v>
      </c>
      <c r="F10777" s="7" t="n">
        <f aca="false">Sens!$E$10777+(glt_srch-Sens!$E$10777)*MIN(1,(Sens!F10722-base_fy)/n_conv)</f>
        <v>0.111797468164118</v>
      </c>
      <c r="G10777" s="7" t="n">
        <f aca="false">Sens!$E$10777+(glt_srch-Sens!$E$10777)*MIN(1,(Sens!G10722-base_fy)/n_conv)</f>
        <v>0.103437974531295</v>
      </c>
      <c r="H10777" s="7" t="n">
        <f aca="false">Sens!$E$10777+(glt_srch-Sens!$E$10777)*MIN(1,(Sens!H10722-base_fy)/n_conv)</f>
        <v>0.095078480898471</v>
      </c>
      <c r="I10777" s="7" t="n">
        <f aca="false">Sens!$E$10777+(glt_srch-Sens!$E$10777)*MIN(1,(Sens!I10722-base_fy)/n_conv)</f>
        <v>0.0867189872656474</v>
      </c>
      <c r="J10777" s="7" t="n">
        <f aca="false">Sens!$E$10777+(glt_srch-Sens!$E$10777)*MIN(1,(Sens!J10722-base_fy)/n_conv)</f>
        <v>0.0783594936328237</v>
      </c>
      <c r="K10777" s="7" t="n">
        <f aca="false">Sens!$E$10777+(glt_srch-Sens!$E$10777)*MIN(1,(Sens!K10722-base_fy)/n_conv)</f>
        <v>0.07</v>
      </c>
    </row>
    <row r="10778" customFormat="false" ht="15" hidden="false" customHeight="false" outlineLevel="0" collapsed="false">
      <c r="A10778" s="0" t="s">
        <v>878</v>
      </c>
      <c r="B10778" s="0" t="s">
        <v>98</v>
      </c>
      <c r="D10778" s="6" t="n">
        <f aca="false">Q!L14</f>
        <v>23.455</v>
      </c>
      <c r="E10778" s="6" t="n">
        <f aca="false">Q!M14</f>
        <v>21.79</v>
      </c>
      <c r="F10778" s="6" t="n">
        <f aca="false">Sens!E10778*(1+Sens!F10779)</f>
        <v>20.6825777908051</v>
      </c>
      <c r="G10778" s="6" t="n">
        <f aca="false">Sens!F10778*(1+Sens!G10779)</f>
        <v>20.0484913708632</v>
      </c>
      <c r="H10778" s="6" t="n">
        <f aca="false">Sens!G10778*(1+Sens!H10779)</f>
        <v>19.8381125629905</v>
      </c>
      <c r="I10778" s="6" t="n">
        <f aca="false">Sens!H10778*(1+Sens!I10779)</f>
        <v>20.0299669735513</v>
      </c>
      <c r="J10778" s="6" t="n">
        <f aca="false">Sens!I10778*(1+Sens!J10779)</f>
        <v>20.6275710652887</v>
      </c>
      <c r="K10778" s="6" t="n">
        <f aca="false">Sens!J10778*(1+Sens!K10779)</f>
        <v>21.6589496185531</v>
      </c>
    </row>
    <row r="10779" customFormat="false" ht="15" hidden="false" customHeight="false" outlineLevel="0" collapsed="false">
      <c r="A10779" s="1" t="s">
        <v>866</v>
      </c>
      <c r="B10779" s="0" t="s">
        <v>129</v>
      </c>
      <c r="E10779" s="7" t="n">
        <f aca="false">Sens!E10778/Sens!D10778-1</f>
        <v>-0.0709869963760392</v>
      </c>
      <c r="F10779" s="7" t="n">
        <f aca="false">Sens!$E$10779+(glt_xbox_hi-Sens!$E$10779)*MIN(1,(Sens!F10722-base_fy)/n_conv)</f>
        <v>-0.0508224969800327</v>
      </c>
      <c r="G10779" s="7" t="n">
        <f aca="false">Sens!$E$10779+(glt_xbox_hi-Sens!$E$10779)*MIN(1,(Sens!G10722-base_fy)/n_conv)</f>
        <v>-0.0306579975840262</v>
      </c>
      <c r="H10779" s="7" t="n">
        <f aca="false">Sens!$E$10779+(glt_xbox_hi-Sens!$E$10779)*MIN(1,(Sens!H10722-base_fy)/n_conv)</f>
        <v>-0.0104934981880196</v>
      </c>
      <c r="I10779" s="7" t="n">
        <f aca="false">Sens!$E$10779+(glt_xbox_hi-Sens!$E$10779)*MIN(1,(Sens!I10722-base_fy)/n_conv)</f>
        <v>0.00967100120798692</v>
      </c>
      <c r="J10779" s="7" t="n">
        <f aca="false">Sens!$E$10779+(glt_xbox_hi-Sens!$E$10779)*MIN(1,(Sens!J10722-base_fy)/n_conv)</f>
        <v>0.0298355006039935</v>
      </c>
      <c r="K10779" s="7" t="n">
        <f aca="false">Sens!$E$10779+(glt_xbox_hi-Sens!$E$10779)*MIN(1,(Sens!K10722-base_fy)/n_conv)</f>
        <v>0.05</v>
      </c>
    </row>
    <row r="10780" customFormat="false" ht="15" hidden="false" customHeight="false" outlineLevel="0" collapsed="false">
      <c r="A10780" s="0" t="s">
        <v>879</v>
      </c>
      <c r="B10780" s="0" t="s">
        <v>98</v>
      </c>
      <c r="D10780" s="6" t="n">
        <f aca="false">Q!L15</f>
        <v>17.315</v>
      </c>
      <c r="E10780" s="6" t="n">
        <f aca="false">Q!M15</f>
        <v>17.087</v>
      </c>
      <c r="F10780" s="6" t="n">
        <f aca="false">Sens!E10780*(1+Sens!F10781)</f>
        <v>16.9564585436519</v>
      </c>
      <c r="G10780" s="6" t="n">
        <f aca="false">Sens!F10780*(1+Sens!G10781)</f>
        <v>16.9206490624268</v>
      </c>
      <c r="H10780" s="6" t="n">
        <f aca="false">Sens!G10780*(1+Sens!H10781)</f>
        <v>16.9784519149849</v>
      </c>
      <c r="I10780" s="6" t="n">
        <f aca="false">Sens!H10780*(1+Sens!I10781)</f>
        <v>17.1303084701817</v>
      </c>
      <c r="J10780" s="6" t="n">
        <f aca="false">Sens!I10780*(1+Sens!J10781)</f>
        <v>17.3782189407267</v>
      </c>
      <c r="K10780" s="6" t="n">
        <f aca="false">Sens!J10780*(1+Sens!K10781)</f>
        <v>17.7257833195413</v>
      </c>
    </row>
    <row r="10781" customFormat="false" ht="15" hidden="false" customHeight="false" outlineLevel="0" collapsed="false">
      <c r="A10781" s="1" t="s">
        <v>866</v>
      </c>
      <c r="B10781" s="0" t="s">
        <v>129</v>
      </c>
      <c r="E10781" s="7" t="n">
        <f aca="false">Sens!E10780/Sens!D10780-1</f>
        <v>-0.0131677736066995</v>
      </c>
      <c r="F10781" s="7" t="n">
        <f aca="false">Sens!$E$10781+(glt_win-Sens!$E$10781)*MIN(1,(Sens!F10722-base_fy)/n_conv)</f>
        <v>-0.00763981133891627</v>
      </c>
      <c r="G10781" s="7" t="n">
        <f aca="false">Sens!$E$10781+(glt_win-Sens!$E$10781)*MIN(1,(Sens!G10722-base_fy)/n_conv)</f>
        <v>-0.00211184907113301</v>
      </c>
      <c r="H10781" s="7" t="n">
        <f aca="false">Sens!$E$10781+(glt_win-Sens!$E$10781)*MIN(1,(Sens!H10722-base_fy)/n_conv)</f>
        <v>0.00341611319665024</v>
      </c>
      <c r="I10781" s="7" t="n">
        <f aca="false">Sens!$E$10781+(glt_win-Sens!$E$10781)*MIN(1,(Sens!I10722-base_fy)/n_conv)</f>
        <v>0.00894407546443349</v>
      </c>
      <c r="J10781" s="7" t="n">
        <f aca="false">Sens!$E$10781+(glt_win-Sens!$E$10781)*MIN(1,(Sens!J10722-base_fy)/n_conv)</f>
        <v>0.0144720377322168</v>
      </c>
      <c r="K10781" s="7" t="n">
        <f aca="false">Sens!$E$10781+(glt_win-Sens!$E$10781)*MIN(1,(Sens!K10722-base_fy)/n_conv)</f>
        <v>0.02</v>
      </c>
    </row>
    <row r="10782" customFormat="false" ht="15" hidden="false" customHeight="false" outlineLevel="0" collapsed="false">
      <c r="A10782" s="0" t="s">
        <v>718</v>
      </c>
      <c r="B10782" s="0" t="s">
        <v>98</v>
      </c>
      <c r="D10782" s="6" t="n">
        <f aca="false">Sens!D10776+Sens!D10778+Sens!D10780</f>
        <v>62.941</v>
      </c>
      <c r="E10782" s="6" t="n">
        <f aca="false">Sens!E10776+Sens!E10778+Sens!E10780</f>
        <v>63.712</v>
      </c>
      <c r="F10782" s="6" t="n">
        <f aca="false">Sens!F10776+Sens!F10778+Sens!F10780</f>
        <v>65.2505264563129</v>
      </c>
      <c r="G10782" s="6" t="n">
        <f aca="false">Sens!G10776+Sens!G10778+Sens!G10780</f>
        <v>67.4367071671415</v>
      </c>
      <c r="H10782" s="6" t="n">
        <f aca="false">Sens!H10776+Sens!H10778+Sens!H10780</f>
        <v>70.1809411735542</v>
      </c>
      <c r="I10782" s="6" t="n">
        <f aca="false">Sens!I10776+Sens!I10778+Sens!I10780</f>
        <v>73.4179770971021</v>
      </c>
      <c r="J10782" s="6" t="n">
        <f aca="false">Sens!J10776+Sens!J10778+Sens!J10780</f>
        <v>77.1046268012325</v>
      </c>
      <c r="K10782" s="6" t="n">
        <f aca="false">Sens!K10776+Sens!K10778+Sens!K10780</f>
        <v>81.2204883089766</v>
      </c>
    </row>
    <row r="10783" customFormat="false" ht="15" hidden="false" customHeight="false" outlineLevel="0" collapsed="false">
      <c r="A10783" s="1" t="s">
        <v>880</v>
      </c>
      <c r="B10783" s="0" t="s">
        <v>98</v>
      </c>
      <c r="D10783" s="6" t="n">
        <f aca="false">Sens!D10775+Sens!D10782</f>
        <v>281.724</v>
      </c>
      <c r="E10783" s="6" t="n">
        <f aca="false">Sens!E10775+Sens!E10782</f>
        <v>331.839</v>
      </c>
      <c r="F10783" s="6" t="n">
        <f aca="false">Sens!F10775+Sens!F10782</f>
        <v>393.613959521169</v>
      </c>
      <c r="G10783" s="6" t="n">
        <f aca="false">Sens!G10775+Sens!G10782</f>
        <v>456.706572840415</v>
      </c>
      <c r="H10783" s="6" t="n">
        <f aca="false">Sens!H10775+Sens!H10782</f>
        <v>515.937262044747</v>
      </c>
      <c r="I10783" s="6" t="n">
        <f aca="false">Sens!I10775+Sens!I10782</f>
        <v>578.119203342595</v>
      </c>
      <c r="J10783" s="6" t="n">
        <f aca="false">Sens!J10775+Sens!J10782</f>
        <v>630.619594865734</v>
      </c>
      <c r="K10783" s="6" t="n">
        <f aca="false">Sens!K10775+Sens!K10782</f>
        <v>673.760312012841</v>
      </c>
    </row>
    <row r="10784" customFormat="false" ht="15" hidden="false" customHeight="false" outlineLevel="0" collapsed="false">
      <c r="A10784" s="23" t="s">
        <v>881</v>
      </c>
      <c r="B10784" s="30" t="s">
        <v>98</v>
      </c>
      <c r="C10784" s="30"/>
      <c r="D10784" s="24" t="n">
        <f aca="false">(Sens!D10763+Sens!D10768+Sens!D10769+Sens!D10771+Sens!D10773-Sens!D10775)+(Sens!D10776+Sens!D10778+Sens!D10780-Sens!D10782)+(Sens!D10775-Q!L5)+(Sens!D10782-Q!L12)+(Sens!D10763-Q!L6)+(Sens!D10768-Q!L7)</f>
        <v>0</v>
      </c>
      <c r="E10784" s="24" t="n">
        <f aca="false">(Sens!E10763+Sens!E10768+Sens!E10769+Sens!E10771+Sens!E10773-Sens!E10775)+(Sens!E10776+Sens!E10778+Sens!E10780-Sens!E10782)+(Sens!E10775-Q!M5)+(Sens!E10782-Q!M12)+(Sens!E10763-Q!M6)+(Sens!E10768-Q!M7)</f>
        <v>0</v>
      </c>
      <c r="F10784" s="24" t="n">
        <f aca="false">(Sens!F10763+Sens!F10768+Sens!F10769+Sens!F10771+Sens!F10773-Sens!F10775)+(Sens!F10776+Sens!F10778+Sens!F10780-Sens!F10782)</f>
        <v>0</v>
      </c>
      <c r="G10784" s="24" t="n">
        <f aca="false">(Sens!G10763+Sens!G10768+Sens!G10769+Sens!G10771+Sens!G10773-Sens!G10775)+(Sens!G10776+Sens!G10778+Sens!G10780-Sens!G10782)</f>
        <v>0</v>
      </c>
      <c r="H10784" s="24" t="n">
        <f aca="false">(Sens!H10763+Sens!H10768+Sens!H10769+Sens!H10771+Sens!H10773-Sens!H10775)+(Sens!H10776+Sens!H10778+Sens!H10780-Sens!H10782)</f>
        <v>0</v>
      </c>
      <c r="I10784" s="24" t="n">
        <f aca="false">(Sens!I10763+Sens!I10768+Sens!I10769+Sens!I10771+Sens!I10773-Sens!I10775)+(Sens!I10776+Sens!I10778+Sens!I10780-Sens!I10782)</f>
        <v>0</v>
      </c>
      <c r="J10784" s="24" t="n">
        <f aca="false">(Sens!J10763+Sens!J10768+Sens!J10769+Sens!J10771+Sens!J10773-Sens!J10775)+(Sens!J10776+Sens!J10778+Sens!J10780-Sens!J10782)</f>
        <v>0</v>
      </c>
      <c r="K10784" s="24" t="n">
        <f aca="false">(Sens!K10763+Sens!K10768+Sens!K10769+Sens!K10771+Sens!K10773-Sens!K10775)+(Sens!K10776+Sens!K10778+Sens!K10780-Sens!K10782)</f>
        <v>0</v>
      </c>
    </row>
    <row r="10785" customFormat="false" ht="17.15" hidden="false" customHeight="false" outlineLevel="0" collapsed="false">
      <c r="A10785" s="3" t="s">
        <v>1516</v>
      </c>
    </row>
    <row r="10786" customFormat="false" ht="15" hidden="false" customHeight="false" outlineLevel="0" collapsed="false">
      <c r="A10786" s="4" t="s">
        <v>43</v>
      </c>
      <c r="B10786" s="4" t="s">
        <v>65</v>
      </c>
      <c r="C10786" s="20" t="s">
        <v>788</v>
      </c>
      <c r="D10786" s="20" t="s">
        <v>789</v>
      </c>
      <c r="E10786" s="20" t="s">
        <v>790</v>
      </c>
      <c r="F10786" s="20" t="s">
        <v>791</v>
      </c>
      <c r="G10786" s="20" t="s">
        <v>792</v>
      </c>
      <c r="H10786" s="20" t="s">
        <v>793</v>
      </c>
      <c r="I10786" s="20" t="s">
        <v>794</v>
      </c>
      <c r="J10786" s="20" t="s">
        <v>795</v>
      </c>
      <c r="K10786" s="20" t="s">
        <v>796</v>
      </c>
      <c r="L10786" s="4" t="s">
        <v>47</v>
      </c>
    </row>
    <row r="10787" customFormat="false" ht="15" hidden="false" customHeight="false" outlineLevel="0" collapsed="false">
      <c r="A10787" s="0" t="s">
        <v>867</v>
      </c>
      <c r="B10787" s="0" t="s">
        <v>98</v>
      </c>
      <c r="D10787" s="6" t="n">
        <f aca="false">Sens!D10763</f>
        <v>72.61</v>
      </c>
      <c r="E10787" s="6" t="n">
        <f aca="false">Sens!E10763</f>
        <v>101.938</v>
      </c>
      <c r="F10787" s="6" t="n">
        <f aca="false">Sens!F10763</f>
        <v>140.741861125673</v>
      </c>
      <c r="G10787" s="6" t="n">
        <f aca="false">Sens!G10763</f>
        <v>182.176709135845</v>
      </c>
      <c r="H10787" s="6" t="n">
        <f aca="false">Sens!H10763</f>
        <v>219.167638189678</v>
      </c>
      <c r="I10787" s="6" t="n">
        <f aca="false">Sens!I10763</f>
        <v>259.639871266006</v>
      </c>
      <c r="J10787" s="6" t="n">
        <f aca="false">Sens!J10763</f>
        <v>291.324070960333</v>
      </c>
      <c r="K10787" s="6" t="n">
        <f aca="false">Sens!K10763</f>
        <v>314.145754363688</v>
      </c>
    </row>
    <row r="10788" customFormat="false" ht="17.15" hidden="false" customHeight="false" outlineLevel="0" collapsed="false">
      <c r="A10788" s="0" t="s">
        <v>864</v>
      </c>
      <c r="B10788" s="0" t="s">
        <v>98</v>
      </c>
      <c r="D10788" s="6" t="n">
        <f aca="false">Sens!D10760</f>
        <v>12.9359794422418</v>
      </c>
      <c r="E10788" s="6" t="n">
        <f aca="false">Sens!E10760</f>
        <v>27.8095064661409</v>
      </c>
      <c r="F10788" s="6" t="n">
        <f aca="false">Sens!F10760</f>
        <v>50.6619113883066</v>
      </c>
      <c r="G10788" s="6" t="n">
        <f aca="false">Sens!G10760</f>
        <v>75.1482839325348</v>
      </c>
      <c r="H10788" s="6" t="n">
        <f aca="false">Sens!H10760</f>
        <v>94.895655604042</v>
      </c>
      <c r="I10788" s="6" t="n">
        <f aca="false">Sens!I10760</f>
        <v>118.706168884151</v>
      </c>
      <c r="J10788" s="6" t="n">
        <f aca="false">Sens!J10760</f>
        <v>135.305203646001</v>
      </c>
      <c r="K10788" s="6" t="n">
        <f aca="false">Sens!K10760</f>
        <v>145.64537766421</v>
      </c>
    </row>
    <row r="10789" customFormat="false" ht="17.15" hidden="false" customHeight="false" outlineLevel="0" collapsed="false">
      <c r="A10789" s="0" t="s">
        <v>892</v>
      </c>
      <c r="B10789" s="0" t="s">
        <v>98</v>
      </c>
      <c r="D10789" s="6" t="n">
        <f aca="false">Sens!D10761</f>
        <v>59.6740205577583</v>
      </c>
      <c r="E10789" s="6" t="n">
        <f aca="false">Sens!E10761</f>
        <v>74.1284935338591</v>
      </c>
      <c r="F10789" s="6" t="n">
        <f aca="false">Sens!F10761</f>
        <v>90.0799497373663</v>
      </c>
      <c r="G10789" s="6" t="n">
        <f aca="false">Sens!G10761</f>
        <v>107.02842520331</v>
      </c>
      <c r="H10789" s="6" t="n">
        <f aca="false">Sens!H10761</f>
        <v>124.271982585636</v>
      </c>
      <c r="I10789" s="6" t="n">
        <f aca="false">Sens!I10761</f>
        <v>140.933702381855</v>
      </c>
      <c r="J10789" s="6" t="n">
        <f aca="false">Sens!J10761</f>
        <v>156.018867314332</v>
      </c>
      <c r="K10789" s="6" t="n">
        <f aca="false">Sens!K10761</f>
        <v>168.500376699478</v>
      </c>
    </row>
    <row r="10790" customFormat="false" ht="15" hidden="false" customHeight="false" outlineLevel="0" collapsed="false">
      <c r="A10790" s="0" t="s">
        <v>873</v>
      </c>
      <c r="B10790" s="0" t="s">
        <v>98</v>
      </c>
      <c r="D10790" s="6" t="n">
        <f aca="false">Sens!D10768</f>
        <v>84.605</v>
      </c>
      <c r="E10790" s="6" t="n">
        <f aca="false">Sens!E10768</f>
        <v>100.299</v>
      </c>
      <c r="F10790" s="6" t="n">
        <f aca="false">Sens!F10768</f>
        <v>117.39238776686</v>
      </c>
      <c r="G10790" s="6" t="n">
        <f aca="false">Sens!G10768</f>
        <v>132.544168448684</v>
      </c>
      <c r="H10790" s="6" t="n">
        <f aca="false">Sens!H10768</f>
        <v>147.777359388781</v>
      </c>
      <c r="I10790" s="6" t="n">
        <f aca="false">Sens!I10768</f>
        <v>162.084028071957</v>
      </c>
      <c r="J10790" s="6" t="n">
        <f aca="false">Sens!J10768</f>
        <v>175.182702785465</v>
      </c>
      <c r="K10790" s="6" t="n">
        <f aca="false">Sens!K10768</f>
        <v>187.527991980448</v>
      </c>
    </row>
    <row r="10791" customFormat="false" ht="17.15" hidden="false" customHeight="false" outlineLevel="0" collapsed="false">
      <c r="A10791" s="0" t="s">
        <v>893</v>
      </c>
      <c r="B10791" s="0" t="s">
        <v>98</v>
      </c>
      <c r="D10791" s="6" t="n">
        <f aca="false">Sens!D10766</f>
        <v>83.705</v>
      </c>
      <c r="E10791" s="6" t="n">
        <f aca="false">Sens!E10766</f>
        <v>95.049</v>
      </c>
      <c r="F10791" s="6" t="n">
        <f aca="false">Sens!F10766</f>
        <v>106.89238776686</v>
      </c>
      <c r="G10791" s="6" t="n">
        <f aca="false">Sens!G10766</f>
        <v>119.044168448684</v>
      </c>
      <c r="H10791" s="6" t="n">
        <f aca="false">Sens!H10766</f>
        <v>131.277359388781</v>
      </c>
      <c r="I10791" s="6" t="n">
        <f aca="false">Sens!I10766</f>
        <v>143.334028071957</v>
      </c>
      <c r="J10791" s="6" t="n">
        <f aca="false">Sens!J10766</f>
        <v>154.932702785465</v>
      </c>
      <c r="K10791" s="6" t="n">
        <f aca="false">Sens!K10766</f>
        <v>165.777991980448</v>
      </c>
    </row>
    <row r="10792" customFormat="false" ht="17.15" hidden="false" customHeight="false" outlineLevel="0" collapsed="false">
      <c r="A10792" s="0" t="s">
        <v>894</v>
      </c>
      <c r="B10792" s="0" t="s">
        <v>98</v>
      </c>
      <c r="D10792" s="6" t="n">
        <f aca="false">Sens!D10765</f>
        <v>0.9</v>
      </c>
      <c r="E10792" s="6" t="n">
        <f aca="false">Sens!E10765</f>
        <v>5.25</v>
      </c>
      <c r="F10792" s="6" t="n">
        <f aca="false">Sens!F10765</f>
        <v>10.5</v>
      </c>
      <c r="G10792" s="6" t="n">
        <f aca="false">Sens!G10765</f>
        <v>13.5</v>
      </c>
      <c r="H10792" s="6" t="n">
        <f aca="false">Sens!H10765</f>
        <v>16.5</v>
      </c>
      <c r="I10792" s="6" t="n">
        <f aca="false">Sens!I10765</f>
        <v>18.75</v>
      </c>
      <c r="J10792" s="6" t="n">
        <f aca="false">Sens!J10765</f>
        <v>20.25</v>
      </c>
      <c r="K10792" s="6" t="n">
        <f aca="false">Sens!K10765</f>
        <v>21.75</v>
      </c>
    </row>
    <row r="10793" customFormat="false" ht="15" hidden="false" customHeight="false" outlineLevel="0" collapsed="false">
      <c r="A10793" s="0" t="s">
        <v>874</v>
      </c>
      <c r="B10793" s="0" t="s">
        <v>98</v>
      </c>
      <c r="D10793" s="6" t="n">
        <f aca="false">Sens!D10769</f>
        <v>35.391</v>
      </c>
      <c r="E10793" s="6" t="n">
        <f aca="false">Sens!E10769</f>
        <v>37.285</v>
      </c>
      <c r="F10793" s="6" t="n">
        <f aca="false">Sens!F10769</f>
        <v>39.0720834331704</v>
      </c>
      <c r="G10793" s="6" t="n">
        <f aca="false">Sens!G10769</f>
        <v>40.726562953769</v>
      </c>
      <c r="H10793" s="6" t="n">
        <f aca="false">Sens!H10769</f>
        <v>42.2235987259198</v>
      </c>
      <c r="I10793" s="6" t="n">
        <f aca="false">Sens!I10769</f>
        <v>43.5397988077414</v>
      </c>
      <c r="J10793" s="6" t="n">
        <f aca="false">Sens!J10769</f>
        <v>44.653811225693</v>
      </c>
      <c r="K10793" s="6" t="n">
        <f aca="false">Sens!K10769</f>
        <v>45.5468874502068</v>
      </c>
    </row>
    <row r="10794" customFormat="false" ht="15" hidden="false" customHeight="false" outlineLevel="0" collapsed="false">
      <c r="A10794" s="0" t="s">
        <v>875</v>
      </c>
      <c r="B10794" s="0" t="s">
        <v>98</v>
      </c>
      <c r="D10794" s="6" t="n">
        <f aca="false">Sens!D10771</f>
        <v>18.417</v>
      </c>
      <c r="E10794" s="6" t="n">
        <f aca="false">Sens!E10771</f>
        <v>20.345</v>
      </c>
      <c r="F10794" s="6" t="n">
        <f aca="false">Sens!F10771</f>
        <v>22.3572203267814</v>
      </c>
      <c r="G10794" s="6" t="n">
        <f aca="false">Sens!G10771</f>
        <v>24.4392124437232</v>
      </c>
      <c r="H10794" s="6" t="n">
        <f aca="false">Sens!H10771</f>
        <v>26.5738052080665</v>
      </c>
      <c r="I10794" s="6" t="n">
        <f aca="false">Sens!I10771</f>
        <v>28.7412169166967</v>
      </c>
      <c r="J10794" s="6" t="n">
        <f aca="false">Sens!J10771</f>
        <v>30.9192545395413</v>
      </c>
      <c r="K10794" s="6" t="n">
        <f aca="false">Sens!K10771</f>
        <v>33.0836023573092</v>
      </c>
    </row>
    <row r="10795" customFormat="false" ht="15" hidden="false" customHeight="false" outlineLevel="0" collapsed="false">
      <c r="A10795" s="0" t="s">
        <v>876</v>
      </c>
      <c r="B10795" s="0" t="s">
        <v>98</v>
      </c>
      <c r="D10795" s="6" t="n">
        <f aca="false">Sens!D10773</f>
        <v>7.76</v>
      </c>
      <c r="E10795" s="6" t="n">
        <f aca="false">Sens!E10773</f>
        <v>8.26</v>
      </c>
      <c r="F10795" s="6" t="n">
        <f aca="false">Sens!F10773</f>
        <v>8.79988041237113</v>
      </c>
      <c r="G10795" s="6" t="n">
        <f aca="false">Sens!G10773</f>
        <v>9.38321269125306</v>
      </c>
      <c r="H10795" s="6" t="n">
        <f aca="false">Sens!H10773</f>
        <v>10.0139193587476</v>
      </c>
      <c r="I10795" s="6" t="n">
        <f aca="false">Sens!I10773</f>
        <v>10.6963111830911</v>
      </c>
      <c r="J10795" s="6" t="n">
        <f aca="false">Sens!J10773</f>
        <v>11.4351285534696</v>
      </c>
      <c r="K10795" s="6" t="n">
        <f aca="false">Sens!K10773</f>
        <v>12.2355875522124</v>
      </c>
    </row>
    <row r="10796" customFormat="false" ht="15" hidden="false" customHeight="false" outlineLevel="0" collapsed="false">
      <c r="A10796" s="0" t="s">
        <v>704</v>
      </c>
      <c r="B10796" s="0" t="s">
        <v>98</v>
      </c>
      <c r="D10796" s="6" t="n">
        <f aca="false">Sens!D10775</f>
        <v>218.783</v>
      </c>
      <c r="E10796" s="6" t="n">
        <f aca="false">Sens!E10775</f>
        <v>268.127</v>
      </c>
      <c r="F10796" s="6" t="n">
        <f aca="false">Sens!F10775</f>
        <v>328.363433064856</v>
      </c>
      <c r="G10796" s="6" t="n">
        <f aca="false">Sens!G10775</f>
        <v>389.269865673274</v>
      </c>
      <c r="H10796" s="6" t="n">
        <f aca="false">Sens!H10775</f>
        <v>445.756320871193</v>
      </c>
      <c r="I10796" s="6" t="n">
        <f aca="false">Sens!I10775</f>
        <v>504.701226245492</v>
      </c>
      <c r="J10796" s="6" t="n">
        <f aca="false">Sens!J10775</f>
        <v>553.514968064502</v>
      </c>
      <c r="K10796" s="6" t="n">
        <f aca="false">Sens!K10775</f>
        <v>592.539823703865</v>
      </c>
    </row>
    <row r="10797" customFormat="false" ht="15" hidden="false" customHeight="false" outlineLevel="0" collapsed="false">
      <c r="A10797" s="0" t="s">
        <v>877</v>
      </c>
      <c r="B10797" s="0" t="s">
        <v>98</v>
      </c>
      <c r="D10797" s="6" t="n">
        <f aca="false">Sens!D10776</f>
        <v>22.171</v>
      </c>
      <c r="E10797" s="6" t="n">
        <f aca="false">Sens!E10776</f>
        <v>24.835</v>
      </c>
      <c r="F10797" s="6" t="n">
        <f aca="false">Sens!F10776</f>
        <v>27.6114901218559</v>
      </c>
      <c r="G10797" s="6" t="n">
        <f aca="false">Sens!G10776</f>
        <v>30.4675667338515</v>
      </c>
      <c r="H10797" s="6" t="n">
        <f aca="false">Sens!H10776</f>
        <v>33.3643766955789</v>
      </c>
      <c r="I10797" s="6" t="n">
        <f aca="false">Sens!I10776</f>
        <v>36.2577016533691</v>
      </c>
      <c r="J10797" s="6" t="n">
        <f aca="false">Sens!J10776</f>
        <v>39.0988367952171</v>
      </c>
      <c r="K10797" s="6" t="n">
        <f aca="false">Sens!K10776</f>
        <v>41.8357553708823</v>
      </c>
    </row>
    <row r="10798" customFormat="false" ht="15" hidden="false" customHeight="false" outlineLevel="0" collapsed="false">
      <c r="A10798" s="0" t="s">
        <v>878</v>
      </c>
      <c r="B10798" s="0" t="s">
        <v>98</v>
      </c>
      <c r="D10798" s="6" t="n">
        <f aca="false">Sens!D10778</f>
        <v>23.455</v>
      </c>
      <c r="E10798" s="6" t="n">
        <f aca="false">Sens!E10778</f>
        <v>21.79</v>
      </c>
      <c r="F10798" s="6" t="n">
        <f aca="false">Sens!F10778</f>
        <v>20.6825777908051</v>
      </c>
      <c r="G10798" s="6" t="n">
        <f aca="false">Sens!G10778</f>
        <v>20.0484913708632</v>
      </c>
      <c r="H10798" s="6" t="n">
        <f aca="false">Sens!H10778</f>
        <v>19.8381125629905</v>
      </c>
      <c r="I10798" s="6" t="n">
        <f aca="false">Sens!I10778</f>
        <v>20.0299669735513</v>
      </c>
      <c r="J10798" s="6" t="n">
        <f aca="false">Sens!J10778</f>
        <v>20.6275710652887</v>
      </c>
      <c r="K10798" s="6" t="n">
        <f aca="false">Sens!K10778</f>
        <v>21.6589496185531</v>
      </c>
    </row>
    <row r="10799" customFormat="false" ht="15" hidden="false" customHeight="false" outlineLevel="0" collapsed="false">
      <c r="A10799" s="0" t="s">
        <v>879</v>
      </c>
      <c r="B10799" s="0" t="s">
        <v>98</v>
      </c>
      <c r="D10799" s="6" t="n">
        <f aca="false">Sens!D10780</f>
        <v>17.315</v>
      </c>
      <c r="E10799" s="6" t="n">
        <f aca="false">Sens!E10780</f>
        <v>17.087</v>
      </c>
      <c r="F10799" s="6" t="n">
        <f aca="false">Sens!F10780</f>
        <v>16.9564585436519</v>
      </c>
      <c r="G10799" s="6" t="n">
        <f aca="false">Sens!G10780</f>
        <v>16.9206490624268</v>
      </c>
      <c r="H10799" s="6" t="n">
        <f aca="false">Sens!H10780</f>
        <v>16.9784519149849</v>
      </c>
      <c r="I10799" s="6" t="n">
        <f aca="false">Sens!I10780</f>
        <v>17.1303084701817</v>
      </c>
      <c r="J10799" s="6" t="n">
        <f aca="false">Sens!J10780</f>
        <v>17.3782189407267</v>
      </c>
      <c r="K10799" s="6" t="n">
        <f aca="false">Sens!K10780</f>
        <v>17.7257833195413</v>
      </c>
    </row>
    <row r="10800" customFormat="false" ht="15" hidden="false" customHeight="false" outlineLevel="0" collapsed="false">
      <c r="A10800" s="0" t="s">
        <v>718</v>
      </c>
      <c r="B10800" s="0" t="s">
        <v>98</v>
      </c>
      <c r="D10800" s="6" t="n">
        <f aca="false">Sens!D10782</f>
        <v>62.941</v>
      </c>
      <c r="E10800" s="6" t="n">
        <f aca="false">Sens!E10782</f>
        <v>63.712</v>
      </c>
      <c r="F10800" s="6" t="n">
        <f aca="false">Sens!F10782</f>
        <v>65.2505264563129</v>
      </c>
      <c r="G10800" s="6" t="n">
        <f aca="false">Sens!G10782</f>
        <v>67.4367071671415</v>
      </c>
      <c r="H10800" s="6" t="n">
        <f aca="false">Sens!H10782</f>
        <v>70.1809411735542</v>
      </c>
      <c r="I10800" s="6" t="n">
        <f aca="false">Sens!I10782</f>
        <v>73.4179770971021</v>
      </c>
      <c r="J10800" s="6" t="n">
        <f aca="false">Sens!J10782</f>
        <v>77.1046268012325</v>
      </c>
      <c r="K10800" s="6" t="n">
        <f aca="false">Sens!K10782</f>
        <v>81.2204883089766</v>
      </c>
    </row>
    <row r="10801" customFormat="false" ht="15" hidden="false" customHeight="false" outlineLevel="0" collapsed="false">
      <c r="A10801" s="1" t="s">
        <v>895</v>
      </c>
      <c r="B10801" s="0" t="s">
        <v>98</v>
      </c>
      <c r="D10801" s="6" t="n">
        <f aca="false">Sens!D10783</f>
        <v>281.724</v>
      </c>
      <c r="E10801" s="6" t="n">
        <f aca="false">Sens!E10783</f>
        <v>331.839</v>
      </c>
      <c r="F10801" s="6" t="n">
        <f aca="false">Sens!F10783</f>
        <v>393.613959521169</v>
      </c>
      <c r="G10801" s="6" t="n">
        <f aca="false">Sens!G10783</f>
        <v>456.706572840415</v>
      </c>
      <c r="H10801" s="6" t="n">
        <f aca="false">Sens!H10783</f>
        <v>515.937262044747</v>
      </c>
      <c r="I10801" s="6" t="n">
        <f aca="false">Sens!I10783</f>
        <v>578.119203342595</v>
      </c>
      <c r="J10801" s="6" t="n">
        <f aca="false">Sens!J10783</f>
        <v>630.619594865734</v>
      </c>
      <c r="K10801" s="6" t="n">
        <f aca="false">Sens!K10783</f>
        <v>673.760312012841</v>
      </c>
    </row>
    <row r="10802" customFormat="false" ht="15" hidden="false" customHeight="false" outlineLevel="0" collapsed="false">
      <c r="A10802" s="1" t="s">
        <v>896</v>
      </c>
      <c r="B10802" s="0" t="s">
        <v>129</v>
      </c>
      <c r="E10802" s="7" t="n">
        <f aca="false">Sens!E10801/Sens!D10801-1</f>
        <v>0.177886867998467</v>
      </c>
      <c r="F10802" s="7" t="n">
        <f aca="false">Sens!F10801/Sens!E10801-1</f>
        <v>0.186159431293997</v>
      </c>
      <c r="G10802" s="7" t="n">
        <f aca="false">Sens!G10801/Sens!F10801-1</f>
        <v>0.160290588768749</v>
      </c>
      <c r="H10802" s="7" t="n">
        <f aca="false">Sens!H10801/Sens!G10801-1</f>
        <v>0.129690905992344</v>
      </c>
      <c r="I10802" s="7" t="n">
        <f aca="false">Sens!I10801/Sens!H10801-1</f>
        <v>0.120522291899231</v>
      </c>
      <c r="J10802" s="7" t="n">
        <f aca="false">Sens!J10801/Sens!I10801-1</f>
        <v>0.0908123985842204</v>
      </c>
      <c r="K10802" s="7" t="n">
        <f aca="false">Sens!K10801/Sens!J10801-1</f>
        <v>0.068410048622565</v>
      </c>
    </row>
    <row r="10803" customFormat="false" ht="17.15" hidden="false" customHeight="false" outlineLevel="0" collapsed="false">
      <c r="A10803" s="23" t="s">
        <v>897</v>
      </c>
      <c r="B10803" s="30" t="s">
        <v>98</v>
      </c>
      <c r="C10803" s="30"/>
      <c r="D10803" s="24" t="n">
        <f aca="false">(Sens!D10796+Sens!D10800-Sens!D10801)+(Sens!D10788+Sens!D10789-Sens!D10787)+(Sens!D10791+Sens!D10792-Sens!D10790)+(Sens!D10801-Q!L18)</f>
        <v>0</v>
      </c>
      <c r="E10803" s="24" t="n">
        <f aca="false">(Sens!E10796+Sens!E10800-Sens!E10801)+(Sens!E10788+Sens!E10789-Sens!E10787)+(Sens!E10791+Sens!E10792-Sens!E10790)+(Sens!E10801-Q!M18)</f>
        <v>0</v>
      </c>
      <c r="F10803" s="24" t="n">
        <f aca="false">(Sens!F10796+Sens!F10800-Sens!F10801)+(Sens!F10788+Sens!F10789-Sens!F10787)+(Sens!F10791+Sens!F10792-Sens!F10790)</f>
        <v>0</v>
      </c>
      <c r="G10803" s="24" t="n">
        <f aca="false">(Sens!G10796+Sens!G10800-Sens!G10801)+(Sens!G10788+Sens!G10789-Sens!G10787)+(Sens!G10791+Sens!G10792-Sens!G10790)</f>
        <v>0</v>
      </c>
      <c r="H10803" s="24" t="n">
        <f aca="false">(Sens!H10796+Sens!H10800-Sens!H10801)+(Sens!H10788+Sens!H10789-Sens!H10787)+(Sens!H10791+Sens!H10792-Sens!H10790)</f>
        <v>0</v>
      </c>
      <c r="I10803" s="24" t="n">
        <f aca="false">(Sens!I10796+Sens!I10800-Sens!I10801)+(Sens!I10788+Sens!I10789-Sens!I10787)+(Sens!I10791+Sens!I10792-Sens!I10790)</f>
        <v>0</v>
      </c>
      <c r="J10803" s="24" t="n">
        <f aca="false">(Sens!J10796+Sens!J10800-Sens!J10801)+(Sens!J10788+Sens!J10789-Sens!J10787)+(Sens!J10791+Sens!J10792-Sens!J10790)</f>
        <v>0</v>
      </c>
      <c r="K10803" s="24" t="n">
        <f aca="false">(Sens!K10796+Sens!K10800-Sens!K10801)+(Sens!K10788+Sens!K10789-Sens!K10787)+(Sens!K10791+Sens!K10792-Sens!K10790)</f>
        <v>0</v>
      </c>
    </row>
    <row r="10804" customFormat="false" ht="17.15" hidden="false" customHeight="false" outlineLevel="0" collapsed="false">
      <c r="A10804" s="0" t="s">
        <v>898</v>
      </c>
      <c r="B10804" s="0" t="s">
        <v>129</v>
      </c>
      <c r="E10804" s="7" t="n">
        <f aca="false">(Q!M21+Sens!E10741+Sens!E10742+Sens!E10743+Sens!E10756-Sens!E10739)/(Q!M5-Sens!E10739)</f>
        <v>0.570957350878296</v>
      </c>
      <c r="F10804" s="7" t="n">
        <f aca="false">Sens!$E$10804+dm_seg</f>
        <v>0.570957350878296</v>
      </c>
      <c r="G10804" s="7" t="n">
        <f aca="false">Sens!$E$10804+dm_seg</f>
        <v>0.570957350878296</v>
      </c>
      <c r="H10804" s="7" t="n">
        <f aca="false">Sens!$E$10804+dm_seg</f>
        <v>0.570957350878296</v>
      </c>
      <c r="I10804" s="7" t="n">
        <f aca="false">Sens!$E$10804+dm_seg</f>
        <v>0.570957350878296</v>
      </c>
      <c r="J10804" s="7" t="n">
        <f aca="false">Sens!$E$10804+dm_seg</f>
        <v>0.570957350878296</v>
      </c>
      <c r="K10804" s="7" t="n">
        <f aca="false">Sens!$E$10804+dm_seg</f>
        <v>0.570957350878296</v>
      </c>
      <c r="L10804" s="11" t="s">
        <v>899</v>
      </c>
    </row>
    <row r="10805" customFormat="false" ht="17.15" hidden="false" customHeight="false" outlineLevel="0" collapsed="false">
      <c r="A10805" s="0" t="s">
        <v>732</v>
      </c>
      <c r="B10805" s="0" t="s">
        <v>98</v>
      </c>
      <c r="D10805" s="6" t="n">
        <f aca="false">Q!L21</f>
        <v>110.814</v>
      </c>
      <c r="E10805" s="6" t="n">
        <f aca="false">Q!M21</f>
        <v>136.365</v>
      </c>
      <c r="F10805" s="6" t="n">
        <f aca="false">Sens!F10804*(Sens!F10775-Sens!F10739)+Sens!F10739-(Sens!F10741+Sens!F10742+Sens!F10743)-Sens!F10756</f>
        <v>152.327377082477</v>
      </c>
      <c r="G10805" s="6" t="n">
        <f aca="false">Sens!G10804*(Sens!G10775-Sens!G10739)+Sens!G10739-(Sens!G10741+Sens!G10742+Sens!G10743)-Sens!G10756</f>
        <v>160.284703651175</v>
      </c>
      <c r="H10805" s="6" t="n">
        <f aca="false">Sens!H10804*(Sens!H10775-Sens!H10739)+Sens!H10739-(Sens!H10741+Sens!H10742+Sens!H10743)-Sens!H10756</f>
        <v>162.575944074207</v>
      </c>
      <c r="I10805" s="6" t="n">
        <f aca="false">Sens!I10804*(Sens!I10775-Sens!I10739)+Sens!I10739-(Sens!I10741+Sens!I10742+Sens!I10743)-Sens!I10756</f>
        <v>172.502166975583</v>
      </c>
      <c r="J10805" s="6" t="n">
        <f aca="false">Sens!J10804*(Sens!J10775-Sens!J10739)+Sens!J10739-(Sens!J10741+Sens!J10742+Sens!J10743)-Sens!J10756</f>
        <v>183.761487999622</v>
      </c>
      <c r="K10805" s="6" t="n">
        <f aca="false">Sens!K10804*(Sens!K10775-Sens!K10739)+Sens!K10739-(Sens!K10741+Sens!K10742+Sens!K10743)-Sens!K10756</f>
        <v>196.507731051078</v>
      </c>
      <c r="L10805" s="1" t="s">
        <v>900</v>
      </c>
    </row>
    <row r="10806" customFormat="false" ht="17.15" hidden="false" customHeight="false" outlineLevel="0" collapsed="false">
      <c r="A10806" s="0" t="s">
        <v>901</v>
      </c>
      <c r="B10806" s="0" t="s">
        <v>129</v>
      </c>
      <c r="E10806" s="7" t="n">
        <f aca="false">Q!M22/Q!M12</f>
        <v>0.296207935710698</v>
      </c>
      <c r="F10806" s="7" t="n">
        <f aca="false">Sens!$E$10806+dm_seg</f>
        <v>0.296207935710698</v>
      </c>
      <c r="G10806" s="7" t="n">
        <f aca="false">Sens!$E$10806+dm_seg</f>
        <v>0.296207935710698</v>
      </c>
      <c r="H10806" s="7" t="n">
        <f aca="false">Sens!$E$10806+dm_seg</f>
        <v>0.296207935710698</v>
      </c>
      <c r="I10806" s="7" t="n">
        <f aca="false">Sens!$E$10806+dm_seg</f>
        <v>0.296207935710698</v>
      </c>
      <c r="J10806" s="7" t="n">
        <f aca="false">Sens!$E$10806+dm_seg</f>
        <v>0.296207935710698</v>
      </c>
      <c r="K10806" s="7" t="n">
        <f aca="false">Sens!$E$10806+dm_seg</f>
        <v>0.296207935710698</v>
      </c>
      <c r="L10806" s="11" t="s">
        <v>902</v>
      </c>
    </row>
    <row r="10807" customFormat="false" ht="17.15" hidden="false" customHeight="false" outlineLevel="0" collapsed="false">
      <c r="A10807" s="0" t="s">
        <v>734</v>
      </c>
      <c r="B10807" s="0" t="s">
        <v>98</v>
      </c>
      <c r="D10807" s="6" t="n">
        <f aca="false">Q!L22</f>
        <v>17.714</v>
      </c>
      <c r="E10807" s="6" t="n">
        <f aca="false">Q!M22</f>
        <v>18.872</v>
      </c>
      <c r="F10807" s="6" t="n">
        <f aca="false">Sens!F10782*Sens!F10806</f>
        <v>19.3277237456607</v>
      </c>
      <c r="G10807" s="6" t="n">
        <f aca="false">Sens!G10782*Sens!G10806</f>
        <v>19.9752878211058</v>
      </c>
      <c r="H10807" s="6" t="n">
        <f aca="false">Sens!H10782*Sens!H10806</f>
        <v>20.7881517112524</v>
      </c>
      <c r="I10807" s="6" t="n">
        <f aca="false">Sens!I10782*Sens!I10806</f>
        <v>21.7469874399879</v>
      </c>
      <c r="J10807" s="6" t="n">
        <f aca="false">Sens!J10782*Sens!J10806</f>
        <v>22.8390023385368</v>
      </c>
      <c r="K10807" s="6" t="n">
        <f aca="false">Sens!K10782*Sens!K10806</f>
        <v>24.0581531794169</v>
      </c>
    </row>
    <row r="10808" customFormat="false" ht="15" hidden="false" customHeight="false" outlineLevel="0" collapsed="false">
      <c r="A10808" s="1" t="s">
        <v>903</v>
      </c>
      <c r="B10808" s="0" t="s">
        <v>98</v>
      </c>
      <c r="D10808" s="6" t="n">
        <f aca="false">Sens!D10805+Sens!D10807</f>
        <v>128.528</v>
      </c>
      <c r="E10808" s="6" t="n">
        <f aca="false">Sens!E10805+Sens!E10807</f>
        <v>155.237</v>
      </c>
      <c r="F10808" s="6" t="n">
        <f aca="false">Sens!F10805+Sens!F10807</f>
        <v>171.655100828137</v>
      </c>
      <c r="G10808" s="6" t="n">
        <f aca="false">Sens!G10805+Sens!G10807</f>
        <v>180.259991472281</v>
      </c>
      <c r="H10808" s="6" t="n">
        <f aca="false">Sens!H10805+Sens!H10807</f>
        <v>183.364095785459</v>
      </c>
      <c r="I10808" s="6" t="n">
        <f aca="false">Sens!I10805+Sens!I10807</f>
        <v>194.249154415571</v>
      </c>
      <c r="J10808" s="6" t="n">
        <f aca="false">Sens!J10805+Sens!J10807</f>
        <v>206.600490338159</v>
      </c>
      <c r="K10808" s="6" t="n">
        <f aca="false">Sens!K10805+Sens!K10807</f>
        <v>220.565884230495</v>
      </c>
    </row>
    <row r="10809" customFormat="false" ht="15" hidden="false" customHeight="false" outlineLevel="0" collapsed="false">
      <c r="A10809" s="23" t="s">
        <v>904</v>
      </c>
      <c r="B10809" s="30" t="s">
        <v>98</v>
      </c>
      <c r="C10809" s="30"/>
      <c r="D10809" s="24" t="n">
        <f aca="false">Sens!D10808-Q!L23</f>
        <v>0</v>
      </c>
      <c r="E10809" s="24" t="n">
        <f aca="false">Sens!E10808-Q!M23</f>
        <v>0</v>
      </c>
      <c r="F10809" s="30"/>
      <c r="G10809" s="30"/>
      <c r="H10809" s="30"/>
      <c r="I10809" s="30"/>
      <c r="J10809" s="30"/>
      <c r="K10809" s="30"/>
    </row>
    <row r="10810" customFormat="false" ht="15" hidden="false" customHeight="false" outlineLevel="0" collapsed="false">
      <c r="A10810" s="1" t="s">
        <v>905</v>
      </c>
      <c r="B10810" s="0" t="s">
        <v>129</v>
      </c>
      <c r="D10810" s="7" t="n">
        <f aca="false">Sens!D10808/Sens!D10801</f>
        <v>0.456219562408598</v>
      </c>
      <c r="E10810" s="7" t="n">
        <f aca="false">Sens!E10808/Sens!E10801</f>
        <v>0.467808184089272</v>
      </c>
      <c r="F10810" s="7" t="n">
        <f aca="false">Sens!F10808/Sens!F10801</f>
        <v>0.436100134855369</v>
      </c>
      <c r="G10810" s="7" t="n">
        <f aca="false">Sens!G10808/Sens!G10801</f>
        <v>0.394695417565773</v>
      </c>
      <c r="H10810" s="7" t="n">
        <f aca="false">Sens!H10808/Sens!H10801</f>
        <v>0.355399986150944</v>
      </c>
      <c r="I10810" s="7" t="n">
        <f aca="false">Sens!I10808/Sens!I10801</f>
        <v>0.336001906341206</v>
      </c>
      <c r="J10810" s="7" t="n">
        <f aca="false">Sens!J10808/Sens!J10801</f>
        <v>0.327615082087874</v>
      </c>
      <c r="K10810" s="7" t="n">
        <f aca="false">Sens!K10808/Sens!K10801</f>
        <v>0.327365504168033</v>
      </c>
    </row>
    <row r="10811" customFormat="false" ht="17.15" hidden="false" customHeight="false" outlineLevel="0" collapsed="false">
      <c r="A10811" s="1" t="s">
        <v>906</v>
      </c>
      <c r="B10811" s="0" t="s">
        <v>98</v>
      </c>
      <c r="F10811" s="6" t="n">
        <f aca="false">Sens!F10826</f>
        <v>20.7922544923746</v>
      </c>
      <c r="G10811" s="6" t="n">
        <f aca="false">Sens!G10826</f>
        <v>37.7052575228648</v>
      </c>
      <c r="H10811" s="6" t="n">
        <f aca="false">Sens!H10826</f>
        <v>55.9707166463052</v>
      </c>
      <c r="I10811" s="6" t="n">
        <f aca="false">Sens!I10826</f>
        <v>72.386177414753</v>
      </c>
      <c r="J10811" s="6" t="n">
        <f aca="false">Sens!J10826</f>
        <v>83.8561542203386</v>
      </c>
      <c r="K10811" s="6" t="n">
        <f aca="false">Sens!K10826</f>
        <v>90.6046701138278</v>
      </c>
      <c r="L10811" s="1" t="s">
        <v>907</v>
      </c>
    </row>
    <row r="10812" customFormat="false" ht="17.15" hidden="false" customHeight="false" outlineLevel="0" collapsed="false">
      <c r="A10812" s="1" t="s">
        <v>908</v>
      </c>
      <c r="B10812" s="0" t="s">
        <v>98</v>
      </c>
      <c r="D10812" s="6" t="n">
        <f aca="false">Sens!D10808</f>
        <v>128.528</v>
      </c>
      <c r="E10812" s="6" t="n">
        <f aca="false">Sens!E10808</f>
        <v>155.237</v>
      </c>
      <c r="F10812" s="6" t="n">
        <f aca="false">Sens!F10808+Sens!F10811</f>
        <v>192.447355320512</v>
      </c>
      <c r="G10812" s="6" t="n">
        <f aca="false">Sens!G10808+Sens!G10811</f>
        <v>217.965248995146</v>
      </c>
      <c r="H10812" s="6" t="n">
        <f aca="false">Sens!H10808+Sens!H10811</f>
        <v>239.334812431764</v>
      </c>
      <c r="I10812" s="6" t="n">
        <f aca="false">Sens!I10808+Sens!I10811</f>
        <v>266.635331830324</v>
      </c>
      <c r="J10812" s="6" t="n">
        <f aca="false">Sens!J10808+Sens!J10811</f>
        <v>290.456644558498</v>
      </c>
      <c r="K10812" s="6" t="n">
        <f aca="false">Sens!K10808+Sens!K10811</f>
        <v>311.170554344323</v>
      </c>
    </row>
    <row r="10813" customFormat="false" ht="17.15" hidden="false" customHeight="false" outlineLevel="0" collapsed="false">
      <c r="A10813" s="1" t="s">
        <v>909</v>
      </c>
      <c r="B10813" s="0" t="s">
        <v>98</v>
      </c>
      <c r="E10813" s="6" t="n">
        <f aca="false">Sens!E10756</f>
        <v>16.3054059770833</v>
      </c>
      <c r="F10813" s="6" t="n">
        <f aca="false">Sens!F10756</f>
        <v>34.7527630808698</v>
      </c>
      <c r="G10813" s="6" t="n">
        <f aca="false">Sens!G10756</f>
        <v>60.5311885103396</v>
      </c>
      <c r="H10813" s="6" t="n">
        <f aca="false">Sens!H10756</f>
        <v>87.7667712431396</v>
      </c>
      <c r="I10813" s="6" t="n">
        <f aca="false">Sens!I10756</f>
        <v>112.011495232221</v>
      </c>
      <c r="J10813" s="6" t="n">
        <f aca="false">Sens!J10756</f>
        <v>129.208166172666</v>
      </c>
      <c r="K10813" s="6" t="n">
        <f aca="false">Sens!K10756</f>
        <v>139.672102054474</v>
      </c>
    </row>
    <row r="10814" customFormat="false" ht="17.15" hidden="false" customHeight="false" outlineLevel="0" collapsed="false">
      <c r="A10814" s="1" t="s">
        <v>910</v>
      </c>
      <c r="B10814" s="0" t="s">
        <v>98</v>
      </c>
      <c r="E10814" s="6" t="n">
        <f aca="false">Sens!E10838</f>
        <v>22.2285940229167</v>
      </c>
      <c r="F10814" s="6" t="n">
        <f aca="false">Sens!F10838</f>
        <v>23.5489961935813</v>
      </c>
      <c r="G10814" s="6" t="n">
        <f aca="false">Sens!G10838</f>
        <v>25.2653199695293</v>
      </c>
      <c r="H10814" s="6" t="n">
        <f aca="false">Sens!H10838</f>
        <v>27.3467517454613</v>
      </c>
      <c r="I10814" s="6" t="n">
        <f aca="false">Sens!I10838</f>
        <v>29.7374005769444</v>
      </c>
      <c r="J10814" s="6" t="n">
        <f aca="false">Sens!J10838</f>
        <v>32.3637524956875</v>
      </c>
      <c r="K10814" s="6" t="n">
        <f aca="false">Sens!K10838</f>
        <v>35.1431946661422</v>
      </c>
    </row>
    <row r="10815" customFormat="false" ht="17.15" hidden="false" customHeight="false" outlineLevel="0" collapsed="false">
      <c r="A10815" s="1" t="s">
        <v>911</v>
      </c>
      <c r="B10815" s="0" t="s">
        <v>98</v>
      </c>
      <c r="D10815" s="6" t="n">
        <f aca="false">Q!L27</f>
        <v>-4.901</v>
      </c>
      <c r="E10815" s="6" t="n">
        <f aca="false">Q!M27</f>
        <v>10.697</v>
      </c>
      <c r="F10815" s="6" t="n">
        <f aca="false">oie_f</f>
        <v>-0.4</v>
      </c>
      <c r="G10815" s="6" t="n">
        <f aca="false">oie_f</f>
        <v>-0.4</v>
      </c>
      <c r="H10815" s="6" t="n">
        <f aca="false">oie_f</f>
        <v>-0.4</v>
      </c>
      <c r="I10815" s="6" t="n">
        <f aca="false">oie_f</f>
        <v>-0.4</v>
      </c>
      <c r="J10815" s="6" t="n">
        <f aca="false">oie_f</f>
        <v>-0.4</v>
      </c>
      <c r="K10815" s="6" t="n">
        <f aca="false">oie_f</f>
        <v>-0.4</v>
      </c>
      <c r="L10815" s="11" t="s">
        <v>912</v>
      </c>
    </row>
    <row r="10816" customFormat="false" ht="15" hidden="false" customHeight="false" outlineLevel="0" collapsed="false">
      <c r="A10816" s="1" t="s">
        <v>913</v>
      </c>
      <c r="B10816" s="0" t="s">
        <v>98</v>
      </c>
      <c r="D10816" s="6" t="n">
        <f aca="false">Sens!D10808+Sens!D10815</f>
        <v>123.627</v>
      </c>
      <c r="E10816" s="6" t="n">
        <f aca="false">Sens!E10808+Sens!E10815</f>
        <v>165.934</v>
      </c>
      <c r="F10816" s="6" t="n">
        <f aca="false">Sens!F10808+Sens!F10815</f>
        <v>171.255100828137</v>
      </c>
      <c r="G10816" s="6" t="n">
        <f aca="false">Sens!G10808+Sens!G10815</f>
        <v>179.859991472281</v>
      </c>
      <c r="H10816" s="6" t="n">
        <f aca="false">Sens!H10808+Sens!H10815</f>
        <v>182.964095785459</v>
      </c>
      <c r="I10816" s="6" t="n">
        <f aca="false">Sens!I10808+Sens!I10815</f>
        <v>193.849154415571</v>
      </c>
      <c r="J10816" s="6" t="n">
        <f aca="false">Sens!J10808+Sens!J10815</f>
        <v>206.200490338159</v>
      </c>
      <c r="K10816" s="6" t="n">
        <f aca="false">Sens!K10808+Sens!K10815</f>
        <v>220.165884230495</v>
      </c>
    </row>
    <row r="10817" customFormat="false" ht="15" hidden="false" customHeight="false" outlineLevel="0" collapsed="false">
      <c r="A10817" s="1" t="s">
        <v>914</v>
      </c>
      <c r="B10817" s="0" t="s">
        <v>98</v>
      </c>
      <c r="D10817" s="6" t="n">
        <f aca="false">Q!L29</f>
        <v>21.795</v>
      </c>
      <c r="E10817" s="6" t="n">
        <f aca="false">Q!M29</f>
        <v>32.185</v>
      </c>
      <c r="F10817" s="6" t="n">
        <f aca="false">Sens!F10816*tax_f</f>
        <v>34.2510201656275</v>
      </c>
      <c r="G10817" s="6" t="n">
        <f aca="false">Sens!G10816*tax_f</f>
        <v>35.9719982944562</v>
      </c>
      <c r="H10817" s="6" t="n">
        <f aca="false">Sens!H10816*tax_f</f>
        <v>36.5928191570918</v>
      </c>
      <c r="I10817" s="6" t="n">
        <f aca="false">Sens!I10816*tax_f</f>
        <v>38.7698308831142</v>
      </c>
      <c r="J10817" s="6" t="n">
        <f aca="false">Sens!J10816*tax_f</f>
        <v>41.2400980676318</v>
      </c>
      <c r="K10817" s="6" t="n">
        <f aca="false">Sens!K10816*tax_f</f>
        <v>44.033176846099</v>
      </c>
    </row>
    <row r="10818" customFormat="false" ht="15" hidden="false" customHeight="false" outlineLevel="0" collapsed="false">
      <c r="A10818" s="1" t="s">
        <v>915</v>
      </c>
      <c r="B10818" s="0" t="s">
        <v>98</v>
      </c>
      <c r="D10818" s="6" t="n">
        <f aca="false">Sens!D10816-Sens!D10817</f>
        <v>101.832</v>
      </c>
      <c r="E10818" s="6" t="n">
        <f aca="false">Sens!E10816-Sens!E10817</f>
        <v>133.749</v>
      </c>
      <c r="F10818" s="6" t="n">
        <f aca="false">Sens!F10816-Sens!F10817</f>
        <v>137.00408066251</v>
      </c>
      <c r="G10818" s="6" t="n">
        <f aca="false">Sens!G10816-Sens!G10817</f>
        <v>143.887993177825</v>
      </c>
      <c r="H10818" s="6" t="n">
        <f aca="false">Sens!H10816-Sens!H10817</f>
        <v>146.371276628367</v>
      </c>
      <c r="I10818" s="6" t="n">
        <f aca="false">Sens!I10816-Sens!I10817</f>
        <v>155.079323532457</v>
      </c>
      <c r="J10818" s="6" t="n">
        <f aca="false">Sens!J10816-Sens!J10817</f>
        <v>164.960392270527</v>
      </c>
      <c r="K10818" s="6" t="n">
        <f aca="false">Sens!K10816-Sens!K10817</f>
        <v>176.132707384396</v>
      </c>
    </row>
    <row r="10819" customFormat="false" ht="17.15" hidden="false" customHeight="false" outlineLevel="0" collapsed="false">
      <c r="A10819" s="1" t="s">
        <v>916</v>
      </c>
      <c r="B10819" s="1" t="s">
        <v>81</v>
      </c>
      <c r="D10819" s="14" t="n">
        <f aca="false">Q!L31</f>
        <v>7.465</v>
      </c>
      <c r="E10819" s="14" t="n">
        <f aca="false">Q!M31</f>
        <v>7.453</v>
      </c>
      <c r="F10819" s="14" t="n">
        <f aca="false">Sens!F10860</f>
        <v>7.4735</v>
      </c>
      <c r="G10819" s="14" t="n">
        <f aca="false">Sens!G10860</f>
        <v>7.5185</v>
      </c>
      <c r="H10819" s="14" t="n">
        <f aca="false">Sens!H10860</f>
        <v>7.55823647786542</v>
      </c>
      <c r="I10819" s="14" t="n">
        <f aca="false">Sens!I10860</f>
        <v>7.58200220188821</v>
      </c>
      <c r="J10819" s="14" t="n">
        <f aca="false">Sens!J10860</f>
        <v>7.59624371300609</v>
      </c>
      <c r="K10819" s="14" t="n">
        <f aca="false">Sens!K10860</f>
        <v>7.61276363070783</v>
      </c>
    </row>
    <row r="10820" customFormat="false" ht="17.15" hidden="false" customHeight="false" outlineLevel="0" collapsed="false">
      <c r="A10820" s="0" t="s">
        <v>917</v>
      </c>
      <c r="B10820" s="0" t="s">
        <v>75</v>
      </c>
      <c r="D10820" s="8" t="n">
        <f aca="false">Sens!D10818/Sens!D10819</f>
        <v>13.641259209645</v>
      </c>
      <c r="E10820" s="8" t="n">
        <f aca="false">Sens!E10818/Sens!E10819</f>
        <v>17.9456594659869</v>
      </c>
      <c r="F10820" s="8" t="n">
        <f aca="false">Sens!F10818/Sens!F10819</f>
        <v>18.3319837643018</v>
      </c>
      <c r="G10820" s="8" t="n">
        <f aca="false">Sens!G10818/Sens!G10819</f>
        <v>19.1378590380827</v>
      </c>
      <c r="H10820" s="8" t="n">
        <f aca="false">Sens!H10818/Sens!H10819</f>
        <v>19.3657974392599</v>
      </c>
      <c r="I10820" s="8" t="n">
        <f aca="false">Sens!I10818/Sens!I10819</f>
        <v>20.4536109860053</v>
      </c>
      <c r="J10820" s="8" t="n">
        <f aca="false">Sens!J10818/Sens!J10819</f>
        <v>21.7160478919451</v>
      </c>
      <c r="K10820" s="8" t="n">
        <f aca="false">Sens!K10818/Sens!K10819</f>
        <v>23.1365002157593</v>
      </c>
      <c r="L10820" s="1" t="s">
        <v>918</v>
      </c>
    </row>
    <row r="10821" customFormat="false" ht="17.15" hidden="false" customHeight="false" outlineLevel="0" collapsed="false">
      <c r="A10821" s="1" t="s">
        <v>919</v>
      </c>
      <c r="B10821" s="0" t="s">
        <v>98</v>
      </c>
      <c r="D10821" s="6" t="n">
        <f aca="false">Sens!D10818</f>
        <v>101.832</v>
      </c>
      <c r="E10821" s="6" t="n">
        <f aca="false">Sens!E10818</f>
        <v>133.749</v>
      </c>
      <c r="F10821" s="6" t="n">
        <f aca="false">Sens!F10818+Sens!F10811*(1-tax_f)</f>
        <v>153.637884256409</v>
      </c>
      <c r="G10821" s="6" t="n">
        <f aca="false">Sens!G10818+Sens!G10811*(1-tax_f)</f>
        <v>174.052199196116</v>
      </c>
      <c r="H10821" s="6" t="n">
        <f aca="false">Sens!H10818+Sens!H10811*(1-tax_f)</f>
        <v>191.147849945411</v>
      </c>
      <c r="I10821" s="6" t="n">
        <f aca="false">Sens!I10818+Sens!I10811*(1-tax_f)</f>
        <v>212.988265464259</v>
      </c>
      <c r="J10821" s="6" t="n">
        <f aca="false">Sens!J10818+Sens!J10811*(1-tax_f)</f>
        <v>232.045315646798</v>
      </c>
      <c r="K10821" s="6" t="n">
        <f aca="false">Sens!K10818+Sens!K10811*(1-tax_f)</f>
        <v>248.616443475458</v>
      </c>
    </row>
    <row r="10822" customFormat="false" ht="17.15" hidden="false" customHeight="false" outlineLevel="0" collapsed="false">
      <c r="A10822" s="0" t="s">
        <v>920</v>
      </c>
      <c r="B10822" s="0" t="s">
        <v>75</v>
      </c>
      <c r="D10822" s="8" t="n">
        <f aca="false">Sens!D10821/Sens!D10819</f>
        <v>13.641259209645</v>
      </c>
      <c r="E10822" s="8" t="n">
        <f aca="false">Sens!E10821/Sens!E10819</f>
        <v>17.9456594659869</v>
      </c>
      <c r="F10822" s="8" t="n">
        <f aca="false">Sens!F10821/Sens!F10819</f>
        <v>20.5576883998675</v>
      </c>
      <c r="G10822" s="8" t="n">
        <f aca="false">Sens!G10821/Sens!G10819</f>
        <v>23.1498569124315</v>
      </c>
      <c r="H10822" s="8" t="n">
        <f aca="false">Sens!H10821/Sens!H10819</f>
        <v>25.2900065385881</v>
      </c>
      <c r="I10822" s="8" t="n">
        <f aca="false">Sens!I10821/Sens!I10819</f>
        <v>28.0912956489537</v>
      </c>
      <c r="J10822" s="8" t="n">
        <f aca="false">Sens!J10821/Sens!J10819</f>
        <v>30.5473763630696</v>
      </c>
      <c r="K10822" s="8" t="n">
        <f aca="false">Sens!K10821/Sens!K10819</f>
        <v>32.6578435290709</v>
      </c>
      <c r="L10822" s="1" t="s">
        <v>921</v>
      </c>
    </row>
    <row r="10823" customFormat="false" ht="17.15" hidden="false" customHeight="false" outlineLevel="0" collapsed="false">
      <c r="A10823" s="0" t="s">
        <v>922</v>
      </c>
      <c r="B10823" s="0" t="s">
        <v>129</v>
      </c>
      <c r="E10823" s="7" t="n">
        <f aca="false">Sens!E10822/Sens!D10822-1</f>
        <v>0.315542736208578</v>
      </c>
      <c r="F10823" s="7" t="n">
        <f aca="false">Sens!F10822/Sens!E10822-1</f>
        <v>0.145552128570772</v>
      </c>
      <c r="G10823" s="7" t="n">
        <f aca="false">Sens!G10822/Sens!F10822-1</f>
        <v>0.126092411857978</v>
      </c>
      <c r="H10823" s="7" t="n">
        <f aca="false">Sens!H10822/Sens!G10822-1</f>
        <v>0.0924476394930669</v>
      </c>
      <c r="I10823" s="7" t="n">
        <f aca="false">Sens!I10822/Sens!H10822-1</f>
        <v>0.110766642392571</v>
      </c>
      <c r="J10823" s="7" t="n">
        <f aca="false">Sens!J10822/Sens!I10822-1</f>
        <v>0.0874320908799877</v>
      </c>
      <c r="K10823" s="7" t="n">
        <f aca="false">Sens!K10822/Sens!J10822-1</f>
        <v>0.069088328271387</v>
      </c>
    </row>
    <row r="10824" customFormat="false" ht="17.15" hidden="false" customHeight="false" outlineLevel="0" collapsed="false">
      <c r="A10824" s="0" t="s">
        <v>846</v>
      </c>
      <c r="B10824" s="0" t="s">
        <v>98</v>
      </c>
      <c r="E10824" s="6" t="n">
        <f aca="false">Sens!E10765</f>
        <v>5.25</v>
      </c>
      <c r="F10824" s="6" t="n">
        <f aca="false">Sens!F10765</f>
        <v>10.5</v>
      </c>
      <c r="G10824" s="6" t="n">
        <f aca="false">Sens!G10765</f>
        <v>13.5</v>
      </c>
      <c r="H10824" s="6" t="n">
        <f aca="false">Sens!H10765</f>
        <v>16.5</v>
      </c>
      <c r="I10824" s="6" t="n">
        <f aca="false">Sens!I10765</f>
        <v>18.75</v>
      </c>
      <c r="J10824" s="6" t="n">
        <f aca="false">Sens!J10765</f>
        <v>20.25</v>
      </c>
      <c r="K10824" s="6" t="n">
        <f aca="false">Sens!K10765</f>
        <v>21.75</v>
      </c>
    </row>
    <row r="10825" customFormat="false" ht="17.15" hidden="false" customHeight="false" outlineLevel="0" collapsed="false">
      <c r="A10825" s="1" t="s">
        <v>847</v>
      </c>
      <c r="B10825" s="0" t="s">
        <v>98</v>
      </c>
      <c r="F10825" s="6" t="n">
        <f aca="false">MAX(0,(Sens!E10728+Sens!F10728)/2*Sens!F10736/1000-Sens!F10824*Sens!F10804)</f>
        <v>20.7922544923746</v>
      </c>
      <c r="G10825" s="6" t="n">
        <f aca="false">MAX(0,(Sens!F10728+Sens!G10728)/2*Sens!G10736/1000-Sens!G10824*Sens!G10804)</f>
        <v>37.7052575228648</v>
      </c>
      <c r="H10825" s="6" t="n">
        <f aca="false">MAX(0,(Sens!G10728+Sens!H10728)/2*Sens!H10736/1000-Sens!H10824*Sens!H10804)</f>
        <v>55.9707166463052</v>
      </c>
      <c r="I10825" s="6" t="n">
        <f aca="false">MAX(0,(Sens!H10728+Sens!I10728)/2*Sens!I10736/1000-Sens!I10824*Sens!I10804)</f>
        <v>72.386177414753</v>
      </c>
      <c r="J10825" s="6" t="n">
        <f aca="false">MAX(0,(Sens!I10728+Sens!J10728)/2*Sens!J10736/1000-Sens!J10824*Sens!J10804)</f>
        <v>83.8561542203386</v>
      </c>
      <c r="K10825" s="6" t="n">
        <f aca="false">MAX(0,(Sens!J10728+Sens!K10728)/2*Sens!K10736/1000-Sens!K10824*Sens!K10804)</f>
        <v>90.6046701138278</v>
      </c>
      <c r="L10825" s="1" t="s">
        <v>848</v>
      </c>
    </row>
    <row r="10826" customFormat="false" ht="17.15" hidden="false" customHeight="false" outlineLevel="0" collapsed="false">
      <c r="A10826" s="1" t="s">
        <v>849</v>
      </c>
      <c r="B10826" s="0" t="s">
        <v>98</v>
      </c>
      <c r="F10826" s="6" t="n">
        <f aca="false">IF(internal_ai_reading=2,1,0)*Sens!F10825</f>
        <v>20.7922544923746</v>
      </c>
      <c r="G10826" s="6" t="n">
        <f aca="false">IF(internal_ai_reading=2,1,0)*Sens!G10825</f>
        <v>37.7052575228648</v>
      </c>
      <c r="H10826" s="6" t="n">
        <f aca="false">IF(internal_ai_reading=2,1,0)*Sens!H10825</f>
        <v>55.9707166463052</v>
      </c>
      <c r="I10826" s="6" t="n">
        <f aca="false">IF(internal_ai_reading=2,1,0)*Sens!I10825</f>
        <v>72.386177414753</v>
      </c>
      <c r="J10826" s="6" t="n">
        <f aca="false">IF(internal_ai_reading=2,1,0)*Sens!J10825</f>
        <v>83.8561542203386</v>
      </c>
      <c r="K10826" s="6" t="n">
        <f aca="false">IF(internal_ai_reading=2,1,0)*Sens!K10825</f>
        <v>90.6046701138278</v>
      </c>
    </row>
    <row r="10827" customFormat="false" ht="17.15" hidden="false" customHeight="false" outlineLevel="0" collapsed="false">
      <c r="A10827" s="0" t="s">
        <v>850</v>
      </c>
      <c r="B10827" s="0" t="s">
        <v>98</v>
      </c>
      <c r="F10827" s="6" t="n">
        <f aca="false">Sens!F10745+Sens!F10824*Sens!F10804+Sens!F10826-Sens!F10746-Sens!F10756</f>
        <v>20.5589586077591</v>
      </c>
      <c r="G10827" s="6" t="n">
        <f aca="false">Sens!G10745+Sens!G10824*Sens!G10804+Sens!G10826-Sens!G10746-Sens!G10756</f>
        <v>26.3478592465041</v>
      </c>
      <c r="H10827" s="6" t="n">
        <f aca="false">Sens!H10745+Sens!H10824*Sens!H10804+Sens!H10826-Sens!H10746-Sens!H10756</f>
        <v>27.6409810416746</v>
      </c>
      <c r="I10827" s="6" t="n">
        <f aca="false">Sens!I10745+Sens!I10824*Sens!I10804+Sens!I10826-Sens!I10746-Sens!I10756</f>
        <v>35.2070793161571</v>
      </c>
      <c r="J10827" s="6" t="n">
        <f aca="false">Sens!J10745+Sens!J10824*Sens!J10804+Sens!J10826-Sens!J10746-Sens!J10756</f>
        <v>40.399589371423</v>
      </c>
      <c r="K10827" s="6" t="n">
        <f aca="false">Sens!K10745+Sens!K10824*Sens!K10804+Sens!K10826-Sens!K10746-Sens!K10756</f>
        <v>44.3730545134843</v>
      </c>
    </row>
    <row r="10828" customFormat="false" ht="17.15" hidden="false" customHeight="false" outlineLevel="0" collapsed="false">
      <c r="A10828" s="0" t="s">
        <v>851</v>
      </c>
      <c r="B10828" s="0" t="s">
        <v>98</v>
      </c>
      <c r="E10828" s="6" t="n">
        <f aca="false">Sens!E10727*(cxit_open+self_build*tk_cxfac)/1000*ai_net_open</f>
        <v>126.6980382</v>
      </c>
      <c r="F10828" s="6" t="n">
        <f aca="false">Sens!E10828+Sens!F10753-Sens!F10756</f>
        <v>260.712659389568</v>
      </c>
      <c r="G10828" s="6" t="n">
        <f aca="false">Sens!F10828+Sens!G10753-Sens!G10756</f>
        <v>383.755651362428</v>
      </c>
      <c r="H10828" s="6" t="n">
        <f aca="false">Sens!G10828+Sens!H10753-Sens!H10756</f>
        <v>484.069166029689</v>
      </c>
      <c r="I10828" s="6" t="n">
        <f aca="false">Sens!H10828+Sens!I10753-Sens!I10756</f>
        <v>535.764339951713</v>
      </c>
      <c r="J10828" s="6" t="n">
        <f aca="false">Sens!I10828+Sens!J10753-Sens!J10756</f>
        <v>531.068650497138</v>
      </c>
      <c r="K10828" s="6" t="n">
        <f aca="false">Sens!J10828+Sens!K10753-Sens!K10756</f>
        <v>506.3559840846</v>
      </c>
      <c r="L10828" s="1" t="s">
        <v>852</v>
      </c>
    </row>
    <row r="10829" customFormat="false" ht="17.15" hidden="false" customHeight="false" outlineLevel="0" collapsed="false">
      <c r="A10829" s="0" t="s">
        <v>853</v>
      </c>
      <c r="B10829" s="0" t="s">
        <v>129</v>
      </c>
      <c r="F10829" s="7" t="n">
        <f aca="false">Sens!F10827*(1-tax_f)/((Sens!E10828+Sens!F10828)/2)</f>
        <v>0.0849081710367832</v>
      </c>
      <c r="G10829" s="7" t="n">
        <f aca="false">Sens!G10827*(1-tax_f)/((Sens!F10828+Sens!G10828)/2)</f>
        <v>0.0654129521825772</v>
      </c>
      <c r="H10829" s="7" t="n">
        <f aca="false">Sens!H10827*(1-tax_f)/((Sens!G10828+Sens!H10828)/2)</f>
        <v>0.0509614023249309</v>
      </c>
      <c r="I10829" s="7" t="n">
        <f aca="false">Sens!I10827*(1-tax_f)/((Sens!H10828+Sens!I10828)/2)</f>
        <v>0.0552358071934917</v>
      </c>
      <c r="J10829" s="7" t="n">
        <f aca="false">Sens!J10827*(1-tax_f)/((Sens!I10828+Sens!J10828)/2)</f>
        <v>0.0605899363564685</v>
      </c>
      <c r="K10829" s="7" t="n">
        <f aca="false">Sens!K10827*(1-tax_f)/((Sens!J10828+Sens!K10828)/2)</f>
        <v>0.0684357059346282</v>
      </c>
    </row>
    <row r="10830" customFormat="false" ht="17.15" hidden="false" customHeight="false" outlineLevel="0" collapsed="false">
      <c r="A10830" s="1" t="s">
        <v>854</v>
      </c>
      <c r="B10830" s="0" t="s">
        <v>129</v>
      </c>
      <c r="F10830" s="7" t="n">
        <f aca="false">(Sens!F10827-Sens!F10826)*(1-tax_f)/((Sens!E10828+Sens!F10828)/2)</f>
        <v>-0.00096350828128216</v>
      </c>
      <c r="G10830" s="7" t="n">
        <f aca="false">(Sens!G10827-Sens!G10826)*(1-tax_f)/((Sens!F10828+Sens!G10828)/2)</f>
        <v>-0.0281966342471878</v>
      </c>
      <c r="H10830" s="7" t="n">
        <f aca="false">(Sens!H10827-Sens!H10826)*(1-tax_f)/((Sens!G10828+Sens!H10828)/2)</f>
        <v>-0.0522312522746492</v>
      </c>
      <c r="I10830" s="7" t="n">
        <f aca="false">(Sens!I10827-Sens!I10826)*(1-tax_f)/((Sens!H10828+Sens!I10828)/2)</f>
        <v>-0.0583296749997527</v>
      </c>
      <c r="J10830" s="7" t="n">
        <f aca="false">(Sens!J10827-Sens!J10826)*(1-tax_f)/((Sens!I10828+Sens!J10828)/2)</f>
        <v>-0.0651746846795686</v>
      </c>
      <c r="K10830" s="7" t="n">
        <f aca="false">(Sens!K10827-Sens!K10826)*(1-tax_f)/((Sens!J10828+Sens!K10828)/2)</f>
        <v>-0.071302128843675</v>
      </c>
    </row>
    <row r="10831" customFormat="false" ht="17.15" hidden="false" customHeight="false" outlineLevel="0" collapsed="false">
      <c r="A10831" s="1" t="s">
        <v>855</v>
      </c>
      <c r="B10831" s="0" t="s">
        <v>129</v>
      </c>
      <c r="F10831" s="7" t="n">
        <f aca="false">(Sens!F10827-Sens!F10826+Sens!F10825)*(1-tax_f)/((Sens!E10828+Sens!F10828)/2)</f>
        <v>0.0849081710367832</v>
      </c>
      <c r="G10831" s="7" t="n">
        <f aca="false">(Sens!G10827-Sens!G10826+Sens!G10825)*(1-tax_f)/((Sens!F10828+Sens!G10828)/2)</f>
        <v>0.0654129521825772</v>
      </c>
      <c r="H10831" s="7" t="n">
        <f aca="false">(Sens!H10827-Sens!H10826+Sens!H10825)*(1-tax_f)/((Sens!G10828+Sens!H10828)/2)</f>
        <v>0.0509614023249309</v>
      </c>
      <c r="I10831" s="7" t="n">
        <f aca="false">(Sens!I10827-Sens!I10826+Sens!I10825)*(1-tax_f)/((Sens!H10828+Sens!I10828)/2)</f>
        <v>0.0552358071934917</v>
      </c>
      <c r="J10831" s="7" t="n">
        <f aca="false">(Sens!J10827-Sens!J10826+Sens!J10825)*(1-tax_f)/((Sens!I10828+Sens!J10828)/2)</f>
        <v>0.0605899363564685</v>
      </c>
      <c r="K10831" s="7" t="n">
        <f aca="false">(Sens!K10827-Sens!K10826+Sens!K10825)*(1-tax_f)/((Sens!J10828+Sens!K10828)/2)</f>
        <v>0.0684357059346282</v>
      </c>
    </row>
    <row r="10832" customFormat="false" ht="17.15" hidden="false" customHeight="false" outlineLevel="0" collapsed="false">
      <c r="A10832" s="1" t="s">
        <v>856</v>
      </c>
      <c r="B10832" s="0" t="s">
        <v>129</v>
      </c>
      <c r="F10832" s="7" t="n">
        <f aca="false">Sens!F10757*(1-tax_f)/(Sens!F10744*(Sens!E10828+Sens!F10828)/2)</f>
        <v>0.0977821060175948</v>
      </c>
      <c r="G10832" s="7" t="n">
        <f aca="false">Sens!G10757*(1-tax_f)/(Sens!G10744*(Sens!F10828+Sens!G10828)/2)</f>
        <v>0.0659221823603952</v>
      </c>
      <c r="H10832" s="7" t="n">
        <f aca="false">Sens!H10757*(1-tax_f)/(Sens!H10744*(Sens!G10828+Sens!H10828)/2)</f>
        <v>0.0387777405523424</v>
      </c>
      <c r="I10832" s="7" t="n">
        <f aca="false">Sens!I10757*(1-tax_f)/(Sens!I10744*(Sens!H10828+Sens!I10828)/2)</f>
        <v>0.0420026795953368</v>
      </c>
      <c r="J10832" s="7" t="n">
        <f aca="false">Sens!J10757*(1-tax_f)/(Sens!J10744*(Sens!I10828+Sens!J10828)/2)</f>
        <v>0.0460495064071308</v>
      </c>
      <c r="K10832" s="7" t="n">
        <f aca="false">Sens!K10757*(1-tax_f)/(Sens!K10744*(Sens!J10828+Sens!K10828)/2)</f>
        <v>0.0523857549992415</v>
      </c>
    </row>
    <row r="10833" customFormat="false" ht="17.15" hidden="false" customHeight="false" outlineLevel="0" collapsed="false">
      <c r="A10833" s="0" t="s">
        <v>857</v>
      </c>
      <c r="B10833" s="0" t="s">
        <v>209</v>
      </c>
      <c r="F10833" s="7" t="n">
        <f aca="false">Sens!F10829-wacc</f>
        <v>-0.0180262490560925</v>
      </c>
      <c r="G10833" s="7" t="n">
        <f aca="false">Sens!G10829-wacc</f>
        <v>-0.0375214679102985</v>
      </c>
      <c r="H10833" s="7" t="n">
        <f aca="false">Sens!H10829-wacc</f>
        <v>-0.0519730177679448</v>
      </c>
      <c r="I10833" s="7" t="n">
        <f aca="false">Sens!I10829-wacc</f>
        <v>-0.0476986128993841</v>
      </c>
      <c r="J10833" s="7" t="n">
        <f aca="false">Sens!J10829-wacc</f>
        <v>-0.0423444837364073</v>
      </c>
      <c r="K10833" s="7" t="n">
        <f aca="false">Sens!K10829-wacc</f>
        <v>-0.0344987141582475</v>
      </c>
    </row>
    <row r="10834" customFormat="false" ht="17.15" hidden="false" customHeight="false" outlineLevel="0" collapsed="false">
      <c r="A10834" s="0" t="s">
        <v>858</v>
      </c>
      <c r="B10834" s="0" t="s">
        <v>98</v>
      </c>
      <c r="F10834" s="6" t="n">
        <f aca="false">Sens!F10827*(1-tax_f)-wacc*(Sens!E10828+Sens!F10828)/2</f>
        <v>-3.49178086087204</v>
      </c>
      <c r="G10834" s="6" t="n">
        <f aca="false">Sens!G10827*(1-tax_f)-wacc*(Sens!F10828+Sens!G10828)/2</f>
        <v>-12.0906985205426</v>
      </c>
      <c r="H10834" s="6" t="n">
        <f aca="false">Sens!H10827*(1-tax_f)-wacc*(Sens!G10828+Sens!H10828)/2</f>
        <v>-22.551737326892</v>
      </c>
      <c r="I10834" s="6" t="n">
        <f aca="false">Sens!I10827*(1-tax_f)-wacc*(Sens!H10828+Sens!I10828)/2</f>
        <v>-24.3223218118143</v>
      </c>
      <c r="J10834" s="6" t="n">
        <f aca="false">Sens!J10827*(1-tax_f)-wacc*(Sens!I10828+Sens!J10828)/2</f>
        <v>-22.587246106762</v>
      </c>
      <c r="K10834" s="6" t="n">
        <f aca="false">Sens!K10827*(1-tax_f)-wacc*(Sens!J10828+Sens!K10828)/2</f>
        <v>-17.8949079645799</v>
      </c>
    </row>
    <row r="10835" customFormat="false" ht="17.15" hidden="false" customHeight="false" outlineLevel="0" collapsed="false">
      <c r="A10835" s="3" t="s">
        <v>1517</v>
      </c>
    </row>
    <row r="10836" customFormat="false" ht="15" hidden="false" customHeight="false" outlineLevel="0" collapsed="false">
      <c r="A10836" s="4" t="s">
        <v>43</v>
      </c>
      <c r="B10836" s="4" t="s">
        <v>65</v>
      </c>
      <c r="C10836" s="20" t="s">
        <v>788</v>
      </c>
      <c r="D10836" s="20" t="s">
        <v>789</v>
      </c>
      <c r="E10836" s="20" t="s">
        <v>790</v>
      </c>
      <c r="F10836" s="20" t="s">
        <v>791</v>
      </c>
      <c r="G10836" s="20" t="s">
        <v>792</v>
      </c>
      <c r="H10836" s="20" t="s">
        <v>793</v>
      </c>
      <c r="I10836" s="20" t="s">
        <v>794</v>
      </c>
      <c r="J10836" s="20" t="s">
        <v>795</v>
      </c>
      <c r="K10836" s="20" t="s">
        <v>796</v>
      </c>
      <c r="L10836" s="4" t="s">
        <v>47</v>
      </c>
    </row>
    <row r="10837" customFormat="false" ht="15" hidden="false" customHeight="false" outlineLevel="0" collapsed="false">
      <c r="A10837" s="1" t="s">
        <v>915</v>
      </c>
      <c r="B10837" s="0" t="s">
        <v>98</v>
      </c>
      <c r="F10837" s="6" t="n">
        <f aca="false">Sens!F10818</f>
        <v>137.00408066251</v>
      </c>
      <c r="G10837" s="6" t="n">
        <f aca="false">Sens!G10818</f>
        <v>143.887993177825</v>
      </c>
      <c r="H10837" s="6" t="n">
        <f aca="false">Sens!H10818</f>
        <v>146.371276628367</v>
      </c>
      <c r="I10837" s="6" t="n">
        <f aca="false">Sens!I10818</f>
        <v>155.079323532457</v>
      </c>
      <c r="J10837" s="6" t="n">
        <f aca="false">Sens!J10818</f>
        <v>164.960392270527</v>
      </c>
      <c r="K10837" s="6" t="n">
        <f aca="false">Sens!K10818</f>
        <v>176.132707384396</v>
      </c>
    </row>
    <row r="10838" customFormat="false" ht="17.15" hidden="false" customHeight="false" outlineLevel="0" collapsed="false">
      <c r="A10838" s="1" t="s">
        <v>937</v>
      </c>
      <c r="B10838" s="0" t="s">
        <v>98</v>
      </c>
      <c r="E10838" s="6" t="n">
        <f aca="false">Q!M38-Sens!E10756</f>
        <v>22.2285940229167</v>
      </c>
      <c r="F10838" s="6" t="n">
        <f aca="false">Sens!E10838*(1-1/life_nonai)+Sens!F10844/life_nonai</f>
        <v>23.5489961935813</v>
      </c>
      <c r="G10838" s="6" t="n">
        <f aca="false">Sens!F10838*(1-1/life_nonai)+Sens!G10844/life_nonai</f>
        <v>25.2653199695293</v>
      </c>
      <c r="H10838" s="6" t="n">
        <f aca="false">Sens!G10838*(1-1/life_nonai)+Sens!H10844/life_nonai</f>
        <v>27.3467517454613</v>
      </c>
      <c r="I10838" s="6" t="n">
        <f aca="false">Sens!H10838*(1-1/life_nonai)+Sens!I10844/life_nonai</f>
        <v>29.7374005769444</v>
      </c>
      <c r="J10838" s="6" t="n">
        <f aca="false">Sens!I10838*(1-1/life_nonai)+Sens!J10844/life_nonai</f>
        <v>32.3637524956875</v>
      </c>
      <c r="K10838" s="6" t="n">
        <f aca="false">Sens!J10838*(1-1/life_nonai)+Sens!K10844/life_nonai</f>
        <v>35.1431946661422</v>
      </c>
      <c r="L10838" s="11" t="s">
        <v>938</v>
      </c>
    </row>
    <row r="10839" customFormat="false" ht="17.15" hidden="false" customHeight="false" outlineLevel="0" collapsed="false">
      <c r="A10839" s="1" t="s">
        <v>939</v>
      </c>
      <c r="B10839" s="0" t="s">
        <v>98</v>
      </c>
      <c r="E10839" s="6" t="n">
        <f aca="false">Sens!E10756+Sens!E10838</f>
        <v>38.534</v>
      </c>
      <c r="F10839" s="6" t="n">
        <f aca="false">Sens!F10756+Sens!F10838</f>
        <v>58.301759274451</v>
      </c>
      <c r="G10839" s="6" t="n">
        <f aca="false">Sens!G10756+Sens!G10838</f>
        <v>85.7965084798689</v>
      </c>
      <c r="H10839" s="6" t="n">
        <f aca="false">Sens!H10756+Sens!H10838</f>
        <v>115.113522988601</v>
      </c>
      <c r="I10839" s="6" t="n">
        <f aca="false">Sens!I10756+Sens!I10838</f>
        <v>141.748895809166</v>
      </c>
      <c r="J10839" s="6" t="n">
        <f aca="false">Sens!J10756+Sens!J10838</f>
        <v>161.571918668353</v>
      </c>
      <c r="K10839" s="6" t="n">
        <f aca="false">Sens!K10756+Sens!K10838</f>
        <v>174.815296720616</v>
      </c>
    </row>
    <row r="10840" customFormat="false" ht="17.15" hidden="false" customHeight="false" outlineLevel="0" collapsed="false">
      <c r="A10840" s="1" t="s">
        <v>940</v>
      </c>
      <c r="B10840" s="0" t="s">
        <v>98</v>
      </c>
      <c r="F10840" s="6" t="n">
        <f aca="false">Sens!F10783*sbc_r</f>
        <v>14.714307745202</v>
      </c>
      <c r="G10840" s="6" t="n">
        <f aca="false">Sens!G10783*sbc_r</f>
        <v>17.072872797005</v>
      </c>
      <c r="H10840" s="6" t="n">
        <f aca="false">Sens!H10783*sbc_r</f>
        <v>19.2870691379407</v>
      </c>
      <c r="I10840" s="6" t="n">
        <f aca="false">Sens!I10783*sbc_r</f>
        <v>21.6115909144642</v>
      </c>
      <c r="J10840" s="6" t="n">
        <f aca="false">Sens!J10783*sbc_r</f>
        <v>23.5741913226276</v>
      </c>
      <c r="K10840" s="6" t="n">
        <f aca="false">Sens!K10783*sbc_r</f>
        <v>25.1869028972462</v>
      </c>
    </row>
    <row r="10841" customFormat="false" ht="17.15" hidden="false" customHeight="false" outlineLevel="0" collapsed="false">
      <c r="A10841" s="1" t="s">
        <v>941</v>
      </c>
      <c r="B10841" s="0" t="s">
        <v>98</v>
      </c>
      <c r="F10841" s="6" t="n">
        <f aca="false">wc27</f>
        <v>-4.895</v>
      </c>
      <c r="G10841" s="6" t="n">
        <f aca="false">wc_f</f>
        <v>0</v>
      </c>
      <c r="H10841" s="6" t="n">
        <f aca="false">wc_f</f>
        <v>0</v>
      </c>
      <c r="I10841" s="6" t="n">
        <f aca="false">wc_f</f>
        <v>0</v>
      </c>
      <c r="J10841" s="6" t="n">
        <f aca="false">wc_f</f>
        <v>0</v>
      </c>
      <c r="K10841" s="6" t="n">
        <f aca="false">wc_f</f>
        <v>0</v>
      </c>
      <c r="L10841" s="11" t="s">
        <v>942</v>
      </c>
    </row>
    <row r="10842" customFormat="false" ht="15" hidden="false" customHeight="false" outlineLevel="0" collapsed="false">
      <c r="A10842" s="1" t="s">
        <v>756</v>
      </c>
      <c r="B10842" s="0" t="s">
        <v>98</v>
      </c>
      <c r="E10842" s="6" t="n">
        <f aca="false">Q!M35</f>
        <v>182.935</v>
      </c>
      <c r="F10842" s="6" t="n">
        <f aca="false">Sens!F10837+Sens!F10839+Sens!F10840+Sens!F10841</f>
        <v>205.125147682163</v>
      </c>
      <c r="G10842" s="6" t="n">
        <f aca="false">Sens!G10837+Sens!G10839+Sens!G10840+Sens!G10841</f>
        <v>246.757374454698</v>
      </c>
      <c r="H10842" s="6" t="n">
        <f aca="false">Sens!H10837+Sens!H10839+Sens!H10840+Sens!H10841</f>
        <v>280.771868754909</v>
      </c>
      <c r="I10842" s="6" t="n">
        <f aca="false">Sens!I10837+Sens!I10839+Sens!I10840+Sens!I10841</f>
        <v>318.439810256087</v>
      </c>
      <c r="J10842" s="6" t="n">
        <f aca="false">Sens!J10837+Sens!J10839+Sens!J10840+Sens!J10841</f>
        <v>350.106502261508</v>
      </c>
      <c r="K10842" s="6" t="n">
        <f aca="false">Sens!K10837+Sens!K10839+Sens!K10840+Sens!K10841</f>
        <v>376.134907002258</v>
      </c>
    </row>
    <row r="10843" customFormat="false" ht="17.15" hidden="false" customHeight="false" outlineLevel="0" collapsed="false">
      <c r="A10843" s="0" t="s">
        <v>943</v>
      </c>
      <c r="B10843" s="0" t="s">
        <v>98</v>
      </c>
      <c r="F10843" s="6" t="n">
        <f aca="false">Sens!F10753</f>
        <v>168.767384270438</v>
      </c>
      <c r="G10843" s="6" t="n">
        <f aca="false">Sens!G10753</f>
        <v>183.5741804832</v>
      </c>
      <c r="H10843" s="6" t="n">
        <f aca="false">Sens!H10753</f>
        <v>188.0802859104</v>
      </c>
      <c r="I10843" s="6" t="n">
        <f aca="false">Sens!I10753</f>
        <v>163.706669154245</v>
      </c>
      <c r="J10843" s="6" t="n">
        <f aca="false">Sens!J10753</f>
        <v>124.51247671809</v>
      </c>
      <c r="K10843" s="6" t="n">
        <f aca="false">Sens!K10753</f>
        <v>114.959435641936</v>
      </c>
    </row>
    <row r="10844" customFormat="false" ht="17.15" hidden="false" customHeight="false" outlineLevel="0" collapsed="false">
      <c r="A10844" s="1" t="s">
        <v>944</v>
      </c>
      <c r="B10844" s="0" t="s">
        <v>98</v>
      </c>
      <c r="E10844" s="6" t="n">
        <f aca="false">Sens!E10761*cx_azo+Sens!E10768*cx_m365+Sens!E10769*cx_lic+(Sens!E10771+Sens!E10773)*cx_ind+Sens!E10776*cx_srch+(Sens!E10778+Sens!E10780)*cx_dev</f>
        <v>30.1846587067718</v>
      </c>
      <c r="F10844" s="6" t="n">
        <f aca="false">Sens!F10761*cx_azo+Sens!F10768*cx_m365+Sens!F10769*cx_lic+(Sens!F10771+Sens!F10773)*cx_ind+Sens!F10776*cx_srch+(Sens!F10778+Sens!F10780)*cx_dev</f>
        <v>35.4326157295625</v>
      </c>
      <c r="G10844" s="6" t="n">
        <f aca="false">Sens!G10761*cx_azo+Sens!G10768*cx_m365+Sens!G10769*cx_lic+(Sens!G10771+Sens!G10773)*cx_ind+Sens!G10776*cx_srch+(Sens!G10778+Sens!G10780)*cx_dev</f>
        <v>40.7122339530614</v>
      </c>
      <c r="H10844" s="6" t="n">
        <f aca="false">Sens!H10761*cx_azo+Sens!H10768*cx_m365+Sens!H10769*cx_lic+(Sens!H10771+Sens!H10773)*cx_ind+Sens!H10776*cx_srch+(Sens!H10778+Sens!H10780)*cx_dev</f>
        <v>46.07963772885</v>
      </c>
      <c r="I10844" s="6" t="n">
        <f aca="false">Sens!I10761*cx_azo+Sens!I10768*cx_m365+Sens!I10769*cx_lic+(Sens!I10771+Sens!I10773)*cx_ind+Sens!I10776*cx_srch+(Sens!I10778+Sens!I10780)*cx_dev</f>
        <v>51.2532400602924</v>
      </c>
      <c r="J10844" s="6" t="n">
        <f aca="false">Sens!J10761*cx_azo+Sens!J10768*cx_m365+Sens!J10769*cx_lic+(Sens!J10771+Sens!J10773)*cx_ind+Sens!J10776*cx_srch+(Sens!J10778+Sens!J10780)*cx_dev</f>
        <v>56.0009197643751</v>
      </c>
      <c r="K10844" s="6" t="n">
        <f aca="false">Sens!K10761*cx_azo+Sens!K10768*cx_m365+Sens!K10769*cx_lic+(Sens!K10771+Sens!K10773)*cx_ind+Sens!K10776*cx_srch+(Sens!K10778+Sens!K10780)*cx_dev</f>
        <v>60.158174200234</v>
      </c>
    </row>
    <row r="10845" customFormat="false" ht="17.15" hidden="false" customHeight="false" outlineLevel="0" collapsed="false">
      <c r="A10845" s="1" t="s">
        <v>945</v>
      </c>
      <c r="B10845" s="0" t="s">
        <v>98</v>
      </c>
      <c r="E10845" s="6" t="n">
        <f aca="false">Q!M42</f>
        <v>145.3</v>
      </c>
      <c r="F10845" s="6" t="n">
        <f aca="false">Sens!F10843+Sens!F10844</f>
        <v>204.2</v>
      </c>
      <c r="G10845" s="6" t="n">
        <f aca="false">Sens!G10843+Sens!G10844</f>
        <v>224.286414436261</v>
      </c>
      <c r="H10845" s="6" t="n">
        <f aca="false">Sens!H10843+Sens!H10844</f>
        <v>234.15992363925</v>
      </c>
      <c r="I10845" s="6" t="n">
        <f aca="false">Sens!I10843+Sens!I10844</f>
        <v>214.959909214538</v>
      </c>
      <c r="J10845" s="6" t="n">
        <f aca="false">Sens!J10843+Sens!J10844</f>
        <v>180.513396482466</v>
      </c>
      <c r="K10845" s="6" t="n">
        <f aca="false">Sens!K10843+Sens!K10844</f>
        <v>175.11760984217</v>
      </c>
      <c r="L10845" s="1" t="s">
        <v>946</v>
      </c>
    </row>
    <row r="10846" customFormat="false" ht="15" hidden="false" customHeight="false" outlineLevel="0" collapsed="false">
      <c r="A10846" s="1" t="s">
        <v>947</v>
      </c>
      <c r="B10846" s="0" t="s">
        <v>98</v>
      </c>
      <c r="E10846" s="6" t="n">
        <f aca="false">fl_liab</f>
        <v>66.594</v>
      </c>
      <c r="F10846" s="6" t="n">
        <f aca="false">Sens!E10846-Sens!F10847</f>
        <v>62.46973</v>
      </c>
      <c r="G10846" s="6" t="n">
        <f aca="false">Sens!F10846-Sens!G10847</f>
        <v>57.98686785</v>
      </c>
      <c r="H10846" s="6" t="n">
        <f aca="false">Sens!G10846-Sens!H10847</f>
        <v>53.92827690325</v>
      </c>
      <c r="I10846" s="6" t="n">
        <f aca="false">Sens!H10846-Sens!I10847</f>
        <v>49.7850493638962</v>
      </c>
      <c r="J10846" s="6" t="n">
        <f aca="false">Sens!I10846-Sens!J10847</f>
        <v>45.4823765852716</v>
      </c>
      <c r="K10846" s="6" t="n">
        <f aca="false">Sens!J10846-Sens!K10847</f>
        <v>40.9860835316088</v>
      </c>
    </row>
    <row r="10847" customFormat="false" ht="15" hidden="false" customHeight="false" outlineLevel="0" collapsed="false">
      <c r="A10847" s="1" t="s">
        <v>948</v>
      </c>
      <c r="B10847" s="0" t="s">
        <v>98</v>
      </c>
      <c r="F10847" s="6" t="n">
        <f aca="false">fl_pay_27-Sens!E10846*fl_rate</f>
        <v>4.12427</v>
      </c>
      <c r="G10847" s="6" t="n">
        <f aca="false">fl_pay_28-Sens!F10846*fl_rate</f>
        <v>4.48286215</v>
      </c>
      <c r="H10847" s="6" t="n">
        <f aca="false">fl_pay_29-Sens!G10846*fl_rate</f>
        <v>4.05859094675</v>
      </c>
      <c r="I10847" s="6" t="n">
        <f aca="false">fl_pay_30-Sens!H10846*fl_rate</f>
        <v>4.14322753935375</v>
      </c>
      <c r="J10847" s="6" t="n">
        <f aca="false">fl_pay_31-Sens!I10846*fl_rate</f>
        <v>4.30267277862467</v>
      </c>
      <c r="K10847" s="6" t="n">
        <f aca="false">fl_pay_32-Sens!J10846*fl_rate</f>
        <v>4.49629305366278</v>
      </c>
    </row>
    <row r="10848" customFormat="false" ht="17.15" hidden="false" customHeight="false" outlineLevel="0" collapsed="false">
      <c r="A10848" s="1" t="s">
        <v>949</v>
      </c>
      <c r="B10848" s="0" t="s">
        <v>98</v>
      </c>
      <c r="E10848" s="6" t="n">
        <f aca="false">Q!M35-Q!M36-Q!M43</f>
        <v>63.886</v>
      </c>
      <c r="F10848" s="6" t="n">
        <f aca="false">Sens!F10842-Sens!F10845-Sens!F10847</f>
        <v>-3.1991223178371</v>
      </c>
      <c r="G10848" s="6" t="n">
        <f aca="false">Sens!G10842-Sens!G10845-Sens!G10847</f>
        <v>17.9880978684371</v>
      </c>
      <c r="H10848" s="6" t="n">
        <f aca="false">Sens!H10842-Sens!H10845-Sens!H10847</f>
        <v>42.553354168909</v>
      </c>
      <c r="I10848" s="6" t="n">
        <f aca="false">Sens!I10842-Sens!I10845-Sens!I10847</f>
        <v>99.336673502195</v>
      </c>
      <c r="J10848" s="6" t="n">
        <f aca="false">Sens!J10842-Sens!J10845-Sens!J10847</f>
        <v>165.290433000418</v>
      </c>
      <c r="K10848" s="6" t="n">
        <f aca="false">Sens!K10842-Sens!K10845-Sens!K10847</f>
        <v>196.521004106425</v>
      </c>
      <c r="L10848" s="11" t="s">
        <v>950</v>
      </c>
    </row>
    <row r="10849" customFormat="false" ht="15" hidden="false" customHeight="false" outlineLevel="0" collapsed="false">
      <c r="A10849" s="1" t="s">
        <v>951</v>
      </c>
      <c r="B10849" s="0" t="s">
        <v>75</v>
      </c>
      <c r="F10849" s="8" t="n">
        <f aca="false">dps_27</f>
        <v>3.85</v>
      </c>
      <c r="G10849" s="8" t="n">
        <f aca="false">Sens!F10849*(1+dps_g)</f>
        <v>4.158</v>
      </c>
      <c r="H10849" s="8" t="n">
        <f aca="false">Sens!G10849*(1+dps_g)</f>
        <v>4.49064</v>
      </c>
      <c r="I10849" s="8" t="n">
        <f aca="false">Sens!H10849*(1+dps_g)</f>
        <v>4.8498912</v>
      </c>
      <c r="J10849" s="8" t="n">
        <f aca="false">Sens!I10849*(1+dps_g)</f>
        <v>5.237882496</v>
      </c>
      <c r="K10849" s="8" t="n">
        <f aca="false">Sens!J10849*(1+dps_g)</f>
        <v>5.65691309568</v>
      </c>
    </row>
    <row r="10850" customFormat="false" ht="17.15" hidden="false" customHeight="false" outlineLevel="0" collapsed="false">
      <c r="A10850" s="1" t="s">
        <v>952</v>
      </c>
      <c r="B10850" s="0" t="s">
        <v>98</v>
      </c>
      <c r="E10850" s="6" t="n">
        <f aca="false">Q!M41</f>
        <v>26.445</v>
      </c>
      <c r="F10850" s="6" t="n">
        <f aca="false">Sens!F10849*Sens!E10859</f>
        <v>28.59395</v>
      </c>
      <c r="G10850" s="6" t="n">
        <f aca="false">Sens!G10849*Sens!F10859</f>
        <v>31.068576</v>
      </c>
      <c r="H10850" s="6" t="n">
        <f aca="false">Sens!H10849*Sens!G10859</f>
        <v>33.75614088</v>
      </c>
      <c r="I10850" s="6" t="n">
        <f aca="false">Sens!I10849*Sens!H10859</f>
        <v>36.623822235037</v>
      </c>
      <c r="J10850" s="6" t="n">
        <f aca="false">Sens!J10849*Sens!I10859</f>
        <v>39.6221268621594</v>
      </c>
      <c r="K10850" s="6" t="n">
        <f aca="false">Sens!K10849*Sens!J10859</f>
        <v>42.8791522364372</v>
      </c>
      <c r="L10850" s="1" t="s">
        <v>953</v>
      </c>
    </row>
    <row r="10851" customFormat="false" ht="15" hidden="false" customHeight="false" outlineLevel="0" collapsed="false">
      <c r="A10851" s="1" t="s">
        <v>954</v>
      </c>
      <c r="B10851" s="0" t="s">
        <v>98</v>
      </c>
      <c r="E10851" s="6" t="n">
        <f aca="false">Sens!E10848-Sens!E10850</f>
        <v>37.441</v>
      </c>
      <c r="F10851" s="6" t="n">
        <f aca="false">Sens!F10848-Sens!F10850</f>
        <v>-31.7930723178371</v>
      </c>
      <c r="G10851" s="6" t="n">
        <f aca="false">Sens!G10848-Sens!G10850</f>
        <v>-13.0804781315629</v>
      </c>
      <c r="H10851" s="6" t="n">
        <f aca="false">Sens!H10848-Sens!H10850</f>
        <v>8.79721328890895</v>
      </c>
      <c r="I10851" s="6" t="n">
        <f aca="false">Sens!I10848-Sens!I10850</f>
        <v>62.712851267158</v>
      </c>
      <c r="J10851" s="6" t="n">
        <f aca="false">Sens!J10848-Sens!J10850</f>
        <v>125.668306138258</v>
      </c>
      <c r="K10851" s="6" t="n">
        <f aca="false">Sens!K10848-Sens!K10850</f>
        <v>153.641851869988</v>
      </c>
    </row>
    <row r="10852" customFormat="false" ht="15" hidden="false" customHeight="false" outlineLevel="0" collapsed="false">
      <c r="A10852" s="1" t="s">
        <v>955</v>
      </c>
      <c r="B10852" s="0" t="s">
        <v>98</v>
      </c>
      <c r="F10852" s="6" t="n">
        <f aca="false">debt_mat_27</f>
        <v>9.25</v>
      </c>
      <c r="G10852" s="6" t="n">
        <f aca="false">debt_mat_28</f>
        <v>0</v>
      </c>
      <c r="H10852" s="6" t="n">
        <f aca="false">debt_mat_29</f>
        <v>2.001</v>
      </c>
      <c r="I10852" s="6" t="n">
        <f aca="false">debt_mat_30</f>
        <v>0</v>
      </c>
      <c r="J10852" s="6" t="n">
        <f aca="false">debt_mat_31</f>
        <v>0.5</v>
      </c>
      <c r="K10852" s="6" t="n">
        <f aca="false">debt_mat_32</f>
        <v>0</v>
      </c>
    </row>
    <row r="10853" customFormat="false" ht="15" hidden="false" customHeight="false" outlineLevel="0" collapsed="false">
      <c r="A10853" s="1" t="s">
        <v>956</v>
      </c>
      <c r="B10853" s="0" t="s">
        <v>98</v>
      </c>
      <c r="E10853" s="6" t="n">
        <f aca="false">Q!M40</f>
        <v>22.271</v>
      </c>
      <c r="F10853" s="6" t="n">
        <f aca="false">MAX(0,MIN(bb_target,Sens!E10855+Sens!F10851-Sens!F10852-min_cash))</f>
        <v>0</v>
      </c>
      <c r="G10853" s="6" t="n">
        <f aca="false">MAX(0,MIN(bb_target,Sens!F10855+Sens!G10851-Sens!G10852-min_cash))</f>
        <v>0</v>
      </c>
      <c r="H10853" s="6" t="n">
        <f aca="false">MAX(0,MIN(bb_target,Sens!G10855+Sens!H10851-Sens!H10852-min_cash))</f>
        <v>6.79621328890895</v>
      </c>
      <c r="I10853" s="6" t="n">
        <f aca="false">MAX(0,MIN(bb_target,Sens!H10855+Sens!I10851-Sens!I10852-min_cash))</f>
        <v>22.271</v>
      </c>
      <c r="J10853" s="6" t="n">
        <f aca="false">MAX(0,MIN(bb_target,Sens!I10855+Sens!J10851-Sens!J10852-min_cash))</f>
        <v>22.271</v>
      </c>
      <c r="K10853" s="6" t="n">
        <f aca="false">MAX(0,MIN(bb_target,Sens!J10855+Sens!K10851-Sens!K10852-min_cash))</f>
        <v>22.271</v>
      </c>
    </row>
    <row r="10854" customFormat="false" ht="15" hidden="false" customHeight="false" outlineLevel="0" collapsed="false">
      <c r="A10854" s="1" t="s">
        <v>957</v>
      </c>
      <c r="B10854" s="0" t="s">
        <v>98</v>
      </c>
      <c r="F10854" s="6" t="n">
        <f aca="false">MAX(0,min_cash-(Sens!E10855+Sens!F10851-Sens!F10852-Sens!F10853))</f>
        <v>14.2000723178371</v>
      </c>
      <c r="G10854" s="6" t="n">
        <f aca="false">MAX(0,min_cash-(Sens!F10855+Sens!G10851-Sens!G10852-Sens!G10853))</f>
        <v>13.0804781315629</v>
      </c>
      <c r="H10854" s="6" t="n">
        <f aca="false">MAX(0,min_cash-(Sens!G10855+Sens!H10851-Sens!H10852-Sens!H10853))</f>
        <v>0</v>
      </c>
      <c r="I10854" s="6" t="n">
        <f aca="false">MAX(0,min_cash-(Sens!H10855+Sens!I10851-Sens!I10852-Sens!I10853))</f>
        <v>0</v>
      </c>
      <c r="J10854" s="6" t="n">
        <f aca="false">MAX(0,min_cash-(Sens!I10855+Sens!J10851-Sens!J10852-Sens!J10853))</f>
        <v>0</v>
      </c>
      <c r="K10854" s="6" t="n">
        <f aca="false">MAX(0,min_cash-(Sens!J10855+Sens!K10851-Sens!K10852-Sens!K10853))</f>
        <v>0</v>
      </c>
    </row>
    <row r="10855" customFormat="false" ht="15" hidden="false" customHeight="false" outlineLevel="0" collapsed="false">
      <c r="A10855" s="1" t="s">
        <v>958</v>
      </c>
      <c r="B10855" s="0" t="s">
        <v>98</v>
      </c>
      <c r="E10855" s="6" t="n">
        <f aca="false">cash_open</f>
        <v>76.843</v>
      </c>
      <c r="F10855" s="6" t="n">
        <f aca="false">Sens!E10855+Sens!F10851-Sens!F10852-Sens!F10853+Sens!F10854</f>
        <v>50</v>
      </c>
      <c r="G10855" s="6" t="n">
        <f aca="false">Sens!F10855+Sens!G10851-Sens!G10852-Sens!G10853+Sens!G10854</f>
        <v>50</v>
      </c>
      <c r="H10855" s="6" t="n">
        <f aca="false">Sens!G10855+Sens!H10851-Sens!H10852-Sens!H10853+Sens!H10854</f>
        <v>50</v>
      </c>
      <c r="I10855" s="6" t="n">
        <f aca="false">Sens!H10855+Sens!I10851-Sens!I10852-Sens!I10853+Sens!I10854</f>
        <v>90.441851267158</v>
      </c>
      <c r="J10855" s="6" t="n">
        <f aca="false">Sens!I10855+Sens!J10851-Sens!J10852-Sens!J10853+Sens!J10854</f>
        <v>193.339157405416</v>
      </c>
      <c r="K10855" s="6" t="n">
        <f aca="false">Sens!J10855+Sens!K10851-Sens!K10852-Sens!K10853+Sens!K10854</f>
        <v>324.710009275404</v>
      </c>
    </row>
    <row r="10856" customFormat="false" ht="15" hidden="false" customHeight="false" outlineLevel="0" collapsed="false">
      <c r="A10856" s="1" t="s">
        <v>959</v>
      </c>
      <c r="B10856" s="0" t="s">
        <v>98</v>
      </c>
      <c r="E10856" s="6" t="n">
        <f aca="false">debt_face</f>
        <v>46.136</v>
      </c>
      <c r="F10856" s="6" t="n">
        <f aca="false">Sens!E10856-Sens!F10852+Sens!F10854</f>
        <v>51.0860723178371</v>
      </c>
      <c r="G10856" s="6" t="n">
        <f aca="false">Sens!F10856-Sens!G10852+Sens!G10854</f>
        <v>64.1665504494</v>
      </c>
      <c r="H10856" s="6" t="n">
        <f aca="false">Sens!G10856-Sens!H10852+Sens!H10854</f>
        <v>62.1655504494</v>
      </c>
      <c r="I10856" s="6" t="n">
        <f aca="false">Sens!H10856-Sens!I10852+Sens!I10854</f>
        <v>62.1655504494</v>
      </c>
      <c r="J10856" s="6" t="n">
        <f aca="false">Sens!I10856-Sens!J10852+Sens!J10854</f>
        <v>61.6655504494</v>
      </c>
      <c r="K10856" s="6" t="n">
        <f aca="false">Sens!J10856-Sens!K10852+Sens!K10854</f>
        <v>61.6655504494</v>
      </c>
    </row>
    <row r="10857" customFormat="false" ht="15" hidden="false" customHeight="false" outlineLevel="0" collapsed="false">
      <c r="A10857" s="1" t="s">
        <v>960</v>
      </c>
      <c r="B10857" s="0" t="s">
        <v>98</v>
      </c>
      <c r="E10857" s="6" t="n">
        <f aca="false">Sens!E10855-Sens!E10856</f>
        <v>30.707</v>
      </c>
      <c r="F10857" s="6" t="n">
        <f aca="false">Sens!F10855-Sens!F10856</f>
        <v>-1.0860723178371</v>
      </c>
      <c r="G10857" s="6" t="n">
        <f aca="false">Sens!G10855-Sens!G10856</f>
        <v>-14.1665504494</v>
      </c>
      <c r="H10857" s="6" t="n">
        <f aca="false">Sens!H10855-Sens!H10856</f>
        <v>-12.1655504494</v>
      </c>
      <c r="I10857" s="6" t="n">
        <f aca="false">Sens!I10855-Sens!I10856</f>
        <v>28.276300817758</v>
      </c>
      <c r="J10857" s="6" t="n">
        <f aca="false">Sens!J10855-Sens!J10856</f>
        <v>131.673606956016</v>
      </c>
      <c r="K10857" s="6" t="n">
        <f aca="false">Sens!K10855-Sens!K10856</f>
        <v>263.044458826004</v>
      </c>
    </row>
    <row r="10858" customFormat="false" ht="15" hidden="false" customHeight="false" outlineLevel="0" collapsed="false">
      <c r="A10858" s="1" t="s">
        <v>961</v>
      </c>
      <c r="B10858" s="0" t="s">
        <v>75</v>
      </c>
      <c r="F10858" s="29" t="n">
        <f aca="false">px*(1+bb_g)^(Sens!F10722-base_fy-mid_yr)</f>
        <v>553.494156066711</v>
      </c>
      <c r="G10858" s="29" t="n">
        <f aca="false">px*(1+bb_g)^(Sens!G10722-base_fy-mid_yr)</f>
        <v>597.773688552047</v>
      </c>
      <c r="H10858" s="29" t="n">
        <f aca="false">px*(1+bb_g)^(Sens!H10722-base_fy-mid_yr)</f>
        <v>645.595583636211</v>
      </c>
      <c r="I10858" s="29" t="n">
        <f aca="false">px*(1+bb_g)^(Sens!I10722-base_fy-mid_yr)</f>
        <v>697.243230327108</v>
      </c>
      <c r="J10858" s="29" t="n">
        <f aca="false">px*(1+bb_g)^(Sens!J10722-base_fy-mid_yr)</f>
        <v>753.022688753277</v>
      </c>
      <c r="K10858" s="29" t="n">
        <f aca="false">px*(1+bb_g)^(Sens!K10722-base_fy-mid_yr)</f>
        <v>813.264503853539</v>
      </c>
    </row>
    <row r="10859" customFormat="false" ht="15" hidden="false" customHeight="false" outlineLevel="0" collapsed="false">
      <c r="A10859" s="1" t="s">
        <v>962</v>
      </c>
      <c r="B10859" s="1" t="s">
        <v>81</v>
      </c>
      <c r="E10859" s="14" t="n">
        <f aca="false">sh_out26</f>
        <v>7.427</v>
      </c>
      <c r="F10859" s="14" t="n">
        <f aca="false">Sens!E10859+sh_iss-Sens!F10853/Sens!F10858</f>
        <v>7.472</v>
      </c>
      <c r="G10859" s="14" t="n">
        <f aca="false">Sens!F10859+sh_iss-Sens!G10853/Sens!G10858</f>
        <v>7.517</v>
      </c>
      <c r="H10859" s="14" t="n">
        <f aca="false">Sens!G10859+sh_iss-Sens!H10853/Sens!H10858</f>
        <v>7.55147295573085</v>
      </c>
      <c r="I10859" s="14" t="n">
        <f aca="false">Sens!H10859+sh_iss-Sens!I10853/Sens!I10858</f>
        <v>7.56453144804557</v>
      </c>
      <c r="J10859" s="14" t="n">
        <f aca="false">Sens!I10859+sh_iss-Sens!J10853/Sens!J10858</f>
        <v>7.57995597796661</v>
      </c>
      <c r="K10859" s="14" t="n">
        <f aca="false">Sens!J10859+sh_iss-Sens!K10853/Sens!K10858</f>
        <v>7.59757128344906</v>
      </c>
    </row>
    <row r="10860" customFormat="false" ht="15" hidden="false" customHeight="false" outlineLevel="0" collapsed="false">
      <c r="A10860" s="1" t="s">
        <v>963</v>
      </c>
      <c r="B10860" s="1" t="s">
        <v>81</v>
      </c>
      <c r="E10860" s="14" t="n">
        <f aca="false">sh_dil26</f>
        <v>7.453</v>
      </c>
      <c r="F10860" s="14" t="n">
        <f aca="false">(Sens!E10859+Sens!F10859)/2+dil_gap</f>
        <v>7.4735</v>
      </c>
      <c r="G10860" s="14" t="n">
        <f aca="false">(Sens!F10859+Sens!G10859)/2+dil_gap</f>
        <v>7.5185</v>
      </c>
      <c r="H10860" s="14" t="n">
        <f aca="false">(Sens!G10859+Sens!H10859)/2+dil_gap</f>
        <v>7.55823647786542</v>
      </c>
      <c r="I10860" s="14" t="n">
        <f aca="false">(Sens!H10859+Sens!I10859)/2+dil_gap</f>
        <v>7.58200220188821</v>
      </c>
      <c r="J10860" s="14" t="n">
        <f aca="false">(Sens!I10859+Sens!J10859)/2+dil_gap</f>
        <v>7.59624371300609</v>
      </c>
      <c r="K10860" s="14" t="n">
        <f aca="false">(Sens!J10859+Sens!K10859)/2+dil_gap</f>
        <v>7.61276363070783</v>
      </c>
    </row>
    <row r="10861" customFormat="false" ht="17.15" hidden="false" customHeight="false" outlineLevel="0" collapsed="false">
      <c r="A10861" s="1" t="s">
        <v>964</v>
      </c>
      <c r="B10861" s="0" t="s">
        <v>98</v>
      </c>
      <c r="C10861" s="6" t="n">
        <f aca="false">SUM(Sens!F10851:J10851)</f>
        <v>152.304820244925</v>
      </c>
    </row>
    <row r="10862" customFormat="false" ht="15" hidden="false" customHeight="false" outlineLevel="0" collapsed="false">
      <c r="A10862" s="23" t="s">
        <v>935</v>
      </c>
      <c r="B10862" s="30" t="s">
        <v>98</v>
      </c>
      <c r="C10862" s="24" t="n">
        <f aca="false">Sens!$C$10861-(Sens!F10851+Sens!G10851+Sens!H10851+Sens!I10851+Sens!J10851)</f>
        <v>0</v>
      </c>
      <c r="D10862" s="30"/>
      <c r="E10862" s="30"/>
      <c r="F10862" s="30"/>
      <c r="G10862" s="30"/>
      <c r="H10862" s="30"/>
      <c r="I10862" s="30"/>
      <c r="J10862" s="30"/>
      <c r="K10862" s="30"/>
    </row>
    <row r="10863" customFormat="false" ht="17.15" hidden="false" customHeight="false" outlineLevel="0" collapsed="false">
      <c r="A10863" s="1" t="s">
        <v>929</v>
      </c>
      <c r="B10863" s="1" t="s">
        <v>965</v>
      </c>
      <c r="C10863" s="32" t="str">
        <f aca="false">IF(SUM(Sens!F10854:J10854)&gt;0.05,"需要舉債 "&amp;TEXT(SUM(Sens!F10854:J10854),"0.0")&amp;" 十億美元","不需舉債")&amp;"；"&amp;IF(SUM(Sens!F10853:J10853)&lt;COUNT(Sens!F10853:J10853)*bb_target-0.05,"回購較每年 "&amp;TEXT(bb_target,"0.0")&amp;" 的目標少 "&amp;TEXT(COUNT(Sens!F10853:J10853)*bb_target-SUM(Sens!F10853:J10853),"0.0")&amp;" 十億美元（"&amp;TEXT(COUNTIF(Sens!F10853:J10853,"&lt;"&amp;(bb_target-0.05)),"0")&amp;" 年減少）","回購不減")</f>
        <v>需要舉債 27.3 十億美元；回購較每年 22.3 的目標少 60.0 十億美元（3 年減少）</v>
      </c>
    </row>
    <row r="10864" customFormat="false" ht="17.15" hidden="false" customHeight="false" outlineLevel="0" collapsed="false">
      <c r="A10864" s="3" t="s">
        <v>1518</v>
      </c>
    </row>
    <row r="10865" customFormat="false" ht="15" hidden="false" customHeight="false" outlineLevel="0" collapsed="false">
      <c r="A10865" s="4" t="s">
        <v>43</v>
      </c>
      <c r="B10865" s="4" t="s">
        <v>65</v>
      </c>
      <c r="C10865" s="20" t="s">
        <v>788</v>
      </c>
      <c r="D10865" s="20" t="s">
        <v>789</v>
      </c>
      <c r="E10865" s="20" t="s">
        <v>790</v>
      </c>
      <c r="F10865" s="20" t="s">
        <v>791</v>
      </c>
      <c r="G10865" s="20" t="s">
        <v>792</v>
      </c>
      <c r="H10865" s="20" t="s">
        <v>793</v>
      </c>
      <c r="I10865" s="20" t="s">
        <v>794</v>
      </c>
      <c r="J10865" s="20" t="s">
        <v>795</v>
      </c>
      <c r="K10865" s="20" t="s">
        <v>796</v>
      </c>
      <c r="L10865" s="4" t="s">
        <v>47</v>
      </c>
    </row>
    <row r="10866" customFormat="false" ht="15" hidden="false" customHeight="false" outlineLevel="0" collapsed="false">
      <c r="A10866" s="1" t="s">
        <v>1042</v>
      </c>
      <c r="B10866" s="1" t="s">
        <v>235</v>
      </c>
      <c r="F10866" s="36" t="n">
        <f aca="false">Sens!F10722-base_fy-mid_yr</f>
        <v>0.5</v>
      </c>
      <c r="G10866" s="36" t="n">
        <f aca="false">Sens!G10722-base_fy-mid_yr</f>
        <v>1.5</v>
      </c>
      <c r="H10866" s="36" t="n">
        <f aca="false">Sens!H10722-base_fy-mid_yr</f>
        <v>2.5</v>
      </c>
      <c r="I10866" s="36" t="n">
        <f aca="false">Sens!I10722-base_fy-mid_yr</f>
        <v>3.5</v>
      </c>
      <c r="J10866" s="36" t="n">
        <f aca="false">Sens!J10722-base_fy-mid_yr</f>
        <v>4.5</v>
      </c>
      <c r="K10866" s="36" t="n">
        <f aca="false">Sens!K10722-base_fy-mid_yr</f>
        <v>5.5</v>
      </c>
    </row>
    <row r="10867" customFormat="false" ht="15" hidden="false" customHeight="false" outlineLevel="0" collapsed="false">
      <c r="A10867" s="1" t="s">
        <v>1043</v>
      </c>
      <c r="B10867" s="0" t="s">
        <v>185</v>
      </c>
      <c r="F10867" s="14" t="n">
        <f aca="false">1/(1+wacc)^Sens!F10866</f>
        <v>0.952193373608246</v>
      </c>
      <c r="G10867" s="14" t="n">
        <f aca="false">1/(1+wacc)^Sens!G10866</f>
        <v>0.863327280626589</v>
      </c>
      <c r="H10867" s="14" t="n">
        <f aca="false">1/(1+wacc)^Sens!H10866</f>
        <v>0.782754862754115</v>
      </c>
      <c r="I10867" s="14" t="n">
        <f aca="false">1/(1+wacc)^Sens!I10866</f>
        <v>0.709702089711011</v>
      </c>
      <c r="J10867" s="14" t="n">
        <f aca="false">1/(1+wacc)^Sens!J10866</f>
        <v>0.643467169744551</v>
      </c>
      <c r="K10867" s="14" t="n">
        <f aca="false">1/(1+wacc)^Sens!K10866</f>
        <v>0.583413807767797</v>
      </c>
    </row>
    <row r="10868" customFormat="false" ht="17.15" hidden="false" customHeight="false" outlineLevel="0" collapsed="false">
      <c r="A10868" s="1" t="s">
        <v>1044</v>
      </c>
      <c r="B10868" s="0" t="s">
        <v>98</v>
      </c>
      <c r="F10868" s="6" t="n">
        <f aca="false">Sens!F10842-Sens!F10840-Sens!F10845+Sens!F10826*(1-tax_f)</f>
        <v>2.84464353086055</v>
      </c>
      <c r="G10868" s="6" t="n">
        <f aca="false">Sens!G10842-Sens!G10840-Sens!G10845+Sens!G10826*(1-tax_f)</f>
        <v>35.5622932397239</v>
      </c>
      <c r="H10868" s="6" t="n">
        <f aca="false">Sens!H10842-Sens!H10840-Sens!H10845+Sens!H10826*(1-tax_f)</f>
        <v>72.1014492947625</v>
      </c>
      <c r="I10868" s="6" t="n">
        <f aca="false">Sens!I10842-Sens!I10840-Sens!I10845+Sens!I10826*(1-tax_f)</f>
        <v>139.777252058887</v>
      </c>
      <c r="J10868" s="6" t="n">
        <f aca="false">Sens!J10842-Sens!J10840-Sens!J10845+Sens!J10826*(1-tax_f)</f>
        <v>213.103837832686</v>
      </c>
      <c r="K10868" s="6" t="n">
        <f aca="false">Sens!K10842-Sens!K10840-Sens!K10845+Sens!K10826*(1-tax_f)</f>
        <v>248.314130353904</v>
      </c>
      <c r="L10868" s="1" t="s">
        <v>1045</v>
      </c>
    </row>
    <row r="10869" customFormat="false" ht="15" hidden="false" customHeight="false" outlineLevel="0" collapsed="false">
      <c r="A10869" s="1" t="s">
        <v>1046</v>
      </c>
      <c r="B10869" s="0" t="s">
        <v>98</v>
      </c>
      <c r="F10869" s="6" t="n">
        <f aca="false">Sens!F10868*Sens!F10867</f>
        <v>2.70865072036298</v>
      </c>
      <c r="G10869" s="6" t="n">
        <f aca="false">Sens!G10868*Sens!G10867</f>
        <v>30.7018979154961</v>
      </c>
      <c r="H10869" s="6" t="n">
        <f aca="false">Sens!H10868*Sens!H10867</f>
        <v>56.4377600470946</v>
      </c>
      <c r="I10869" s="6" t="n">
        <f aca="false">Sens!I10868*Sens!I10867</f>
        <v>99.2002078802547</v>
      </c>
      <c r="J10869" s="6" t="n">
        <f aca="false">Sens!J10868*Sens!J10867</f>
        <v>137.1253233919</v>
      </c>
      <c r="K10869" s="6" t="n">
        <f aca="false">Sens!K10868*Sens!K10867</f>
        <v>144.86989231232</v>
      </c>
    </row>
    <row r="10870" customFormat="false" ht="17.15" hidden="false" customHeight="false" outlineLevel="0" collapsed="false">
      <c r="A10870" s="1" t="s">
        <v>1047</v>
      </c>
      <c r="B10870" s="0" t="s">
        <v>98</v>
      </c>
      <c r="C10870" s="6" t="n">
        <f aca="false">SUM(Sens!F10869:K10869)</f>
        <v>471.043732267429</v>
      </c>
    </row>
    <row r="10871" customFormat="false" ht="17.15" hidden="false" customHeight="false" outlineLevel="0" collapsed="false">
      <c r="A10871" s="1" t="s">
        <v>1048</v>
      </c>
      <c r="B10871" s="0" t="s">
        <v>98</v>
      </c>
      <c r="C10871" s="6" t="n">
        <f aca="false">Sens!K10812*(1+g_tv)*(1-tax_f)</f>
        <v>256.404536779722</v>
      </c>
    </row>
    <row r="10872" customFormat="false" ht="17.15" hidden="false" customHeight="false" outlineLevel="0" collapsed="false">
      <c r="A10872" s="1" t="s">
        <v>1049</v>
      </c>
      <c r="B10872" s="0" t="s">
        <v>98</v>
      </c>
      <c r="C10872" s="6" t="n">
        <f aca="false">Sens!$C$10871*(1-g_tv/(wacc+ronic_prem))</f>
        <v>181.676024233081</v>
      </c>
    </row>
    <row r="10873" customFormat="false" ht="17.15" hidden="false" customHeight="false" outlineLevel="0" collapsed="false">
      <c r="A10873" s="1" t="s">
        <v>1050</v>
      </c>
      <c r="B10873" s="0" t="s">
        <v>98</v>
      </c>
      <c r="C10873" s="6" t="n">
        <f aca="false">Sens!$C$10872/(wacc-g_tv)</f>
        <v>2490.95041822136</v>
      </c>
    </row>
    <row r="10874" customFormat="false" ht="15" hidden="false" customHeight="false" outlineLevel="0" collapsed="false">
      <c r="A10874" s="1" t="s">
        <v>1051</v>
      </c>
      <c r="B10874" s="0" t="s">
        <v>98</v>
      </c>
      <c r="C10874" s="6" t="n">
        <f aca="false">Sens!$C$10873/(1+wacc)^(Sens!K10866+mid_yr)</f>
        <v>1383.77965590707</v>
      </c>
    </row>
    <row r="10875" customFormat="false" ht="17.15" hidden="false" customHeight="false" outlineLevel="0" collapsed="false">
      <c r="A10875" s="0" t="s">
        <v>972</v>
      </c>
      <c r="B10875" s="0" t="s">
        <v>98</v>
      </c>
      <c r="C10875" s="6" t="n">
        <f aca="false">Sens!$C$10870+Sens!$C$10874</f>
        <v>1854.8233881745</v>
      </c>
    </row>
    <row r="10876" customFormat="false" ht="15" hidden="false" customHeight="false" outlineLevel="0" collapsed="false">
      <c r="A10876" s="1" t="s">
        <v>973</v>
      </c>
      <c r="B10876" s="0" t="s">
        <v>129</v>
      </c>
      <c r="C10876" s="7" t="n">
        <f aca="false">Sens!$C$10874/Sens!$C$10875</f>
        <v>0.746043890070296</v>
      </c>
    </row>
    <row r="10877" customFormat="false" ht="17.15" hidden="false" customHeight="false" outlineLevel="0" collapsed="false">
      <c r="A10877" s="1" t="s">
        <v>1052</v>
      </c>
      <c r="B10877" s="0" t="s">
        <v>98</v>
      </c>
      <c r="C10877" s="6" t="n">
        <f aca="false">Sens!$C$10875+Sens!E10857-Sens!E10846+oai_v</f>
        <v>1989.3363881745</v>
      </c>
    </row>
    <row r="10878" customFormat="false" ht="17.15" hidden="false" customHeight="false" outlineLevel="0" collapsed="false">
      <c r="A10878" s="0" t="s">
        <v>980</v>
      </c>
      <c r="B10878" s="0" t="s">
        <v>75</v>
      </c>
      <c r="C10878" s="5" t="n">
        <f aca="false">Sens!$C$10877/sh_dil26</f>
        <v>266.917534975781</v>
      </c>
    </row>
    <row r="10879" customFormat="false" ht="15" hidden="false" customHeight="false" outlineLevel="0" collapsed="false">
      <c r="A10879" s="1" t="s">
        <v>1053</v>
      </c>
      <c r="B10879" s="0" t="s">
        <v>75</v>
      </c>
      <c r="C10879" s="8" t="n">
        <f aca="false">dps_27+Sens!G10849*roll_div_q/q_per_yr</f>
        <v>4.8895</v>
      </c>
    </row>
    <row r="10880" customFormat="false" ht="17.15" hidden="false" customHeight="false" outlineLevel="0" collapsed="false">
      <c r="A10880" s="0" t="s">
        <v>1054</v>
      </c>
      <c r="B10880" s="0" t="s">
        <v>75</v>
      </c>
      <c r="C10880" s="5" t="n">
        <f aca="false">Sens!$C$10878*(1+wacc)^t_roll-Sens!$C$10879</f>
        <v>299.058409326828</v>
      </c>
    </row>
    <row r="10881" customFormat="false" ht="17.15" hidden="false" customHeight="false" outlineLevel="0" collapsed="false">
      <c r="A10881" s="1" t="s">
        <v>1055</v>
      </c>
      <c r="B10881" s="0" t="s">
        <v>129</v>
      </c>
      <c r="F10881" s="7" t="n">
        <f aca="false">Sens!F10838/(Sens!F10783-Sens!F10739)</f>
        <v>0.0686655651184745</v>
      </c>
      <c r="G10881" s="7" t="n">
        <f aca="false">Sens!G10838/(Sens!G10783-Sens!G10739)</f>
        <v>0.0662161475821825</v>
      </c>
      <c r="H10881" s="7" t="n">
        <f aca="false">Sens!H10838/(Sens!H10783-Sens!H10739)</f>
        <v>0.0649502360981338</v>
      </c>
      <c r="I10881" s="7" t="n">
        <f aca="false">Sens!I10838/(Sens!I10783-Sens!I10739)</f>
        <v>0.0647291181278715</v>
      </c>
      <c r="J10881" s="7" t="n">
        <f aca="false">Sens!J10838/(Sens!J10783-Sens!J10739)</f>
        <v>0.0653398186472845</v>
      </c>
      <c r="K10881" s="7" t="n">
        <f aca="false">Sens!K10838/(Sens!K10783-Sens!K10739)</f>
        <v>0.0665445954666804</v>
      </c>
    </row>
    <row r="10882" customFormat="false" ht="17.15" hidden="false" customHeight="false" outlineLevel="0" collapsed="false">
      <c r="A10882" s="0" t="s">
        <v>1056</v>
      </c>
      <c r="B10882" s="0" t="s">
        <v>98</v>
      </c>
      <c r="F10882" s="6" t="n">
        <f aca="false">Sens!F10768*(al_m365+Sens!F10881+sbc_r)</f>
        <v>82.8846783538624</v>
      </c>
      <c r="G10882" s="6" t="n">
        <f aca="false">Sens!G10768*(al_m365+Sens!G10881+sbc_r)</f>
        <v>93.2579090819103</v>
      </c>
      <c r="H10882" s="6" t="n">
        <f aca="false">Sens!H10768*(al_m365+Sens!H10881+sbc_r)</f>
        <v>103.788889881481</v>
      </c>
      <c r="I10882" s="6" t="n">
        <f aca="false">Sens!I10768*(al_m365+Sens!I10881+sbc_r)</f>
        <v>113.801093183172</v>
      </c>
      <c r="J10882" s="6" t="n">
        <f aca="false">Sens!J10768*(al_m365+Sens!J10881+sbc_r)</f>
        <v>123.104810177424</v>
      </c>
      <c r="K10882" s="6" t="n">
        <f aca="false">Sens!K10768*(al_m365+Sens!K10881+sbc_r)</f>
        <v>132.006050865964</v>
      </c>
      <c r="L10882" s="11" t="s">
        <v>1057</v>
      </c>
    </row>
    <row r="10883" customFormat="false" ht="17.15" hidden="false" customHeight="false" outlineLevel="0" collapsed="false">
      <c r="A10883" s="0" t="s">
        <v>1058</v>
      </c>
      <c r="B10883" s="0" t="s">
        <v>98</v>
      </c>
      <c r="F10883" s="6" t="n">
        <f aca="false">Sens!F10769*(al_lic+Sens!F10881+sbc_r)</f>
        <v>33.4475847885338</v>
      </c>
      <c r="G10883" s="6" t="n">
        <f aca="false">Sens!G10769*(al_lic+Sens!G10881+sbc_r)</f>
        <v>34.7641425659348</v>
      </c>
      <c r="H10883" s="6" t="n">
        <f aca="false">Sens!H10769*(al_lic+Sens!H10881+sbc_r)</f>
        <v>35.988559066845</v>
      </c>
      <c r="I10883" s="6" t="n">
        <f aca="false">Sens!I10769*(al_lic+Sens!I10881+sbc_r)</f>
        <v>37.1007721652677</v>
      </c>
      <c r="J10883" s="6" t="n">
        <f aca="false">Sens!J10769*(al_lic+Sens!J10881+sbc_r)</f>
        <v>38.0773052910062</v>
      </c>
      <c r="K10883" s="6" t="n">
        <f aca="false">Sens!K10769*(al_lic+Sens!K10881+sbc_r)</f>
        <v>38.893725231022</v>
      </c>
    </row>
    <row r="10884" customFormat="false" ht="17.15" hidden="false" customHeight="false" outlineLevel="0" collapsed="false">
      <c r="A10884" s="0" t="s">
        <v>1059</v>
      </c>
      <c r="B10884" s="0" t="s">
        <v>98</v>
      </c>
      <c r="F10884" s="6" t="n">
        <f aca="false">Sens!F10771*(al_ind+Sens!F10881+sbc_r)</f>
        <v>9.07810798082572</v>
      </c>
      <c r="G10884" s="6" t="n">
        <f aca="false">Sens!G10771*(al_ind+Sens!G10881+sbc_r)</f>
        <v>9.8636351952986</v>
      </c>
      <c r="H10884" s="6" t="n">
        <f aca="false">Sens!H10771*(al_ind+Sens!H10881+sbc_r)</f>
        <v>10.6915140467987</v>
      </c>
      <c r="I10884" s="6" t="n">
        <f aca="false">Sens!I10771*(al_ind+Sens!I10881+sbc_r)</f>
        <v>11.5571797169226</v>
      </c>
      <c r="J10884" s="6" t="n">
        <f aca="false">Sens!J10771*(al_ind+Sens!J10881+sbc_r)</f>
        <v>12.4518765421975</v>
      </c>
      <c r="K10884" s="6" t="n">
        <f aca="false">Sens!K10771*(al_ind+Sens!K10881+sbc_r)</f>
        <v>13.3633662573735</v>
      </c>
    </row>
    <row r="10885" customFormat="false" ht="17.15" hidden="false" customHeight="false" outlineLevel="0" collapsed="false">
      <c r="A10885" s="0" t="s">
        <v>1060</v>
      </c>
      <c r="B10885" s="0" t="s">
        <v>98</v>
      </c>
      <c r="F10885" s="6" t="n">
        <f aca="false">Sens!F10773*(al_fro+Sens!F10881+sbc_r)</f>
        <v>3.57317517268297</v>
      </c>
      <c r="G10885" s="6" t="n">
        <f aca="false">Sens!G10773*(al_fro+Sens!G10881+sbc_r)</f>
        <v>3.78705276037594</v>
      </c>
      <c r="H10885" s="6" t="n">
        <f aca="false">Sens!H10773*(al_fro+Sens!H10881+sbc_r)</f>
        <v>4.02892843720628</v>
      </c>
      <c r="I10885" s="6" t="n">
        <f aca="false">Sens!I10773*(al_fro+Sens!I10881+sbc_r)</f>
        <v>4.3011119191442</v>
      </c>
      <c r="J10885" s="6" t="n">
        <f aca="false">Sens!J10773*(al_fro+Sens!J10881+sbc_r)</f>
        <v>4.60518247003225</v>
      </c>
      <c r="K10885" s="6" t="n">
        <f aca="false">Sens!K10773*(al_fro+Sens!K10881+sbc_r)</f>
        <v>4.9422863951891</v>
      </c>
    </row>
    <row r="10886" customFormat="false" ht="17.15" hidden="false" customHeight="false" outlineLevel="0" collapsed="false">
      <c r="A10886" s="0" t="s">
        <v>1061</v>
      </c>
      <c r="B10886" s="0" t="s">
        <v>98</v>
      </c>
      <c r="F10886" s="6" t="n">
        <f aca="false">Sens!F10776*(al_srch+Sens!F10881+sbc_r)</f>
        <v>11.2115945172955</v>
      </c>
      <c r="G10886" s="6" t="n">
        <f aca="false">Sens!G10776*(al_srch+Sens!G10881+sbc_r)</f>
        <v>12.2966713531847</v>
      </c>
      <c r="H10886" s="6" t="n">
        <f aca="false">Sens!H10776*(al_srch+Sens!H10881+sbc_r)</f>
        <v>13.4235838379362</v>
      </c>
      <c r="I10886" s="6" t="n">
        <f aca="false">Sens!I10776*(al_srch+Sens!I10881+sbc_r)</f>
        <v>14.5796462044416</v>
      </c>
      <c r="J10886" s="6" t="n">
        <f aca="false">Sens!J10776*(al_srch+Sens!J10881+sbc_r)</f>
        <v>15.7459775783066</v>
      </c>
      <c r="K10886" s="6" t="n">
        <f aca="false">Sens!K10776*(al_srch+Sens!K10881+sbc_r)</f>
        <v>16.8985987570808</v>
      </c>
    </row>
    <row r="10887" customFormat="false" ht="17.15" hidden="false" customHeight="false" outlineLevel="0" collapsed="false">
      <c r="A10887" s="0" t="s">
        <v>1062</v>
      </c>
      <c r="B10887" s="0" t="s">
        <v>98</v>
      </c>
      <c r="F10887" s="6" t="n">
        <f aca="false">Sens!F10745-Sens!F10746+Sens!F10826</f>
        <v>49.3166695044068</v>
      </c>
      <c r="G10887" s="6" t="n">
        <f aca="false">Sens!G10745-Sens!G10746+Sens!G10826</f>
        <v>79.1711235199867</v>
      </c>
      <c r="H10887" s="6" t="n">
        <f aca="false">Sens!H10745-Sens!H10746+Sens!H10826</f>
        <v>105.986955995322</v>
      </c>
      <c r="I10887" s="6" t="n">
        <f aca="false">Sens!I10745-Sens!I10746+Sens!I10826</f>
        <v>136.51312421941</v>
      </c>
      <c r="J10887" s="6" t="n">
        <f aca="false">Sens!J10745-Sens!J10746+Sens!J10826</f>
        <v>158.045869188803</v>
      </c>
      <c r="K10887" s="6" t="n">
        <f aca="false">Sens!K10745-Sens!K10746+Sens!K10826</f>
        <v>171.626834186355</v>
      </c>
    </row>
    <row r="10888" customFormat="false" ht="17.15" hidden="false" customHeight="false" outlineLevel="0" collapsed="false">
      <c r="A10888" s="0" t="s">
        <v>1063</v>
      </c>
      <c r="B10888" s="0" t="s">
        <v>98</v>
      </c>
      <c r="F10888" s="6" t="n">
        <f aca="false">Sens!F10805+Sens!F10826+Sens!F10756+Sens!F10881*(Sens!F10775-Sens!F10739)+sbc_r*Sens!F10775</f>
        <v>239.216000895585</v>
      </c>
      <c r="G10888" s="6" t="n">
        <f aca="false">Sens!G10805+Sens!G10826+Sens!G10756+Sens!G10881*(Sens!G10775-Sens!G10739)+sbc_r*Sens!G10775</f>
        <v>293.872984982433</v>
      </c>
      <c r="H10888" s="6" t="n">
        <f aca="false">Sens!H10805+Sens!H10826+Sens!H10756+Sens!H10881*(Sens!H10775-Sens!H10739)+sbc_r*Sens!H10775</f>
        <v>345.765439069882</v>
      </c>
      <c r="I10888" s="6" t="n">
        <f aca="false">Sens!I10805+Sens!I10826+Sens!I10756+Sens!I10881*(Sens!I10775-Sens!I10739)+sbc_r*Sens!I10775</f>
        <v>400.751996349148</v>
      </c>
      <c r="J10888" s="6" t="n">
        <f aca="false">Sens!J10805+Sens!J10826+Sens!J10756+Sens!J10881*(Sens!J10775-Sens!J10739)+sbc_r*Sens!J10775</f>
        <v>444.843379526184</v>
      </c>
      <c r="K10888" s="6" t="n">
        <f aca="false">Sens!K10805+Sens!K10826+Sens!K10756+Sens!K10881*(Sens!K10775-Sens!K10739)+sbc_r*Sens!K10775</f>
        <v>478.673584344615</v>
      </c>
    </row>
    <row r="10889" customFormat="false" ht="17.15" hidden="false" customHeight="false" outlineLevel="0" collapsed="false">
      <c r="A10889" s="0" t="s">
        <v>1064</v>
      </c>
      <c r="B10889" s="0" t="s">
        <v>98</v>
      </c>
      <c r="F10889" s="6" t="n">
        <f aca="false">Sens!F10888-Sens!F10882-Sens!F10883-Sens!F10884-Sens!F10885-Sens!F10887</f>
        <v>60.9157850952736</v>
      </c>
      <c r="G10889" s="6" t="n">
        <f aca="false">Sens!G10888-Sens!G10882-Sens!G10883-Sens!G10884-Sens!G10885-Sens!G10887</f>
        <v>73.0291218589268</v>
      </c>
      <c r="H10889" s="6" t="n">
        <f aca="false">Sens!H10888-Sens!H10882-Sens!H10883-Sens!H10884-Sens!H10885-Sens!H10887</f>
        <v>85.2805916422281</v>
      </c>
      <c r="I10889" s="6" t="n">
        <f aca="false">Sens!I10888-Sens!I10882-Sens!I10883-Sens!I10884-Sens!I10885-Sens!I10887</f>
        <v>97.4787151452319</v>
      </c>
      <c r="J10889" s="6" t="n">
        <f aca="false">Sens!J10888-Sens!J10882-Sens!J10883-Sens!J10884-Sens!J10885-Sens!J10887</f>
        <v>108.558335856721</v>
      </c>
      <c r="K10889" s="6" t="n">
        <f aca="false">Sens!K10888-Sens!K10882-Sens!K10883-Sens!K10884-Sens!K10885-Sens!K10887</f>
        <v>117.841321408711</v>
      </c>
    </row>
    <row r="10890" customFormat="false" ht="17.15" hidden="false" customHeight="false" outlineLevel="0" collapsed="false">
      <c r="A10890" s="0" t="s">
        <v>1065</v>
      </c>
      <c r="B10890" s="0" t="s">
        <v>98</v>
      </c>
      <c r="F10890" s="6" t="n">
        <f aca="false">Sens!F10807+Sens!F10881*Sens!F10782+sbc_r*Sens!F10782</f>
        <v>26.2474214445797</v>
      </c>
      <c r="G10890" s="6" t="n">
        <f aca="false">Sens!G10807+Sens!G10881*Sens!G10782+sbc_r*Sens!G10782</f>
        <v>26.9616452895862</v>
      </c>
      <c r="H10890" s="6" t="n">
        <f aca="false">Sens!H10807+Sens!H10881*Sens!H10782+sbc_r*Sens!H10782</f>
        <v>27.9699654884241</v>
      </c>
      <c r="I10890" s="6" t="n">
        <f aca="false">Sens!I10807+Sens!I10881*Sens!I10782+sbc_r*Sens!I10782</f>
        <v>29.2438222048054</v>
      </c>
      <c r="J10890" s="6" t="n">
        <f aca="false">Sens!J10807+Sens!J10881*Sens!J10782+sbc_r*Sens!J10782</f>
        <v>30.7593750232949</v>
      </c>
      <c r="K10890" s="6" t="n">
        <f aca="false">Sens!K10807+Sens!K10881*Sens!K10782+sbc_r*Sens!K10782</f>
        <v>32.4991696175703</v>
      </c>
    </row>
    <row r="10891" customFormat="false" ht="17.15" hidden="false" customHeight="false" outlineLevel="0" collapsed="false">
      <c r="A10891" s="0" t="s">
        <v>1066</v>
      </c>
      <c r="B10891" s="0" t="s">
        <v>98</v>
      </c>
      <c r="F10891" s="6" t="n">
        <f aca="false">(Sens!F10890-Sens!F10886)*Sens!F10778/(Sens!F10778+Sens!F10780)</f>
        <v>8.26215786475776</v>
      </c>
      <c r="G10891" s="6" t="n">
        <f aca="false">(Sens!G10890-Sens!G10886)*Sens!G10778/(Sens!G10778+Sens!G10780)</f>
        <v>7.95286555142971</v>
      </c>
      <c r="H10891" s="6" t="n">
        <f aca="false">(Sens!H10890-Sens!H10886)*Sens!H10778/(Sens!H10778+Sens!H10780)</f>
        <v>7.8381228845845</v>
      </c>
      <c r="I10891" s="6" t="n">
        <f aca="false">(Sens!I10890-Sens!I10886)*Sens!I10778/(Sens!I10778+Sens!I10780)</f>
        <v>7.90421915538217</v>
      </c>
      <c r="J10891" s="6" t="n">
        <f aca="false">(Sens!J10890-Sens!J10886)*Sens!J10778/(Sens!J10778+Sens!J10780)</f>
        <v>8.14849323429152</v>
      </c>
      <c r="K10891" s="6" t="n">
        <f aca="false">(Sens!K10890-Sens!K10886)*Sens!K10778/(Sens!K10778+Sens!K10780)</f>
        <v>8.57926290421</v>
      </c>
    </row>
    <row r="10892" customFormat="false" ht="17.15" hidden="false" customHeight="false" outlineLevel="0" collapsed="false">
      <c r="A10892" s="0" t="s">
        <v>1067</v>
      </c>
      <c r="B10892" s="0" t="s">
        <v>98</v>
      </c>
      <c r="F10892" s="6" t="n">
        <f aca="false">Sens!F10890-Sens!F10886-Sens!F10891</f>
        <v>6.77366906252644</v>
      </c>
      <c r="G10892" s="6" t="n">
        <f aca="false">Sens!G10890-Sens!G10886-Sens!G10891</f>
        <v>6.71210838497181</v>
      </c>
      <c r="H10892" s="6" t="n">
        <f aca="false">Sens!H10890-Sens!H10886-Sens!H10891</f>
        <v>6.70825876590346</v>
      </c>
      <c r="I10892" s="6" t="n">
        <f aca="false">Sens!I10890-Sens!I10886-Sens!I10891</f>
        <v>6.75995684498171</v>
      </c>
      <c r="J10892" s="6" t="n">
        <f aca="false">Sens!J10890-Sens!J10886-Sens!J10891</f>
        <v>6.86490421069683</v>
      </c>
      <c r="K10892" s="6" t="n">
        <f aca="false">Sens!K10890-Sens!K10886-Sens!K10891</f>
        <v>7.02130795627953</v>
      </c>
    </row>
    <row r="10893" customFormat="false" ht="17.15" hidden="false" customHeight="false" outlineLevel="0" collapsed="false">
      <c r="A10893" s="0" t="s">
        <v>1068</v>
      </c>
      <c r="B10893" s="0" t="s">
        <v>98</v>
      </c>
      <c r="F10893" s="6" t="n">
        <f aca="false">Sens!F10887-tax_f*(Sens!F10887-Sens!F10756)-Sens!F10753</f>
        <v>-122.363496050738</v>
      </c>
      <c r="G10893" s="6" t="n">
        <f aca="false">Sens!G10887-tax_f*(Sens!G10887-Sens!G10756)-Sens!G10753</f>
        <v>-108.131043965143</v>
      </c>
      <c r="H10893" s="6" t="n">
        <f aca="false">Sens!H10887-tax_f*(Sens!H10887-Sens!H10756)-Sens!H10753</f>
        <v>-85.7373668655142</v>
      </c>
      <c r="I10893" s="6" t="n">
        <f aca="false">Sens!I10887-tax_f*(Sens!I10887-Sens!I10756)-Sens!I10753</f>
        <v>-32.0938707322731</v>
      </c>
      <c r="J10893" s="6" t="n">
        <f aca="false">Sens!J10887-tax_f*(Sens!J10887-Sens!J10756)-Sens!J10753</f>
        <v>27.7658518674853</v>
      </c>
      <c r="K10893" s="6" t="n">
        <f aca="false">Sens!K10887-tax_f*(Sens!K10887-Sens!K10756)-Sens!K10753</f>
        <v>50.2764521180426</v>
      </c>
    </row>
    <row r="10894" customFormat="false" ht="17.15" hidden="false" customHeight="false" outlineLevel="0" collapsed="false">
      <c r="A10894" s="0" t="s">
        <v>1069</v>
      </c>
      <c r="B10894" s="0" t="s">
        <v>98</v>
      </c>
      <c r="F10894" s="6" t="n">
        <f aca="false">Sens!F10893*Sens!F10867</f>
        <v>-116.513710111052</v>
      </c>
      <c r="G10894" s="6" t="n">
        <f aca="false">Sens!G10893*Sens!G10867</f>
        <v>-93.3524801377408</v>
      </c>
      <c r="H10894" s="6" t="n">
        <f aca="false">Sens!H10893*Sens!H10867</f>
        <v>-67.1113408337148</v>
      </c>
      <c r="I10894" s="6" t="n">
        <f aca="false">Sens!I10893*Sens!I10867</f>
        <v>-22.7770871256092</v>
      </c>
      <c r="J10894" s="6" t="n">
        <f aca="false">Sens!J10893*Sens!J10867</f>
        <v>17.8664141167172</v>
      </c>
      <c r="K10894" s="6" t="n">
        <f aca="false">Sens!K10893*Sens!K10867</f>
        <v>29.3319763712426</v>
      </c>
    </row>
    <row r="10895" customFormat="false" ht="17.15" hidden="false" customHeight="false" outlineLevel="0" collapsed="false">
      <c r="A10895" s="0" t="s">
        <v>1070</v>
      </c>
      <c r="B10895" s="0" t="s">
        <v>98</v>
      </c>
      <c r="C10895" s="6" t="n">
        <f aca="false">(Sens!K10887-Sens!K10756)*(1-tax_f)*(1+g_tv)*(1-g_tv/(wacc+ronic_prem))/(wacc-g_tv)/(1+wacc)^(Sens!K10866+mid_yr)</f>
        <v>142.103125172725</v>
      </c>
    </row>
    <row r="10896" customFormat="false" ht="17.15" hidden="false" customHeight="false" outlineLevel="0" collapsed="false">
      <c r="A10896" s="1" t="s">
        <v>1071</v>
      </c>
      <c r="B10896" s="0" t="s">
        <v>98</v>
      </c>
      <c r="C10896" s="6" t="n">
        <f aca="false">(SUM(Sens!F10894:K10894)+Sens!$C$10895)*(1+wacc)^t_roll</f>
        <v>-125.776635847472</v>
      </c>
      <c r="L10896" s="11" t="s">
        <v>1072</v>
      </c>
    </row>
    <row r="10897" customFormat="false" ht="17.15" hidden="false" customHeight="false" outlineLevel="0" collapsed="false">
      <c r="A10897" s="1" t="s">
        <v>1073</v>
      </c>
      <c r="B10897" s="0" t="s">
        <v>98</v>
      </c>
      <c r="C10897" s="6" t="n">
        <f aca="false">(w_ntm28*Sens!G10745+(1-w_ntm28)*Sens!H10745)*m_ai</f>
        <v>338.776008390068</v>
      </c>
    </row>
    <row r="10898" customFormat="false" ht="17.15" hidden="false" customHeight="false" outlineLevel="0" collapsed="false">
      <c r="A10898" s="1" t="s">
        <v>1074</v>
      </c>
      <c r="B10898" s="0" t="s">
        <v>98</v>
      </c>
      <c r="C10898" s="6" t="n">
        <f aca="false">(w_ntm28*Sens!G10889+(1-w_ntm28)*Sens!H10889)*m_cloud</f>
        <v>1064.00001714192</v>
      </c>
    </row>
    <row r="10899" customFormat="false" ht="17.15" hidden="false" customHeight="false" outlineLevel="0" collapsed="false">
      <c r="A10899" s="1" t="s">
        <v>1075</v>
      </c>
      <c r="B10899" s="0" t="s">
        <v>98</v>
      </c>
      <c r="C10899" s="6" t="n">
        <f aca="false">(w_ntm28*Sens!G10882+(1-w_ntm28)*Sens!H10882)*m_sw</f>
        <v>1043.95440967634</v>
      </c>
    </row>
    <row r="10900" customFormat="false" ht="17.15" hidden="false" customHeight="false" outlineLevel="0" collapsed="false">
      <c r="A10900" s="1" t="s">
        <v>1076</v>
      </c>
      <c r="B10900" s="0" t="s">
        <v>98</v>
      </c>
      <c r="C10900" s="6" t="n">
        <f aca="false">(w_ntm28*Sens!G10883+(1-w_ntm28)*Sens!H10883)*m_sw</f>
        <v>379.727798311438</v>
      </c>
    </row>
    <row r="10901" customFormat="false" ht="17.15" hidden="false" customHeight="false" outlineLevel="0" collapsed="false">
      <c r="A10901" s="1" t="s">
        <v>1077</v>
      </c>
      <c r="B10901" s="0" t="s">
        <v>98</v>
      </c>
      <c r="C10901" s="6" t="n">
        <f aca="false">(w_ntm28*Sens!G10884+(1-w_ntm28)*Sens!H10884)*m_sw</f>
        <v>109.417804789641</v>
      </c>
    </row>
    <row r="10902" customFormat="false" ht="17.15" hidden="false" customHeight="false" outlineLevel="0" collapsed="false">
      <c r="A10902" s="1" t="s">
        <v>1078</v>
      </c>
      <c r="B10902" s="0" t="s">
        <v>98</v>
      </c>
      <c r="C10902" s="6" t="n">
        <f aca="false">(w_ntm28*Sens!G10885+(1-w_ntm28)*Sens!H10885)*m_sw</f>
        <v>41.744680394396</v>
      </c>
    </row>
    <row r="10903" customFormat="false" ht="17.15" hidden="false" customHeight="false" outlineLevel="0" collapsed="false">
      <c r="A10903" s="1" t="s">
        <v>1079</v>
      </c>
      <c r="B10903" s="0" t="s">
        <v>98</v>
      </c>
      <c r="C10903" s="6" t="n">
        <f aca="false">(w_ntm28*Sens!G10886+(1-w_ntm28)*Sens!H10886)*m_ads</f>
        <v>115.341603103836</v>
      </c>
    </row>
    <row r="10904" customFormat="false" ht="17.15" hidden="false" customHeight="false" outlineLevel="0" collapsed="false">
      <c r="A10904" s="1" t="s">
        <v>1080</v>
      </c>
      <c r="B10904" s="0" t="s">
        <v>98</v>
      </c>
      <c r="C10904" s="6" t="n">
        <f aca="false">(w_ntm28*Sens!G10891+(1-w_ntm28)*Sens!H10891)*m_game</f>
        <v>99.976183459472</v>
      </c>
    </row>
    <row r="10905" customFormat="false" ht="17.15" hidden="false" customHeight="false" outlineLevel="0" collapsed="false">
      <c r="A10905" s="1" t="s">
        <v>1081</v>
      </c>
      <c r="B10905" s="0" t="s">
        <v>98</v>
      </c>
      <c r="C10905" s="6" t="n">
        <f aca="false">(w_ntm28*Sens!G10892+(1-w_ntm28)*Sens!H10892)*m_pc</f>
        <v>97.1061999180094</v>
      </c>
    </row>
    <row r="10906" customFormat="false" ht="17.15" hidden="false" customHeight="false" outlineLevel="0" collapsed="false">
      <c r="A10906" s="1" t="s">
        <v>1082</v>
      </c>
      <c r="B10906" s="0" t="s">
        <v>98</v>
      </c>
      <c r="C10906" s="6" t="n">
        <f aca="false">Sens!$C$10896+Sens!$C$10898+Sens!$C$10899+Sens!$C$10900+Sens!$C$10901+Sens!$C$10902+Sens!$C$10903+Sens!$C$10904+Sens!$C$10905</f>
        <v>2825.49206094758</v>
      </c>
    </row>
    <row r="10907" customFormat="false" ht="17.15" hidden="false" customHeight="false" outlineLevel="0" collapsed="false">
      <c r="A10907" s="1" t="s">
        <v>1000</v>
      </c>
      <c r="B10907" s="0" t="s">
        <v>98</v>
      </c>
      <c r="C10907" s="6" t="n">
        <f aca="false">Sens!F10857+oai_v-Sens!F10846</f>
        <v>106.844197682163</v>
      </c>
      <c r="L10907" s="1" t="s">
        <v>1083</v>
      </c>
    </row>
    <row r="10908" customFormat="false" ht="15" hidden="false" customHeight="false" outlineLevel="0" collapsed="false">
      <c r="A10908" s="1" t="s">
        <v>1001</v>
      </c>
      <c r="B10908" s="0" t="s">
        <v>75</v>
      </c>
      <c r="C10908" s="5" t="n">
        <f aca="false">(Sens!$C$10906+Sens!$C$10907)/Sens!F10859</f>
        <v>392.443289431175</v>
      </c>
    </row>
    <row r="10909" customFormat="false" ht="17.15" hidden="false" customHeight="false" outlineLevel="0" collapsed="false">
      <c r="A10909" s="1" t="s">
        <v>1084</v>
      </c>
      <c r="B10909" s="0" t="s">
        <v>75</v>
      </c>
      <c r="C10909" s="5" t="n">
        <f aca="false">w_dcf*Sens!$C$10880+(1-w_dcf)*Sens!$C$10908</f>
        <v>345.750849379001</v>
      </c>
    </row>
    <row r="10910" customFormat="false" ht="17.15" hidden="false" customHeight="false" outlineLevel="0" collapsed="false">
      <c r="A10910" s="3" t="s">
        <v>1519</v>
      </c>
    </row>
    <row r="10911" customFormat="false" ht="15" hidden="false" customHeight="false" outlineLevel="0" collapsed="false">
      <c r="A10911" s="4" t="s">
        <v>43</v>
      </c>
      <c r="B10911" s="4" t="s">
        <v>65</v>
      </c>
      <c r="C10911" s="20" t="s">
        <v>788</v>
      </c>
      <c r="D10911" s="20" t="s">
        <v>789</v>
      </c>
      <c r="E10911" s="20" t="s">
        <v>790</v>
      </c>
      <c r="F10911" s="20" t="s">
        <v>791</v>
      </c>
      <c r="G10911" s="20" t="s">
        <v>792</v>
      </c>
      <c r="H10911" s="20" t="s">
        <v>793</v>
      </c>
      <c r="I10911" s="20" t="s">
        <v>794</v>
      </c>
      <c r="J10911" s="20" t="s">
        <v>795</v>
      </c>
      <c r="K10911" s="20" t="s">
        <v>796</v>
      </c>
      <c r="L10911" s="4" t="s">
        <v>47</v>
      </c>
    </row>
    <row r="10912" customFormat="false" ht="17.15" hidden="false" customHeight="false" outlineLevel="0" collapsed="false">
      <c r="A10912" s="1" t="s">
        <v>797</v>
      </c>
      <c r="B10912" s="1" t="s">
        <v>235</v>
      </c>
      <c r="C10912" s="28" t="n">
        <v>2024</v>
      </c>
      <c r="D10912" s="28" t="n">
        <v>2025</v>
      </c>
      <c r="E10912" s="28" t="n">
        <v>2026</v>
      </c>
      <c r="F10912" s="28" t="n">
        <v>2027</v>
      </c>
      <c r="G10912" s="28" t="n">
        <v>2028</v>
      </c>
      <c r="H10912" s="28" t="n">
        <v>2029</v>
      </c>
      <c r="I10912" s="28" t="n">
        <v>2030</v>
      </c>
      <c r="J10912" s="28" t="n">
        <v>2031</v>
      </c>
      <c r="K10912" s="28" t="n">
        <v>2032</v>
      </c>
    </row>
    <row r="10913" customFormat="false" ht="17.15" hidden="false" customHeight="false" outlineLevel="0" collapsed="false">
      <c r="A10913" s="1" t="s">
        <v>798</v>
      </c>
      <c r="B10913" s="0" t="s">
        <v>392</v>
      </c>
      <c r="F10913" s="29" t="n">
        <f aca="false">pace</f>
        <v>2527.2</v>
      </c>
      <c r="G10913" s="29" t="n">
        <f aca="false">pace</f>
        <v>2527.2</v>
      </c>
      <c r="H10913" s="29" t="n">
        <f aca="false">pace</f>
        <v>2527.2</v>
      </c>
      <c r="I10913" s="29" t="n">
        <f aca="false">pace+(g_tv*Sens!H10914-pace)*MIN(1,(Sens!I10912-pace_y0)/(pace_y1-pace_y0))</f>
        <v>1793.116</v>
      </c>
      <c r="J10913" s="29" t="n">
        <f aca="false">pace+(g_tv*Sens!H10914-pace)*MIN(1,(Sens!J10912-pace_y0)/(pace_y1-pace_y0))</f>
        <v>1059.032</v>
      </c>
      <c r="K10913" s="29" t="n">
        <f aca="false">pace+(g_tv*Sens!H10914-pace)*MIN(1,(Sens!K10912-pace_y0)/(pace_y1-pace_y0))</f>
        <v>324.948</v>
      </c>
      <c r="L10913" s="11" t="s">
        <v>799</v>
      </c>
    </row>
    <row r="10914" customFormat="false" ht="17.15" hidden="false" customHeight="false" outlineLevel="0" collapsed="false">
      <c r="A10914" s="1" t="s">
        <v>800</v>
      </c>
      <c r="B10914" s="0" t="s">
        <v>392</v>
      </c>
      <c r="C10914" s="29" t="n">
        <f aca="false">mw_ext_24</f>
        <v>640</v>
      </c>
      <c r="D10914" s="29" t="n">
        <f aca="false">mw_ext_25</f>
        <v>1630</v>
      </c>
      <c r="E10914" s="29" t="n">
        <f aca="false">mw_ext_26</f>
        <v>3250</v>
      </c>
      <c r="F10914" s="29" t="n">
        <f aca="false">Sens!E10914+Sens!F10913</f>
        <v>5777.2</v>
      </c>
      <c r="G10914" s="29" t="n">
        <f aca="false">Sens!F10914+Sens!G10913</f>
        <v>8304.4</v>
      </c>
      <c r="H10914" s="29" t="n">
        <f aca="false">Sens!G10914+Sens!H10913</f>
        <v>10831.6</v>
      </c>
      <c r="I10914" s="29" t="n">
        <f aca="false">Sens!H10914+Sens!I10913</f>
        <v>12624.716</v>
      </c>
      <c r="J10914" s="29" t="n">
        <f aca="false">Sens!I10914+Sens!J10913</f>
        <v>13683.748</v>
      </c>
      <c r="K10914" s="29" t="n">
        <f aca="false">Sens!J10914+Sens!K10913</f>
        <v>14008.696</v>
      </c>
      <c r="L10914" s="1" t="s">
        <v>801</v>
      </c>
    </row>
    <row r="10915" customFormat="false" ht="17.15" hidden="false" customHeight="false" outlineLevel="0" collapsed="false">
      <c r="A10915" s="1" t="s">
        <v>802</v>
      </c>
      <c r="B10915" s="0" t="s">
        <v>392</v>
      </c>
      <c r="C10915" s="29" t="n">
        <f aca="false">rent_ext_24</f>
        <v>150</v>
      </c>
      <c r="D10915" s="29" t="n">
        <f aca="false">rent_ext_25</f>
        <v>400</v>
      </c>
      <c r="E10915" s="29" t="n">
        <f aca="false">rent_ext_26</f>
        <v>550</v>
      </c>
      <c r="F10915" s="29" t="n">
        <f aca="false">rent_ext_f</f>
        <v>756</v>
      </c>
      <c r="G10915" s="29" t="n">
        <f aca="false">rent_ext_f</f>
        <v>756</v>
      </c>
      <c r="H10915" s="29" t="n">
        <f aca="false">rent_ext_f</f>
        <v>756</v>
      </c>
      <c r="I10915" s="29" t="n">
        <f aca="false">rent_ext_f</f>
        <v>756</v>
      </c>
      <c r="J10915" s="29" t="n">
        <f aca="false">rent_ext_f</f>
        <v>756</v>
      </c>
      <c r="K10915" s="29" t="n">
        <f aca="false">rent_ext_f</f>
        <v>756</v>
      </c>
      <c r="L10915" s="1" t="s">
        <v>803</v>
      </c>
    </row>
    <row r="10916" customFormat="false" ht="17.15" hidden="false" customHeight="false" outlineLevel="0" collapsed="false">
      <c r="A10916" s="1" t="s">
        <v>804</v>
      </c>
      <c r="B10916" s="0" t="s">
        <v>392</v>
      </c>
      <c r="C10916" s="29" t="n">
        <f aca="false">Sens!C10914-Sens!C10915</f>
        <v>490</v>
      </c>
      <c r="D10916" s="29" t="n">
        <f aca="false">Sens!D10914-Sens!D10915</f>
        <v>1230</v>
      </c>
      <c r="E10916" s="29" t="n">
        <f aca="false">Sens!E10914-Sens!E10915</f>
        <v>2700</v>
      </c>
      <c r="F10916" s="29" t="n">
        <f aca="false">Sens!F10914-Sens!F10915</f>
        <v>5021.2</v>
      </c>
      <c r="G10916" s="29" t="n">
        <f aca="false">Sens!G10914-Sens!G10915</f>
        <v>7548.4</v>
      </c>
      <c r="H10916" s="29" t="n">
        <f aca="false">Sens!H10914-Sens!H10915</f>
        <v>10075.6</v>
      </c>
      <c r="I10916" s="29" t="n">
        <f aca="false">Sens!I10914-Sens!I10915</f>
        <v>11868.716</v>
      </c>
      <c r="J10916" s="29" t="n">
        <f aca="false">Sens!J10914-Sens!J10915</f>
        <v>12927.748</v>
      </c>
      <c r="K10916" s="29" t="n">
        <f aca="false">Sens!K10914-Sens!K10915</f>
        <v>13252.696</v>
      </c>
    </row>
    <row r="10917" customFormat="false" ht="17.15" hidden="false" customHeight="false" outlineLevel="0" collapsed="false">
      <c r="A10917" s="1" t="s">
        <v>805</v>
      </c>
      <c r="B10917" s="0" t="s">
        <v>392</v>
      </c>
      <c r="C10917" s="29" t="n">
        <f aca="false">Sens!C10916/ext_sh</f>
        <v>816.666666666667</v>
      </c>
      <c r="D10917" s="29" t="n">
        <f aca="false">Sens!D10916/ext_sh</f>
        <v>2050</v>
      </c>
      <c r="E10917" s="29" t="n">
        <f aca="false">Sens!E10916/ext_sh</f>
        <v>4500</v>
      </c>
      <c r="F10917" s="29" t="n">
        <f aca="false">Sens!F10916/ext_sh</f>
        <v>8368.66666666667</v>
      </c>
      <c r="G10917" s="29" t="n">
        <f aca="false">Sens!G10916/ext_sh</f>
        <v>12580.6666666667</v>
      </c>
      <c r="H10917" s="29" t="n">
        <f aca="false">Sens!H10916/ext_sh</f>
        <v>16792.6666666667</v>
      </c>
      <c r="I10917" s="29" t="n">
        <f aca="false">Sens!I10916/ext_sh</f>
        <v>19781.1933333333</v>
      </c>
      <c r="J10917" s="29" t="n">
        <f aca="false">Sens!J10916/ext_sh</f>
        <v>21546.2466666667</v>
      </c>
      <c r="K10917" s="29" t="n">
        <f aca="false">Sens!K10916/ext_sh</f>
        <v>22087.8266666667</v>
      </c>
      <c r="L10917" s="1" t="s">
        <v>806</v>
      </c>
    </row>
    <row r="10918" customFormat="false" ht="17.15" hidden="false" customHeight="false" outlineLevel="0" collapsed="false">
      <c r="A10918" s="1" t="s">
        <v>807</v>
      </c>
      <c r="B10918" s="0" t="s">
        <v>392</v>
      </c>
      <c r="C10918" s="29" t="n">
        <f aca="false">Sens!C10917-Sens!C10916</f>
        <v>326.666666666667</v>
      </c>
      <c r="D10918" s="29" t="n">
        <f aca="false">Sens!D10917-Sens!D10916</f>
        <v>820</v>
      </c>
      <c r="E10918" s="29" t="n">
        <f aca="false">Sens!E10917-Sens!E10916</f>
        <v>1800</v>
      </c>
      <c r="F10918" s="29" t="n">
        <f aca="false">Sens!F10917-Sens!F10916</f>
        <v>3347.46666666667</v>
      </c>
      <c r="G10918" s="29" t="n">
        <f aca="false">Sens!G10917-Sens!G10916</f>
        <v>5032.26666666667</v>
      </c>
      <c r="H10918" s="29" t="n">
        <f aca="false">Sens!H10917-Sens!H10916</f>
        <v>6717.06666666667</v>
      </c>
      <c r="I10918" s="29" t="n">
        <f aca="false">Sens!I10917-Sens!I10916</f>
        <v>7912.47733333333</v>
      </c>
      <c r="J10918" s="29" t="n">
        <f aca="false">Sens!J10917-Sens!J10916</f>
        <v>8618.49866666667</v>
      </c>
      <c r="K10918" s="29" t="n">
        <f aca="false">Sens!K10917-Sens!K10916</f>
        <v>8835.13066666667</v>
      </c>
    </row>
    <row r="10919" customFormat="false" ht="17.15" hidden="false" customHeight="false" outlineLevel="0" collapsed="false">
      <c r="A10919" s="1" t="s">
        <v>808</v>
      </c>
      <c r="B10919" s="0" t="s">
        <v>392</v>
      </c>
      <c r="C10919" s="29" t="n">
        <f aca="false">Sens!C10917</f>
        <v>816.666666666667</v>
      </c>
      <c r="D10919" s="29" t="n">
        <f aca="false">Sens!D10917-Sens!C10917</f>
        <v>1233.33333333333</v>
      </c>
      <c r="E10919" s="29" t="n">
        <f aca="false">Sens!E10917-Sens!D10917</f>
        <v>2450</v>
      </c>
      <c r="F10919" s="29" t="n">
        <f aca="false">Sens!F10917-Sens!E10917</f>
        <v>3868.66666666667</v>
      </c>
      <c r="G10919" s="29" t="n">
        <f aca="false">Sens!G10917-Sens!F10917</f>
        <v>4212</v>
      </c>
      <c r="H10919" s="29" t="n">
        <f aca="false">Sens!H10917-Sens!G10917</f>
        <v>4212</v>
      </c>
      <c r="I10919" s="29" t="n">
        <f aca="false">Sens!I10917-Sens!H10917</f>
        <v>2988.52666666667</v>
      </c>
      <c r="J10919" s="29" t="n">
        <f aca="false">Sens!J10917-Sens!I10917</f>
        <v>1765.05333333333</v>
      </c>
      <c r="K10919" s="29" t="n">
        <f aca="false">Sens!K10917-Sens!J10917</f>
        <v>541.580000000002</v>
      </c>
    </row>
    <row r="10920" customFormat="false" ht="17.15" hidden="false" customHeight="false" outlineLevel="0" collapsed="false">
      <c r="A10920" s="1" t="s">
        <v>809</v>
      </c>
      <c r="B10920" s="0" t="s">
        <v>392</v>
      </c>
      <c r="D10920" s="29" t="n">
        <f aca="false">Sens!D10914-Sens!C10914</f>
        <v>990</v>
      </c>
      <c r="E10920" s="29" t="n">
        <f aca="false">Sens!E10914-Sens!D10914</f>
        <v>1620</v>
      </c>
      <c r="F10920" s="29" t="n">
        <f aca="false">Sens!F10914-Sens!E10914</f>
        <v>2527.2</v>
      </c>
      <c r="G10920" s="29" t="n">
        <f aca="false">Sens!G10914-Sens!F10914</f>
        <v>2527.2</v>
      </c>
      <c r="H10920" s="29" t="n">
        <f aca="false">Sens!H10914-Sens!G10914</f>
        <v>2527.2</v>
      </c>
      <c r="I10920" s="29" t="n">
        <f aca="false">Sens!I10914-Sens!H10914</f>
        <v>1793.116</v>
      </c>
      <c r="J10920" s="29" t="n">
        <f aca="false">Sens!J10914-Sens!I10914</f>
        <v>1059.032</v>
      </c>
      <c r="K10920" s="29" t="n">
        <f aca="false">Sens!K10914-Sens!J10914</f>
        <v>324.948</v>
      </c>
    </row>
    <row r="10921" customFormat="false" ht="17.15" hidden="false" customHeight="false" outlineLevel="0" collapsed="false">
      <c r="A10921" s="1" t="s">
        <v>810</v>
      </c>
      <c r="B10921" s="0" t="s">
        <v>392</v>
      </c>
      <c r="F10921" s="29" t="n">
        <f aca="false">Sens!F10938*ext_sh</f>
        <v>0</v>
      </c>
      <c r="G10921" s="29" t="n">
        <f aca="false">Sens!G10938*ext_sh</f>
        <v>0</v>
      </c>
      <c r="H10921" s="29" t="n">
        <f aca="false">Sens!H10938*ext_sh</f>
        <v>0</v>
      </c>
      <c r="I10921" s="29" t="n">
        <f aca="false">Sens!I10938*ext_sh</f>
        <v>490</v>
      </c>
      <c r="J10921" s="29" t="n">
        <f aca="false">Sens!J10938*ext_sh</f>
        <v>740</v>
      </c>
      <c r="K10921" s="29" t="n">
        <f aca="false">Sens!K10938*ext_sh</f>
        <v>1470</v>
      </c>
      <c r="L10921" s="1" t="s">
        <v>811</v>
      </c>
    </row>
    <row r="10922" customFormat="false" ht="17.15" hidden="false" customHeight="false" outlineLevel="0" collapsed="false">
      <c r="A10922" s="1" t="s">
        <v>812</v>
      </c>
      <c r="B10922" s="0" t="s">
        <v>392</v>
      </c>
      <c r="C10922" s="29" t="n">
        <f aca="false">mix_h*Sens!C10914</f>
        <v>128</v>
      </c>
      <c r="D10922" s="29" t="n">
        <f aca="false">mix_h*Sens!D10914</f>
        <v>326</v>
      </c>
      <c r="E10922" s="29" t="n">
        <f aca="false">mix_h*Sens!E10914</f>
        <v>650</v>
      </c>
      <c r="F10922" s="29" t="n">
        <f aca="false">Sens!E10922-Sens!F10921*mix_h</f>
        <v>650</v>
      </c>
      <c r="G10922" s="29" t="n">
        <f aca="false">Sens!F10922-Sens!G10921*mix_h</f>
        <v>650</v>
      </c>
      <c r="H10922" s="29" t="n">
        <f aca="false">Sens!G10922-Sens!H10921*mix_h</f>
        <v>650</v>
      </c>
      <c r="I10922" s="29" t="n">
        <f aca="false">Sens!H10922-Sens!I10921*mix_h</f>
        <v>552</v>
      </c>
      <c r="J10922" s="29" t="n">
        <f aca="false">Sens!I10922-Sens!J10921*mix_h</f>
        <v>404</v>
      </c>
      <c r="K10922" s="29" t="n">
        <f aca="false">Sens!J10922-Sens!K10921*mix_h</f>
        <v>110</v>
      </c>
    </row>
    <row r="10923" customFormat="false" ht="17.15" hidden="false" customHeight="false" outlineLevel="0" collapsed="false">
      <c r="A10923" s="1" t="s">
        <v>813</v>
      </c>
      <c r="B10923" s="0" t="s">
        <v>392</v>
      </c>
      <c r="C10923" s="29" t="n">
        <f aca="false">mix_g2*Sens!C10914</f>
        <v>288</v>
      </c>
      <c r="D10923" s="29" t="n">
        <f aca="false">mix_g2*Sens!D10914</f>
        <v>733.5</v>
      </c>
      <c r="E10923" s="29" t="n">
        <f aca="false">mix_g2*Sens!E10914</f>
        <v>1462.5</v>
      </c>
      <c r="F10923" s="29" t="n">
        <f aca="false">Sens!E10923-Sens!F10921*mix_g2</f>
        <v>1462.5</v>
      </c>
      <c r="G10923" s="29" t="n">
        <f aca="false">Sens!F10923-Sens!G10921*mix_g2</f>
        <v>1462.5</v>
      </c>
      <c r="H10923" s="29" t="n">
        <f aca="false">Sens!G10923-Sens!H10921*mix_g2</f>
        <v>1462.5</v>
      </c>
      <c r="I10923" s="29" t="n">
        <f aca="false">Sens!H10923-Sens!I10921*mix_g2</f>
        <v>1242</v>
      </c>
      <c r="J10923" s="29" t="n">
        <f aca="false">Sens!I10923-Sens!J10921*mix_g2</f>
        <v>909</v>
      </c>
      <c r="K10923" s="29" t="n">
        <f aca="false">Sens!J10923-Sens!K10921*mix_g2</f>
        <v>247.5</v>
      </c>
    </row>
    <row r="10924" customFormat="false" ht="17.15" hidden="false" customHeight="false" outlineLevel="0" collapsed="false">
      <c r="A10924" s="1" t="s">
        <v>814</v>
      </c>
      <c r="B10924" s="0" t="s">
        <v>392</v>
      </c>
      <c r="C10924" s="29" t="n">
        <f aca="false">mix_g3*Sens!C10914</f>
        <v>224</v>
      </c>
      <c r="D10924" s="29" t="n">
        <f aca="false">mix_g3*Sens!D10914</f>
        <v>570.5</v>
      </c>
      <c r="E10924" s="29" t="n">
        <f aca="false">mix_g3*Sens!E10914</f>
        <v>1137.5</v>
      </c>
      <c r="F10924" s="29" t="n">
        <f aca="false">Sens!E10924+(Sens!F10920+Sens!F10921)*a_g3_27-Sens!F10921*mix_g3</f>
        <v>2906.54</v>
      </c>
      <c r="G10924" s="29" t="n">
        <f aca="false">Sens!F10924+(Sens!G10920+Sens!G10921)*a_g3_28-Sens!G10921*mix_g3</f>
        <v>3664.7</v>
      </c>
      <c r="H10924" s="29" t="n">
        <f aca="false">Sens!G10924+(Sens!H10920+Sens!H10921)*a_g3_29-Sens!H10921*mix_g3</f>
        <v>3917.42</v>
      </c>
      <c r="I10924" s="29" t="n">
        <f aca="false">Sens!H10924+(Sens!I10920+Sens!I10921)*a_g3_29-Sens!I10921*mix_g3</f>
        <v>3974.2316</v>
      </c>
      <c r="J10924" s="29" t="n">
        <f aca="false">Sens!I10924+(Sens!J10920+Sens!J10921)*a_g3_29-Sens!J10921*mix_g3</f>
        <v>3895.1348</v>
      </c>
      <c r="K10924" s="29" t="n">
        <f aca="false">Sens!J10924+(Sens!K10920+Sens!K10921)*a_g3_29-Sens!K10921*mix_g3</f>
        <v>3560.1296</v>
      </c>
    </row>
    <row r="10925" customFormat="false" ht="17.15" hidden="false" customHeight="false" outlineLevel="0" collapsed="false">
      <c r="A10925" s="1" t="s">
        <v>815</v>
      </c>
      <c r="B10925" s="0" t="s">
        <v>392</v>
      </c>
      <c r="C10925" s="29" t="n">
        <v>0</v>
      </c>
      <c r="D10925" s="29" t="n">
        <v>0</v>
      </c>
      <c r="E10925" s="29" t="n">
        <v>0</v>
      </c>
      <c r="F10925" s="29" t="n">
        <f aca="false">Sens!E10925+(Sens!F10920+Sens!F10921)*(1-a_g3_27)</f>
        <v>758.16</v>
      </c>
      <c r="G10925" s="29" t="n">
        <f aca="false">Sens!F10925+(Sens!G10920+Sens!G10921)*(1-a_g3_28)</f>
        <v>2527.2</v>
      </c>
      <c r="H10925" s="29" t="n">
        <f aca="false">Sens!G10925+(Sens!H10920+Sens!H10921)*(1-a_g3_29)</f>
        <v>4801.68</v>
      </c>
      <c r="I10925" s="29" t="n">
        <f aca="false">Sens!H10925+(Sens!I10920+Sens!I10921)*(1-a_g3_29)</f>
        <v>6856.4844</v>
      </c>
      <c r="J10925" s="29" t="n">
        <f aca="false">Sens!I10925+(Sens!J10920+Sens!J10921)*(1-a_g3_29)</f>
        <v>8475.6132</v>
      </c>
      <c r="K10925" s="29" t="n">
        <f aca="false">Sens!J10925+(Sens!K10920+Sens!K10921)*(1-a_g3_29)</f>
        <v>10091.0664</v>
      </c>
    </row>
    <row r="10926" customFormat="false" ht="17.15" hidden="false" customHeight="false" outlineLevel="0" collapsed="false">
      <c r="A10926" s="1" t="s">
        <v>816</v>
      </c>
      <c r="B10926" s="0" t="s">
        <v>339</v>
      </c>
      <c r="C10926" s="14" t="n">
        <f aca="false">(Sens!C10922*tk_hold_h100+Sens!C10923*tk_hold_gb200+Sens!C10924*tk_hold_gb300+Sens!C10925*tk_hold_vr200)/Sens!C10914</f>
        <v>9.7235358126469</v>
      </c>
      <c r="D10926" s="14" t="n">
        <f aca="false">(Sens!D10922*tk_hold_h100+Sens!D10923*tk_hold_gb200+Sens!D10924*tk_hold_gb300+Sens!D10925*tk_hold_vr200)/Sens!D10914</f>
        <v>9.7235358126469</v>
      </c>
      <c r="E10926" s="14" t="n">
        <f aca="false">(Sens!E10922*tk_hold_h100+Sens!E10923*tk_hold_gb200+Sens!E10924*tk_hold_gb300+Sens!E10925*tk_hold_vr200)/Sens!E10914</f>
        <v>9.7235358126469</v>
      </c>
      <c r="F10926" s="14" t="n">
        <f aca="false">(Sens!F10922*tk_hold_h100+Sens!F10923*tk_hold_gb200+Sens!F10924*tk_hold_gb300+Sens!F10925*tk_hold_vr200)/Sens!F10914</f>
        <v>10.4079573161931</v>
      </c>
      <c r="G10926" s="14" t="n">
        <f aca="false">(Sens!G10922*tk_hold_h100+Sens!G10923*tk_hold_gb200+Sens!G10924*tk_hold_gb300+Sens!G10925*tk_hold_vr200)/Sens!G10914</f>
        <v>10.8388131109316</v>
      </c>
      <c r="H10926" s="14" t="n">
        <f aca="false">(Sens!H10922*tk_hold_h100+Sens!H10923*tk_hold_gb200+Sens!H10924*tk_hold_gb300+Sens!H10925*tk_hold_vr200)/Sens!H10914</f>
        <v>11.1311018388216</v>
      </c>
      <c r="I10926" s="14" t="n">
        <f aca="false">(Sens!I10922*tk_hold_h100+Sens!I10923*tk_hold_gb200+Sens!I10924*tk_hold_gb300+Sens!I10925*tk_hold_vr200)/Sens!I10914</f>
        <v>11.3594282560989</v>
      </c>
      <c r="J10926" s="14" t="n">
        <f aca="false">(Sens!J10922*tk_hold_h100+Sens!J10923*tk_hold_gb200+Sens!J10924*tk_hold_gb300+Sens!J10925*tk_hold_vr200)/Sens!J10914</f>
        <v>11.5441508808221</v>
      </c>
      <c r="K10926" s="14" t="n">
        <f aca="false">(Sens!K10922*tk_hold_h100+Sens!K10923*tk_hold_gb200+Sens!K10924*tk_hold_gb300+Sens!K10925*tk_hold_vr200)/Sens!K10914</f>
        <v>11.8053375063575</v>
      </c>
    </row>
    <row r="10927" customFormat="false" ht="17.15" hidden="false" customHeight="false" outlineLevel="0" collapsed="false">
      <c r="A10927" s="0" t="s">
        <v>817</v>
      </c>
      <c r="B10927" s="0" t="s">
        <v>185</v>
      </c>
      <c r="C10927" s="14" t="n">
        <f aca="false">k_B</f>
        <v>1.17213932619116</v>
      </c>
      <c r="D10927" s="14" t="n">
        <f aca="false">k_B</f>
        <v>1.17213932619116</v>
      </c>
      <c r="E10927" s="14" t="n">
        <f aca="false">k_B</f>
        <v>1.17213932619116</v>
      </c>
      <c r="F10927" s="14" t="n">
        <f aca="false">(k_B+((ls_A*k_long+(1-ls_A)*k_spot)-k_B)*MIN(1,(Sens!F10912-base_fy)/k_ramp))</f>
        <v>1.25022828131298</v>
      </c>
      <c r="G10927" s="14" t="n">
        <f aca="false">(k_B+((ls_A*k_long+(1-ls_A)*k_spot)-k_B)*MIN(1,(Sens!G10912-base_fy)/k_ramp))</f>
        <v>1.3283172364348</v>
      </c>
      <c r="H10927" s="14" t="n">
        <f aca="false">(k_B+((ls_A*k_long+(1-ls_A)*k_spot)-k_B)*MIN(1,(Sens!H10912-base_fy)/k_ramp))</f>
        <v>1.40640619155662</v>
      </c>
      <c r="I10927" s="14" t="n">
        <f aca="false">(k_B+((ls_A*k_long+(1-ls_A)*k_spot)-k_B)*MIN(1,(Sens!I10912-base_fy)/k_ramp))</f>
        <v>1.40640619155662</v>
      </c>
      <c r="J10927" s="14" t="n">
        <f aca="false">(k_B+((ls_A*k_long+(1-ls_A)*k_spot)-k_B)*MIN(1,(Sens!J10912-base_fy)/k_ramp))</f>
        <v>1.40640619155662</v>
      </c>
      <c r="K10927" s="14" t="n">
        <f aca="false">(k_B+((ls_A*k_long+(1-ls_A)*k_spot)-k_B)*MIN(1,(Sens!K10912-base_fy)/k_ramp))</f>
        <v>1.40640619155662</v>
      </c>
      <c r="L10927" s="1" t="s">
        <v>818</v>
      </c>
    </row>
    <row r="10928" customFormat="false" ht="17.15" hidden="false" customHeight="false" outlineLevel="0" collapsed="false">
      <c r="A10928" s="1" t="s">
        <v>819</v>
      </c>
      <c r="B10928" s="0" t="s">
        <v>339</v>
      </c>
      <c r="C10928" s="14" t="n">
        <f aca="false">Sens!C10926*Sens!C10927*chip_f</f>
        <v>11.3973387156315</v>
      </c>
      <c r="D10928" s="14" t="n">
        <f aca="false">Sens!D10926*Sens!D10927*chip_f</f>
        <v>11.3973387156315</v>
      </c>
      <c r="E10928" s="14" t="n">
        <f aca="false">Sens!E10926*Sens!E10927*chip_f</f>
        <v>11.3973387156315</v>
      </c>
      <c r="F10928" s="14" t="n">
        <f aca="false">Sens!F10926*Sens!F10927*chip_f</f>
        <v>13.0123225874029</v>
      </c>
      <c r="G10928" s="14" t="n">
        <f aca="false">Sens!G10926*Sens!G10927*chip_f</f>
        <v>14.3973822777458</v>
      </c>
      <c r="H10928" s="14" t="n">
        <f aca="false">Sens!H10926*Sens!H10927*chip_f</f>
        <v>15.6548505449659</v>
      </c>
      <c r="I10928" s="14" t="n">
        <f aca="false">Sens!I10926*Sens!I10927*chip_f</f>
        <v>15.9759702319207</v>
      </c>
      <c r="J10928" s="14" t="n">
        <f aca="false">Sens!J10926*Sens!J10927*chip_f</f>
        <v>16.2357652750519</v>
      </c>
      <c r="K10928" s="14" t="n">
        <f aca="false">Sens!K10926*Sens!K10927*chip_f</f>
        <v>16.6030997623568</v>
      </c>
      <c r="L10928" s="1" t="s">
        <v>820</v>
      </c>
    </row>
    <row r="10929" customFormat="false" ht="17.15" hidden="false" customHeight="false" outlineLevel="0" collapsed="false">
      <c r="A10929" s="0" t="s">
        <v>821</v>
      </c>
      <c r="B10929" s="0" t="s">
        <v>98</v>
      </c>
      <c r="D10929" s="6" t="n">
        <f aca="false">(Sens!C10914+Sens!D10914)/2*Sens!D10928/1000</f>
        <v>12.9359794422418</v>
      </c>
      <c r="E10929" s="6" t="n">
        <f aca="false">(Sens!D10914+Sens!E10914)/2*Sens!E10928/1000</f>
        <v>27.8095064661409</v>
      </c>
      <c r="F10929" s="6" t="n">
        <f aca="false">(Sens!E10914+Sens!F10914)/2*Sens!F10928/1000</f>
        <v>58.7324192305018</v>
      </c>
      <c r="G10929" s="6" t="n">
        <f aca="false">(Sens!F10914+Sens!G10914)/2*Sens!G10928/1000</f>
        <v>101.369089141153</v>
      </c>
      <c r="H10929" s="6" t="n">
        <f aca="false">(Sens!G10914+Sens!H10914)/2*Sens!H10928/1000</f>
        <v>149.785610014234</v>
      </c>
      <c r="I10929" s="6" t="n">
        <f aca="false">(Sens!H10914+Sens!I10914)/2*Sens!I10928/1000</f>
        <v>187.368703083263</v>
      </c>
      <c r="J10929" s="6" t="n">
        <f aca="false">(Sens!I10914+Sens!J10914)/2*Sens!J10928/1000</f>
        <v>213.569023125577</v>
      </c>
      <c r="K10929" s="6" t="n">
        <f aca="false">(Sens!J10914+Sens!K10914)/2*Sens!K10928/1000</f>
        <v>229.890205197739</v>
      </c>
      <c r="L10929" s="11" t="s">
        <v>822</v>
      </c>
    </row>
    <row r="10930" customFormat="false" ht="17.15" hidden="false" customHeight="false" outlineLevel="0" collapsed="false">
      <c r="A10930" s="1" t="s">
        <v>823</v>
      </c>
      <c r="B10930" s="0" t="s">
        <v>339</v>
      </c>
      <c r="C10930" s="14" t="n">
        <f aca="false">(Sens!C10922*tk_opex_h100+Sens!C10923*tk_opex_gb200+Sens!C10924*tk_opex_gb300+Sens!C10925*tk_opex_vr200)/Sens!C10914</f>
        <v>1.88636041306092</v>
      </c>
      <c r="D10930" s="14" t="n">
        <f aca="false">(Sens!D10922*tk_opex_h100+Sens!D10923*tk_opex_gb200+Sens!D10924*tk_opex_gb300+Sens!D10925*tk_opex_vr200)/Sens!D10914</f>
        <v>1.88636041306092</v>
      </c>
      <c r="E10930" s="14" t="n">
        <f aca="false">(Sens!E10922*tk_opex_h100+Sens!E10923*tk_opex_gb200+Sens!E10924*tk_opex_gb300+Sens!E10925*tk_opex_vr200)/Sens!E10914</f>
        <v>1.88636041306092</v>
      </c>
      <c r="F10930" s="14" t="n">
        <f aca="false">(Sens!F10922*tk_opex_h100+Sens!F10923*tk_opex_gb200+Sens!F10924*tk_opex_gb300+Sens!F10925*tk_opex_vr200)/Sens!F10914</f>
        <v>1.9430236476499</v>
      </c>
      <c r="G10930" s="14" t="n">
        <f aca="false">(Sens!G10922*tk_opex_h100+Sens!G10923*tk_opex_gb200+Sens!G10924*tk_opex_gb300+Sens!G10925*tk_opex_vr200)/Sens!G10914</f>
        <v>1.9786941852423</v>
      </c>
      <c r="H10930" s="14" t="n">
        <f aca="false">(Sens!H10922*tk_opex_h100+Sens!H10923*tk_opex_gb200+Sens!H10924*tk_opex_gb300+Sens!H10925*tk_opex_vr200)/Sens!H10914</f>
        <v>2.00289275976156</v>
      </c>
      <c r="I10930" s="14" t="n">
        <f aca="false">(Sens!I10922*tk_opex_h100+Sens!I10923*tk_opex_gb200+Sens!I10924*tk_opex_gb300+Sens!I10925*tk_opex_vr200)/Sens!I10914</f>
        <v>2.02179589661219</v>
      </c>
      <c r="J10930" s="14" t="n">
        <f aca="false">(Sens!J10922*tk_opex_h100+Sens!J10923*tk_opex_gb200+Sens!J10924*tk_opex_gb300+Sens!J10925*tk_opex_vr200)/Sens!J10914</f>
        <v>2.03708907685909</v>
      </c>
      <c r="K10930" s="14" t="n">
        <f aca="false">(Sens!K10922*tk_opex_h100+Sens!K10923*tk_opex_gb200+Sens!K10924*tk_opex_gb300+Sens!K10925*tk_opex_vr200)/Sens!K10914</f>
        <v>2.05871270931005</v>
      </c>
    </row>
    <row r="10931" customFormat="false" ht="17.15" hidden="false" customHeight="false" outlineLevel="0" collapsed="false">
      <c r="A10931" s="0" t="s">
        <v>824</v>
      </c>
      <c r="B10931" s="0" t="s">
        <v>98</v>
      </c>
      <c r="D10931" s="6" t="n">
        <f aca="false">(Sens!C10917+Sens!D10917)/2*Sens!D10930/1000</f>
        <v>2.70378325872065</v>
      </c>
      <c r="E10931" s="6" t="n">
        <f aca="false">(Sens!D10917+Sens!E10917)/2*Sens!E10930/1000</f>
        <v>6.17783035277451</v>
      </c>
      <c r="F10931" s="6" t="n">
        <f aca="false">(Sens!E10917+Sens!F10917)/2*Sens!F10930/1000</f>
        <v>12.5020618235287</v>
      </c>
      <c r="G10931" s="6" t="n">
        <f aca="false">(Sens!F10917+Sens!G10917)/2*Sens!G10930/1000</f>
        <v>20.7261620256847</v>
      </c>
      <c r="H10931" s="6" t="n">
        <f aca="false">(Sens!G10917+Sens!H10917)/2*Sens!H10930/1000</f>
        <v>29.4158183316982</v>
      </c>
      <c r="I10931" s="6" t="n">
        <f aca="false">(Sens!H10917+Sens!I10917)/2*Sens!I10930/1000</f>
        <v>36.9724400356344</v>
      </c>
      <c r="J10931" s="6" t="n">
        <f aca="false">(Sens!I10917+Sens!J10917)/2*Sens!J10930/1000</f>
        <v>42.0938382992747</v>
      </c>
      <c r="K10931" s="6" t="n">
        <f aca="false">(Sens!J10917+Sens!K10917)/2*Sens!K10930/1000</f>
        <v>44.9150106651501</v>
      </c>
    </row>
    <row r="10932" customFormat="false" ht="17.15" hidden="false" customHeight="false" outlineLevel="0" collapsed="false">
      <c r="A10932" s="0" t="s">
        <v>825</v>
      </c>
      <c r="B10932" s="0" t="s">
        <v>98</v>
      </c>
      <c r="D10932" s="6" t="n">
        <f aca="false">(Sens!C10915+Sens!D10915)/2*rent_mw/1000</f>
        <v>2.44475</v>
      </c>
      <c r="E10932" s="6" t="n">
        <f aca="false">(Sens!D10915+Sens!E10915)/2*rent_mw/1000</f>
        <v>4.22275</v>
      </c>
      <c r="F10932" s="6" t="n">
        <f aca="false">(Sens!E10915+Sens!F10915)/2*rent_mw/1000</f>
        <v>5.80517</v>
      </c>
      <c r="G10932" s="6" t="n">
        <f aca="false">(Sens!F10915+Sens!G10915)/2*rent_mw/1000</f>
        <v>6.72084</v>
      </c>
      <c r="H10932" s="6" t="n">
        <f aca="false">(Sens!G10915+Sens!H10915)/2*rent_mw/1000</f>
        <v>6.72084</v>
      </c>
      <c r="I10932" s="6" t="n">
        <f aca="false">(Sens!H10915+Sens!I10915)/2*rent_mw/1000</f>
        <v>6.72084</v>
      </c>
      <c r="J10932" s="6" t="n">
        <f aca="false">(Sens!I10915+Sens!J10915)/2*rent_mw/1000</f>
        <v>6.72084</v>
      </c>
      <c r="K10932" s="6" t="n">
        <f aca="false">(Sens!J10915+Sens!K10915)/2*rent_mw/1000</f>
        <v>6.72084</v>
      </c>
    </row>
    <row r="10933" customFormat="false" ht="17.15" hidden="false" customHeight="false" outlineLevel="0" collapsed="false">
      <c r="A10933" s="0" t="s">
        <v>826</v>
      </c>
      <c r="B10933" s="0" t="s">
        <v>98</v>
      </c>
      <c r="D10933" s="6" t="n">
        <f aca="false">(Sens!C10917+Sens!D10917)/2*(1-self_build)*fac_rent/1000</f>
        <v>0.853242375631075</v>
      </c>
      <c r="E10933" s="6" t="n">
        <f aca="false">(Sens!D10917+Sens!E10917)/2*(1-self_build)*fac_rent/1000</f>
        <v>1.94955961408728</v>
      </c>
      <c r="F10933" s="6" t="n">
        <f aca="false">(Sens!E10917+Sens!F10917)/2*(1-self_build)*fac_rent/1000</f>
        <v>3.83026455274573</v>
      </c>
      <c r="G10933" s="6" t="n">
        <f aca="false">(Sens!F10917+Sens!G10917)/2*(1-self_build)*fac_rent/1000</f>
        <v>6.23541590972812</v>
      </c>
      <c r="H10933" s="6" t="n">
        <f aca="false">(Sens!G10917+Sens!H10917)/2*(1-self_build)*fac_rent/1000</f>
        <v>8.74275792332679</v>
      </c>
      <c r="I10933" s="6" t="n">
        <f aca="false">(Sens!H10917+Sens!I10917)/2*(1-self_build)*fac_rent/1000</f>
        <v>10.8859420438599</v>
      </c>
      <c r="J10933" s="6" t="n">
        <f aca="false">(Sens!I10917+Sens!J10917)/2*(1-self_build)*fac_rent/1000</f>
        <v>12.3008103782619</v>
      </c>
      <c r="K10933" s="6" t="n">
        <f aca="false">(Sens!J10917+Sens!K10917)/2*(1-self_build)*fac_rent/1000</f>
        <v>12.9873629265328</v>
      </c>
      <c r="L10933" s="11" t="s">
        <v>827</v>
      </c>
    </row>
    <row r="10934" customFormat="false" ht="17.15" hidden="false" customHeight="false" outlineLevel="0" collapsed="false">
      <c r="A10934" s="1" t="s">
        <v>828</v>
      </c>
      <c r="B10934" s="0" t="s">
        <v>129</v>
      </c>
      <c r="D10934" s="7" t="n">
        <f aca="false">(Sens!C10916+Sens!D10916)/(Sens!C10917+Sens!D10917)</f>
        <v>0.6</v>
      </c>
      <c r="E10934" s="7" t="n">
        <f aca="false">(Sens!D10916+Sens!E10916)/(Sens!D10917+Sens!E10917)</f>
        <v>0.6</v>
      </c>
      <c r="F10934" s="7" t="n">
        <f aca="false">(Sens!E10916+Sens!F10916)/(Sens!E10917+Sens!F10917)</f>
        <v>0.6</v>
      </c>
      <c r="G10934" s="7" t="n">
        <f aca="false">(Sens!F10916+Sens!G10916)/(Sens!F10917+Sens!G10917)</f>
        <v>0.6</v>
      </c>
      <c r="H10934" s="7" t="n">
        <f aca="false">(Sens!G10916+Sens!H10916)/(Sens!G10917+Sens!H10917)</f>
        <v>0.6</v>
      </c>
      <c r="I10934" s="7" t="n">
        <f aca="false">(Sens!H10916+Sens!I10916)/(Sens!H10917+Sens!I10917)</f>
        <v>0.6</v>
      </c>
      <c r="J10934" s="7" t="n">
        <f aca="false">(Sens!I10916+Sens!J10916)/(Sens!I10917+Sens!J10917)</f>
        <v>0.6</v>
      </c>
      <c r="K10934" s="7" t="n">
        <f aca="false">(Sens!J10916+Sens!K10916)/(Sens!J10917+Sens!K10917)</f>
        <v>0.6</v>
      </c>
    </row>
    <row r="10935" customFormat="false" ht="17.15" hidden="false" customHeight="false" outlineLevel="0" collapsed="false">
      <c r="A10935" s="0" t="s">
        <v>829</v>
      </c>
      <c r="B10935" s="0" t="s">
        <v>98</v>
      </c>
      <c r="D10935" s="6" t="n">
        <f aca="false">Sens!D10929-Sens!D10934*(Sens!D10931+Sens!D10933)-Sens!D10932</f>
        <v>8.35701406163072</v>
      </c>
      <c r="E10935" s="6" t="n">
        <f aca="false">Sens!E10929-Sens!E10934*(Sens!E10931+Sens!E10933)-Sens!E10932</f>
        <v>18.7103224860238</v>
      </c>
      <c r="F10935" s="6" t="n">
        <f aca="false">Sens!F10929-Sens!F10934*(Sens!F10931+Sens!F10933)-Sens!F10932</f>
        <v>43.1278534047371</v>
      </c>
      <c r="G10935" s="6" t="n">
        <f aca="false">Sens!G10929-Sens!G10934*(Sens!G10931+Sens!G10933)-Sens!G10932</f>
        <v>78.4713023799053</v>
      </c>
      <c r="H10935" s="6" t="n">
        <f aca="false">Sens!H10929-Sens!H10934*(Sens!H10931+Sens!H10933)-Sens!H10932</f>
        <v>120.169624261219</v>
      </c>
      <c r="I10935" s="6" t="n">
        <f aca="false">Sens!I10929-Sens!I10934*(Sens!I10931+Sens!I10933)-Sens!I10932</f>
        <v>151.932833835566</v>
      </c>
      <c r="J10935" s="6" t="n">
        <f aca="false">Sens!J10929-Sens!J10934*(Sens!J10931+Sens!J10933)-Sens!J10932</f>
        <v>174.211393919055</v>
      </c>
      <c r="K10935" s="6" t="n">
        <f aca="false">Sens!K10929-Sens!K10934*(Sens!K10931+Sens!K10933)-Sens!K10932</f>
        <v>188.427941042729</v>
      </c>
    </row>
    <row r="10936" customFormat="false" ht="17.15" hidden="false" customHeight="false" outlineLevel="0" collapsed="false">
      <c r="A10936" s="1" t="s">
        <v>830</v>
      </c>
      <c r="B10936" s="0" t="s">
        <v>98</v>
      </c>
      <c r="D10936" s="6" t="n">
        <f aca="false">(1-Sens!D10934)*(Sens!D10931+Sens!D10933)</f>
        <v>1.42281025374069</v>
      </c>
      <c r="E10936" s="6" t="n">
        <f aca="false">(1-Sens!E10934)*(Sens!E10931+Sens!E10933)</f>
        <v>3.25095598674472</v>
      </c>
      <c r="F10936" s="6" t="n">
        <f aca="false">(1-Sens!F10934)*(Sens!F10931+Sens!F10933)</f>
        <v>6.53293055050977</v>
      </c>
      <c r="G10936" s="6" t="n">
        <f aca="false">(1-Sens!G10934)*(Sens!G10931+Sens!G10933)</f>
        <v>10.7846311741651</v>
      </c>
      <c r="H10936" s="6" t="n">
        <f aca="false">(1-Sens!H10934)*(Sens!H10931+Sens!H10933)</f>
        <v>15.26343050201</v>
      </c>
      <c r="I10936" s="6" t="n">
        <f aca="false">(1-Sens!I10934)*(Sens!I10931+Sens!I10933)</f>
        <v>19.1433528317977</v>
      </c>
      <c r="J10936" s="6" t="n">
        <f aca="false">(1-Sens!J10934)*(Sens!J10931+Sens!J10933)</f>
        <v>21.7578594710146</v>
      </c>
      <c r="K10936" s="6" t="n">
        <f aca="false">(1-Sens!K10934)*(Sens!K10931+Sens!K10933)</f>
        <v>23.1609494366731</v>
      </c>
    </row>
    <row r="10937" customFormat="false" ht="17.15" hidden="false" customHeight="false" outlineLevel="0" collapsed="false">
      <c r="A10937" s="1" t="s">
        <v>831</v>
      </c>
      <c r="B10937" s="0" t="s">
        <v>350</v>
      </c>
      <c r="C10937" s="8" t="n">
        <f aca="false">cxit_open</f>
        <v>27.5918995</v>
      </c>
      <c r="D10937" s="8" t="n">
        <f aca="false">cxit_open</f>
        <v>27.5918995</v>
      </c>
      <c r="E10937" s="8" t="n">
        <f aca="false">cxit_open</f>
        <v>27.5918995</v>
      </c>
      <c r="F10937" s="8" t="n">
        <f aca="false">(a_g3_27*tk_cxit_gb300+(1-a_g3_27)*tk_cxit_vr200)</f>
        <v>33.8419624</v>
      </c>
      <c r="G10937" s="8" t="n">
        <f aca="false">(a_g3_28*tk_cxit_gb300+(1-a_g3_28)*tk_cxit_vr200)</f>
        <v>35.9816136</v>
      </c>
      <c r="H10937" s="8" t="n">
        <f aca="false">(a_g3_29*tk_cxit_gb300+(1-a_g3_29)*tk_cxit_vr200)</f>
        <v>37.0514392</v>
      </c>
      <c r="I10937" s="8" t="n">
        <f aca="false">(a_g3_29*tk_cxit_gb300+(1-a_g3_29)*tk_cxit_vr200)</f>
        <v>37.0514392</v>
      </c>
      <c r="J10937" s="8" t="n">
        <f aca="false">(a_g3_29*tk_cxit_gb300+(1-a_g3_29)*tk_cxit_vr200)</f>
        <v>37.0514392</v>
      </c>
      <c r="K10937" s="8" t="n">
        <f aca="false">(a_g3_29*tk_cxit_gb300+(1-a_g3_29)*tk_cxit_vr200)</f>
        <v>37.0514392</v>
      </c>
      <c r="L10937" s="11" t="s">
        <v>832</v>
      </c>
    </row>
    <row r="10938" customFormat="false" ht="17.15" hidden="false" customHeight="false" outlineLevel="0" collapsed="false">
      <c r="A10938" s="0" t="s">
        <v>833</v>
      </c>
      <c r="B10938" s="0" t="s">
        <v>392</v>
      </c>
      <c r="F10938" s="29" t="n">
        <f aca="false">Sens!C10919*IF(Sens!F10912-Sens!C10912=life_it,1,0)+Sens!D10919*IF(Sens!F10912-Sens!D10912=life_it,1,0)+Sens!E10919*IF(Sens!F10912-Sens!E10912=life_it,1,0)</f>
        <v>0</v>
      </c>
      <c r="G10938" s="29" t="n">
        <f aca="false">Sens!C10919*IF(Sens!G10912-Sens!C10912=life_it,1,0)+Sens!D10919*IF(Sens!G10912-Sens!D10912=life_it,1,0)+Sens!E10919*IF(Sens!G10912-Sens!E10912=life_it,1,0)+Sens!F10919*IF(Sens!G10912-Sens!F10912=life_it,1,0)</f>
        <v>0</v>
      </c>
      <c r="H10938" s="29" t="n">
        <f aca="false">Sens!C10919*IF(Sens!H10912-Sens!C10912=life_it,1,0)+Sens!D10919*IF(Sens!H10912-Sens!D10912=life_it,1,0)+Sens!E10919*IF(Sens!H10912-Sens!E10912=life_it,1,0)+Sens!F10919*IF(Sens!H10912-Sens!F10912=life_it,1,0)+Sens!G10919*IF(Sens!H10912-Sens!G10912=life_it,1,0)</f>
        <v>0</v>
      </c>
      <c r="I10938" s="29" t="n">
        <f aca="false">Sens!C10919*IF(Sens!I10912-Sens!C10912=life_it,1,0)+Sens!D10919*IF(Sens!I10912-Sens!D10912=life_it,1,0)+Sens!E10919*IF(Sens!I10912-Sens!E10912=life_it,1,0)+Sens!F10919*IF(Sens!I10912-Sens!F10912=life_it,1,0)+Sens!G10919*IF(Sens!I10912-Sens!G10912=life_it,1,0)+Sens!H10919*IF(Sens!I10912-Sens!H10912=life_it,1,0)</f>
        <v>816.666666666667</v>
      </c>
      <c r="J10938" s="29" t="n">
        <f aca="false">Sens!C10919*IF(Sens!J10912-Sens!C10912=life_it,1,0)+Sens!D10919*IF(Sens!J10912-Sens!D10912=life_it,1,0)+Sens!E10919*IF(Sens!J10912-Sens!E10912=life_it,1,0)+Sens!F10919*IF(Sens!J10912-Sens!F10912=life_it,1,0)+Sens!G10919*IF(Sens!J10912-Sens!G10912=life_it,1,0)+Sens!H10919*IF(Sens!J10912-Sens!H10912=life_it,1,0)+Sens!I10919*IF(Sens!J10912-Sens!I10912=life_it,1,0)</f>
        <v>1233.33333333333</v>
      </c>
      <c r="K10938" s="29" t="n">
        <f aca="false">Sens!C10919*IF(Sens!K10912-Sens!C10912=life_it,1,0)+Sens!D10919*IF(Sens!K10912-Sens!D10912=life_it,1,0)+Sens!E10919*IF(Sens!K10912-Sens!E10912=life_it,1,0)+Sens!F10919*IF(Sens!K10912-Sens!F10912=life_it,1,0)+Sens!G10919*IF(Sens!K10912-Sens!G10912=life_it,1,0)+Sens!H10919*IF(Sens!K10912-Sens!H10912=life_it,1,0)+Sens!I10919*IF(Sens!K10912-Sens!I10912=life_it,1,0)+Sens!J10919*IF(Sens!K10912-Sens!J10912=life_it,1,0)</f>
        <v>2450</v>
      </c>
      <c r="L10938" s="1" t="s">
        <v>834</v>
      </c>
    </row>
    <row r="10939" customFormat="false" ht="17.15" hidden="false" customHeight="false" outlineLevel="0" collapsed="false">
      <c r="A10939" s="0" t="s">
        <v>835</v>
      </c>
      <c r="B10939" s="0" t="s">
        <v>98</v>
      </c>
      <c r="C10939" s="6" t="n">
        <f aca="false">Sens!C10919*Sens!C10937/1000</f>
        <v>22.5333845916667</v>
      </c>
      <c r="D10939" s="6" t="n">
        <f aca="false">Sens!D10919*Sens!D10937/1000</f>
        <v>34.0300093833333</v>
      </c>
      <c r="E10939" s="6" t="n">
        <f aca="false">Sens!E10919*Sens!E10937/1000</f>
        <v>67.600153775</v>
      </c>
      <c r="F10939" s="6" t="n">
        <f aca="false">(Sens!F10919+Sens!F10938)*Sens!F10937/1000</f>
        <v>130.923271871467</v>
      </c>
      <c r="G10939" s="6" t="n">
        <f aca="false">(Sens!G10919+Sens!G10938)*Sens!G10937/1000</f>
        <v>151.5545564832</v>
      </c>
      <c r="H10939" s="6" t="n">
        <f aca="false">(Sens!H10919+Sens!H10938)*Sens!H10937/1000</f>
        <v>156.0606619104</v>
      </c>
      <c r="I10939" s="6" t="n">
        <f aca="false">(Sens!I10919+Sens!I10938)*Sens!I10937/1000</f>
        <v>140.987889434245</v>
      </c>
      <c r="J10939" s="6" t="n">
        <f aca="false">(Sens!J10919+Sens!J10938)*Sens!J10937/1000</f>
        <v>111.094541278091</v>
      </c>
      <c r="K10939" s="6" t="n">
        <f aca="false">(Sens!K10919+Sens!K10938)*Sens!K10937/1000</f>
        <v>110.842344481936</v>
      </c>
    </row>
    <row r="10940" customFormat="false" ht="17.15" hidden="false" customHeight="false" outlineLevel="0" collapsed="false">
      <c r="A10940" s="0" t="s">
        <v>836</v>
      </c>
      <c r="B10940" s="0" t="s">
        <v>98</v>
      </c>
      <c r="C10940" s="6" t="n">
        <f aca="false">Sens!C10919*self_build*tk_cxfac/1000</f>
        <v>6.2083</v>
      </c>
      <c r="D10940" s="6" t="n">
        <f aca="false">Sens!D10919*self_build*tk_cxfac/1000</f>
        <v>9.3758</v>
      </c>
      <c r="E10940" s="6" t="n">
        <f aca="false">Sens!E10919*self_build*tk_cxfac/1000</f>
        <v>18.6249</v>
      </c>
      <c r="F10940" s="6" t="n">
        <f aca="false">Sens!F10919*self_build*tk_cxfac/1000</f>
        <v>29.409604</v>
      </c>
      <c r="G10940" s="6" t="n">
        <f aca="false">Sens!G10919*self_build*tk_cxfac/1000</f>
        <v>32.019624</v>
      </c>
      <c r="H10940" s="6" t="n">
        <f aca="false">Sens!H10919*self_build*tk_cxfac/1000</f>
        <v>32.019624</v>
      </c>
      <c r="I10940" s="6" t="n">
        <f aca="false">Sens!I10919*self_build*tk_cxfac/1000</f>
        <v>22.71877972</v>
      </c>
      <c r="J10940" s="6" t="n">
        <f aca="false">Sens!J10919*self_build*tk_cxfac/1000</f>
        <v>13.41793544</v>
      </c>
      <c r="K10940" s="6" t="n">
        <f aca="false">Sens!K10919*self_build*tk_cxfac/1000</f>
        <v>4.11709116000001</v>
      </c>
    </row>
    <row r="10941" customFormat="false" ht="17.15" hidden="false" customHeight="false" outlineLevel="0" collapsed="false">
      <c r="A10941" s="0" t="s">
        <v>837</v>
      </c>
      <c r="B10941" s="0" t="s">
        <v>98</v>
      </c>
      <c r="F10941" s="6" t="n">
        <f aca="false">MAX(0,capex_floor27-Sens!F10939-Sens!F10940-Sens!F11034)</f>
        <v>8.13777689897088</v>
      </c>
      <c r="L10941" s="1" t="s">
        <v>838</v>
      </c>
    </row>
    <row r="10942" customFormat="false" ht="17.15" hidden="false" customHeight="false" outlineLevel="0" collapsed="false">
      <c r="A10942" s="0" t="s">
        <v>839</v>
      </c>
      <c r="B10942" s="0" t="s">
        <v>98</v>
      </c>
      <c r="C10942" s="6" t="n">
        <f aca="false">Sens!C10939</f>
        <v>22.5333845916667</v>
      </c>
      <c r="D10942" s="6" t="n">
        <f aca="false">Sens!D10939</f>
        <v>34.0300093833333</v>
      </c>
      <c r="E10942" s="6" t="n">
        <f aca="false">Sens!E10939</f>
        <v>67.600153775</v>
      </c>
      <c r="F10942" s="6" t="n">
        <f aca="false">Sens!F10939+Sens!F10941</f>
        <v>139.061048770438</v>
      </c>
      <c r="G10942" s="6" t="n">
        <f aca="false">Sens!G10939</f>
        <v>151.5545564832</v>
      </c>
      <c r="H10942" s="6" t="n">
        <f aca="false">Sens!H10939</f>
        <v>156.0606619104</v>
      </c>
      <c r="I10942" s="6" t="n">
        <f aca="false">Sens!I10939</f>
        <v>140.987889434245</v>
      </c>
      <c r="J10942" s="6" t="n">
        <f aca="false">Sens!J10939</f>
        <v>111.094541278091</v>
      </c>
      <c r="K10942" s="6" t="n">
        <f aca="false">Sens!K10939</f>
        <v>110.842344481936</v>
      </c>
    </row>
    <row r="10943" customFormat="false" ht="17.15" hidden="false" customHeight="false" outlineLevel="0" collapsed="false">
      <c r="A10943" s="0" t="s">
        <v>840</v>
      </c>
      <c r="B10943" s="0" t="s">
        <v>98</v>
      </c>
      <c r="C10943" s="6" t="n">
        <f aca="false">Sens!C10942+Sens!C10940</f>
        <v>28.7416845916667</v>
      </c>
      <c r="D10943" s="6" t="n">
        <f aca="false">Sens!D10942+Sens!D10940</f>
        <v>43.4058093833333</v>
      </c>
      <c r="E10943" s="6" t="n">
        <f aca="false">Sens!E10942+Sens!E10940</f>
        <v>86.225053775</v>
      </c>
      <c r="F10943" s="6" t="n">
        <f aca="false">Sens!F10942+Sens!F10940</f>
        <v>168.470652770438</v>
      </c>
      <c r="G10943" s="6" t="n">
        <f aca="false">Sens!G10942+Sens!G10940</f>
        <v>183.5741804832</v>
      </c>
      <c r="H10943" s="6" t="n">
        <f aca="false">Sens!H10942+Sens!H10940</f>
        <v>188.0802859104</v>
      </c>
      <c r="I10943" s="6" t="n">
        <f aca="false">Sens!I10942+Sens!I10940</f>
        <v>163.706669154245</v>
      </c>
      <c r="J10943" s="6" t="n">
        <f aca="false">Sens!J10942+Sens!J10940</f>
        <v>124.51247671809</v>
      </c>
      <c r="K10943" s="6" t="n">
        <f aca="false">Sens!K10942+Sens!K10940</f>
        <v>114.959435641936</v>
      </c>
      <c r="L10943" s="11" t="s">
        <v>841</v>
      </c>
    </row>
    <row r="10944" customFormat="false" ht="17.15" hidden="false" customHeight="false" outlineLevel="0" collapsed="false">
      <c r="A10944" s="0" t="s">
        <v>842</v>
      </c>
      <c r="B10944" s="0" t="s">
        <v>98</v>
      </c>
      <c r="E10944" s="6" t="n">
        <f aca="false">(Sens!C10942*IF(2&lt;life_it,1,IF(2=life_it,0.5,0))+Sens!D10942*IF(1&lt;life_it,1,IF(1=life_it,0.5,0))+Sens!E10942*0.5)/life_it</f>
        <v>15.0605784770833</v>
      </c>
      <c r="F10944" s="6" t="n">
        <f aca="false">(Sens!C10942*IF(3&lt;life_it,1,IF(3=life_it,0.5,0))+Sens!D10942*IF(2&lt;life_it,1,IF(2=life_it,0.5,0))+Sens!E10942*IF(1&lt;life_it,1,IF(1=life_it,0.5,0))+Sens!F10942*0.5)/life_it</f>
        <v>32.2823453558698</v>
      </c>
      <c r="G10944" s="6" t="n">
        <f aca="false">(Sens!C10942*IF(4&lt;life_it,1,IF(4=life_it,0.5,0))+Sens!D10942*IF(3&lt;life_it,1,IF(3=life_it,0.5,0))+Sens!E10942*IF(2&lt;life_it,1,IF(2=life_it,0.5,0))+Sens!F10942*IF(1&lt;life_it,1,IF(1=life_it,0.5,0))+Sens!G10942*0.5)/life_it</f>
        <v>56.5003124603396</v>
      </c>
      <c r="H10944" s="6" t="n">
        <f aca="false">(Sens!C10942*IF(5&lt;life_it,1,IF(5=life_it,0.5,0))+Sens!D10942*IF(4&lt;life_it,1,IF(4=life_it,0.5,0))+Sens!E10942*IF(3&lt;life_it,1,IF(3=life_it,0.5,0))+Sens!F10942*IF(2&lt;life_it,1,IF(2=life_it,0.5,0))+Sens!G10942*IF(1&lt;life_it,1,IF(1=life_it,0.5,0))+Sens!H10942*0.5)/life_it</f>
        <v>82.1349139931396</v>
      </c>
      <c r="I10944" s="6" t="n">
        <f aca="false">(Sens!C10942*IF(6&lt;life_it,1,IF(6=life_it,0.5,0))+Sens!D10942*IF(5&lt;life_it,1,IF(5=life_it,0.5,0))+Sens!E10942*IF(4&lt;life_it,1,IF(4=life_it,0.5,0))+Sens!F10942*IF(3&lt;life_it,1,IF(3=life_it,0.5,0))+Sens!G10942*IF(2&lt;life_it,1,IF(2=life_it,0.5,0))+Sens!H10942*IF(1&lt;life_it,1,IF(1=life_it,0.5,0))+Sens!I10942*0.5)/life_it</f>
        <v>105.011177889221</v>
      </c>
      <c r="J10944" s="6" t="n">
        <f aca="false">(Sens!C10942*IF(7&lt;life_it,1,IF(7=life_it,0.5,0))+Sens!D10942*IF(6&lt;life_it,1,IF(6=life_it,0.5,0))+Sens!E10942*IF(5&lt;life_it,1,IF(5=life_it,0.5,0))+Sens!F10942*IF(4&lt;life_it,1,IF(4=life_it,0.5,0))+Sens!G10942*IF(3&lt;life_it,1,IF(3=life_it,0.5,0))+Sens!H10942*IF(2&lt;life_it,1,IF(2=life_it,0.5,0))+Sens!I10942*IF(1&lt;life_it,1,IF(1=life_it,0.5,0))+Sens!J10942*0.5)/life_it</f>
        <v>121.304430950666</v>
      </c>
      <c r="K10944" s="6" t="n">
        <f aca="false">(Sens!C10942*IF(8&lt;life_it,1,IF(8=life_it,0.5,0))+Sens!D10942*IF(7&lt;life_it,1,IF(7=life_it,0.5,0))+Sens!E10942*IF(6&lt;life_it,1,IF(6=life_it,0.5,0))+Sens!F10942*IF(5&lt;life_it,1,IF(5=life_it,0.5,0))+Sens!G10942*IF(4&lt;life_it,1,IF(4=life_it,0.5,0))+Sens!H10942*IF(3&lt;life_it,1,IF(3=life_it,0.5,0))+Sens!I10942*IF(2&lt;life_it,1,IF(2=life_it,0.5,0))+Sens!J10942*IF(1&lt;life_it,1,IF(1=life_it,0.5,0))+Sens!K10942*0.5)/life_it</f>
        <v>131.329991167474</v>
      </c>
    </row>
    <row r="10945" customFormat="false" ht="17.15" hidden="false" customHeight="false" outlineLevel="0" collapsed="false">
      <c r="A10945" s="0" t="s">
        <v>843</v>
      </c>
      <c r="B10945" s="0" t="s">
        <v>98</v>
      </c>
      <c r="E10945" s="6" t="n">
        <f aca="false">(Sens!C10940*IF(2&lt;life_fac,1,IF(2=life_fac,0.5,0))+Sens!D10940*IF(1&lt;life_fac,1,IF(1=life_fac,0.5,0))+Sens!E10940*0.5)/life_fac</f>
        <v>1.2448275</v>
      </c>
      <c r="F10945" s="6" t="n">
        <f aca="false">(Sens!C10940*IF(3&lt;life_fac,1,IF(3=life_fac,0.5,0))+Sens!D10940*IF(2&lt;life_fac,1,IF(2=life_fac,0.5,0))+Sens!E10940*IF(1&lt;life_fac,1,IF(1=life_fac,0.5,0))+Sens!F10940*0.5)/life_fac</f>
        <v>2.4456901</v>
      </c>
      <c r="G10945" s="6" t="n">
        <f aca="false">(Sens!C10940*IF(4&lt;life_fac,1,IF(4=life_fac,0.5,0))+Sens!D10940*IF(3&lt;life_fac,1,IF(3=life_fac,0.5,0))+Sens!E10940*IF(2&lt;life_fac,1,IF(2=life_fac,0.5,0))+Sens!F10940*IF(1&lt;life_fac,1,IF(1=life_fac,0.5,0))+Sens!G10940*0.5)/life_fac</f>
        <v>3.9814208</v>
      </c>
      <c r="H10945" s="6" t="n">
        <f aca="false">(Sens!C10940*IF(5&lt;life_fac,1,IF(5=life_fac,0.5,0))+Sens!D10940*IF(4&lt;life_fac,1,IF(4=life_fac,0.5,0))+Sens!E10940*IF(3&lt;life_fac,1,IF(3=life_fac,0.5,0))+Sens!F10940*IF(2&lt;life_fac,1,IF(2=life_fac,0.5,0))+Sens!G10940*IF(1&lt;life_fac,1,IF(1=life_fac,0.5,0))+Sens!H10940*0.5)/life_fac</f>
        <v>5.582402</v>
      </c>
      <c r="I10945" s="6" t="n">
        <f aca="false">(Sens!C10940*IF(6&lt;life_fac,1,IF(6=life_fac,0.5,0))+Sens!D10940*IF(5&lt;life_fac,1,IF(5=life_fac,0.5,0))+Sens!E10940*IF(4&lt;life_fac,1,IF(4=life_fac,0.5,0))+Sens!F10940*IF(3&lt;life_fac,1,IF(3=life_fac,0.5,0))+Sens!G10940*IF(2&lt;life_fac,1,IF(2=life_fac,0.5,0))+Sens!H10940*IF(1&lt;life_fac,1,IF(1=life_fac,0.5,0))+Sens!I10940*0.5)/life_fac</f>
        <v>6.950862093</v>
      </c>
      <c r="J10945" s="6" t="n">
        <f aca="false">(Sens!C10940*IF(7&lt;life_fac,1,IF(7=life_fac,0.5,0))+Sens!D10940*IF(6&lt;life_fac,1,IF(6=life_fac,0.5,0))+Sens!E10940*IF(5&lt;life_fac,1,IF(5=life_fac,0.5,0))+Sens!F10940*IF(4&lt;life_fac,1,IF(4=life_fac,0.5,0))+Sens!G10940*IF(3&lt;life_fac,1,IF(3=life_fac,0.5,0))+Sens!H10940*IF(2&lt;life_fac,1,IF(2=life_fac,0.5,0))+Sens!I10940*IF(1&lt;life_fac,1,IF(1=life_fac,0.5,0))+Sens!J10940*0.5)/life_fac</f>
        <v>7.854279972</v>
      </c>
      <c r="K10945" s="6" t="n">
        <f aca="false">(Sens!C10940*IF(8&lt;life_fac,1,IF(8=life_fac,0.5,0))+Sens!D10940*IF(7&lt;life_fac,1,IF(7=life_fac,0.5,0))+Sens!E10940*IF(6&lt;life_fac,1,IF(6=life_fac,0.5,0))+Sens!F10940*IF(5&lt;life_fac,1,IF(5=life_fac,0.5,0))+Sens!G10940*IF(4&lt;life_fac,1,IF(4=life_fac,0.5,0))+Sens!H10940*IF(3&lt;life_fac,1,IF(3=life_fac,0.5,0))+Sens!I10940*IF(2&lt;life_fac,1,IF(2=life_fac,0.5,0))+Sens!J10940*IF(1&lt;life_fac,1,IF(1=life_fac,0.5,0))+Sens!K10940*0.5)/life_fac</f>
        <v>8.292655637</v>
      </c>
    </row>
    <row r="10946" customFormat="false" ht="17.15" hidden="false" customHeight="false" outlineLevel="0" collapsed="false">
      <c r="A10946" s="0" t="s">
        <v>844</v>
      </c>
      <c r="B10946" s="0" t="s">
        <v>98</v>
      </c>
      <c r="E10946" s="6" t="n">
        <f aca="false">Sens!E10944+Sens!E10945</f>
        <v>16.3054059770833</v>
      </c>
      <c r="F10946" s="6" t="n">
        <f aca="false">Sens!F10944+Sens!F10945</f>
        <v>34.7280354558698</v>
      </c>
      <c r="G10946" s="6" t="n">
        <f aca="false">Sens!G10944+Sens!G10945</f>
        <v>60.4817332603396</v>
      </c>
      <c r="H10946" s="6" t="n">
        <f aca="false">Sens!H10944+Sens!H10945</f>
        <v>87.7173159931396</v>
      </c>
      <c r="I10946" s="6" t="n">
        <f aca="false">Sens!I10944+Sens!I10945</f>
        <v>111.962039982221</v>
      </c>
      <c r="J10946" s="6" t="n">
        <f aca="false">Sens!J10944+Sens!J10945</f>
        <v>129.158710922666</v>
      </c>
      <c r="K10946" s="6" t="n">
        <f aca="false">Sens!K10944+Sens!K10945</f>
        <v>139.622646804474</v>
      </c>
    </row>
    <row r="10947" customFormat="false" ht="17.15" hidden="false" customHeight="false" outlineLevel="0" collapsed="false">
      <c r="A10947" s="0" t="s">
        <v>845</v>
      </c>
      <c r="B10947" s="0" t="s">
        <v>98</v>
      </c>
      <c r="E10947" s="6" t="n">
        <f aca="false">Sens!E10935-Sens!E10934*Sens!E10946</f>
        <v>8.92707889977379</v>
      </c>
      <c r="F10947" s="6" t="n">
        <f aca="false">Sens!F10935-Sens!F10934*Sens!F10946</f>
        <v>22.2910321312152</v>
      </c>
      <c r="G10947" s="6" t="n">
        <f aca="false">Sens!G10935-Sens!G10934*Sens!G10946</f>
        <v>42.1822624237015</v>
      </c>
      <c r="H10947" s="6" t="n">
        <f aca="false">Sens!H10935-Sens!H10934*Sens!H10946</f>
        <v>67.5392346653351</v>
      </c>
      <c r="I10947" s="6" t="n">
        <f aca="false">Sens!I10935-Sens!I10934*Sens!I10946</f>
        <v>84.7556098462332</v>
      </c>
      <c r="J10947" s="6" t="n">
        <f aca="false">Sens!J10935-Sens!J10934*Sens!J10946</f>
        <v>96.7161673654554</v>
      </c>
      <c r="K10947" s="6" t="n">
        <f aca="false">Sens!K10935-Sens!K10934*Sens!K10946</f>
        <v>104.654352960045</v>
      </c>
    </row>
    <row r="10948" customFormat="false" ht="17.15" hidden="false" customHeight="false" outlineLevel="0" collapsed="false">
      <c r="A10948" s="3" t="s">
        <v>1520</v>
      </c>
    </row>
    <row r="10949" customFormat="false" ht="15" hidden="false" customHeight="false" outlineLevel="0" collapsed="false">
      <c r="A10949" s="4" t="s">
        <v>43</v>
      </c>
      <c r="B10949" s="4" t="s">
        <v>65</v>
      </c>
      <c r="C10949" s="20" t="s">
        <v>788</v>
      </c>
      <c r="D10949" s="20" t="s">
        <v>789</v>
      </c>
      <c r="E10949" s="20" t="s">
        <v>790</v>
      </c>
      <c r="F10949" s="20" t="s">
        <v>791</v>
      </c>
      <c r="G10949" s="20" t="s">
        <v>792</v>
      </c>
      <c r="H10949" s="20" t="s">
        <v>793</v>
      </c>
      <c r="I10949" s="20" t="s">
        <v>794</v>
      </c>
      <c r="J10949" s="20" t="s">
        <v>795</v>
      </c>
      <c r="K10949" s="20" t="s">
        <v>796</v>
      </c>
      <c r="L10949" s="4" t="s">
        <v>47</v>
      </c>
    </row>
    <row r="10950" customFormat="false" ht="17.15" hidden="false" customHeight="false" outlineLevel="0" collapsed="false">
      <c r="A10950" s="0" t="s">
        <v>864</v>
      </c>
      <c r="B10950" s="0" t="s">
        <v>98</v>
      </c>
      <c r="D10950" s="6" t="n">
        <f aca="false">Sens!D10929</f>
        <v>12.9359794422418</v>
      </c>
      <c r="E10950" s="6" t="n">
        <f aca="false">Sens!E10929</f>
        <v>27.8095064661409</v>
      </c>
      <c r="F10950" s="6" t="n">
        <f aca="false">Sens!F10929</f>
        <v>58.7324192305018</v>
      </c>
      <c r="G10950" s="6" t="n">
        <f aca="false">Sens!G10929</f>
        <v>101.369089141153</v>
      </c>
      <c r="H10950" s="6" t="n">
        <f aca="false">Sens!H10929</f>
        <v>149.785610014234</v>
      </c>
      <c r="I10950" s="6" t="n">
        <f aca="false">Sens!I10929</f>
        <v>187.368703083263</v>
      </c>
      <c r="J10950" s="6" t="n">
        <f aca="false">Sens!J10929</f>
        <v>213.569023125577</v>
      </c>
      <c r="K10950" s="6" t="n">
        <f aca="false">Sens!K10929</f>
        <v>229.890205197739</v>
      </c>
    </row>
    <row r="10951" customFormat="false" ht="17.15" hidden="false" customHeight="false" outlineLevel="0" collapsed="false">
      <c r="A10951" s="0" t="s">
        <v>865</v>
      </c>
      <c r="B10951" s="0" t="s">
        <v>98</v>
      </c>
      <c r="D10951" s="6" t="n">
        <f aca="false">Q!L6-Sens!D10950</f>
        <v>59.6740205577583</v>
      </c>
      <c r="E10951" s="6" t="n">
        <f aca="false">Q!M6-Sens!E10950</f>
        <v>74.1284935338591</v>
      </c>
      <c r="F10951" s="6" t="n">
        <f aca="false">Sens!E10951*(1+Sens!F10952)</f>
        <v>90.0799497373663</v>
      </c>
      <c r="G10951" s="6" t="n">
        <f aca="false">Sens!F10951*(1+Sens!G10952)</f>
        <v>107.02842520331</v>
      </c>
      <c r="H10951" s="6" t="n">
        <f aca="false">Sens!G10951*(1+Sens!H10952)</f>
        <v>124.271982585636</v>
      </c>
      <c r="I10951" s="6" t="n">
        <f aca="false">Sens!H10951*(1+Sens!I10952)</f>
        <v>140.933702381855</v>
      </c>
      <c r="J10951" s="6" t="n">
        <f aca="false">Sens!I10951*(1+Sens!J10952)</f>
        <v>156.018867314332</v>
      </c>
      <c r="K10951" s="6" t="n">
        <f aca="false">Sens!J10951*(1+Sens!K10952)</f>
        <v>168.500376699478</v>
      </c>
    </row>
    <row r="10952" customFormat="false" ht="15" hidden="false" customHeight="false" outlineLevel="0" collapsed="false">
      <c r="A10952" s="1" t="s">
        <v>866</v>
      </c>
      <c r="B10952" s="0" t="s">
        <v>129</v>
      </c>
      <c r="E10952" s="7" t="n">
        <f aca="false">Sens!E10951/Sens!D10951-1</f>
        <v>0.242223883039864</v>
      </c>
      <c r="F10952" s="7" t="n">
        <f aca="false">Sens!$E$10952+(glt_azo-Sens!$E$10952)*MIN(1,(Sens!F10912-base_fy)/n_conv)</f>
        <v>0.215186569199887</v>
      </c>
      <c r="G10952" s="7" t="n">
        <f aca="false">Sens!$E$10952+(glt_azo-Sens!$E$10952)*MIN(1,(Sens!G10912-base_fy)/n_conv)</f>
        <v>0.18814925535991</v>
      </c>
      <c r="H10952" s="7" t="n">
        <f aca="false">Sens!$E$10952+(glt_azo-Sens!$E$10952)*MIN(1,(Sens!H10912-base_fy)/n_conv)</f>
        <v>0.161111941519932</v>
      </c>
      <c r="I10952" s="7" t="n">
        <f aca="false">Sens!$E$10952+(glt_azo-Sens!$E$10952)*MIN(1,(Sens!I10912-base_fy)/n_conv)</f>
        <v>0.134074627679955</v>
      </c>
      <c r="J10952" s="7" t="n">
        <f aca="false">Sens!$E$10952+(glt_azo-Sens!$E$10952)*MIN(1,(Sens!J10912-base_fy)/n_conv)</f>
        <v>0.107037313839977</v>
      </c>
      <c r="K10952" s="7" t="n">
        <f aca="false">Sens!$E$10952+(glt_azo-Sens!$E$10952)*MIN(1,(Sens!K10912-base_fy)/n_conv)</f>
        <v>0.08</v>
      </c>
    </row>
    <row r="10953" customFormat="false" ht="15" hidden="false" customHeight="false" outlineLevel="0" collapsed="false">
      <c r="A10953" s="0" t="s">
        <v>867</v>
      </c>
      <c r="B10953" s="0" t="s">
        <v>98</v>
      </c>
      <c r="D10953" s="6" t="n">
        <f aca="false">Sens!D10950+Sens!D10951</f>
        <v>72.61</v>
      </c>
      <c r="E10953" s="6" t="n">
        <f aca="false">Sens!E10950+Sens!E10951</f>
        <v>101.938</v>
      </c>
      <c r="F10953" s="6" t="n">
        <f aca="false">Sens!F10950+Sens!F10951</f>
        <v>148.812368967868</v>
      </c>
      <c r="G10953" s="6" t="n">
        <f aca="false">Sens!G10950+Sens!G10951</f>
        <v>208.397514344463</v>
      </c>
      <c r="H10953" s="6" t="n">
        <f aca="false">Sens!H10950+Sens!H10951</f>
        <v>274.05759259987</v>
      </c>
      <c r="I10953" s="6" t="n">
        <f aca="false">Sens!I10950+Sens!I10951</f>
        <v>328.302405465117</v>
      </c>
      <c r="J10953" s="6" t="n">
        <f aca="false">Sens!J10950+Sens!J10951</f>
        <v>369.587890439908</v>
      </c>
      <c r="K10953" s="6" t="n">
        <f aca="false">Sens!K10950+Sens!K10951</f>
        <v>398.390581897217</v>
      </c>
    </row>
    <row r="10954" customFormat="false" ht="17.15" hidden="false" customHeight="false" outlineLevel="0" collapsed="false">
      <c r="A10954" s="0" t="s">
        <v>868</v>
      </c>
      <c r="B10954" s="1" t="s">
        <v>521</v>
      </c>
      <c r="C10954" s="29" t="n">
        <f aca="false">cop_s24</f>
        <v>1</v>
      </c>
      <c r="D10954" s="29" t="n">
        <f aca="false">cop_s25</f>
        <v>5</v>
      </c>
      <c r="E10954" s="29" t="n">
        <f aca="false">cop_s26</f>
        <v>30</v>
      </c>
      <c r="F10954" s="29" t="n">
        <f aca="false">Sens!E10954+cop_add_A</f>
        <v>60</v>
      </c>
      <c r="G10954" s="29" t="n">
        <f aca="false">Sens!F10954+cop_add_A</f>
        <v>90</v>
      </c>
      <c r="H10954" s="29" t="n">
        <f aca="false">Sens!G10954+cop_add_A</f>
        <v>120</v>
      </c>
      <c r="I10954" s="29" t="n">
        <f aca="false">Sens!H10954+cop_add_A*cop_tail</f>
        <v>135</v>
      </c>
      <c r="J10954" s="29" t="n">
        <f aca="false">Sens!I10954+cop_add_A*cop_tail</f>
        <v>150</v>
      </c>
      <c r="K10954" s="29" t="n">
        <f aca="false">Sens!J10954+cop_add_A*cop_tail</f>
        <v>165</v>
      </c>
      <c r="L10954" s="11" t="s">
        <v>869</v>
      </c>
    </row>
    <row r="10955" customFormat="false" ht="17.15" hidden="false" customHeight="false" outlineLevel="0" collapsed="false">
      <c r="A10955" s="0" t="s">
        <v>870</v>
      </c>
      <c r="B10955" s="0" t="s">
        <v>98</v>
      </c>
      <c r="D10955" s="6" t="n">
        <f aca="false">(Sens!C10954+Sens!D10954)/2*cop_px*12/1000</f>
        <v>0.9</v>
      </c>
      <c r="E10955" s="6" t="n">
        <f aca="false">(Sens!D10954+Sens!E10954)/2*cop_px*12/1000</f>
        <v>5.25</v>
      </c>
      <c r="F10955" s="6" t="n">
        <f aca="false">(Sens!E10954+Sens!F10954)/2*cop_px*12/1000</f>
        <v>13.5</v>
      </c>
      <c r="G10955" s="6" t="n">
        <f aca="false">(Sens!F10954+Sens!G10954)/2*cop_px*12/1000</f>
        <v>22.5</v>
      </c>
      <c r="H10955" s="6" t="n">
        <f aca="false">(Sens!G10954+Sens!H10954)/2*cop_px*12/1000</f>
        <v>31.5</v>
      </c>
      <c r="I10955" s="6" t="n">
        <f aca="false">(Sens!H10954+Sens!I10954)/2*cop_px*12/1000</f>
        <v>38.25</v>
      </c>
      <c r="J10955" s="6" t="n">
        <f aca="false">(Sens!I10954+Sens!J10954)/2*cop_px*12/1000</f>
        <v>42.75</v>
      </c>
      <c r="K10955" s="6" t="n">
        <f aca="false">(Sens!J10954+Sens!K10954)/2*cop_px*12/1000</f>
        <v>47.25</v>
      </c>
      <c r="L10955" s="1" t="s">
        <v>871</v>
      </c>
    </row>
    <row r="10956" customFormat="false" ht="17.15" hidden="false" customHeight="false" outlineLevel="0" collapsed="false">
      <c r="A10956" s="0" t="s">
        <v>872</v>
      </c>
      <c r="B10956" s="0" t="s">
        <v>98</v>
      </c>
      <c r="D10956" s="6" t="n">
        <f aca="false">Q!L7-Sens!D10955</f>
        <v>83.705</v>
      </c>
      <c r="E10956" s="6" t="n">
        <f aca="false">Q!M7-Sens!E10955</f>
        <v>95.049</v>
      </c>
      <c r="F10956" s="6" t="n">
        <f aca="false">Sens!E10956*(1+Sens!F10957)</f>
        <v>106.89238776686</v>
      </c>
      <c r="G10956" s="6" t="n">
        <f aca="false">Sens!F10956*(1+Sens!G10957)</f>
        <v>119.044168448684</v>
      </c>
      <c r="H10956" s="6" t="n">
        <f aca="false">Sens!G10956*(1+Sens!H10957)</f>
        <v>131.277359388781</v>
      </c>
      <c r="I10956" s="6" t="n">
        <f aca="false">Sens!H10956*(1+Sens!I10957)</f>
        <v>143.334028071957</v>
      </c>
      <c r="J10956" s="6" t="n">
        <f aca="false">Sens!I10956*(1+Sens!J10957)</f>
        <v>154.932702785465</v>
      </c>
      <c r="K10956" s="6" t="n">
        <f aca="false">Sens!J10956*(1+Sens!K10957)</f>
        <v>165.777991980448</v>
      </c>
    </row>
    <row r="10957" customFormat="false" ht="15" hidden="false" customHeight="false" outlineLevel="0" collapsed="false">
      <c r="A10957" s="1" t="s">
        <v>866</v>
      </c>
      <c r="B10957" s="0" t="s">
        <v>129</v>
      </c>
      <c r="E10957" s="7" t="n">
        <f aca="false">Sens!E10956/Sens!D10956-1</f>
        <v>0.135523564900544</v>
      </c>
      <c r="F10957" s="7" t="n">
        <f aca="false">Sens!$E$10957+(glt_m365b-Sens!$E$10957)*MIN(1,(Sens!F10912-base_fy)/n_conv)</f>
        <v>0.124602970750453</v>
      </c>
      <c r="G10957" s="7" t="n">
        <f aca="false">Sens!$E$10957+(glt_m365b-Sens!$E$10957)*MIN(1,(Sens!G10912-base_fy)/n_conv)</f>
        <v>0.113682376600363</v>
      </c>
      <c r="H10957" s="7" t="n">
        <f aca="false">Sens!$E$10957+(glt_m365b-Sens!$E$10957)*MIN(1,(Sens!H10912-base_fy)/n_conv)</f>
        <v>0.102761782450272</v>
      </c>
      <c r="I10957" s="7" t="n">
        <f aca="false">Sens!$E$10957+(glt_m365b-Sens!$E$10957)*MIN(1,(Sens!I10912-base_fy)/n_conv)</f>
        <v>0.0918411883001813</v>
      </c>
      <c r="J10957" s="7" t="n">
        <f aca="false">Sens!$E$10957+(glt_m365b-Sens!$E$10957)*MIN(1,(Sens!J10912-base_fy)/n_conv)</f>
        <v>0.0809205941500906</v>
      </c>
      <c r="K10957" s="7" t="n">
        <f aca="false">Sens!$E$10957+(glt_m365b-Sens!$E$10957)*MIN(1,(Sens!K10912-base_fy)/n_conv)</f>
        <v>0.07</v>
      </c>
    </row>
    <row r="10958" customFormat="false" ht="15" hidden="false" customHeight="false" outlineLevel="0" collapsed="false">
      <c r="A10958" s="0" t="s">
        <v>873</v>
      </c>
      <c r="B10958" s="0" t="s">
        <v>98</v>
      </c>
      <c r="D10958" s="6" t="n">
        <f aca="false">Sens!D10956+Sens!D10955</f>
        <v>84.605</v>
      </c>
      <c r="E10958" s="6" t="n">
        <f aca="false">Sens!E10956+Sens!E10955</f>
        <v>100.299</v>
      </c>
      <c r="F10958" s="6" t="n">
        <f aca="false">Sens!F10956+Sens!F10955</f>
        <v>120.39238776686</v>
      </c>
      <c r="G10958" s="6" t="n">
        <f aca="false">Sens!G10956+Sens!G10955</f>
        <v>141.544168448684</v>
      </c>
      <c r="H10958" s="6" t="n">
        <f aca="false">Sens!H10956+Sens!H10955</f>
        <v>162.777359388781</v>
      </c>
      <c r="I10958" s="6" t="n">
        <f aca="false">Sens!I10956+Sens!I10955</f>
        <v>181.584028071957</v>
      </c>
      <c r="J10958" s="6" t="n">
        <f aca="false">Sens!J10956+Sens!J10955</f>
        <v>197.682702785465</v>
      </c>
      <c r="K10958" s="6" t="n">
        <f aca="false">Sens!K10956+Sens!K10955</f>
        <v>213.027991980448</v>
      </c>
    </row>
    <row r="10959" customFormat="false" ht="15" hidden="false" customHeight="false" outlineLevel="0" collapsed="false">
      <c r="A10959" s="0" t="s">
        <v>874</v>
      </c>
      <c r="B10959" s="0" t="s">
        <v>98</v>
      </c>
      <c r="D10959" s="6" t="n">
        <f aca="false">Q!L8</f>
        <v>35.391</v>
      </c>
      <c r="E10959" s="6" t="n">
        <f aca="false">Q!M8</f>
        <v>37.285</v>
      </c>
      <c r="F10959" s="6" t="n">
        <f aca="false">Sens!E10959*(1+Sens!F10960)</f>
        <v>39.0720834331704</v>
      </c>
      <c r="G10959" s="6" t="n">
        <f aca="false">Sens!F10959*(1+Sens!G10960)</f>
        <v>40.726562953769</v>
      </c>
      <c r="H10959" s="6" t="n">
        <f aca="false">Sens!G10959*(1+Sens!H10960)</f>
        <v>42.2235987259198</v>
      </c>
      <c r="I10959" s="6" t="n">
        <f aca="false">Sens!H10959*(1+Sens!I10960)</f>
        <v>43.5397988077414</v>
      </c>
      <c r="J10959" s="6" t="n">
        <f aca="false">Sens!I10959*(1+Sens!J10960)</f>
        <v>44.653811225693</v>
      </c>
      <c r="K10959" s="6" t="n">
        <f aca="false">Sens!J10959*(1+Sens!K10960)</f>
        <v>45.5468874502068</v>
      </c>
    </row>
    <row r="10960" customFormat="false" ht="15" hidden="false" customHeight="false" outlineLevel="0" collapsed="false">
      <c r="A10960" s="1" t="s">
        <v>866</v>
      </c>
      <c r="B10960" s="0" t="s">
        <v>129</v>
      </c>
      <c r="E10960" s="7" t="n">
        <f aca="false">Sens!E10959/Sens!D10959-1</f>
        <v>0.0535164307309768</v>
      </c>
      <c r="F10960" s="7" t="n">
        <f aca="false">Sens!$E$10960+(glt_lic-Sens!$E$10960)*MIN(1,(Sens!F10912-base_fy)/n_conv)</f>
        <v>0.0479303589424807</v>
      </c>
      <c r="G10960" s="7" t="n">
        <f aca="false">Sens!$E$10960+(glt_lic-Sens!$E$10960)*MIN(1,(Sens!G10912-base_fy)/n_conv)</f>
        <v>0.0423442871539845</v>
      </c>
      <c r="H10960" s="7" t="n">
        <f aca="false">Sens!$E$10960+(glt_lic-Sens!$E$10960)*MIN(1,(Sens!H10912-base_fy)/n_conv)</f>
        <v>0.0367582153654884</v>
      </c>
      <c r="I10960" s="7" t="n">
        <f aca="false">Sens!$E$10960+(glt_lic-Sens!$E$10960)*MIN(1,(Sens!I10912-base_fy)/n_conv)</f>
        <v>0.0311721435769923</v>
      </c>
      <c r="J10960" s="7" t="n">
        <f aca="false">Sens!$E$10960+(glt_lic-Sens!$E$10960)*MIN(1,(Sens!J10912-base_fy)/n_conv)</f>
        <v>0.0255860717884961</v>
      </c>
      <c r="K10960" s="7" t="n">
        <f aca="false">Sens!$E$10960+(glt_lic-Sens!$E$10960)*MIN(1,(Sens!K10912-base_fy)/n_conv)</f>
        <v>0.02</v>
      </c>
    </row>
    <row r="10961" customFormat="false" ht="15" hidden="false" customHeight="false" outlineLevel="0" collapsed="false">
      <c r="A10961" s="0" t="s">
        <v>875</v>
      </c>
      <c r="B10961" s="0" t="s">
        <v>98</v>
      </c>
      <c r="D10961" s="6" t="n">
        <f aca="false">Q!L9</f>
        <v>18.417</v>
      </c>
      <c r="E10961" s="6" t="n">
        <f aca="false">Q!M9</f>
        <v>20.345</v>
      </c>
      <c r="F10961" s="6" t="n">
        <f aca="false">Sens!E10961*(1+Sens!F10962)</f>
        <v>22.3572203267814</v>
      </c>
      <c r="G10961" s="6" t="n">
        <f aca="false">Sens!F10961*(1+Sens!G10962)</f>
        <v>24.4392124437232</v>
      </c>
      <c r="H10961" s="6" t="n">
        <f aca="false">Sens!G10961*(1+Sens!H10962)</f>
        <v>26.5738052080665</v>
      </c>
      <c r="I10961" s="6" t="n">
        <f aca="false">Sens!H10961*(1+Sens!I10962)</f>
        <v>28.7412169166967</v>
      </c>
      <c r="J10961" s="6" t="n">
        <f aca="false">Sens!I10961*(1+Sens!J10962)</f>
        <v>30.9192545395413</v>
      </c>
      <c r="K10961" s="6" t="n">
        <f aca="false">Sens!J10961*(1+Sens!K10962)</f>
        <v>33.0836023573092</v>
      </c>
    </row>
    <row r="10962" customFormat="false" ht="15" hidden="false" customHeight="false" outlineLevel="0" collapsed="false">
      <c r="A10962" s="1" t="s">
        <v>866</v>
      </c>
      <c r="B10962" s="0" t="s">
        <v>129</v>
      </c>
      <c r="E10962" s="7" t="n">
        <f aca="false">Sens!E10961/Sens!D10961-1</f>
        <v>0.104685888038225</v>
      </c>
      <c r="F10962" s="7" t="n">
        <f aca="false">Sens!$E$10962+(glt_ind-Sens!$E$10962)*MIN(1,(Sens!F10912-base_fy)/n_conv)</f>
        <v>0.0989049066985211</v>
      </c>
      <c r="G10962" s="7" t="n">
        <f aca="false">Sens!$E$10962+(glt_ind-Sens!$E$10962)*MIN(1,(Sens!G10912-base_fy)/n_conv)</f>
        <v>0.0931239253588169</v>
      </c>
      <c r="H10962" s="7" t="n">
        <f aca="false">Sens!$E$10962+(glt_ind-Sens!$E$10962)*MIN(1,(Sens!H10912-base_fy)/n_conv)</f>
        <v>0.0873429440191127</v>
      </c>
      <c r="I10962" s="7" t="n">
        <f aca="false">Sens!$E$10962+(glt_ind-Sens!$E$10962)*MIN(1,(Sens!I10912-base_fy)/n_conv)</f>
        <v>0.0815619626794085</v>
      </c>
      <c r="J10962" s="7" t="n">
        <f aca="false">Sens!$E$10962+(glt_ind-Sens!$E$10962)*MIN(1,(Sens!J10912-base_fy)/n_conv)</f>
        <v>0.0757809813397042</v>
      </c>
      <c r="K10962" s="7" t="n">
        <f aca="false">Sens!$E$10962+(glt_ind-Sens!$E$10962)*MIN(1,(Sens!K10912-base_fy)/n_conv)</f>
        <v>0.07</v>
      </c>
    </row>
    <row r="10963" customFormat="false" ht="15" hidden="false" customHeight="false" outlineLevel="0" collapsed="false">
      <c r="A10963" s="0" t="s">
        <v>876</v>
      </c>
      <c r="B10963" s="0" t="s">
        <v>98</v>
      </c>
      <c r="D10963" s="6" t="n">
        <f aca="false">Q!L10</f>
        <v>7.76</v>
      </c>
      <c r="E10963" s="6" t="n">
        <f aca="false">Q!M10</f>
        <v>8.26</v>
      </c>
      <c r="F10963" s="6" t="n">
        <f aca="false">Sens!E10963*(1+Sens!F10964)</f>
        <v>8.79988041237113</v>
      </c>
      <c r="G10963" s="6" t="n">
        <f aca="false">Sens!F10963*(1+Sens!G10964)</f>
        <v>9.38321269125306</v>
      </c>
      <c r="H10963" s="6" t="n">
        <f aca="false">Sens!G10963*(1+Sens!H10964)</f>
        <v>10.0139193587476</v>
      </c>
      <c r="I10963" s="6" t="n">
        <f aca="false">Sens!H10963*(1+Sens!I10964)</f>
        <v>10.6963111830911</v>
      </c>
      <c r="J10963" s="6" t="n">
        <f aca="false">Sens!I10963*(1+Sens!J10964)</f>
        <v>11.4351285534696</v>
      </c>
      <c r="K10963" s="6" t="n">
        <f aca="false">Sens!J10963*(1+Sens!K10964)</f>
        <v>12.2355875522124</v>
      </c>
    </row>
    <row r="10964" customFormat="false" ht="15" hidden="false" customHeight="false" outlineLevel="0" collapsed="false">
      <c r="A10964" s="1" t="s">
        <v>866</v>
      </c>
      <c r="B10964" s="0" t="s">
        <v>129</v>
      </c>
      <c r="E10964" s="7" t="n">
        <f aca="false">Sens!E10963/Sens!D10963-1</f>
        <v>0.0644329896907216</v>
      </c>
      <c r="F10964" s="7" t="n">
        <f aca="false">Sens!$E$10964+(glt_fro-Sens!$E$10964)*MIN(1,(Sens!F10912-base_fy)/n_conv)</f>
        <v>0.065360824742268</v>
      </c>
      <c r="G10964" s="7" t="n">
        <f aca="false">Sens!$E$10964+(glt_fro-Sens!$E$10964)*MIN(1,(Sens!G10912-base_fy)/n_conv)</f>
        <v>0.0662886597938144</v>
      </c>
      <c r="H10964" s="7" t="n">
        <f aca="false">Sens!$E$10964+(glt_fro-Sens!$E$10964)*MIN(1,(Sens!H10912-base_fy)/n_conv)</f>
        <v>0.0672164948453608</v>
      </c>
      <c r="I10964" s="7" t="n">
        <f aca="false">Sens!$E$10964+(glt_fro-Sens!$E$10964)*MIN(1,(Sens!I10912-base_fy)/n_conv)</f>
        <v>0.0681443298969072</v>
      </c>
      <c r="J10964" s="7" t="n">
        <f aca="false">Sens!$E$10964+(glt_fro-Sens!$E$10964)*MIN(1,(Sens!J10912-base_fy)/n_conv)</f>
        <v>0.0690721649484536</v>
      </c>
      <c r="K10964" s="7" t="n">
        <f aca="false">Sens!$E$10964+(glt_fro-Sens!$E$10964)*MIN(1,(Sens!K10912-base_fy)/n_conv)</f>
        <v>0.07</v>
      </c>
    </row>
    <row r="10965" customFormat="false" ht="15" hidden="false" customHeight="false" outlineLevel="0" collapsed="false">
      <c r="A10965" s="0" t="s">
        <v>704</v>
      </c>
      <c r="B10965" s="0" t="s">
        <v>98</v>
      </c>
      <c r="D10965" s="6" t="n">
        <f aca="false">Sens!D10953+Sens!D10958+Sens!D10959+Sens!D10961+Sens!D10963</f>
        <v>218.783</v>
      </c>
      <c r="E10965" s="6" t="n">
        <f aca="false">Sens!E10953+Sens!E10958+Sens!E10959+Sens!E10961+Sens!E10963</f>
        <v>268.127</v>
      </c>
      <c r="F10965" s="6" t="n">
        <f aca="false">Sens!F10953+Sens!F10958+Sens!F10959+Sens!F10961+Sens!F10963</f>
        <v>339.433940907051</v>
      </c>
      <c r="G10965" s="6" t="n">
        <f aca="false">Sens!G10953+Sens!G10958+Sens!G10959+Sens!G10961+Sens!G10963</f>
        <v>424.490670881892</v>
      </c>
      <c r="H10965" s="6" t="n">
        <f aca="false">Sens!H10953+Sens!H10958+Sens!H10959+Sens!H10961+Sens!H10963</f>
        <v>515.646275281385</v>
      </c>
      <c r="I10965" s="6" t="n">
        <f aca="false">Sens!I10953+Sens!I10958+Sens!I10959+Sens!I10961+Sens!I10963</f>
        <v>592.863760444604</v>
      </c>
      <c r="J10965" s="6" t="n">
        <f aca="false">Sens!J10953+Sens!J10958+Sens!J10959+Sens!J10961+Sens!J10963</f>
        <v>654.278787544077</v>
      </c>
      <c r="K10965" s="6" t="n">
        <f aca="false">Sens!K10953+Sens!K10958+Sens!K10959+Sens!K10961+Sens!K10963</f>
        <v>702.284651237393</v>
      </c>
    </row>
    <row r="10966" customFormat="false" ht="15" hidden="false" customHeight="false" outlineLevel="0" collapsed="false">
      <c r="A10966" s="0" t="s">
        <v>877</v>
      </c>
      <c r="B10966" s="0" t="s">
        <v>98</v>
      </c>
      <c r="D10966" s="6" t="n">
        <f aca="false">Q!L13</f>
        <v>22.171</v>
      </c>
      <c r="E10966" s="6" t="n">
        <f aca="false">Q!M13</f>
        <v>24.835</v>
      </c>
      <c r="F10966" s="6" t="n">
        <f aca="false">Sens!E10966*(1+Sens!F10967)</f>
        <v>27.6114901218559</v>
      </c>
      <c r="G10966" s="6" t="n">
        <f aca="false">Sens!F10966*(1+Sens!G10967)</f>
        <v>30.4675667338515</v>
      </c>
      <c r="H10966" s="6" t="n">
        <f aca="false">Sens!G10966*(1+Sens!H10967)</f>
        <v>33.3643766955789</v>
      </c>
      <c r="I10966" s="6" t="n">
        <f aca="false">Sens!H10966*(1+Sens!I10967)</f>
        <v>36.2577016533691</v>
      </c>
      <c r="J10966" s="6" t="n">
        <f aca="false">Sens!I10966*(1+Sens!J10967)</f>
        <v>39.0988367952171</v>
      </c>
      <c r="K10966" s="6" t="n">
        <f aca="false">Sens!J10966*(1+Sens!K10967)</f>
        <v>41.8357553708823</v>
      </c>
    </row>
    <row r="10967" customFormat="false" ht="15" hidden="false" customHeight="false" outlineLevel="0" collapsed="false">
      <c r="A10967" s="1" t="s">
        <v>866</v>
      </c>
      <c r="B10967" s="0" t="s">
        <v>129</v>
      </c>
      <c r="E10967" s="7" t="n">
        <f aca="false">Sens!E10966/Sens!D10966-1</f>
        <v>0.120156961796942</v>
      </c>
      <c r="F10967" s="7" t="n">
        <f aca="false">Sens!$E$10967+(glt_srch-Sens!$E$10967)*MIN(1,(Sens!F10912-base_fy)/n_conv)</f>
        <v>0.111797468164118</v>
      </c>
      <c r="G10967" s="7" t="n">
        <f aca="false">Sens!$E$10967+(glt_srch-Sens!$E$10967)*MIN(1,(Sens!G10912-base_fy)/n_conv)</f>
        <v>0.103437974531295</v>
      </c>
      <c r="H10967" s="7" t="n">
        <f aca="false">Sens!$E$10967+(glt_srch-Sens!$E$10967)*MIN(1,(Sens!H10912-base_fy)/n_conv)</f>
        <v>0.095078480898471</v>
      </c>
      <c r="I10967" s="7" t="n">
        <f aca="false">Sens!$E$10967+(glt_srch-Sens!$E$10967)*MIN(1,(Sens!I10912-base_fy)/n_conv)</f>
        <v>0.0867189872656474</v>
      </c>
      <c r="J10967" s="7" t="n">
        <f aca="false">Sens!$E$10967+(glt_srch-Sens!$E$10967)*MIN(1,(Sens!J10912-base_fy)/n_conv)</f>
        <v>0.0783594936328237</v>
      </c>
      <c r="K10967" s="7" t="n">
        <f aca="false">Sens!$E$10967+(glt_srch-Sens!$E$10967)*MIN(1,(Sens!K10912-base_fy)/n_conv)</f>
        <v>0.07</v>
      </c>
    </row>
    <row r="10968" customFormat="false" ht="15" hidden="false" customHeight="false" outlineLevel="0" collapsed="false">
      <c r="A10968" s="0" t="s">
        <v>878</v>
      </c>
      <c r="B10968" s="0" t="s">
        <v>98</v>
      </c>
      <c r="D10968" s="6" t="n">
        <f aca="false">Q!L14</f>
        <v>23.455</v>
      </c>
      <c r="E10968" s="6" t="n">
        <f aca="false">Q!M14</f>
        <v>21.79</v>
      </c>
      <c r="F10968" s="6" t="n">
        <f aca="false">Sens!E10968*(1+Sens!F10969)</f>
        <v>20.5736277908051</v>
      </c>
      <c r="G10968" s="6" t="n">
        <f aca="false">Sens!F10968*(1+Sens!G10969)</f>
        <v>19.7371452817919</v>
      </c>
      <c r="H10968" s="6" t="n">
        <f aca="false">Sens!G10968*(1+Sens!H10969)</f>
        <v>19.2339764043138</v>
      </c>
      <c r="I10968" s="6" t="n">
        <f aca="false">Sens!H10968*(1+Sens!I10969)</f>
        <v>19.0353086852681</v>
      </c>
      <c r="J10968" s="6" t="n">
        <f aca="false">Sens!I10968*(1+Sens!J10969)</f>
        <v>19.1273539319129</v>
      </c>
      <c r="K10968" s="6" t="n">
        <f aca="false">Sens!J10968*(1+Sens!K10969)</f>
        <v>19.5099010105511</v>
      </c>
    </row>
    <row r="10969" customFormat="false" ht="15" hidden="false" customHeight="false" outlineLevel="0" collapsed="false">
      <c r="A10969" s="1" t="s">
        <v>866</v>
      </c>
      <c r="B10969" s="0" t="s">
        <v>129</v>
      </c>
      <c r="E10969" s="7" t="n">
        <f aca="false">Sens!E10968/Sens!D10968-1</f>
        <v>-0.0709869963760392</v>
      </c>
      <c r="F10969" s="7" t="n">
        <f aca="false">Sens!$E$10969+(glt_xbox-Sens!$E$10969)*MIN(1,(Sens!F10912-base_fy)/n_conv)</f>
        <v>-0.0558224969800327</v>
      </c>
      <c r="G10969" s="7" t="n">
        <f aca="false">Sens!$E$10969+(glt_xbox-Sens!$E$10969)*MIN(1,(Sens!G10912-base_fy)/n_conv)</f>
        <v>-0.0406579975840262</v>
      </c>
      <c r="H10969" s="7" t="n">
        <f aca="false">Sens!$E$10969+(glt_xbox-Sens!$E$10969)*MIN(1,(Sens!H10912-base_fy)/n_conv)</f>
        <v>-0.0254934981880196</v>
      </c>
      <c r="I10969" s="7" t="n">
        <f aca="false">Sens!$E$10969+(glt_xbox-Sens!$E$10969)*MIN(1,(Sens!I10912-base_fy)/n_conv)</f>
        <v>-0.0103289987920131</v>
      </c>
      <c r="J10969" s="7" t="n">
        <f aca="false">Sens!$E$10969+(glt_xbox-Sens!$E$10969)*MIN(1,(Sens!J10912-base_fy)/n_conv)</f>
        <v>0.00483550060399347</v>
      </c>
      <c r="K10969" s="7" t="n">
        <f aca="false">Sens!$E$10969+(glt_xbox-Sens!$E$10969)*MIN(1,(Sens!K10912-base_fy)/n_conv)</f>
        <v>0.02</v>
      </c>
    </row>
    <row r="10970" customFormat="false" ht="15" hidden="false" customHeight="false" outlineLevel="0" collapsed="false">
      <c r="A10970" s="0" t="s">
        <v>879</v>
      </c>
      <c r="B10970" s="0" t="s">
        <v>98</v>
      </c>
      <c r="D10970" s="6" t="n">
        <f aca="false">Q!L15</f>
        <v>17.315</v>
      </c>
      <c r="E10970" s="6" t="n">
        <f aca="false">Q!M15</f>
        <v>17.087</v>
      </c>
      <c r="F10970" s="6" t="n">
        <f aca="false">Sens!E10970*(1+Sens!F10971)</f>
        <v>16.9564585436519</v>
      </c>
      <c r="G10970" s="6" t="n">
        <f aca="false">Sens!F10970*(1+Sens!G10971)</f>
        <v>16.9206490624268</v>
      </c>
      <c r="H10970" s="6" t="n">
        <f aca="false">Sens!G10970*(1+Sens!H10971)</f>
        <v>16.9784519149849</v>
      </c>
      <c r="I10970" s="6" t="n">
        <f aca="false">Sens!H10970*(1+Sens!I10971)</f>
        <v>17.1303084701817</v>
      </c>
      <c r="J10970" s="6" t="n">
        <f aca="false">Sens!I10970*(1+Sens!J10971)</f>
        <v>17.3782189407267</v>
      </c>
      <c r="K10970" s="6" t="n">
        <f aca="false">Sens!J10970*(1+Sens!K10971)</f>
        <v>17.7257833195413</v>
      </c>
    </row>
    <row r="10971" customFormat="false" ht="15" hidden="false" customHeight="false" outlineLevel="0" collapsed="false">
      <c r="A10971" s="1" t="s">
        <v>866</v>
      </c>
      <c r="B10971" s="0" t="s">
        <v>129</v>
      </c>
      <c r="E10971" s="7" t="n">
        <f aca="false">Sens!E10970/Sens!D10970-1</f>
        <v>-0.0131677736066995</v>
      </c>
      <c r="F10971" s="7" t="n">
        <f aca="false">Sens!$E$10971+(glt_win-Sens!$E$10971)*MIN(1,(Sens!F10912-base_fy)/n_conv)</f>
        <v>-0.00763981133891627</v>
      </c>
      <c r="G10971" s="7" t="n">
        <f aca="false">Sens!$E$10971+(glt_win-Sens!$E$10971)*MIN(1,(Sens!G10912-base_fy)/n_conv)</f>
        <v>-0.00211184907113301</v>
      </c>
      <c r="H10971" s="7" t="n">
        <f aca="false">Sens!$E$10971+(glt_win-Sens!$E$10971)*MIN(1,(Sens!H10912-base_fy)/n_conv)</f>
        <v>0.00341611319665024</v>
      </c>
      <c r="I10971" s="7" t="n">
        <f aca="false">Sens!$E$10971+(glt_win-Sens!$E$10971)*MIN(1,(Sens!I10912-base_fy)/n_conv)</f>
        <v>0.00894407546443349</v>
      </c>
      <c r="J10971" s="7" t="n">
        <f aca="false">Sens!$E$10971+(glt_win-Sens!$E$10971)*MIN(1,(Sens!J10912-base_fy)/n_conv)</f>
        <v>0.0144720377322168</v>
      </c>
      <c r="K10971" s="7" t="n">
        <f aca="false">Sens!$E$10971+(glt_win-Sens!$E$10971)*MIN(1,(Sens!K10912-base_fy)/n_conv)</f>
        <v>0.02</v>
      </c>
    </row>
    <row r="10972" customFormat="false" ht="15" hidden="false" customHeight="false" outlineLevel="0" collapsed="false">
      <c r="A10972" s="0" t="s">
        <v>718</v>
      </c>
      <c r="B10972" s="0" t="s">
        <v>98</v>
      </c>
      <c r="D10972" s="6" t="n">
        <f aca="false">Sens!D10966+Sens!D10968+Sens!D10970</f>
        <v>62.941</v>
      </c>
      <c r="E10972" s="6" t="n">
        <f aca="false">Sens!E10966+Sens!E10968+Sens!E10970</f>
        <v>63.712</v>
      </c>
      <c r="F10972" s="6" t="n">
        <f aca="false">Sens!F10966+Sens!F10968+Sens!F10970</f>
        <v>65.1415764563129</v>
      </c>
      <c r="G10972" s="6" t="n">
        <f aca="false">Sens!G10966+Sens!G10968+Sens!G10970</f>
        <v>67.1253610780702</v>
      </c>
      <c r="H10972" s="6" t="n">
        <f aca="false">Sens!H10966+Sens!H10968+Sens!H10970</f>
        <v>69.5768050148776</v>
      </c>
      <c r="I10972" s="6" t="n">
        <f aca="false">Sens!I10966+Sens!I10968+Sens!I10970</f>
        <v>72.4233188088189</v>
      </c>
      <c r="J10972" s="6" t="n">
        <f aca="false">Sens!J10966+Sens!J10968+Sens!J10970</f>
        <v>75.6044096678567</v>
      </c>
      <c r="K10972" s="6" t="n">
        <f aca="false">Sens!K10966+Sens!K10968+Sens!K10970</f>
        <v>79.0714397009747</v>
      </c>
    </row>
    <row r="10973" customFormat="false" ht="15" hidden="false" customHeight="false" outlineLevel="0" collapsed="false">
      <c r="A10973" s="1" t="s">
        <v>880</v>
      </c>
      <c r="B10973" s="0" t="s">
        <v>98</v>
      </c>
      <c r="D10973" s="6" t="n">
        <f aca="false">Sens!D10965+Sens!D10972</f>
        <v>281.724</v>
      </c>
      <c r="E10973" s="6" t="n">
        <f aca="false">Sens!E10965+Sens!E10972</f>
        <v>331.839</v>
      </c>
      <c r="F10973" s="6" t="n">
        <f aca="false">Sens!F10965+Sens!F10972</f>
        <v>404.575517363364</v>
      </c>
      <c r="G10973" s="6" t="n">
        <f aca="false">Sens!G10965+Sens!G10972</f>
        <v>491.616031959962</v>
      </c>
      <c r="H10973" s="6" t="n">
        <f aca="false">Sens!H10965+Sens!H10972</f>
        <v>585.223080296262</v>
      </c>
      <c r="I10973" s="6" t="n">
        <f aca="false">Sens!I10965+Sens!I10972</f>
        <v>665.287079253422</v>
      </c>
      <c r="J10973" s="6" t="n">
        <f aca="false">Sens!J10965+Sens!J10972</f>
        <v>729.883197211934</v>
      </c>
      <c r="K10973" s="6" t="n">
        <f aca="false">Sens!K10965+Sens!K10972</f>
        <v>781.356090938368</v>
      </c>
    </row>
    <row r="10974" customFormat="false" ht="15" hidden="false" customHeight="false" outlineLevel="0" collapsed="false">
      <c r="A10974" s="23" t="s">
        <v>881</v>
      </c>
      <c r="B10974" s="30" t="s">
        <v>98</v>
      </c>
      <c r="C10974" s="30"/>
      <c r="D10974" s="24" t="n">
        <f aca="false">(Sens!D10953+Sens!D10958+Sens!D10959+Sens!D10961+Sens!D10963-Sens!D10965)+(Sens!D10966+Sens!D10968+Sens!D10970-Sens!D10972)+(Sens!D10965-Q!L5)+(Sens!D10972-Q!L12)+(Sens!D10953-Q!L6)+(Sens!D10958-Q!L7)</f>
        <v>0</v>
      </c>
      <c r="E10974" s="24" t="n">
        <f aca="false">(Sens!E10953+Sens!E10958+Sens!E10959+Sens!E10961+Sens!E10963-Sens!E10965)+(Sens!E10966+Sens!E10968+Sens!E10970-Sens!E10972)+(Sens!E10965-Q!M5)+(Sens!E10972-Q!M12)+(Sens!E10953-Q!M6)+(Sens!E10958-Q!M7)</f>
        <v>0</v>
      </c>
      <c r="F10974" s="24" t="n">
        <f aca="false">(Sens!F10953+Sens!F10958+Sens!F10959+Sens!F10961+Sens!F10963-Sens!F10965)+(Sens!F10966+Sens!F10968+Sens!F10970-Sens!F10972)</f>
        <v>0</v>
      </c>
      <c r="G10974" s="24" t="n">
        <f aca="false">(Sens!G10953+Sens!G10958+Sens!G10959+Sens!G10961+Sens!G10963-Sens!G10965)+(Sens!G10966+Sens!G10968+Sens!G10970-Sens!G10972)</f>
        <v>0</v>
      </c>
      <c r="H10974" s="24" t="n">
        <f aca="false">(Sens!H10953+Sens!H10958+Sens!H10959+Sens!H10961+Sens!H10963-Sens!H10965)+(Sens!H10966+Sens!H10968+Sens!H10970-Sens!H10972)</f>
        <v>0</v>
      </c>
      <c r="I10974" s="24" t="n">
        <f aca="false">(Sens!I10953+Sens!I10958+Sens!I10959+Sens!I10961+Sens!I10963-Sens!I10965)+(Sens!I10966+Sens!I10968+Sens!I10970-Sens!I10972)</f>
        <v>0</v>
      </c>
      <c r="J10974" s="24" t="n">
        <f aca="false">(Sens!J10953+Sens!J10958+Sens!J10959+Sens!J10961+Sens!J10963-Sens!J10965)+(Sens!J10966+Sens!J10968+Sens!J10970-Sens!J10972)</f>
        <v>0</v>
      </c>
      <c r="K10974" s="24" t="n">
        <f aca="false">(Sens!K10953+Sens!K10958+Sens!K10959+Sens!K10961+Sens!K10963-Sens!K10965)+(Sens!K10966+Sens!K10968+Sens!K10970-Sens!K10972)</f>
        <v>0</v>
      </c>
    </row>
    <row r="10975" customFormat="false" ht="17.15" hidden="false" customHeight="false" outlineLevel="0" collapsed="false">
      <c r="A10975" s="3" t="s">
        <v>1521</v>
      </c>
    </row>
    <row r="10976" customFormat="false" ht="15" hidden="false" customHeight="false" outlineLevel="0" collapsed="false">
      <c r="A10976" s="4" t="s">
        <v>43</v>
      </c>
      <c r="B10976" s="4" t="s">
        <v>65</v>
      </c>
      <c r="C10976" s="20" t="s">
        <v>788</v>
      </c>
      <c r="D10976" s="20" t="s">
        <v>789</v>
      </c>
      <c r="E10976" s="20" t="s">
        <v>790</v>
      </c>
      <c r="F10976" s="20" t="s">
        <v>791</v>
      </c>
      <c r="G10976" s="20" t="s">
        <v>792</v>
      </c>
      <c r="H10976" s="20" t="s">
        <v>793</v>
      </c>
      <c r="I10976" s="20" t="s">
        <v>794</v>
      </c>
      <c r="J10976" s="20" t="s">
        <v>795</v>
      </c>
      <c r="K10976" s="20" t="s">
        <v>796</v>
      </c>
      <c r="L10976" s="4" t="s">
        <v>47</v>
      </c>
    </row>
    <row r="10977" customFormat="false" ht="15" hidden="false" customHeight="false" outlineLevel="0" collapsed="false">
      <c r="A10977" s="0" t="s">
        <v>867</v>
      </c>
      <c r="B10977" s="0" t="s">
        <v>98</v>
      </c>
      <c r="D10977" s="6" t="n">
        <f aca="false">Sens!D10953</f>
        <v>72.61</v>
      </c>
      <c r="E10977" s="6" t="n">
        <f aca="false">Sens!E10953</f>
        <v>101.938</v>
      </c>
      <c r="F10977" s="6" t="n">
        <f aca="false">Sens!F10953</f>
        <v>148.812368967868</v>
      </c>
      <c r="G10977" s="6" t="n">
        <f aca="false">Sens!G10953</f>
        <v>208.397514344463</v>
      </c>
      <c r="H10977" s="6" t="n">
        <f aca="false">Sens!H10953</f>
        <v>274.05759259987</v>
      </c>
      <c r="I10977" s="6" t="n">
        <f aca="false">Sens!I10953</f>
        <v>328.302405465117</v>
      </c>
      <c r="J10977" s="6" t="n">
        <f aca="false">Sens!J10953</f>
        <v>369.587890439908</v>
      </c>
      <c r="K10977" s="6" t="n">
        <f aca="false">Sens!K10953</f>
        <v>398.390581897217</v>
      </c>
    </row>
    <row r="10978" customFormat="false" ht="17.15" hidden="false" customHeight="false" outlineLevel="0" collapsed="false">
      <c r="A10978" s="0" t="s">
        <v>864</v>
      </c>
      <c r="B10978" s="0" t="s">
        <v>98</v>
      </c>
      <c r="D10978" s="6" t="n">
        <f aca="false">Sens!D10950</f>
        <v>12.9359794422418</v>
      </c>
      <c r="E10978" s="6" t="n">
        <f aca="false">Sens!E10950</f>
        <v>27.8095064661409</v>
      </c>
      <c r="F10978" s="6" t="n">
        <f aca="false">Sens!F10950</f>
        <v>58.7324192305018</v>
      </c>
      <c r="G10978" s="6" t="n">
        <f aca="false">Sens!G10950</f>
        <v>101.369089141153</v>
      </c>
      <c r="H10978" s="6" t="n">
        <f aca="false">Sens!H10950</f>
        <v>149.785610014234</v>
      </c>
      <c r="I10978" s="6" t="n">
        <f aca="false">Sens!I10950</f>
        <v>187.368703083263</v>
      </c>
      <c r="J10978" s="6" t="n">
        <f aca="false">Sens!J10950</f>
        <v>213.569023125577</v>
      </c>
      <c r="K10978" s="6" t="n">
        <f aca="false">Sens!K10950</f>
        <v>229.890205197739</v>
      </c>
    </row>
    <row r="10979" customFormat="false" ht="17.15" hidden="false" customHeight="false" outlineLevel="0" collapsed="false">
      <c r="A10979" s="0" t="s">
        <v>892</v>
      </c>
      <c r="B10979" s="0" t="s">
        <v>98</v>
      </c>
      <c r="D10979" s="6" t="n">
        <f aca="false">Sens!D10951</f>
        <v>59.6740205577583</v>
      </c>
      <c r="E10979" s="6" t="n">
        <f aca="false">Sens!E10951</f>
        <v>74.1284935338591</v>
      </c>
      <c r="F10979" s="6" t="n">
        <f aca="false">Sens!F10951</f>
        <v>90.0799497373663</v>
      </c>
      <c r="G10979" s="6" t="n">
        <f aca="false">Sens!G10951</f>
        <v>107.02842520331</v>
      </c>
      <c r="H10979" s="6" t="n">
        <f aca="false">Sens!H10951</f>
        <v>124.271982585636</v>
      </c>
      <c r="I10979" s="6" t="n">
        <f aca="false">Sens!I10951</f>
        <v>140.933702381855</v>
      </c>
      <c r="J10979" s="6" t="n">
        <f aca="false">Sens!J10951</f>
        <v>156.018867314332</v>
      </c>
      <c r="K10979" s="6" t="n">
        <f aca="false">Sens!K10951</f>
        <v>168.500376699478</v>
      </c>
    </row>
    <row r="10980" customFormat="false" ht="15" hidden="false" customHeight="false" outlineLevel="0" collapsed="false">
      <c r="A10980" s="0" t="s">
        <v>873</v>
      </c>
      <c r="B10980" s="0" t="s">
        <v>98</v>
      </c>
      <c r="D10980" s="6" t="n">
        <f aca="false">Sens!D10958</f>
        <v>84.605</v>
      </c>
      <c r="E10980" s="6" t="n">
        <f aca="false">Sens!E10958</f>
        <v>100.299</v>
      </c>
      <c r="F10980" s="6" t="n">
        <f aca="false">Sens!F10958</f>
        <v>120.39238776686</v>
      </c>
      <c r="G10980" s="6" t="n">
        <f aca="false">Sens!G10958</f>
        <v>141.544168448684</v>
      </c>
      <c r="H10980" s="6" t="n">
        <f aca="false">Sens!H10958</f>
        <v>162.777359388781</v>
      </c>
      <c r="I10980" s="6" t="n">
        <f aca="false">Sens!I10958</f>
        <v>181.584028071957</v>
      </c>
      <c r="J10980" s="6" t="n">
        <f aca="false">Sens!J10958</f>
        <v>197.682702785465</v>
      </c>
      <c r="K10980" s="6" t="n">
        <f aca="false">Sens!K10958</f>
        <v>213.027991980448</v>
      </c>
    </row>
    <row r="10981" customFormat="false" ht="17.15" hidden="false" customHeight="false" outlineLevel="0" collapsed="false">
      <c r="A10981" s="0" t="s">
        <v>893</v>
      </c>
      <c r="B10981" s="0" t="s">
        <v>98</v>
      </c>
      <c r="D10981" s="6" t="n">
        <f aca="false">Sens!D10956</f>
        <v>83.705</v>
      </c>
      <c r="E10981" s="6" t="n">
        <f aca="false">Sens!E10956</f>
        <v>95.049</v>
      </c>
      <c r="F10981" s="6" t="n">
        <f aca="false">Sens!F10956</f>
        <v>106.89238776686</v>
      </c>
      <c r="G10981" s="6" t="n">
        <f aca="false">Sens!G10956</f>
        <v>119.044168448684</v>
      </c>
      <c r="H10981" s="6" t="n">
        <f aca="false">Sens!H10956</f>
        <v>131.277359388781</v>
      </c>
      <c r="I10981" s="6" t="n">
        <f aca="false">Sens!I10956</f>
        <v>143.334028071957</v>
      </c>
      <c r="J10981" s="6" t="n">
        <f aca="false">Sens!J10956</f>
        <v>154.932702785465</v>
      </c>
      <c r="K10981" s="6" t="n">
        <f aca="false">Sens!K10956</f>
        <v>165.777991980448</v>
      </c>
    </row>
    <row r="10982" customFormat="false" ht="17.15" hidden="false" customHeight="false" outlineLevel="0" collapsed="false">
      <c r="A10982" s="0" t="s">
        <v>894</v>
      </c>
      <c r="B10982" s="0" t="s">
        <v>98</v>
      </c>
      <c r="D10982" s="6" t="n">
        <f aca="false">Sens!D10955</f>
        <v>0.9</v>
      </c>
      <c r="E10982" s="6" t="n">
        <f aca="false">Sens!E10955</f>
        <v>5.25</v>
      </c>
      <c r="F10982" s="6" t="n">
        <f aca="false">Sens!F10955</f>
        <v>13.5</v>
      </c>
      <c r="G10982" s="6" t="n">
        <f aca="false">Sens!G10955</f>
        <v>22.5</v>
      </c>
      <c r="H10982" s="6" t="n">
        <f aca="false">Sens!H10955</f>
        <v>31.5</v>
      </c>
      <c r="I10982" s="6" t="n">
        <f aca="false">Sens!I10955</f>
        <v>38.25</v>
      </c>
      <c r="J10982" s="6" t="n">
        <f aca="false">Sens!J10955</f>
        <v>42.75</v>
      </c>
      <c r="K10982" s="6" t="n">
        <f aca="false">Sens!K10955</f>
        <v>47.25</v>
      </c>
    </row>
    <row r="10983" customFormat="false" ht="15" hidden="false" customHeight="false" outlineLevel="0" collapsed="false">
      <c r="A10983" s="0" t="s">
        <v>874</v>
      </c>
      <c r="B10983" s="0" t="s">
        <v>98</v>
      </c>
      <c r="D10983" s="6" t="n">
        <f aca="false">Sens!D10959</f>
        <v>35.391</v>
      </c>
      <c r="E10983" s="6" t="n">
        <f aca="false">Sens!E10959</f>
        <v>37.285</v>
      </c>
      <c r="F10983" s="6" t="n">
        <f aca="false">Sens!F10959</f>
        <v>39.0720834331704</v>
      </c>
      <c r="G10983" s="6" t="n">
        <f aca="false">Sens!G10959</f>
        <v>40.726562953769</v>
      </c>
      <c r="H10983" s="6" t="n">
        <f aca="false">Sens!H10959</f>
        <v>42.2235987259198</v>
      </c>
      <c r="I10983" s="6" t="n">
        <f aca="false">Sens!I10959</f>
        <v>43.5397988077414</v>
      </c>
      <c r="J10983" s="6" t="n">
        <f aca="false">Sens!J10959</f>
        <v>44.653811225693</v>
      </c>
      <c r="K10983" s="6" t="n">
        <f aca="false">Sens!K10959</f>
        <v>45.5468874502068</v>
      </c>
    </row>
    <row r="10984" customFormat="false" ht="15" hidden="false" customHeight="false" outlineLevel="0" collapsed="false">
      <c r="A10984" s="0" t="s">
        <v>875</v>
      </c>
      <c r="B10984" s="0" t="s">
        <v>98</v>
      </c>
      <c r="D10984" s="6" t="n">
        <f aca="false">Sens!D10961</f>
        <v>18.417</v>
      </c>
      <c r="E10984" s="6" t="n">
        <f aca="false">Sens!E10961</f>
        <v>20.345</v>
      </c>
      <c r="F10984" s="6" t="n">
        <f aca="false">Sens!F10961</f>
        <v>22.3572203267814</v>
      </c>
      <c r="G10984" s="6" t="n">
        <f aca="false">Sens!G10961</f>
        <v>24.4392124437232</v>
      </c>
      <c r="H10984" s="6" t="n">
        <f aca="false">Sens!H10961</f>
        <v>26.5738052080665</v>
      </c>
      <c r="I10984" s="6" t="n">
        <f aca="false">Sens!I10961</f>
        <v>28.7412169166967</v>
      </c>
      <c r="J10984" s="6" t="n">
        <f aca="false">Sens!J10961</f>
        <v>30.9192545395413</v>
      </c>
      <c r="K10984" s="6" t="n">
        <f aca="false">Sens!K10961</f>
        <v>33.0836023573092</v>
      </c>
    </row>
    <row r="10985" customFormat="false" ht="15" hidden="false" customHeight="false" outlineLevel="0" collapsed="false">
      <c r="A10985" s="0" t="s">
        <v>876</v>
      </c>
      <c r="B10985" s="0" t="s">
        <v>98</v>
      </c>
      <c r="D10985" s="6" t="n">
        <f aca="false">Sens!D10963</f>
        <v>7.76</v>
      </c>
      <c r="E10985" s="6" t="n">
        <f aca="false">Sens!E10963</f>
        <v>8.26</v>
      </c>
      <c r="F10985" s="6" t="n">
        <f aca="false">Sens!F10963</f>
        <v>8.79988041237113</v>
      </c>
      <c r="G10985" s="6" t="n">
        <f aca="false">Sens!G10963</f>
        <v>9.38321269125306</v>
      </c>
      <c r="H10985" s="6" t="n">
        <f aca="false">Sens!H10963</f>
        <v>10.0139193587476</v>
      </c>
      <c r="I10985" s="6" t="n">
        <f aca="false">Sens!I10963</f>
        <v>10.6963111830911</v>
      </c>
      <c r="J10985" s="6" t="n">
        <f aca="false">Sens!J10963</f>
        <v>11.4351285534696</v>
      </c>
      <c r="K10985" s="6" t="n">
        <f aca="false">Sens!K10963</f>
        <v>12.2355875522124</v>
      </c>
    </row>
    <row r="10986" customFormat="false" ht="15" hidden="false" customHeight="false" outlineLevel="0" collapsed="false">
      <c r="A10986" s="0" t="s">
        <v>704</v>
      </c>
      <c r="B10986" s="0" t="s">
        <v>98</v>
      </c>
      <c r="D10986" s="6" t="n">
        <f aca="false">Sens!D10965</f>
        <v>218.783</v>
      </c>
      <c r="E10986" s="6" t="n">
        <f aca="false">Sens!E10965</f>
        <v>268.127</v>
      </c>
      <c r="F10986" s="6" t="n">
        <f aca="false">Sens!F10965</f>
        <v>339.433940907051</v>
      </c>
      <c r="G10986" s="6" t="n">
        <f aca="false">Sens!G10965</f>
        <v>424.490670881892</v>
      </c>
      <c r="H10986" s="6" t="n">
        <f aca="false">Sens!H10965</f>
        <v>515.646275281385</v>
      </c>
      <c r="I10986" s="6" t="n">
        <f aca="false">Sens!I10965</f>
        <v>592.863760444604</v>
      </c>
      <c r="J10986" s="6" t="n">
        <f aca="false">Sens!J10965</f>
        <v>654.278787544077</v>
      </c>
      <c r="K10986" s="6" t="n">
        <f aca="false">Sens!K10965</f>
        <v>702.284651237393</v>
      </c>
    </row>
    <row r="10987" customFormat="false" ht="15" hidden="false" customHeight="false" outlineLevel="0" collapsed="false">
      <c r="A10987" s="0" t="s">
        <v>877</v>
      </c>
      <c r="B10987" s="0" t="s">
        <v>98</v>
      </c>
      <c r="D10987" s="6" t="n">
        <f aca="false">Sens!D10966</f>
        <v>22.171</v>
      </c>
      <c r="E10987" s="6" t="n">
        <f aca="false">Sens!E10966</f>
        <v>24.835</v>
      </c>
      <c r="F10987" s="6" t="n">
        <f aca="false">Sens!F10966</f>
        <v>27.6114901218559</v>
      </c>
      <c r="G10987" s="6" t="n">
        <f aca="false">Sens!G10966</f>
        <v>30.4675667338515</v>
      </c>
      <c r="H10987" s="6" t="n">
        <f aca="false">Sens!H10966</f>
        <v>33.3643766955789</v>
      </c>
      <c r="I10987" s="6" t="n">
        <f aca="false">Sens!I10966</f>
        <v>36.2577016533691</v>
      </c>
      <c r="J10987" s="6" t="n">
        <f aca="false">Sens!J10966</f>
        <v>39.0988367952171</v>
      </c>
      <c r="K10987" s="6" t="n">
        <f aca="false">Sens!K10966</f>
        <v>41.8357553708823</v>
      </c>
    </row>
    <row r="10988" customFormat="false" ht="15" hidden="false" customHeight="false" outlineLevel="0" collapsed="false">
      <c r="A10988" s="0" t="s">
        <v>878</v>
      </c>
      <c r="B10988" s="0" t="s">
        <v>98</v>
      </c>
      <c r="D10988" s="6" t="n">
        <f aca="false">Sens!D10968</f>
        <v>23.455</v>
      </c>
      <c r="E10988" s="6" t="n">
        <f aca="false">Sens!E10968</f>
        <v>21.79</v>
      </c>
      <c r="F10988" s="6" t="n">
        <f aca="false">Sens!F10968</f>
        <v>20.5736277908051</v>
      </c>
      <c r="G10988" s="6" t="n">
        <f aca="false">Sens!G10968</f>
        <v>19.7371452817919</v>
      </c>
      <c r="H10988" s="6" t="n">
        <f aca="false">Sens!H10968</f>
        <v>19.2339764043138</v>
      </c>
      <c r="I10988" s="6" t="n">
        <f aca="false">Sens!I10968</f>
        <v>19.0353086852681</v>
      </c>
      <c r="J10988" s="6" t="n">
        <f aca="false">Sens!J10968</f>
        <v>19.1273539319129</v>
      </c>
      <c r="K10988" s="6" t="n">
        <f aca="false">Sens!K10968</f>
        <v>19.5099010105511</v>
      </c>
    </row>
    <row r="10989" customFormat="false" ht="15" hidden="false" customHeight="false" outlineLevel="0" collapsed="false">
      <c r="A10989" s="0" t="s">
        <v>879</v>
      </c>
      <c r="B10989" s="0" t="s">
        <v>98</v>
      </c>
      <c r="D10989" s="6" t="n">
        <f aca="false">Sens!D10970</f>
        <v>17.315</v>
      </c>
      <c r="E10989" s="6" t="n">
        <f aca="false">Sens!E10970</f>
        <v>17.087</v>
      </c>
      <c r="F10989" s="6" t="n">
        <f aca="false">Sens!F10970</f>
        <v>16.9564585436519</v>
      </c>
      <c r="G10989" s="6" t="n">
        <f aca="false">Sens!G10970</f>
        <v>16.9206490624268</v>
      </c>
      <c r="H10989" s="6" t="n">
        <f aca="false">Sens!H10970</f>
        <v>16.9784519149849</v>
      </c>
      <c r="I10989" s="6" t="n">
        <f aca="false">Sens!I10970</f>
        <v>17.1303084701817</v>
      </c>
      <c r="J10989" s="6" t="n">
        <f aca="false">Sens!J10970</f>
        <v>17.3782189407267</v>
      </c>
      <c r="K10989" s="6" t="n">
        <f aca="false">Sens!K10970</f>
        <v>17.7257833195413</v>
      </c>
    </row>
    <row r="10990" customFormat="false" ht="15" hidden="false" customHeight="false" outlineLevel="0" collapsed="false">
      <c r="A10990" s="0" t="s">
        <v>718</v>
      </c>
      <c r="B10990" s="0" t="s">
        <v>98</v>
      </c>
      <c r="D10990" s="6" t="n">
        <f aca="false">Sens!D10972</f>
        <v>62.941</v>
      </c>
      <c r="E10990" s="6" t="n">
        <f aca="false">Sens!E10972</f>
        <v>63.712</v>
      </c>
      <c r="F10990" s="6" t="n">
        <f aca="false">Sens!F10972</f>
        <v>65.1415764563129</v>
      </c>
      <c r="G10990" s="6" t="n">
        <f aca="false">Sens!G10972</f>
        <v>67.1253610780702</v>
      </c>
      <c r="H10990" s="6" t="n">
        <f aca="false">Sens!H10972</f>
        <v>69.5768050148776</v>
      </c>
      <c r="I10990" s="6" t="n">
        <f aca="false">Sens!I10972</f>
        <v>72.4233188088189</v>
      </c>
      <c r="J10990" s="6" t="n">
        <f aca="false">Sens!J10972</f>
        <v>75.6044096678567</v>
      </c>
      <c r="K10990" s="6" t="n">
        <f aca="false">Sens!K10972</f>
        <v>79.0714397009747</v>
      </c>
    </row>
    <row r="10991" customFormat="false" ht="15" hidden="false" customHeight="false" outlineLevel="0" collapsed="false">
      <c r="A10991" s="1" t="s">
        <v>895</v>
      </c>
      <c r="B10991" s="0" t="s">
        <v>98</v>
      </c>
      <c r="D10991" s="6" t="n">
        <f aca="false">Sens!D10973</f>
        <v>281.724</v>
      </c>
      <c r="E10991" s="6" t="n">
        <f aca="false">Sens!E10973</f>
        <v>331.839</v>
      </c>
      <c r="F10991" s="6" t="n">
        <f aca="false">Sens!F10973</f>
        <v>404.575517363364</v>
      </c>
      <c r="G10991" s="6" t="n">
        <f aca="false">Sens!G10973</f>
        <v>491.616031959962</v>
      </c>
      <c r="H10991" s="6" t="n">
        <f aca="false">Sens!H10973</f>
        <v>585.223080296262</v>
      </c>
      <c r="I10991" s="6" t="n">
        <f aca="false">Sens!I10973</f>
        <v>665.287079253422</v>
      </c>
      <c r="J10991" s="6" t="n">
        <f aca="false">Sens!J10973</f>
        <v>729.883197211934</v>
      </c>
      <c r="K10991" s="6" t="n">
        <f aca="false">Sens!K10973</f>
        <v>781.356090938368</v>
      </c>
    </row>
    <row r="10992" customFormat="false" ht="15" hidden="false" customHeight="false" outlineLevel="0" collapsed="false">
      <c r="A10992" s="1" t="s">
        <v>896</v>
      </c>
      <c r="B10992" s="0" t="s">
        <v>129</v>
      </c>
      <c r="E10992" s="7" t="n">
        <f aca="false">Sens!E10991/Sens!D10991-1</f>
        <v>0.177886867998467</v>
      </c>
      <c r="F10992" s="7" t="n">
        <f aca="false">Sens!F10991/Sens!E10991-1</f>
        <v>0.219192190680914</v>
      </c>
      <c r="G10992" s="7" t="n">
        <f aca="false">Sens!G10991/Sens!F10991-1</f>
        <v>0.215140340581766</v>
      </c>
      <c r="H10992" s="7" t="n">
        <f aca="false">Sens!H10991/Sens!G10991-1</f>
        <v>0.19040682616291</v>
      </c>
      <c r="I10992" s="7" t="n">
        <f aca="false">Sens!I10991/Sens!H10991-1</f>
        <v>0.13680936663781</v>
      </c>
      <c r="J10992" s="7" t="n">
        <f aca="false">Sens!J10991/Sens!I10991-1</f>
        <v>0.097095103712221</v>
      </c>
      <c r="K10992" s="7" t="n">
        <f aca="false">Sens!K10991/Sens!J10991-1</f>
        <v>0.0705220971287655</v>
      </c>
    </row>
    <row r="10993" customFormat="false" ht="17.15" hidden="false" customHeight="false" outlineLevel="0" collapsed="false">
      <c r="A10993" s="23" t="s">
        <v>897</v>
      </c>
      <c r="B10993" s="30" t="s">
        <v>98</v>
      </c>
      <c r="C10993" s="30"/>
      <c r="D10993" s="24" t="n">
        <f aca="false">(Sens!D10986+Sens!D10990-Sens!D10991)+(Sens!D10978+Sens!D10979-Sens!D10977)+(Sens!D10981+Sens!D10982-Sens!D10980)+(Sens!D10991-Q!L18)</f>
        <v>0</v>
      </c>
      <c r="E10993" s="24" t="n">
        <f aca="false">(Sens!E10986+Sens!E10990-Sens!E10991)+(Sens!E10978+Sens!E10979-Sens!E10977)+(Sens!E10981+Sens!E10982-Sens!E10980)+(Sens!E10991-Q!M18)</f>
        <v>0</v>
      </c>
      <c r="F10993" s="24" t="n">
        <f aca="false">(Sens!F10986+Sens!F10990-Sens!F10991)+(Sens!F10978+Sens!F10979-Sens!F10977)+(Sens!F10981+Sens!F10982-Sens!F10980)</f>
        <v>0</v>
      </c>
      <c r="G10993" s="24" t="n">
        <f aca="false">(Sens!G10986+Sens!G10990-Sens!G10991)+(Sens!G10978+Sens!G10979-Sens!G10977)+(Sens!G10981+Sens!G10982-Sens!G10980)</f>
        <v>0</v>
      </c>
      <c r="H10993" s="24" t="n">
        <f aca="false">(Sens!H10986+Sens!H10990-Sens!H10991)+(Sens!H10978+Sens!H10979-Sens!H10977)+(Sens!H10981+Sens!H10982-Sens!H10980)</f>
        <v>0</v>
      </c>
      <c r="I10993" s="24" t="n">
        <f aca="false">(Sens!I10986+Sens!I10990-Sens!I10991)+(Sens!I10978+Sens!I10979-Sens!I10977)+(Sens!I10981+Sens!I10982-Sens!I10980)</f>
        <v>0</v>
      </c>
      <c r="J10993" s="24" t="n">
        <f aca="false">(Sens!J10986+Sens!J10990-Sens!J10991)+(Sens!J10978+Sens!J10979-Sens!J10977)+(Sens!J10981+Sens!J10982-Sens!J10980)</f>
        <v>0</v>
      </c>
      <c r="K10993" s="24" t="n">
        <f aca="false">(Sens!K10986+Sens!K10990-Sens!K10991)+(Sens!K10978+Sens!K10979-Sens!K10977)+(Sens!K10981+Sens!K10982-Sens!K10980)</f>
        <v>0</v>
      </c>
    </row>
    <row r="10994" customFormat="false" ht="17.15" hidden="false" customHeight="false" outlineLevel="0" collapsed="false">
      <c r="A10994" s="0" t="s">
        <v>898</v>
      </c>
      <c r="B10994" s="0" t="s">
        <v>129</v>
      </c>
      <c r="E10994" s="7" t="n">
        <f aca="false">(Q!M21+Sens!E10931+Sens!E10932+Sens!E10933+Sens!E10946-Sens!E10929)/(Q!M5-Sens!E10929)</f>
        <v>0.570957350878296</v>
      </c>
      <c r="F10994" s="7" t="n">
        <f aca="false">Sens!$E$10994+dm_seg_lo</f>
        <v>0.550957350878296</v>
      </c>
      <c r="G10994" s="7" t="n">
        <f aca="false">Sens!$E$10994+dm_seg_lo</f>
        <v>0.550957350878296</v>
      </c>
      <c r="H10994" s="7" t="n">
        <f aca="false">Sens!$E$10994+dm_seg_lo</f>
        <v>0.550957350878296</v>
      </c>
      <c r="I10994" s="7" t="n">
        <f aca="false">Sens!$E$10994+dm_seg_lo</f>
        <v>0.550957350878296</v>
      </c>
      <c r="J10994" s="7" t="n">
        <f aca="false">Sens!$E$10994+dm_seg_lo</f>
        <v>0.550957350878296</v>
      </c>
      <c r="K10994" s="7" t="n">
        <f aca="false">Sens!$E$10994+dm_seg_lo</f>
        <v>0.550957350878296</v>
      </c>
      <c r="L10994" s="11" t="s">
        <v>899</v>
      </c>
    </row>
    <row r="10995" customFormat="false" ht="17.15" hidden="false" customHeight="false" outlineLevel="0" collapsed="false">
      <c r="A10995" s="0" t="s">
        <v>732</v>
      </c>
      <c r="B10995" s="0" t="s">
        <v>98</v>
      </c>
      <c r="D10995" s="6" t="n">
        <f aca="false">Q!L21</f>
        <v>110.814</v>
      </c>
      <c r="E10995" s="6" t="n">
        <f aca="false">Q!M21</f>
        <v>136.365</v>
      </c>
      <c r="F10995" s="6" t="n">
        <f aca="false">Sens!F10994*(Sens!F10965-Sens!F10929)+Sens!F10929-(Sens!F10931+Sens!F10932+Sens!F10933)-Sens!F10946</f>
        <v>156.521454168776</v>
      </c>
      <c r="G10995" s="6" t="n">
        <f aca="false">Sens!G10994*(Sens!G10965-Sens!G10929)+Sens!G10929-(Sens!G10931+Sens!G10932+Sens!G10933)-Sens!G10946</f>
        <v>185.231148632883</v>
      </c>
      <c r="H10995" s="6" t="n">
        <f aca="false">Sens!H10994*(Sens!H10965-Sens!H10929)+Sens!H10929-(Sens!H10931+Sens!H10932+Sens!H10933)-Sens!H10946</f>
        <v>218.76250069223</v>
      </c>
      <c r="I10995" s="6" t="n">
        <f aca="false">Sens!I10994*(Sens!I10965-Sens!I10929)+Sens!I10929-(Sens!I10931+Sens!I10932+Sens!I10933)-Sens!I10946</f>
        <v>244.237923619594</v>
      </c>
      <c r="J10995" s="6" t="n">
        <f aca="false">Sens!J10994*(Sens!J10965-Sens!J10929)+Sens!J10929-(Sens!J10931+Sens!J10932+Sens!J10933)-Sens!J10946</f>
        <v>266.107107835589</v>
      </c>
      <c r="K10995" s="6" t="n">
        <f aca="false">Sens!K10994*(Sens!K10965-Sens!K10929)+Sens!K10929-(Sens!K10931+Sens!K10932+Sens!K10933)-Sens!K10946</f>
        <v>285.913537361211</v>
      </c>
      <c r="L10995" s="1" t="s">
        <v>900</v>
      </c>
    </row>
    <row r="10996" customFormat="false" ht="17.15" hidden="false" customHeight="false" outlineLevel="0" collapsed="false">
      <c r="A10996" s="0" t="s">
        <v>901</v>
      </c>
      <c r="B10996" s="0" t="s">
        <v>129</v>
      </c>
      <c r="E10996" s="7" t="n">
        <f aca="false">Q!M22/Q!M12</f>
        <v>0.296207935710698</v>
      </c>
      <c r="F10996" s="7" t="n">
        <f aca="false">Sens!$E$10996+dm_seg_lo</f>
        <v>0.276207935710698</v>
      </c>
      <c r="G10996" s="7" t="n">
        <f aca="false">Sens!$E$10996+dm_seg_lo</f>
        <v>0.276207935710698</v>
      </c>
      <c r="H10996" s="7" t="n">
        <f aca="false">Sens!$E$10996+dm_seg_lo</f>
        <v>0.276207935710698</v>
      </c>
      <c r="I10996" s="7" t="n">
        <f aca="false">Sens!$E$10996+dm_seg_lo</f>
        <v>0.276207935710698</v>
      </c>
      <c r="J10996" s="7" t="n">
        <f aca="false">Sens!$E$10996+dm_seg_lo</f>
        <v>0.276207935710698</v>
      </c>
      <c r="K10996" s="7" t="n">
        <f aca="false">Sens!$E$10996+dm_seg_lo</f>
        <v>0.276207935710698</v>
      </c>
      <c r="L10996" s="11" t="s">
        <v>902</v>
      </c>
    </row>
    <row r="10997" customFormat="false" ht="17.15" hidden="false" customHeight="false" outlineLevel="0" collapsed="false">
      <c r="A10997" s="0" t="s">
        <v>734</v>
      </c>
      <c r="B10997" s="0" t="s">
        <v>98</v>
      </c>
      <c r="D10997" s="6" t="n">
        <f aca="false">Q!L22</f>
        <v>17.714</v>
      </c>
      <c r="E10997" s="6" t="n">
        <f aca="false">Q!M22</f>
        <v>18.872</v>
      </c>
      <c r="F10997" s="6" t="n">
        <f aca="false">Sens!F10972*Sens!F10996</f>
        <v>17.9926203619388</v>
      </c>
      <c r="G10997" s="6" t="n">
        <f aca="false">Sens!G10972*Sens!G10996</f>
        <v>18.540557417209</v>
      </c>
      <c r="H10997" s="6" t="n">
        <f aca="false">Sens!H10972*Sens!H10996</f>
        <v>19.2176656865051</v>
      </c>
      <c r="I10997" s="6" t="n">
        <f aca="false">Sens!I10972*Sens!I10996</f>
        <v>20.0038953855016</v>
      </c>
      <c r="J10997" s="6" t="n">
        <f aca="false">Sens!J10972*Sens!J10996</f>
        <v>20.8825379249846</v>
      </c>
      <c r="K10997" s="6" t="n">
        <f aca="false">Sens!K10972*Sens!K10996</f>
        <v>21.8401591334792</v>
      </c>
    </row>
    <row r="10998" customFormat="false" ht="15" hidden="false" customHeight="false" outlineLevel="0" collapsed="false">
      <c r="A10998" s="1" t="s">
        <v>903</v>
      </c>
      <c r="B10998" s="0" t="s">
        <v>98</v>
      </c>
      <c r="D10998" s="6" t="n">
        <f aca="false">Sens!D10995+Sens!D10997</f>
        <v>128.528</v>
      </c>
      <c r="E10998" s="6" t="n">
        <f aca="false">Sens!E10995+Sens!E10997</f>
        <v>155.237</v>
      </c>
      <c r="F10998" s="6" t="n">
        <f aca="false">Sens!F10995+Sens!F10997</f>
        <v>174.514074530714</v>
      </c>
      <c r="G10998" s="6" t="n">
        <f aca="false">Sens!G10995+Sens!G10997</f>
        <v>203.771706050092</v>
      </c>
      <c r="H10998" s="6" t="n">
        <f aca="false">Sens!H10995+Sens!H10997</f>
        <v>237.980166378735</v>
      </c>
      <c r="I10998" s="6" t="n">
        <f aca="false">Sens!I10995+Sens!I10997</f>
        <v>264.241819005096</v>
      </c>
      <c r="J10998" s="6" t="n">
        <f aca="false">Sens!J10995+Sens!J10997</f>
        <v>286.989645760574</v>
      </c>
      <c r="K10998" s="6" t="n">
        <f aca="false">Sens!K10995+Sens!K10997</f>
        <v>307.75369649469</v>
      </c>
    </row>
    <row r="10999" customFormat="false" ht="15" hidden="false" customHeight="false" outlineLevel="0" collapsed="false">
      <c r="A10999" s="23" t="s">
        <v>904</v>
      </c>
      <c r="B10999" s="30" t="s">
        <v>98</v>
      </c>
      <c r="C10999" s="30"/>
      <c r="D10999" s="24" t="n">
        <f aca="false">Sens!D10998-Q!L23</f>
        <v>0</v>
      </c>
      <c r="E10999" s="24" t="n">
        <f aca="false">Sens!E10998-Q!M23</f>
        <v>0</v>
      </c>
      <c r="F10999" s="30"/>
      <c r="G10999" s="30"/>
      <c r="H10999" s="30"/>
      <c r="I10999" s="30"/>
      <c r="J10999" s="30"/>
      <c r="K10999" s="30"/>
    </row>
    <row r="11000" customFormat="false" ht="15" hidden="false" customHeight="false" outlineLevel="0" collapsed="false">
      <c r="A11000" s="1" t="s">
        <v>905</v>
      </c>
      <c r="B11000" s="0" t="s">
        <v>129</v>
      </c>
      <c r="D11000" s="7" t="n">
        <f aca="false">Sens!D10998/Sens!D10991</f>
        <v>0.456219562408598</v>
      </c>
      <c r="E11000" s="7" t="n">
        <f aca="false">Sens!E10998/Sens!E10991</f>
        <v>0.467808184089272</v>
      </c>
      <c r="F11000" s="7" t="n">
        <f aca="false">Sens!F10998/Sens!F10991</f>
        <v>0.431351050770522</v>
      </c>
      <c r="G11000" s="7" t="n">
        <f aca="false">Sens!G10998/Sens!G10991</f>
        <v>0.414493614534295</v>
      </c>
      <c r="H11000" s="7" t="n">
        <f aca="false">Sens!H10998/Sens!H10991</f>
        <v>0.40664863432635</v>
      </c>
      <c r="I11000" s="7" t="n">
        <f aca="false">Sens!I10998/Sens!I10991</f>
        <v>0.397184654933664</v>
      </c>
      <c r="J11000" s="7" t="n">
        <f aca="false">Sens!J10998/Sens!J10991</f>
        <v>0.393199414449928</v>
      </c>
      <c r="K11000" s="7" t="n">
        <f aca="false">Sens!K10998/Sens!K10991</f>
        <v>0.393871245215601</v>
      </c>
    </row>
    <row r="11001" customFormat="false" ht="17.15" hidden="false" customHeight="false" outlineLevel="0" collapsed="false">
      <c r="A11001" s="1" t="s">
        <v>906</v>
      </c>
      <c r="B11001" s="0" t="s">
        <v>98</v>
      </c>
      <c r="F11001" s="6" t="n">
        <f aca="false">Sens!F11016</f>
        <v>19.3493824397397</v>
      </c>
      <c r="G11001" s="6" t="n">
        <f aca="false">Sens!G11016</f>
        <v>33.0166413649601</v>
      </c>
      <c r="H11001" s="6" t="n">
        <f aca="false">Sens!H11016</f>
        <v>48.0363563831308</v>
      </c>
      <c r="I11001" s="6" t="n">
        <f aca="false">Sens!I11016</f>
        <v>62.0175090726263</v>
      </c>
      <c r="J11001" s="6" t="n">
        <f aca="false">Sens!J11016</f>
        <v>71.864613825577</v>
      </c>
      <c r="K11001" s="6" t="n">
        <f aca="false">Sens!K11016</f>
        <v>76.9902576664312</v>
      </c>
      <c r="L11001" s="1" t="s">
        <v>907</v>
      </c>
    </row>
    <row r="11002" customFormat="false" ht="17.15" hidden="false" customHeight="false" outlineLevel="0" collapsed="false">
      <c r="A11002" s="1" t="s">
        <v>908</v>
      </c>
      <c r="B11002" s="0" t="s">
        <v>98</v>
      </c>
      <c r="D11002" s="6" t="n">
        <f aca="false">Sens!D10998</f>
        <v>128.528</v>
      </c>
      <c r="E11002" s="6" t="n">
        <f aca="false">Sens!E10998</f>
        <v>155.237</v>
      </c>
      <c r="F11002" s="6" t="n">
        <f aca="false">Sens!F10998+Sens!F11001</f>
        <v>193.863456970454</v>
      </c>
      <c r="G11002" s="6" t="n">
        <f aca="false">Sens!G10998+Sens!G11001</f>
        <v>236.788347415052</v>
      </c>
      <c r="H11002" s="6" t="n">
        <f aca="false">Sens!H10998+Sens!H11001</f>
        <v>286.016522761866</v>
      </c>
      <c r="I11002" s="6" t="n">
        <f aca="false">Sens!I10998+Sens!I11001</f>
        <v>326.259328077722</v>
      </c>
      <c r="J11002" s="6" t="n">
        <f aca="false">Sens!J10998+Sens!J11001</f>
        <v>358.854259586151</v>
      </c>
      <c r="K11002" s="6" t="n">
        <f aca="false">Sens!K10998+Sens!K11001</f>
        <v>384.743954161121</v>
      </c>
    </row>
    <row r="11003" customFormat="false" ht="17.15" hidden="false" customHeight="false" outlineLevel="0" collapsed="false">
      <c r="A11003" s="1" t="s">
        <v>909</v>
      </c>
      <c r="B11003" s="0" t="s">
        <v>98</v>
      </c>
      <c r="E11003" s="6" t="n">
        <f aca="false">Sens!E10946</f>
        <v>16.3054059770833</v>
      </c>
      <c r="F11003" s="6" t="n">
        <f aca="false">Sens!F10946</f>
        <v>34.7280354558698</v>
      </c>
      <c r="G11003" s="6" t="n">
        <f aca="false">Sens!G10946</f>
        <v>60.4817332603396</v>
      </c>
      <c r="H11003" s="6" t="n">
        <f aca="false">Sens!H10946</f>
        <v>87.7173159931396</v>
      </c>
      <c r="I11003" s="6" t="n">
        <f aca="false">Sens!I10946</f>
        <v>111.962039982221</v>
      </c>
      <c r="J11003" s="6" t="n">
        <f aca="false">Sens!J10946</f>
        <v>129.158710922666</v>
      </c>
      <c r="K11003" s="6" t="n">
        <f aca="false">Sens!K10946</f>
        <v>139.622646804474</v>
      </c>
    </row>
    <row r="11004" customFormat="false" ht="17.15" hidden="false" customHeight="false" outlineLevel="0" collapsed="false">
      <c r="A11004" s="1" t="s">
        <v>910</v>
      </c>
      <c r="B11004" s="0" t="s">
        <v>98</v>
      </c>
      <c r="E11004" s="6" t="n">
        <f aca="false">Sens!E11028</f>
        <v>22.2285940229167</v>
      </c>
      <c r="F11004" s="6" t="n">
        <f aca="false">Sens!F11028</f>
        <v>23.5786693435813</v>
      </c>
      <c r="G11004" s="6" t="n">
        <f aca="false">Sens!G11028</f>
        <v>25.3810917662621</v>
      </c>
      <c r="H11004" s="6" t="n">
        <f aca="false">Sens!H11028</f>
        <v>27.5991339540448</v>
      </c>
      <c r="I11004" s="6" t="n">
        <f aca="false">Sens!I11028</f>
        <v>30.1565605898047</v>
      </c>
      <c r="J11004" s="6" t="n">
        <f aca="false">Sens!J11028</f>
        <v>32.9614958558616</v>
      </c>
      <c r="K11004" s="6" t="n">
        <f aca="false">Sens!K11028</f>
        <v>35.9297165444749</v>
      </c>
    </row>
    <row r="11005" customFormat="false" ht="17.15" hidden="false" customHeight="false" outlineLevel="0" collapsed="false">
      <c r="A11005" s="1" t="s">
        <v>911</v>
      </c>
      <c r="B11005" s="0" t="s">
        <v>98</v>
      </c>
      <c r="D11005" s="6" t="n">
        <f aca="false">Q!L27</f>
        <v>-4.901</v>
      </c>
      <c r="E11005" s="6" t="n">
        <f aca="false">Q!M27</f>
        <v>10.697</v>
      </c>
      <c r="F11005" s="6" t="n">
        <f aca="false">oie_f</f>
        <v>-0.4</v>
      </c>
      <c r="G11005" s="6" t="n">
        <f aca="false">oie_f</f>
        <v>-0.4</v>
      </c>
      <c r="H11005" s="6" t="n">
        <f aca="false">oie_f</f>
        <v>-0.4</v>
      </c>
      <c r="I11005" s="6" t="n">
        <f aca="false">oie_f</f>
        <v>-0.4</v>
      </c>
      <c r="J11005" s="6" t="n">
        <f aca="false">oie_f</f>
        <v>-0.4</v>
      </c>
      <c r="K11005" s="6" t="n">
        <f aca="false">oie_f</f>
        <v>-0.4</v>
      </c>
      <c r="L11005" s="11" t="s">
        <v>912</v>
      </c>
    </row>
    <row r="11006" customFormat="false" ht="15" hidden="false" customHeight="false" outlineLevel="0" collapsed="false">
      <c r="A11006" s="1" t="s">
        <v>913</v>
      </c>
      <c r="B11006" s="0" t="s">
        <v>98</v>
      </c>
      <c r="D11006" s="6" t="n">
        <f aca="false">Sens!D10998+Sens!D11005</f>
        <v>123.627</v>
      </c>
      <c r="E11006" s="6" t="n">
        <f aca="false">Sens!E10998+Sens!E11005</f>
        <v>165.934</v>
      </c>
      <c r="F11006" s="6" t="n">
        <f aca="false">Sens!F10998+Sens!F11005</f>
        <v>174.114074530714</v>
      </c>
      <c r="G11006" s="6" t="n">
        <f aca="false">Sens!G10998+Sens!G11005</f>
        <v>203.371706050092</v>
      </c>
      <c r="H11006" s="6" t="n">
        <f aca="false">Sens!H10998+Sens!H11005</f>
        <v>237.580166378735</v>
      </c>
      <c r="I11006" s="6" t="n">
        <f aca="false">Sens!I10998+Sens!I11005</f>
        <v>263.841819005096</v>
      </c>
      <c r="J11006" s="6" t="n">
        <f aca="false">Sens!J10998+Sens!J11005</f>
        <v>286.589645760574</v>
      </c>
      <c r="K11006" s="6" t="n">
        <f aca="false">Sens!K10998+Sens!K11005</f>
        <v>307.35369649469</v>
      </c>
    </row>
    <row r="11007" customFormat="false" ht="15" hidden="false" customHeight="false" outlineLevel="0" collapsed="false">
      <c r="A11007" s="1" t="s">
        <v>914</v>
      </c>
      <c r="B11007" s="0" t="s">
        <v>98</v>
      </c>
      <c r="D11007" s="6" t="n">
        <f aca="false">Q!L29</f>
        <v>21.795</v>
      </c>
      <c r="E11007" s="6" t="n">
        <f aca="false">Q!M29</f>
        <v>32.185</v>
      </c>
      <c r="F11007" s="6" t="n">
        <f aca="false">Sens!F11006*tax_f</f>
        <v>34.8228149061429</v>
      </c>
      <c r="G11007" s="6" t="n">
        <f aca="false">Sens!G11006*tax_f</f>
        <v>40.6743412100184</v>
      </c>
      <c r="H11007" s="6" t="n">
        <f aca="false">Sens!H11006*tax_f</f>
        <v>47.516033275747</v>
      </c>
      <c r="I11007" s="6" t="n">
        <f aca="false">Sens!I11006*tax_f</f>
        <v>52.7683638010192</v>
      </c>
      <c r="J11007" s="6" t="n">
        <f aca="false">Sens!J11006*tax_f</f>
        <v>57.3179291521148</v>
      </c>
      <c r="K11007" s="6" t="n">
        <f aca="false">Sens!K11006*tax_f</f>
        <v>61.4707392989379</v>
      </c>
    </row>
    <row r="11008" customFormat="false" ht="15" hidden="false" customHeight="false" outlineLevel="0" collapsed="false">
      <c r="A11008" s="1" t="s">
        <v>915</v>
      </c>
      <c r="B11008" s="0" t="s">
        <v>98</v>
      </c>
      <c r="D11008" s="6" t="n">
        <f aca="false">Sens!D11006-Sens!D11007</f>
        <v>101.832</v>
      </c>
      <c r="E11008" s="6" t="n">
        <f aca="false">Sens!E11006-Sens!E11007</f>
        <v>133.749</v>
      </c>
      <c r="F11008" s="6" t="n">
        <f aca="false">Sens!F11006-Sens!F11007</f>
        <v>139.291259624572</v>
      </c>
      <c r="G11008" s="6" t="n">
        <f aca="false">Sens!G11006-Sens!G11007</f>
        <v>162.697364840074</v>
      </c>
      <c r="H11008" s="6" t="n">
        <f aca="false">Sens!H11006-Sens!H11007</f>
        <v>190.064133102988</v>
      </c>
      <c r="I11008" s="6" t="n">
        <f aca="false">Sens!I11006-Sens!I11007</f>
        <v>211.073455204077</v>
      </c>
      <c r="J11008" s="6" t="n">
        <f aca="false">Sens!J11006-Sens!J11007</f>
        <v>229.271716608459</v>
      </c>
      <c r="K11008" s="6" t="n">
        <f aca="false">Sens!K11006-Sens!K11007</f>
        <v>245.882957195752</v>
      </c>
    </row>
    <row r="11009" customFormat="false" ht="17.15" hidden="false" customHeight="false" outlineLevel="0" collapsed="false">
      <c r="A11009" s="1" t="s">
        <v>916</v>
      </c>
      <c r="B11009" s="1" t="s">
        <v>81</v>
      </c>
      <c r="D11009" s="14" t="n">
        <f aca="false">Q!L31</f>
        <v>7.465</v>
      </c>
      <c r="E11009" s="14" t="n">
        <f aca="false">Q!M31</f>
        <v>7.453</v>
      </c>
      <c r="F11009" s="14" t="n">
        <f aca="false">Sens!F11050</f>
        <v>7.4735</v>
      </c>
      <c r="G11009" s="14" t="n">
        <f aca="false">Sens!G11050</f>
        <v>7.5133060976575</v>
      </c>
      <c r="H11009" s="14" t="n">
        <f aca="false">Sens!H11050</f>
        <v>7.53586378116496</v>
      </c>
      <c r="I11009" s="14" t="n">
        <f aca="false">Sens!I11050</f>
        <v>7.54764461317227</v>
      </c>
      <c r="J11009" s="14" t="n">
        <f aca="false">Sens!J11050</f>
        <v>7.56188612429015</v>
      </c>
      <c r="K11009" s="14" t="n">
        <f aca="false">Sens!K11050</f>
        <v>7.5784060419919</v>
      </c>
    </row>
    <row r="11010" customFormat="false" ht="17.15" hidden="false" customHeight="false" outlineLevel="0" collapsed="false">
      <c r="A11010" s="0" t="s">
        <v>917</v>
      </c>
      <c r="B11010" s="0" t="s">
        <v>75</v>
      </c>
      <c r="D11010" s="8" t="n">
        <f aca="false">Sens!D11008/Sens!D11009</f>
        <v>13.641259209645</v>
      </c>
      <c r="E11010" s="8" t="n">
        <f aca="false">Sens!E11008/Sens!E11009</f>
        <v>17.9456594659869</v>
      </c>
      <c r="F11010" s="8" t="n">
        <f aca="false">Sens!F11008/Sens!F11009</f>
        <v>18.6380222953866</v>
      </c>
      <c r="G11010" s="8" t="n">
        <f aca="false">Sens!G11008/Sens!G11009</f>
        <v>21.6545636135867</v>
      </c>
      <c r="H11010" s="8" t="n">
        <f aca="false">Sens!H11008/Sens!H11009</f>
        <v>25.2212803498428</v>
      </c>
      <c r="I11010" s="8" t="n">
        <f aca="false">Sens!I11008/Sens!I11009</f>
        <v>27.9654734717779</v>
      </c>
      <c r="J11010" s="8" t="n">
        <f aca="false">Sens!J11008/Sens!J11009</f>
        <v>30.3193823392813</v>
      </c>
      <c r="K11010" s="8" t="n">
        <f aca="false">Sens!K11008/Sens!K11009</f>
        <v>32.4452075849877</v>
      </c>
      <c r="L11010" s="1" t="s">
        <v>918</v>
      </c>
    </row>
    <row r="11011" customFormat="false" ht="17.15" hidden="false" customHeight="false" outlineLevel="0" collapsed="false">
      <c r="A11011" s="1" t="s">
        <v>919</v>
      </c>
      <c r="B11011" s="0" t="s">
        <v>98</v>
      </c>
      <c r="D11011" s="6" t="n">
        <f aca="false">Sens!D11008</f>
        <v>101.832</v>
      </c>
      <c r="E11011" s="6" t="n">
        <f aca="false">Sens!E11008</f>
        <v>133.749</v>
      </c>
      <c r="F11011" s="6" t="n">
        <f aca="false">Sens!F11008+Sens!F11001*(1-tax_f)</f>
        <v>154.770765576363</v>
      </c>
      <c r="G11011" s="6" t="n">
        <f aca="false">Sens!G11008+Sens!G11001*(1-tax_f)</f>
        <v>189.110677932042</v>
      </c>
      <c r="H11011" s="6" t="n">
        <f aca="false">Sens!H11008+Sens!H11001*(1-tax_f)</f>
        <v>228.493218209493</v>
      </c>
      <c r="I11011" s="6" t="n">
        <f aca="false">Sens!I11008+Sens!I11001*(1-tax_f)</f>
        <v>260.687462462178</v>
      </c>
      <c r="J11011" s="6" t="n">
        <f aca="false">Sens!J11008+Sens!J11001*(1-tax_f)</f>
        <v>286.763407668921</v>
      </c>
      <c r="K11011" s="6" t="n">
        <f aca="false">Sens!K11008+Sens!K11001*(1-tax_f)</f>
        <v>307.475163328897</v>
      </c>
    </row>
    <row r="11012" customFormat="false" ht="17.15" hidden="false" customHeight="false" outlineLevel="0" collapsed="false">
      <c r="A11012" s="0" t="s">
        <v>920</v>
      </c>
      <c r="B11012" s="0" t="s">
        <v>75</v>
      </c>
      <c r="D11012" s="8" t="n">
        <f aca="false">Sens!D11011/Sens!D11009</f>
        <v>13.641259209645</v>
      </c>
      <c r="E11012" s="8" t="n">
        <f aca="false">Sens!E11011/Sens!E11009</f>
        <v>17.9456594659869</v>
      </c>
      <c r="F11012" s="8" t="n">
        <f aca="false">Sens!F11011/Sens!F11009</f>
        <v>20.709274847978</v>
      </c>
      <c r="G11012" s="8" t="n">
        <f aca="false">Sens!G11011/Sens!G11009</f>
        <v>25.1701016135896</v>
      </c>
      <c r="H11012" s="8" t="n">
        <f aca="false">Sens!H11011/Sens!H11009</f>
        <v>30.3207734169221</v>
      </c>
      <c r="I11012" s="8" t="n">
        <f aca="false">Sens!I11011/Sens!I11009</f>
        <v>34.5389158900277</v>
      </c>
      <c r="J11012" s="8" t="n">
        <f aca="false">Sens!J11011/Sens!J11009</f>
        <v>37.9222065706312</v>
      </c>
      <c r="K11012" s="8" t="n">
        <f aca="false">Sens!K11011/Sens!K11009</f>
        <v>40.5725374999939</v>
      </c>
      <c r="L11012" s="1" t="s">
        <v>921</v>
      </c>
    </row>
    <row r="11013" customFormat="false" ht="17.15" hidden="false" customHeight="false" outlineLevel="0" collapsed="false">
      <c r="A11013" s="0" t="s">
        <v>922</v>
      </c>
      <c r="B11013" s="0" t="s">
        <v>129</v>
      </c>
      <c r="E11013" s="7" t="n">
        <f aca="false">Sens!E11012/Sens!D11012-1</f>
        <v>0.315542736208578</v>
      </c>
      <c r="F11013" s="7" t="n">
        <f aca="false">Sens!F11012/Sens!E11012-1</f>
        <v>0.153999098624885</v>
      </c>
      <c r="G11013" s="7" t="n">
        <f aca="false">Sens!G11012/Sens!F11012-1</f>
        <v>0.215402364320216</v>
      </c>
      <c r="H11013" s="7" t="n">
        <f aca="false">Sens!H11012/Sens!G11012-1</f>
        <v>0.204634525613183</v>
      </c>
      <c r="I11013" s="7" t="n">
        <f aca="false">Sens!I11012/Sens!H11012-1</f>
        <v>0.139117245299272</v>
      </c>
      <c r="J11013" s="7" t="n">
        <f aca="false">Sens!J11012/Sens!I11012-1</f>
        <v>0.0979559025933512</v>
      </c>
      <c r="K11013" s="7" t="n">
        <f aca="false">Sens!K11012/Sens!J11012-1</f>
        <v>0.0698886264549616</v>
      </c>
    </row>
    <row r="11014" customFormat="false" ht="17.15" hidden="false" customHeight="false" outlineLevel="0" collapsed="false">
      <c r="A11014" s="0" t="s">
        <v>846</v>
      </c>
      <c r="B11014" s="0" t="s">
        <v>98</v>
      </c>
      <c r="E11014" s="6" t="n">
        <f aca="false">Sens!E10955</f>
        <v>5.25</v>
      </c>
      <c r="F11014" s="6" t="n">
        <f aca="false">Sens!F10955</f>
        <v>13.5</v>
      </c>
      <c r="G11014" s="6" t="n">
        <f aca="false">Sens!G10955</f>
        <v>22.5</v>
      </c>
      <c r="H11014" s="6" t="n">
        <f aca="false">Sens!H10955</f>
        <v>31.5</v>
      </c>
      <c r="I11014" s="6" t="n">
        <f aca="false">Sens!I10955</f>
        <v>38.25</v>
      </c>
      <c r="J11014" s="6" t="n">
        <f aca="false">Sens!J10955</f>
        <v>42.75</v>
      </c>
      <c r="K11014" s="6" t="n">
        <f aca="false">Sens!K10955</f>
        <v>47.25</v>
      </c>
    </row>
    <row r="11015" customFormat="false" ht="17.15" hidden="false" customHeight="false" outlineLevel="0" collapsed="false">
      <c r="A11015" s="1" t="s">
        <v>847</v>
      </c>
      <c r="B11015" s="0" t="s">
        <v>98</v>
      </c>
      <c r="F11015" s="6" t="n">
        <f aca="false">MAX(0,(Sens!E10918+Sens!F10918)/2*Sens!F10926/1000-Sens!F11014*Sens!F10994)</f>
        <v>19.3493824397397</v>
      </c>
      <c r="G11015" s="6" t="n">
        <f aca="false">MAX(0,(Sens!F10918+Sens!G10918)/2*Sens!G10926/1000-Sens!G11014*Sens!G10994)</f>
        <v>33.0166413649601</v>
      </c>
      <c r="H11015" s="6" t="n">
        <f aca="false">MAX(0,(Sens!G10918+Sens!H10918)/2*Sens!H10926/1000-Sens!H11014*Sens!H10994)</f>
        <v>48.0363563831308</v>
      </c>
      <c r="I11015" s="6" t="n">
        <f aca="false">MAX(0,(Sens!H10918+Sens!I10918)/2*Sens!I10926/1000-Sens!I11014*Sens!I10994)</f>
        <v>62.0175090726263</v>
      </c>
      <c r="J11015" s="6" t="n">
        <f aca="false">MAX(0,(Sens!I10918+Sens!J10918)/2*Sens!J10926/1000-Sens!J11014*Sens!J10994)</f>
        <v>71.864613825577</v>
      </c>
      <c r="K11015" s="6" t="n">
        <f aca="false">MAX(0,(Sens!J10918+Sens!K10918)/2*Sens!K10926/1000-Sens!K11014*Sens!K10994)</f>
        <v>76.9902576664312</v>
      </c>
      <c r="L11015" s="1" t="s">
        <v>848</v>
      </c>
    </row>
    <row r="11016" customFormat="false" ht="17.15" hidden="false" customHeight="false" outlineLevel="0" collapsed="false">
      <c r="A11016" s="1" t="s">
        <v>849</v>
      </c>
      <c r="B11016" s="0" t="s">
        <v>98</v>
      </c>
      <c r="F11016" s="6" t="n">
        <f aca="false">IF(internal_ai_reading=2,1,0)*Sens!F11015</f>
        <v>19.3493824397397</v>
      </c>
      <c r="G11016" s="6" t="n">
        <f aca="false">IF(internal_ai_reading=2,1,0)*Sens!G11015</f>
        <v>33.0166413649601</v>
      </c>
      <c r="H11016" s="6" t="n">
        <f aca="false">IF(internal_ai_reading=2,1,0)*Sens!H11015</f>
        <v>48.0363563831308</v>
      </c>
      <c r="I11016" s="6" t="n">
        <f aca="false">IF(internal_ai_reading=2,1,0)*Sens!I11015</f>
        <v>62.0175090726263</v>
      </c>
      <c r="J11016" s="6" t="n">
        <f aca="false">IF(internal_ai_reading=2,1,0)*Sens!J11015</f>
        <v>71.864613825577</v>
      </c>
      <c r="K11016" s="6" t="n">
        <f aca="false">IF(internal_ai_reading=2,1,0)*Sens!K11015</f>
        <v>76.9902576664312</v>
      </c>
    </row>
    <row r="11017" customFormat="false" ht="17.15" hidden="false" customHeight="false" outlineLevel="0" collapsed="false">
      <c r="A11017" s="0" t="s">
        <v>850</v>
      </c>
      <c r="B11017" s="0" t="s">
        <v>98</v>
      </c>
      <c r="F11017" s="6" t="n">
        <f aca="false">Sens!F10935+Sens!F11014*Sens!F10994+Sens!F11016-Sens!F10936-Sens!F10946</f>
        <v>28.6541940749543</v>
      </c>
      <c r="G11017" s="6" t="n">
        <f aca="false">Sens!G10935+Sens!G11014*Sens!G10994+Sens!G11016-Sens!G10936-Sens!G10946</f>
        <v>52.6181197051223</v>
      </c>
      <c r="H11017" s="6" t="n">
        <f aca="false">Sens!H10935+Sens!H11014*Sens!H10994+Sens!H11016-Sens!H10936-Sens!H10946</f>
        <v>82.5803907018664</v>
      </c>
      <c r="I11017" s="6" t="n">
        <f aca="false">Sens!I10935+Sens!I11014*Sens!I10994+Sens!I11016-Sens!I10936-Sens!I10946</f>
        <v>103.919068765268</v>
      </c>
      <c r="J11017" s="6" t="n">
        <f aca="false">Sens!J10935+Sens!J11014*Sens!J10994+Sens!J11016-Sens!J10936-Sens!J10946</f>
        <v>118.712864100999</v>
      </c>
      <c r="K11017" s="6" t="n">
        <f aca="false">Sens!K10935+Sens!K11014*Sens!K10994+Sens!K11016-Sens!K10936-Sens!K10946</f>
        <v>128.667337297013</v>
      </c>
    </row>
    <row r="11018" customFormat="false" ht="17.15" hidden="false" customHeight="false" outlineLevel="0" collapsed="false">
      <c r="A11018" s="0" t="s">
        <v>851</v>
      </c>
      <c r="B11018" s="0" t="s">
        <v>98</v>
      </c>
      <c r="E11018" s="6" t="n">
        <f aca="false">Sens!E10917*(cxit_open+self_build*tk_cxfac)/1000*ai_net_open</f>
        <v>126.6980382</v>
      </c>
      <c r="F11018" s="6" t="n">
        <f aca="false">Sens!E11018+Sens!F10943-Sens!F10946</f>
        <v>260.440655514568</v>
      </c>
      <c r="G11018" s="6" t="n">
        <f aca="false">Sens!F11018+Sens!G10943-Sens!G10946</f>
        <v>383.533102737428</v>
      </c>
      <c r="H11018" s="6" t="n">
        <f aca="false">Sens!G11018+Sens!H10943-Sens!H10946</f>
        <v>483.896072654688</v>
      </c>
      <c r="I11018" s="6" t="n">
        <f aca="false">Sens!H11018+Sens!I10943-Sens!I10946</f>
        <v>535.640701826713</v>
      </c>
      <c r="J11018" s="6" t="n">
        <f aca="false">Sens!I11018+Sens!J10943-Sens!J10946</f>
        <v>530.994467622137</v>
      </c>
      <c r="K11018" s="6" t="n">
        <f aca="false">Sens!J11018+Sens!K10943-Sens!K10946</f>
        <v>506.3312564596</v>
      </c>
      <c r="L11018" s="1" t="s">
        <v>852</v>
      </c>
    </row>
    <row r="11019" customFormat="false" ht="17.15" hidden="false" customHeight="false" outlineLevel="0" collapsed="false">
      <c r="A11019" s="0" t="s">
        <v>853</v>
      </c>
      <c r="B11019" s="0" t="s">
        <v>129</v>
      </c>
      <c r="F11019" s="7" t="n">
        <f aca="false">Sens!F11017*(1-tax_f)/((Sens!E11018+Sens!F11018)/2)</f>
        <v>0.118424511071293</v>
      </c>
      <c r="G11019" s="7" t="n">
        <f aca="false">Sens!G11017*(1-tax_f)/((Sens!F11018+Sens!G11018)/2)</f>
        <v>0.130733574853607</v>
      </c>
      <c r="H11019" s="7" t="n">
        <f aca="false">Sens!H11017*(1-tax_f)/((Sens!G11018+Sens!H11018)/2)</f>
        <v>0.152322090230892</v>
      </c>
      <c r="I11019" s="7" t="n">
        <f aca="false">Sens!I11017*(1-tax_f)/((Sens!H11018+Sens!I11018)/2)</f>
        <v>0.163084367514849</v>
      </c>
      <c r="J11019" s="7" t="n">
        <f aca="false">Sens!J11017*(1-tax_f)/((Sens!I11018+Sens!J11018)/2)</f>
        <v>0.178074554451213</v>
      </c>
      <c r="K11019" s="7" t="n">
        <f aca="false">Sens!K11017*(1-tax_f)/((Sens!J11018+Sens!K11018)/2)</f>
        <v>0.198460073722224</v>
      </c>
    </row>
    <row r="11020" customFormat="false" ht="17.15" hidden="false" customHeight="false" outlineLevel="0" collapsed="false">
      <c r="A11020" s="1" t="s">
        <v>854</v>
      </c>
      <c r="B11020" s="0" t="s">
        <v>129</v>
      </c>
      <c r="F11020" s="7" t="n">
        <f aca="false">(Sens!F11017-Sens!F11016)*(1-tax_f)/((Sens!E11018+Sens!F11018)/2)</f>
        <v>0.0384557236413051</v>
      </c>
      <c r="G11020" s="7" t="n">
        <f aca="false">(Sens!G11017-Sens!G11016)*(1-tax_f)/((Sens!F11018+Sens!G11018)/2)</f>
        <v>0.0487013095524104</v>
      </c>
      <c r="H11020" s="7" t="n">
        <f aca="false">(Sens!H11017-Sens!H11016)*(1-tax_f)/((Sens!G11018+Sens!H11018)/2)</f>
        <v>0.0637175419941257</v>
      </c>
      <c r="I11020" s="7" t="n">
        <f aca="false">(Sens!I11017-Sens!I11016)*(1-tax_f)/((Sens!H11018+Sens!I11018)/2)</f>
        <v>0.0657578001954161</v>
      </c>
      <c r="J11020" s="7" t="n">
        <f aca="false">(Sens!J11017-Sens!J11016)*(1-tax_f)/((Sens!I11018+Sens!J11018)/2)</f>
        <v>0.0702744505222027</v>
      </c>
      <c r="K11020" s="7" t="n">
        <f aca="false">(Sens!K11017-Sens!K11016)*(1-tax_f)/((Sens!J11018+Sens!K11018)/2)</f>
        <v>0.0797081625273719</v>
      </c>
    </row>
    <row r="11021" customFormat="false" ht="17.15" hidden="false" customHeight="false" outlineLevel="0" collapsed="false">
      <c r="A11021" s="1" t="s">
        <v>855</v>
      </c>
      <c r="B11021" s="0" t="s">
        <v>129</v>
      </c>
      <c r="F11021" s="7" t="n">
        <f aca="false">(Sens!F11017-Sens!F11016+Sens!F11015)*(1-tax_f)/((Sens!E11018+Sens!F11018)/2)</f>
        <v>0.118424511071293</v>
      </c>
      <c r="G11021" s="7" t="n">
        <f aca="false">(Sens!G11017-Sens!G11016+Sens!G11015)*(1-tax_f)/((Sens!F11018+Sens!G11018)/2)</f>
        <v>0.130733574853607</v>
      </c>
      <c r="H11021" s="7" t="n">
        <f aca="false">(Sens!H11017-Sens!H11016+Sens!H11015)*(1-tax_f)/((Sens!G11018+Sens!H11018)/2)</f>
        <v>0.152322090230892</v>
      </c>
      <c r="I11021" s="7" t="n">
        <f aca="false">(Sens!I11017-Sens!I11016+Sens!I11015)*(1-tax_f)/((Sens!H11018+Sens!I11018)/2)</f>
        <v>0.163084367514849</v>
      </c>
      <c r="J11021" s="7" t="n">
        <f aca="false">(Sens!J11017-Sens!J11016+Sens!J11015)*(1-tax_f)/((Sens!I11018+Sens!J11018)/2)</f>
        <v>0.178074554451213</v>
      </c>
      <c r="K11021" s="7" t="n">
        <f aca="false">(Sens!K11017-Sens!K11016+Sens!K11015)*(1-tax_f)/((Sens!J11018+Sens!K11018)/2)</f>
        <v>0.198460073722224</v>
      </c>
    </row>
    <row r="11022" customFormat="false" ht="17.15" hidden="false" customHeight="false" outlineLevel="0" collapsed="false">
      <c r="A11022" s="1" t="s">
        <v>856</v>
      </c>
      <c r="B11022" s="0" t="s">
        <v>129</v>
      </c>
      <c r="F11022" s="7" t="n">
        <f aca="false">Sens!F10947*(1-tax_f)/(Sens!F10934*(Sens!E11018+Sens!F11018)/2)</f>
        <v>0.153543815988938</v>
      </c>
      <c r="G11022" s="7" t="n">
        <f aca="false">Sens!G10947*(1-tax_f)/(Sens!G10934*(Sens!F11018+Sens!G11018)/2)</f>
        <v>0.17467487096866</v>
      </c>
      <c r="H11022" s="7" t="n">
        <f aca="false">Sens!H10947*(1-tax_f)/(Sens!H10934*(Sens!G11018+Sens!H11018)/2)</f>
        <v>0.207630352867497</v>
      </c>
      <c r="I11022" s="7" t="n">
        <f aca="false">Sens!I10947*(1-tax_f)/(Sens!I10934*(Sens!H11018+Sens!I11018)/2)</f>
        <v>0.221683969864569</v>
      </c>
      <c r="J11022" s="7" t="n">
        <f aca="false">Sens!J10947*(1-tax_f)/(Sens!J10934*(Sens!I11018+Sens!J11018)/2)</f>
        <v>0.241797558367104</v>
      </c>
      <c r="K11022" s="7" t="n">
        <f aca="false">Sens!K10947*(1-tax_f)/(Sens!K10934*(Sens!J11018+Sens!K11018)/2)</f>
        <v>0.269036299863445</v>
      </c>
    </row>
    <row r="11023" customFormat="false" ht="17.15" hidden="false" customHeight="false" outlineLevel="0" collapsed="false">
      <c r="A11023" s="0" t="s">
        <v>857</v>
      </c>
      <c r="B11023" s="0" t="s">
        <v>209</v>
      </c>
      <c r="F11023" s="7" t="n">
        <f aca="false">Sens!F11019-wacc</f>
        <v>0.0154900909784175</v>
      </c>
      <c r="G11023" s="7" t="n">
        <f aca="false">Sens!G11019-wacc</f>
        <v>0.0277991547607309</v>
      </c>
      <c r="H11023" s="7" t="n">
        <f aca="false">Sens!H11019-wacc</f>
        <v>0.0493876701380163</v>
      </c>
      <c r="I11023" s="7" t="n">
        <f aca="false">Sens!I11019-wacc</f>
        <v>0.0601499474219737</v>
      </c>
      <c r="J11023" s="7" t="n">
        <f aca="false">Sens!J11019-wacc</f>
        <v>0.0751401343583369</v>
      </c>
      <c r="K11023" s="7" t="n">
        <f aca="false">Sens!K11019-wacc</f>
        <v>0.0955256536293481</v>
      </c>
    </row>
    <row r="11024" customFormat="false" ht="17.15" hidden="false" customHeight="false" outlineLevel="0" collapsed="false">
      <c r="A11024" s="0" t="s">
        <v>858</v>
      </c>
      <c r="B11024" s="0" t="s">
        <v>98</v>
      </c>
      <c r="F11024" s="6" t="n">
        <f aca="false">Sens!F11017*(1-tax_f)-wacc*(Sens!E11018+Sens!F11018)/2</f>
        <v>2.99840679345218</v>
      </c>
      <c r="G11024" s="6" t="n">
        <f aca="false">Sens!G11017*(1-tax_f)-wacc*(Sens!F11018+Sens!G11018)/2</f>
        <v>8.95096308374838</v>
      </c>
      <c r="H11024" s="6" t="n">
        <f aca="false">Sens!H11017*(1-tax_f)-wacc*(Sens!G11018+Sens!H11018)/2</f>
        <v>21.4201529911787</v>
      </c>
      <c r="I11024" s="6" t="n">
        <f aca="false">Sens!I11017*(1-tax_f)-wacc*(Sens!H11018+Sens!I11018)/2</f>
        <v>30.6625416899125</v>
      </c>
      <c r="J11024" s="6" t="n">
        <f aca="false">Sens!J11017*(1-tax_f)-wacc*(Sens!I11018+Sens!J11018)/2</f>
        <v>40.0735549718571</v>
      </c>
      <c r="K11024" s="6" t="n">
        <f aca="false">Sens!K11017*(1-tax_f)-wacc*(Sens!J11018+Sens!K11018)/2</f>
        <v>49.5456089097224</v>
      </c>
    </row>
    <row r="11025" customFormat="false" ht="17.15" hidden="false" customHeight="false" outlineLevel="0" collapsed="false">
      <c r="A11025" s="3" t="s">
        <v>1522</v>
      </c>
    </row>
    <row r="11026" customFormat="false" ht="15" hidden="false" customHeight="false" outlineLevel="0" collapsed="false">
      <c r="A11026" s="4" t="s">
        <v>43</v>
      </c>
      <c r="B11026" s="4" t="s">
        <v>65</v>
      </c>
      <c r="C11026" s="20" t="s">
        <v>788</v>
      </c>
      <c r="D11026" s="20" t="s">
        <v>789</v>
      </c>
      <c r="E11026" s="20" t="s">
        <v>790</v>
      </c>
      <c r="F11026" s="20" t="s">
        <v>791</v>
      </c>
      <c r="G11026" s="20" t="s">
        <v>792</v>
      </c>
      <c r="H11026" s="20" t="s">
        <v>793</v>
      </c>
      <c r="I11026" s="20" t="s">
        <v>794</v>
      </c>
      <c r="J11026" s="20" t="s">
        <v>795</v>
      </c>
      <c r="K11026" s="20" t="s">
        <v>796</v>
      </c>
      <c r="L11026" s="4" t="s">
        <v>47</v>
      </c>
    </row>
    <row r="11027" customFormat="false" ht="15" hidden="false" customHeight="false" outlineLevel="0" collapsed="false">
      <c r="A11027" s="1" t="s">
        <v>915</v>
      </c>
      <c r="B11027" s="0" t="s">
        <v>98</v>
      </c>
      <c r="F11027" s="6" t="n">
        <f aca="false">Sens!F11008</f>
        <v>139.291259624572</v>
      </c>
      <c r="G11027" s="6" t="n">
        <f aca="false">Sens!G11008</f>
        <v>162.697364840074</v>
      </c>
      <c r="H11027" s="6" t="n">
        <f aca="false">Sens!H11008</f>
        <v>190.064133102988</v>
      </c>
      <c r="I11027" s="6" t="n">
        <f aca="false">Sens!I11008</f>
        <v>211.073455204077</v>
      </c>
      <c r="J11027" s="6" t="n">
        <f aca="false">Sens!J11008</f>
        <v>229.271716608459</v>
      </c>
      <c r="K11027" s="6" t="n">
        <f aca="false">Sens!K11008</f>
        <v>245.882957195752</v>
      </c>
    </row>
    <row r="11028" customFormat="false" ht="17.15" hidden="false" customHeight="false" outlineLevel="0" collapsed="false">
      <c r="A11028" s="1" t="s">
        <v>937</v>
      </c>
      <c r="B11028" s="0" t="s">
        <v>98</v>
      </c>
      <c r="E11028" s="6" t="n">
        <f aca="false">Q!M38-Sens!E10946</f>
        <v>22.2285940229167</v>
      </c>
      <c r="F11028" s="6" t="n">
        <f aca="false">Sens!E11028*(1-1/life_nonai)+Sens!F11034/life_nonai</f>
        <v>23.5786693435813</v>
      </c>
      <c r="G11028" s="6" t="n">
        <f aca="false">Sens!F11028*(1-1/life_nonai)+Sens!G11034/life_nonai</f>
        <v>25.3810917662621</v>
      </c>
      <c r="H11028" s="6" t="n">
        <f aca="false">Sens!G11028*(1-1/life_nonai)+Sens!H11034/life_nonai</f>
        <v>27.5991339540448</v>
      </c>
      <c r="I11028" s="6" t="n">
        <f aca="false">Sens!H11028*(1-1/life_nonai)+Sens!I11034/life_nonai</f>
        <v>30.1565605898047</v>
      </c>
      <c r="J11028" s="6" t="n">
        <f aca="false">Sens!I11028*(1-1/life_nonai)+Sens!J11034/life_nonai</f>
        <v>32.9614958558616</v>
      </c>
      <c r="K11028" s="6" t="n">
        <f aca="false">Sens!J11028*(1-1/life_nonai)+Sens!K11034/life_nonai</f>
        <v>35.9297165444749</v>
      </c>
      <c r="L11028" s="11" t="s">
        <v>938</v>
      </c>
    </row>
    <row r="11029" customFormat="false" ht="17.15" hidden="false" customHeight="false" outlineLevel="0" collapsed="false">
      <c r="A11029" s="1" t="s">
        <v>939</v>
      </c>
      <c r="B11029" s="0" t="s">
        <v>98</v>
      </c>
      <c r="E11029" s="6" t="n">
        <f aca="false">Sens!E10946+Sens!E11028</f>
        <v>38.534</v>
      </c>
      <c r="F11029" s="6" t="n">
        <f aca="false">Sens!F10946+Sens!F11028</f>
        <v>58.306704799451</v>
      </c>
      <c r="G11029" s="6" t="n">
        <f aca="false">Sens!G10946+Sens!G11028</f>
        <v>85.8628250266016</v>
      </c>
      <c r="H11029" s="6" t="n">
        <f aca="false">Sens!H10946+Sens!H11028</f>
        <v>115.316449947184</v>
      </c>
      <c r="I11029" s="6" t="n">
        <f aca="false">Sens!I10946+Sens!I11028</f>
        <v>142.118600572026</v>
      </c>
      <c r="J11029" s="6" t="n">
        <f aca="false">Sens!J10946+Sens!J11028</f>
        <v>162.120206778527</v>
      </c>
      <c r="K11029" s="6" t="n">
        <f aca="false">Sens!K10946+Sens!K11028</f>
        <v>175.552363348948</v>
      </c>
    </row>
    <row r="11030" customFormat="false" ht="17.15" hidden="false" customHeight="false" outlineLevel="0" collapsed="false">
      <c r="A11030" s="1" t="s">
        <v>940</v>
      </c>
      <c r="B11030" s="0" t="s">
        <v>98</v>
      </c>
      <c r="F11030" s="6" t="n">
        <f aca="false">Sens!F10973*sbc_r</f>
        <v>15.1240791253967</v>
      </c>
      <c r="G11030" s="6" t="n">
        <f aca="false">Sens!G10973*sbc_r</f>
        <v>18.3778786594202</v>
      </c>
      <c r="H11030" s="6" t="n">
        <f aca="false">Sens!H10973*sbc_r</f>
        <v>21.8771522065674</v>
      </c>
      <c r="I11030" s="6" t="n">
        <f aca="false">Sens!I10973*sbc_r</f>
        <v>24.8701515437869</v>
      </c>
      <c r="J11030" s="6" t="n">
        <f aca="false">Sens!J10973*sbc_r</f>
        <v>27.2849214872696</v>
      </c>
      <c r="K11030" s="6" t="n">
        <f aca="false">Sens!K10973*sbc_r</f>
        <v>29.2091113705455</v>
      </c>
    </row>
    <row r="11031" customFormat="false" ht="17.15" hidden="false" customHeight="false" outlineLevel="0" collapsed="false">
      <c r="A11031" s="1" t="s">
        <v>941</v>
      </c>
      <c r="B11031" s="0" t="s">
        <v>98</v>
      </c>
      <c r="F11031" s="6" t="n">
        <f aca="false">wc27</f>
        <v>-4.895</v>
      </c>
      <c r="G11031" s="6" t="n">
        <f aca="false">wc_f</f>
        <v>0</v>
      </c>
      <c r="H11031" s="6" t="n">
        <f aca="false">wc_f</f>
        <v>0</v>
      </c>
      <c r="I11031" s="6" t="n">
        <f aca="false">wc_f</f>
        <v>0</v>
      </c>
      <c r="J11031" s="6" t="n">
        <f aca="false">wc_f</f>
        <v>0</v>
      </c>
      <c r="K11031" s="6" t="n">
        <f aca="false">wc_f</f>
        <v>0</v>
      </c>
      <c r="L11031" s="11" t="s">
        <v>942</v>
      </c>
    </row>
    <row r="11032" customFormat="false" ht="15" hidden="false" customHeight="false" outlineLevel="0" collapsed="false">
      <c r="A11032" s="1" t="s">
        <v>756</v>
      </c>
      <c r="B11032" s="0" t="s">
        <v>98</v>
      </c>
      <c r="E11032" s="6" t="n">
        <f aca="false">Q!M35</f>
        <v>182.935</v>
      </c>
      <c r="F11032" s="6" t="n">
        <f aca="false">Sens!F11027+Sens!F11029+Sens!F11030+Sens!F11031</f>
        <v>207.827043549419</v>
      </c>
      <c r="G11032" s="6" t="n">
        <f aca="false">Sens!G11027+Sens!G11029+Sens!G11030+Sens!G11031</f>
        <v>266.938068526095</v>
      </c>
      <c r="H11032" s="6" t="n">
        <f aca="false">Sens!H11027+Sens!H11029+Sens!H11030+Sens!H11031</f>
        <v>327.25773525674</v>
      </c>
      <c r="I11032" s="6" t="n">
        <f aca="false">Sens!I11027+Sens!I11029+Sens!I11030+Sens!I11031</f>
        <v>378.062207319889</v>
      </c>
      <c r="J11032" s="6" t="n">
        <f aca="false">Sens!J11027+Sens!J11029+Sens!J11030+Sens!J11031</f>
        <v>418.676844874256</v>
      </c>
      <c r="K11032" s="6" t="n">
        <f aca="false">Sens!K11027+Sens!K11029+Sens!K11030+Sens!K11031</f>
        <v>450.644431915246</v>
      </c>
    </row>
    <row r="11033" customFormat="false" ht="17.15" hidden="false" customHeight="false" outlineLevel="0" collapsed="false">
      <c r="A11033" s="0" t="s">
        <v>943</v>
      </c>
      <c r="B11033" s="0" t="s">
        <v>98</v>
      </c>
      <c r="F11033" s="6" t="n">
        <f aca="false">Sens!F10943</f>
        <v>168.470652770438</v>
      </c>
      <c r="G11033" s="6" t="n">
        <f aca="false">Sens!G10943</f>
        <v>183.5741804832</v>
      </c>
      <c r="H11033" s="6" t="n">
        <f aca="false">Sens!H10943</f>
        <v>188.0802859104</v>
      </c>
      <c r="I11033" s="6" t="n">
        <f aca="false">Sens!I10943</f>
        <v>163.706669154245</v>
      </c>
      <c r="J11033" s="6" t="n">
        <f aca="false">Sens!J10943</f>
        <v>124.51247671809</v>
      </c>
      <c r="K11033" s="6" t="n">
        <f aca="false">Sens!K10943</f>
        <v>114.959435641936</v>
      </c>
    </row>
    <row r="11034" customFormat="false" ht="17.15" hidden="false" customHeight="false" outlineLevel="0" collapsed="false">
      <c r="A11034" s="1" t="s">
        <v>944</v>
      </c>
      <c r="B11034" s="0" t="s">
        <v>98</v>
      </c>
      <c r="E11034" s="6" t="n">
        <f aca="false">Sens!E10951*cx_azo+Sens!E10958*cx_m365+Sens!E10959*cx_lic+(Sens!E10961+Sens!E10963)*cx_ind+Sens!E10966*cx_srch+(Sens!E10968+Sens!E10970)*cx_dev</f>
        <v>30.1846587067718</v>
      </c>
      <c r="F11034" s="6" t="n">
        <f aca="false">Sens!F10951*cx_azo+Sens!F10958*cx_m365+Sens!F10959*cx_lic+(Sens!F10961+Sens!F10963)*cx_ind+Sens!F10966*cx_srch+(Sens!F10968+Sens!F10970)*cx_dev</f>
        <v>35.7293472295625</v>
      </c>
      <c r="G11034" s="6" t="n">
        <f aca="false">Sens!G10951*cx_azo+Sens!G10958*cx_m365+Sens!G10959*cx_lic+(Sens!G10961+Sens!G10963)*cx_ind+Sens!G10966*cx_srch+(Sens!G10968+Sens!G10970)*cx_dev</f>
        <v>41.6028935703892</v>
      </c>
      <c r="H11034" s="6" t="n">
        <f aca="false">Sens!H10951*cx_azo+Sens!H10958*cx_m365+Sens!H10959*cx_lic+(Sens!H10961+Sens!H10963)*cx_ind+Sens!H10966*cx_srch+(Sens!H10968+Sens!H10970)*cx_dev</f>
        <v>47.5615136440897</v>
      </c>
      <c r="I11034" s="6" t="n">
        <f aca="false">Sens!I10951*cx_azo+Sens!I10958*cx_m365+Sens!I10959*cx_lic+(Sens!I10961+Sens!I10963)*cx_ind+Sens!I10966*cx_srch+(Sens!I10968+Sens!I10970)*cx_dev</f>
        <v>53.1734003116439</v>
      </c>
      <c r="J11034" s="6" t="n">
        <f aca="false">Sens!J10951*cx_azo+Sens!J10958*cx_m365+Sens!J10959*cx_lic+(Sens!J10961+Sens!J10963)*cx_ind+Sens!J10966*cx_srch+(Sens!J10968+Sens!J10970)*cx_dev</f>
        <v>58.2059132503738</v>
      </c>
      <c r="K11034" s="6" t="n">
        <f aca="false">Sens!K10951*cx_azo+Sens!K10958*cx_m365+Sens!K10959*cx_lic+(Sens!K10961+Sens!K10963)*cx_ind+Sens!K10966*cx_srch+(Sens!K10968+Sens!K10970)*cx_dev</f>
        <v>62.643702741994</v>
      </c>
    </row>
    <row r="11035" customFormat="false" ht="17.15" hidden="false" customHeight="false" outlineLevel="0" collapsed="false">
      <c r="A11035" s="1" t="s">
        <v>945</v>
      </c>
      <c r="B11035" s="0" t="s">
        <v>98</v>
      </c>
      <c r="E11035" s="6" t="n">
        <f aca="false">Q!M42</f>
        <v>145.3</v>
      </c>
      <c r="F11035" s="6" t="n">
        <f aca="false">Sens!F11033+Sens!F11034</f>
        <v>204.2</v>
      </c>
      <c r="G11035" s="6" t="n">
        <f aca="false">Sens!G11033+Sens!G11034</f>
        <v>225.177074053589</v>
      </c>
      <c r="H11035" s="6" t="n">
        <f aca="false">Sens!H11033+Sens!H11034</f>
        <v>235.64179955449</v>
      </c>
      <c r="I11035" s="6" t="n">
        <f aca="false">Sens!I11033+Sens!I11034</f>
        <v>216.880069465889</v>
      </c>
      <c r="J11035" s="6" t="n">
        <f aca="false">Sens!J11033+Sens!J11034</f>
        <v>182.718389968464</v>
      </c>
      <c r="K11035" s="6" t="n">
        <f aca="false">Sens!K11033+Sens!K11034</f>
        <v>177.60313838393</v>
      </c>
      <c r="L11035" s="1" t="s">
        <v>946</v>
      </c>
    </row>
    <row r="11036" customFormat="false" ht="15" hidden="false" customHeight="false" outlineLevel="0" collapsed="false">
      <c r="A11036" s="1" t="s">
        <v>947</v>
      </c>
      <c r="B11036" s="0" t="s">
        <v>98</v>
      </c>
      <c r="E11036" s="6" t="n">
        <f aca="false">fl_liab</f>
        <v>66.594</v>
      </c>
      <c r="F11036" s="6" t="n">
        <f aca="false">Sens!E11036-Sens!F11037</f>
        <v>62.46973</v>
      </c>
      <c r="G11036" s="6" t="n">
        <f aca="false">Sens!F11036-Sens!G11037</f>
        <v>57.98686785</v>
      </c>
      <c r="H11036" s="6" t="n">
        <f aca="false">Sens!G11036-Sens!H11037</f>
        <v>53.92827690325</v>
      </c>
      <c r="I11036" s="6" t="n">
        <f aca="false">Sens!H11036-Sens!I11037</f>
        <v>49.7850493638962</v>
      </c>
      <c r="J11036" s="6" t="n">
        <f aca="false">Sens!I11036-Sens!J11037</f>
        <v>45.4823765852716</v>
      </c>
      <c r="K11036" s="6" t="n">
        <f aca="false">Sens!J11036-Sens!K11037</f>
        <v>40.9860835316088</v>
      </c>
    </row>
    <row r="11037" customFormat="false" ht="15" hidden="false" customHeight="false" outlineLevel="0" collapsed="false">
      <c r="A11037" s="1" t="s">
        <v>948</v>
      </c>
      <c r="B11037" s="0" t="s">
        <v>98</v>
      </c>
      <c r="F11037" s="6" t="n">
        <f aca="false">fl_pay_27-Sens!E11036*fl_rate</f>
        <v>4.12427</v>
      </c>
      <c r="G11037" s="6" t="n">
        <f aca="false">fl_pay_28-Sens!F11036*fl_rate</f>
        <v>4.48286215</v>
      </c>
      <c r="H11037" s="6" t="n">
        <f aca="false">fl_pay_29-Sens!G11036*fl_rate</f>
        <v>4.05859094675</v>
      </c>
      <c r="I11037" s="6" t="n">
        <f aca="false">fl_pay_30-Sens!H11036*fl_rate</f>
        <v>4.14322753935375</v>
      </c>
      <c r="J11037" s="6" t="n">
        <f aca="false">fl_pay_31-Sens!I11036*fl_rate</f>
        <v>4.30267277862467</v>
      </c>
      <c r="K11037" s="6" t="n">
        <f aca="false">fl_pay_32-Sens!J11036*fl_rate</f>
        <v>4.49629305366278</v>
      </c>
    </row>
    <row r="11038" customFormat="false" ht="17.15" hidden="false" customHeight="false" outlineLevel="0" collapsed="false">
      <c r="A11038" s="1" t="s">
        <v>949</v>
      </c>
      <c r="B11038" s="0" t="s">
        <v>98</v>
      </c>
      <c r="E11038" s="6" t="n">
        <f aca="false">Q!M35-Q!M36-Q!M43</f>
        <v>63.886</v>
      </c>
      <c r="F11038" s="6" t="n">
        <f aca="false">Sens!F11032-Sens!F11035-Sens!F11037</f>
        <v>-0.497226450580689</v>
      </c>
      <c r="G11038" s="6" t="n">
        <f aca="false">Sens!G11032-Sens!G11035-Sens!G11037</f>
        <v>37.2781323225061</v>
      </c>
      <c r="H11038" s="6" t="n">
        <f aca="false">Sens!H11032-Sens!H11035-Sens!H11037</f>
        <v>87.5573447555002</v>
      </c>
      <c r="I11038" s="6" t="n">
        <f aca="false">Sens!I11032-Sens!I11035-Sens!I11037</f>
        <v>157.038910314646</v>
      </c>
      <c r="J11038" s="6" t="n">
        <f aca="false">Sens!J11032-Sens!J11035-Sens!J11037</f>
        <v>231.655782127167</v>
      </c>
      <c r="K11038" s="6" t="n">
        <f aca="false">Sens!K11032-Sens!K11035-Sens!K11037</f>
        <v>268.545000477653</v>
      </c>
      <c r="L11038" s="11" t="s">
        <v>950</v>
      </c>
    </row>
    <row r="11039" customFormat="false" ht="15" hidden="false" customHeight="false" outlineLevel="0" collapsed="false">
      <c r="A11039" s="1" t="s">
        <v>951</v>
      </c>
      <c r="B11039" s="0" t="s">
        <v>75</v>
      </c>
      <c r="F11039" s="8" t="n">
        <f aca="false">dps_27</f>
        <v>3.85</v>
      </c>
      <c r="G11039" s="8" t="n">
        <f aca="false">Sens!F11039*(1+dps_g)</f>
        <v>4.158</v>
      </c>
      <c r="H11039" s="8" t="n">
        <f aca="false">Sens!G11039*(1+dps_g)</f>
        <v>4.49064</v>
      </c>
      <c r="I11039" s="8" t="n">
        <f aca="false">Sens!H11039*(1+dps_g)</f>
        <v>4.8498912</v>
      </c>
      <c r="J11039" s="8" t="n">
        <f aca="false">Sens!I11039*(1+dps_g)</f>
        <v>5.237882496</v>
      </c>
      <c r="K11039" s="8" t="n">
        <f aca="false">Sens!J11039*(1+dps_g)</f>
        <v>5.65691309568</v>
      </c>
    </row>
    <row r="11040" customFormat="false" ht="17.15" hidden="false" customHeight="false" outlineLevel="0" collapsed="false">
      <c r="A11040" s="1" t="s">
        <v>952</v>
      </c>
      <c r="B11040" s="0" t="s">
        <v>98</v>
      </c>
      <c r="E11040" s="6" t="n">
        <f aca="false">Q!M41</f>
        <v>26.445</v>
      </c>
      <c r="F11040" s="6" t="n">
        <f aca="false">Sens!F11039*Sens!E11049</f>
        <v>28.59395</v>
      </c>
      <c r="G11040" s="6" t="n">
        <f aca="false">Sens!G11039*Sens!F11049</f>
        <v>31.068576</v>
      </c>
      <c r="H11040" s="6" t="n">
        <f aca="false">Sens!H11039*Sens!G11049</f>
        <v>33.7094929887694</v>
      </c>
      <c r="I11040" s="6" t="n">
        <f aca="false">Sens!I11039*Sens!H11049</f>
        <v>36.4571916678704</v>
      </c>
      <c r="J11040" s="6" t="n">
        <f aca="false">Sens!J11039*Sens!I11049</f>
        <v>39.4421658496195</v>
      </c>
      <c r="K11040" s="6" t="n">
        <f aca="false">Sens!K11039*Sens!J11049</f>
        <v>42.6847943428941</v>
      </c>
      <c r="L11040" s="1" t="s">
        <v>953</v>
      </c>
    </row>
    <row r="11041" customFormat="false" ht="15" hidden="false" customHeight="false" outlineLevel="0" collapsed="false">
      <c r="A11041" s="1" t="s">
        <v>954</v>
      </c>
      <c r="B11041" s="0" t="s">
        <v>98</v>
      </c>
      <c r="E11041" s="6" t="n">
        <f aca="false">Sens!E11038-Sens!E11040</f>
        <v>37.441</v>
      </c>
      <c r="F11041" s="6" t="n">
        <f aca="false">Sens!F11038-Sens!F11040</f>
        <v>-29.0911764505807</v>
      </c>
      <c r="G11041" s="6" t="n">
        <f aca="false">Sens!G11038-Sens!G11040</f>
        <v>6.20955632250612</v>
      </c>
      <c r="H11041" s="6" t="n">
        <f aca="false">Sens!H11038-Sens!H11040</f>
        <v>53.8478517667308</v>
      </c>
      <c r="I11041" s="6" t="n">
        <f aca="false">Sens!I11038-Sens!I11040</f>
        <v>120.581718646776</v>
      </c>
      <c r="J11041" s="6" t="n">
        <f aca="false">Sens!J11038-Sens!J11040</f>
        <v>192.213616277548</v>
      </c>
      <c r="K11041" s="6" t="n">
        <f aca="false">Sens!K11038-Sens!K11040</f>
        <v>225.860206134759</v>
      </c>
    </row>
    <row r="11042" customFormat="false" ht="15" hidden="false" customHeight="false" outlineLevel="0" collapsed="false">
      <c r="A11042" s="1" t="s">
        <v>955</v>
      </c>
      <c r="B11042" s="0" t="s">
        <v>98</v>
      </c>
      <c r="F11042" s="6" t="n">
        <f aca="false">debt_mat_27</f>
        <v>9.25</v>
      </c>
      <c r="G11042" s="6" t="n">
        <f aca="false">debt_mat_28</f>
        <v>0</v>
      </c>
      <c r="H11042" s="6" t="n">
        <f aca="false">debt_mat_29</f>
        <v>2.001</v>
      </c>
      <c r="I11042" s="6" t="n">
        <f aca="false">debt_mat_30</f>
        <v>0</v>
      </c>
      <c r="J11042" s="6" t="n">
        <f aca="false">debt_mat_31</f>
        <v>0.5</v>
      </c>
      <c r="K11042" s="6" t="n">
        <f aca="false">debt_mat_32</f>
        <v>0</v>
      </c>
    </row>
    <row r="11043" customFormat="false" ht="15" hidden="false" customHeight="false" outlineLevel="0" collapsed="false">
      <c r="A11043" s="1" t="s">
        <v>956</v>
      </c>
      <c r="B11043" s="0" t="s">
        <v>98</v>
      </c>
      <c r="E11043" s="6" t="n">
        <f aca="false">Q!M40</f>
        <v>22.271</v>
      </c>
      <c r="F11043" s="6" t="n">
        <f aca="false">MAX(0,MIN(bb_target,Sens!E11045+Sens!F11041-Sens!F11042-min_cash))</f>
        <v>0</v>
      </c>
      <c r="G11043" s="6" t="n">
        <f aca="false">MAX(0,MIN(bb_target,Sens!F11045+Sens!G11041-Sens!G11042-min_cash))</f>
        <v>6.20955632250612</v>
      </c>
      <c r="H11043" s="6" t="n">
        <f aca="false">MAX(0,MIN(bb_target,Sens!G11045+Sens!H11041-Sens!H11042-min_cash))</f>
        <v>22.271</v>
      </c>
      <c r="I11043" s="6" t="n">
        <f aca="false">MAX(0,MIN(bb_target,Sens!H11045+Sens!I11041-Sens!I11042-min_cash))</f>
        <v>22.271</v>
      </c>
      <c r="J11043" s="6" t="n">
        <f aca="false">MAX(0,MIN(bb_target,Sens!I11045+Sens!J11041-Sens!J11042-min_cash))</f>
        <v>22.271</v>
      </c>
      <c r="K11043" s="6" t="n">
        <f aca="false">MAX(0,MIN(bb_target,Sens!J11045+Sens!K11041-Sens!K11042-min_cash))</f>
        <v>22.271</v>
      </c>
    </row>
    <row r="11044" customFormat="false" ht="15" hidden="false" customHeight="false" outlineLevel="0" collapsed="false">
      <c r="A11044" s="1" t="s">
        <v>957</v>
      </c>
      <c r="B11044" s="0" t="s">
        <v>98</v>
      </c>
      <c r="F11044" s="6" t="n">
        <f aca="false">MAX(0,min_cash-(Sens!E11045+Sens!F11041-Sens!F11042-Sens!F11043))</f>
        <v>11.4981764505807</v>
      </c>
      <c r="G11044" s="6" t="n">
        <f aca="false">MAX(0,min_cash-(Sens!F11045+Sens!G11041-Sens!G11042-Sens!G11043))</f>
        <v>0</v>
      </c>
      <c r="H11044" s="6" t="n">
        <f aca="false">MAX(0,min_cash-(Sens!G11045+Sens!H11041-Sens!H11042-Sens!H11043))</f>
        <v>0</v>
      </c>
      <c r="I11044" s="6" t="n">
        <f aca="false">MAX(0,min_cash-(Sens!H11045+Sens!I11041-Sens!I11042-Sens!I11043))</f>
        <v>0</v>
      </c>
      <c r="J11044" s="6" t="n">
        <f aca="false">MAX(0,min_cash-(Sens!I11045+Sens!J11041-Sens!J11042-Sens!J11043))</f>
        <v>0</v>
      </c>
      <c r="K11044" s="6" t="n">
        <f aca="false">MAX(0,min_cash-(Sens!J11045+Sens!K11041-Sens!K11042-Sens!K11043))</f>
        <v>0</v>
      </c>
    </row>
    <row r="11045" customFormat="false" ht="15" hidden="false" customHeight="false" outlineLevel="0" collapsed="false">
      <c r="A11045" s="1" t="s">
        <v>958</v>
      </c>
      <c r="B11045" s="0" t="s">
        <v>98</v>
      </c>
      <c r="E11045" s="6" t="n">
        <f aca="false">cash_open</f>
        <v>76.843</v>
      </c>
      <c r="F11045" s="6" t="n">
        <f aca="false">Sens!E11045+Sens!F11041-Sens!F11042-Sens!F11043+Sens!F11044</f>
        <v>50</v>
      </c>
      <c r="G11045" s="6" t="n">
        <f aca="false">Sens!F11045+Sens!G11041-Sens!G11042-Sens!G11043+Sens!G11044</f>
        <v>50</v>
      </c>
      <c r="H11045" s="6" t="n">
        <f aca="false">Sens!G11045+Sens!H11041-Sens!H11042-Sens!H11043+Sens!H11044</f>
        <v>79.5758517667308</v>
      </c>
      <c r="I11045" s="6" t="n">
        <f aca="false">Sens!H11045+Sens!I11041-Sens!I11042-Sens!I11043+Sens!I11044</f>
        <v>177.886570413507</v>
      </c>
      <c r="J11045" s="6" t="n">
        <f aca="false">Sens!I11045+Sens!J11041-Sens!J11042-Sens!J11043+Sens!J11044</f>
        <v>347.329186691055</v>
      </c>
      <c r="K11045" s="6" t="n">
        <f aca="false">Sens!J11045+Sens!K11041-Sens!K11042-Sens!K11043+Sens!K11044</f>
        <v>550.918392825814</v>
      </c>
    </row>
    <row r="11046" customFormat="false" ht="15" hidden="false" customHeight="false" outlineLevel="0" collapsed="false">
      <c r="A11046" s="1" t="s">
        <v>959</v>
      </c>
      <c r="B11046" s="0" t="s">
        <v>98</v>
      </c>
      <c r="E11046" s="6" t="n">
        <f aca="false">debt_face</f>
        <v>46.136</v>
      </c>
      <c r="F11046" s="6" t="n">
        <f aca="false">Sens!E11046-Sens!F11042+Sens!F11044</f>
        <v>48.3841764505807</v>
      </c>
      <c r="G11046" s="6" t="n">
        <f aca="false">Sens!F11046-Sens!G11042+Sens!G11044</f>
        <v>48.3841764505807</v>
      </c>
      <c r="H11046" s="6" t="n">
        <f aca="false">Sens!G11046-Sens!H11042+Sens!H11044</f>
        <v>46.3831764505807</v>
      </c>
      <c r="I11046" s="6" t="n">
        <f aca="false">Sens!H11046-Sens!I11042+Sens!I11044</f>
        <v>46.3831764505807</v>
      </c>
      <c r="J11046" s="6" t="n">
        <f aca="false">Sens!I11046-Sens!J11042+Sens!J11044</f>
        <v>45.8831764505807</v>
      </c>
      <c r="K11046" s="6" t="n">
        <f aca="false">Sens!J11046-Sens!K11042+Sens!K11044</f>
        <v>45.8831764505807</v>
      </c>
    </row>
    <row r="11047" customFormat="false" ht="15" hidden="false" customHeight="false" outlineLevel="0" collapsed="false">
      <c r="A11047" s="1" t="s">
        <v>960</v>
      </c>
      <c r="B11047" s="0" t="s">
        <v>98</v>
      </c>
      <c r="E11047" s="6" t="n">
        <f aca="false">Sens!E11045-Sens!E11046</f>
        <v>30.707</v>
      </c>
      <c r="F11047" s="6" t="n">
        <f aca="false">Sens!F11045-Sens!F11046</f>
        <v>1.61582354941931</v>
      </c>
      <c r="G11047" s="6" t="n">
        <f aca="false">Sens!G11045-Sens!G11046</f>
        <v>1.61582354941931</v>
      </c>
      <c r="H11047" s="6" t="n">
        <f aca="false">Sens!H11045-Sens!H11046</f>
        <v>33.1926753161501</v>
      </c>
      <c r="I11047" s="6" t="n">
        <f aca="false">Sens!I11045-Sens!I11046</f>
        <v>131.503393962926</v>
      </c>
      <c r="J11047" s="6" t="n">
        <f aca="false">Sens!J11045-Sens!J11046</f>
        <v>301.446010240474</v>
      </c>
      <c r="K11047" s="6" t="n">
        <f aca="false">Sens!K11045-Sens!K11046</f>
        <v>505.035216375233</v>
      </c>
    </row>
    <row r="11048" customFormat="false" ht="15" hidden="false" customHeight="false" outlineLevel="0" collapsed="false">
      <c r="A11048" s="1" t="s">
        <v>961</v>
      </c>
      <c r="B11048" s="0" t="s">
        <v>75</v>
      </c>
      <c r="F11048" s="29" t="n">
        <f aca="false">px*(1+bb_g)^(Sens!F10912-base_fy-mid_yr)</f>
        <v>553.494156066711</v>
      </c>
      <c r="G11048" s="29" t="n">
        <f aca="false">px*(1+bb_g)^(Sens!G10912-base_fy-mid_yr)</f>
        <v>597.773688552047</v>
      </c>
      <c r="H11048" s="29" t="n">
        <f aca="false">px*(1+bb_g)^(Sens!H10912-base_fy-mid_yr)</f>
        <v>645.595583636211</v>
      </c>
      <c r="I11048" s="29" t="n">
        <f aca="false">px*(1+bb_g)^(Sens!I10912-base_fy-mid_yr)</f>
        <v>697.243230327108</v>
      </c>
      <c r="J11048" s="29" t="n">
        <f aca="false">px*(1+bb_g)^(Sens!J10912-base_fy-mid_yr)</f>
        <v>753.022688753277</v>
      </c>
      <c r="K11048" s="29" t="n">
        <f aca="false">px*(1+bb_g)^(Sens!K10912-base_fy-mid_yr)</f>
        <v>813.264503853539</v>
      </c>
    </row>
    <row r="11049" customFormat="false" ht="15" hidden="false" customHeight="false" outlineLevel="0" collapsed="false">
      <c r="A11049" s="1" t="s">
        <v>962</v>
      </c>
      <c r="B11049" s="1" t="s">
        <v>81</v>
      </c>
      <c r="E11049" s="14" t="n">
        <f aca="false">sh_out26</f>
        <v>7.427</v>
      </c>
      <c r="F11049" s="14" t="n">
        <f aca="false">Sens!E11049+sh_iss-Sens!F11043/Sens!F11048</f>
        <v>7.472</v>
      </c>
      <c r="G11049" s="14" t="n">
        <f aca="false">Sens!F11049+sh_iss-Sens!G11043/Sens!G11048</f>
        <v>7.50661219531501</v>
      </c>
      <c r="H11049" s="14" t="n">
        <f aca="false">Sens!G11049+sh_iss-Sens!H11043/Sens!H11048</f>
        <v>7.51711536701491</v>
      </c>
      <c r="I11049" s="14" t="n">
        <f aca="false">Sens!H11049+sh_iss-Sens!I11043/Sens!I11048</f>
        <v>7.53017385932963</v>
      </c>
      <c r="J11049" s="14" t="n">
        <f aca="false">Sens!I11049+sh_iss-Sens!J11043/Sens!J11048</f>
        <v>7.54559838925067</v>
      </c>
      <c r="K11049" s="14" t="n">
        <f aca="false">Sens!J11049+sh_iss-Sens!K11043/Sens!K11048</f>
        <v>7.56321369473312</v>
      </c>
    </row>
    <row r="11050" customFormat="false" ht="15" hidden="false" customHeight="false" outlineLevel="0" collapsed="false">
      <c r="A11050" s="1" t="s">
        <v>963</v>
      </c>
      <c r="B11050" s="1" t="s">
        <v>81</v>
      </c>
      <c r="E11050" s="14" t="n">
        <f aca="false">sh_dil26</f>
        <v>7.453</v>
      </c>
      <c r="F11050" s="14" t="n">
        <f aca="false">(Sens!E11049+Sens!F11049)/2+dil_gap</f>
        <v>7.4735</v>
      </c>
      <c r="G11050" s="14" t="n">
        <f aca="false">(Sens!F11049+Sens!G11049)/2+dil_gap</f>
        <v>7.5133060976575</v>
      </c>
      <c r="H11050" s="14" t="n">
        <f aca="false">(Sens!G11049+Sens!H11049)/2+dil_gap</f>
        <v>7.53586378116496</v>
      </c>
      <c r="I11050" s="14" t="n">
        <f aca="false">(Sens!H11049+Sens!I11049)/2+dil_gap</f>
        <v>7.54764461317227</v>
      </c>
      <c r="J11050" s="14" t="n">
        <f aca="false">(Sens!I11049+Sens!J11049)/2+dil_gap</f>
        <v>7.56188612429015</v>
      </c>
      <c r="K11050" s="14" t="n">
        <f aca="false">(Sens!J11049+Sens!K11049)/2+dil_gap</f>
        <v>7.5784060419919</v>
      </c>
    </row>
    <row r="11051" customFormat="false" ht="17.15" hidden="false" customHeight="false" outlineLevel="0" collapsed="false">
      <c r="A11051" s="1" t="s">
        <v>964</v>
      </c>
      <c r="B11051" s="0" t="s">
        <v>98</v>
      </c>
      <c r="C11051" s="6" t="n">
        <f aca="false">SUM(Sens!F11041:J11041)</f>
        <v>343.76156656298</v>
      </c>
    </row>
    <row r="11052" customFormat="false" ht="15" hidden="false" customHeight="false" outlineLevel="0" collapsed="false">
      <c r="A11052" s="23" t="s">
        <v>935</v>
      </c>
      <c r="B11052" s="30" t="s">
        <v>98</v>
      </c>
      <c r="C11052" s="24" t="n">
        <f aca="false">Sens!$C$11051-(Sens!F11041+Sens!G11041+Sens!H11041+Sens!I11041+Sens!J11041)</f>
        <v>0</v>
      </c>
      <c r="D11052" s="30"/>
      <c r="E11052" s="30"/>
      <c r="F11052" s="30"/>
      <c r="G11052" s="30"/>
      <c r="H11052" s="30"/>
      <c r="I11052" s="30"/>
      <c r="J11052" s="30"/>
      <c r="K11052" s="30"/>
    </row>
    <row r="11053" customFormat="false" ht="17.15" hidden="false" customHeight="false" outlineLevel="0" collapsed="false">
      <c r="A11053" s="1" t="s">
        <v>929</v>
      </c>
      <c r="B11053" s="1" t="s">
        <v>965</v>
      </c>
      <c r="C11053" s="32" t="str">
        <f aca="false">IF(SUM(Sens!F11044:J11044)&gt;0.05,"需要舉債 "&amp;TEXT(SUM(Sens!F11044:J11044),"0.0")&amp;" 十億美元","不需舉債")&amp;"；"&amp;IF(SUM(Sens!F11043:J11043)&lt;COUNT(Sens!F11043:J11043)*bb_target-0.05,"回購較每年 "&amp;TEXT(bb_target,"0.0")&amp;" 的目標少 "&amp;TEXT(COUNT(Sens!F11043:J11043)*bb_target-SUM(Sens!F11043:J11043),"0.0")&amp;" 十億美元（"&amp;TEXT(COUNTIF(Sens!F11043:J11043,"&lt;"&amp;(bb_target-0.05)),"0")&amp;" 年減少）","回購不減")</f>
        <v>需要舉債 11.5 十億美元；回購較每年 22.3 的目標少 38.3 十億美元（2 年減少）</v>
      </c>
    </row>
    <row r="11054" customFormat="false" ht="17.15" hidden="false" customHeight="false" outlineLevel="0" collapsed="false">
      <c r="A11054" s="3" t="s">
        <v>1523</v>
      </c>
    </row>
    <row r="11055" customFormat="false" ht="15" hidden="false" customHeight="false" outlineLevel="0" collapsed="false">
      <c r="A11055" s="4" t="s">
        <v>43</v>
      </c>
      <c r="B11055" s="4" t="s">
        <v>65</v>
      </c>
      <c r="C11055" s="20" t="s">
        <v>788</v>
      </c>
      <c r="D11055" s="20" t="s">
        <v>789</v>
      </c>
      <c r="E11055" s="20" t="s">
        <v>790</v>
      </c>
      <c r="F11055" s="20" t="s">
        <v>791</v>
      </c>
      <c r="G11055" s="20" t="s">
        <v>792</v>
      </c>
      <c r="H11055" s="20" t="s">
        <v>793</v>
      </c>
      <c r="I11055" s="20" t="s">
        <v>794</v>
      </c>
      <c r="J11055" s="20" t="s">
        <v>795</v>
      </c>
      <c r="K11055" s="20" t="s">
        <v>796</v>
      </c>
      <c r="L11055" s="4" t="s">
        <v>47</v>
      </c>
    </row>
    <row r="11056" customFormat="false" ht="15" hidden="false" customHeight="false" outlineLevel="0" collapsed="false">
      <c r="A11056" s="1" t="s">
        <v>1042</v>
      </c>
      <c r="B11056" s="1" t="s">
        <v>235</v>
      </c>
      <c r="F11056" s="36" t="n">
        <f aca="false">Sens!F10912-base_fy-mid_yr</f>
        <v>0.5</v>
      </c>
      <c r="G11056" s="36" t="n">
        <f aca="false">Sens!G10912-base_fy-mid_yr</f>
        <v>1.5</v>
      </c>
      <c r="H11056" s="36" t="n">
        <f aca="false">Sens!H10912-base_fy-mid_yr</f>
        <v>2.5</v>
      </c>
      <c r="I11056" s="36" t="n">
        <f aca="false">Sens!I10912-base_fy-mid_yr</f>
        <v>3.5</v>
      </c>
      <c r="J11056" s="36" t="n">
        <f aca="false">Sens!J10912-base_fy-mid_yr</f>
        <v>4.5</v>
      </c>
      <c r="K11056" s="36" t="n">
        <f aca="false">Sens!K10912-base_fy-mid_yr</f>
        <v>5.5</v>
      </c>
    </row>
    <row r="11057" customFormat="false" ht="15" hidden="false" customHeight="false" outlineLevel="0" collapsed="false">
      <c r="A11057" s="1" t="s">
        <v>1043</v>
      </c>
      <c r="B11057" s="0" t="s">
        <v>185</v>
      </c>
      <c r="F11057" s="14" t="n">
        <f aca="false">1/(1+wacc)^Sens!F11056</f>
        <v>0.952193373608246</v>
      </c>
      <c r="G11057" s="14" t="n">
        <f aca="false">1/(1+wacc)^Sens!G11056</f>
        <v>0.863327280626589</v>
      </c>
      <c r="H11057" s="14" t="n">
        <f aca="false">1/(1+wacc)^Sens!H11056</f>
        <v>0.782754862754115</v>
      </c>
      <c r="I11057" s="14" t="n">
        <f aca="false">1/(1+wacc)^Sens!I11056</f>
        <v>0.709702089711011</v>
      </c>
      <c r="J11057" s="14" t="n">
        <f aca="false">1/(1+wacc)^Sens!J11056</f>
        <v>0.643467169744551</v>
      </c>
      <c r="K11057" s="14" t="n">
        <f aca="false">1/(1+wacc)^Sens!K11056</f>
        <v>0.583413807767797</v>
      </c>
    </row>
    <row r="11058" customFormat="false" ht="17.15" hidden="false" customHeight="false" outlineLevel="0" collapsed="false">
      <c r="A11058" s="1" t="s">
        <v>1044</v>
      </c>
      <c r="B11058" s="0" t="s">
        <v>98</v>
      </c>
      <c r="F11058" s="6" t="n">
        <f aca="false">Sens!F11032-Sens!F11030-Sens!F11035+Sens!F11016*(1-tax_f)</f>
        <v>3.98247037581437</v>
      </c>
      <c r="G11058" s="6" t="n">
        <f aca="false">Sens!G11032-Sens!G11030-Sens!G11035+Sens!G11016*(1-tax_f)</f>
        <v>49.796428905054</v>
      </c>
      <c r="H11058" s="6" t="n">
        <f aca="false">Sens!H11032-Sens!H11030-Sens!H11035+Sens!H11016*(1-tax_f)</f>
        <v>108.167868602187</v>
      </c>
      <c r="I11058" s="6" t="n">
        <f aca="false">Sens!I11032-Sens!I11030-Sens!I11035+Sens!I11016*(1-tax_f)</f>
        <v>185.925993568314</v>
      </c>
      <c r="J11058" s="6" t="n">
        <f aca="false">Sens!J11032-Sens!J11030-Sens!J11035+Sens!J11016*(1-tax_f)</f>
        <v>266.165224478984</v>
      </c>
      <c r="K11058" s="6" t="n">
        <f aca="false">Sens!K11032-Sens!K11030-Sens!K11035+Sens!K11016*(1-tax_f)</f>
        <v>305.424388293915</v>
      </c>
      <c r="L11058" s="1" t="s">
        <v>1045</v>
      </c>
    </row>
    <row r="11059" customFormat="false" ht="15" hidden="false" customHeight="false" outlineLevel="0" collapsed="false">
      <c r="A11059" s="1" t="s">
        <v>1046</v>
      </c>
      <c r="B11059" s="0" t="s">
        <v>98</v>
      </c>
      <c r="F11059" s="6" t="n">
        <f aca="false">Sens!F11058*Sens!F11057</f>
        <v>3.79208190244158</v>
      </c>
      <c r="G11059" s="6" t="n">
        <f aca="false">Sens!G11058*Sens!G11057</f>
        <v>42.9906155515156</v>
      </c>
      <c r="H11059" s="6" t="n">
        <f aca="false">Sens!H11058*Sens!H11057</f>
        <v>84.6689251421104</v>
      </c>
      <c r="I11059" s="6" t="n">
        <f aca="false">Sens!I11058*Sens!I11057</f>
        <v>131.952066167028</v>
      </c>
      <c r="J11059" s="6" t="n">
        <f aca="false">Sens!J11058*Sens!J11057</f>
        <v>171.268583679915</v>
      </c>
      <c r="K11059" s="6" t="n">
        <f aca="false">Sens!K11058*Sens!K11057</f>
        <v>178.188805359703</v>
      </c>
    </row>
    <row r="11060" customFormat="false" ht="17.15" hidden="false" customHeight="false" outlineLevel="0" collapsed="false">
      <c r="A11060" s="1" t="s">
        <v>1047</v>
      </c>
      <c r="B11060" s="0" t="s">
        <v>98</v>
      </c>
      <c r="C11060" s="6" t="n">
        <f aca="false">SUM(Sens!F11059:K11059)</f>
        <v>612.861077802714</v>
      </c>
    </row>
    <row r="11061" customFormat="false" ht="17.15" hidden="false" customHeight="false" outlineLevel="0" collapsed="false">
      <c r="A11061" s="1" t="s">
        <v>1048</v>
      </c>
      <c r="B11061" s="0" t="s">
        <v>98</v>
      </c>
      <c r="C11061" s="6" t="n">
        <f aca="false">Sens!K11002*(1+g_tv)*(1-tax_f)</f>
        <v>317.029018228764</v>
      </c>
    </row>
    <row r="11062" customFormat="false" ht="17.15" hidden="false" customHeight="false" outlineLevel="0" collapsed="false">
      <c r="A11062" s="1" t="s">
        <v>1049</v>
      </c>
      <c r="B11062" s="0" t="s">
        <v>98</v>
      </c>
      <c r="C11062" s="6" t="n">
        <f aca="false">Sens!$C$11061*(1-g_tv/(wacc+ronic_prem))</f>
        <v>224.631639992393</v>
      </c>
    </row>
    <row r="11063" customFormat="false" ht="17.15" hidden="false" customHeight="false" outlineLevel="0" collapsed="false">
      <c r="A11063" s="1" t="s">
        <v>1050</v>
      </c>
      <c r="B11063" s="0" t="s">
        <v>98</v>
      </c>
      <c r="C11063" s="6" t="n">
        <f aca="false">Sens!$C$11062/(wacc-g_tv)</f>
        <v>3079.91260787902</v>
      </c>
    </row>
    <row r="11064" customFormat="false" ht="15" hidden="false" customHeight="false" outlineLevel="0" collapsed="false">
      <c r="A11064" s="1" t="s">
        <v>1051</v>
      </c>
      <c r="B11064" s="0" t="s">
        <v>98</v>
      </c>
      <c r="C11064" s="6" t="n">
        <f aca="false">Sens!$C$11063/(1+wacc)^(Sens!K11056+mid_yr)</f>
        <v>1710.96155811799</v>
      </c>
    </row>
    <row r="11065" customFormat="false" ht="17.15" hidden="false" customHeight="false" outlineLevel="0" collapsed="false">
      <c r="A11065" s="0" t="s">
        <v>972</v>
      </c>
      <c r="B11065" s="0" t="s">
        <v>98</v>
      </c>
      <c r="C11065" s="6" t="n">
        <f aca="false">Sens!$C$11060+Sens!$C$11064</f>
        <v>2323.8226359207</v>
      </c>
    </row>
    <row r="11066" customFormat="false" ht="15" hidden="false" customHeight="false" outlineLevel="0" collapsed="false">
      <c r="A11066" s="1" t="s">
        <v>973</v>
      </c>
      <c r="B11066" s="0" t="s">
        <v>129</v>
      </c>
      <c r="C11066" s="7" t="n">
        <f aca="false">Sens!$C$11064/Sens!$C$11065</f>
        <v>0.736270286583254</v>
      </c>
    </row>
    <row r="11067" customFormat="false" ht="17.15" hidden="false" customHeight="false" outlineLevel="0" collapsed="false">
      <c r="A11067" s="1" t="s">
        <v>1052</v>
      </c>
      <c r="B11067" s="0" t="s">
        <v>98</v>
      </c>
      <c r="C11067" s="6" t="n">
        <f aca="false">Sens!$C$11065+Sens!E11047-Sens!E11036+oai_v</f>
        <v>2458.3356359207</v>
      </c>
    </row>
    <row r="11068" customFormat="false" ht="17.15" hidden="false" customHeight="false" outlineLevel="0" collapsed="false">
      <c r="A11068" s="0" t="s">
        <v>980</v>
      </c>
      <c r="B11068" s="0" t="s">
        <v>75</v>
      </c>
      <c r="C11068" s="5" t="n">
        <f aca="false">Sens!$C$11067/sh_dil26</f>
        <v>329.845114171569</v>
      </c>
    </row>
    <row r="11069" customFormat="false" ht="15" hidden="false" customHeight="false" outlineLevel="0" collapsed="false">
      <c r="A11069" s="1" t="s">
        <v>1053</v>
      </c>
      <c r="B11069" s="0" t="s">
        <v>75</v>
      </c>
      <c r="C11069" s="8" t="n">
        <f aca="false">dps_27+Sens!G11039*roll_div_q/q_per_yr</f>
        <v>4.8895</v>
      </c>
    </row>
    <row r="11070" customFormat="false" ht="17.15" hidden="false" customHeight="false" outlineLevel="0" collapsed="false">
      <c r="A11070" s="0" t="s">
        <v>1054</v>
      </c>
      <c r="B11070" s="0" t="s">
        <v>75</v>
      </c>
      <c r="C11070" s="5" t="n">
        <f aca="false">Sens!$C$11068*(1+wacc)^t_roll-Sens!$C$11069</f>
        <v>370.716144879096</v>
      </c>
    </row>
    <row r="11071" customFormat="false" ht="17.15" hidden="false" customHeight="false" outlineLevel="0" collapsed="false">
      <c r="A11071" s="1" t="s">
        <v>1055</v>
      </c>
      <c r="B11071" s="0" t="s">
        <v>129</v>
      </c>
      <c r="F11071" s="7" t="n">
        <f aca="false">Sens!F11028/(Sens!F10973-Sens!F10929)</f>
        <v>0.0681773598226415</v>
      </c>
      <c r="G11071" s="7" t="n">
        <f aca="false">Sens!G11028/(Sens!G10973-Sens!G10929)</f>
        <v>0.0650385409375172</v>
      </c>
      <c r="H11071" s="7" t="n">
        <f aca="false">Sens!H11028/(Sens!H10973-Sens!H10929)</f>
        <v>0.063382542471986</v>
      </c>
      <c r="I11071" s="7" t="n">
        <f aca="false">Sens!I11028/(Sens!I10973-Sens!I10929)</f>
        <v>0.0630998138876076</v>
      </c>
      <c r="J11071" s="7" t="n">
        <f aca="false">Sens!J11028/(Sens!J10973-Sens!J10929)</f>
        <v>0.0638399980286975</v>
      </c>
      <c r="K11071" s="7" t="n">
        <f aca="false">Sens!K11028/(Sens!K10973-Sens!K10929)</f>
        <v>0.0651531082402687</v>
      </c>
    </row>
    <row r="11072" customFormat="false" ht="17.15" hidden="false" customHeight="false" outlineLevel="0" collapsed="false">
      <c r="A11072" s="0" t="s">
        <v>1056</v>
      </c>
      <c r="B11072" s="0" t="s">
        <v>98</v>
      </c>
      <c r="F11072" s="6" t="n">
        <f aca="false">Sens!F10958*(al_m365+Sens!F11071+sbc_r)</f>
        <v>84.944046606333</v>
      </c>
      <c r="G11072" s="6" t="n">
        <f aca="false">Sens!G10958*(al_m365+Sens!G11071+sbc_r)</f>
        <v>99.4236143320739</v>
      </c>
      <c r="H11072" s="6" t="n">
        <f aca="false">Sens!H10958*(al_m365+Sens!H11071+sbc_r)</f>
        <v>114.068697186163</v>
      </c>
      <c r="I11072" s="6" t="n">
        <f aca="false">Sens!I10958*(al_m365+Sens!I11071+sbc_r)</f>
        <v>127.196415789369</v>
      </c>
      <c r="J11072" s="6" t="n">
        <f aca="false">Sens!J10958*(al_m365+Sens!J11071+sbc_r)</f>
        <v>138.619575691419</v>
      </c>
      <c r="K11072" s="6" t="n">
        <f aca="false">Sens!K10958*(al_m365+Sens!K11071+sbc_r)</f>
        <v>149.659768267063</v>
      </c>
      <c r="L11072" s="11" t="s">
        <v>1057</v>
      </c>
    </row>
    <row r="11073" customFormat="false" ht="17.15" hidden="false" customHeight="false" outlineLevel="0" collapsed="false">
      <c r="A11073" s="0" t="s">
        <v>1058</v>
      </c>
      <c r="B11073" s="0" t="s">
        <v>98</v>
      </c>
      <c r="F11073" s="6" t="n">
        <f aca="false">Sens!F10959*(al_lic+Sens!F11071+sbc_r)</f>
        <v>33.4285095904825</v>
      </c>
      <c r="G11073" s="6" t="n">
        <f aca="false">Sens!G10959*(al_lic+Sens!G11071+sbc_r)</f>
        <v>34.7161826947861</v>
      </c>
      <c r="H11073" s="6" t="n">
        <f aca="false">Sens!H10959*(al_lic+Sens!H11071+sbc_r)</f>
        <v>35.9223654002493</v>
      </c>
      <c r="I11073" s="6" t="n">
        <f aca="false">Sens!I10959*(al_lic+Sens!I11071+sbc_r)</f>
        <v>37.0298325864501</v>
      </c>
      <c r="J11073" s="6" t="n">
        <f aca="false">Sens!J10959*(al_lic+Sens!J11071+sbc_r)</f>
        <v>38.0103325842314</v>
      </c>
      <c r="K11073" s="6" t="n">
        <f aca="false">Sens!K10959*(al_lic+Sens!K11071+sbc_r)</f>
        <v>38.8303473189322</v>
      </c>
    </row>
    <row r="11074" customFormat="false" ht="17.15" hidden="false" customHeight="false" outlineLevel="0" collapsed="false">
      <c r="A11074" s="0" t="s">
        <v>1059</v>
      </c>
      <c r="B11074" s="0" t="s">
        <v>98</v>
      </c>
      <c r="F11074" s="6" t="n">
        <f aca="false">Sens!F10961*(al_ind+Sens!F11071+sbc_r)</f>
        <v>9.06719306746208</v>
      </c>
      <c r="G11074" s="6" t="n">
        <f aca="false">Sens!G10961*(al_ind+Sens!G11071+sbc_r)</f>
        <v>9.83485541633448</v>
      </c>
      <c r="H11074" s="6" t="n">
        <f aca="false">Sens!H10961*(al_ind+Sens!H11071+sbc_r)</f>
        <v>10.6498544617516</v>
      </c>
      <c r="I11074" s="6" t="n">
        <f aca="false">Sens!I10961*(al_ind+Sens!I11071+sbc_r)</f>
        <v>11.5103515303299</v>
      </c>
      <c r="J11074" s="6" t="n">
        <f aca="false">Sens!J10961*(al_ind+Sens!J11071+sbc_r)</f>
        <v>12.4055032067278</v>
      </c>
      <c r="K11074" s="6" t="n">
        <f aca="false">Sens!K10961*(al_ind+Sens!K11071+sbc_r)</f>
        <v>13.3173308472897</v>
      </c>
    </row>
    <row r="11075" customFormat="false" ht="17.15" hidden="false" customHeight="false" outlineLevel="0" collapsed="false">
      <c r="A11075" s="0" t="s">
        <v>1060</v>
      </c>
      <c r="B11075" s="0" t="s">
        <v>98</v>
      </c>
      <c r="F11075" s="6" t="n">
        <f aca="false">Sens!F10963*(al_fro+Sens!F11071+sbc_r)</f>
        <v>3.56887902446295</v>
      </c>
      <c r="G11075" s="6" t="n">
        <f aca="false">Sens!G10963*(al_fro+Sens!G11071+sbc_r)</f>
        <v>3.77600302676241</v>
      </c>
      <c r="H11075" s="6" t="n">
        <f aca="false">Sens!H10963*(al_fro+Sens!H11071+sbc_r)</f>
        <v>4.01322967965482</v>
      </c>
      <c r="I11075" s="6" t="n">
        <f aca="false">Sens!I10963*(al_fro+Sens!I11071+sbc_r)</f>
        <v>4.28368437397841</v>
      </c>
      <c r="J11075" s="6" t="n">
        <f aca="false">Sens!J10963*(al_fro+Sens!J11071+sbc_r)</f>
        <v>4.58803182845156</v>
      </c>
      <c r="K11075" s="6" t="n">
        <f aca="false">Sens!K10963*(al_fro+Sens!K11071+sbc_r)</f>
        <v>4.92526073140255</v>
      </c>
    </row>
    <row r="11076" customFormat="false" ht="17.15" hidden="false" customHeight="false" outlineLevel="0" collapsed="false">
      <c r="A11076" s="0" t="s">
        <v>1061</v>
      </c>
      <c r="B11076" s="0" t="s">
        <v>98</v>
      </c>
      <c r="F11076" s="6" t="n">
        <f aca="false">Sens!F10966*(al_srch+Sens!F11071+sbc_r)</f>
        <v>11.1981144415922</v>
      </c>
      <c r="G11076" s="6" t="n">
        <f aca="false">Sens!G10966*(al_srch+Sens!G11071+sbc_r)</f>
        <v>12.2607925441521</v>
      </c>
      <c r="H11076" s="6" t="n">
        <f aca="false">Sens!H10966*(al_srch+Sens!H11071+sbc_r)</f>
        <v>13.3712787172501</v>
      </c>
      <c r="I11076" s="6" t="n">
        <f aca="false">Sens!I10966*(al_srch+Sens!I11071+sbc_r)</f>
        <v>14.5205713773955</v>
      </c>
      <c r="J11076" s="6" t="n">
        <f aca="false">Sens!J10966*(al_srch+Sens!J11071+sbc_r)</f>
        <v>15.6873363367184</v>
      </c>
      <c r="K11076" s="6" t="n">
        <f aca="false">Sens!K10966*(al_srch+Sens!K11071+sbc_r)</f>
        <v>16.8403848378749</v>
      </c>
    </row>
    <row r="11077" customFormat="false" ht="17.15" hidden="false" customHeight="false" outlineLevel="0" collapsed="false">
      <c r="A11077" s="0" t="s">
        <v>1062</v>
      </c>
      <c r="B11077" s="0" t="s">
        <v>98</v>
      </c>
      <c r="F11077" s="6" t="n">
        <f aca="false">Sens!F10935-Sens!F10936+Sens!F11016</f>
        <v>55.9443052939671</v>
      </c>
      <c r="G11077" s="6" t="n">
        <f aca="false">Sens!G10935-Sens!G10936+Sens!G11016</f>
        <v>100.7033125707</v>
      </c>
      <c r="H11077" s="6" t="n">
        <f aca="false">Sens!H10935-Sens!H10936+Sens!H11016</f>
        <v>152.94255014234</v>
      </c>
      <c r="I11077" s="6" t="n">
        <f aca="false">Sens!I10935-Sens!I10936+Sens!I11016</f>
        <v>194.806990076394</v>
      </c>
      <c r="J11077" s="6" t="n">
        <f aca="false">Sens!J10935-Sens!J10936+Sens!J11016</f>
        <v>224.318148273617</v>
      </c>
      <c r="K11077" s="6" t="n">
        <f aca="false">Sens!K10935-Sens!K10936+Sens!K11016</f>
        <v>242.257249272487</v>
      </c>
    </row>
    <row r="11078" customFormat="false" ht="17.15" hidden="false" customHeight="false" outlineLevel="0" collapsed="false">
      <c r="A11078" s="0" t="s">
        <v>1063</v>
      </c>
      <c r="B11078" s="0" t="s">
        <v>98</v>
      </c>
      <c r="F11078" s="6" t="n">
        <f aca="false">Sens!F10995+Sens!F11016+Sens!F10946+Sens!F11071*(Sens!F10965-Sens!F10929)+sbc_r*Sens!F10965</f>
        <v>242.425279243128</v>
      </c>
      <c r="G11078" s="6" t="n">
        <f aca="false">Sens!G10995+Sens!G11016+Sens!G10946+Sens!G11071*(Sens!G10965-Sens!G10929)+sbc_r*Sens!G10965</f>
        <v>315.613438547191</v>
      </c>
      <c r="H11078" s="6" t="n">
        <f aca="false">Sens!H10995+Sens!H11016+Sens!H10946+Sens!H11071*(Sens!H10965-Sens!H10929)+sbc_r*Sens!H10965</f>
        <v>396.98154352382</v>
      </c>
      <c r="I11078" s="6" t="n">
        <f aca="false">Sens!I10995+Sens!I11016+Sens!I10946+Sens!I11071*(Sens!I10965-Sens!I10929)+sbc_r*Sens!I10965</f>
        <v>465.966915916619</v>
      </c>
      <c r="J11078" s="6" t="n">
        <f aca="false">Sens!J10995+Sens!J11016+Sens!J10946+Sens!J11071*(Sens!J10965-Sens!J10929)+sbc_r*Sens!J10965</f>
        <v>519.723976206315</v>
      </c>
      <c r="K11078" s="6" t="n">
        <f aca="false">Sens!K10995+Sens!K11016+Sens!K10946+Sens!K11071*(Sens!K10965-Sens!K10929)+sbc_r*Sens!K10965</f>
        <v>559.557624772252</v>
      </c>
    </row>
    <row r="11079" customFormat="false" ht="17.15" hidden="false" customHeight="false" outlineLevel="0" collapsed="false">
      <c r="A11079" s="0" t="s">
        <v>1064</v>
      </c>
      <c r="B11079" s="0" t="s">
        <v>98</v>
      </c>
      <c r="F11079" s="6" t="n">
        <f aca="false">Sens!F11078-Sens!F11072-Sens!F11073-Sens!F11074-Sens!F11075-Sens!F11077</f>
        <v>55.4723456604204</v>
      </c>
      <c r="G11079" s="6" t="n">
        <f aca="false">Sens!G11078-Sens!G11072-Sens!G11073-Sens!G11074-Sens!G11075-Sens!G11077</f>
        <v>67.1594705065336</v>
      </c>
      <c r="H11079" s="6" t="n">
        <f aca="false">Sens!H11078-Sens!H11072-Sens!H11073-Sens!H11074-Sens!H11075-Sens!H11077</f>
        <v>79.3848466536616</v>
      </c>
      <c r="I11079" s="6" t="n">
        <f aca="false">Sens!I11078-Sens!I11072-Sens!I11073-Sens!I11074-Sens!I11075-Sens!I11077</f>
        <v>91.1396415600972</v>
      </c>
      <c r="J11079" s="6" t="n">
        <f aca="false">Sens!J11078-Sens!J11072-Sens!J11073-Sens!J11074-Sens!J11075-Sens!J11077</f>
        <v>101.782384621868</v>
      </c>
      <c r="K11079" s="6" t="n">
        <f aca="false">Sens!K11078-Sens!K11072-Sens!K11073-Sens!K11074-Sens!K11075-Sens!K11077</f>
        <v>110.567668335077</v>
      </c>
    </row>
    <row r="11080" customFormat="false" ht="17.15" hidden="false" customHeight="false" outlineLevel="0" collapsed="false">
      <c r="A11080" s="0" t="s">
        <v>1065</v>
      </c>
      <c r="B11080" s="0" t="s">
        <v>98</v>
      </c>
      <c r="F11080" s="6" t="n">
        <f aca="false">Sens!F10997+Sens!F11071*Sens!F10972+sbc_r*Sens!F10972</f>
        <v>24.868961652174</v>
      </c>
      <c r="G11080" s="6" t="n">
        <f aca="false">Sens!G10997+Sens!G11071*Sens!G10972+sbc_r*Sens!G10972</f>
        <v>25.4156125538832</v>
      </c>
      <c r="H11080" s="6" t="n">
        <f aca="false">Sens!H10997+Sens!H11071*Sens!H10972+sbc_r*Sens!H10972</f>
        <v>26.2285813917976</v>
      </c>
      <c r="I11080" s="6" t="n">
        <f aca="false">Sens!I10997+Sens!I11071*Sens!I10972+sbc_r*Sens!I10972</f>
        <v>27.2811642769155</v>
      </c>
      <c r="J11080" s="6" t="n">
        <f aca="false">Sens!J10997+Sens!J11071*Sens!J10972+sbc_r*Sens!J10972</f>
        <v>28.5354116456329</v>
      </c>
      <c r="K11080" s="6" t="n">
        <f aca="false">Sens!K10997+Sens!K11071*Sens!K10972+sbc_r*Sens!K10972</f>
        <v>29.947804108363</v>
      </c>
    </row>
    <row r="11081" customFormat="false" ht="17.15" hidden="false" customHeight="false" outlineLevel="0" collapsed="false">
      <c r="A11081" s="0" t="s">
        <v>1066</v>
      </c>
      <c r="B11081" s="0" t="s">
        <v>98</v>
      </c>
      <c r="F11081" s="6" t="n">
        <f aca="false">(Sens!F11080-Sens!F11076)*Sens!F10968/(Sens!F10968+Sens!F10970)</f>
        <v>7.49422528871848</v>
      </c>
      <c r="G11081" s="6" t="n">
        <f aca="false">(Sens!G11080-Sens!G11076)*Sens!G10968/(Sens!G10968+Sens!G10970)</f>
        <v>7.08276638932129</v>
      </c>
      <c r="H11081" s="6" t="n">
        <f aca="false">(Sens!H11080-Sens!H11076)*Sens!H10968/(Sens!H10968+Sens!H10970)</f>
        <v>6.82906581367191</v>
      </c>
      <c r="I11081" s="6" t="n">
        <f aca="false">(Sens!I11080-Sens!I11076)*Sens!I10968/(Sens!I10968+Sens!I10970)</f>
        <v>6.71637438966807</v>
      </c>
      <c r="J11081" s="6" t="n">
        <f aca="false">(Sens!J11080-Sens!J11076)*Sens!J10968/(Sens!J10968+Sens!J10970)</f>
        <v>6.73184022162449</v>
      </c>
      <c r="K11081" s="6" t="n">
        <f aca="false">(Sens!K11080-Sens!K11076)*Sens!K10968/(Sens!K10968+Sens!K10970)</f>
        <v>6.86772533046603</v>
      </c>
    </row>
    <row r="11082" customFormat="false" ht="17.15" hidden="false" customHeight="false" outlineLevel="0" collapsed="false">
      <c r="A11082" s="0" t="s">
        <v>1067</v>
      </c>
      <c r="B11082" s="0" t="s">
        <v>98</v>
      </c>
      <c r="F11082" s="6" t="n">
        <f aca="false">Sens!F11080-Sens!F11076-Sens!F11081</f>
        <v>6.17662192186331</v>
      </c>
      <c r="G11082" s="6" t="n">
        <f aca="false">Sens!G11080-Sens!G11076-Sens!G11081</f>
        <v>6.07205362040974</v>
      </c>
      <c r="H11082" s="6" t="n">
        <f aca="false">Sens!H11080-Sens!H11076-Sens!H11081</f>
        <v>6.02823686087556</v>
      </c>
      <c r="I11082" s="6" t="n">
        <f aca="false">Sens!I11080-Sens!I11076-Sens!I11081</f>
        <v>6.04421850985194</v>
      </c>
      <c r="J11082" s="6" t="n">
        <f aca="false">Sens!J11080-Sens!J11076-Sens!J11081</f>
        <v>6.11623508729004</v>
      </c>
      <c r="K11082" s="6" t="n">
        <f aca="false">Sens!K11080-Sens!K11076-Sens!K11081</f>
        <v>6.23969394002203</v>
      </c>
    </row>
    <row r="11083" customFormat="false" ht="17.15" hidden="false" customHeight="false" outlineLevel="0" collapsed="false">
      <c r="A11083" s="0" t="s">
        <v>1068</v>
      </c>
      <c r="B11083" s="0" t="s">
        <v>98</v>
      </c>
      <c r="F11083" s="6" t="n">
        <f aca="false">Sens!F11077-tax_f*(Sens!F11077-Sens!F10946)-Sens!F10943</f>
        <v>-116.76960144409</v>
      </c>
      <c r="G11083" s="6" t="n">
        <f aca="false">Sens!G11077-tax_f*(Sens!G11077-Sens!G10946)-Sens!G10943</f>
        <v>-90.9151837745719</v>
      </c>
      <c r="H11083" s="6" t="n">
        <f aca="false">Sens!H11077-tax_f*(Sens!H11077-Sens!H10946)-Sens!H10943</f>
        <v>-48.1827825979002</v>
      </c>
      <c r="I11083" s="6" t="n">
        <f aca="false">Sens!I11077-tax_f*(Sens!I11077-Sens!I10946)-Sens!I10943</f>
        <v>14.5313309033143</v>
      </c>
      <c r="J11083" s="6" t="n">
        <f aca="false">Sens!J11077-tax_f*(Sens!J11077-Sens!J10946)-Sens!J10943</f>
        <v>80.7737840853365</v>
      </c>
      <c r="K11083" s="6" t="n">
        <f aca="false">Sens!K11077-tax_f*(Sens!K11077-Sens!K10946)-Sens!K10943</f>
        <v>106.770893136948</v>
      </c>
    </row>
    <row r="11084" customFormat="false" ht="17.15" hidden="false" customHeight="false" outlineLevel="0" collapsed="false">
      <c r="A11084" s="0" t="s">
        <v>1069</v>
      </c>
      <c r="B11084" s="0" t="s">
        <v>98</v>
      </c>
      <c r="F11084" s="6" t="n">
        <f aca="false">Sens!F11083*Sens!F11057</f>
        <v>-111.187240733938</v>
      </c>
      <c r="G11084" s="6" t="n">
        <f aca="false">Sens!G11083*Sens!G11057</f>
        <v>-78.4895583757677</v>
      </c>
      <c r="H11084" s="6" t="n">
        <f aca="false">Sens!H11083*Sens!H11057</f>
        <v>-37.7153073795308</v>
      </c>
      <c r="I11084" s="6" t="n">
        <f aca="false">Sens!I11083*Sens!I11057</f>
        <v>10.3129159083644</v>
      </c>
      <c r="J11084" s="6" t="n">
        <f aca="false">Sens!J11083*Sens!J11057</f>
        <v>51.9752782349489</v>
      </c>
      <c r="K11084" s="6" t="n">
        <f aca="false">Sens!K11083*Sens!K11057</f>
        <v>62.2916133237955</v>
      </c>
    </row>
    <row r="11085" customFormat="false" ht="17.15" hidden="false" customHeight="false" outlineLevel="0" collapsed="false">
      <c r="A11085" s="0" t="s">
        <v>1070</v>
      </c>
      <c r="B11085" s="0" t="s">
        <v>98</v>
      </c>
      <c r="C11085" s="6" t="n">
        <f aca="false">(Sens!K11077-Sens!K10946)*(1-tax_f)*(1+g_tv)*(1-g_tv/(wacc+ronic_prem))/(wacc-g_tv)/(1+wacc)^(Sens!K11056+mid_yr)</f>
        <v>456.417462721076</v>
      </c>
    </row>
    <row r="11086" customFormat="false" ht="17.15" hidden="false" customHeight="false" outlineLevel="0" collapsed="false">
      <c r="A11086" s="1" t="s">
        <v>1071</v>
      </c>
      <c r="B11086" s="0" t="s">
        <v>98</v>
      </c>
      <c r="C11086" s="6" t="n">
        <f aca="false">(SUM(Sens!F11084:K11084)+Sens!$C$11085)*(1+wacc)^t_roll</f>
        <v>402.662006612709</v>
      </c>
      <c r="L11086" s="11" t="s">
        <v>1072</v>
      </c>
    </row>
    <row r="11087" customFormat="false" ht="17.15" hidden="false" customHeight="false" outlineLevel="0" collapsed="false">
      <c r="A11087" s="1" t="s">
        <v>1073</v>
      </c>
      <c r="B11087" s="0" t="s">
        <v>98</v>
      </c>
      <c r="C11087" s="6" t="n">
        <f aca="false">(w_ntm28*Sens!G10935+(1-w_ntm28)*Sens!H10935)*m_ai</f>
        <v>551.711134531404</v>
      </c>
    </row>
    <row r="11088" customFormat="false" ht="17.15" hidden="false" customHeight="false" outlineLevel="0" collapsed="false">
      <c r="A11088" s="1" t="s">
        <v>1074</v>
      </c>
      <c r="B11088" s="0" t="s">
        <v>98</v>
      </c>
      <c r="C11088" s="6" t="n">
        <f aca="false">(w_ntm28*Sens!G11079+(1-w_ntm28)*Sens!H11079)*m_cloud</f>
        <v>982.764853374789</v>
      </c>
    </row>
    <row r="11089" customFormat="false" ht="17.15" hidden="false" customHeight="false" outlineLevel="0" collapsed="false">
      <c r="A11089" s="1" t="s">
        <v>1075</v>
      </c>
      <c r="B11089" s="0" t="s">
        <v>98</v>
      </c>
      <c r="C11089" s="6" t="n">
        <f aca="false">(w_ntm28*Sens!G11072+(1-w_ntm28)*Sens!H11072)*m_sw</f>
        <v>1124.90844188024</v>
      </c>
    </row>
    <row r="11090" customFormat="false" ht="17.15" hidden="false" customHeight="false" outlineLevel="0" collapsed="false">
      <c r="A11090" s="1" t="s">
        <v>1076</v>
      </c>
      <c r="B11090" s="0" t="s">
        <v>98</v>
      </c>
      <c r="C11090" s="6" t="n">
        <f aca="false">(w_ntm28*Sens!G11073+(1-w_ntm28)*Sens!H11073)*m_sw</f>
        <v>379.14616828134</v>
      </c>
    </row>
    <row r="11091" customFormat="false" ht="17.15" hidden="false" customHeight="false" outlineLevel="0" collapsed="false">
      <c r="A11091" s="1" t="s">
        <v>1077</v>
      </c>
      <c r="B11091" s="0" t="s">
        <v>98</v>
      </c>
      <c r="C11091" s="6" t="n">
        <f aca="false">(w_ntm28*Sens!G11074+(1-w_ntm28)*Sens!H11074)*m_sw</f>
        <v>109.062013245671</v>
      </c>
    </row>
    <row r="11092" customFormat="false" ht="17.15" hidden="false" customHeight="false" outlineLevel="0" collapsed="false">
      <c r="A11092" s="1" t="s">
        <v>1078</v>
      </c>
      <c r="B11092" s="0" t="s">
        <v>98</v>
      </c>
      <c r="C11092" s="6" t="n">
        <f aca="false">(w_ntm28*Sens!G11075+(1-w_ntm28)*Sens!H11075)*m_sw</f>
        <v>41.609111172448</v>
      </c>
    </row>
    <row r="11093" customFormat="false" ht="17.15" hidden="false" customHeight="false" outlineLevel="0" collapsed="false">
      <c r="A11093" s="1" t="s">
        <v>1079</v>
      </c>
      <c r="B11093" s="0" t="s">
        <v>98</v>
      </c>
      <c r="C11093" s="6" t="n">
        <f aca="false">(w_ntm28*Sens!G11076+(1-w_ntm28)*Sens!H11076)*m_ads</f>
        <v>114.966369190532</v>
      </c>
    </row>
    <row r="11094" customFormat="false" ht="17.15" hidden="false" customHeight="false" outlineLevel="0" collapsed="false">
      <c r="A11094" s="1" t="s">
        <v>1080</v>
      </c>
      <c r="B11094" s="0" t="s">
        <v>98</v>
      </c>
      <c r="C11094" s="6" t="n">
        <f aca="false">(w_ntm28*Sens!G11081+(1-w_ntm28)*Sens!H11081)*m_game</f>
        <v>88.4194487685983</v>
      </c>
    </row>
    <row r="11095" customFormat="false" ht="17.15" hidden="false" customHeight="false" outlineLevel="0" collapsed="false">
      <c r="A11095" s="1" t="s">
        <v>1081</v>
      </c>
      <c r="B11095" s="0" t="s">
        <v>98</v>
      </c>
      <c r="C11095" s="6" t="n">
        <f aca="false">(w_ntm28*Sens!G11082+(1-w_ntm28)*Sens!H11082)*m_pc</f>
        <v>87.6576422866872</v>
      </c>
    </row>
    <row r="11096" customFormat="false" ht="17.15" hidden="false" customHeight="false" outlineLevel="0" collapsed="false">
      <c r="A11096" s="1" t="s">
        <v>1082</v>
      </c>
      <c r="B11096" s="0" t="s">
        <v>98</v>
      </c>
      <c r="C11096" s="6" t="n">
        <f aca="false">Sens!$C$11086+Sens!$C$11088+Sens!$C$11089+Sens!$C$11090+Sens!$C$11091+Sens!$C$11092+Sens!$C$11093+Sens!$C$11094+Sens!$C$11095</f>
        <v>3331.19605481301</v>
      </c>
    </row>
    <row r="11097" customFormat="false" ht="17.15" hidden="false" customHeight="false" outlineLevel="0" collapsed="false">
      <c r="A11097" s="1" t="s">
        <v>1000</v>
      </c>
      <c r="B11097" s="0" t="s">
        <v>98</v>
      </c>
      <c r="C11097" s="6" t="n">
        <f aca="false">Sens!F11047+oai_v-Sens!F11036</f>
        <v>109.546093549419</v>
      </c>
      <c r="L11097" s="1" t="s">
        <v>1083</v>
      </c>
    </row>
    <row r="11098" customFormat="false" ht="15" hidden="false" customHeight="false" outlineLevel="0" collapsed="false">
      <c r="A11098" s="1" t="s">
        <v>1001</v>
      </c>
      <c r="B11098" s="0" t="s">
        <v>75</v>
      </c>
      <c r="C11098" s="5" t="n">
        <f aca="false">(Sens!$C$11096+Sens!$C$11097)/Sens!F11049</f>
        <v>460.484762896471</v>
      </c>
    </row>
    <row r="11099" customFormat="false" ht="17.15" hidden="false" customHeight="false" outlineLevel="0" collapsed="false">
      <c r="A11099" s="1" t="s">
        <v>1084</v>
      </c>
      <c r="B11099" s="0" t="s">
        <v>75</v>
      </c>
      <c r="C11099" s="5" t="n">
        <f aca="false">w_dcf*Sens!$C$11070+(1-w_dcf)*Sens!$C$11098</f>
        <v>415.600453887784</v>
      </c>
    </row>
    <row r="11100" customFormat="false" ht="17.15" hidden="false" customHeight="false" outlineLevel="0" collapsed="false">
      <c r="A11100" s="3" t="s">
        <v>1524</v>
      </c>
    </row>
    <row r="11101" customFormat="false" ht="15" hidden="false" customHeight="false" outlineLevel="0" collapsed="false">
      <c r="A11101" s="4" t="s">
        <v>43</v>
      </c>
      <c r="B11101" s="4" t="s">
        <v>65</v>
      </c>
      <c r="C11101" s="20" t="s">
        <v>788</v>
      </c>
      <c r="D11101" s="20" t="s">
        <v>789</v>
      </c>
      <c r="E11101" s="20" t="s">
        <v>790</v>
      </c>
      <c r="F11101" s="20" t="s">
        <v>791</v>
      </c>
      <c r="G11101" s="20" t="s">
        <v>792</v>
      </c>
      <c r="H11101" s="20" t="s">
        <v>793</v>
      </c>
      <c r="I11101" s="20" t="s">
        <v>794</v>
      </c>
      <c r="J11101" s="20" t="s">
        <v>795</v>
      </c>
      <c r="K11101" s="20" t="s">
        <v>796</v>
      </c>
      <c r="L11101" s="4" t="s">
        <v>47</v>
      </c>
    </row>
    <row r="11102" customFormat="false" ht="17.15" hidden="false" customHeight="false" outlineLevel="0" collapsed="false">
      <c r="A11102" s="1" t="s">
        <v>797</v>
      </c>
      <c r="B11102" s="1" t="s">
        <v>235</v>
      </c>
      <c r="C11102" s="28" t="n">
        <v>2024</v>
      </c>
      <c r="D11102" s="28" t="n">
        <v>2025</v>
      </c>
      <c r="E11102" s="28" t="n">
        <v>2026</v>
      </c>
      <c r="F11102" s="28" t="n">
        <v>2027</v>
      </c>
      <c r="G11102" s="28" t="n">
        <v>2028</v>
      </c>
      <c r="H11102" s="28" t="n">
        <v>2029</v>
      </c>
      <c r="I11102" s="28" t="n">
        <v>2030</v>
      </c>
      <c r="J11102" s="28" t="n">
        <v>2031</v>
      </c>
      <c r="K11102" s="28" t="n">
        <v>2032</v>
      </c>
    </row>
    <row r="11103" customFormat="false" ht="17.15" hidden="false" customHeight="false" outlineLevel="0" collapsed="false">
      <c r="A11103" s="1" t="s">
        <v>798</v>
      </c>
      <c r="B11103" s="0" t="s">
        <v>392</v>
      </c>
      <c r="F11103" s="29" t="n">
        <f aca="false">pace</f>
        <v>2527.2</v>
      </c>
      <c r="G11103" s="29" t="n">
        <f aca="false">pace</f>
        <v>2527.2</v>
      </c>
      <c r="H11103" s="29" t="n">
        <f aca="false">pace</f>
        <v>2527.2</v>
      </c>
      <c r="I11103" s="29" t="n">
        <f aca="false">pace+(g_tv*Sens!H11104-pace)*MIN(1,(Sens!I11102-pace_y0)/(pace_y1-pace_y0))</f>
        <v>1793.116</v>
      </c>
      <c r="J11103" s="29" t="n">
        <f aca="false">pace+(g_tv*Sens!H11104-pace)*MIN(1,(Sens!J11102-pace_y0)/(pace_y1-pace_y0))</f>
        <v>1059.032</v>
      </c>
      <c r="K11103" s="29" t="n">
        <f aca="false">pace+(g_tv*Sens!H11104-pace)*MIN(1,(Sens!K11102-pace_y0)/(pace_y1-pace_y0))</f>
        <v>324.948</v>
      </c>
      <c r="L11103" s="11" t="s">
        <v>799</v>
      </c>
    </row>
    <row r="11104" customFormat="false" ht="17.15" hidden="false" customHeight="false" outlineLevel="0" collapsed="false">
      <c r="A11104" s="1" t="s">
        <v>800</v>
      </c>
      <c r="B11104" s="0" t="s">
        <v>392</v>
      </c>
      <c r="C11104" s="29" t="n">
        <f aca="false">mw_ext_24</f>
        <v>640</v>
      </c>
      <c r="D11104" s="29" t="n">
        <f aca="false">mw_ext_25</f>
        <v>1630</v>
      </c>
      <c r="E11104" s="29" t="n">
        <f aca="false">mw_ext_26</f>
        <v>3250</v>
      </c>
      <c r="F11104" s="29" t="n">
        <f aca="false">Sens!E11104+Sens!F11103</f>
        <v>5777.2</v>
      </c>
      <c r="G11104" s="29" t="n">
        <f aca="false">Sens!F11104+Sens!G11103</f>
        <v>8304.4</v>
      </c>
      <c r="H11104" s="29" t="n">
        <f aca="false">Sens!G11104+Sens!H11103</f>
        <v>10831.6</v>
      </c>
      <c r="I11104" s="29" t="n">
        <f aca="false">Sens!H11104+Sens!I11103</f>
        <v>12624.716</v>
      </c>
      <c r="J11104" s="29" t="n">
        <f aca="false">Sens!I11104+Sens!J11103</f>
        <v>13683.748</v>
      </c>
      <c r="K11104" s="29" t="n">
        <f aca="false">Sens!J11104+Sens!K11103</f>
        <v>14008.696</v>
      </c>
      <c r="L11104" s="1" t="s">
        <v>801</v>
      </c>
    </row>
    <row r="11105" customFormat="false" ht="17.15" hidden="false" customHeight="false" outlineLevel="0" collapsed="false">
      <c r="A11105" s="1" t="s">
        <v>802</v>
      </c>
      <c r="B11105" s="0" t="s">
        <v>392</v>
      </c>
      <c r="C11105" s="29" t="n">
        <f aca="false">rent_ext_24</f>
        <v>150</v>
      </c>
      <c r="D11105" s="29" t="n">
        <f aca="false">rent_ext_25</f>
        <v>400</v>
      </c>
      <c r="E11105" s="29" t="n">
        <f aca="false">rent_ext_26</f>
        <v>550</v>
      </c>
      <c r="F11105" s="29" t="n">
        <f aca="false">rent_ext_f</f>
        <v>756</v>
      </c>
      <c r="G11105" s="29" t="n">
        <f aca="false">rent_ext_f</f>
        <v>756</v>
      </c>
      <c r="H11105" s="29" t="n">
        <f aca="false">rent_ext_f</f>
        <v>756</v>
      </c>
      <c r="I11105" s="29" t="n">
        <f aca="false">rent_ext_f</f>
        <v>756</v>
      </c>
      <c r="J11105" s="29" t="n">
        <f aca="false">rent_ext_f</f>
        <v>756</v>
      </c>
      <c r="K11105" s="29" t="n">
        <f aca="false">rent_ext_f</f>
        <v>756</v>
      </c>
      <c r="L11105" s="1" t="s">
        <v>803</v>
      </c>
    </row>
    <row r="11106" customFormat="false" ht="17.15" hidden="false" customHeight="false" outlineLevel="0" collapsed="false">
      <c r="A11106" s="1" t="s">
        <v>804</v>
      </c>
      <c r="B11106" s="0" t="s">
        <v>392</v>
      </c>
      <c r="C11106" s="29" t="n">
        <f aca="false">Sens!C11104-Sens!C11105</f>
        <v>490</v>
      </c>
      <c r="D11106" s="29" t="n">
        <f aca="false">Sens!D11104-Sens!D11105</f>
        <v>1230</v>
      </c>
      <c r="E11106" s="29" t="n">
        <f aca="false">Sens!E11104-Sens!E11105</f>
        <v>2700</v>
      </c>
      <c r="F11106" s="29" t="n">
        <f aca="false">Sens!F11104-Sens!F11105</f>
        <v>5021.2</v>
      </c>
      <c r="G11106" s="29" t="n">
        <f aca="false">Sens!G11104-Sens!G11105</f>
        <v>7548.4</v>
      </c>
      <c r="H11106" s="29" t="n">
        <f aca="false">Sens!H11104-Sens!H11105</f>
        <v>10075.6</v>
      </c>
      <c r="I11106" s="29" t="n">
        <f aca="false">Sens!I11104-Sens!I11105</f>
        <v>11868.716</v>
      </c>
      <c r="J11106" s="29" t="n">
        <f aca="false">Sens!J11104-Sens!J11105</f>
        <v>12927.748</v>
      </c>
      <c r="K11106" s="29" t="n">
        <f aca="false">Sens!K11104-Sens!K11105</f>
        <v>13252.696</v>
      </c>
    </row>
    <row r="11107" customFormat="false" ht="17.15" hidden="false" customHeight="false" outlineLevel="0" collapsed="false">
      <c r="A11107" s="1" t="s">
        <v>805</v>
      </c>
      <c r="B11107" s="0" t="s">
        <v>392</v>
      </c>
      <c r="C11107" s="29" t="n">
        <f aca="false">Sens!C11106/ext_sh</f>
        <v>816.666666666667</v>
      </c>
      <c r="D11107" s="29" t="n">
        <f aca="false">Sens!D11106/ext_sh</f>
        <v>2050</v>
      </c>
      <c r="E11107" s="29" t="n">
        <f aca="false">Sens!E11106/ext_sh</f>
        <v>4500</v>
      </c>
      <c r="F11107" s="29" t="n">
        <f aca="false">Sens!F11106/ext_sh</f>
        <v>8368.66666666667</v>
      </c>
      <c r="G11107" s="29" t="n">
        <f aca="false">Sens!G11106/ext_sh</f>
        <v>12580.6666666667</v>
      </c>
      <c r="H11107" s="29" t="n">
        <f aca="false">Sens!H11106/ext_sh</f>
        <v>16792.6666666667</v>
      </c>
      <c r="I11107" s="29" t="n">
        <f aca="false">Sens!I11106/ext_sh</f>
        <v>19781.1933333333</v>
      </c>
      <c r="J11107" s="29" t="n">
        <f aca="false">Sens!J11106/ext_sh</f>
        <v>21546.2466666667</v>
      </c>
      <c r="K11107" s="29" t="n">
        <f aca="false">Sens!K11106/ext_sh</f>
        <v>22087.8266666667</v>
      </c>
      <c r="L11107" s="1" t="s">
        <v>806</v>
      </c>
    </row>
    <row r="11108" customFormat="false" ht="17.15" hidden="false" customHeight="false" outlineLevel="0" collapsed="false">
      <c r="A11108" s="1" t="s">
        <v>807</v>
      </c>
      <c r="B11108" s="0" t="s">
        <v>392</v>
      </c>
      <c r="C11108" s="29" t="n">
        <f aca="false">Sens!C11107-Sens!C11106</f>
        <v>326.666666666667</v>
      </c>
      <c r="D11108" s="29" t="n">
        <f aca="false">Sens!D11107-Sens!D11106</f>
        <v>820</v>
      </c>
      <c r="E11108" s="29" t="n">
        <f aca="false">Sens!E11107-Sens!E11106</f>
        <v>1800</v>
      </c>
      <c r="F11108" s="29" t="n">
        <f aca="false">Sens!F11107-Sens!F11106</f>
        <v>3347.46666666667</v>
      </c>
      <c r="G11108" s="29" t="n">
        <f aca="false">Sens!G11107-Sens!G11106</f>
        <v>5032.26666666667</v>
      </c>
      <c r="H11108" s="29" t="n">
        <f aca="false">Sens!H11107-Sens!H11106</f>
        <v>6717.06666666667</v>
      </c>
      <c r="I11108" s="29" t="n">
        <f aca="false">Sens!I11107-Sens!I11106</f>
        <v>7912.47733333333</v>
      </c>
      <c r="J11108" s="29" t="n">
        <f aca="false">Sens!J11107-Sens!J11106</f>
        <v>8618.49866666667</v>
      </c>
      <c r="K11108" s="29" t="n">
        <f aca="false">Sens!K11107-Sens!K11106</f>
        <v>8835.13066666667</v>
      </c>
    </row>
    <row r="11109" customFormat="false" ht="17.15" hidden="false" customHeight="false" outlineLevel="0" collapsed="false">
      <c r="A11109" s="1" t="s">
        <v>808</v>
      </c>
      <c r="B11109" s="0" t="s">
        <v>392</v>
      </c>
      <c r="C11109" s="29" t="n">
        <f aca="false">Sens!C11107</f>
        <v>816.666666666667</v>
      </c>
      <c r="D11109" s="29" t="n">
        <f aca="false">Sens!D11107-Sens!C11107</f>
        <v>1233.33333333333</v>
      </c>
      <c r="E11109" s="29" t="n">
        <f aca="false">Sens!E11107-Sens!D11107</f>
        <v>2450</v>
      </c>
      <c r="F11109" s="29" t="n">
        <f aca="false">Sens!F11107-Sens!E11107</f>
        <v>3868.66666666667</v>
      </c>
      <c r="G11109" s="29" t="n">
        <f aca="false">Sens!G11107-Sens!F11107</f>
        <v>4212</v>
      </c>
      <c r="H11109" s="29" t="n">
        <f aca="false">Sens!H11107-Sens!G11107</f>
        <v>4212</v>
      </c>
      <c r="I11109" s="29" t="n">
        <f aca="false">Sens!I11107-Sens!H11107</f>
        <v>2988.52666666667</v>
      </c>
      <c r="J11109" s="29" t="n">
        <f aca="false">Sens!J11107-Sens!I11107</f>
        <v>1765.05333333333</v>
      </c>
      <c r="K11109" s="29" t="n">
        <f aca="false">Sens!K11107-Sens!J11107</f>
        <v>541.580000000002</v>
      </c>
    </row>
    <row r="11110" customFormat="false" ht="17.15" hidden="false" customHeight="false" outlineLevel="0" collapsed="false">
      <c r="A11110" s="1" t="s">
        <v>809</v>
      </c>
      <c r="B11110" s="0" t="s">
        <v>392</v>
      </c>
      <c r="D11110" s="29" t="n">
        <f aca="false">Sens!D11104-Sens!C11104</f>
        <v>990</v>
      </c>
      <c r="E11110" s="29" t="n">
        <f aca="false">Sens!E11104-Sens!D11104</f>
        <v>1620</v>
      </c>
      <c r="F11110" s="29" t="n">
        <f aca="false">Sens!F11104-Sens!E11104</f>
        <v>2527.2</v>
      </c>
      <c r="G11110" s="29" t="n">
        <f aca="false">Sens!G11104-Sens!F11104</f>
        <v>2527.2</v>
      </c>
      <c r="H11110" s="29" t="n">
        <f aca="false">Sens!H11104-Sens!G11104</f>
        <v>2527.2</v>
      </c>
      <c r="I11110" s="29" t="n">
        <f aca="false">Sens!I11104-Sens!H11104</f>
        <v>1793.116</v>
      </c>
      <c r="J11110" s="29" t="n">
        <f aca="false">Sens!J11104-Sens!I11104</f>
        <v>1059.032</v>
      </c>
      <c r="K11110" s="29" t="n">
        <f aca="false">Sens!K11104-Sens!J11104</f>
        <v>324.948</v>
      </c>
    </row>
    <row r="11111" customFormat="false" ht="17.15" hidden="false" customHeight="false" outlineLevel="0" collapsed="false">
      <c r="A11111" s="1" t="s">
        <v>810</v>
      </c>
      <c r="B11111" s="0" t="s">
        <v>392</v>
      </c>
      <c r="F11111" s="29" t="n">
        <f aca="false">Sens!F11128*ext_sh</f>
        <v>0</v>
      </c>
      <c r="G11111" s="29" t="n">
        <f aca="false">Sens!G11128*ext_sh</f>
        <v>0</v>
      </c>
      <c r="H11111" s="29" t="n">
        <f aca="false">Sens!H11128*ext_sh</f>
        <v>0</v>
      </c>
      <c r="I11111" s="29" t="n">
        <f aca="false">Sens!I11128*ext_sh</f>
        <v>490</v>
      </c>
      <c r="J11111" s="29" t="n">
        <f aca="false">Sens!J11128*ext_sh</f>
        <v>740</v>
      </c>
      <c r="K11111" s="29" t="n">
        <f aca="false">Sens!K11128*ext_sh</f>
        <v>1470</v>
      </c>
      <c r="L11111" s="1" t="s">
        <v>811</v>
      </c>
    </row>
    <row r="11112" customFormat="false" ht="17.15" hidden="false" customHeight="false" outlineLevel="0" collapsed="false">
      <c r="A11112" s="1" t="s">
        <v>812</v>
      </c>
      <c r="B11112" s="0" t="s">
        <v>392</v>
      </c>
      <c r="C11112" s="29" t="n">
        <f aca="false">mix_h*Sens!C11104</f>
        <v>128</v>
      </c>
      <c r="D11112" s="29" t="n">
        <f aca="false">mix_h*Sens!D11104</f>
        <v>326</v>
      </c>
      <c r="E11112" s="29" t="n">
        <f aca="false">mix_h*Sens!E11104</f>
        <v>650</v>
      </c>
      <c r="F11112" s="29" t="n">
        <f aca="false">Sens!E11112-Sens!F11111*mix_h</f>
        <v>650</v>
      </c>
      <c r="G11112" s="29" t="n">
        <f aca="false">Sens!F11112-Sens!G11111*mix_h</f>
        <v>650</v>
      </c>
      <c r="H11112" s="29" t="n">
        <f aca="false">Sens!G11112-Sens!H11111*mix_h</f>
        <v>650</v>
      </c>
      <c r="I11112" s="29" t="n">
        <f aca="false">Sens!H11112-Sens!I11111*mix_h</f>
        <v>552</v>
      </c>
      <c r="J11112" s="29" t="n">
        <f aca="false">Sens!I11112-Sens!J11111*mix_h</f>
        <v>404</v>
      </c>
      <c r="K11112" s="29" t="n">
        <f aca="false">Sens!J11112-Sens!K11111*mix_h</f>
        <v>110</v>
      </c>
    </row>
    <row r="11113" customFormat="false" ht="17.15" hidden="false" customHeight="false" outlineLevel="0" collapsed="false">
      <c r="A11113" s="1" t="s">
        <v>813</v>
      </c>
      <c r="B11113" s="0" t="s">
        <v>392</v>
      </c>
      <c r="C11113" s="29" t="n">
        <f aca="false">mix_g2*Sens!C11104</f>
        <v>288</v>
      </c>
      <c r="D11113" s="29" t="n">
        <f aca="false">mix_g2*Sens!D11104</f>
        <v>733.5</v>
      </c>
      <c r="E11113" s="29" t="n">
        <f aca="false">mix_g2*Sens!E11104</f>
        <v>1462.5</v>
      </c>
      <c r="F11113" s="29" t="n">
        <f aca="false">Sens!E11113-Sens!F11111*mix_g2</f>
        <v>1462.5</v>
      </c>
      <c r="G11113" s="29" t="n">
        <f aca="false">Sens!F11113-Sens!G11111*mix_g2</f>
        <v>1462.5</v>
      </c>
      <c r="H11113" s="29" t="n">
        <f aca="false">Sens!G11113-Sens!H11111*mix_g2</f>
        <v>1462.5</v>
      </c>
      <c r="I11113" s="29" t="n">
        <f aca="false">Sens!H11113-Sens!I11111*mix_g2</f>
        <v>1242</v>
      </c>
      <c r="J11113" s="29" t="n">
        <f aca="false">Sens!I11113-Sens!J11111*mix_g2</f>
        <v>909</v>
      </c>
      <c r="K11113" s="29" t="n">
        <f aca="false">Sens!J11113-Sens!K11111*mix_g2</f>
        <v>247.5</v>
      </c>
    </row>
    <row r="11114" customFormat="false" ht="17.15" hidden="false" customHeight="false" outlineLevel="0" collapsed="false">
      <c r="A11114" s="1" t="s">
        <v>814</v>
      </c>
      <c r="B11114" s="0" t="s">
        <v>392</v>
      </c>
      <c r="C11114" s="29" t="n">
        <f aca="false">mix_g3*Sens!C11104</f>
        <v>224</v>
      </c>
      <c r="D11114" s="29" t="n">
        <f aca="false">mix_g3*Sens!D11104</f>
        <v>570.5</v>
      </c>
      <c r="E11114" s="29" t="n">
        <f aca="false">mix_g3*Sens!E11104</f>
        <v>1137.5</v>
      </c>
      <c r="F11114" s="29" t="n">
        <f aca="false">Sens!E11114+(Sens!F11110+Sens!F11111)*a_g3_27-Sens!F11111*mix_g3</f>
        <v>2906.54</v>
      </c>
      <c r="G11114" s="29" t="n">
        <f aca="false">Sens!F11114+(Sens!G11110+Sens!G11111)*a_g3_28-Sens!G11111*mix_g3</f>
        <v>3664.7</v>
      </c>
      <c r="H11114" s="29" t="n">
        <f aca="false">Sens!G11114+(Sens!H11110+Sens!H11111)*a_g3_29-Sens!H11111*mix_g3</f>
        <v>3917.42</v>
      </c>
      <c r="I11114" s="29" t="n">
        <f aca="false">Sens!H11114+(Sens!I11110+Sens!I11111)*a_g3_29-Sens!I11111*mix_g3</f>
        <v>3974.2316</v>
      </c>
      <c r="J11114" s="29" t="n">
        <f aca="false">Sens!I11114+(Sens!J11110+Sens!J11111)*a_g3_29-Sens!J11111*mix_g3</f>
        <v>3895.1348</v>
      </c>
      <c r="K11114" s="29" t="n">
        <f aca="false">Sens!J11114+(Sens!K11110+Sens!K11111)*a_g3_29-Sens!K11111*mix_g3</f>
        <v>3560.1296</v>
      </c>
    </row>
    <row r="11115" customFormat="false" ht="17.15" hidden="false" customHeight="false" outlineLevel="0" collapsed="false">
      <c r="A11115" s="1" t="s">
        <v>815</v>
      </c>
      <c r="B11115" s="0" t="s">
        <v>392</v>
      </c>
      <c r="C11115" s="29" t="n">
        <v>0</v>
      </c>
      <c r="D11115" s="29" t="n">
        <v>0</v>
      </c>
      <c r="E11115" s="29" t="n">
        <v>0</v>
      </c>
      <c r="F11115" s="29" t="n">
        <f aca="false">Sens!E11115+(Sens!F11110+Sens!F11111)*(1-a_g3_27)</f>
        <v>758.16</v>
      </c>
      <c r="G11115" s="29" t="n">
        <f aca="false">Sens!F11115+(Sens!G11110+Sens!G11111)*(1-a_g3_28)</f>
        <v>2527.2</v>
      </c>
      <c r="H11115" s="29" t="n">
        <f aca="false">Sens!G11115+(Sens!H11110+Sens!H11111)*(1-a_g3_29)</f>
        <v>4801.68</v>
      </c>
      <c r="I11115" s="29" t="n">
        <f aca="false">Sens!H11115+(Sens!I11110+Sens!I11111)*(1-a_g3_29)</f>
        <v>6856.4844</v>
      </c>
      <c r="J11115" s="29" t="n">
        <f aca="false">Sens!I11115+(Sens!J11110+Sens!J11111)*(1-a_g3_29)</f>
        <v>8475.6132</v>
      </c>
      <c r="K11115" s="29" t="n">
        <f aca="false">Sens!J11115+(Sens!K11110+Sens!K11111)*(1-a_g3_29)</f>
        <v>10091.0664</v>
      </c>
    </row>
    <row r="11116" customFormat="false" ht="17.15" hidden="false" customHeight="false" outlineLevel="0" collapsed="false">
      <c r="A11116" s="1" t="s">
        <v>816</v>
      </c>
      <c r="B11116" s="0" t="s">
        <v>339</v>
      </c>
      <c r="C11116" s="14" t="n">
        <f aca="false">(Sens!C11112*tk_hold_h100+Sens!C11113*tk_hold_gb200+Sens!C11114*tk_hold_gb300+Sens!C11115*tk_hold_vr200)/Sens!C11104</f>
        <v>9.7235358126469</v>
      </c>
      <c r="D11116" s="14" t="n">
        <f aca="false">(Sens!D11112*tk_hold_h100+Sens!D11113*tk_hold_gb200+Sens!D11114*tk_hold_gb300+Sens!D11115*tk_hold_vr200)/Sens!D11104</f>
        <v>9.7235358126469</v>
      </c>
      <c r="E11116" s="14" t="n">
        <f aca="false">(Sens!E11112*tk_hold_h100+Sens!E11113*tk_hold_gb200+Sens!E11114*tk_hold_gb300+Sens!E11115*tk_hold_vr200)/Sens!E11104</f>
        <v>9.7235358126469</v>
      </c>
      <c r="F11116" s="14" t="n">
        <f aca="false">(Sens!F11112*tk_hold_h100+Sens!F11113*tk_hold_gb200+Sens!F11114*tk_hold_gb300+Sens!F11115*tk_hold_vr200)/Sens!F11104</f>
        <v>10.4079573161931</v>
      </c>
      <c r="G11116" s="14" t="n">
        <f aca="false">(Sens!G11112*tk_hold_h100+Sens!G11113*tk_hold_gb200+Sens!G11114*tk_hold_gb300+Sens!G11115*tk_hold_vr200)/Sens!G11104</f>
        <v>10.8388131109316</v>
      </c>
      <c r="H11116" s="14" t="n">
        <f aca="false">(Sens!H11112*tk_hold_h100+Sens!H11113*tk_hold_gb200+Sens!H11114*tk_hold_gb300+Sens!H11115*tk_hold_vr200)/Sens!H11104</f>
        <v>11.1311018388216</v>
      </c>
      <c r="I11116" s="14" t="n">
        <f aca="false">(Sens!I11112*tk_hold_h100+Sens!I11113*tk_hold_gb200+Sens!I11114*tk_hold_gb300+Sens!I11115*tk_hold_vr200)/Sens!I11104</f>
        <v>11.3594282560989</v>
      </c>
      <c r="J11116" s="14" t="n">
        <f aca="false">(Sens!J11112*tk_hold_h100+Sens!J11113*tk_hold_gb200+Sens!J11114*tk_hold_gb300+Sens!J11115*tk_hold_vr200)/Sens!J11104</f>
        <v>11.5441508808221</v>
      </c>
      <c r="K11116" s="14" t="n">
        <f aca="false">(Sens!K11112*tk_hold_h100+Sens!K11113*tk_hold_gb200+Sens!K11114*tk_hold_gb300+Sens!K11115*tk_hold_vr200)/Sens!K11104</f>
        <v>11.8053375063575</v>
      </c>
    </row>
    <row r="11117" customFormat="false" ht="17.15" hidden="false" customHeight="false" outlineLevel="0" collapsed="false">
      <c r="A11117" s="0" t="s">
        <v>817</v>
      </c>
      <c r="B11117" s="0" t="s">
        <v>185</v>
      </c>
      <c r="C11117" s="14" t="n">
        <f aca="false">k_B</f>
        <v>1.17213932619116</v>
      </c>
      <c r="D11117" s="14" t="n">
        <f aca="false">k_B</f>
        <v>1.17213932619116</v>
      </c>
      <c r="E11117" s="14" t="n">
        <f aca="false">k_B</f>
        <v>1.17213932619116</v>
      </c>
      <c r="F11117" s="14" t="n">
        <f aca="false">(k_B+((ls_B*k_long+(1-ls_B)*k_spot)-k_B)*MIN(1,(Sens!F11102-base_fy)/k_ramp))</f>
        <v>1.17213932619116</v>
      </c>
      <c r="G11117" s="14" t="n">
        <f aca="false">(k_B+((ls_B*k_long+(1-ls_B)*k_spot)-k_B)*MIN(1,(Sens!G11102-base_fy)/k_ramp))</f>
        <v>1.17213932619116</v>
      </c>
      <c r="H11117" s="14" t="n">
        <f aca="false">(k_B+((ls_B*k_long+(1-ls_B)*k_spot)-k_B)*MIN(1,(Sens!H11102-base_fy)/k_ramp))</f>
        <v>1.17213932619116</v>
      </c>
      <c r="I11117" s="14" t="n">
        <f aca="false">(k_B+((ls_B*k_long+(1-ls_B)*k_spot)-k_B)*MIN(1,(Sens!I11102-base_fy)/k_ramp))</f>
        <v>1.17213932619116</v>
      </c>
      <c r="J11117" s="14" t="n">
        <f aca="false">(k_B+((ls_B*k_long+(1-ls_B)*k_spot)-k_B)*MIN(1,(Sens!J11102-base_fy)/k_ramp))</f>
        <v>1.17213932619116</v>
      </c>
      <c r="K11117" s="14" t="n">
        <f aca="false">(k_B+((ls_B*k_long+(1-ls_B)*k_spot)-k_B)*MIN(1,(Sens!K11102-base_fy)/k_ramp))</f>
        <v>1.17213932619116</v>
      </c>
      <c r="L11117" s="1" t="s">
        <v>818</v>
      </c>
    </row>
    <row r="11118" customFormat="false" ht="17.15" hidden="false" customHeight="false" outlineLevel="0" collapsed="false">
      <c r="A11118" s="1" t="s">
        <v>819</v>
      </c>
      <c r="B11118" s="0" t="s">
        <v>339</v>
      </c>
      <c r="C11118" s="14" t="n">
        <f aca="false">Sens!C11116*Sens!C11117*chip_f</f>
        <v>11.3973387156315</v>
      </c>
      <c r="D11118" s="14" t="n">
        <f aca="false">Sens!D11116*Sens!D11117*chip_f</f>
        <v>11.3973387156315</v>
      </c>
      <c r="E11118" s="14" t="n">
        <f aca="false">Sens!E11116*Sens!E11117*chip_f</f>
        <v>11.3973387156315</v>
      </c>
      <c r="F11118" s="14" t="n">
        <f aca="false">Sens!F11116*Sens!F11117*chip_f</f>
        <v>12.1995760756289</v>
      </c>
      <c r="G11118" s="14" t="n">
        <f aca="false">Sens!G11116*Sens!G11117*chip_f</f>
        <v>12.7045990965592</v>
      </c>
      <c r="H11118" s="14" t="n">
        <f aca="false">Sens!H11116*Sens!H11117*chip_f</f>
        <v>13.0472022091214</v>
      </c>
      <c r="I11118" s="14" t="n">
        <f aca="false">Sens!I11116*Sens!I11117*chip_f</f>
        <v>13.3148325820205</v>
      </c>
      <c r="J11118" s="14" t="n">
        <f aca="false">Sens!J11116*Sens!J11117*chip_f</f>
        <v>13.5313532348958</v>
      </c>
      <c r="K11118" s="14" t="n">
        <f aca="false">Sens!K11116*Sens!K11117*chip_f</f>
        <v>13.8375003501611</v>
      </c>
      <c r="L11118" s="1" t="s">
        <v>820</v>
      </c>
    </row>
    <row r="11119" customFormat="false" ht="17.15" hidden="false" customHeight="false" outlineLevel="0" collapsed="false">
      <c r="A11119" s="0" t="s">
        <v>821</v>
      </c>
      <c r="B11119" s="0" t="s">
        <v>98</v>
      </c>
      <c r="D11119" s="6" t="n">
        <f aca="false">(Sens!C11104+Sens!D11104)/2*Sens!D11118/1000</f>
        <v>12.9359794422418</v>
      </c>
      <c r="E11119" s="6" t="n">
        <f aca="false">(Sens!D11104+Sens!E11104)/2*Sens!E11118/1000</f>
        <v>27.8095064661409</v>
      </c>
      <c r="F11119" s="6" t="n">
        <f aca="false">(Sens!E11104+Sens!F11104)/2*Sens!F11118/1000</f>
        <v>55.0640065749585</v>
      </c>
      <c r="G11119" s="6" t="n">
        <f aca="false">(Sens!F11104+Sens!G11104)/2*Sens!G11118/1000</f>
        <v>89.4505413190538</v>
      </c>
      <c r="H11119" s="6" t="n">
        <f aca="false">(Sens!G11104+Sens!H11104)/2*Sens!H11118/1000</f>
        <v>124.835630736874</v>
      </c>
      <c r="I11119" s="6" t="n">
        <f aca="false">(Sens!H11104+Sens!I11104)/2*Sens!I11118/1000</f>
        <v>156.158460265485</v>
      </c>
      <c r="J11119" s="6" t="n">
        <f aca="false">(Sens!I11104+Sens!J11104)/2*Sens!J11118/1000</f>
        <v>177.99455972577</v>
      </c>
      <c r="K11119" s="6" t="n">
        <f aca="false">(Sens!J11104+Sens!K11104)/2*Sens!K11118/1000</f>
        <v>191.597101773408</v>
      </c>
      <c r="L11119" s="11" t="s">
        <v>822</v>
      </c>
    </row>
    <row r="11120" customFormat="false" ht="17.15" hidden="false" customHeight="false" outlineLevel="0" collapsed="false">
      <c r="A11120" s="1" t="s">
        <v>823</v>
      </c>
      <c r="B11120" s="0" t="s">
        <v>339</v>
      </c>
      <c r="C11120" s="14" t="n">
        <f aca="false">(Sens!C11112*tk_opex_h100+Sens!C11113*tk_opex_gb200+Sens!C11114*tk_opex_gb300+Sens!C11115*tk_opex_vr200)/Sens!C11104</f>
        <v>1.88636041306092</v>
      </c>
      <c r="D11120" s="14" t="n">
        <f aca="false">(Sens!D11112*tk_opex_h100+Sens!D11113*tk_opex_gb200+Sens!D11114*tk_opex_gb300+Sens!D11115*tk_opex_vr200)/Sens!D11104</f>
        <v>1.88636041306092</v>
      </c>
      <c r="E11120" s="14" t="n">
        <f aca="false">(Sens!E11112*tk_opex_h100+Sens!E11113*tk_opex_gb200+Sens!E11114*tk_opex_gb300+Sens!E11115*tk_opex_vr200)/Sens!E11104</f>
        <v>1.88636041306092</v>
      </c>
      <c r="F11120" s="14" t="n">
        <f aca="false">(Sens!F11112*tk_opex_h100+Sens!F11113*tk_opex_gb200+Sens!F11114*tk_opex_gb300+Sens!F11115*tk_opex_vr200)/Sens!F11104</f>
        <v>1.9430236476499</v>
      </c>
      <c r="G11120" s="14" t="n">
        <f aca="false">(Sens!G11112*tk_opex_h100+Sens!G11113*tk_opex_gb200+Sens!G11114*tk_opex_gb300+Sens!G11115*tk_opex_vr200)/Sens!G11104</f>
        <v>1.9786941852423</v>
      </c>
      <c r="H11120" s="14" t="n">
        <f aca="false">(Sens!H11112*tk_opex_h100+Sens!H11113*tk_opex_gb200+Sens!H11114*tk_opex_gb300+Sens!H11115*tk_opex_vr200)/Sens!H11104</f>
        <v>2.00289275976156</v>
      </c>
      <c r="I11120" s="14" t="n">
        <f aca="false">(Sens!I11112*tk_opex_h100+Sens!I11113*tk_opex_gb200+Sens!I11114*tk_opex_gb300+Sens!I11115*tk_opex_vr200)/Sens!I11104</f>
        <v>2.02179589661219</v>
      </c>
      <c r="J11120" s="14" t="n">
        <f aca="false">(Sens!J11112*tk_opex_h100+Sens!J11113*tk_opex_gb200+Sens!J11114*tk_opex_gb300+Sens!J11115*tk_opex_vr200)/Sens!J11104</f>
        <v>2.03708907685909</v>
      </c>
      <c r="K11120" s="14" t="n">
        <f aca="false">(Sens!K11112*tk_opex_h100+Sens!K11113*tk_opex_gb200+Sens!K11114*tk_opex_gb300+Sens!K11115*tk_opex_vr200)/Sens!K11104</f>
        <v>2.05871270931005</v>
      </c>
    </row>
    <row r="11121" customFormat="false" ht="17.15" hidden="false" customHeight="false" outlineLevel="0" collapsed="false">
      <c r="A11121" s="0" t="s">
        <v>824</v>
      </c>
      <c r="B11121" s="0" t="s">
        <v>98</v>
      </c>
      <c r="D11121" s="6" t="n">
        <f aca="false">(Sens!C11107+Sens!D11107)/2*Sens!D11120/1000</f>
        <v>2.70378325872065</v>
      </c>
      <c r="E11121" s="6" t="n">
        <f aca="false">(Sens!D11107+Sens!E11107)/2*Sens!E11120/1000</f>
        <v>6.17783035277451</v>
      </c>
      <c r="F11121" s="6" t="n">
        <f aca="false">(Sens!E11107+Sens!F11107)/2*Sens!F11120/1000</f>
        <v>12.5020618235287</v>
      </c>
      <c r="G11121" s="6" t="n">
        <f aca="false">(Sens!F11107+Sens!G11107)/2*Sens!G11120/1000</f>
        <v>20.7261620256847</v>
      </c>
      <c r="H11121" s="6" t="n">
        <f aca="false">(Sens!G11107+Sens!H11107)/2*Sens!H11120/1000</f>
        <v>29.4158183316982</v>
      </c>
      <c r="I11121" s="6" t="n">
        <f aca="false">(Sens!H11107+Sens!I11107)/2*Sens!I11120/1000</f>
        <v>36.9724400356344</v>
      </c>
      <c r="J11121" s="6" t="n">
        <f aca="false">(Sens!I11107+Sens!J11107)/2*Sens!J11120/1000</f>
        <v>42.0938382992747</v>
      </c>
      <c r="K11121" s="6" t="n">
        <f aca="false">(Sens!J11107+Sens!K11107)/2*Sens!K11120/1000</f>
        <v>44.9150106651501</v>
      </c>
    </row>
    <row r="11122" customFormat="false" ht="17.15" hidden="false" customHeight="false" outlineLevel="0" collapsed="false">
      <c r="A11122" s="0" t="s">
        <v>825</v>
      </c>
      <c r="B11122" s="0" t="s">
        <v>98</v>
      </c>
      <c r="D11122" s="6" t="n">
        <f aca="false">(Sens!C11105+Sens!D11105)/2*rent_mw/1000</f>
        <v>2.44475</v>
      </c>
      <c r="E11122" s="6" t="n">
        <f aca="false">(Sens!D11105+Sens!E11105)/2*rent_mw/1000</f>
        <v>4.22275</v>
      </c>
      <c r="F11122" s="6" t="n">
        <f aca="false">(Sens!E11105+Sens!F11105)/2*rent_mw/1000</f>
        <v>5.80517</v>
      </c>
      <c r="G11122" s="6" t="n">
        <f aca="false">(Sens!F11105+Sens!G11105)/2*rent_mw/1000</f>
        <v>6.72084</v>
      </c>
      <c r="H11122" s="6" t="n">
        <f aca="false">(Sens!G11105+Sens!H11105)/2*rent_mw/1000</f>
        <v>6.72084</v>
      </c>
      <c r="I11122" s="6" t="n">
        <f aca="false">(Sens!H11105+Sens!I11105)/2*rent_mw/1000</f>
        <v>6.72084</v>
      </c>
      <c r="J11122" s="6" t="n">
        <f aca="false">(Sens!I11105+Sens!J11105)/2*rent_mw/1000</f>
        <v>6.72084</v>
      </c>
      <c r="K11122" s="6" t="n">
        <f aca="false">(Sens!J11105+Sens!K11105)/2*rent_mw/1000</f>
        <v>6.72084</v>
      </c>
    </row>
    <row r="11123" customFormat="false" ht="17.15" hidden="false" customHeight="false" outlineLevel="0" collapsed="false">
      <c r="A11123" s="0" t="s">
        <v>826</v>
      </c>
      <c r="B11123" s="0" t="s">
        <v>98</v>
      </c>
      <c r="D11123" s="6" t="n">
        <f aca="false">(Sens!C11107+Sens!D11107)/2*(1-self_build)*fac_rent/1000</f>
        <v>0.853242375631075</v>
      </c>
      <c r="E11123" s="6" t="n">
        <f aca="false">(Sens!D11107+Sens!E11107)/2*(1-self_build)*fac_rent/1000</f>
        <v>1.94955961408728</v>
      </c>
      <c r="F11123" s="6" t="n">
        <f aca="false">(Sens!E11107+Sens!F11107)/2*(1-self_build)*fac_rent/1000</f>
        <v>3.83026455274573</v>
      </c>
      <c r="G11123" s="6" t="n">
        <f aca="false">(Sens!F11107+Sens!G11107)/2*(1-self_build)*fac_rent/1000</f>
        <v>6.23541590972812</v>
      </c>
      <c r="H11123" s="6" t="n">
        <f aca="false">(Sens!G11107+Sens!H11107)/2*(1-self_build)*fac_rent/1000</f>
        <v>8.74275792332679</v>
      </c>
      <c r="I11123" s="6" t="n">
        <f aca="false">(Sens!H11107+Sens!I11107)/2*(1-self_build)*fac_rent/1000</f>
        <v>10.8859420438599</v>
      </c>
      <c r="J11123" s="6" t="n">
        <f aca="false">(Sens!I11107+Sens!J11107)/2*(1-self_build)*fac_rent/1000</f>
        <v>12.3008103782619</v>
      </c>
      <c r="K11123" s="6" t="n">
        <f aca="false">(Sens!J11107+Sens!K11107)/2*(1-self_build)*fac_rent/1000</f>
        <v>12.9873629265328</v>
      </c>
      <c r="L11123" s="11" t="s">
        <v>827</v>
      </c>
    </row>
    <row r="11124" customFormat="false" ht="17.15" hidden="false" customHeight="false" outlineLevel="0" collapsed="false">
      <c r="A11124" s="1" t="s">
        <v>828</v>
      </c>
      <c r="B11124" s="0" t="s">
        <v>129</v>
      </c>
      <c r="D11124" s="7" t="n">
        <f aca="false">(Sens!C11106+Sens!D11106)/(Sens!C11107+Sens!D11107)</f>
        <v>0.6</v>
      </c>
      <c r="E11124" s="7" t="n">
        <f aca="false">(Sens!D11106+Sens!E11106)/(Sens!D11107+Sens!E11107)</f>
        <v>0.6</v>
      </c>
      <c r="F11124" s="7" t="n">
        <f aca="false">(Sens!E11106+Sens!F11106)/(Sens!E11107+Sens!F11107)</f>
        <v>0.6</v>
      </c>
      <c r="G11124" s="7" t="n">
        <f aca="false">(Sens!F11106+Sens!G11106)/(Sens!F11107+Sens!G11107)</f>
        <v>0.6</v>
      </c>
      <c r="H11124" s="7" t="n">
        <f aca="false">(Sens!G11106+Sens!H11106)/(Sens!G11107+Sens!H11107)</f>
        <v>0.6</v>
      </c>
      <c r="I11124" s="7" t="n">
        <f aca="false">(Sens!H11106+Sens!I11106)/(Sens!H11107+Sens!I11107)</f>
        <v>0.6</v>
      </c>
      <c r="J11124" s="7" t="n">
        <f aca="false">(Sens!I11106+Sens!J11106)/(Sens!I11107+Sens!J11107)</f>
        <v>0.6</v>
      </c>
      <c r="K11124" s="7" t="n">
        <f aca="false">(Sens!J11106+Sens!K11106)/(Sens!J11107+Sens!K11107)</f>
        <v>0.6</v>
      </c>
    </row>
    <row r="11125" customFormat="false" ht="17.15" hidden="false" customHeight="false" outlineLevel="0" collapsed="false">
      <c r="A11125" s="0" t="s">
        <v>829</v>
      </c>
      <c r="B11125" s="0" t="s">
        <v>98</v>
      </c>
      <c r="D11125" s="6" t="n">
        <f aca="false">Sens!D11119-Sens!D11124*(Sens!D11121+Sens!D11123)-Sens!D11122</f>
        <v>8.35701406163072</v>
      </c>
      <c r="E11125" s="6" t="n">
        <f aca="false">Sens!E11119-Sens!E11124*(Sens!E11121+Sens!E11123)-Sens!E11122</f>
        <v>18.7103224860238</v>
      </c>
      <c r="F11125" s="6" t="n">
        <f aca="false">Sens!F11119-Sens!F11124*(Sens!F11121+Sens!F11123)-Sens!F11122</f>
        <v>39.4594407491938</v>
      </c>
      <c r="G11125" s="6" t="n">
        <f aca="false">Sens!G11119-Sens!G11124*(Sens!G11121+Sens!G11123)-Sens!G11122</f>
        <v>66.5527545578061</v>
      </c>
      <c r="H11125" s="6" t="n">
        <f aca="false">Sens!H11119-Sens!H11124*(Sens!H11121+Sens!H11123)-Sens!H11122</f>
        <v>95.219644983859</v>
      </c>
      <c r="I11125" s="6" t="n">
        <f aca="false">Sens!I11119-Sens!I11124*(Sens!I11121+Sens!I11123)-Sens!I11122</f>
        <v>120.722591017788</v>
      </c>
      <c r="J11125" s="6" t="n">
        <f aca="false">Sens!J11119-Sens!J11124*(Sens!J11121+Sens!J11123)-Sens!J11122</f>
        <v>138.636930519248</v>
      </c>
      <c r="K11125" s="6" t="n">
        <f aca="false">Sens!K11119-Sens!K11124*(Sens!K11121+Sens!K11123)-Sens!K11122</f>
        <v>150.134837618398</v>
      </c>
    </row>
    <row r="11126" customFormat="false" ht="17.15" hidden="false" customHeight="false" outlineLevel="0" collapsed="false">
      <c r="A11126" s="1" t="s">
        <v>830</v>
      </c>
      <c r="B11126" s="0" t="s">
        <v>98</v>
      </c>
      <c r="D11126" s="6" t="n">
        <f aca="false">(1-Sens!D11124)*(Sens!D11121+Sens!D11123)</f>
        <v>1.42281025374069</v>
      </c>
      <c r="E11126" s="6" t="n">
        <f aca="false">(1-Sens!E11124)*(Sens!E11121+Sens!E11123)</f>
        <v>3.25095598674472</v>
      </c>
      <c r="F11126" s="6" t="n">
        <f aca="false">(1-Sens!F11124)*(Sens!F11121+Sens!F11123)</f>
        <v>6.53293055050977</v>
      </c>
      <c r="G11126" s="6" t="n">
        <f aca="false">(1-Sens!G11124)*(Sens!G11121+Sens!G11123)</f>
        <v>10.7846311741651</v>
      </c>
      <c r="H11126" s="6" t="n">
        <f aca="false">(1-Sens!H11124)*(Sens!H11121+Sens!H11123)</f>
        <v>15.26343050201</v>
      </c>
      <c r="I11126" s="6" t="n">
        <f aca="false">(1-Sens!I11124)*(Sens!I11121+Sens!I11123)</f>
        <v>19.1433528317977</v>
      </c>
      <c r="J11126" s="6" t="n">
        <f aca="false">(1-Sens!J11124)*(Sens!J11121+Sens!J11123)</f>
        <v>21.7578594710146</v>
      </c>
      <c r="K11126" s="6" t="n">
        <f aca="false">(1-Sens!K11124)*(Sens!K11121+Sens!K11123)</f>
        <v>23.1609494366731</v>
      </c>
    </row>
    <row r="11127" customFormat="false" ht="17.15" hidden="false" customHeight="false" outlineLevel="0" collapsed="false">
      <c r="A11127" s="1" t="s">
        <v>831</v>
      </c>
      <c r="B11127" s="0" t="s">
        <v>350</v>
      </c>
      <c r="C11127" s="8" t="n">
        <f aca="false">cxit_open</f>
        <v>27.5918995</v>
      </c>
      <c r="D11127" s="8" t="n">
        <f aca="false">cxit_open</f>
        <v>27.5918995</v>
      </c>
      <c r="E11127" s="8" t="n">
        <f aca="false">cxit_open</f>
        <v>27.5918995</v>
      </c>
      <c r="F11127" s="8" t="n">
        <f aca="false">(a_g3_27*tk_cxit_gb300+(1-a_g3_27)*tk_cxit_vr200)</f>
        <v>33.8419624</v>
      </c>
      <c r="G11127" s="8" t="n">
        <f aca="false">(a_g3_28*tk_cxit_gb300+(1-a_g3_28)*tk_cxit_vr200)</f>
        <v>35.9816136</v>
      </c>
      <c r="H11127" s="8" t="n">
        <f aca="false">(a_g3_29*tk_cxit_gb300+(1-a_g3_29)*tk_cxit_vr200)</f>
        <v>37.0514392</v>
      </c>
      <c r="I11127" s="8" t="n">
        <f aca="false">(a_g3_29*tk_cxit_gb300+(1-a_g3_29)*tk_cxit_vr200)</f>
        <v>37.0514392</v>
      </c>
      <c r="J11127" s="8" t="n">
        <f aca="false">(a_g3_29*tk_cxit_gb300+(1-a_g3_29)*tk_cxit_vr200)</f>
        <v>37.0514392</v>
      </c>
      <c r="K11127" s="8" t="n">
        <f aca="false">(a_g3_29*tk_cxit_gb300+(1-a_g3_29)*tk_cxit_vr200)</f>
        <v>37.0514392</v>
      </c>
      <c r="L11127" s="11" t="s">
        <v>832</v>
      </c>
    </row>
    <row r="11128" customFormat="false" ht="17.15" hidden="false" customHeight="false" outlineLevel="0" collapsed="false">
      <c r="A11128" s="0" t="s">
        <v>833</v>
      </c>
      <c r="B11128" s="0" t="s">
        <v>392</v>
      </c>
      <c r="F11128" s="29" t="n">
        <f aca="false">Sens!C11109*IF(Sens!F11102-Sens!C11102=life_it,1,0)+Sens!D11109*IF(Sens!F11102-Sens!D11102=life_it,1,0)+Sens!E11109*IF(Sens!F11102-Sens!E11102=life_it,1,0)</f>
        <v>0</v>
      </c>
      <c r="G11128" s="29" t="n">
        <f aca="false">Sens!C11109*IF(Sens!G11102-Sens!C11102=life_it,1,0)+Sens!D11109*IF(Sens!G11102-Sens!D11102=life_it,1,0)+Sens!E11109*IF(Sens!G11102-Sens!E11102=life_it,1,0)+Sens!F11109*IF(Sens!G11102-Sens!F11102=life_it,1,0)</f>
        <v>0</v>
      </c>
      <c r="H11128" s="29" t="n">
        <f aca="false">Sens!C11109*IF(Sens!H11102-Sens!C11102=life_it,1,0)+Sens!D11109*IF(Sens!H11102-Sens!D11102=life_it,1,0)+Sens!E11109*IF(Sens!H11102-Sens!E11102=life_it,1,0)+Sens!F11109*IF(Sens!H11102-Sens!F11102=life_it,1,0)+Sens!G11109*IF(Sens!H11102-Sens!G11102=life_it,1,0)</f>
        <v>0</v>
      </c>
      <c r="I11128" s="29" t="n">
        <f aca="false">Sens!C11109*IF(Sens!I11102-Sens!C11102=life_it,1,0)+Sens!D11109*IF(Sens!I11102-Sens!D11102=life_it,1,0)+Sens!E11109*IF(Sens!I11102-Sens!E11102=life_it,1,0)+Sens!F11109*IF(Sens!I11102-Sens!F11102=life_it,1,0)+Sens!G11109*IF(Sens!I11102-Sens!G11102=life_it,1,0)+Sens!H11109*IF(Sens!I11102-Sens!H11102=life_it,1,0)</f>
        <v>816.666666666667</v>
      </c>
      <c r="J11128" s="29" t="n">
        <f aca="false">Sens!C11109*IF(Sens!J11102-Sens!C11102=life_it,1,0)+Sens!D11109*IF(Sens!J11102-Sens!D11102=life_it,1,0)+Sens!E11109*IF(Sens!J11102-Sens!E11102=life_it,1,0)+Sens!F11109*IF(Sens!J11102-Sens!F11102=life_it,1,0)+Sens!G11109*IF(Sens!J11102-Sens!G11102=life_it,1,0)+Sens!H11109*IF(Sens!J11102-Sens!H11102=life_it,1,0)+Sens!I11109*IF(Sens!J11102-Sens!I11102=life_it,1,0)</f>
        <v>1233.33333333333</v>
      </c>
      <c r="K11128" s="29" t="n">
        <f aca="false">Sens!C11109*IF(Sens!K11102-Sens!C11102=life_it,1,0)+Sens!D11109*IF(Sens!K11102-Sens!D11102=life_it,1,0)+Sens!E11109*IF(Sens!K11102-Sens!E11102=life_it,1,0)+Sens!F11109*IF(Sens!K11102-Sens!F11102=life_it,1,0)+Sens!G11109*IF(Sens!K11102-Sens!G11102=life_it,1,0)+Sens!H11109*IF(Sens!K11102-Sens!H11102=life_it,1,0)+Sens!I11109*IF(Sens!K11102-Sens!I11102=life_it,1,0)+Sens!J11109*IF(Sens!K11102-Sens!J11102=life_it,1,0)</f>
        <v>2450</v>
      </c>
      <c r="L11128" s="1" t="s">
        <v>834</v>
      </c>
    </row>
    <row r="11129" customFormat="false" ht="17.15" hidden="false" customHeight="false" outlineLevel="0" collapsed="false">
      <c r="A11129" s="0" t="s">
        <v>835</v>
      </c>
      <c r="B11129" s="0" t="s">
        <v>98</v>
      </c>
      <c r="C11129" s="6" t="n">
        <f aca="false">Sens!C11109*Sens!C11127/1000</f>
        <v>22.5333845916667</v>
      </c>
      <c r="D11129" s="6" t="n">
        <f aca="false">Sens!D11109*Sens!D11127/1000</f>
        <v>34.0300093833333</v>
      </c>
      <c r="E11129" s="6" t="n">
        <f aca="false">Sens!E11109*Sens!E11127/1000</f>
        <v>67.600153775</v>
      </c>
      <c r="F11129" s="6" t="n">
        <f aca="false">(Sens!F11109+Sens!F11128)*Sens!F11127/1000</f>
        <v>130.923271871467</v>
      </c>
      <c r="G11129" s="6" t="n">
        <f aca="false">(Sens!G11109+Sens!G11128)*Sens!G11127/1000</f>
        <v>151.5545564832</v>
      </c>
      <c r="H11129" s="6" t="n">
        <f aca="false">(Sens!H11109+Sens!H11128)*Sens!H11127/1000</f>
        <v>156.0606619104</v>
      </c>
      <c r="I11129" s="6" t="n">
        <f aca="false">(Sens!I11109+Sens!I11128)*Sens!I11127/1000</f>
        <v>140.987889434245</v>
      </c>
      <c r="J11129" s="6" t="n">
        <f aca="false">(Sens!J11109+Sens!J11128)*Sens!J11127/1000</f>
        <v>111.094541278091</v>
      </c>
      <c r="K11129" s="6" t="n">
        <f aca="false">(Sens!K11109+Sens!K11128)*Sens!K11127/1000</f>
        <v>110.842344481936</v>
      </c>
    </row>
    <row r="11130" customFormat="false" ht="17.15" hidden="false" customHeight="false" outlineLevel="0" collapsed="false">
      <c r="A11130" s="0" t="s">
        <v>836</v>
      </c>
      <c r="B11130" s="0" t="s">
        <v>98</v>
      </c>
      <c r="C11130" s="6" t="n">
        <f aca="false">Sens!C11109*self_build*tk_cxfac/1000</f>
        <v>6.2083</v>
      </c>
      <c r="D11130" s="6" t="n">
        <f aca="false">Sens!D11109*self_build*tk_cxfac/1000</f>
        <v>9.3758</v>
      </c>
      <c r="E11130" s="6" t="n">
        <f aca="false">Sens!E11109*self_build*tk_cxfac/1000</f>
        <v>18.6249</v>
      </c>
      <c r="F11130" s="6" t="n">
        <f aca="false">Sens!F11109*self_build*tk_cxfac/1000</f>
        <v>29.409604</v>
      </c>
      <c r="G11130" s="6" t="n">
        <f aca="false">Sens!G11109*self_build*tk_cxfac/1000</f>
        <v>32.019624</v>
      </c>
      <c r="H11130" s="6" t="n">
        <f aca="false">Sens!H11109*self_build*tk_cxfac/1000</f>
        <v>32.019624</v>
      </c>
      <c r="I11130" s="6" t="n">
        <f aca="false">Sens!I11109*self_build*tk_cxfac/1000</f>
        <v>22.71877972</v>
      </c>
      <c r="J11130" s="6" t="n">
        <f aca="false">Sens!J11109*self_build*tk_cxfac/1000</f>
        <v>13.41793544</v>
      </c>
      <c r="K11130" s="6" t="n">
        <f aca="false">Sens!K11109*self_build*tk_cxfac/1000</f>
        <v>4.11709116000001</v>
      </c>
    </row>
    <row r="11131" customFormat="false" ht="17.15" hidden="false" customHeight="false" outlineLevel="0" collapsed="false">
      <c r="A11131" s="0" t="s">
        <v>837</v>
      </c>
      <c r="B11131" s="0" t="s">
        <v>98</v>
      </c>
      <c r="F11131" s="6" t="n">
        <f aca="false">MAX(0,capex_floor27-Sens!F11129-Sens!F11130-Sens!F11224)</f>
        <v>8.28777689897088</v>
      </c>
      <c r="L11131" s="1" t="s">
        <v>838</v>
      </c>
    </row>
    <row r="11132" customFormat="false" ht="17.15" hidden="false" customHeight="false" outlineLevel="0" collapsed="false">
      <c r="A11132" s="0" t="s">
        <v>839</v>
      </c>
      <c r="B11132" s="0" t="s">
        <v>98</v>
      </c>
      <c r="C11132" s="6" t="n">
        <f aca="false">Sens!C11129</f>
        <v>22.5333845916667</v>
      </c>
      <c r="D11132" s="6" t="n">
        <f aca="false">Sens!D11129</f>
        <v>34.0300093833333</v>
      </c>
      <c r="E11132" s="6" t="n">
        <f aca="false">Sens!E11129</f>
        <v>67.600153775</v>
      </c>
      <c r="F11132" s="6" t="n">
        <f aca="false">Sens!F11129+Sens!F11131</f>
        <v>139.211048770438</v>
      </c>
      <c r="G11132" s="6" t="n">
        <f aca="false">Sens!G11129</f>
        <v>151.5545564832</v>
      </c>
      <c r="H11132" s="6" t="n">
        <f aca="false">Sens!H11129</f>
        <v>156.0606619104</v>
      </c>
      <c r="I11132" s="6" t="n">
        <f aca="false">Sens!I11129</f>
        <v>140.987889434245</v>
      </c>
      <c r="J11132" s="6" t="n">
        <f aca="false">Sens!J11129</f>
        <v>111.094541278091</v>
      </c>
      <c r="K11132" s="6" t="n">
        <f aca="false">Sens!K11129</f>
        <v>110.842344481936</v>
      </c>
    </row>
    <row r="11133" customFormat="false" ht="17.15" hidden="false" customHeight="false" outlineLevel="0" collapsed="false">
      <c r="A11133" s="0" t="s">
        <v>840</v>
      </c>
      <c r="B11133" s="0" t="s">
        <v>98</v>
      </c>
      <c r="C11133" s="6" t="n">
        <f aca="false">Sens!C11132+Sens!C11130</f>
        <v>28.7416845916667</v>
      </c>
      <c r="D11133" s="6" t="n">
        <f aca="false">Sens!D11132+Sens!D11130</f>
        <v>43.4058093833333</v>
      </c>
      <c r="E11133" s="6" t="n">
        <f aca="false">Sens!E11132+Sens!E11130</f>
        <v>86.225053775</v>
      </c>
      <c r="F11133" s="6" t="n">
        <f aca="false">Sens!F11132+Sens!F11130</f>
        <v>168.620652770438</v>
      </c>
      <c r="G11133" s="6" t="n">
        <f aca="false">Sens!G11132+Sens!G11130</f>
        <v>183.5741804832</v>
      </c>
      <c r="H11133" s="6" t="n">
        <f aca="false">Sens!H11132+Sens!H11130</f>
        <v>188.0802859104</v>
      </c>
      <c r="I11133" s="6" t="n">
        <f aca="false">Sens!I11132+Sens!I11130</f>
        <v>163.706669154245</v>
      </c>
      <c r="J11133" s="6" t="n">
        <f aca="false">Sens!J11132+Sens!J11130</f>
        <v>124.51247671809</v>
      </c>
      <c r="K11133" s="6" t="n">
        <f aca="false">Sens!K11132+Sens!K11130</f>
        <v>114.959435641936</v>
      </c>
      <c r="L11133" s="11" t="s">
        <v>841</v>
      </c>
    </row>
    <row r="11134" customFormat="false" ht="17.15" hidden="false" customHeight="false" outlineLevel="0" collapsed="false">
      <c r="A11134" s="0" t="s">
        <v>842</v>
      </c>
      <c r="B11134" s="0" t="s">
        <v>98</v>
      </c>
      <c r="E11134" s="6" t="n">
        <f aca="false">(Sens!C11132*IF(2&lt;life_it,1,IF(2=life_it,0.5,0))+Sens!D11132*IF(1&lt;life_it,1,IF(1=life_it,0.5,0))+Sens!E11132*0.5)/life_it</f>
        <v>15.0605784770833</v>
      </c>
      <c r="F11134" s="6" t="n">
        <f aca="false">(Sens!C11132*IF(3&lt;life_it,1,IF(3=life_it,0.5,0))+Sens!D11132*IF(2&lt;life_it,1,IF(2=life_it,0.5,0))+Sens!E11132*IF(1&lt;life_it,1,IF(1=life_it,0.5,0))+Sens!F11132*0.5)/life_it</f>
        <v>32.2948453558698</v>
      </c>
      <c r="G11134" s="6" t="n">
        <f aca="false">(Sens!C11132*IF(4&lt;life_it,1,IF(4=life_it,0.5,0))+Sens!D11132*IF(3&lt;life_it,1,IF(3=life_it,0.5,0))+Sens!E11132*IF(2&lt;life_it,1,IF(2=life_it,0.5,0))+Sens!F11132*IF(1&lt;life_it,1,IF(1=life_it,0.5,0))+Sens!G11132*0.5)/life_it</f>
        <v>56.5253124603396</v>
      </c>
      <c r="H11134" s="6" t="n">
        <f aca="false">(Sens!C11132*IF(5&lt;life_it,1,IF(5=life_it,0.5,0))+Sens!D11132*IF(4&lt;life_it,1,IF(4=life_it,0.5,0))+Sens!E11132*IF(3&lt;life_it,1,IF(3=life_it,0.5,0))+Sens!F11132*IF(2&lt;life_it,1,IF(2=life_it,0.5,0))+Sens!G11132*IF(1&lt;life_it,1,IF(1=life_it,0.5,0))+Sens!H11132*0.5)/life_it</f>
        <v>82.1599139931396</v>
      </c>
      <c r="I11134" s="6" t="n">
        <f aca="false">(Sens!C11132*IF(6&lt;life_it,1,IF(6=life_it,0.5,0))+Sens!D11132*IF(5&lt;life_it,1,IF(5=life_it,0.5,0))+Sens!E11132*IF(4&lt;life_it,1,IF(4=life_it,0.5,0))+Sens!F11132*IF(3&lt;life_it,1,IF(3=life_it,0.5,0))+Sens!G11132*IF(2&lt;life_it,1,IF(2=life_it,0.5,0))+Sens!H11132*IF(1&lt;life_it,1,IF(1=life_it,0.5,0))+Sens!I11132*0.5)/life_it</f>
        <v>105.036177889221</v>
      </c>
      <c r="J11134" s="6" t="n">
        <f aca="false">(Sens!C11132*IF(7&lt;life_it,1,IF(7=life_it,0.5,0))+Sens!D11132*IF(6&lt;life_it,1,IF(6=life_it,0.5,0))+Sens!E11132*IF(5&lt;life_it,1,IF(5=life_it,0.5,0))+Sens!F11132*IF(4&lt;life_it,1,IF(4=life_it,0.5,0))+Sens!G11132*IF(3&lt;life_it,1,IF(3=life_it,0.5,0))+Sens!H11132*IF(2&lt;life_it,1,IF(2=life_it,0.5,0))+Sens!I11132*IF(1&lt;life_it,1,IF(1=life_it,0.5,0))+Sens!J11132*0.5)/life_it</f>
        <v>121.329430950666</v>
      </c>
      <c r="K11134" s="6" t="n">
        <f aca="false">(Sens!C11132*IF(8&lt;life_it,1,IF(8=life_it,0.5,0))+Sens!D11132*IF(7&lt;life_it,1,IF(7=life_it,0.5,0))+Sens!E11132*IF(6&lt;life_it,1,IF(6=life_it,0.5,0))+Sens!F11132*IF(5&lt;life_it,1,IF(5=life_it,0.5,0))+Sens!G11132*IF(4&lt;life_it,1,IF(4=life_it,0.5,0))+Sens!H11132*IF(3&lt;life_it,1,IF(3=life_it,0.5,0))+Sens!I11132*IF(2&lt;life_it,1,IF(2=life_it,0.5,0))+Sens!J11132*IF(1&lt;life_it,1,IF(1=life_it,0.5,0))+Sens!K11132*0.5)/life_it</f>
        <v>131.354991167474</v>
      </c>
    </row>
    <row r="11135" customFormat="false" ht="17.15" hidden="false" customHeight="false" outlineLevel="0" collapsed="false">
      <c r="A11135" s="0" t="s">
        <v>843</v>
      </c>
      <c r="B11135" s="0" t="s">
        <v>98</v>
      </c>
      <c r="E11135" s="6" t="n">
        <f aca="false">(Sens!C11130*IF(2&lt;life_fac,1,IF(2=life_fac,0.5,0))+Sens!D11130*IF(1&lt;life_fac,1,IF(1=life_fac,0.5,0))+Sens!E11130*0.5)/life_fac</f>
        <v>1.2448275</v>
      </c>
      <c r="F11135" s="6" t="n">
        <f aca="false">(Sens!C11130*IF(3&lt;life_fac,1,IF(3=life_fac,0.5,0))+Sens!D11130*IF(2&lt;life_fac,1,IF(2=life_fac,0.5,0))+Sens!E11130*IF(1&lt;life_fac,1,IF(1=life_fac,0.5,0))+Sens!F11130*0.5)/life_fac</f>
        <v>2.4456901</v>
      </c>
      <c r="G11135" s="6" t="n">
        <f aca="false">(Sens!C11130*IF(4&lt;life_fac,1,IF(4=life_fac,0.5,0))+Sens!D11130*IF(3&lt;life_fac,1,IF(3=life_fac,0.5,0))+Sens!E11130*IF(2&lt;life_fac,1,IF(2=life_fac,0.5,0))+Sens!F11130*IF(1&lt;life_fac,1,IF(1=life_fac,0.5,0))+Sens!G11130*0.5)/life_fac</f>
        <v>3.9814208</v>
      </c>
      <c r="H11135" s="6" t="n">
        <f aca="false">(Sens!C11130*IF(5&lt;life_fac,1,IF(5=life_fac,0.5,0))+Sens!D11130*IF(4&lt;life_fac,1,IF(4=life_fac,0.5,0))+Sens!E11130*IF(3&lt;life_fac,1,IF(3=life_fac,0.5,0))+Sens!F11130*IF(2&lt;life_fac,1,IF(2=life_fac,0.5,0))+Sens!G11130*IF(1&lt;life_fac,1,IF(1=life_fac,0.5,0))+Sens!H11130*0.5)/life_fac</f>
        <v>5.582402</v>
      </c>
      <c r="I11135" s="6" t="n">
        <f aca="false">(Sens!C11130*IF(6&lt;life_fac,1,IF(6=life_fac,0.5,0))+Sens!D11130*IF(5&lt;life_fac,1,IF(5=life_fac,0.5,0))+Sens!E11130*IF(4&lt;life_fac,1,IF(4=life_fac,0.5,0))+Sens!F11130*IF(3&lt;life_fac,1,IF(3=life_fac,0.5,0))+Sens!G11130*IF(2&lt;life_fac,1,IF(2=life_fac,0.5,0))+Sens!H11130*IF(1&lt;life_fac,1,IF(1=life_fac,0.5,0))+Sens!I11130*0.5)/life_fac</f>
        <v>6.950862093</v>
      </c>
      <c r="J11135" s="6" t="n">
        <f aca="false">(Sens!C11130*IF(7&lt;life_fac,1,IF(7=life_fac,0.5,0))+Sens!D11130*IF(6&lt;life_fac,1,IF(6=life_fac,0.5,0))+Sens!E11130*IF(5&lt;life_fac,1,IF(5=life_fac,0.5,0))+Sens!F11130*IF(4&lt;life_fac,1,IF(4=life_fac,0.5,0))+Sens!G11130*IF(3&lt;life_fac,1,IF(3=life_fac,0.5,0))+Sens!H11130*IF(2&lt;life_fac,1,IF(2=life_fac,0.5,0))+Sens!I11130*IF(1&lt;life_fac,1,IF(1=life_fac,0.5,0))+Sens!J11130*0.5)/life_fac</f>
        <v>7.854279972</v>
      </c>
      <c r="K11135" s="6" t="n">
        <f aca="false">(Sens!C11130*IF(8&lt;life_fac,1,IF(8=life_fac,0.5,0))+Sens!D11130*IF(7&lt;life_fac,1,IF(7=life_fac,0.5,0))+Sens!E11130*IF(6&lt;life_fac,1,IF(6=life_fac,0.5,0))+Sens!F11130*IF(5&lt;life_fac,1,IF(5=life_fac,0.5,0))+Sens!G11130*IF(4&lt;life_fac,1,IF(4=life_fac,0.5,0))+Sens!H11130*IF(3&lt;life_fac,1,IF(3=life_fac,0.5,0))+Sens!I11130*IF(2&lt;life_fac,1,IF(2=life_fac,0.5,0))+Sens!J11130*IF(1&lt;life_fac,1,IF(1=life_fac,0.5,0))+Sens!K11130*0.5)/life_fac</f>
        <v>8.292655637</v>
      </c>
    </row>
    <row r="11136" customFormat="false" ht="17.15" hidden="false" customHeight="false" outlineLevel="0" collapsed="false">
      <c r="A11136" s="0" t="s">
        <v>844</v>
      </c>
      <c r="B11136" s="0" t="s">
        <v>98</v>
      </c>
      <c r="E11136" s="6" t="n">
        <f aca="false">Sens!E11134+Sens!E11135</f>
        <v>16.3054059770833</v>
      </c>
      <c r="F11136" s="6" t="n">
        <f aca="false">Sens!F11134+Sens!F11135</f>
        <v>34.7405354558698</v>
      </c>
      <c r="G11136" s="6" t="n">
        <f aca="false">Sens!G11134+Sens!G11135</f>
        <v>60.5067332603396</v>
      </c>
      <c r="H11136" s="6" t="n">
        <f aca="false">Sens!H11134+Sens!H11135</f>
        <v>87.7423159931396</v>
      </c>
      <c r="I11136" s="6" t="n">
        <f aca="false">Sens!I11134+Sens!I11135</f>
        <v>111.987039982221</v>
      </c>
      <c r="J11136" s="6" t="n">
        <f aca="false">Sens!J11134+Sens!J11135</f>
        <v>129.183710922666</v>
      </c>
      <c r="K11136" s="6" t="n">
        <f aca="false">Sens!K11134+Sens!K11135</f>
        <v>139.647646804474</v>
      </c>
    </row>
    <row r="11137" customFormat="false" ht="17.15" hidden="false" customHeight="false" outlineLevel="0" collapsed="false">
      <c r="A11137" s="0" t="s">
        <v>845</v>
      </c>
      <c r="B11137" s="0" t="s">
        <v>98</v>
      </c>
      <c r="E11137" s="6" t="n">
        <f aca="false">Sens!E11125-Sens!E11124*Sens!E11136</f>
        <v>8.92707889977379</v>
      </c>
      <c r="F11137" s="6" t="n">
        <f aca="false">Sens!F11125-Sens!F11124*Sens!F11136</f>
        <v>18.615119475672</v>
      </c>
      <c r="G11137" s="6" t="n">
        <f aca="false">Sens!G11125-Sens!G11124*Sens!G11136</f>
        <v>30.2487146016024</v>
      </c>
      <c r="H11137" s="6" t="n">
        <f aca="false">Sens!H11125-Sens!H11124*Sens!H11136</f>
        <v>42.5742553879752</v>
      </c>
      <c r="I11137" s="6" t="n">
        <f aca="false">Sens!I11125-Sens!I11124*Sens!I11136</f>
        <v>53.5303670284555</v>
      </c>
      <c r="J11137" s="6" t="n">
        <f aca="false">Sens!J11125-Sens!J11124*Sens!J11136</f>
        <v>61.1267039656484</v>
      </c>
      <c r="K11137" s="6" t="n">
        <f aca="false">Sens!K11125-Sens!K11124*Sens!K11136</f>
        <v>66.3462495357137</v>
      </c>
    </row>
    <row r="11138" customFormat="false" ht="17.15" hidden="false" customHeight="false" outlineLevel="0" collapsed="false">
      <c r="A11138" s="3" t="s">
        <v>1525</v>
      </c>
    </row>
    <row r="11139" customFormat="false" ht="15" hidden="false" customHeight="false" outlineLevel="0" collapsed="false">
      <c r="A11139" s="4" t="s">
        <v>43</v>
      </c>
      <c r="B11139" s="4" t="s">
        <v>65</v>
      </c>
      <c r="C11139" s="20" t="s">
        <v>788</v>
      </c>
      <c r="D11139" s="20" t="s">
        <v>789</v>
      </c>
      <c r="E11139" s="20" t="s">
        <v>790</v>
      </c>
      <c r="F11139" s="20" t="s">
        <v>791</v>
      </c>
      <c r="G11139" s="20" t="s">
        <v>792</v>
      </c>
      <c r="H11139" s="20" t="s">
        <v>793</v>
      </c>
      <c r="I11139" s="20" t="s">
        <v>794</v>
      </c>
      <c r="J11139" s="20" t="s">
        <v>795</v>
      </c>
      <c r="K11139" s="20" t="s">
        <v>796</v>
      </c>
      <c r="L11139" s="4" t="s">
        <v>47</v>
      </c>
    </row>
    <row r="11140" customFormat="false" ht="17.15" hidden="false" customHeight="false" outlineLevel="0" collapsed="false">
      <c r="A11140" s="0" t="s">
        <v>864</v>
      </c>
      <c r="B11140" s="0" t="s">
        <v>98</v>
      </c>
      <c r="D11140" s="6" t="n">
        <f aca="false">Sens!D11119</f>
        <v>12.9359794422418</v>
      </c>
      <c r="E11140" s="6" t="n">
        <f aca="false">Sens!E11119</f>
        <v>27.8095064661409</v>
      </c>
      <c r="F11140" s="6" t="n">
        <f aca="false">Sens!F11119</f>
        <v>55.0640065749585</v>
      </c>
      <c r="G11140" s="6" t="n">
        <f aca="false">Sens!G11119</f>
        <v>89.4505413190538</v>
      </c>
      <c r="H11140" s="6" t="n">
        <f aca="false">Sens!H11119</f>
        <v>124.835630736874</v>
      </c>
      <c r="I11140" s="6" t="n">
        <f aca="false">Sens!I11119</f>
        <v>156.158460265485</v>
      </c>
      <c r="J11140" s="6" t="n">
        <f aca="false">Sens!J11119</f>
        <v>177.99455972577</v>
      </c>
      <c r="K11140" s="6" t="n">
        <f aca="false">Sens!K11119</f>
        <v>191.597101773408</v>
      </c>
    </row>
    <row r="11141" customFormat="false" ht="17.15" hidden="false" customHeight="false" outlineLevel="0" collapsed="false">
      <c r="A11141" s="0" t="s">
        <v>865</v>
      </c>
      <c r="B11141" s="0" t="s">
        <v>98</v>
      </c>
      <c r="D11141" s="6" t="n">
        <f aca="false">Q!L6-Sens!D11140</f>
        <v>59.6740205577583</v>
      </c>
      <c r="E11141" s="6" t="n">
        <f aca="false">Q!M6-Sens!E11140</f>
        <v>74.1284935338591</v>
      </c>
      <c r="F11141" s="6" t="n">
        <f aca="false">Sens!E11141*(1+Sens!F11142)</f>
        <v>90.0799497373663</v>
      </c>
      <c r="G11141" s="6" t="n">
        <f aca="false">Sens!F11141*(1+Sens!G11142)</f>
        <v>107.02842520331</v>
      </c>
      <c r="H11141" s="6" t="n">
        <f aca="false">Sens!G11141*(1+Sens!H11142)</f>
        <v>124.271982585636</v>
      </c>
      <c r="I11141" s="6" t="n">
        <f aca="false">Sens!H11141*(1+Sens!I11142)</f>
        <v>140.933702381855</v>
      </c>
      <c r="J11141" s="6" t="n">
        <f aca="false">Sens!I11141*(1+Sens!J11142)</f>
        <v>156.018867314332</v>
      </c>
      <c r="K11141" s="6" t="n">
        <f aca="false">Sens!J11141*(1+Sens!K11142)</f>
        <v>168.500376699478</v>
      </c>
    </row>
    <row r="11142" customFormat="false" ht="15" hidden="false" customHeight="false" outlineLevel="0" collapsed="false">
      <c r="A11142" s="1" t="s">
        <v>866</v>
      </c>
      <c r="B11142" s="0" t="s">
        <v>129</v>
      </c>
      <c r="E11142" s="7" t="n">
        <f aca="false">Sens!E11141/Sens!D11141-1</f>
        <v>0.242223883039864</v>
      </c>
      <c r="F11142" s="7" t="n">
        <f aca="false">Sens!$E$11142+(glt_azo-Sens!$E$11142)*MIN(1,(Sens!F11102-base_fy)/n_conv)</f>
        <v>0.215186569199887</v>
      </c>
      <c r="G11142" s="7" t="n">
        <f aca="false">Sens!$E$11142+(glt_azo-Sens!$E$11142)*MIN(1,(Sens!G11102-base_fy)/n_conv)</f>
        <v>0.18814925535991</v>
      </c>
      <c r="H11142" s="7" t="n">
        <f aca="false">Sens!$E$11142+(glt_azo-Sens!$E$11142)*MIN(1,(Sens!H11102-base_fy)/n_conv)</f>
        <v>0.161111941519932</v>
      </c>
      <c r="I11142" s="7" t="n">
        <f aca="false">Sens!$E$11142+(glt_azo-Sens!$E$11142)*MIN(1,(Sens!I11102-base_fy)/n_conv)</f>
        <v>0.134074627679955</v>
      </c>
      <c r="J11142" s="7" t="n">
        <f aca="false">Sens!$E$11142+(glt_azo-Sens!$E$11142)*MIN(1,(Sens!J11102-base_fy)/n_conv)</f>
        <v>0.107037313839977</v>
      </c>
      <c r="K11142" s="7" t="n">
        <f aca="false">Sens!$E$11142+(glt_azo-Sens!$E$11142)*MIN(1,(Sens!K11102-base_fy)/n_conv)</f>
        <v>0.08</v>
      </c>
    </row>
    <row r="11143" customFormat="false" ht="15" hidden="false" customHeight="false" outlineLevel="0" collapsed="false">
      <c r="A11143" s="0" t="s">
        <v>867</v>
      </c>
      <c r="B11143" s="0" t="s">
        <v>98</v>
      </c>
      <c r="D11143" s="6" t="n">
        <f aca="false">Sens!D11140+Sens!D11141</f>
        <v>72.61</v>
      </c>
      <c r="E11143" s="6" t="n">
        <f aca="false">Sens!E11140+Sens!E11141</f>
        <v>101.938</v>
      </c>
      <c r="F11143" s="6" t="n">
        <f aca="false">Sens!F11140+Sens!F11141</f>
        <v>145.143956312325</v>
      </c>
      <c r="G11143" s="6" t="n">
        <f aca="false">Sens!G11140+Sens!G11141</f>
        <v>196.478966522364</v>
      </c>
      <c r="H11143" s="6" t="n">
        <f aca="false">Sens!H11140+Sens!H11141</f>
        <v>249.10761332251</v>
      </c>
      <c r="I11143" s="6" t="n">
        <f aca="false">Sens!I11140+Sens!I11141</f>
        <v>297.09216264734</v>
      </c>
      <c r="J11143" s="6" t="n">
        <f aca="false">Sens!J11140+Sens!J11141</f>
        <v>334.013427040101</v>
      </c>
      <c r="K11143" s="6" t="n">
        <f aca="false">Sens!K11140+Sens!K11141</f>
        <v>360.097478472886</v>
      </c>
    </row>
    <row r="11144" customFormat="false" ht="17.15" hidden="false" customHeight="false" outlineLevel="0" collapsed="false">
      <c r="A11144" s="0" t="s">
        <v>868</v>
      </c>
      <c r="B11144" s="1" t="s">
        <v>521</v>
      </c>
      <c r="C11144" s="29" t="n">
        <f aca="false">cop_s24</f>
        <v>1</v>
      </c>
      <c r="D11144" s="29" t="n">
        <f aca="false">cop_s25</f>
        <v>5</v>
      </c>
      <c r="E11144" s="29" t="n">
        <f aca="false">cop_s26</f>
        <v>30</v>
      </c>
      <c r="F11144" s="29" t="n">
        <f aca="false">Sens!E11144+cop_add_B</f>
        <v>50</v>
      </c>
      <c r="G11144" s="29" t="n">
        <f aca="false">Sens!F11144+cop_add_B</f>
        <v>70</v>
      </c>
      <c r="H11144" s="29" t="n">
        <f aca="false">Sens!G11144+cop_add_B</f>
        <v>90</v>
      </c>
      <c r="I11144" s="29" t="n">
        <f aca="false">Sens!H11144+cop_add_B*cop_tail</f>
        <v>100</v>
      </c>
      <c r="J11144" s="29" t="n">
        <f aca="false">Sens!I11144+cop_add_B*cop_tail</f>
        <v>110</v>
      </c>
      <c r="K11144" s="29" t="n">
        <f aca="false">Sens!J11144+cop_add_B*cop_tail</f>
        <v>120</v>
      </c>
      <c r="L11144" s="11" t="s">
        <v>869</v>
      </c>
    </row>
    <row r="11145" customFormat="false" ht="17.15" hidden="false" customHeight="false" outlineLevel="0" collapsed="false">
      <c r="A11145" s="0" t="s">
        <v>870</v>
      </c>
      <c r="B11145" s="0" t="s">
        <v>98</v>
      </c>
      <c r="D11145" s="6" t="n">
        <f aca="false">(Sens!C11144+Sens!D11144)/2*cop_px*12/1000</f>
        <v>0.9</v>
      </c>
      <c r="E11145" s="6" t="n">
        <f aca="false">(Sens!D11144+Sens!E11144)/2*cop_px*12/1000</f>
        <v>5.25</v>
      </c>
      <c r="F11145" s="6" t="n">
        <f aca="false">(Sens!E11144+Sens!F11144)/2*cop_px*12/1000</f>
        <v>12</v>
      </c>
      <c r="G11145" s="6" t="n">
        <f aca="false">(Sens!F11144+Sens!G11144)/2*cop_px*12/1000</f>
        <v>18</v>
      </c>
      <c r="H11145" s="6" t="n">
        <f aca="false">(Sens!G11144+Sens!H11144)/2*cop_px*12/1000</f>
        <v>24</v>
      </c>
      <c r="I11145" s="6" t="n">
        <f aca="false">(Sens!H11144+Sens!I11144)/2*cop_px*12/1000</f>
        <v>28.5</v>
      </c>
      <c r="J11145" s="6" t="n">
        <f aca="false">(Sens!I11144+Sens!J11144)/2*cop_px*12/1000</f>
        <v>31.5</v>
      </c>
      <c r="K11145" s="6" t="n">
        <f aca="false">(Sens!J11144+Sens!K11144)/2*cop_px*12/1000</f>
        <v>34.5</v>
      </c>
      <c r="L11145" s="1" t="s">
        <v>871</v>
      </c>
    </row>
    <row r="11146" customFormat="false" ht="17.15" hidden="false" customHeight="false" outlineLevel="0" collapsed="false">
      <c r="A11146" s="0" t="s">
        <v>872</v>
      </c>
      <c r="B11146" s="0" t="s">
        <v>98</v>
      </c>
      <c r="D11146" s="6" t="n">
        <f aca="false">Q!L7-Sens!D11145</f>
        <v>83.705</v>
      </c>
      <c r="E11146" s="6" t="n">
        <f aca="false">Q!M7-Sens!E11145</f>
        <v>95.049</v>
      </c>
      <c r="F11146" s="6" t="n">
        <f aca="false">Sens!E11146*(1+Sens!F11147)</f>
        <v>106.89238776686</v>
      </c>
      <c r="G11146" s="6" t="n">
        <f aca="false">Sens!F11146*(1+Sens!G11147)</f>
        <v>119.044168448684</v>
      </c>
      <c r="H11146" s="6" t="n">
        <f aca="false">Sens!G11146*(1+Sens!H11147)</f>
        <v>131.277359388781</v>
      </c>
      <c r="I11146" s="6" t="n">
        <f aca="false">Sens!H11146*(1+Sens!I11147)</f>
        <v>143.334028071957</v>
      </c>
      <c r="J11146" s="6" t="n">
        <f aca="false">Sens!I11146*(1+Sens!J11147)</f>
        <v>154.932702785465</v>
      </c>
      <c r="K11146" s="6" t="n">
        <f aca="false">Sens!J11146*(1+Sens!K11147)</f>
        <v>165.777991980448</v>
      </c>
    </row>
    <row r="11147" customFormat="false" ht="15" hidden="false" customHeight="false" outlineLevel="0" collapsed="false">
      <c r="A11147" s="1" t="s">
        <v>866</v>
      </c>
      <c r="B11147" s="0" t="s">
        <v>129</v>
      </c>
      <c r="E11147" s="7" t="n">
        <f aca="false">Sens!E11146/Sens!D11146-1</f>
        <v>0.135523564900544</v>
      </c>
      <c r="F11147" s="7" t="n">
        <f aca="false">Sens!$E$11147+(glt_m365b-Sens!$E$11147)*MIN(1,(Sens!F11102-base_fy)/n_conv)</f>
        <v>0.124602970750453</v>
      </c>
      <c r="G11147" s="7" t="n">
        <f aca="false">Sens!$E$11147+(glt_m365b-Sens!$E$11147)*MIN(1,(Sens!G11102-base_fy)/n_conv)</f>
        <v>0.113682376600363</v>
      </c>
      <c r="H11147" s="7" t="n">
        <f aca="false">Sens!$E$11147+(glt_m365b-Sens!$E$11147)*MIN(1,(Sens!H11102-base_fy)/n_conv)</f>
        <v>0.102761782450272</v>
      </c>
      <c r="I11147" s="7" t="n">
        <f aca="false">Sens!$E$11147+(glt_m365b-Sens!$E$11147)*MIN(1,(Sens!I11102-base_fy)/n_conv)</f>
        <v>0.0918411883001813</v>
      </c>
      <c r="J11147" s="7" t="n">
        <f aca="false">Sens!$E$11147+(glt_m365b-Sens!$E$11147)*MIN(1,(Sens!J11102-base_fy)/n_conv)</f>
        <v>0.0809205941500906</v>
      </c>
      <c r="K11147" s="7" t="n">
        <f aca="false">Sens!$E$11147+(glt_m365b-Sens!$E$11147)*MIN(1,(Sens!K11102-base_fy)/n_conv)</f>
        <v>0.07</v>
      </c>
    </row>
    <row r="11148" customFormat="false" ht="15" hidden="false" customHeight="false" outlineLevel="0" collapsed="false">
      <c r="A11148" s="0" t="s">
        <v>873</v>
      </c>
      <c r="B11148" s="0" t="s">
        <v>98</v>
      </c>
      <c r="D11148" s="6" t="n">
        <f aca="false">Sens!D11146+Sens!D11145</f>
        <v>84.605</v>
      </c>
      <c r="E11148" s="6" t="n">
        <f aca="false">Sens!E11146+Sens!E11145</f>
        <v>100.299</v>
      </c>
      <c r="F11148" s="6" t="n">
        <f aca="false">Sens!F11146+Sens!F11145</f>
        <v>118.89238776686</v>
      </c>
      <c r="G11148" s="6" t="n">
        <f aca="false">Sens!G11146+Sens!G11145</f>
        <v>137.044168448684</v>
      </c>
      <c r="H11148" s="6" t="n">
        <f aca="false">Sens!H11146+Sens!H11145</f>
        <v>155.277359388781</v>
      </c>
      <c r="I11148" s="6" t="n">
        <f aca="false">Sens!I11146+Sens!I11145</f>
        <v>171.834028071957</v>
      </c>
      <c r="J11148" s="6" t="n">
        <f aca="false">Sens!J11146+Sens!J11145</f>
        <v>186.432702785465</v>
      </c>
      <c r="K11148" s="6" t="n">
        <f aca="false">Sens!K11146+Sens!K11145</f>
        <v>200.277991980448</v>
      </c>
    </row>
    <row r="11149" customFormat="false" ht="15" hidden="false" customHeight="false" outlineLevel="0" collapsed="false">
      <c r="A11149" s="0" t="s">
        <v>874</v>
      </c>
      <c r="B11149" s="0" t="s">
        <v>98</v>
      </c>
      <c r="D11149" s="6" t="n">
        <f aca="false">Q!L8</f>
        <v>35.391</v>
      </c>
      <c r="E11149" s="6" t="n">
        <f aca="false">Q!M8</f>
        <v>37.285</v>
      </c>
      <c r="F11149" s="6" t="n">
        <f aca="false">Sens!E11149*(1+Sens!F11150)</f>
        <v>39.0720834331704</v>
      </c>
      <c r="G11149" s="6" t="n">
        <f aca="false">Sens!F11149*(1+Sens!G11150)</f>
        <v>40.726562953769</v>
      </c>
      <c r="H11149" s="6" t="n">
        <f aca="false">Sens!G11149*(1+Sens!H11150)</f>
        <v>42.2235987259198</v>
      </c>
      <c r="I11149" s="6" t="n">
        <f aca="false">Sens!H11149*(1+Sens!I11150)</f>
        <v>43.5397988077414</v>
      </c>
      <c r="J11149" s="6" t="n">
        <f aca="false">Sens!I11149*(1+Sens!J11150)</f>
        <v>44.653811225693</v>
      </c>
      <c r="K11149" s="6" t="n">
        <f aca="false">Sens!J11149*(1+Sens!K11150)</f>
        <v>45.5468874502068</v>
      </c>
    </row>
    <row r="11150" customFormat="false" ht="15" hidden="false" customHeight="false" outlineLevel="0" collapsed="false">
      <c r="A11150" s="1" t="s">
        <v>866</v>
      </c>
      <c r="B11150" s="0" t="s">
        <v>129</v>
      </c>
      <c r="E11150" s="7" t="n">
        <f aca="false">Sens!E11149/Sens!D11149-1</f>
        <v>0.0535164307309768</v>
      </c>
      <c r="F11150" s="7" t="n">
        <f aca="false">Sens!$E$11150+(glt_lic-Sens!$E$11150)*MIN(1,(Sens!F11102-base_fy)/n_conv)</f>
        <v>0.0479303589424807</v>
      </c>
      <c r="G11150" s="7" t="n">
        <f aca="false">Sens!$E$11150+(glt_lic-Sens!$E$11150)*MIN(1,(Sens!G11102-base_fy)/n_conv)</f>
        <v>0.0423442871539845</v>
      </c>
      <c r="H11150" s="7" t="n">
        <f aca="false">Sens!$E$11150+(glt_lic-Sens!$E$11150)*MIN(1,(Sens!H11102-base_fy)/n_conv)</f>
        <v>0.0367582153654884</v>
      </c>
      <c r="I11150" s="7" t="n">
        <f aca="false">Sens!$E$11150+(glt_lic-Sens!$E$11150)*MIN(1,(Sens!I11102-base_fy)/n_conv)</f>
        <v>0.0311721435769923</v>
      </c>
      <c r="J11150" s="7" t="n">
        <f aca="false">Sens!$E$11150+(glt_lic-Sens!$E$11150)*MIN(1,(Sens!J11102-base_fy)/n_conv)</f>
        <v>0.0255860717884961</v>
      </c>
      <c r="K11150" s="7" t="n">
        <f aca="false">Sens!$E$11150+(glt_lic-Sens!$E$11150)*MIN(1,(Sens!K11102-base_fy)/n_conv)</f>
        <v>0.02</v>
      </c>
    </row>
    <row r="11151" customFormat="false" ht="15" hidden="false" customHeight="false" outlineLevel="0" collapsed="false">
      <c r="A11151" s="0" t="s">
        <v>875</v>
      </c>
      <c r="B11151" s="0" t="s">
        <v>98</v>
      </c>
      <c r="D11151" s="6" t="n">
        <f aca="false">Q!L9</f>
        <v>18.417</v>
      </c>
      <c r="E11151" s="6" t="n">
        <f aca="false">Q!M9</f>
        <v>20.345</v>
      </c>
      <c r="F11151" s="6" t="n">
        <f aca="false">Sens!E11151*(1+Sens!F11152)</f>
        <v>22.3572203267814</v>
      </c>
      <c r="G11151" s="6" t="n">
        <f aca="false">Sens!F11151*(1+Sens!G11152)</f>
        <v>24.4392124437232</v>
      </c>
      <c r="H11151" s="6" t="n">
        <f aca="false">Sens!G11151*(1+Sens!H11152)</f>
        <v>26.5738052080665</v>
      </c>
      <c r="I11151" s="6" t="n">
        <f aca="false">Sens!H11151*(1+Sens!I11152)</f>
        <v>28.7412169166967</v>
      </c>
      <c r="J11151" s="6" t="n">
        <f aca="false">Sens!I11151*(1+Sens!J11152)</f>
        <v>30.9192545395413</v>
      </c>
      <c r="K11151" s="6" t="n">
        <f aca="false">Sens!J11151*(1+Sens!K11152)</f>
        <v>33.0836023573092</v>
      </c>
    </row>
    <row r="11152" customFormat="false" ht="15" hidden="false" customHeight="false" outlineLevel="0" collapsed="false">
      <c r="A11152" s="1" t="s">
        <v>866</v>
      </c>
      <c r="B11152" s="0" t="s">
        <v>129</v>
      </c>
      <c r="E11152" s="7" t="n">
        <f aca="false">Sens!E11151/Sens!D11151-1</f>
        <v>0.104685888038225</v>
      </c>
      <c r="F11152" s="7" t="n">
        <f aca="false">Sens!$E$11152+(glt_ind-Sens!$E$11152)*MIN(1,(Sens!F11102-base_fy)/n_conv)</f>
        <v>0.0989049066985211</v>
      </c>
      <c r="G11152" s="7" t="n">
        <f aca="false">Sens!$E$11152+(glt_ind-Sens!$E$11152)*MIN(1,(Sens!G11102-base_fy)/n_conv)</f>
        <v>0.0931239253588169</v>
      </c>
      <c r="H11152" s="7" t="n">
        <f aca="false">Sens!$E$11152+(glt_ind-Sens!$E$11152)*MIN(1,(Sens!H11102-base_fy)/n_conv)</f>
        <v>0.0873429440191127</v>
      </c>
      <c r="I11152" s="7" t="n">
        <f aca="false">Sens!$E$11152+(glt_ind-Sens!$E$11152)*MIN(1,(Sens!I11102-base_fy)/n_conv)</f>
        <v>0.0815619626794085</v>
      </c>
      <c r="J11152" s="7" t="n">
        <f aca="false">Sens!$E$11152+(glt_ind-Sens!$E$11152)*MIN(1,(Sens!J11102-base_fy)/n_conv)</f>
        <v>0.0757809813397042</v>
      </c>
      <c r="K11152" s="7" t="n">
        <f aca="false">Sens!$E$11152+(glt_ind-Sens!$E$11152)*MIN(1,(Sens!K11102-base_fy)/n_conv)</f>
        <v>0.07</v>
      </c>
    </row>
    <row r="11153" customFormat="false" ht="15" hidden="false" customHeight="false" outlineLevel="0" collapsed="false">
      <c r="A11153" s="0" t="s">
        <v>876</v>
      </c>
      <c r="B11153" s="0" t="s">
        <v>98</v>
      </c>
      <c r="D11153" s="6" t="n">
        <f aca="false">Q!L10</f>
        <v>7.76</v>
      </c>
      <c r="E11153" s="6" t="n">
        <f aca="false">Q!M10</f>
        <v>8.26</v>
      </c>
      <c r="F11153" s="6" t="n">
        <f aca="false">Sens!E11153*(1+Sens!F11154)</f>
        <v>8.79988041237113</v>
      </c>
      <c r="G11153" s="6" t="n">
        <f aca="false">Sens!F11153*(1+Sens!G11154)</f>
        <v>9.38321269125306</v>
      </c>
      <c r="H11153" s="6" t="n">
        <f aca="false">Sens!G11153*(1+Sens!H11154)</f>
        <v>10.0139193587476</v>
      </c>
      <c r="I11153" s="6" t="n">
        <f aca="false">Sens!H11153*(1+Sens!I11154)</f>
        <v>10.6963111830911</v>
      </c>
      <c r="J11153" s="6" t="n">
        <f aca="false">Sens!I11153*(1+Sens!J11154)</f>
        <v>11.4351285534696</v>
      </c>
      <c r="K11153" s="6" t="n">
        <f aca="false">Sens!J11153*(1+Sens!K11154)</f>
        <v>12.2355875522124</v>
      </c>
    </row>
    <row r="11154" customFormat="false" ht="15" hidden="false" customHeight="false" outlineLevel="0" collapsed="false">
      <c r="A11154" s="1" t="s">
        <v>866</v>
      </c>
      <c r="B11154" s="0" t="s">
        <v>129</v>
      </c>
      <c r="E11154" s="7" t="n">
        <f aca="false">Sens!E11153/Sens!D11153-1</f>
        <v>0.0644329896907216</v>
      </c>
      <c r="F11154" s="7" t="n">
        <f aca="false">Sens!$E$11154+(glt_fro-Sens!$E$11154)*MIN(1,(Sens!F11102-base_fy)/n_conv)</f>
        <v>0.065360824742268</v>
      </c>
      <c r="G11154" s="7" t="n">
        <f aca="false">Sens!$E$11154+(glt_fro-Sens!$E$11154)*MIN(1,(Sens!G11102-base_fy)/n_conv)</f>
        <v>0.0662886597938144</v>
      </c>
      <c r="H11154" s="7" t="n">
        <f aca="false">Sens!$E$11154+(glt_fro-Sens!$E$11154)*MIN(1,(Sens!H11102-base_fy)/n_conv)</f>
        <v>0.0672164948453608</v>
      </c>
      <c r="I11154" s="7" t="n">
        <f aca="false">Sens!$E$11154+(glt_fro-Sens!$E$11154)*MIN(1,(Sens!I11102-base_fy)/n_conv)</f>
        <v>0.0681443298969072</v>
      </c>
      <c r="J11154" s="7" t="n">
        <f aca="false">Sens!$E$11154+(glt_fro-Sens!$E$11154)*MIN(1,(Sens!J11102-base_fy)/n_conv)</f>
        <v>0.0690721649484536</v>
      </c>
      <c r="K11154" s="7" t="n">
        <f aca="false">Sens!$E$11154+(glt_fro-Sens!$E$11154)*MIN(1,(Sens!K11102-base_fy)/n_conv)</f>
        <v>0.07</v>
      </c>
    </row>
    <row r="11155" customFormat="false" ht="15" hidden="false" customHeight="false" outlineLevel="0" collapsed="false">
      <c r="A11155" s="0" t="s">
        <v>704</v>
      </c>
      <c r="B11155" s="0" t="s">
        <v>98</v>
      </c>
      <c r="D11155" s="6" t="n">
        <f aca="false">Sens!D11143+Sens!D11148+Sens!D11149+Sens!D11151+Sens!D11153</f>
        <v>218.783</v>
      </c>
      <c r="E11155" s="6" t="n">
        <f aca="false">Sens!E11143+Sens!E11148+Sens!E11149+Sens!E11151+Sens!E11153</f>
        <v>268.127</v>
      </c>
      <c r="F11155" s="6" t="n">
        <f aca="false">Sens!F11143+Sens!F11148+Sens!F11149+Sens!F11151+Sens!F11153</f>
        <v>334.265528251508</v>
      </c>
      <c r="G11155" s="6" t="n">
        <f aca="false">Sens!G11143+Sens!G11148+Sens!G11149+Sens!G11151+Sens!G11153</f>
        <v>408.072123059793</v>
      </c>
      <c r="H11155" s="6" t="n">
        <f aca="false">Sens!H11143+Sens!H11148+Sens!H11149+Sens!H11151+Sens!H11153</f>
        <v>483.196296004025</v>
      </c>
      <c r="I11155" s="6" t="n">
        <f aca="false">Sens!I11143+Sens!I11148+Sens!I11149+Sens!I11151+Sens!I11153</f>
        <v>551.903517626826</v>
      </c>
      <c r="J11155" s="6" t="n">
        <f aca="false">Sens!J11143+Sens!J11148+Sens!J11149+Sens!J11151+Sens!J11153</f>
        <v>607.45432414427</v>
      </c>
      <c r="K11155" s="6" t="n">
        <f aca="false">Sens!K11143+Sens!K11148+Sens!K11149+Sens!K11151+Sens!K11153</f>
        <v>651.241547813062</v>
      </c>
    </row>
    <row r="11156" customFormat="false" ht="15" hidden="false" customHeight="false" outlineLevel="0" collapsed="false">
      <c r="A11156" s="0" t="s">
        <v>877</v>
      </c>
      <c r="B11156" s="0" t="s">
        <v>98</v>
      </c>
      <c r="D11156" s="6" t="n">
        <f aca="false">Q!L13</f>
        <v>22.171</v>
      </c>
      <c r="E11156" s="6" t="n">
        <f aca="false">Q!M13</f>
        <v>24.835</v>
      </c>
      <c r="F11156" s="6" t="n">
        <f aca="false">Sens!E11156*(1+Sens!F11157)</f>
        <v>27.6114901218559</v>
      </c>
      <c r="G11156" s="6" t="n">
        <f aca="false">Sens!F11156*(1+Sens!G11157)</f>
        <v>30.4675667338515</v>
      </c>
      <c r="H11156" s="6" t="n">
        <f aca="false">Sens!G11156*(1+Sens!H11157)</f>
        <v>33.3643766955789</v>
      </c>
      <c r="I11156" s="6" t="n">
        <f aca="false">Sens!H11156*(1+Sens!I11157)</f>
        <v>36.2577016533691</v>
      </c>
      <c r="J11156" s="6" t="n">
        <f aca="false">Sens!I11156*(1+Sens!J11157)</f>
        <v>39.0988367952171</v>
      </c>
      <c r="K11156" s="6" t="n">
        <f aca="false">Sens!J11156*(1+Sens!K11157)</f>
        <v>41.8357553708823</v>
      </c>
    </row>
    <row r="11157" customFormat="false" ht="15" hidden="false" customHeight="false" outlineLevel="0" collapsed="false">
      <c r="A11157" s="1" t="s">
        <v>866</v>
      </c>
      <c r="B11157" s="0" t="s">
        <v>129</v>
      </c>
      <c r="E11157" s="7" t="n">
        <f aca="false">Sens!E11156/Sens!D11156-1</f>
        <v>0.120156961796942</v>
      </c>
      <c r="F11157" s="7" t="n">
        <f aca="false">Sens!$E$11157+(glt_srch-Sens!$E$11157)*MIN(1,(Sens!F11102-base_fy)/n_conv)</f>
        <v>0.111797468164118</v>
      </c>
      <c r="G11157" s="7" t="n">
        <f aca="false">Sens!$E$11157+(glt_srch-Sens!$E$11157)*MIN(1,(Sens!G11102-base_fy)/n_conv)</f>
        <v>0.103437974531295</v>
      </c>
      <c r="H11157" s="7" t="n">
        <f aca="false">Sens!$E$11157+(glt_srch-Sens!$E$11157)*MIN(1,(Sens!H11102-base_fy)/n_conv)</f>
        <v>0.095078480898471</v>
      </c>
      <c r="I11157" s="7" t="n">
        <f aca="false">Sens!$E$11157+(glt_srch-Sens!$E$11157)*MIN(1,(Sens!I11102-base_fy)/n_conv)</f>
        <v>0.0867189872656474</v>
      </c>
      <c r="J11157" s="7" t="n">
        <f aca="false">Sens!$E$11157+(glt_srch-Sens!$E$11157)*MIN(1,(Sens!J11102-base_fy)/n_conv)</f>
        <v>0.0783594936328237</v>
      </c>
      <c r="K11157" s="7" t="n">
        <f aca="false">Sens!$E$11157+(glt_srch-Sens!$E$11157)*MIN(1,(Sens!K11102-base_fy)/n_conv)</f>
        <v>0.07</v>
      </c>
    </row>
    <row r="11158" customFormat="false" ht="15" hidden="false" customHeight="false" outlineLevel="0" collapsed="false">
      <c r="A11158" s="0" t="s">
        <v>878</v>
      </c>
      <c r="B11158" s="0" t="s">
        <v>98</v>
      </c>
      <c r="D11158" s="6" t="n">
        <f aca="false">Q!L14</f>
        <v>23.455</v>
      </c>
      <c r="E11158" s="6" t="n">
        <f aca="false">Q!M14</f>
        <v>21.79</v>
      </c>
      <c r="F11158" s="6" t="n">
        <f aca="false">Sens!E11158*(1+Sens!F11159)</f>
        <v>20.5736277908051</v>
      </c>
      <c r="G11158" s="6" t="n">
        <f aca="false">Sens!F11158*(1+Sens!G11159)</f>
        <v>19.7371452817919</v>
      </c>
      <c r="H11158" s="6" t="n">
        <f aca="false">Sens!G11158*(1+Sens!H11159)</f>
        <v>19.2339764043138</v>
      </c>
      <c r="I11158" s="6" t="n">
        <f aca="false">Sens!H11158*(1+Sens!I11159)</f>
        <v>19.0353086852681</v>
      </c>
      <c r="J11158" s="6" t="n">
        <f aca="false">Sens!I11158*(1+Sens!J11159)</f>
        <v>19.1273539319129</v>
      </c>
      <c r="K11158" s="6" t="n">
        <f aca="false">Sens!J11158*(1+Sens!K11159)</f>
        <v>19.5099010105511</v>
      </c>
    </row>
    <row r="11159" customFormat="false" ht="15" hidden="false" customHeight="false" outlineLevel="0" collapsed="false">
      <c r="A11159" s="1" t="s">
        <v>866</v>
      </c>
      <c r="B11159" s="0" t="s">
        <v>129</v>
      </c>
      <c r="E11159" s="7" t="n">
        <f aca="false">Sens!E11158/Sens!D11158-1</f>
        <v>-0.0709869963760392</v>
      </c>
      <c r="F11159" s="7" t="n">
        <f aca="false">Sens!$E$11159+(glt_xbox-Sens!$E$11159)*MIN(1,(Sens!F11102-base_fy)/n_conv)</f>
        <v>-0.0558224969800327</v>
      </c>
      <c r="G11159" s="7" t="n">
        <f aca="false">Sens!$E$11159+(glt_xbox-Sens!$E$11159)*MIN(1,(Sens!G11102-base_fy)/n_conv)</f>
        <v>-0.0406579975840262</v>
      </c>
      <c r="H11159" s="7" t="n">
        <f aca="false">Sens!$E$11159+(glt_xbox-Sens!$E$11159)*MIN(1,(Sens!H11102-base_fy)/n_conv)</f>
        <v>-0.0254934981880196</v>
      </c>
      <c r="I11159" s="7" t="n">
        <f aca="false">Sens!$E$11159+(glt_xbox-Sens!$E$11159)*MIN(1,(Sens!I11102-base_fy)/n_conv)</f>
        <v>-0.0103289987920131</v>
      </c>
      <c r="J11159" s="7" t="n">
        <f aca="false">Sens!$E$11159+(glt_xbox-Sens!$E$11159)*MIN(1,(Sens!J11102-base_fy)/n_conv)</f>
        <v>0.00483550060399347</v>
      </c>
      <c r="K11159" s="7" t="n">
        <f aca="false">Sens!$E$11159+(glt_xbox-Sens!$E$11159)*MIN(1,(Sens!K11102-base_fy)/n_conv)</f>
        <v>0.02</v>
      </c>
    </row>
    <row r="11160" customFormat="false" ht="15" hidden="false" customHeight="false" outlineLevel="0" collapsed="false">
      <c r="A11160" s="0" t="s">
        <v>879</v>
      </c>
      <c r="B11160" s="0" t="s">
        <v>98</v>
      </c>
      <c r="D11160" s="6" t="n">
        <f aca="false">Q!L15</f>
        <v>17.315</v>
      </c>
      <c r="E11160" s="6" t="n">
        <f aca="false">Q!M15</f>
        <v>17.087</v>
      </c>
      <c r="F11160" s="6" t="n">
        <f aca="false">Sens!E11160*(1+Sens!F11161)</f>
        <v>16.9564585436519</v>
      </c>
      <c r="G11160" s="6" t="n">
        <f aca="false">Sens!F11160*(1+Sens!G11161)</f>
        <v>16.9206490624268</v>
      </c>
      <c r="H11160" s="6" t="n">
        <f aca="false">Sens!G11160*(1+Sens!H11161)</f>
        <v>16.9784519149849</v>
      </c>
      <c r="I11160" s="6" t="n">
        <f aca="false">Sens!H11160*(1+Sens!I11161)</f>
        <v>17.1303084701817</v>
      </c>
      <c r="J11160" s="6" t="n">
        <f aca="false">Sens!I11160*(1+Sens!J11161)</f>
        <v>17.3782189407267</v>
      </c>
      <c r="K11160" s="6" t="n">
        <f aca="false">Sens!J11160*(1+Sens!K11161)</f>
        <v>17.7257833195413</v>
      </c>
    </row>
    <row r="11161" customFormat="false" ht="15" hidden="false" customHeight="false" outlineLevel="0" collapsed="false">
      <c r="A11161" s="1" t="s">
        <v>866</v>
      </c>
      <c r="B11161" s="0" t="s">
        <v>129</v>
      </c>
      <c r="E11161" s="7" t="n">
        <f aca="false">Sens!E11160/Sens!D11160-1</f>
        <v>-0.0131677736066995</v>
      </c>
      <c r="F11161" s="7" t="n">
        <f aca="false">Sens!$E$11161+(glt_win-Sens!$E$11161)*MIN(1,(Sens!F11102-base_fy)/n_conv)</f>
        <v>-0.00763981133891627</v>
      </c>
      <c r="G11161" s="7" t="n">
        <f aca="false">Sens!$E$11161+(glt_win-Sens!$E$11161)*MIN(1,(Sens!G11102-base_fy)/n_conv)</f>
        <v>-0.00211184907113301</v>
      </c>
      <c r="H11161" s="7" t="n">
        <f aca="false">Sens!$E$11161+(glt_win-Sens!$E$11161)*MIN(1,(Sens!H11102-base_fy)/n_conv)</f>
        <v>0.00341611319665024</v>
      </c>
      <c r="I11161" s="7" t="n">
        <f aca="false">Sens!$E$11161+(glt_win-Sens!$E$11161)*MIN(1,(Sens!I11102-base_fy)/n_conv)</f>
        <v>0.00894407546443349</v>
      </c>
      <c r="J11161" s="7" t="n">
        <f aca="false">Sens!$E$11161+(glt_win-Sens!$E$11161)*MIN(1,(Sens!J11102-base_fy)/n_conv)</f>
        <v>0.0144720377322168</v>
      </c>
      <c r="K11161" s="7" t="n">
        <f aca="false">Sens!$E$11161+(glt_win-Sens!$E$11161)*MIN(1,(Sens!K11102-base_fy)/n_conv)</f>
        <v>0.02</v>
      </c>
    </row>
    <row r="11162" customFormat="false" ht="15" hidden="false" customHeight="false" outlineLevel="0" collapsed="false">
      <c r="A11162" s="0" t="s">
        <v>718</v>
      </c>
      <c r="B11162" s="0" t="s">
        <v>98</v>
      </c>
      <c r="D11162" s="6" t="n">
        <f aca="false">Sens!D11156+Sens!D11158+Sens!D11160</f>
        <v>62.941</v>
      </c>
      <c r="E11162" s="6" t="n">
        <f aca="false">Sens!E11156+Sens!E11158+Sens!E11160</f>
        <v>63.712</v>
      </c>
      <c r="F11162" s="6" t="n">
        <f aca="false">Sens!F11156+Sens!F11158+Sens!F11160</f>
        <v>65.1415764563129</v>
      </c>
      <c r="G11162" s="6" t="n">
        <f aca="false">Sens!G11156+Sens!G11158+Sens!G11160</f>
        <v>67.1253610780702</v>
      </c>
      <c r="H11162" s="6" t="n">
        <f aca="false">Sens!H11156+Sens!H11158+Sens!H11160</f>
        <v>69.5768050148776</v>
      </c>
      <c r="I11162" s="6" t="n">
        <f aca="false">Sens!I11156+Sens!I11158+Sens!I11160</f>
        <v>72.4233188088189</v>
      </c>
      <c r="J11162" s="6" t="n">
        <f aca="false">Sens!J11156+Sens!J11158+Sens!J11160</f>
        <v>75.6044096678567</v>
      </c>
      <c r="K11162" s="6" t="n">
        <f aca="false">Sens!K11156+Sens!K11158+Sens!K11160</f>
        <v>79.0714397009747</v>
      </c>
    </row>
    <row r="11163" customFormat="false" ht="15" hidden="false" customHeight="false" outlineLevel="0" collapsed="false">
      <c r="A11163" s="1" t="s">
        <v>880</v>
      </c>
      <c r="B11163" s="0" t="s">
        <v>98</v>
      </c>
      <c r="D11163" s="6" t="n">
        <f aca="false">Sens!D11155+Sens!D11162</f>
        <v>281.724</v>
      </c>
      <c r="E11163" s="6" t="n">
        <f aca="false">Sens!E11155+Sens!E11162</f>
        <v>331.839</v>
      </c>
      <c r="F11163" s="6" t="n">
        <f aca="false">Sens!F11155+Sens!F11162</f>
        <v>399.407104707821</v>
      </c>
      <c r="G11163" s="6" t="n">
        <f aca="false">Sens!G11155+Sens!G11162</f>
        <v>475.197484137863</v>
      </c>
      <c r="H11163" s="6" t="n">
        <f aca="false">Sens!H11155+Sens!H11162</f>
        <v>552.773101018903</v>
      </c>
      <c r="I11163" s="6" t="n">
        <f aca="false">Sens!I11155+Sens!I11162</f>
        <v>624.326836435645</v>
      </c>
      <c r="J11163" s="6" t="n">
        <f aca="false">Sens!J11155+Sens!J11162</f>
        <v>683.058733812127</v>
      </c>
      <c r="K11163" s="6" t="n">
        <f aca="false">Sens!K11155+Sens!K11162</f>
        <v>730.312987514037</v>
      </c>
    </row>
    <row r="11164" customFormat="false" ht="15" hidden="false" customHeight="false" outlineLevel="0" collapsed="false">
      <c r="A11164" s="23" t="s">
        <v>881</v>
      </c>
      <c r="B11164" s="30" t="s">
        <v>98</v>
      </c>
      <c r="C11164" s="30"/>
      <c r="D11164" s="24" t="n">
        <f aca="false">(Sens!D11143+Sens!D11148+Sens!D11149+Sens!D11151+Sens!D11153-Sens!D11155)+(Sens!D11156+Sens!D11158+Sens!D11160-Sens!D11162)+(Sens!D11155-Q!L5)+(Sens!D11162-Q!L12)+(Sens!D11143-Q!L6)+(Sens!D11148-Q!L7)</f>
        <v>0</v>
      </c>
      <c r="E11164" s="24" t="n">
        <f aca="false">(Sens!E11143+Sens!E11148+Sens!E11149+Sens!E11151+Sens!E11153-Sens!E11155)+(Sens!E11156+Sens!E11158+Sens!E11160-Sens!E11162)+(Sens!E11155-Q!M5)+(Sens!E11162-Q!M12)+(Sens!E11143-Q!M6)+(Sens!E11148-Q!M7)</f>
        <v>0</v>
      </c>
      <c r="F11164" s="24" t="n">
        <f aca="false">(Sens!F11143+Sens!F11148+Sens!F11149+Sens!F11151+Sens!F11153-Sens!F11155)+(Sens!F11156+Sens!F11158+Sens!F11160-Sens!F11162)</f>
        <v>0</v>
      </c>
      <c r="G11164" s="24" t="n">
        <f aca="false">(Sens!G11143+Sens!G11148+Sens!G11149+Sens!G11151+Sens!G11153-Sens!G11155)+(Sens!G11156+Sens!G11158+Sens!G11160-Sens!G11162)</f>
        <v>0</v>
      </c>
      <c r="H11164" s="24" t="n">
        <f aca="false">(Sens!H11143+Sens!H11148+Sens!H11149+Sens!H11151+Sens!H11153-Sens!H11155)+(Sens!H11156+Sens!H11158+Sens!H11160-Sens!H11162)</f>
        <v>0</v>
      </c>
      <c r="I11164" s="24" t="n">
        <f aca="false">(Sens!I11143+Sens!I11148+Sens!I11149+Sens!I11151+Sens!I11153-Sens!I11155)+(Sens!I11156+Sens!I11158+Sens!I11160-Sens!I11162)</f>
        <v>0</v>
      </c>
      <c r="J11164" s="24" t="n">
        <f aca="false">(Sens!J11143+Sens!J11148+Sens!J11149+Sens!J11151+Sens!J11153-Sens!J11155)+(Sens!J11156+Sens!J11158+Sens!J11160-Sens!J11162)</f>
        <v>0</v>
      </c>
      <c r="K11164" s="24" t="n">
        <f aca="false">(Sens!K11143+Sens!K11148+Sens!K11149+Sens!K11151+Sens!K11153-Sens!K11155)+(Sens!K11156+Sens!K11158+Sens!K11160-Sens!K11162)</f>
        <v>0</v>
      </c>
    </row>
    <row r="11165" customFormat="false" ht="17.15" hidden="false" customHeight="false" outlineLevel="0" collapsed="false">
      <c r="A11165" s="3" t="s">
        <v>1526</v>
      </c>
    </row>
    <row r="11166" customFormat="false" ht="15" hidden="false" customHeight="false" outlineLevel="0" collapsed="false">
      <c r="A11166" s="4" t="s">
        <v>43</v>
      </c>
      <c r="B11166" s="4" t="s">
        <v>65</v>
      </c>
      <c r="C11166" s="20" t="s">
        <v>788</v>
      </c>
      <c r="D11166" s="20" t="s">
        <v>789</v>
      </c>
      <c r="E11166" s="20" t="s">
        <v>790</v>
      </c>
      <c r="F11166" s="20" t="s">
        <v>791</v>
      </c>
      <c r="G11166" s="20" t="s">
        <v>792</v>
      </c>
      <c r="H11166" s="20" t="s">
        <v>793</v>
      </c>
      <c r="I11166" s="20" t="s">
        <v>794</v>
      </c>
      <c r="J11166" s="20" t="s">
        <v>795</v>
      </c>
      <c r="K11166" s="20" t="s">
        <v>796</v>
      </c>
      <c r="L11166" s="4" t="s">
        <v>47</v>
      </c>
    </row>
    <row r="11167" customFormat="false" ht="15" hidden="false" customHeight="false" outlineLevel="0" collapsed="false">
      <c r="A11167" s="0" t="s">
        <v>867</v>
      </c>
      <c r="B11167" s="0" t="s">
        <v>98</v>
      </c>
      <c r="D11167" s="6" t="n">
        <f aca="false">Sens!D11143</f>
        <v>72.61</v>
      </c>
      <c r="E11167" s="6" t="n">
        <f aca="false">Sens!E11143</f>
        <v>101.938</v>
      </c>
      <c r="F11167" s="6" t="n">
        <f aca="false">Sens!F11143</f>
        <v>145.143956312325</v>
      </c>
      <c r="G11167" s="6" t="n">
        <f aca="false">Sens!G11143</f>
        <v>196.478966522364</v>
      </c>
      <c r="H11167" s="6" t="n">
        <f aca="false">Sens!H11143</f>
        <v>249.10761332251</v>
      </c>
      <c r="I11167" s="6" t="n">
        <f aca="false">Sens!I11143</f>
        <v>297.09216264734</v>
      </c>
      <c r="J11167" s="6" t="n">
        <f aca="false">Sens!J11143</f>
        <v>334.013427040101</v>
      </c>
      <c r="K11167" s="6" t="n">
        <f aca="false">Sens!K11143</f>
        <v>360.097478472886</v>
      </c>
    </row>
    <row r="11168" customFormat="false" ht="17.15" hidden="false" customHeight="false" outlineLevel="0" collapsed="false">
      <c r="A11168" s="0" t="s">
        <v>864</v>
      </c>
      <c r="B11168" s="0" t="s">
        <v>98</v>
      </c>
      <c r="D11168" s="6" t="n">
        <f aca="false">Sens!D11140</f>
        <v>12.9359794422418</v>
      </c>
      <c r="E11168" s="6" t="n">
        <f aca="false">Sens!E11140</f>
        <v>27.8095064661409</v>
      </c>
      <c r="F11168" s="6" t="n">
        <f aca="false">Sens!F11140</f>
        <v>55.0640065749585</v>
      </c>
      <c r="G11168" s="6" t="n">
        <f aca="false">Sens!G11140</f>
        <v>89.4505413190538</v>
      </c>
      <c r="H11168" s="6" t="n">
        <f aca="false">Sens!H11140</f>
        <v>124.835630736874</v>
      </c>
      <c r="I11168" s="6" t="n">
        <f aca="false">Sens!I11140</f>
        <v>156.158460265485</v>
      </c>
      <c r="J11168" s="6" t="n">
        <f aca="false">Sens!J11140</f>
        <v>177.99455972577</v>
      </c>
      <c r="K11168" s="6" t="n">
        <f aca="false">Sens!K11140</f>
        <v>191.597101773408</v>
      </c>
    </row>
    <row r="11169" customFormat="false" ht="17.15" hidden="false" customHeight="false" outlineLevel="0" collapsed="false">
      <c r="A11169" s="0" t="s">
        <v>892</v>
      </c>
      <c r="B11169" s="0" t="s">
        <v>98</v>
      </c>
      <c r="D11169" s="6" t="n">
        <f aca="false">Sens!D11141</f>
        <v>59.6740205577583</v>
      </c>
      <c r="E11169" s="6" t="n">
        <f aca="false">Sens!E11141</f>
        <v>74.1284935338591</v>
      </c>
      <c r="F11169" s="6" t="n">
        <f aca="false">Sens!F11141</f>
        <v>90.0799497373663</v>
      </c>
      <c r="G11169" s="6" t="n">
        <f aca="false">Sens!G11141</f>
        <v>107.02842520331</v>
      </c>
      <c r="H11169" s="6" t="n">
        <f aca="false">Sens!H11141</f>
        <v>124.271982585636</v>
      </c>
      <c r="I11169" s="6" t="n">
        <f aca="false">Sens!I11141</f>
        <v>140.933702381855</v>
      </c>
      <c r="J11169" s="6" t="n">
        <f aca="false">Sens!J11141</f>
        <v>156.018867314332</v>
      </c>
      <c r="K11169" s="6" t="n">
        <f aca="false">Sens!K11141</f>
        <v>168.500376699478</v>
      </c>
    </row>
    <row r="11170" customFormat="false" ht="15" hidden="false" customHeight="false" outlineLevel="0" collapsed="false">
      <c r="A11170" s="0" t="s">
        <v>873</v>
      </c>
      <c r="B11170" s="0" t="s">
        <v>98</v>
      </c>
      <c r="D11170" s="6" t="n">
        <f aca="false">Sens!D11148</f>
        <v>84.605</v>
      </c>
      <c r="E11170" s="6" t="n">
        <f aca="false">Sens!E11148</f>
        <v>100.299</v>
      </c>
      <c r="F11170" s="6" t="n">
        <f aca="false">Sens!F11148</f>
        <v>118.89238776686</v>
      </c>
      <c r="G11170" s="6" t="n">
        <f aca="false">Sens!G11148</f>
        <v>137.044168448684</v>
      </c>
      <c r="H11170" s="6" t="n">
        <f aca="false">Sens!H11148</f>
        <v>155.277359388781</v>
      </c>
      <c r="I11170" s="6" t="n">
        <f aca="false">Sens!I11148</f>
        <v>171.834028071957</v>
      </c>
      <c r="J11170" s="6" t="n">
        <f aca="false">Sens!J11148</f>
        <v>186.432702785465</v>
      </c>
      <c r="K11170" s="6" t="n">
        <f aca="false">Sens!K11148</f>
        <v>200.277991980448</v>
      </c>
    </row>
    <row r="11171" customFormat="false" ht="17.15" hidden="false" customHeight="false" outlineLevel="0" collapsed="false">
      <c r="A11171" s="0" t="s">
        <v>893</v>
      </c>
      <c r="B11171" s="0" t="s">
        <v>98</v>
      </c>
      <c r="D11171" s="6" t="n">
        <f aca="false">Sens!D11146</f>
        <v>83.705</v>
      </c>
      <c r="E11171" s="6" t="n">
        <f aca="false">Sens!E11146</f>
        <v>95.049</v>
      </c>
      <c r="F11171" s="6" t="n">
        <f aca="false">Sens!F11146</f>
        <v>106.89238776686</v>
      </c>
      <c r="G11171" s="6" t="n">
        <f aca="false">Sens!G11146</f>
        <v>119.044168448684</v>
      </c>
      <c r="H11171" s="6" t="n">
        <f aca="false">Sens!H11146</f>
        <v>131.277359388781</v>
      </c>
      <c r="I11171" s="6" t="n">
        <f aca="false">Sens!I11146</f>
        <v>143.334028071957</v>
      </c>
      <c r="J11171" s="6" t="n">
        <f aca="false">Sens!J11146</f>
        <v>154.932702785465</v>
      </c>
      <c r="K11171" s="6" t="n">
        <f aca="false">Sens!K11146</f>
        <v>165.777991980448</v>
      </c>
    </row>
    <row r="11172" customFormat="false" ht="17.15" hidden="false" customHeight="false" outlineLevel="0" collapsed="false">
      <c r="A11172" s="0" t="s">
        <v>894</v>
      </c>
      <c r="B11172" s="0" t="s">
        <v>98</v>
      </c>
      <c r="D11172" s="6" t="n">
        <f aca="false">Sens!D11145</f>
        <v>0.9</v>
      </c>
      <c r="E11172" s="6" t="n">
        <f aca="false">Sens!E11145</f>
        <v>5.25</v>
      </c>
      <c r="F11172" s="6" t="n">
        <f aca="false">Sens!F11145</f>
        <v>12</v>
      </c>
      <c r="G11172" s="6" t="n">
        <f aca="false">Sens!G11145</f>
        <v>18</v>
      </c>
      <c r="H11172" s="6" t="n">
        <f aca="false">Sens!H11145</f>
        <v>24</v>
      </c>
      <c r="I11172" s="6" t="n">
        <f aca="false">Sens!I11145</f>
        <v>28.5</v>
      </c>
      <c r="J11172" s="6" t="n">
        <f aca="false">Sens!J11145</f>
        <v>31.5</v>
      </c>
      <c r="K11172" s="6" t="n">
        <f aca="false">Sens!K11145</f>
        <v>34.5</v>
      </c>
    </row>
    <row r="11173" customFormat="false" ht="15" hidden="false" customHeight="false" outlineLevel="0" collapsed="false">
      <c r="A11173" s="0" t="s">
        <v>874</v>
      </c>
      <c r="B11173" s="0" t="s">
        <v>98</v>
      </c>
      <c r="D11173" s="6" t="n">
        <f aca="false">Sens!D11149</f>
        <v>35.391</v>
      </c>
      <c r="E11173" s="6" t="n">
        <f aca="false">Sens!E11149</f>
        <v>37.285</v>
      </c>
      <c r="F11173" s="6" t="n">
        <f aca="false">Sens!F11149</f>
        <v>39.0720834331704</v>
      </c>
      <c r="G11173" s="6" t="n">
        <f aca="false">Sens!G11149</f>
        <v>40.726562953769</v>
      </c>
      <c r="H11173" s="6" t="n">
        <f aca="false">Sens!H11149</f>
        <v>42.2235987259198</v>
      </c>
      <c r="I11173" s="6" t="n">
        <f aca="false">Sens!I11149</f>
        <v>43.5397988077414</v>
      </c>
      <c r="J11173" s="6" t="n">
        <f aca="false">Sens!J11149</f>
        <v>44.653811225693</v>
      </c>
      <c r="K11173" s="6" t="n">
        <f aca="false">Sens!K11149</f>
        <v>45.5468874502068</v>
      </c>
    </row>
    <row r="11174" customFormat="false" ht="15" hidden="false" customHeight="false" outlineLevel="0" collapsed="false">
      <c r="A11174" s="0" t="s">
        <v>875</v>
      </c>
      <c r="B11174" s="0" t="s">
        <v>98</v>
      </c>
      <c r="D11174" s="6" t="n">
        <f aca="false">Sens!D11151</f>
        <v>18.417</v>
      </c>
      <c r="E11174" s="6" t="n">
        <f aca="false">Sens!E11151</f>
        <v>20.345</v>
      </c>
      <c r="F11174" s="6" t="n">
        <f aca="false">Sens!F11151</f>
        <v>22.3572203267814</v>
      </c>
      <c r="G11174" s="6" t="n">
        <f aca="false">Sens!G11151</f>
        <v>24.4392124437232</v>
      </c>
      <c r="H11174" s="6" t="n">
        <f aca="false">Sens!H11151</f>
        <v>26.5738052080665</v>
      </c>
      <c r="I11174" s="6" t="n">
        <f aca="false">Sens!I11151</f>
        <v>28.7412169166967</v>
      </c>
      <c r="J11174" s="6" t="n">
        <f aca="false">Sens!J11151</f>
        <v>30.9192545395413</v>
      </c>
      <c r="K11174" s="6" t="n">
        <f aca="false">Sens!K11151</f>
        <v>33.0836023573092</v>
      </c>
    </row>
    <row r="11175" customFormat="false" ht="15" hidden="false" customHeight="false" outlineLevel="0" collapsed="false">
      <c r="A11175" s="0" t="s">
        <v>876</v>
      </c>
      <c r="B11175" s="0" t="s">
        <v>98</v>
      </c>
      <c r="D11175" s="6" t="n">
        <f aca="false">Sens!D11153</f>
        <v>7.76</v>
      </c>
      <c r="E11175" s="6" t="n">
        <f aca="false">Sens!E11153</f>
        <v>8.26</v>
      </c>
      <c r="F11175" s="6" t="n">
        <f aca="false">Sens!F11153</f>
        <v>8.79988041237113</v>
      </c>
      <c r="G11175" s="6" t="n">
        <f aca="false">Sens!G11153</f>
        <v>9.38321269125306</v>
      </c>
      <c r="H11175" s="6" t="n">
        <f aca="false">Sens!H11153</f>
        <v>10.0139193587476</v>
      </c>
      <c r="I11175" s="6" t="n">
        <f aca="false">Sens!I11153</f>
        <v>10.6963111830911</v>
      </c>
      <c r="J11175" s="6" t="n">
        <f aca="false">Sens!J11153</f>
        <v>11.4351285534696</v>
      </c>
      <c r="K11175" s="6" t="n">
        <f aca="false">Sens!K11153</f>
        <v>12.2355875522124</v>
      </c>
    </row>
    <row r="11176" customFormat="false" ht="15" hidden="false" customHeight="false" outlineLevel="0" collapsed="false">
      <c r="A11176" s="0" t="s">
        <v>704</v>
      </c>
      <c r="B11176" s="0" t="s">
        <v>98</v>
      </c>
      <c r="D11176" s="6" t="n">
        <f aca="false">Sens!D11155</f>
        <v>218.783</v>
      </c>
      <c r="E11176" s="6" t="n">
        <f aca="false">Sens!E11155</f>
        <v>268.127</v>
      </c>
      <c r="F11176" s="6" t="n">
        <f aca="false">Sens!F11155</f>
        <v>334.265528251508</v>
      </c>
      <c r="G11176" s="6" t="n">
        <f aca="false">Sens!G11155</f>
        <v>408.072123059793</v>
      </c>
      <c r="H11176" s="6" t="n">
        <f aca="false">Sens!H11155</f>
        <v>483.196296004025</v>
      </c>
      <c r="I11176" s="6" t="n">
        <f aca="false">Sens!I11155</f>
        <v>551.903517626826</v>
      </c>
      <c r="J11176" s="6" t="n">
        <f aca="false">Sens!J11155</f>
        <v>607.45432414427</v>
      </c>
      <c r="K11176" s="6" t="n">
        <f aca="false">Sens!K11155</f>
        <v>651.241547813062</v>
      </c>
    </row>
    <row r="11177" customFormat="false" ht="15" hidden="false" customHeight="false" outlineLevel="0" collapsed="false">
      <c r="A11177" s="0" t="s">
        <v>877</v>
      </c>
      <c r="B11177" s="0" t="s">
        <v>98</v>
      </c>
      <c r="D11177" s="6" t="n">
        <f aca="false">Sens!D11156</f>
        <v>22.171</v>
      </c>
      <c r="E11177" s="6" t="n">
        <f aca="false">Sens!E11156</f>
        <v>24.835</v>
      </c>
      <c r="F11177" s="6" t="n">
        <f aca="false">Sens!F11156</f>
        <v>27.6114901218559</v>
      </c>
      <c r="G11177" s="6" t="n">
        <f aca="false">Sens!G11156</f>
        <v>30.4675667338515</v>
      </c>
      <c r="H11177" s="6" t="n">
        <f aca="false">Sens!H11156</f>
        <v>33.3643766955789</v>
      </c>
      <c r="I11177" s="6" t="n">
        <f aca="false">Sens!I11156</f>
        <v>36.2577016533691</v>
      </c>
      <c r="J11177" s="6" t="n">
        <f aca="false">Sens!J11156</f>
        <v>39.0988367952171</v>
      </c>
      <c r="K11177" s="6" t="n">
        <f aca="false">Sens!K11156</f>
        <v>41.8357553708823</v>
      </c>
    </row>
    <row r="11178" customFormat="false" ht="15" hidden="false" customHeight="false" outlineLevel="0" collapsed="false">
      <c r="A11178" s="0" t="s">
        <v>878</v>
      </c>
      <c r="B11178" s="0" t="s">
        <v>98</v>
      </c>
      <c r="D11178" s="6" t="n">
        <f aca="false">Sens!D11158</f>
        <v>23.455</v>
      </c>
      <c r="E11178" s="6" t="n">
        <f aca="false">Sens!E11158</f>
        <v>21.79</v>
      </c>
      <c r="F11178" s="6" t="n">
        <f aca="false">Sens!F11158</f>
        <v>20.5736277908051</v>
      </c>
      <c r="G11178" s="6" t="n">
        <f aca="false">Sens!G11158</f>
        <v>19.7371452817919</v>
      </c>
      <c r="H11178" s="6" t="n">
        <f aca="false">Sens!H11158</f>
        <v>19.2339764043138</v>
      </c>
      <c r="I11178" s="6" t="n">
        <f aca="false">Sens!I11158</f>
        <v>19.0353086852681</v>
      </c>
      <c r="J11178" s="6" t="n">
        <f aca="false">Sens!J11158</f>
        <v>19.1273539319129</v>
      </c>
      <c r="K11178" s="6" t="n">
        <f aca="false">Sens!K11158</f>
        <v>19.5099010105511</v>
      </c>
    </row>
    <row r="11179" customFormat="false" ht="15" hidden="false" customHeight="false" outlineLevel="0" collapsed="false">
      <c r="A11179" s="0" t="s">
        <v>879</v>
      </c>
      <c r="B11179" s="0" t="s">
        <v>98</v>
      </c>
      <c r="D11179" s="6" t="n">
        <f aca="false">Sens!D11160</f>
        <v>17.315</v>
      </c>
      <c r="E11179" s="6" t="n">
        <f aca="false">Sens!E11160</f>
        <v>17.087</v>
      </c>
      <c r="F11179" s="6" t="n">
        <f aca="false">Sens!F11160</f>
        <v>16.9564585436519</v>
      </c>
      <c r="G11179" s="6" t="n">
        <f aca="false">Sens!G11160</f>
        <v>16.9206490624268</v>
      </c>
      <c r="H11179" s="6" t="n">
        <f aca="false">Sens!H11160</f>
        <v>16.9784519149849</v>
      </c>
      <c r="I11179" s="6" t="n">
        <f aca="false">Sens!I11160</f>
        <v>17.1303084701817</v>
      </c>
      <c r="J11179" s="6" t="n">
        <f aca="false">Sens!J11160</f>
        <v>17.3782189407267</v>
      </c>
      <c r="K11179" s="6" t="n">
        <f aca="false">Sens!K11160</f>
        <v>17.7257833195413</v>
      </c>
    </row>
    <row r="11180" customFormat="false" ht="15" hidden="false" customHeight="false" outlineLevel="0" collapsed="false">
      <c r="A11180" s="0" t="s">
        <v>718</v>
      </c>
      <c r="B11180" s="0" t="s">
        <v>98</v>
      </c>
      <c r="D11180" s="6" t="n">
        <f aca="false">Sens!D11162</f>
        <v>62.941</v>
      </c>
      <c r="E11180" s="6" t="n">
        <f aca="false">Sens!E11162</f>
        <v>63.712</v>
      </c>
      <c r="F11180" s="6" t="n">
        <f aca="false">Sens!F11162</f>
        <v>65.1415764563129</v>
      </c>
      <c r="G11180" s="6" t="n">
        <f aca="false">Sens!G11162</f>
        <v>67.1253610780702</v>
      </c>
      <c r="H11180" s="6" t="n">
        <f aca="false">Sens!H11162</f>
        <v>69.5768050148776</v>
      </c>
      <c r="I11180" s="6" t="n">
        <f aca="false">Sens!I11162</f>
        <v>72.4233188088189</v>
      </c>
      <c r="J11180" s="6" t="n">
        <f aca="false">Sens!J11162</f>
        <v>75.6044096678567</v>
      </c>
      <c r="K11180" s="6" t="n">
        <f aca="false">Sens!K11162</f>
        <v>79.0714397009747</v>
      </c>
    </row>
    <row r="11181" customFormat="false" ht="15" hidden="false" customHeight="false" outlineLevel="0" collapsed="false">
      <c r="A11181" s="1" t="s">
        <v>895</v>
      </c>
      <c r="B11181" s="0" t="s">
        <v>98</v>
      </c>
      <c r="D11181" s="6" t="n">
        <f aca="false">Sens!D11163</f>
        <v>281.724</v>
      </c>
      <c r="E11181" s="6" t="n">
        <f aca="false">Sens!E11163</f>
        <v>331.839</v>
      </c>
      <c r="F11181" s="6" t="n">
        <f aca="false">Sens!F11163</f>
        <v>399.407104707821</v>
      </c>
      <c r="G11181" s="6" t="n">
        <f aca="false">Sens!G11163</f>
        <v>475.197484137863</v>
      </c>
      <c r="H11181" s="6" t="n">
        <f aca="false">Sens!H11163</f>
        <v>552.773101018903</v>
      </c>
      <c r="I11181" s="6" t="n">
        <f aca="false">Sens!I11163</f>
        <v>624.326836435645</v>
      </c>
      <c r="J11181" s="6" t="n">
        <f aca="false">Sens!J11163</f>
        <v>683.058733812127</v>
      </c>
      <c r="K11181" s="6" t="n">
        <f aca="false">Sens!K11163</f>
        <v>730.312987514037</v>
      </c>
    </row>
    <row r="11182" customFormat="false" ht="15" hidden="false" customHeight="false" outlineLevel="0" collapsed="false">
      <c r="A11182" s="1" t="s">
        <v>896</v>
      </c>
      <c r="B11182" s="0" t="s">
        <v>129</v>
      </c>
      <c r="E11182" s="7" t="n">
        <f aca="false">Sens!E11181/Sens!D11181-1</f>
        <v>0.177886867998467</v>
      </c>
      <c r="F11182" s="7" t="n">
        <f aca="false">Sens!F11181/Sens!E11181-1</f>
        <v>0.203617129715978</v>
      </c>
      <c r="G11182" s="7" t="n">
        <f aca="false">Sens!G11181/Sens!F11181-1</f>
        <v>0.189757213972159</v>
      </c>
      <c r="H11182" s="7" t="n">
        <f aca="false">Sens!H11181/Sens!G11181-1</f>
        <v>0.163249216316418</v>
      </c>
      <c r="I11182" s="7" t="n">
        <f aca="false">Sens!I11181/Sens!H11181-1</f>
        <v>0.129445038633121</v>
      </c>
      <c r="J11182" s="7" t="n">
        <f aca="false">Sens!J11181/Sens!I11181-1</f>
        <v>0.0940723575359816</v>
      </c>
      <c r="K11182" s="7" t="n">
        <f aca="false">Sens!K11181/Sens!J11181-1</f>
        <v>0.0691803667280342</v>
      </c>
    </row>
    <row r="11183" customFormat="false" ht="17.15" hidden="false" customHeight="false" outlineLevel="0" collapsed="false">
      <c r="A11183" s="23" t="s">
        <v>897</v>
      </c>
      <c r="B11183" s="30" t="s">
        <v>98</v>
      </c>
      <c r="C11183" s="30"/>
      <c r="D11183" s="24" t="n">
        <f aca="false">(Sens!D11176+Sens!D11180-Sens!D11181)+(Sens!D11168+Sens!D11169-Sens!D11167)+(Sens!D11171+Sens!D11172-Sens!D11170)+(Sens!D11181-Q!L18)</f>
        <v>0</v>
      </c>
      <c r="E11183" s="24" t="n">
        <f aca="false">(Sens!E11176+Sens!E11180-Sens!E11181)+(Sens!E11168+Sens!E11169-Sens!E11167)+(Sens!E11171+Sens!E11172-Sens!E11170)+(Sens!E11181-Q!M18)</f>
        <v>0</v>
      </c>
      <c r="F11183" s="24" t="n">
        <f aca="false">(Sens!F11176+Sens!F11180-Sens!F11181)+(Sens!F11168+Sens!F11169-Sens!F11167)+(Sens!F11171+Sens!F11172-Sens!F11170)</f>
        <v>0</v>
      </c>
      <c r="G11183" s="24" t="n">
        <f aca="false">(Sens!G11176+Sens!G11180-Sens!G11181)+(Sens!G11168+Sens!G11169-Sens!G11167)+(Sens!G11171+Sens!G11172-Sens!G11170)</f>
        <v>0</v>
      </c>
      <c r="H11183" s="24" t="n">
        <f aca="false">(Sens!H11176+Sens!H11180-Sens!H11181)+(Sens!H11168+Sens!H11169-Sens!H11167)+(Sens!H11171+Sens!H11172-Sens!H11170)</f>
        <v>0</v>
      </c>
      <c r="I11183" s="24" t="n">
        <f aca="false">(Sens!I11176+Sens!I11180-Sens!I11181)+(Sens!I11168+Sens!I11169-Sens!I11167)+(Sens!I11171+Sens!I11172-Sens!I11170)</f>
        <v>0</v>
      </c>
      <c r="J11183" s="24" t="n">
        <f aca="false">(Sens!J11176+Sens!J11180-Sens!J11181)+(Sens!J11168+Sens!J11169-Sens!J11167)+(Sens!J11171+Sens!J11172-Sens!J11170)</f>
        <v>0</v>
      </c>
      <c r="K11183" s="24" t="n">
        <f aca="false">(Sens!K11176+Sens!K11180-Sens!K11181)+(Sens!K11168+Sens!K11169-Sens!K11167)+(Sens!K11171+Sens!K11172-Sens!K11170)</f>
        <v>0</v>
      </c>
    </row>
    <row r="11184" customFormat="false" ht="17.15" hidden="false" customHeight="false" outlineLevel="0" collapsed="false">
      <c r="A11184" s="0" t="s">
        <v>898</v>
      </c>
      <c r="B11184" s="0" t="s">
        <v>129</v>
      </c>
      <c r="E11184" s="7" t="n">
        <f aca="false">(Q!M21+Sens!E11121+Sens!E11122+Sens!E11123+Sens!E11136-Sens!E11119)/(Q!M5-Sens!E11119)</f>
        <v>0.570957350878296</v>
      </c>
      <c r="F11184" s="7" t="n">
        <f aca="false">Sens!$E$11184+dm_seg_lo</f>
        <v>0.550957350878296</v>
      </c>
      <c r="G11184" s="7" t="n">
        <f aca="false">Sens!$E$11184+dm_seg_lo</f>
        <v>0.550957350878296</v>
      </c>
      <c r="H11184" s="7" t="n">
        <f aca="false">Sens!$E$11184+dm_seg_lo</f>
        <v>0.550957350878296</v>
      </c>
      <c r="I11184" s="7" t="n">
        <f aca="false">Sens!$E$11184+dm_seg_lo</f>
        <v>0.550957350878296</v>
      </c>
      <c r="J11184" s="7" t="n">
        <f aca="false">Sens!$E$11184+dm_seg_lo</f>
        <v>0.550957350878296</v>
      </c>
      <c r="K11184" s="7" t="n">
        <f aca="false">Sens!$E$11184+dm_seg_lo</f>
        <v>0.550957350878296</v>
      </c>
      <c r="L11184" s="11" t="s">
        <v>899</v>
      </c>
    </row>
    <row r="11185" customFormat="false" ht="17.15" hidden="false" customHeight="false" outlineLevel="0" collapsed="false">
      <c r="A11185" s="0" t="s">
        <v>732</v>
      </c>
      <c r="B11185" s="0" t="s">
        <v>98</v>
      </c>
      <c r="D11185" s="6" t="n">
        <f aca="false">Q!L21</f>
        <v>110.814</v>
      </c>
      <c r="E11185" s="6" t="n">
        <f aca="false">Q!M21</f>
        <v>136.365</v>
      </c>
      <c r="F11185" s="6" t="n">
        <f aca="false">Sens!F11184*(Sens!F11155-Sens!F11119)+Sens!F11119-(Sens!F11121+Sens!F11122+Sens!F11123)-Sens!F11136</f>
        <v>152.014105486915</v>
      </c>
      <c r="G11185" s="6" t="n">
        <f aca="false">Sens!G11184*(Sens!G11155-Sens!G11119)+Sens!G11119-(Sens!G11121+Sens!G11122+Sens!G11123)-Sens!G11136</f>
        <v>170.808292731831</v>
      </c>
      <c r="H11185" s="6" t="n">
        <f aca="false">Sens!H11184*(Sens!H11155-Sens!H11119)+Sens!H11119-(Sens!H11121+Sens!H11122+Sens!H11123)-Sens!H11136</f>
        <v>189.655341283283</v>
      </c>
      <c r="I11185" s="6" t="n">
        <f aca="false">Sens!I11184*(Sens!I11155-Sens!I11119)+Sens!I11119-(Sens!I11121+Sens!I11122+Sens!I11123)-Sens!I11136</f>
        <v>207.630846630753</v>
      </c>
      <c r="J11185" s="6" t="n">
        <f aca="false">Sens!J11184*(Sens!J11155-Sens!J11119)+Sens!J11119-(Sens!J11121+Sens!J11122+Sens!J11123)-Sens!J11136</f>
        <v>224.309374238402</v>
      </c>
      <c r="K11185" s="6" t="n">
        <f aca="false">Sens!K11184*(Sens!K11155-Sens!K11119)+Sens!K11119-(Sens!K11121+Sens!K11122+Sens!K11123)-Sens!K11136</f>
        <v>240.570727713181</v>
      </c>
      <c r="L11185" s="1" t="s">
        <v>900</v>
      </c>
    </row>
    <row r="11186" customFormat="false" ht="17.15" hidden="false" customHeight="false" outlineLevel="0" collapsed="false">
      <c r="A11186" s="0" t="s">
        <v>901</v>
      </c>
      <c r="B11186" s="0" t="s">
        <v>129</v>
      </c>
      <c r="E11186" s="7" t="n">
        <f aca="false">Q!M22/Q!M12</f>
        <v>0.296207935710698</v>
      </c>
      <c r="F11186" s="7" t="n">
        <f aca="false">Sens!$E$11186+dm_seg_lo</f>
        <v>0.276207935710698</v>
      </c>
      <c r="G11186" s="7" t="n">
        <f aca="false">Sens!$E$11186+dm_seg_lo</f>
        <v>0.276207935710698</v>
      </c>
      <c r="H11186" s="7" t="n">
        <f aca="false">Sens!$E$11186+dm_seg_lo</f>
        <v>0.276207935710698</v>
      </c>
      <c r="I11186" s="7" t="n">
        <f aca="false">Sens!$E$11186+dm_seg_lo</f>
        <v>0.276207935710698</v>
      </c>
      <c r="J11186" s="7" t="n">
        <f aca="false">Sens!$E$11186+dm_seg_lo</f>
        <v>0.276207935710698</v>
      </c>
      <c r="K11186" s="7" t="n">
        <f aca="false">Sens!$E$11186+dm_seg_lo</f>
        <v>0.276207935710698</v>
      </c>
      <c r="L11186" s="11" t="s">
        <v>902</v>
      </c>
    </row>
    <row r="11187" customFormat="false" ht="17.15" hidden="false" customHeight="false" outlineLevel="0" collapsed="false">
      <c r="A11187" s="0" t="s">
        <v>734</v>
      </c>
      <c r="B11187" s="0" t="s">
        <v>98</v>
      </c>
      <c r="D11187" s="6" t="n">
        <f aca="false">Q!L22</f>
        <v>17.714</v>
      </c>
      <c r="E11187" s="6" t="n">
        <f aca="false">Q!M22</f>
        <v>18.872</v>
      </c>
      <c r="F11187" s="6" t="n">
        <f aca="false">Sens!F11162*Sens!F11186</f>
        <v>17.9926203619388</v>
      </c>
      <c r="G11187" s="6" t="n">
        <f aca="false">Sens!G11162*Sens!G11186</f>
        <v>18.540557417209</v>
      </c>
      <c r="H11187" s="6" t="n">
        <f aca="false">Sens!H11162*Sens!H11186</f>
        <v>19.2176656865051</v>
      </c>
      <c r="I11187" s="6" t="n">
        <f aca="false">Sens!I11162*Sens!I11186</f>
        <v>20.0038953855016</v>
      </c>
      <c r="J11187" s="6" t="n">
        <f aca="false">Sens!J11162*Sens!J11186</f>
        <v>20.8825379249846</v>
      </c>
      <c r="K11187" s="6" t="n">
        <f aca="false">Sens!K11162*Sens!K11186</f>
        <v>21.8401591334792</v>
      </c>
    </row>
    <row r="11188" customFormat="false" ht="15" hidden="false" customHeight="false" outlineLevel="0" collapsed="false">
      <c r="A11188" s="1" t="s">
        <v>903</v>
      </c>
      <c r="B11188" s="0" t="s">
        <v>98</v>
      </c>
      <c r="D11188" s="6" t="n">
        <f aca="false">Sens!D11185+Sens!D11187</f>
        <v>128.528</v>
      </c>
      <c r="E11188" s="6" t="n">
        <f aca="false">Sens!E11185+Sens!E11187</f>
        <v>155.237</v>
      </c>
      <c r="F11188" s="6" t="n">
        <f aca="false">Sens!F11185+Sens!F11187</f>
        <v>170.006725848854</v>
      </c>
      <c r="G11188" s="6" t="n">
        <f aca="false">Sens!G11185+Sens!G11187</f>
        <v>189.348850149041</v>
      </c>
      <c r="H11188" s="6" t="n">
        <f aca="false">Sens!H11185+Sens!H11187</f>
        <v>208.873006969788</v>
      </c>
      <c r="I11188" s="6" t="n">
        <f aca="false">Sens!I11185+Sens!I11187</f>
        <v>227.634742016255</v>
      </c>
      <c r="J11188" s="6" t="n">
        <f aca="false">Sens!J11185+Sens!J11187</f>
        <v>245.191912163386</v>
      </c>
      <c r="K11188" s="6" t="n">
        <f aca="false">Sens!K11185+Sens!K11187</f>
        <v>262.41088684666</v>
      </c>
    </row>
    <row r="11189" customFormat="false" ht="15" hidden="false" customHeight="false" outlineLevel="0" collapsed="false">
      <c r="A11189" s="23" t="s">
        <v>904</v>
      </c>
      <c r="B11189" s="30" t="s">
        <v>98</v>
      </c>
      <c r="C11189" s="30"/>
      <c r="D11189" s="24" t="n">
        <f aca="false">Sens!D11188-Q!L23</f>
        <v>0</v>
      </c>
      <c r="E11189" s="24" t="n">
        <f aca="false">Sens!E11188-Q!M23</f>
        <v>0</v>
      </c>
      <c r="F11189" s="30"/>
      <c r="G11189" s="30"/>
      <c r="H11189" s="30"/>
      <c r="I11189" s="30"/>
      <c r="J11189" s="30"/>
      <c r="K11189" s="30"/>
    </row>
    <row r="11190" customFormat="false" ht="15" hidden="false" customHeight="false" outlineLevel="0" collapsed="false">
      <c r="A11190" s="1" t="s">
        <v>905</v>
      </c>
      <c r="B11190" s="0" t="s">
        <v>129</v>
      </c>
      <c r="D11190" s="7" t="n">
        <f aca="false">Sens!D11188/Sens!D11181</f>
        <v>0.456219562408598</v>
      </c>
      <c r="E11190" s="7" t="n">
        <f aca="false">Sens!E11188/Sens!E11181</f>
        <v>0.467808184089272</v>
      </c>
      <c r="F11190" s="7" t="n">
        <f aca="false">Sens!F11188/Sens!F11181</f>
        <v>0.425647725954247</v>
      </c>
      <c r="G11190" s="7" t="n">
        <f aca="false">Sens!G11188/Sens!G11181</f>
        <v>0.398463494588088</v>
      </c>
      <c r="H11190" s="7" t="n">
        <f aca="false">Sens!H11188/Sens!H11181</f>
        <v>0.377863913031914</v>
      </c>
      <c r="I11190" s="7" t="n">
        <f aca="false">Sens!I11188/Sens!I11181</f>
        <v>0.364608292854826</v>
      </c>
      <c r="J11190" s="7" t="n">
        <f aca="false">Sens!J11188/Sens!J11181</f>
        <v>0.358961682247995</v>
      </c>
      <c r="K11190" s="7" t="n">
        <f aca="false">Sens!K11188/Sens!K11181</f>
        <v>0.359312912864796</v>
      </c>
    </row>
    <row r="11191" customFormat="false" ht="17.15" hidden="false" customHeight="false" outlineLevel="0" collapsed="false">
      <c r="A11191" s="1" t="s">
        <v>906</v>
      </c>
      <c r="B11191" s="0" t="s">
        <v>98</v>
      </c>
      <c r="F11191" s="6" t="n">
        <f aca="false">Sens!F11206</f>
        <v>20.1758184660572</v>
      </c>
      <c r="G11191" s="6" t="n">
        <f aca="false">Sens!G11206</f>
        <v>35.4959494439124</v>
      </c>
      <c r="H11191" s="6" t="n">
        <f aca="false">Sens!H11206</f>
        <v>52.168536514718</v>
      </c>
      <c r="I11191" s="6" t="n">
        <f aca="false">Sens!I11206</f>
        <v>67.3893432436896</v>
      </c>
      <c r="J11191" s="6" t="n">
        <f aca="false">Sens!J11206</f>
        <v>78.0628840229578</v>
      </c>
      <c r="K11191" s="6" t="n">
        <f aca="false">Sens!K11206</f>
        <v>84.0149638901295</v>
      </c>
      <c r="L11191" s="1" t="s">
        <v>907</v>
      </c>
    </row>
    <row r="11192" customFormat="false" ht="17.15" hidden="false" customHeight="false" outlineLevel="0" collapsed="false">
      <c r="A11192" s="1" t="s">
        <v>908</v>
      </c>
      <c r="B11192" s="0" t="s">
        <v>98</v>
      </c>
      <c r="D11192" s="6" t="n">
        <f aca="false">Sens!D11188</f>
        <v>128.528</v>
      </c>
      <c r="E11192" s="6" t="n">
        <f aca="false">Sens!E11188</f>
        <v>155.237</v>
      </c>
      <c r="F11192" s="6" t="n">
        <f aca="false">Sens!F11188+Sens!F11191</f>
        <v>190.182544314911</v>
      </c>
      <c r="G11192" s="6" t="n">
        <f aca="false">Sens!G11188+Sens!G11191</f>
        <v>224.844799592953</v>
      </c>
      <c r="H11192" s="6" t="n">
        <f aca="false">Sens!H11188+Sens!H11191</f>
        <v>261.041543484506</v>
      </c>
      <c r="I11192" s="6" t="n">
        <f aca="false">Sens!I11188+Sens!I11191</f>
        <v>295.024085259944</v>
      </c>
      <c r="J11192" s="6" t="n">
        <f aca="false">Sens!J11188+Sens!J11191</f>
        <v>323.254796186344</v>
      </c>
      <c r="K11192" s="6" t="n">
        <f aca="false">Sens!K11188+Sens!K11191</f>
        <v>346.42585073679</v>
      </c>
    </row>
    <row r="11193" customFormat="false" ht="17.15" hidden="false" customHeight="false" outlineLevel="0" collapsed="false">
      <c r="A11193" s="1" t="s">
        <v>909</v>
      </c>
      <c r="B11193" s="0" t="s">
        <v>98</v>
      </c>
      <c r="E11193" s="6" t="n">
        <f aca="false">Sens!E11136</f>
        <v>16.3054059770833</v>
      </c>
      <c r="F11193" s="6" t="n">
        <f aca="false">Sens!F11136</f>
        <v>34.7405354558698</v>
      </c>
      <c r="G11193" s="6" t="n">
        <f aca="false">Sens!G11136</f>
        <v>60.5067332603396</v>
      </c>
      <c r="H11193" s="6" t="n">
        <f aca="false">Sens!H11136</f>
        <v>87.7423159931396</v>
      </c>
      <c r="I11193" s="6" t="n">
        <f aca="false">Sens!I11136</f>
        <v>111.987039982221</v>
      </c>
      <c r="J11193" s="6" t="n">
        <f aca="false">Sens!J11136</f>
        <v>129.183710922666</v>
      </c>
      <c r="K11193" s="6" t="n">
        <f aca="false">Sens!K11136</f>
        <v>139.647646804474</v>
      </c>
    </row>
    <row r="11194" customFormat="false" ht="17.15" hidden="false" customHeight="false" outlineLevel="0" collapsed="false">
      <c r="A11194" s="1" t="s">
        <v>910</v>
      </c>
      <c r="B11194" s="0" t="s">
        <v>98</v>
      </c>
      <c r="E11194" s="6" t="n">
        <f aca="false">Sens!E11218</f>
        <v>22.2285940229167</v>
      </c>
      <c r="F11194" s="6" t="n">
        <f aca="false">Sens!F11218</f>
        <v>23.5636693435813</v>
      </c>
      <c r="G11194" s="6" t="n">
        <f aca="false">Sens!G11218</f>
        <v>25.3225917662621</v>
      </c>
      <c r="H11194" s="6" t="n">
        <f aca="false">Sens!H11218</f>
        <v>27.4714839540448</v>
      </c>
      <c r="I11194" s="6" t="n">
        <f aca="false">Sens!I11218</f>
        <v>29.9441755898047</v>
      </c>
      <c r="J11194" s="6" t="n">
        <f aca="false">Sens!J11218</f>
        <v>32.6578493558616</v>
      </c>
      <c r="K11194" s="6" t="n">
        <f aca="false">Sens!K11218</f>
        <v>35.5289346944749</v>
      </c>
    </row>
    <row r="11195" customFormat="false" ht="17.15" hidden="false" customHeight="false" outlineLevel="0" collapsed="false">
      <c r="A11195" s="1" t="s">
        <v>911</v>
      </c>
      <c r="B11195" s="0" t="s">
        <v>98</v>
      </c>
      <c r="D11195" s="6" t="n">
        <f aca="false">Q!L27</f>
        <v>-4.901</v>
      </c>
      <c r="E11195" s="6" t="n">
        <f aca="false">Q!M27</f>
        <v>10.697</v>
      </c>
      <c r="F11195" s="6" t="n">
        <f aca="false">oie_f</f>
        <v>-0.4</v>
      </c>
      <c r="G11195" s="6" t="n">
        <f aca="false">oie_f</f>
        <v>-0.4</v>
      </c>
      <c r="H11195" s="6" t="n">
        <f aca="false">oie_f</f>
        <v>-0.4</v>
      </c>
      <c r="I11195" s="6" t="n">
        <f aca="false">oie_f</f>
        <v>-0.4</v>
      </c>
      <c r="J11195" s="6" t="n">
        <f aca="false">oie_f</f>
        <v>-0.4</v>
      </c>
      <c r="K11195" s="6" t="n">
        <f aca="false">oie_f</f>
        <v>-0.4</v>
      </c>
      <c r="L11195" s="11" t="s">
        <v>912</v>
      </c>
    </row>
    <row r="11196" customFormat="false" ht="15" hidden="false" customHeight="false" outlineLevel="0" collapsed="false">
      <c r="A11196" s="1" t="s">
        <v>913</v>
      </c>
      <c r="B11196" s="0" t="s">
        <v>98</v>
      </c>
      <c r="D11196" s="6" t="n">
        <f aca="false">Sens!D11188+Sens!D11195</f>
        <v>123.627</v>
      </c>
      <c r="E11196" s="6" t="n">
        <f aca="false">Sens!E11188+Sens!E11195</f>
        <v>165.934</v>
      </c>
      <c r="F11196" s="6" t="n">
        <f aca="false">Sens!F11188+Sens!F11195</f>
        <v>169.606725848854</v>
      </c>
      <c r="G11196" s="6" t="n">
        <f aca="false">Sens!G11188+Sens!G11195</f>
        <v>188.94885014904</v>
      </c>
      <c r="H11196" s="6" t="n">
        <f aca="false">Sens!H11188+Sens!H11195</f>
        <v>208.473006969788</v>
      </c>
      <c r="I11196" s="6" t="n">
        <f aca="false">Sens!I11188+Sens!I11195</f>
        <v>227.234742016255</v>
      </c>
      <c r="J11196" s="6" t="n">
        <f aca="false">Sens!J11188+Sens!J11195</f>
        <v>244.791912163386</v>
      </c>
      <c r="K11196" s="6" t="n">
        <f aca="false">Sens!K11188+Sens!K11195</f>
        <v>262.01088684666</v>
      </c>
    </row>
    <row r="11197" customFormat="false" ht="15" hidden="false" customHeight="false" outlineLevel="0" collapsed="false">
      <c r="A11197" s="1" t="s">
        <v>914</v>
      </c>
      <c r="B11197" s="0" t="s">
        <v>98</v>
      </c>
      <c r="D11197" s="6" t="n">
        <f aca="false">Q!L29</f>
        <v>21.795</v>
      </c>
      <c r="E11197" s="6" t="n">
        <f aca="false">Q!M29</f>
        <v>32.185</v>
      </c>
      <c r="F11197" s="6" t="n">
        <f aca="false">Sens!F11196*tax_f</f>
        <v>33.9213451697707</v>
      </c>
      <c r="G11197" s="6" t="n">
        <f aca="false">Sens!G11196*tax_f</f>
        <v>37.7897700298081</v>
      </c>
      <c r="H11197" s="6" t="n">
        <f aca="false">Sens!H11196*tax_f</f>
        <v>41.6946013939576</v>
      </c>
      <c r="I11197" s="6" t="n">
        <f aca="false">Sens!I11196*tax_f</f>
        <v>45.4469484032509</v>
      </c>
      <c r="J11197" s="6" t="n">
        <f aca="false">Sens!J11196*tax_f</f>
        <v>48.9583824326773</v>
      </c>
      <c r="K11197" s="6" t="n">
        <f aca="false">Sens!K11196*tax_f</f>
        <v>52.402177369332</v>
      </c>
    </row>
    <row r="11198" customFormat="false" ht="15" hidden="false" customHeight="false" outlineLevel="0" collapsed="false">
      <c r="A11198" s="1" t="s">
        <v>915</v>
      </c>
      <c r="B11198" s="0" t="s">
        <v>98</v>
      </c>
      <c r="D11198" s="6" t="n">
        <f aca="false">Sens!D11196-Sens!D11197</f>
        <v>101.832</v>
      </c>
      <c r="E11198" s="6" t="n">
        <f aca="false">Sens!E11196-Sens!E11197</f>
        <v>133.749</v>
      </c>
      <c r="F11198" s="6" t="n">
        <f aca="false">Sens!F11196-Sens!F11197</f>
        <v>135.685380679083</v>
      </c>
      <c r="G11198" s="6" t="n">
        <f aca="false">Sens!G11196-Sens!G11197</f>
        <v>151.159080119232</v>
      </c>
      <c r="H11198" s="6" t="n">
        <f aca="false">Sens!H11196-Sens!H11197</f>
        <v>166.77840557583</v>
      </c>
      <c r="I11198" s="6" t="n">
        <f aca="false">Sens!I11196-Sens!I11197</f>
        <v>181.787793613004</v>
      </c>
      <c r="J11198" s="6" t="n">
        <f aca="false">Sens!J11196-Sens!J11197</f>
        <v>195.833529730709</v>
      </c>
      <c r="K11198" s="6" t="n">
        <f aca="false">Sens!K11196-Sens!K11197</f>
        <v>209.608709477328</v>
      </c>
    </row>
    <row r="11199" customFormat="false" ht="17.15" hidden="false" customHeight="false" outlineLevel="0" collapsed="false">
      <c r="A11199" s="1" t="s">
        <v>916</v>
      </c>
      <c r="B11199" s="1" t="s">
        <v>81</v>
      </c>
      <c r="D11199" s="14" t="n">
        <f aca="false">Q!L31</f>
        <v>7.465</v>
      </c>
      <c r="E11199" s="14" t="n">
        <f aca="false">Q!M31</f>
        <v>7.453</v>
      </c>
      <c r="F11199" s="14" t="n">
        <f aca="false">Sens!F11240</f>
        <v>7.4735</v>
      </c>
      <c r="G11199" s="14" t="n">
        <f aca="false">Sens!G11240</f>
        <v>7.5185</v>
      </c>
      <c r="H11199" s="14" t="n">
        <f aca="false">Sens!H11240</f>
        <v>7.54625158584995</v>
      </c>
      <c r="I11199" s="14" t="n">
        <f aca="false">Sens!I11240</f>
        <v>7.55803241785726</v>
      </c>
      <c r="J11199" s="14" t="n">
        <f aca="false">Sens!J11240</f>
        <v>7.57227392897515</v>
      </c>
      <c r="K11199" s="14" t="n">
        <f aca="false">Sens!K11240</f>
        <v>7.58879384667689</v>
      </c>
    </row>
    <row r="11200" customFormat="false" ht="17.15" hidden="false" customHeight="false" outlineLevel="0" collapsed="false">
      <c r="A11200" s="0" t="s">
        <v>917</v>
      </c>
      <c r="B11200" s="0" t="s">
        <v>75</v>
      </c>
      <c r="D11200" s="8" t="n">
        <f aca="false">Sens!D11198/Sens!D11199</f>
        <v>13.641259209645</v>
      </c>
      <c r="E11200" s="8" t="n">
        <f aca="false">Sens!E11198/Sens!E11199</f>
        <v>17.9456594659869</v>
      </c>
      <c r="F11200" s="8" t="n">
        <f aca="false">Sens!F11198/Sens!F11199</f>
        <v>18.1555336427488</v>
      </c>
      <c r="G11200" s="8" t="n">
        <f aca="false">Sens!G11198/Sens!G11199</f>
        <v>20.1049518014541</v>
      </c>
      <c r="H11200" s="8" t="n">
        <f aca="false">Sens!H11198/Sens!H11199</f>
        <v>22.1008276332263</v>
      </c>
      <c r="I11200" s="8" t="n">
        <f aca="false">Sens!I11198/Sens!I11199</f>
        <v>24.0522643411129</v>
      </c>
      <c r="J11200" s="8" t="n">
        <f aca="false">Sens!J11198/Sens!J11199</f>
        <v>25.8619183045341</v>
      </c>
      <c r="K11200" s="8" t="n">
        <f aca="false">Sens!K11198/Sens!K11199</f>
        <v>27.620820081852</v>
      </c>
      <c r="L11200" s="1" t="s">
        <v>918</v>
      </c>
    </row>
    <row r="11201" customFormat="false" ht="17.15" hidden="false" customHeight="false" outlineLevel="0" collapsed="false">
      <c r="A11201" s="1" t="s">
        <v>919</v>
      </c>
      <c r="B11201" s="0" t="s">
        <v>98</v>
      </c>
      <c r="D11201" s="6" t="n">
        <f aca="false">Sens!D11198</f>
        <v>101.832</v>
      </c>
      <c r="E11201" s="6" t="n">
        <f aca="false">Sens!E11198</f>
        <v>133.749</v>
      </c>
      <c r="F11201" s="6" t="n">
        <f aca="false">Sens!F11198+Sens!F11191*(1-tax_f)</f>
        <v>151.826035451929</v>
      </c>
      <c r="G11201" s="6" t="n">
        <f aca="false">Sens!G11198+Sens!G11191*(1-tax_f)</f>
        <v>179.555839674362</v>
      </c>
      <c r="H11201" s="6" t="n">
        <f aca="false">Sens!H11198+Sens!H11191*(1-tax_f)</f>
        <v>208.513234787605</v>
      </c>
      <c r="I11201" s="6" t="n">
        <f aca="false">Sens!I11198+Sens!I11191*(1-tax_f)</f>
        <v>235.699268207955</v>
      </c>
      <c r="J11201" s="6" t="n">
        <f aca="false">Sens!J11198+Sens!J11191*(1-tax_f)</f>
        <v>258.283836949075</v>
      </c>
      <c r="K11201" s="6" t="n">
        <f aca="false">Sens!K11198+Sens!K11191*(1-tax_f)</f>
        <v>276.820680589432</v>
      </c>
    </row>
    <row r="11202" customFormat="false" ht="17.15" hidden="false" customHeight="false" outlineLevel="0" collapsed="false">
      <c r="A11202" s="0" t="s">
        <v>920</v>
      </c>
      <c r="B11202" s="0" t="s">
        <v>75</v>
      </c>
      <c r="D11202" s="8" t="n">
        <f aca="false">Sens!D11201/Sens!D11199</f>
        <v>13.641259209645</v>
      </c>
      <c r="E11202" s="8" t="n">
        <f aca="false">Sens!E11201/Sens!E11199</f>
        <v>17.9456594659869</v>
      </c>
      <c r="F11202" s="8" t="n">
        <f aca="false">Sens!F11201/Sens!F11199</f>
        <v>20.3152519504822</v>
      </c>
      <c r="G11202" s="8" t="n">
        <f aca="false">Sens!G11201/Sens!G11199</f>
        <v>23.8818700105556</v>
      </c>
      <c r="H11202" s="8" t="n">
        <f aca="false">Sens!H11201/Sens!H11199</f>
        <v>27.6313653759689</v>
      </c>
      <c r="I11202" s="8" t="n">
        <f aca="false">Sens!I11201/Sens!I11199</f>
        <v>31.1852682255069</v>
      </c>
      <c r="J11202" s="8" t="n">
        <f aca="false">Sens!J11201/Sens!J11199</f>
        <v>34.1091512763105</v>
      </c>
      <c r="K11202" s="8" t="n">
        <f aca="false">Sens!K11201/Sens!K11199</f>
        <v>36.4775596995102</v>
      </c>
      <c r="L11202" s="1" t="s">
        <v>921</v>
      </c>
    </row>
    <row r="11203" customFormat="false" ht="17.15" hidden="false" customHeight="false" outlineLevel="0" collapsed="false">
      <c r="A11203" s="0" t="s">
        <v>922</v>
      </c>
      <c r="B11203" s="0" t="s">
        <v>129</v>
      </c>
      <c r="E11203" s="7" t="n">
        <f aca="false">Sens!E11202/Sens!D11202-1</f>
        <v>0.315542736208578</v>
      </c>
      <c r="F11203" s="7" t="n">
        <f aca="false">Sens!F11202/Sens!E11202-1</f>
        <v>0.132042652931564</v>
      </c>
      <c r="G11203" s="7" t="n">
        <f aca="false">Sens!G11202/Sens!F11202-1</f>
        <v>0.17556356518575</v>
      </c>
      <c r="H11203" s="7" t="n">
        <f aca="false">Sens!H11202/Sens!G11202-1</f>
        <v>0.157001749182791</v>
      </c>
      <c r="I11203" s="7" t="n">
        <f aca="false">Sens!I11202/Sens!H11202-1</f>
        <v>0.128618430583561</v>
      </c>
      <c r="J11203" s="7" t="n">
        <f aca="false">Sens!J11202/Sens!I11202-1</f>
        <v>0.0937584704951189</v>
      </c>
      <c r="K11203" s="7" t="n">
        <f aca="false">Sens!K11202/Sens!J11202-1</f>
        <v>0.0694361581739089</v>
      </c>
    </row>
    <row r="11204" customFormat="false" ht="17.15" hidden="false" customHeight="false" outlineLevel="0" collapsed="false">
      <c r="A11204" s="0" t="s">
        <v>846</v>
      </c>
      <c r="B11204" s="0" t="s">
        <v>98</v>
      </c>
      <c r="E11204" s="6" t="n">
        <f aca="false">Sens!E11145</f>
        <v>5.25</v>
      </c>
      <c r="F11204" s="6" t="n">
        <f aca="false">Sens!F11145</f>
        <v>12</v>
      </c>
      <c r="G11204" s="6" t="n">
        <f aca="false">Sens!G11145</f>
        <v>18</v>
      </c>
      <c r="H11204" s="6" t="n">
        <f aca="false">Sens!H11145</f>
        <v>24</v>
      </c>
      <c r="I11204" s="6" t="n">
        <f aca="false">Sens!I11145</f>
        <v>28.5</v>
      </c>
      <c r="J11204" s="6" t="n">
        <f aca="false">Sens!J11145</f>
        <v>31.5</v>
      </c>
      <c r="K11204" s="6" t="n">
        <f aca="false">Sens!K11145</f>
        <v>34.5</v>
      </c>
    </row>
    <row r="11205" customFormat="false" ht="17.15" hidden="false" customHeight="false" outlineLevel="0" collapsed="false">
      <c r="A11205" s="1" t="s">
        <v>847</v>
      </c>
      <c r="B11205" s="0" t="s">
        <v>98</v>
      </c>
      <c r="F11205" s="6" t="n">
        <f aca="false">MAX(0,(Sens!E11108+Sens!F11108)/2*Sens!F11116/1000-Sens!F11204*Sens!F11184)</f>
        <v>20.1758184660572</v>
      </c>
      <c r="G11205" s="6" t="n">
        <f aca="false">MAX(0,(Sens!F11108+Sens!G11108)/2*Sens!G11116/1000-Sens!G11204*Sens!G11184)</f>
        <v>35.4959494439124</v>
      </c>
      <c r="H11205" s="6" t="n">
        <f aca="false">MAX(0,(Sens!G11108+Sens!H11108)/2*Sens!H11116/1000-Sens!H11204*Sens!H11184)</f>
        <v>52.168536514718</v>
      </c>
      <c r="I11205" s="6" t="n">
        <f aca="false">MAX(0,(Sens!H11108+Sens!I11108)/2*Sens!I11116/1000-Sens!I11204*Sens!I11184)</f>
        <v>67.3893432436896</v>
      </c>
      <c r="J11205" s="6" t="n">
        <f aca="false">MAX(0,(Sens!I11108+Sens!J11108)/2*Sens!J11116/1000-Sens!J11204*Sens!J11184)</f>
        <v>78.0628840229578</v>
      </c>
      <c r="K11205" s="6" t="n">
        <f aca="false">MAX(0,(Sens!J11108+Sens!K11108)/2*Sens!K11116/1000-Sens!K11204*Sens!K11184)</f>
        <v>84.0149638901295</v>
      </c>
      <c r="L11205" s="1" t="s">
        <v>848</v>
      </c>
    </row>
    <row r="11206" customFormat="false" ht="17.15" hidden="false" customHeight="false" outlineLevel="0" collapsed="false">
      <c r="A11206" s="1" t="s">
        <v>849</v>
      </c>
      <c r="B11206" s="0" t="s">
        <v>98</v>
      </c>
      <c r="F11206" s="6" t="n">
        <f aca="false">IF(internal_ai_reading=2,1,0)*Sens!F11205</f>
        <v>20.1758184660572</v>
      </c>
      <c r="G11206" s="6" t="n">
        <f aca="false">IF(internal_ai_reading=2,1,0)*Sens!G11205</f>
        <v>35.4959494439124</v>
      </c>
      <c r="H11206" s="6" t="n">
        <f aca="false">IF(internal_ai_reading=2,1,0)*Sens!H11205</f>
        <v>52.168536514718</v>
      </c>
      <c r="I11206" s="6" t="n">
        <f aca="false">IF(internal_ai_reading=2,1,0)*Sens!I11205</f>
        <v>67.3893432436896</v>
      </c>
      <c r="J11206" s="6" t="n">
        <f aca="false">IF(internal_ai_reading=2,1,0)*Sens!J11205</f>
        <v>78.0628840229578</v>
      </c>
      <c r="K11206" s="6" t="n">
        <f aca="false">IF(internal_ai_reading=2,1,0)*Sens!K11205</f>
        <v>84.0149638901295</v>
      </c>
    </row>
    <row r="11207" customFormat="false" ht="17.15" hidden="false" customHeight="false" outlineLevel="0" collapsed="false">
      <c r="A11207" s="0" t="s">
        <v>850</v>
      </c>
      <c r="B11207" s="0" t="s">
        <v>98</v>
      </c>
      <c r="F11207" s="6" t="n">
        <f aca="false">Sens!F11125+Sens!F11204*Sens!F11184+Sens!F11206-Sens!F11126-Sens!F11136</f>
        <v>24.973281419411</v>
      </c>
      <c r="G11207" s="6" t="n">
        <f aca="false">Sens!G11125+Sens!G11204*Sens!G11184+Sens!G11206-Sens!G11126-Sens!G11136</f>
        <v>40.6745718830232</v>
      </c>
      <c r="H11207" s="6" t="n">
        <f aca="false">Sens!H11125+Sens!H11204*Sens!H11184+Sens!H11206-Sens!H11126-Sens!H11136</f>
        <v>57.6054114245065</v>
      </c>
      <c r="I11207" s="6" t="n">
        <f aca="false">Sens!I11125+Sens!I11204*Sens!I11184+Sens!I11206-Sens!I11126-Sens!I11136</f>
        <v>72.6838259474904</v>
      </c>
      <c r="J11207" s="6" t="n">
        <f aca="false">Sens!J11125+Sens!J11204*Sens!J11184+Sens!J11206-Sens!J11126-Sens!J11136</f>
        <v>83.1134007011916</v>
      </c>
      <c r="K11207" s="6" t="n">
        <f aca="false">Sens!K11125+Sens!K11204*Sens!K11184+Sens!K11206-Sens!K11126-Sens!K11136</f>
        <v>90.3492338726818</v>
      </c>
    </row>
    <row r="11208" customFormat="false" ht="17.15" hidden="false" customHeight="false" outlineLevel="0" collapsed="false">
      <c r="A11208" s="0" t="s">
        <v>851</v>
      </c>
      <c r="B11208" s="0" t="s">
        <v>98</v>
      </c>
      <c r="E11208" s="6" t="n">
        <f aca="false">Sens!E11107*(cxit_open+self_build*tk_cxfac)/1000*ai_net_open</f>
        <v>126.6980382</v>
      </c>
      <c r="F11208" s="6" t="n">
        <f aca="false">Sens!E11208+Sens!F11133-Sens!F11136</f>
        <v>260.578155514568</v>
      </c>
      <c r="G11208" s="6" t="n">
        <f aca="false">Sens!F11208+Sens!G11133-Sens!G11136</f>
        <v>383.645602737428</v>
      </c>
      <c r="H11208" s="6" t="n">
        <f aca="false">Sens!G11208+Sens!H11133-Sens!H11136</f>
        <v>483.983572654688</v>
      </c>
      <c r="I11208" s="6" t="n">
        <f aca="false">Sens!H11208+Sens!I11133-Sens!I11136</f>
        <v>535.703201826713</v>
      </c>
      <c r="J11208" s="6" t="n">
        <f aca="false">Sens!I11208+Sens!J11133-Sens!J11136</f>
        <v>531.031967622137</v>
      </c>
      <c r="K11208" s="6" t="n">
        <f aca="false">Sens!J11208+Sens!K11133-Sens!K11136</f>
        <v>506.3437564596</v>
      </c>
      <c r="L11208" s="1" t="s">
        <v>852</v>
      </c>
    </row>
    <row r="11209" customFormat="false" ht="17.15" hidden="false" customHeight="false" outlineLevel="0" collapsed="false">
      <c r="A11209" s="0" t="s">
        <v>853</v>
      </c>
      <c r="B11209" s="0" t="s">
        <v>129</v>
      </c>
      <c r="F11209" s="7" t="n">
        <f aca="false">Sens!F11207*(1-tax_f)/((Sens!E11208+Sens!F11208)/2)</f>
        <v>0.103175074842083</v>
      </c>
      <c r="G11209" s="7" t="n">
        <f aca="false">Sens!G11207*(1-tax_f)/((Sens!F11208+Sens!G11208)/2)</f>
        <v>0.101019737597725</v>
      </c>
      <c r="H11209" s="7" t="n">
        <f aca="false">Sens!H11207*(1-tax_f)/((Sens!G11208+Sens!H11208)/2)</f>
        <v>0.106230473678522</v>
      </c>
      <c r="I11209" s="7" t="n">
        <f aca="false">Sens!I11207*(1-tax_f)/((Sens!H11208+Sens!I11208)/2)</f>
        <v>0.114048867187799</v>
      </c>
      <c r="J11209" s="7" t="n">
        <f aca="false">Sens!J11207*(1-tax_f)/((Sens!I11208+Sens!J11208)/2)</f>
        <v>0.124662095082713</v>
      </c>
      <c r="K11209" s="7" t="n">
        <f aca="false">Sens!K11207*(1-tax_f)/((Sens!J11208+Sens!K11208)/2)</f>
        <v>0.139350450218267</v>
      </c>
    </row>
    <row r="11210" customFormat="false" ht="17.15" hidden="false" customHeight="false" outlineLevel="0" collapsed="false">
      <c r="A11210" s="1" t="s">
        <v>854</v>
      </c>
      <c r="B11210" s="0" t="s">
        <v>129</v>
      </c>
      <c r="F11210" s="7" t="n">
        <f aca="false">(Sens!F11207-Sens!F11206)*(1-tax_f)/((Sens!E11208+Sens!F11208)/2)</f>
        <v>0.0198203268105436</v>
      </c>
      <c r="G11210" s="7" t="n">
        <f aca="false">(Sens!G11207-Sens!G11206)*(1-tax_f)/((Sens!F11208+Sens!G11208)/2)</f>
        <v>0.0128616739082387</v>
      </c>
      <c r="H11210" s="7" t="n">
        <f aca="false">(Sens!H11207-Sens!H11206)*(1-tax_f)/((Sens!G11208+Sens!H11208)/2)</f>
        <v>0.0100261725889176</v>
      </c>
      <c r="I11210" s="7" t="n">
        <f aca="false">(Sens!I11207-Sens!I11206)*(1-tax_f)/((Sens!H11208+Sens!I11208)/2)</f>
        <v>0.00830762204441607</v>
      </c>
      <c r="J11210" s="7" t="n">
        <f aca="false">(Sens!J11207-Sens!J11206)*(1-tax_f)/((Sens!I11208+Sens!J11208)/2)</f>
        <v>0.00757528852203229</v>
      </c>
      <c r="K11210" s="7" t="n">
        <f aca="false">(Sens!K11207-Sens!K11206)*(1-tax_f)/((Sens!J11208+Sens!K11208)/2)</f>
        <v>0.00976968299605704</v>
      </c>
    </row>
    <row r="11211" customFormat="false" ht="17.15" hidden="false" customHeight="false" outlineLevel="0" collapsed="false">
      <c r="A11211" s="1" t="s">
        <v>855</v>
      </c>
      <c r="B11211" s="0" t="s">
        <v>129</v>
      </c>
      <c r="F11211" s="7" t="n">
        <f aca="false">(Sens!F11207-Sens!F11206+Sens!F11205)*(1-tax_f)/((Sens!E11208+Sens!F11208)/2)</f>
        <v>0.103175074842083</v>
      </c>
      <c r="G11211" s="7" t="n">
        <f aca="false">(Sens!G11207-Sens!G11206+Sens!G11205)*(1-tax_f)/((Sens!F11208+Sens!G11208)/2)</f>
        <v>0.101019737597725</v>
      </c>
      <c r="H11211" s="7" t="n">
        <f aca="false">(Sens!H11207-Sens!H11206+Sens!H11205)*(1-tax_f)/((Sens!G11208+Sens!H11208)/2)</f>
        <v>0.106230473678522</v>
      </c>
      <c r="I11211" s="7" t="n">
        <f aca="false">(Sens!I11207-Sens!I11206+Sens!I11205)*(1-tax_f)/((Sens!H11208+Sens!I11208)/2)</f>
        <v>0.114048867187799</v>
      </c>
      <c r="J11211" s="7" t="n">
        <f aca="false">(Sens!J11207-Sens!J11206+Sens!J11205)*(1-tax_f)/((Sens!I11208+Sens!J11208)/2)</f>
        <v>0.124662095082713</v>
      </c>
      <c r="K11211" s="7" t="n">
        <f aca="false">(Sens!K11207-Sens!K11206+Sens!K11205)*(1-tax_f)/((Sens!J11208+Sens!K11208)/2)</f>
        <v>0.139350450218267</v>
      </c>
    </row>
    <row r="11212" customFormat="false" ht="17.15" hidden="false" customHeight="false" outlineLevel="0" collapsed="false">
      <c r="A11212" s="1" t="s">
        <v>856</v>
      </c>
      <c r="B11212" s="0" t="s">
        <v>129</v>
      </c>
      <c r="F11212" s="7" t="n">
        <f aca="false">Sens!F11137*(1-tax_f)/(Sens!F11124*(Sens!E11208+Sens!F11208)/2)</f>
        <v>0.128178079126594</v>
      </c>
      <c r="G11212" s="7" t="n">
        <f aca="false">Sens!G11137*(1-tax_f)/(Sens!G11124*(Sens!F11208+Sens!G11208)/2)</f>
        <v>0.125209972318428</v>
      </c>
      <c r="H11212" s="7" t="n">
        <f aca="false">Sens!H11137*(1-tax_f)/(Sens!H11124*(Sens!G11208+Sens!H11208)/2)</f>
        <v>0.130852385928537</v>
      </c>
      <c r="I11212" s="7" t="n">
        <f aca="false">Sens!I11137*(1-tax_f)/(Sens!I11124*(Sens!H11208+Sens!I11208)/2)</f>
        <v>0.139991661146938</v>
      </c>
      <c r="J11212" s="7" t="n">
        <f aca="false">Sens!J11137*(1-tax_f)/(Sens!J11124*(Sens!I11208+Sens!J11208)/2)</f>
        <v>0.152806946444463</v>
      </c>
      <c r="K11212" s="7" t="n">
        <f aca="false">Sens!K11137*(1-tax_f)/(Sens!K11124*(Sens!J11208+Sens!K11208)/2)</f>
        <v>0.170548941900337</v>
      </c>
    </row>
    <row r="11213" customFormat="false" ht="17.15" hidden="false" customHeight="false" outlineLevel="0" collapsed="false">
      <c r="A11213" s="0" t="s">
        <v>857</v>
      </c>
      <c r="B11213" s="0" t="s">
        <v>209</v>
      </c>
      <c r="F11213" s="7" t="n">
        <f aca="false">Sens!F11209-wacc</f>
        <v>0.0002406547492073</v>
      </c>
      <c r="G11213" s="7" t="n">
        <f aca="false">Sens!G11209-wacc</f>
        <v>-0.00191468249515041</v>
      </c>
      <c r="H11213" s="7" t="n">
        <f aca="false">Sens!H11209-wacc</f>
        <v>0.00329605358564671</v>
      </c>
      <c r="I11213" s="7" t="n">
        <f aca="false">Sens!I11209-wacc</f>
        <v>0.0111144470949234</v>
      </c>
      <c r="J11213" s="7" t="n">
        <f aca="false">Sens!J11209-wacc</f>
        <v>0.0217276749898373</v>
      </c>
      <c r="K11213" s="7" t="n">
        <f aca="false">Sens!K11209-wacc</f>
        <v>0.0364160301253913</v>
      </c>
    </row>
    <row r="11214" customFormat="false" ht="17.15" hidden="false" customHeight="false" outlineLevel="0" collapsed="false">
      <c r="A11214" s="0" t="s">
        <v>858</v>
      </c>
      <c r="B11214" s="0" t="s">
        <v>98</v>
      </c>
      <c r="F11214" s="6" t="n">
        <f aca="false">Sens!F11207*(1-tax_f)-wacc*(Sens!E11208+Sens!F11208)/2</f>
        <v>0.0465999276361693</v>
      </c>
      <c r="G11214" s="6" t="n">
        <f aca="false">Sens!G11207*(1-tax_f)-wacc*(Sens!F11208+Sens!G11208)/2</f>
        <v>-0.616741976442548</v>
      </c>
      <c r="H11214" s="6" t="n">
        <f aca="false">Sens!H11207*(1-tax_f)-wacc*(Sens!G11208+Sens!H11208)/2</f>
        <v>1.42987612728144</v>
      </c>
      <c r="I11214" s="6" t="n">
        <f aca="false">Sens!I11207*(1-tax_f)-wacc*(Sens!H11208+Sens!I11208)/2</f>
        <v>5.66662735418333</v>
      </c>
      <c r="J11214" s="6" t="n">
        <f aca="false">Sens!J11207*(1-tax_f)-wacc*(Sens!I11208+Sens!J11208)/2</f>
        <v>11.5888375310068</v>
      </c>
      <c r="K11214" s="6" t="n">
        <f aca="false">Sens!K11207*(1-tax_f)-wacc*(Sens!J11208+Sens!K11208)/2</f>
        <v>18.8885528097551</v>
      </c>
    </row>
    <row r="11215" customFormat="false" ht="17.15" hidden="false" customHeight="false" outlineLevel="0" collapsed="false">
      <c r="A11215" s="3" t="s">
        <v>1527</v>
      </c>
    </row>
    <row r="11216" customFormat="false" ht="15" hidden="false" customHeight="false" outlineLevel="0" collapsed="false">
      <c r="A11216" s="4" t="s">
        <v>43</v>
      </c>
      <c r="B11216" s="4" t="s">
        <v>65</v>
      </c>
      <c r="C11216" s="20" t="s">
        <v>788</v>
      </c>
      <c r="D11216" s="20" t="s">
        <v>789</v>
      </c>
      <c r="E11216" s="20" t="s">
        <v>790</v>
      </c>
      <c r="F11216" s="20" t="s">
        <v>791</v>
      </c>
      <c r="G11216" s="20" t="s">
        <v>792</v>
      </c>
      <c r="H11216" s="20" t="s">
        <v>793</v>
      </c>
      <c r="I11216" s="20" t="s">
        <v>794</v>
      </c>
      <c r="J11216" s="20" t="s">
        <v>795</v>
      </c>
      <c r="K11216" s="20" t="s">
        <v>796</v>
      </c>
      <c r="L11216" s="4" t="s">
        <v>47</v>
      </c>
    </row>
    <row r="11217" customFormat="false" ht="15" hidden="false" customHeight="false" outlineLevel="0" collapsed="false">
      <c r="A11217" s="1" t="s">
        <v>915</v>
      </c>
      <c r="B11217" s="0" t="s">
        <v>98</v>
      </c>
      <c r="F11217" s="6" t="n">
        <f aca="false">Sens!F11198</f>
        <v>135.685380679083</v>
      </c>
      <c r="G11217" s="6" t="n">
        <f aca="false">Sens!G11198</f>
        <v>151.159080119232</v>
      </c>
      <c r="H11217" s="6" t="n">
        <f aca="false">Sens!H11198</f>
        <v>166.77840557583</v>
      </c>
      <c r="I11217" s="6" t="n">
        <f aca="false">Sens!I11198</f>
        <v>181.787793613004</v>
      </c>
      <c r="J11217" s="6" t="n">
        <f aca="false">Sens!J11198</f>
        <v>195.833529730709</v>
      </c>
      <c r="K11217" s="6" t="n">
        <f aca="false">Sens!K11198</f>
        <v>209.608709477328</v>
      </c>
    </row>
    <row r="11218" customFormat="false" ht="17.15" hidden="false" customHeight="false" outlineLevel="0" collapsed="false">
      <c r="A11218" s="1" t="s">
        <v>937</v>
      </c>
      <c r="B11218" s="0" t="s">
        <v>98</v>
      </c>
      <c r="E11218" s="6" t="n">
        <f aca="false">Q!M38-Sens!E11136</f>
        <v>22.2285940229167</v>
      </c>
      <c r="F11218" s="6" t="n">
        <f aca="false">Sens!E11218*(1-1/life_nonai)+Sens!F11224/life_nonai</f>
        <v>23.5636693435813</v>
      </c>
      <c r="G11218" s="6" t="n">
        <f aca="false">Sens!F11218*(1-1/life_nonai)+Sens!G11224/life_nonai</f>
        <v>25.3225917662621</v>
      </c>
      <c r="H11218" s="6" t="n">
        <f aca="false">Sens!G11218*(1-1/life_nonai)+Sens!H11224/life_nonai</f>
        <v>27.4714839540448</v>
      </c>
      <c r="I11218" s="6" t="n">
        <f aca="false">Sens!H11218*(1-1/life_nonai)+Sens!I11224/life_nonai</f>
        <v>29.9441755898047</v>
      </c>
      <c r="J11218" s="6" t="n">
        <f aca="false">Sens!I11218*(1-1/life_nonai)+Sens!J11224/life_nonai</f>
        <v>32.6578493558616</v>
      </c>
      <c r="K11218" s="6" t="n">
        <f aca="false">Sens!J11218*(1-1/life_nonai)+Sens!K11224/life_nonai</f>
        <v>35.5289346944749</v>
      </c>
      <c r="L11218" s="11" t="s">
        <v>938</v>
      </c>
    </row>
    <row r="11219" customFormat="false" ht="17.15" hidden="false" customHeight="false" outlineLevel="0" collapsed="false">
      <c r="A11219" s="1" t="s">
        <v>939</v>
      </c>
      <c r="B11219" s="0" t="s">
        <v>98</v>
      </c>
      <c r="E11219" s="6" t="n">
        <f aca="false">Sens!E11136+Sens!E11218</f>
        <v>38.534</v>
      </c>
      <c r="F11219" s="6" t="n">
        <f aca="false">Sens!F11136+Sens!F11218</f>
        <v>58.304204799451</v>
      </c>
      <c r="G11219" s="6" t="n">
        <f aca="false">Sens!G11136+Sens!G11218</f>
        <v>85.8293250266017</v>
      </c>
      <c r="H11219" s="6" t="n">
        <f aca="false">Sens!H11136+Sens!H11218</f>
        <v>115.213799947184</v>
      </c>
      <c r="I11219" s="6" t="n">
        <f aca="false">Sens!I11136+Sens!I11218</f>
        <v>141.931215572026</v>
      </c>
      <c r="J11219" s="6" t="n">
        <f aca="false">Sens!J11136+Sens!J11218</f>
        <v>161.841560278527</v>
      </c>
      <c r="K11219" s="6" t="n">
        <f aca="false">Sens!K11136+Sens!K11218</f>
        <v>175.176581498948</v>
      </c>
    </row>
    <row r="11220" customFormat="false" ht="17.15" hidden="false" customHeight="false" outlineLevel="0" collapsed="false">
      <c r="A11220" s="1" t="s">
        <v>940</v>
      </c>
      <c r="B11220" s="0" t="s">
        <v>98</v>
      </c>
      <c r="F11220" s="6" t="n">
        <f aca="false">Sens!F11163*sbc_r</f>
        <v>14.9308704941267</v>
      </c>
      <c r="G11220" s="6" t="n">
        <f aca="false">Sens!G11163*sbc_r</f>
        <v>17.7641108812713</v>
      </c>
      <c r="H11220" s="6" t="n">
        <f aca="false">Sens!H11163*sbc_r</f>
        <v>20.6640880611968</v>
      </c>
      <c r="I11220" s="6" t="n">
        <f aca="false">Sens!I11163*sbc_r</f>
        <v>23.3389517385966</v>
      </c>
      <c r="J11220" s="6" t="n">
        <f aca="false">Sens!J11163*sbc_r</f>
        <v>25.5345019510649</v>
      </c>
      <c r="K11220" s="6" t="n">
        <f aca="false">Sens!K11163*sbc_r</f>
        <v>27.3009881602573</v>
      </c>
    </row>
    <row r="11221" customFormat="false" ht="17.15" hidden="false" customHeight="false" outlineLevel="0" collapsed="false">
      <c r="A11221" s="1" t="s">
        <v>941</v>
      </c>
      <c r="B11221" s="0" t="s">
        <v>98</v>
      </c>
      <c r="F11221" s="6" t="n">
        <f aca="false">wc27</f>
        <v>-4.895</v>
      </c>
      <c r="G11221" s="6" t="n">
        <f aca="false">wc_f</f>
        <v>0</v>
      </c>
      <c r="H11221" s="6" t="n">
        <f aca="false">wc_f</f>
        <v>0</v>
      </c>
      <c r="I11221" s="6" t="n">
        <f aca="false">wc_f</f>
        <v>0</v>
      </c>
      <c r="J11221" s="6" t="n">
        <f aca="false">wc_f</f>
        <v>0</v>
      </c>
      <c r="K11221" s="6" t="n">
        <f aca="false">wc_f</f>
        <v>0</v>
      </c>
      <c r="L11221" s="11" t="s">
        <v>942</v>
      </c>
    </row>
    <row r="11222" customFormat="false" ht="15" hidden="false" customHeight="false" outlineLevel="0" collapsed="false">
      <c r="A11222" s="1" t="s">
        <v>756</v>
      </c>
      <c r="B11222" s="0" t="s">
        <v>98</v>
      </c>
      <c r="E11222" s="6" t="n">
        <f aca="false">Q!M35</f>
        <v>182.935</v>
      </c>
      <c r="F11222" s="6" t="n">
        <f aca="false">Sens!F11217+Sens!F11219+Sens!F11220+Sens!F11221</f>
        <v>204.025455972661</v>
      </c>
      <c r="G11222" s="6" t="n">
        <f aca="false">Sens!G11217+Sens!G11219+Sens!G11220+Sens!G11221</f>
        <v>254.752516027105</v>
      </c>
      <c r="H11222" s="6" t="n">
        <f aca="false">Sens!H11217+Sens!H11219+Sens!H11220+Sens!H11221</f>
        <v>302.656293584211</v>
      </c>
      <c r="I11222" s="6" t="n">
        <f aca="false">Sens!I11217+Sens!I11219+Sens!I11220+Sens!I11221</f>
        <v>347.057960923626</v>
      </c>
      <c r="J11222" s="6" t="n">
        <f aca="false">Sens!J11217+Sens!J11219+Sens!J11220+Sens!J11221</f>
        <v>383.209591960301</v>
      </c>
      <c r="K11222" s="6" t="n">
        <f aca="false">Sens!K11217+Sens!K11219+Sens!K11220+Sens!K11221</f>
        <v>412.086279136534</v>
      </c>
    </row>
    <row r="11223" customFormat="false" ht="17.15" hidden="false" customHeight="false" outlineLevel="0" collapsed="false">
      <c r="A11223" s="0" t="s">
        <v>943</v>
      </c>
      <c r="B11223" s="0" t="s">
        <v>98</v>
      </c>
      <c r="F11223" s="6" t="n">
        <f aca="false">Sens!F11133</f>
        <v>168.620652770438</v>
      </c>
      <c r="G11223" s="6" t="n">
        <f aca="false">Sens!G11133</f>
        <v>183.5741804832</v>
      </c>
      <c r="H11223" s="6" t="n">
        <f aca="false">Sens!H11133</f>
        <v>188.0802859104</v>
      </c>
      <c r="I11223" s="6" t="n">
        <f aca="false">Sens!I11133</f>
        <v>163.706669154245</v>
      </c>
      <c r="J11223" s="6" t="n">
        <f aca="false">Sens!J11133</f>
        <v>124.51247671809</v>
      </c>
      <c r="K11223" s="6" t="n">
        <f aca="false">Sens!K11133</f>
        <v>114.959435641936</v>
      </c>
    </row>
    <row r="11224" customFormat="false" ht="17.15" hidden="false" customHeight="false" outlineLevel="0" collapsed="false">
      <c r="A11224" s="1" t="s">
        <v>944</v>
      </c>
      <c r="B11224" s="0" t="s">
        <v>98</v>
      </c>
      <c r="E11224" s="6" t="n">
        <f aca="false">Sens!E11141*cx_azo+Sens!E11148*cx_m365+Sens!E11149*cx_lic+(Sens!E11151+Sens!E11153)*cx_ind+Sens!E11156*cx_srch+(Sens!E11158+Sens!E11160)*cx_dev</f>
        <v>30.1846587067718</v>
      </c>
      <c r="F11224" s="6" t="n">
        <f aca="false">Sens!F11141*cx_azo+Sens!F11148*cx_m365+Sens!F11149*cx_lic+(Sens!F11151+Sens!F11153)*cx_ind+Sens!F11156*cx_srch+(Sens!F11158+Sens!F11160)*cx_dev</f>
        <v>35.5793472295625</v>
      </c>
      <c r="G11224" s="6" t="n">
        <f aca="false">Sens!G11141*cx_azo+Sens!G11148*cx_m365+Sens!G11149*cx_lic+(Sens!G11151+Sens!G11153)*cx_ind+Sens!G11156*cx_srch+(Sens!G11158+Sens!G11160)*cx_dev</f>
        <v>41.1528935703892</v>
      </c>
      <c r="H11224" s="6" t="n">
        <f aca="false">Sens!H11141*cx_azo+Sens!H11148*cx_m365+Sens!H11149*cx_lic+(Sens!H11151+Sens!H11153)*cx_ind+Sens!H11156*cx_srch+(Sens!H11158+Sens!H11160)*cx_dev</f>
        <v>46.8115136440897</v>
      </c>
      <c r="I11224" s="6" t="n">
        <f aca="false">Sens!I11141*cx_azo+Sens!I11148*cx_m365+Sens!I11149*cx_lic+(Sens!I11151+Sens!I11153)*cx_ind+Sens!I11156*cx_srch+(Sens!I11158+Sens!I11160)*cx_dev</f>
        <v>52.1984003116439</v>
      </c>
      <c r="J11224" s="6" t="n">
        <f aca="false">Sens!J11141*cx_azo+Sens!J11148*cx_m365+Sens!J11149*cx_lic+(Sens!J11151+Sens!J11153)*cx_ind+Sens!J11156*cx_srch+(Sens!J11158+Sens!J11160)*cx_dev</f>
        <v>57.0809132503738</v>
      </c>
      <c r="K11224" s="6" t="n">
        <f aca="false">Sens!K11141*cx_azo+Sens!K11148*cx_m365+Sens!K11149*cx_lic+(Sens!K11151+Sens!K11153)*cx_ind+Sens!K11156*cx_srch+(Sens!K11158+Sens!K11160)*cx_dev</f>
        <v>61.368702741994</v>
      </c>
    </row>
    <row r="11225" customFormat="false" ht="17.15" hidden="false" customHeight="false" outlineLevel="0" collapsed="false">
      <c r="A11225" s="1" t="s">
        <v>945</v>
      </c>
      <c r="B11225" s="0" t="s">
        <v>98</v>
      </c>
      <c r="E11225" s="6" t="n">
        <f aca="false">Q!M42</f>
        <v>145.3</v>
      </c>
      <c r="F11225" s="6" t="n">
        <f aca="false">Sens!F11223+Sens!F11224</f>
        <v>204.2</v>
      </c>
      <c r="G11225" s="6" t="n">
        <f aca="false">Sens!G11223+Sens!G11224</f>
        <v>224.727074053589</v>
      </c>
      <c r="H11225" s="6" t="n">
        <f aca="false">Sens!H11223+Sens!H11224</f>
        <v>234.89179955449</v>
      </c>
      <c r="I11225" s="6" t="n">
        <f aca="false">Sens!I11223+Sens!I11224</f>
        <v>215.905069465889</v>
      </c>
      <c r="J11225" s="6" t="n">
        <f aca="false">Sens!J11223+Sens!J11224</f>
        <v>181.593389968464</v>
      </c>
      <c r="K11225" s="6" t="n">
        <f aca="false">Sens!K11223+Sens!K11224</f>
        <v>176.32813838393</v>
      </c>
      <c r="L11225" s="1" t="s">
        <v>946</v>
      </c>
    </row>
    <row r="11226" customFormat="false" ht="15" hidden="false" customHeight="false" outlineLevel="0" collapsed="false">
      <c r="A11226" s="1" t="s">
        <v>947</v>
      </c>
      <c r="B11226" s="0" t="s">
        <v>98</v>
      </c>
      <c r="E11226" s="6" t="n">
        <f aca="false">fl_liab</f>
        <v>66.594</v>
      </c>
      <c r="F11226" s="6" t="n">
        <f aca="false">Sens!E11226-Sens!F11227</f>
        <v>62.46973</v>
      </c>
      <c r="G11226" s="6" t="n">
        <f aca="false">Sens!F11226-Sens!G11227</f>
        <v>57.98686785</v>
      </c>
      <c r="H11226" s="6" t="n">
        <f aca="false">Sens!G11226-Sens!H11227</f>
        <v>53.92827690325</v>
      </c>
      <c r="I11226" s="6" t="n">
        <f aca="false">Sens!H11226-Sens!I11227</f>
        <v>49.7850493638962</v>
      </c>
      <c r="J11226" s="6" t="n">
        <f aca="false">Sens!I11226-Sens!J11227</f>
        <v>45.4823765852716</v>
      </c>
      <c r="K11226" s="6" t="n">
        <f aca="false">Sens!J11226-Sens!K11227</f>
        <v>40.9860835316088</v>
      </c>
    </row>
    <row r="11227" customFormat="false" ht="15" hidden="false" customHeight="false" outlineLevel="0" collapsed="false">
      <c r="A11227" s="1" t="s">
        <v>948</v>
      </c>
      <c r="B11227" s="0" t="s">
        <v>98</v>
      </c>
      <c r="F11227" s="6" t="n">
        <f aca="false">fl_pay_27-Sens!E11226*fl_rate</f>
        <v>4.12427</v>
      </c>
      <c r="G11227" s="6" t="n">
        <f aca="false">fl_pay_28-Sens!F11226*fl_rate</f>
        <v>4.48286215</v>
      </c>
      <c r="H11227" s="6" t="n">
        <f aca="false">fl_pay_29-Sens!G11226*fl_rate</f>
        <v>4.05859094675</v>
      </c>
      <c r="I11227" s="6" t="n">
        <f aca="false">fl_pay_30-Sens!H11226*fl_rate</f>
        <v>4.14322753935375</v>
      </c>
      <c r="J11227" s="6" t="n">
        <f aca="false">fl_pay_31-Sens!I11226*fl_rate</f>
        <v>4.30267277862467</v>
      </c>
      <c r="K11227" s="6" t="n">
        <f aca="false">fl_pay_32-Sens!J11226*fl_rate</f>
        <v>4.49629305366278</v>
      </c>
    </row>
    <row r="11228" customFormat="false" ht="17.15" hidden="false" customHeight="false" outlineLevel="0" collapsed="false">
      <c r="A11228" s="1" t="s">
        <v>949</v>
      </c>
      <c r="B11228" s="0" t="s">
        <v>98</v>
      </c>
      <c r="E11228" s="6" t="n">
        <f aca="false">Q!M35-Q!M36-Q!M43</f>
        <v>63.886</v>
      </c>
      <c r="F11228" s="6" t="n">
        <f aca="false">Sens!F11222-Sens!F11225-Sens!F11227</f>
        <v>-4.29881402733932</v>
      </c>
      <c r="G11228" s="6" t="n">
        <f aca="false">Sens!G11222-Sens!G11225-Sens!G11227</f>
        <v>25.5425798235161</v>
      </c>
      <c r="H11228" s="6" t="n">
        <f aca="false">Sens!H11222-Sens!H11225-Sens!H11227</f>
        <v>63.7059030829718</v>
      </c>
      <c r="I11228" s="6" t="n">
        <f aca="false">Sens!I11222-Sens!I11225-Sens!I11227</f>
        <v>127.009663918383</v>
      </c>
      <c r="J11228" s="6" t="n">
        <f aca="false">Sens!J11222-Sens!J11225-Sens!J11227</f>
        <v>197.313529213212</v>
      </c>
      <c r="K11228" s="6" t="n">
        <f aca="false">Sens!K11222-Sens!K11225-Sens!K11227</f>
        <v>231.261847698941</v>
      </c>
      <c r="L11228" s="11" t="s">
        <v>950</v>
      </c>
    </row>
    <row r="11229" customFormat="false" ht="15" hidden="false" customHeight="false" outlineLevel="0" collapsed="false">
      <c r="A11229" s="1" t="s">
        <v>951</v>
      </c>
      <c r="B11229" s="0" t="s">
        <v>75</v>
      </c>
      <c r="F11229" s="8" t="n">
        <f aca="false">dps_27</f>
        <v>3.85</v>
      </c>
      <c r="G11229" s="8" t="n">
        <f aca="false">Sens!F11229*(1+dps_g)</f>
        <v>4.158</v>
      </c>
      <c r="H11229" s="8" t="n">
        <f aca="false">Sens!G11229*(1+dps_g)</f>
        <v>4.49064</v>
      </c>
      <c r="I11229" s="8" t="n">
        <f aca="false">Sens!H11229*(1+dps_g)</f>
        <v>4.8498912</v>
      </c>
      <c r="J11229" s="8" t="n">
        <f aca="false">Sens!I11229*(1+dps_g)</f>
        <v>5.237882496</v>
      </c>
      <c r="K11229" s="8" t="n">
        <f aca="false">Sens!J11229*(1+dps_g)</f>
        <v>5.65691309568</v>
      </c>
    </row>
    <row r="11230" customFormat="false" ht="17.15" hidden="false" customHeight="false" outlineLevel="0" collapsed="false">
      <c r="A11230" s="1" t="s">
        <v>952</v>
      </c>
      <c r="B11230" s="0" t="s">
        <v>98</v>
      </c>
      <c r="E11230" s="6" t="n">
        <f aca="false">Q!M41</f>
        <v>26.445</v>
      </c>
      <c r="F11230" s="6" t="n">
        <f aca="false">Sens!F11229*Sens!E11239</f>
        <v>28.59395</v>
      </c>
      <c r="G11230" s="6" t="n">
        <f aca="false">Sens!G11229*Sens!F11239</f>
        <v>31.068576</v>
      </c>
      <c r="H11230" s="6" t="n">
        <f aca="false">Sens!H11229*Sens!G11239</f>
        <v>33.75614088</v>
      </c>
      <c r="I11230" s="6" t="n">
        <f aca="false">Sens!I11229*Sens!H11239</f>
        <v>36.5075713903995</v>
      </c>
      <c r="J11230" s="6" t="n">
        <f aca="false">Sens!J11229*Sens!I11239</f>
        <v>39.4965759499509</v>
      </c>
      <c r="K11230" s="6" t="n">
        <f aca="false">Sens!K11229*Sens!J11239</f>
        <v>42.743557251252</v>
      </c>
      <c r="L11230" s="1" t="s">
        <v>953</v>
      </c>
    </row>
    <row r="11231" customFormat="false" ht="15" hidden="false" customHeight="false" outlineLevel="0" collapsed="false">
      <c r="A11231" s="1" t="s">
        <v>954</v>
      </c>
      <c r="B11231" s="0" t="s">
        <v>98</v>
      </c>
      <c r="E11231" s="6" t="n">
        <f aca="false">Sens!E11228-Sens!E11230</f>
        <v>37.441</v>
      </c>
      <c r="F11231" s="6" t="n">
        <f aca="false">Sens!F11228-Sens!F11230</f>
        <v>-32.8927640273393</v>
      </c>
      <c r="G11231" s="6" t="n">
        <f aca="false">Sens!G11228-Sens!G11230</f>
        <v>-5.52599617648389</v>
      </c>
      <c r="H11231" s="6" t="n">
        <f aca="false">Sens!H11228-Sens!H11230</f>
        <v>29.9497622029718</v>
      </c>
      <c r="I11231" s="6" t="n">
        <f aca="false">Sens!I11228-Sens!I11230</f>
        <v>90.5020925279837</v>
      </c>
      <c r="J11231" s="6" t="n">
        <f aca="false">Sens!J11228-Sens!J11230</f>
        <v>157.816953263262</v>
      </c>
      <c r="K11231" s="6" t="n">
        <f aca="false">Sens!K11228-Sens!K11230</f>
        <v>188.518290447689</v>
      </c>
    </row>
    <row r="11232" customFormat="false" ht="15" hidden="false" customHeight="false" outlineLevel="0" collapsed="false">
      <c r="A11232" s="1" t="s">
        <v>955</v>
      </c>
      <c r="B11232" s="0" t="s">
        <v>98</v>
      </c>
      <c r="F11232" s="6" t="n">
        <f aca="false">debt_mat_27</f>
        <v>9.25</v>
      </c>
      <c r="G11232" s="6" t="n">
        <f aca="false">debt_mat_28</f>
        <v>0</v>
      </c>
      <c r="H11232" s="6" t="n">
        <f aca="false">debt_mat_29</f>
        <v>2.001</v>
      </c>
      <c r="I11232" s="6" t="n">
        <f aca="false">debt_mat_30</f>
        <v>0</v>
      </c>
      <c r="J11232" s="6" t="n">
        <f aca="false">debt_mat_31</f>
        <v>0.5</v>
      </c>
      <c r="K11232" s="6" t="n">
        <f aca="false">debt_mat_32</f>
        <v>0</v>
      </c>
    </row>
    <row r="11233" customFormat="false" ht="15" hidden="false" customHeight="false" outlineLevel="0" collapsed="false">
      <c r="A11233" s="1" t="s">
        <v>956</v>
      </c>
      <c r="B11233" s="0" t="s">
        <v>98</v>
      </c>
      <c r="E11233" s="6" t="n">
        <f aca="false">Q!M40</f>
        <v>22.271</v>
      </c>
      <c r="F11233" s="6" t="n">
        <f aca="false">MAX(0,MIN(bb_target,Sens!E11235+Sens!F11231-Sens!F11232-min_cash))</f>
        <v>0</v>
      </c>
      <c r="G11233" s="6" t="n">
        <f aca="false">MAX(0,MIN(bb_target,Sens!F11235+Sens!G11231-Sens!G11232-min_cash))</f>
        <v>0</v>
      </c>
      <c r="H11233" s="6" t="n">
        <f aca="false">MAX(0,MIN(bb_target,Sens!G11235+Sens!H11231-Sens!H11232-min_cash))</f>
        <v>22.271</v>
      </c>
      <c r="I11233" s="6" t="n">
        <f aca="false">MAX(0,MIN(bb_target,Sens!H11235+Sens!I11231-Sens!I11232-min_cash))</f>
        <v>22.271</v>
      </c>
      <c r="J11233" s="6" t="n">
        <f aca="false">MAX(0,MIN(bb_target,Sens!I11235+Sens!J11231-Sens!J11232-min_cash))</f>
        <v>22.271</v>
      </c>
      <c r="K11233" s="6" t="n">
        <f aca="false">MAX(0,MIN(bb_target,Sens!J11235+Sens!K11231-Sens!K11232-min_cash))</f>
        <v>22.271</v>
      </c>
    </row>
    <row r="11234" customFormat="false" ht="15" hidden="false" customHeight="false" outlineLevel="0" collapsed="false">
      <c r="A11234" s="1" t="s">
        <v>957</v>
      </c>
      <c r="B11234" s="0" t="s">
        <v>98</v>
      </c>
      <c r="F11234" s="6" t="n">
        <f aca="false">MAX(0,min_cash-(Sens!E11235+Sens!F11231-Sens!F11232-Sens!F11233))</f>
        <v>15.2997640273393</v>
      </c>
      <c r="G11234" s="6" t="n">
        <f aca="false">MAX(0,min_cash-(Sens!F11235+Sens!G11231-Sens!G11232-Sens!G11233))</f>
        <v>5.52599617648389</v>
      </c>
      <c r="H11234" s="6" t="n">
        <f aca="false">MAX(0,min_cash-(Sens!G11235+Sens!H11231-Sens!H11232-Sens!H11233))</f>
        <v>0</v>
      </c>
      <c r="I11234" s="6" t="n">
        <f aca="false">MAX(0,min_cash-(Sens!H11235+Sens!I11231-Sens!I11232-Sens!I11233))</f>
        <v>0</v>
      </c>
      <c r="J11234" s="6" t="n">
        <f aca="false">MAX(0,min_cash-(Sens!I11235+Sens!J11231-Sens!J11232-Sens!J11233))</f>
        <v>0</v>
      </c>
      <c r="K11234" s="6" t="n">
        <f aca="false">MAX(0,min_cash-(Sens!J11235+Sens!K11231-Sens!K11232-Sens!K11233))</f>
        <v>0</v>
      </c>
    </row>
    <row r="11235" customFormat="false" ht="15" hidden="false" customHeight="false" outlineLevel="0" collapsed="false">
      <c r="A11235" s="1" t="s">
        <v>958</v>
      </c>
      <c r="B11235" s="0" t="s">
        <v>98</v>
      </c>
      <c r="E11235" s="6" t="n">
        <f aca="false">cash_open</f>
        <v>76.843</v>
      </c>
      <c r="F11235" s="6" t="n">
        <f aca="false">Sens!E11235+Sens!F11231-Sens!F11232-Sens!F11233+Sens!F11234</f>
        <v>50</v>
      </c>
      <c r="G11235" s="6" t="n">
        <f aca="false">Sens!F11235+Sens!G11231-Sens!G11232-Sens!G11233+Sens!G11234</f>
        <v>50</v>
      </c>
      <c r="H11235" s="6" t="n">
        <f aca="false">Sens!G11235+Sens!H11231-Sens!H11232-Sens!H11233+Sens!H11234</f>
        <v>55.6777622029718</v>
      </c>
      <c r="I11235" s="6" t="n">
        <f aca="false">Sens!H11235+Sens!I11231-Sens!I11232-Sens!I11233+Sens!I11234</f>
        <v>123.908854730956</v>
      </c>
      <c r="J11235" s="6" t="n">
        <f aca="false">Sens!I11235+Sens!J11231-Sens!J11232-Sens!J11233+Sens!J11234</f>
        <v>258.954807994217</v>
      </c>
      <c r="K11235" s="6" t="n">
        <f aca="false">Sens!J11235+Sens!K11231-Sens!K11232-Sens!K11233+Sens!K11234</f>
        <v>425.202098441906</v>
      </c>
    </row>
    <row r="11236" customFormat="false" ht="15" hidden="false" customHeight="false" outlineLevel="0" collapsed="false">
      <c r="A11236" s="1" t="s">
        <v>959</v>
      </c>
      <c r="B11236" s="0" t="s">
        <v>98</v>
      </c>
      <c r="E11236" s="6" t="n">
        <f aca="false">debt_face</f>
        <v>46.136</v>
      </c>
      <c r="F11236" s="6" t="n">
        <f aca="false">Sens!E11236-Sens!F11232+Sens!F11234</f>
        <v>52.1857640273393</v>
      </c>
      <c r="G11236" s="6" t="n">
        <f aca="false">Sens!F11236-Sens!G11232+Sens!G11234</f>
        <v>57.7117602038232</v>
      </c>
      <c r="H11236" s="6" t="n">
        <f aca="false">Sens!G11236-Sens!H11232+Sens!H11234</f>
        <v>55.7107602038232</v>
      </c>
      <c r="I11236" s="6" t="n">
        <f aca="false">Sens!H11236-Sens!I11232+Sens!I11234</f>
        <v>55.7107602038232</v>
      </c>
      <c r="J11236" s="6" t="n">
        <f aca="false">Sens!I11236-Sens!J11232+Sens!J11234</f>
        <v>55.2107602038232</v>
      </c>
      <c r="K11236" s="6" t="n">
        <f aca="false">Sens!J11236-Sens!K11232+Sens!K11234</f>
        <v>55.2107602038232</v>
      </c>
    </row>
    <row r="11237" customFormat="false" ht="15" hidden="false" customHeight="false" outlineLevel="0" collapsed="false">
      <c r="A11237" s="1" t="s">
        <v>960</v>
      </c>
      <c r="B11237" s="0" t="s">
        <v>98</v>
      </c>
      <c r="E11237" s="6" t="n">
        <f aca="false">Sens!E11235-Sens!E11236</f>
        <v>30.707</v>
      </c>
      <c r="F11237" s="6" t="n">
        <f aca="false">Sens!F11235-Sens!F11236</f>
        <v>-2.18576402733932</v>
      </c>
      <c r="G11237" s="6" t="n">
        <f aca="false">Sens!G11235-Sens!G11236</f>
        <v>-7.71176020382321</v>
      </c>
      <c r="H11237" s="6" t="n">
        <f aca="false">Sens!H11235-Sens!H11236</f>
        <v>-0.0329980008513786</v>
      </c>
      <c r="I11237" s="6" t="n">
        <f aca="false">Sens!I11235-Sens!I11236</f>
        <v>68.1980945271324</v>
      </c>
      <c r="J11237" s="6" t="n">
        <f aca="false">Sens!J11235-Sens!J11236</f>
        <v>203.744047790394</v>
      </c>
      <c r="K11237" s="6" t="n">
        <f aca="false">Sens!K11235-Sens!K11236</f>
        <v>369.991338238083</v>
      </c>
    </row>
    <row r="11238" customFormat="false" ht="15" hidden="false" customHeight="false" outlineLevel="0" collapsed="false">
      <c r="A11238" s="1" t="s">
        <v>961</v>
      </c>
      <c r="B11238" s="0" t="s">
        <v>75</v>
      </c>
      <c r="F11238" s="29" t="n">
        <f aca="false">px*(1+bb_g)^(Sens!F11102-base_fy-mid_yr)</f>
        <v>553.494156066711</v>
      </c>
      <c r="G11238" s="29" t="n">
        <f aca="false">px*(1+bb_g)^(Sens!G11102-base_fy-mid_yr)</f>
        <v>597.773688552047</v>
      </c>
      <c r="H11238" s="29" t="n">
        <f aca="false">px*(1+bb_g)^(Sens!H11102-base_fy-mid_yr)</f>
        <v>645.595583636211</v>
      </c>
      <c r="I11238" s="29" t="n">
        <f aca="false">px*(1+bb_g)^(Sens!I11102-base_fy-mid_yr)</f>
        <v>697.243230327108</v>
      </c>
      <c r="J11238" s="29" t="n">
        <f aca="false">px*(1+bb_g)^(Sens!J11102-base_fy-mid_yr)</f>
        <v>753.022688753277</v>
      </c>
      <c r="K11238" s="29" t="n">
        <f aca="false">px*(1+bb_g)^(Sens!K11102-base_fy-mid_yr)</f>
        <v>813.264503853539</v>
      </c>
    </row>
    <row r="11239" customFormat="false" ht="15" hidden="false" customHeight="false" outlineLevel="0" collapsed="false">
      <c r="A11239" s="1" t="s">
        <v>962</v>
      </c>
      <c r="B11239" s="1" t="s">
        <v>81</v>
      </c>
      <c r="E11239" s="14" t="n">
        <f aca="false">sh_out26</f>
        <v>7.427</v>
      </c>
      <c r="F11239" s="14" t="n">
        <f aca="false">Sens!E11239+sh_iss-Sens!F11233/Sens!F11238</f>
        <v>7.472</v>
      </c>
      <c r="G11239" s="14" t="n">
        <f aca="false">Sens!F11239+sh_iss-Sens!G11233/Sens!G11238</f>
        <v>7.517</v>
      </c>
      <c r="H11239" s="14" t="n">
        <f aca="false">Sens!G11239+sh_iss-Sens!H11233/Sens!H11238</f>
        <v>7.5275031716999</v>
      </c>
      <c r="I11239" s="14" t="n">
        <f aca="false">Sens!H11239+sh_iss-Sens!I11233/Sens!I11238</f>
        <v>7.54056166401463</v>
      </c>
      <c r="J11239" s="14" t="n">
        <f aca="false">Sens!I11239+sh_iss-Sens!J11233/Sens!J11238</f>
        <v>7.55598619393567</v>
      </c>
      <c r="K11239" s="14" t="n">
        <f aca="false">Sens!J11239+sh_iss-Sens!K11233/Sens!K11238</f>
        <v>7.57360149941811</v>
      </c>
    </row>
    <row r="11240" customFormat="false" ht="15" hidden="false" customHeight="false" outlineLevel="0" collapsed="false">
      <c r="A11240" s="1" t="s">
        <v>963</v>
      </c>
      <c r="B11240" s="1" t="s">
        <v>81</v>
      </c>
      <c r="E11240" s="14" t="n">
        <f aca="false">sh_dil26</f>
        <v>7.453</v>
      </c>
      <c r="F11240" s="14" t="n">
        <f aca="false">(Sens!E11239+Sens!F11239)/2+dil_gap</f>
        <v>7.4735</v>
      </c>
      <c r="G11240" s="14" t="n">
        <f aca="false">(Sens!F11239+Sens!G11239)/2+dil_gap</f>
        <v>7.5185</v>
      </c>
      <c r="H11240" s="14" t="n">
        <f aca="false">(Sens!G11239+Sens!H11239)/2+dil_gap</f>
        <v>7.54625158584995</v>
      </c>
      <c r="I11240" s="14" t="n">
        <f aca="false">(Sens!H11239+Sens!I11239)/2+dil_gap</f>
        <v>7.55803241785726</v>
      </c>
      <c r="J11240" s="14" t="n">
        <f aca="false">(Sens!I11239+Sens!J11239)/2+dil_gap</f>
        <v>7.57227392897515</v>
      </c>
      <c r="K11240" s="14" t="n">
        <f aca="false">(Sens!J11239+Sens!K11239)/2+dil_gap</f>
        <v>7.58879384667689</v>
      </c>
    </row>
    <row r="11241" customFormat="false" ht="17.15" hidden="false" customHeight="false" outlineLevel="0" collapsed="false">
      <c r="A11241" s="1" t="s">
        <v>964</v>
      </c>
      <c r="B11241" s="0" t="s">
        <v>98</v>
      </c>
      <c r="C11241" s="6" t="n">
        <f aca="false">SUM(Sens!F11231:J11231)</f>
        <v>239.850047790394</v>
      </c>
    </row>
    <row r="11242" customFormat="false" ht="15" hidden="false" customHeight="false" outlineLevel="0" collapsed="false">
      <c r="A11242" s="23" t="s">
        <v>935</v>
      </c>
      <c r="B11242" s="30" t="s">
        <v>98</v>
      </c>
      <c r="C11242" s="24" t="n">
        <f aca="false">Sens!$C$11241-(Sens!F11231+Sens!G11231+Sens!H11231+Sens!I11231+Sens!J11231)</f>
        <v>0</v>
      </c>
      <c r="D11242" s="30"/>
      <c r="E11242" s="30"/>
      <c r="F11242" s="30"/>
      <c r="G11242" s="30"/>
      <c r="H11242" s="30"/>
      <c r="I11242" s="30"/>
      <c r="J11242" s="30"/>
      <c r="K11242" s="30"/>
    </row>
    <row r="11243" customFormat="false" ht="17.15" hidden="false" customHeight="false" outlineLevel="0" collapsed="false">
      <c r="A11243" s="1" t="s">
        <v>929</v>
      </c>
      <c r="B11243" s="1" t="s">
        <v>965</v>
      </c>
      <c r="C11243" s="32" t="str">
        <f aca="false">IF(SUM(Sens!F11234:J11234)&gt;0.05,"需要舉債 "&amp;TEXT(SUM(Sens!F11234:J11234),"0.0")&amp;" 十億美元","不需舉債")&amp;"；"&amp;IF(SUM(Sens!F11233:J11233)&lt;COUNT(Sens!F11233:J11233)*bb_target-0.05,"回購較每年 "&amp;TEXT(bb_target,"0.0")&amp;" 的目標少 "&amp;TEXT(COUNT(Sens!F11233:J11233)*bb_target-SUM(Sens!F11233:J11233),"0.0")&amp;" 十億美元（"&amp;TEXT(COUNTIF(Sens!F11233:J11233,"&lt;"&amp;(bb_target-0.05)),"0")&amp;" 年減少）","回購不減")</f>
        <v>需要舉債 20.8 十億美元；回購較每年 22.3 的目標少 44.5 十億美元（2 年減少）</v>
      </c>
    </row>
    <row r="11244" customFormat="false" ht="17.15" hidden="false" customHeight="false" outlineLevel="0" collapsed="false">
      <c r="A11244" s="3" t="s">
        <v>1528</v>
      </c>
    </row>
    <row r="11245" customFormat="false" ht="15" hidden="false" customHeight="false" outlineLevel="0" collapsed="false">
      <c r="A11245" s="4" t="s">
        <v>43</v>
      </c>
      <c r="B11245" s="4" t="s">
        <v>65</v>
      </c>
      <c r="C11245" s="20" t="s">
        <v>788</v>
      </c>
      <c r="D11245" s="20" t="s">
        <v>789</v>
      </c>
      <c r="E11245" s="20" t="s">
        <v>790</v>
      </c>
      <c r="F11245" s="20" t="s">
        <v>791</v>
      </c>
      <c r="G11245" s="20" t="s">
        <v>792</v>
      </c>
      <c r="H11245" s="20" t="s">
        <v>793</v>
      </c>
      <c r="I11245" s="20" t="s">
        <v>794</v>
      </c>
      <c r="J11245" s="20" t="s">
        <v>795</v>
      </c>
      <c r="K11245" s="20" t="s">
        <v>796</v>
      </c>
      <c r="L11245" s="4" t="s">
        <v>47</v>
      </c>
    </row>
    <row r="11246" customFormat="false" ht="15" hidden="false" customHeight="false" outlineLevel="0" collapsed="false">
      <c r="A11246" s="1" t="s">
        <v>1042</v>
      </c>
      <c r="B11246" s="1" t="s">
        <v>235</v>
      </c>
      <c r="F11246" s="36" t="n">
        <f aca="false">Sens!F11102-base_fy-mid_yr</f>
        <v>0.5</v>
      </c>
      <c r="G11246" s="36" t="n">
        <f aca="false">Sens!G11102-base_fy-mid_yr</f>
        <v>1.5</v>
      </c>
      <c r="H11246" s="36" t="n">
        <f aca="false">Sens!H11102-base_fy-mid_yr</f>
        <v>2.5</v>
      </c>
      <c r="I11246" s="36" t="n">
        <f aca="false">Sens!I11102-base_fy-mid_yr</f>
        <v>3.5</v>
      </c>
      <c r="J11246" s="36" t="n">
        <f aca="false">Sens!J11102-base_fy-mid_yr</f>
        <v>4.5</v>
      </c>
      <c r="K11246" s="36" t="n">
        <f aca="false">Sens!K11102-base_fy-mid_yr</f>
        <v>5.5</v>
      </c>
    </row>
    <row r="11247" customFormat="false" ht="15" hidden="false" customHeight="false" outlineLevel="0" collapsed="false">
      <c r="A11247" s="1" t="s">
        <v>1043</v>
      </c>
      <c r="B11247" s="0" t="s">
        <v>185</v>
      </c>
      <c r="F11247" s="14" t="n">
        <f aca="false">1/(1+wacc)^Sens!F11246</f>
        <v>0.952193373608246</v>
      </c>
      <c r="G11247" s="14" t="n">
        <f aca="false">1/(1+wacc)^Sens!G11246</f>
        <v>0.863327280626589</v>
      </c>
      <c r="H11247" s="14" t="n">
        <f aca="false">1/(1+wacc)^Sens!H11246</f>
        <v>0.782754862754115</v>
      </c>
      <c r="I11247" s="14" t="n">
        <f aca="false">1/(1+wacc)^Sens!I11246</f>
        <v>0.709702089711011</v>
      </c>
      <c r="J11247" s="14" t="n">
        <f aca="false">1/(1+wacc)^Sens!J11246</f>
        <v>0.643467169744551</v>
      </c>
      <c r="K11247" s="14" t="n">
        <f aca="false">1/(1+wacc)^Sens!K11246</f>
        <v>0.583413807767797</v>
      </c>
    </row>
    <row r="11248" customFormat="false" ht="17.15" hidden="false" customHeight="false" outlineLevel="0" collapsed="false">
      <c r="A11248" s="1" t="s">
        <v>1044</v>
      </c>
      <c r="B11248" s="0" t="s">
        <v>98</v>
      </c>
      <c r="F11248" s="6" t="n">
        <f aca="false">Sens!F11222-Sens!F11220-Sens!F11225+Sens!F11206*(1-tax_f)</f>
        <v>1.0352402513797</v>
      </c>
      <c r="G11248" s="6" t="n">
        <f aca="false">Sens!G11222-Sens!G11220-Sens!G11225+Sens!G11206*(1-tax_f)</f>
        <v>40.6580906473747</v>
      </c>
      <c r="H11248" s="6" t="n">
        <f aca="false">Sens!H11222-Sens!H11220-Sens!H11225+Sens!H11206*(1-tax_f)</f>
        <v>88.8352351802994</v>
      </c>
      <c r="I11248" s="6" t="n">
        <f aca="false">Sens!I11222-Sens!I11220-Sens!I11225+Sens!I11206*(1-tax_f)</f>
        <v>161.725414314092</v>
      </c>
      <c r="J11248" s="6" t="n">
        <f aca="false">Sens!J11222-Sens!J11220-Sens!J11225+Sens!J11206*(1-tax_f)</f>
        <v>238.532007259138</v>
      </c>
      <c r="K11248" s="6" t="n">
        <f aca="false">Sens!K11222-Sens!K11220-Sens!K11225+Sens!K11206*(1-tax_f)</f>
        <v>275.66912370445</v>
      </c>
      <c r="L11248" s="1" t="s">
        <v>1045</v>
      </c>
    </row>
    <row r="11249" customFormat="false" ht="15" hidden="false" customHeight="false" outlineLevel="0" collapsed="false">
      <c r="A11249" s="1" t="s">
        <v>1046</v>
      </c>
      <c r="B11249" s="0" t="s">
        <v>98</v>
      </c>
      <c r="F11249" s="6" t="n">
        <f aca="false">Sens!F11248*Sens!F11247</f>
        <v>0.985748907456283</v>
      </c>
      <c r="G11249" s="6" t="n">
        <f aca="false">Sens!G11248*Sens!G11247</f>
        <v>35.1012388340674</v>
      </c>
      <c r="H11249" s="6" t="n">
        <f aca="false">Sens!H11248*Sens!H11247</f>
        <v>69.5362123212848</v>
      </c>
      <c r="I11249" s="6" t="n">
        <f aca="false">Sens!I11248*Sens!I11247</f>
        <v>114.77686449809</v>
      </c>
      <c r="J11249" s="6" t="n">
        <f aca="false">Sens!J11248*Sens!J11247</f>
        <v>153.487515604525</v>
      </c>
      <c r="K11249" s="6" t="n">
        <f aca="false">Sens!K11248*Sens!K11247</f>
        <v>160.829173144425</v>
      </c>
    </row>
    <row r="11250" customFormat="false" ht="17.15" hidden="false" customHeight="false" outlineLevel="0" collapsed="false">
      <c r="A11250" s="1" t="s">
        <v>1047</v>
      </c>
      <c r="B11250" s="0" t="s">
        <v>98</v>
      </c>
      <c r="C11250" s="6" t="n">
        <f aca="false">SUM(Sens!F11249:K11249)</f>
        <v>534.716753309848</v>
      </c>
    </row>
    <row r="11251" customFormat="false" ht="17.15" hidden="false" customHeight="false" outlineLevel="0" collapsed="false">
      <c r="A11251" s="1" t="s">
        <v>1048</v>
      </c>
      <c r="B11251" s="0" t="s">
        <v>98</v>
      </c>
      <c r="C11251" s="6" t="n">
        <f aca="false">Sens!K11192*(1+g_tv)*(1-tax_f)</f>
        <v>285.454901007115</v>
      </c>
    </row>
    <row r="11252" customFormat="false" ht="17.15" hidden="false" customHeight="false" outlineLevel="0" collapsed="false">
      <c r="A11252" s="1" t="s">
        <v>1049</v>
      </c>
      <c r="B11252" s="0" t="s">
        <v>98</v>
      </c>
      <c r="C11252" s="6" t="n">
        <f aca="false">Sens!$C$11251*(1-g_tv/(wacc+ronic_prem))</f>
        <v>202.259726618542</v>
      </c>
    </row>
    <row r="11253" customFormat="false" ht="17.15" hidden="false" customHeight="false" outlineLevel="0" collapsed="false">
      <c r="A11253" s="1" t="s">
        <v>1050</v>
      </c>
      <c r="B11253" s="0" t="s">
        <v>98</v>
      </c>
      <c r="C11253" s="6" t="n">
        <f aca="false">Sens!$C$11252/(wacc-g_tv)</f>
        <v>2773.1724796191</v>
      </c>
    </row>
    <row r="11254" customFormat="false" ht="15" hidden="false" customHeight="false" outlineLevel="0" collapsed="false">
      <c r="A11254" s="1" t="s">
        <v>1051</v>
      </c>
      <c r="B11254" s="0" t="s">
        <v>98</v>
      </c>
      <c r="C11254" s="6" t="n">
        <f aca="false">Sens!$C$11253/(1+wacc)^(Sens!K11246+mid_yr)</f>
        <v>1540.56043490355</v>
      </c>
    </row>
    <row r="11255" customFormat="false" ht="17.15" hidden="false" customHeight="false" outlineLevel="0" collapsed="false">
      <c r="A11255" s="0" t="s">
        <v>972</v>
      </c>
      <c r="B11255" s="0" t="s">
        <v>98</v>
      </c>
      <c r="C11255" s="6" t="n">
        <f aca="false">Sens!$C$11250+Sens!$C$11254</f>
        <v>2075.2771882134</v>
      </c>
    </row>
    <row r="11256" customFormat="false" ht="15" hidden="false" customHeight="false" outlineLevel="0" collapsed="false">
      <c r="A11256" s="1" t="s">
        <v>973</v>
      </c>
      <c r="B11256" s="0" t="s">
        <v>129</v>
      </c>
      <c r="C11256" s="7" t="n">
        <f aca="false">Sens!$C$11254/Sens!$C$11255</f>
        <v>0.74233959861035</v>
      </c>
    </row>
    <row r="11257" customFormat="false" ht="17.15" hidden="false" customHeight="false" outlineLevel="0" collapsed="false">
      <c r="A11257" s="1" t="s">
        <v>1052</v>
      </c>
      <c r="B11257" s="0" t="s">
        <v>98</v>
      </c>
      <c r="C11257" s="6" t="n">
        <f aca="false">Sens!$C$11255+Sens!E11237-Sens!E11226+oai_v</f>
        <v>2209.7901882134</v>
      </c>
    </row>
    <row r="11258" customFormat="false" ht="17.15" hidden="false" customHeight="false" outlineLevel="0" collapsed="false">
      <c r="A11258" s="0" t="s">
        <v>980</v>
      </c>
      <c r="B11258" s="0" t="s">
        <v>75</v>
      </c>
      <c r="C11258" s="5" t="n">
        <f aca="false">Sens!$C$11257/sh_dil26</f>
        <v>296.496737986502</v>
      </c>
    </row>
    <row r="11259" customFormat="false" ht="15" hidden="false" customHeight="false" outlineLevel="0" collapsed="false">
      <c r="A11259" s="1" t="s">
        <v>1053</v>
      </c>
      <c r="B11259" s="0" t="s">
        <v>75</v>
      </c>
      <c r="C11259" s="8" t="n">
        <f aca="false">dps_27+Sens!G11229*roll_div_q/q_per_yr</f>
        <v>4.8895</v>
      </c>
    </row>
    <row r="11260" customFormat="false" ht="17.15" hidden="false" customHeight="false" outlineLevel="0" collapsed="false">
      <c r="A11260" s="0" t="s">
        <v>1054</v>
      </c>
      <c r="B11260" s="0" t="s">
        <v>75</v>
      </c>
      <c r="C11260" s="5" t="n">
        <f aca="false">Sens!$C$11258*(1+wacc)^t_roll-Sens!$C$11259</f>
        <v>332.741235430695</v>
      </c>
    </row>
    <row r="11261" customFormat="false" ht="17.15" hidden="false" customHeight="false" outlineLevel="0" collapsed="false">
      <c r="A11261" s="1" t="s">
        <v>1055</v>
      </c>
      <c r="B11261" s="0" t="s">
        <v>129</v>
      </c>
      <c r="F11261" s="7" t="n">
        <f aca="false">Sens!F11218/(Sens!F11163-Sens!F11119)</f>
        <v>0.0684307874075333</v>
      </c>
      <c r="G11261" s="7" t="n">
        <f aca="false">Sens!G11218/(Sens!G11163-Sens!G11119)</f>
        <v>0.0656456058503526</v>
      </c>
      <c r="H11261" s="7" t="n">
        <f aca="false">Sens!H11218/(Sens!H11163-Sens!H11119)</f>
        <v>0.0641950889132003</v>
      </c>
      <c r="I11261" s="7" t="n">
        <f aca="false">Sens!I11218/(Sens!I11163-Sens!I11119)</f>
        <v>0.063960269667854</v>
      </c>
      <c r="J11261" s="7" t="n">
        <f aca="false">Sens!J11218/(Sens!J11163-Sens!J11119)</f>
        <v>0.0646607917002597</v>
      </c>
      <c r="K11261" s="7" t="n">
        <f aca="false">Sens!K11218/(Sens!K11163-Sens!K11119)</f>
        <v>0.0659511546529383</v>
      </c>
    </row>
    <row r="11262" customFormat="false" ht="17.15" hidden="false" customHeight="false" outlineLevel="0" collapsed="false">
      <c r="A11262" s="0" t="s">
        <v>1056</v>
      </c>
      <c r="B11262" s="0" t="s">
        <v>98</v>
      </c>
      <c r="F11262" s="6" t="n">
        <f aca="false">Sens!F11148*(al_m365+Sens!F11261+sbc_r)</f>
        <v>83.9158372980923</v>
      </c>
      <c r="G11262" s="6" t="n">
        <f aca="false">Sens!G11148*(al_m365+Sens!G11261+sbc_r)</f>
        <v>96.3459139664276</v>
      </c>
      <c r="H11262" s="6" t="n">
        <f aca="false">Sens!H11148*(al_m365+Sens!H11261+sbc_r)</f>
        <v>108.939128787393</v>
      </c>
      <c r="I11262" s="6" t="n">
        <f aca="false">Sens!I11148*(al_m365+Sens!I11261+sbc_r)</f>
        <v>120.51456797186</v>
      </c>
      <c r="J11262" s="6" t="n">
        <f aca="false">Sens!J11148*(al_m365+Sens!J11261+sbc_r)</f>
        <v>130.883844402211</v>
      </c>
      <c r="K11262" s="6" t="n">
        <f aca="false">Sens!K11148*(al_m365+Sens!K11261+sbc_r)</f>
        <v>140.862269296832</v>
      </c>
      <c r="L11262" s="11" t="s">
        <v>1057</v>
      </c>
    </row>
    <row r="11263" customFormat="false" ht="17.15" hidden="false" customHeight="false" outlineLevel="0" collapsed="false">
      <c r="A11263" s="0" t="s">
        <v>1058</v>
      </c>
      <c r="B11263" s="0" t="s">
        <v>98</v>
      </c>
      <c r="F11263" s="6" t="n">
        <f aca="false">Sens!F11149*(al_lic+Sens!F11261+sbc_r)</f>
        <v>33.4384115342236</v>
      </c>
      <c r="G11263" s="6" t="n">
        <f aca="false">Sens!G11149*(al_lic+Sens!G11261+sbc_r)</f>
        <v>34.7409063621757</v>
      </c>
      <c r="H11263" s="6" t="n">
        <f aca="false">Sens!H11149*(al_lic+Sens!H11261+sbc_r)</f>
        <v>35.9566740351293</v>
      </c>
      <c r="I11263" s="6" t="n">
        <f aca="false">Sens!I11149*(al_lic+Sens!I11261+sbc_r)</f>
        <v>37.0672966580049</v>
      </c>
      <c r="J11263" s="6" t="n">
        <f aca="false">Sens!J11149*(al_lic+Sens!J11261+sbc_r)</f>
        <v>38.0469841498966</v>
      </c>
      <c r="K11263" s="6" t="n">
        <f aca="false">Sens!K11149*(al_lic+Sens!K11261+sbc_r)</f>
        <v>38.8666958490701</v>
      </c>
    </row>
    <row r="11264" customFormat="false" ht="17.15" hidden="false" customHeight="false" outlineLevel="0" collapsed="false">
      <c r="A11264" s="0" t="s">
        <v>1059</v>
      </c>
      <c r="B11264" s="0" t="s">
        <v>98</v>
      </c>
      <c r="F11264" s="6" t="n">
        <f aca="false">Sens!F11151*(al_ind+Sens!F11261+sbc_r)</f>
        <v>9.07285900381439</v>
      </c>
      <c r="G11264" s="6" t="n">
        <f aca="false">Sens!G11151*(al_ind+Sens!G11261+sbc_r)</f>
        <v>9.84969160470639</v>
      </c>
      <c r="H11264" s="6" t="n">
        <f aca="false">Sens!H11151*(al_ind+Sens!H11261+sbc_r)</f>
        <v>10.6714469126029</v>
      </c>
      <c r="I11264" s="6" t="n">
        <f aca="false">Sens!I11151*(al_ind+Sens!I11261+sbc_r)</f>
        <v>11.5350820765572</v>
      </c>
      <c r="J11264" s="6" t="n">
        <f aca="false">Sens!J11151*(al_ind+Sens!J11261+sbc_r)</f>
        <v>12.4308815351832</v>
      </c>
      <c r="K11264" s="6" t="n">
        <f aca="false">Sens!K11151*(al_ind+Sens!K11261+sbc_r)</f>
        <v>13.3437330974691</v>
      </c>
    </row>
    <row r="11265" customFormat="false" ht="17.15" hidden="false" customHeight="false" outlineLevel="0" collapsed="false">
      <c r="A11265" s="0" t="s">
        <v>1060</v>
      </c>
      <c r="B11265" s="0" t="s">
        <v>98</v>
      </c>
      <c r="F11265" s="6" t="n">
        <f aca="false">Sens!F11153*(al_fro+Sens!F11261+sbc_r)</f>
        <v>3.5711091569032</v>
      </c>
      <c r="G11265" s="6" t="n">
        <f aca="false">Sens!G11153*(al_fro+Sens!G11261+sbc_r)</f>
        <v>3.78169924595694</v>
      </c>
      <c r="H11265" s="6" t="n">
        <f aca="false">Sens!H11153*(al_fro+Sens!H11261+sbc_r)</f>
        <v>4.02136645419237</v>
      </c>
      <c r="I11265" s="6" t="n">
        <f aca="false">Sens!I11153*(al_fro+Sens!I11261+sbc_r)</f>
        <v>4.29288807676321</v>
      </c>
      <c r="J11265" s="6" t="n">
        <f aca="false">Sens!J11153*(al_fro+Sens!J11261+sbc_r)</f>
        <v>4.59741770960175</v>
      </c>
      <c r="K11265" s="6" t="n">
        <f aca="false">Sens!K11153*(al_fro+Sens!K11261+sbc_r)</f>
        <v>4.9350252981555</v>
      </c>
    </row>
    <row r="11266" customFormat="false" ht="17.15" hidden="false" customHeight="false" outlineLevel="0" collapsed="false">
      <c r="A11266" s="0" t="s">
        <v>1061</v>
      </c>
      <c r="B11266" s="0" t="s">
        <v>98</v>
      </c>
      <c r="F11266" s="6" t="n">
        <f aca="false">Sens!F11156*(al_srch+Sens!F11261+sbc_r)</f>
        <v>11.205111954849</v>
      </c>
      <c r="G11266" s="6" t="n">
        <f aca="false">Sens!G11156*(al_srch+Sens!G11261+sbc_r)</f>
        <v>12.2792883348957</v>
      </c>
      <c r="H11266" s="6" t="n">
        <f aca="false">Sens!H11156*(al_srch+Sens!H11261+sbc_r)</f>
        <v>13.3983888227975</v>
      </c>
      <c r="I11266" s="6" t="n">
        <f aca="false">Sens!I11156*(al_srch+Sens!I11261+sbc_r)</f>
        <v>14.5517695263616</v>
      </c>
      <c r="J11266" s="6" t="n">
        <f aca="false">Sens!J11156*(al_srch+Sens!J11261+sbc_r)</f>
        <v>15.7194284145253</v>
      </c>
      <c r="K11266" s="6" t="n">
        <f aca="false">Sens!K11156*(al_srch+Sens!K11261+sbc_r)</f>
        <v>16.87377171237</v>
      </c>
    </row>
    <row r="11267" customFormat="false" ht="17.15" hidden="false" customHeight="false" outlineLevel="0" collapsed="false">
      <c r="A11267" s="0" t="s">
        <v>1062</v>
      </c>
      <c r="B11267" s="0" t="s">
        <v>98</v>
      </c>
      <c r="F11267" s="6" t="n">
        <f aca="false">Sens!F11125-Sens!F11126+Sens!F11206</f>
        <v>53.1023286647412</v>
      </c>
      <c r="G11267" s="6" t="n">
        <f aca="false">Sens!G11125-Sens!G11126+Sens!G11206</f>
        <v>91.2640728275534</v>
      </c>
      <c r="H11267" s="6" t="n">
        <f aca="false">Sens!H11125-Sens!H11126+Sens!H11206</f>
        <v>132.124750996567</v>
      </c>
      <c r="I11267" s="6" t="n">
        <f aca="false">Sens!I11125-Sens!I11126+Sens!I11206</f>
        <v>168.96858142968</v>
      </c>
      <c r="J11267" s="6" t="n">
        <f aca="false">Sens!J11125-Sens!J11126+Sens!J11206</f>
        <v>194.941955071191</v>
      </c>
      <c r="K11267" s="6" t="n">
        <f aca="false">Sens!K11125-Sens!K11126+Sens!K11206</f>
        <v>210.988852071854</v>
      </c>
    </row>
    <row r="11268" customFormat="false" ht="17.15" hidden="false" customHeight="false" outlineLevel="0" collapsed="false">
      <c r="A11268" s="0" t="s">
        <v>1063</v>
      </c>
      <c r="B11268" s="0" t="s">
        <v>98</v>
      </c>
      <c r="F11268" s="6" t="n">
        <f aca="false">Sens!F11185+Sens!F11206+Sens!F11136+Sens!F11261*(Sens!F11155-Sens!F11119)+sbc_r*Sens!F11155</f>
        <v>238.532149283917</v>
      </c>
      <c r="G11268" s="6" t="n">
        <f aca="false">Sens!G11185+Sens!G11206+Sens!G11136+Sens!G11261*(Sens!G11155-Sens!G11119)+sbc_r*Sens!G11155</f>
        <v>302.981873495471</v>
      </c>
      <c r="H11268" s="6" t="n">
        <f aca="false">Sens!H11185+Sens!H11206+Sens!H11136+Sens!H11261*(Sens!H11155-Sens!H11119)+sbc_r*Sens!H11155</f>
        <v>370.634315715783</v>
      </c>
      <c r="I11268" s="6" t="n">
        <f aca="false">Sens!I11185+Sens!I11206+Sens!I11136+Sens!I11261*(Sens!I11155-Sens!I11119)+sbc_r*Sens!I11155</f>
        <v>432.950771230358</v>
      </c>
      <c r="J11268" s="6" t="n">
        <f aca="false">Sens!J11185+Sens!J11206+Sens!J11136+Sens!J11261*(Sens!J11155-Sens!J11119)+sbc_r*Sens!J11155</f>
        <v>482.033391149306</v>
      </c>
      <c r="K11268" s="6" t="n">
        <f aca="false">Sens!K11185+Sens!K11206+Sens!K11136+Sens!K11261*(Sens!K11155-Sens!K11119)+sbc_r*Sens!K11155</f>
        <v>518.892513608834</v>
      </c>
    </row>
    <row r="11269" customFormat="false" ht="17.15" hidden="false" customHeight="false" outlineLevel="0" collapsed="false">
      <c r="A11269" s="0" t="s">
        <v>1064</v>
      </c>
      <c r="B11269" s="0" t="s">
        <v>98</v>
      </c>
      <c r="F11269" s="6" t="n">
        <f aca="false">Sens!F11268-Sens!F11262-Sens!F11263-Sens!F11264-Sens!F11265-Sens!F11267</f>
        <v>55.4316036261426</v>
      </c>
      <c r="G11269" s="6" t="n">
        <f aca="false">Sens!G11268-Sens!G11262-Sens!G11263-Sens!G11264-Sens!G11265-Sens!G11267</f>
        <v>66.9995894886507</v>
      </c>
      <c r="H11269" s="6" t="n">
        <f aca="false">Sens!H11268-Sens!H11262-Sens!H11263-Sens!H11264-Sens!H11265-Sens!H11267</f>
        <v>78.9209485298986</v>
      </c>
      <c r="I11269" s="6" t="n">
        <f aca="false">Sens!I11268-Sens!I11262-Sens!I11263-Sens!I11264-Sens!I11265-Sens!I11267</f>
        <v>90.5723550174924</v>
      </c>
      <c r="J11269" s="6" t="n">
        <f aca="false">Sens!J11268-Sens!J11262-Sens!J11263-Sens!J11264-Sens!J11265-Sens!J11267</f>
        <v>101.132308281222</v>
      </c>
      <c r="K11269" s="6" t="n">
        <f aca="false">Sens!K11268-Sens!K11262-Sens!K11263-Sens!K11264-Sens!K11265-Sens!K11267</f>
        <v>109.895937995453</v>
      </c>
    </row>
    <row r="11270" customFormat="false" ht="17.15" hidden="false" customHeight="false" outlineLevel="0" collapsed="false">
      <c r="A11270" s="0" t="s">
        <v>1065</v>
      </c>
      <c r="B11270" s="0" t="s">
        <v>98</v>
      </c>
      <c r="F11270" s="6" t="n">
        <f aca="false">Sens!F11187+Sens!F11261*Sens!F11162+sbc_r*Sens!F11162</f>
        <v>24.8854703245713</v>
      </c>
      <c r="G11270" s="6" t="n">
        <f aca="false">Sens!G11187+Sens!G11261*Sens!G11162+sbc_r*Sens!G11162</f>
        <v>25.4563620053551</v>
      </c>
      <c r="H11270" s="6" t="n">
        <f aca="false">Sens!H11187+Sens!H11261*Sens!H11162+sbc_r*Sens!H11162</f>
        <v>26.2851157771035</v>
      </c>
      <c r="I11270" s="6" t="n">
        <f aca="false">Sens!I11187+Sens!I11261*Sens!I11162+sbc_r*Sens!I11162</f>
        <v>27.3434813402092</v>
      </c>
      <c r="J11270" s="6" t="n">
        <f aca="false">Sens!J11187+Sens!J11261*Sens!J11162+sbc_r*Sens!J11162</f>
        <v>28.5974672666305</v>
      </c>
      <c r="K11270" s="6" t="n">
        <f aca="false">Sens!K11187+Sens!K11261*Sens!K11162+sbc_r*Sens!K11162</f>
        <v>30.010906787161</v>
      </c>
    </row>
    <row r="11271" customFormat="false" ht="17.15" hidden="false" customHeight="false" outlineLevel="0" collapsed="false">
      <c r="A11271" s="0" t="s">
        <v>1066</v>
      </c>
      <c r="B11271" s="0" t="s">
        <v>98</v>
      </c>
      <c r="F11271" s="6" t="n">
        <f aca="false">(Sens!F11270-Sens!F11266)*Sens!F11158/(Sens!F11158+Sens!F11160)</f>
        <v>7.49943921352197</v>
      </c>
      <c r="G11271" s="6" t="n">
        <f aca="false">(Sens!G11270-Sens!G11266)*Sens!G11158/(Sens!G11158+Sens!G11160)</f>
        <v>7.0947481177014</v>
      </c>
      <c r="H11271" s="6" t="n">
        <f aca="false">(Sens!H11270-Sens!H11266)*Sens!H11158/(Sens!H11158+Sens!H11160)</f>
        <v>6.84469431274963</v>
      </c>
      <c r="I11271" s="6" t="n">
        <f aca="false">(Sens!I11270-Sens!I11266)*Sens!I11158/(Sens!I11158+Sens!I11160)</f>
        <v>6.73275343105509</v>
      </c>
      <c r="J11271" s="6" t="n">
        <f aca="false">(Sens!J11270-Sens!J11266)*Sens!J11158/(Sens!J11158+Sens!J11160)</f>
        <v>6.74753983268553</v>
      </c>
      <c r="K11271" s="6" t="n">
        <f aca="false">(Sens!K11270-Sens!K11266)*Sens!K11158/(Sens!K11158+Sens!K11160)</f>
        <v>6.88329513697904</v>
      </c>
    </row>
    <row r="11272" customFormat="false" ht="17.15" hidden="false" customHeight="false" outlineLevel="0" collapsed="false">
      <c r="A11272" s="0" t="s">
        <v>1067</v>
      </c>
      <c r="B11272" s="0" t="s">
        <v>98</v>
      </c>
      <c r="F11272" s="6" t="n">
        <f aca="false">Sens!F11270-Sens!F11266-Sens!F11271</f>
        <v>6.18091915620034</v>
      </c>
      <c r="G11272" s="6" t="n">
        <f aca="false">Sens!G11270-Sens!G11266-Sens!G11271</f>
        <v>6.08232555275794</v>
      </c>
      <c r="H11272" s="6" t="n">
        <f aca="false">Sens!H11270-Sens!H11266-Sens!H11271</f>
        <v>6.0420326415564</v>
      </c>
      <c r="I11272" s="6" t="n">
        <f aca="false">Sens!I11270-Sens!I11266-Sens!I11271</f>
        <v>6.05895838279251</v>
      </c>
      <c r="J11272" s="6" t="n">
        <f aca="false">Sens!J11270-Sens!J11266-Sens!J11271</f>
        <v>6.13049901941961</v>
      </c>
      <c r="K11272" s="6" t="n">
        <f aca="false">Sens!K11270-Sens!K11266-Sens!K11271</f>
        <v>6.25383993781195</v>
      </c>
    </row>
    <row r="11273" customFormat="false" ht="17.15" hidden="false" customHeight="false" outlineLevel="0" collapsed="false">
      <c r="A11273" s="0" t="s">
        <v>1068</v>
      </c>
      <c r="B11273" s="0" t="s">
        <v>98</v>
      </c>
      <c r="F11273" s="6" t="n">
        <f aca="false">Sens!F11267-tax_f*(Sens!F11267-Sens!F11136)-Sens!F11133</f>
        <v>-119.190682747471</v>
      </c>
      <c r="G11273" s="6" t="n">
        <f aca="false">Sens!G11267-tax_f*(Sens!G11267-Sens!G11136)-Sens!G11133</f>
        <v>-98.4615755690894</v>
      </c>
      <c r="H11273" s="6" t="n">
        <f aca="false">Sens!H11267-tax_f*(Sens!H11267-Sens!H11136)-Sens!H11133</f>
        <v>-64.8320219145184</v>
      </c>
      <c r="I11273" s="6" t="n">
        <f aca="false">Sens!I11267-tax_f*(Sens!I11267-Sens!I11136)-Sens!I11133</f>
        <v>-6.13439601405713</v>
      </c>
      <c r="J11273" s="6" t="n">
        <f aca="false">Sens!J11267-tax_f*(Sens!J11267-Sens!J11136)-Sens!J11133</f>
        <v>57.2778295233955</v>
      </c>
      <c r="K11273" s="6" t="n">
        <f aca="false">Sens!K11267-tax_f*(Sens!K11267-Sens!K11136)-Sens!K11133</f>
        <v>81.761175376442</v>
      </c>
    </row>
    <row r="11274" customFormat="false" ht="17.15" hidden="false" customHeight="false" outlineLevel="0" collapsed="false">
      <c r="A11274" s="0" t="s">
        <v>1069</v>
      </c>
      <c r="B11274" s="0" t="s">
        <v>98</v>
      </c>
      <c r="F11274" s="6" t="n">
        <f aca="false">Sens!F11273*Sens!F11247</f>
        <v>-113.492578307984</v>
      </c>
      <c r="G11274" s="6" t="n">
        <f aca="false">Sens!G11273*Sens!G11247</f>
        <v>-85.0045642822713</v>
      </c>
      <c r="H11274" s="6" t="n">
        <f aca="false">Sens!H11273*Sens!H11247</f>
        <v>-50.7475804157707</v>
      </c>
      <c r="I11274" s="6" t="n">
        <f aca="false">Sens!I11273*Sens!I11247</f>
        <v>-4.35359367029124</v>
      </c>
      <c r="J11274" s="6" t="n">
        <f aca="false">Sens!J11273*Sens!J11247</f>
        <v>36.8564028525302</v>
      </c>
      <c r="K11274" s="6" t="n">
        <f aca="false">Sens!K11273*Sens!K11247</f>
        <v>47.7005986539406</v>
      </c>
    </row>
    <row r="11275" customFormat="false" ht="17.15" hidden="false" customHeight="false" outlineLevel="0" collapsed="false">
      <c r="A11275" s="0" t="s">
        <v>1070</v>
      </c>
      <c r="B11275" s="0" t="s">
        <v>98</v>
      </c>
      <c r="C11275" s="6" t="n">
        <f aca="false">(Sens!K11267-Sens!K11136)*(1-tax_f)*(1+g_tv)*(1-g_tv/(wacc+ronic_prem))/(wacc-g_tv)/(1+wacc)^(Sens!K11246+mid_yr)</f>
        <v>317.255302915498</v>
      </c>
    </row>
    <row r="11276" customFormat="false" ht="17.15" hidden="false" customHeight="false" outlineLevel="0" collapsed="false">
      <c r="A11276" s="1" t="s">
        <v>1071</v>
      </c>
      <c r="B11276" s="0" t="s">
        <v>98</v>
      </c>
      <c r="C11276" s="6" t="n">
        <f aca="false">(SUM(Sens!F11274:K11274)+Sens!$C$11275)*(1+wacc)^t_roll</f>
        <v>168.776216640732</v>
      </c>
      <c r="L11276" s="11" t="s">
        <v>1072</v>
      </c>
    </row>
    <row r="11277" customFormat="false" ht="17.15" hidden="false" customHeight="false" outlineLevel="0" collapsed="false">
      <c r="A11277" s="1" t="s">
        <v>1073</v>
      </c>
      <c r="B11277" s="0" t="s">
        <v>98</v>
      </c>
      <c r="C11277" s="6" t="n">
        <f aca="false">(w_ntm28*Sens!G11125+(1-w_ntm28)*Sens!H11125)*m_ai</f>
        <v>454.922440830797</v>
      </c>
    </row>
    <row r="11278" customFormat="false" ht="17.15" hidden="false" customHeight="false" outlineLevel="0" collapsed="false">
      <c r="A11278" s="1" t="s">
        <v>1074</v>
      </c>
      <c r="B11278" s="0" t="s">
        <v>98</v>
      </c>
      <c r="C11278" s="6" t="n">
        <f aca="false">(w_ntm28*Sens!G11269+(1-w_ntm28)*Sens!H11269)*m_cloud</f>
        <v>979.19699925399</v>
      </c>
    </row>
    <row r="11279" customFormat="false" ht="17.15" hidden="false" customHeight="false" outlineLevel="0" collapsed="false">
      <c r="A11279" s="1" t="s">
        <v>1075</v>
      </c>
      <c r="B11279" s="0" t="s">
        <v>98</v>
      </c>
      <c r="C11279" s="6" t="n">
        <f aca="false">(w_ntm28*Sens!G11262+(1-w_ntm28)*Sens!H11262)*m_sw</f>
        <v>1084.50516663972</v>
      </c>
    </row>
    <row r="11280" customFormat="false" ht="17.15" hidden="false" customHeight="false" outlineLevel="0" collapsed="false">
      <c r="A11280" s="1" t="s">
        <v>1076</v>
      </c>
      <c r="B11280" s="0" t="s">
        <v>98</v>
      </c>
      <c r="C11280" s="6" t="n">
        <f aca="false">(w_ntm28*Sens!G11263+(1-w_ntm28)*Sens!H11263)*m_sw</f>
        <v>379.446649868791</v>
      </c>
    </row>
    <row r="11281" customFormat="false" ht="17.15" hidden="false" customHeight="false" outlineLevel="0" collapsed="false">
      <c r="A11281" s="1" t="s">
        <v>1077</v>
      </c>
      <c r="B11281" s="0" t="s">
        <v>98</v>
      </c>
      <c r="C11281" s="6" t="n">
        <f aca="false">(w_ntm28*Sens!G11264+(1-w_ntm28)*Sens!H11264)*m_sw</f>
        <v>109.245833616811</v>
      </c>
    </row>
    <row r="11282" customFormat="false" ht="17.15" hidden="false" customHeight="false" outlineLevel="0" collapsed="false">
      <c r="A11282" s="1" t="s">
        <v>1078</v>
      </c>
      <c r="B11282" s="0" t="s">
        <v>98</v>
      </c>
      <c r="C11282" s="6" t="n">
        <f aca="false">(w_ntm28*Sens!G11265+(1-w_ntm28)*Sens!H11265)*m_sw</f>
        <v>41.6791515554452</v>
      </c>
    </row>
    <row r="11283" customFormat="false" ht="17.15" hidden="false" customHeight="false" outlineLevel="0" collapsed="false">
      <c r="A11283" s="1" t="s">
        <v>1079</v>
      </c>
      <c r="B11283" s="0" t="s">
        <v>98</v>
      </c>
      <c r="C11283" s="6" t="n">
        <f aca="false">(w_ntm28*Sens!G11266+(1-w_ntm28)*Sens!H11266)*m_ads</f>
        <v>115.160236299351</v>
      </c>
    </row>
    <row r="11284" customFormat="false" ht="17.15" hidden="false" customHeight="false" outlineLevel="0" collapsed="false">
      <c r="A11284" s="1" t="s">
        <v>1080</v>
      </c>
      <c r="B11284" s="0" t="s">
        <v>98</v>
      </c>
      <c r="C11284" s="6" t="n">
        <f aca="false">(w_ntm28*Sens!G11271+(1-w_ntm28)*Sens!H11271)*m_game</f>
        <v>88.5856682123993</v>
      </c>
    </row>
    <row r="11285" customFormat="false" ht="17.15" hidden="false" customHeight="false" outlineLevel="0" collapsed="false">
      <c r="A11285" s="1" t="s">
        <v>1081</v>
      </c>
      <c r="B11285" s="0" t="s">
        <v>98</v>
      </c>
      <c r="C11285" s="6" t="n">
        <f aca="false">(w_ntm28*Sens!G11272+(1-w_ntm28)*Sens!H11272)*m_pc</f>
        <v>87.822761613722</v>
      </c>
    </row>
    <row r="11286" customFormat="false" ht="17.15" hidden="false" customHeight="false" outlineLevel="0" collapsed="false">
      <c r="A11286" s="1" t="s">
        <v>1082</v>
      </c>
      <c r="B11286" s="0" t="s">
        <v>98</v>
      </c>
      <c r="C11286" s="6" t="n">
        <f aca="false">Sens!$C$11276+Sens!$C$11278+Sens!$C$11279+Sens!$C$11280+Sens!$C$11281+Sens!$C$11282+Sens!$C$11283+Sens!$C$11284+Sens!$C$11285</f>
        <v>3054.41868370096</v>
      </c>
    </row>
    <row r="11287" customFormat="false" ht="17.15" hidden="false" customHeight="false" outlineLevel="0" collapsed="false">
      <c r="A11287" s="1" t="s">
        <v>1000</v>
      </c>
      <c r="B11287" s="0" t="s">
        <v>98</v>
      </c>
      <c r="C11287" s="6" t="n">
        <f aca="false">Sens!F11237+oai_v-Sens!F11226</f>
        <v>105.744505972661</v>
      </c>
      <c r="L11287" s="1" t="s">
        <v>1083</v>
      </c>
    </row>
    <row r="11288" customFormat="false" ht="15" hidden="false" customHeight="false" outlineLevel="0" collapsed="false">
      <c r="A11288" s="1" t="s">
        <v>1001</v>
      </c>
      <c r="B11288" s="0" t="s">
        <v>75</v>
      </c>
      <c r="C11288" s="5" t="n">
        <f aca="false">(Sens!$C$11286+Sens!$C$11287)/Sens!F11239</f>
        <v>422.934045727197</v>
      </c>
    </row>
    <row r="11289" customFormat="false" ht="17.15" hidden="false" customHeight="false" outlineLevel="0" collapsed="false">
      <c r="A11289" s="1" t="s">
        <v>1084</v>
      </c>
      <c r="B11289" s="0" t="s">
        <v>75</v>
      </c>
      <c r="C11289" s="5" t="n">
        <f aca="false">w_dcf*Sens!$C$11260+(1-w_dcf)*Sens!$C$11288</f>
        <v>377.837640578946</v>
      </c>
    </row>
    <row r="11290" customFormat="false" ht="17.15" hidden="false" customHeight="false" outlineLevel="0" collapsed="false">
      <c r="A11290" s="3" t="s">
        <v>1529</v>
      </c>
    </row>
    <row r="11291" customFormat="false" ht="15" hidden="false" customHeight="false" outlineLevel="0" collapsed="false">
      <c r="A11291" s="4" t="s">
        <v>43</v>
      </c>
      <c r="B11291" s="4" t="s">
        <v>65</v>
      </c>
      <c r="C11291" s="20" t="s">
        <v>788</v>
      </c>
      <c r="D11291" s="20" t="s">
        <v>789</v>
      </c>
      <c r="E11291" s="20" t="s">
        <v>790</v>
      </c>
      <c r="F11291" s="20" t="s">
        <v>791</v>
      </c>
      <c r="G11291" s="20" t="s">
        <v>792</v>
      </c>
      <c r="H11291" s="20" t="s">
        <v>793</v>
      </c>
      <c r="I11291" s="20" t="s">
        <v>794</v>
      </c>
      <c r="J11291" s="20" t="s">
        <v>795</v>
      </c>
      <c r="K11291" s="20" t="s">
        <v>796</v>
      </c>
      <c r="L11291" s="4" t="s">
        <v>47</v>
      </c>
    </row>
    <row r="11292" customFormat="false" ht="17.15" hidden="false" customHeight="false" outlineLevel="0" collapsed="false">
      <c r="A11292" s="1" t="s">
        <v>797</v>
      </c>
      <c r="B11292" s="1" t="s">
        <v>235</v>
      </c>
      <c r="C11292" s="28" t="n">
        <v>2024</v>
      </c>
      <c r="D11292" s="28" t="n">
        <v>2025</v>
      </c>
      <c r="E11292" s="28" t="n">
        <v>2026</v>
      </c>
      <c r="F11292" s="28" t="n">
        <v>2027</v>
      </c>
      <c r="G11292" s="28" t="n">
        <v>2028</v>
      </c>
      <c r="H11292" s="28" t="n">
        <v>2029</v>
      </c>
      <c r="I11292" s="28" t="n">
        <v>2030</v>
      </c>
      <c r="J11292" s="28" t="n">
        <v>2031</v>
      </c>
      <c r="K11292" s="28" t="n">
        <v>2032</v>
      </c>
    </row>
    <row r="11293" customFormat="false" ht="17.15" hidden="false" customHeight="false" outlineLevel="0" collapsed="false">
      <c r="A11293" s="1" t="s">
        <v>798</v>
      </c>
      <c r="B11293" s="0" t="s">
        <v>392</v>
      </c>
      <c r="F11293" s="29" t="n">
        <f aca="false">pace</f>
        <v>2527.2</v>
      </c>
      <c r="G11293" s="29" t="n">
        <f aca="false">pace</f>
        <v>2527.2</v>
      </c>
      <c r="H11293" s="29" t="n">
        <f aca="false">pace</f>
        <v>2527.2</v>
      </c>
      <c r="I11293" s="29" t="n">
        <f aca="false">pace+(g_tv*Sens!H11294-pace)*MIN(1,(Sens!I11292-pace_y0)/(pace_y1-pace_y0))</f>
        <v>1793.116</v>
      </c>
      <c r="J11293" s="29" t="n">
        <f aca="false">pace+(g_tv*Sens!H11294-pace)*MIN(1,(Sens!J11292-pace_y0)/(pace_y1-pace_y0))</f>
        <v>1059.032</v>
      </c>
      <c r="K11293" s="29" t="n">
        <f aca="false">pace+(g_tv*Sens!H11294-pace)*MIN(1,(Sens!K11292-pace_y0)/(pace_y1-pace_y0))</f>
        <v>324.948</v>
      </c>
      <c r="L11293" s="11" t="s">
        <v>799</v>
      </c>
    </row>
    <row r="11294" customFormat="false" ht="17.15" hidden="false" customHeight="false" outlineLevel="0" collapsed="false">
      <c r="A11294" s="1" t="s">
        <v>800</v>
      </c>
      <c r="B11294" s="0" t="s">
        <v>392</v>
      </c>
      <c r="C11294" s="29" t="n">
        <f aca="false">mw_ext_24</f>
        <v>640</v>
      </c>
      <c r="D11294" s="29" t="n">
        <f aca="false">mw_ext_25</f>
        <v>1630</v>
      </c>
      <c r="E11294" s="29" t="n">
        <f aca="false">mw_ext_26</f>
        <v>3250</v>
      </c>
      <c r="F11294" s="29" t="n">
        <f aca="false">Sens!E11294+Sens!F11293</f>
        <v>5777.2</v>
      </c>
      <c r="G11294" s="29" t="n">
        <f aca="false">Sens!F11294+Sens!G11293</f>
        <v>8304.4</v>
      </c>
      <c r="H11294" s="29" t="n">
        <f aca="false">Sens!G11294+Sens!H11293</f>
        <v>10831.6</v>
      </c>
      <c r="I11294" s="29" t="n">
        <f aca="false">Sens!H11294+Sens!I11293</f>
        <v>12624.716</v>
      </c>
      <c r="J11294" s="29" t="n">
        <f aca="false">Sens!I11294+Sens!J11293</f>
        <v>13683.748</v>
      </c>
      <c r="K11294" s="29" t="n">
        <f aca="false">Sens!J11294+Sens!K11293</f>
        <v>14008.696</v>
      </c>
      <c r="L11294" s="1" t="s">
        <v>801</v>
      </c>
    </row>
    <row r="11295" customFormat="false" ht="17.15" hidden="false" customHeight="false" outlineLevel="0" collapsed="false">
      <c r="A11295" s="1" t="s">
        <v>802</v>
      </c>
      <c r="B11295" s="0" t="s">
        <v>392</v>
      </c>
      <c r="C11295" s="29" t="n">
        <f aca="false">rent_ext_24</f>
        <v>150</v>
      </c>
      <c r="D11295" s="29" t="n">
        <f aca="false">rent_ext_25</f>
        <v>400</v>
      </c>
      <c r="E11295" s="29" t="n">
        <f aca="false">rent_ext_26</f>
        <v>550</v>
      </c>
      <c r="F11295" s="29" t="n">
        <f aca="false">rent_ext_f</f>
        <v>756</v>
      </c>
      <c r="G11295" s="29" t="n">
        <f aca="false">rent_ext_f</f>
        <v>756</v>
      </c>
      <c r="H11295" s="29" t="n">
        <f aca="false">rent_ext_f</f>
        <v>756</v>
      </c>
      <c r="I11295" s="29" t="n">
        <f aca="false">rent_ext_f</f>
        <v>756</v>
      </c>
      <c r="J11295" s="29" t="n">
        <f aca="false">rent_ext_f</f>
        <v>756</v>
      </c>
      <c r="K11295" s="29" t="n">
        <f aca="false">rent_ext_f</f>
        <v>756</v>
      </c>
      <c r="L11295" s="1" t="s">
        <v>803</v>
      </c>
    </row>
    <row r="11296" customFormat="false" ht="17.15" hidden="false" customHeight="false" outlineLevel="0" collapsed="false">
      <c r="A11296" s="1" t="s">
        <v>804</v>
      </c>
      <c r="B11296" s="0" t="s">
        <v>392</v>
      </c>
      <c r="C11296" s="29" t="n">
        <f aca="false">Sens!C11294-Sens!C11295</f>
        <v>490</v>
      </c>
      <c r="D11296" s="29" t="n">
        <f aca="false">Sens!D11294-Sens!D11295</f>
        <v>1230</v>
      </c>
      <c r="E11296" s="29" t="n">
        <f aca="false">Sens!E11294-Sens!E11295</f>
        <v>2700</v>
      </c>
      <c r="F11296" s="29" t="n">
        <f aca="false">Sens!F11294-Sens!F11295</f>
        <v>5021.2</v>
      </c>
      <c r="G11296" s="29" t="n">
        <f aca="false">Sens!G11294-Sens!G11295</f>
        <v>7548.4</v>
      </c>
      <c r="H11296" s="29" t="n">
        <f aca="false">Sens!H11294-Sens!H11295</f>
        <v>10075.6</v>
      </c>
      <c r="I11296" s="29" t="n">
        <f aca="false">Sens!I11294-Sens!I11295</f>
        <v>11868.716</v>
      </c>
      <c r="J11296" s="29" t="n">
        <f aca="false">Sens!J11294-Sens!J11295</f>
        <v>12927.748</v>
      </c>
      <c r="K11296" s="29" t="n">
        <f aca="false">Sens!K11294-Sens!K11295</f>
        <v>13252.696</v>
      </c>
    </row>
    <row r="11297" customFormat="false" ht="17.15" hidden="false" customHeight="false" outlineLevel="0" collapsed="false">
      <c r="A11297" s="1" t="s">
        <v>805</v>
      </c>
      <c r="B11297" s="0" t="s">
        <v>392</v>
      </c>
      <c r="C11297" s="29" t="n">
        <f aca="false">Sens!C11296/ext_sh</f>
        <v>816.666666666667</v>
      </c>
      <c r="D11297" s="29" t="n">
        <f aca="false">Sens!D11296/ext_sh</f>
        <v>2050</v>
      </c>
      <c r="E11297" s="29" t="n">
        <f aca="false">Sens!E11296/ext_sh</f>
        <v>4500</v>
      </c>
      <c r="F11297" s="29" t="n">
        <f aca="false">Sens!F11296/ext_sh</f>
        <v>8368.66666666667</v>
      </c>
      <c r="G11297" s="29" t="n">
        <f aca="false">Sens!G11296/ext_sh</f>
        <v>12580.6666666667</v>
      </c>
      <c r="H11297" s="29" t="n">
        <f aca="false">Sens!H11296/ext_sh</f>
        <v>16792.6666666667</v>
      </c>
      <c r="I11297" s="29" t="n">
        <f aca="false">Sens!I11296/ext_sh</f>
        <v>19781.1933333333</v>
      </c>
      <c r="J11297" s="29" t="n">
        <f aca="false">Sens!J11296/ext_sh</f>
        <v>21546.2466666667</v>
      </c>
      <c r="K11297" s="29" t="n">
        <f aca="false">Sens!K11296/ext_sh</f>
        <v>22087.8266666667</v>
      </c>
      <c r="L11297" s="1" t="s">
        <v>806</v>
      </c>
    </row>
    <row r="11298" customFormat="false" ht="17.15" hidden="false" customHeight="false" outlineLevel="0" collapsed="false">
      <c r="A11298" s="1" t="s">
        <v>807</v>
      </c>
      <c r="B11298" s="0" t="s">
        <v>392</v>
      </c>
      <c r="C11298" s="29" t="n">
        <f aca="false">Sens!C11297-Sens!C11296</f>
        <v>326.666666666667</v>
      </c>
      <c r="D11298" s="29" t="n">
        <f aca="false">Sens!D11297-Sens!D11296</f>
        <v>820</v>
      </c>
      <c r="E11298" s="29" t="n">
        <f aca="false">Sens!E11297-Sens!E11296</f>
        <v>1800</v>
      </c>
      <c r="F11298" s="29" t="n">
        <f aca="false">Sens!F11297-Sens!F11296</f>
        <v>3347.46666666667</v>
      </c>
      <c r="G11298" s="29" t="n">
        <f aca="false">Sens!G11297-Sens!G11296</f>
        <v>5032.26666666667</v>
      </c>
      <c r="H11298" s="29" t="n">
        <f aca="false">Sens!H11297-Sens!H11296</f>
        <v>6717.06666666667</v>
      </c>
      <c r="I11298" s="29" t="n">
        <f aca="false">Sens!I11297-Sens!I11296</f>
        <v>7912.47733333333</v>
      </c>
      <c r="J11298" s="29" t="n">
        <f aca="false">Sens!J11297-Sens!J11296</f>
        <v>8618.49866666667</v>
      </c>
      <c r="K11298" s="29" t="n">
        <f aca="false">Sens!K11297-Sens!K11296</f>
        <v>8835.13066666667</v>
      </c>
    </row>
    <row r="11299" customFormat="false" ht="17.15" hidden="false" customHeight="false" outlineLevel="0" collapsed="false">
      <c r="A11299" s="1" t="s">
        <v>808</v>
      </c>
      <c r="B11299" s="0" t="s">
        <v>392</v>
      </c>
      <c r="C11299" s="29" t="n">
        <f aca="false">Sens!C11297</f>
        <v>816.666666666667</v>
      </c>
      <c r="D11299" s="29" t="n">
        <f aca="false">Sens!D11297-Sens!C11297</f>
        <v>1233.33333333333</v>
      </c>
      <c r="E11299" s="29" t="n">
        <f aca="false">Sens!E11297-Sens!D11297</f>
        <v>2450</v>
      </c>
      <c r="F11299" s="29" t="n">
        <f aca="false">Sens!F11297-Sens!E11297</f>
        <v>3868.66666666667</v>
      </c>
      <c r="G11299" s="29" t="n">
        <f aca="false">Sens!G11297-Sens!F11297</f>
        <v>4212</v>
      </c>
      <c r="H11299" s="29" t="n">
        <f aca="false">Sens!H11297-Sens!G11297</f>
        <v>4212</v>
      </c>
      <c r="I11299" s="29" t="n">
        <f aca="false">Sens!I11297-Sens!H11297</f>
        <v>2988.52666666667</v>
      </c>
      <c r="J11299" s="29" t="n">
        <f aca="false">Sens!J11297-Sens!I11297</f>
        <v>1765.05333333333</v>
      </c>
      <c r="K11299" s="29" t="n">
        <f aca="false">Sens!K11297-Sens!J11297</f>
        <v>541.580000000002</v>
      </c>
    </row>
    <row r="11300" customFormat="false" ht="17.15" hidden="false" customHeight="false" outlineLevel="0" collapsed="false">
      <c r="A11300" s="1" t="s">
        <v>809</v>
      </c>
      <c r="B11300" s="0" t="s">
        <v>392</v>
      </c>
      <c r="D11300" s="29" t="n">
        <f aca="false">Sens!D11294-Sens!C11294</f>
        <v>990</v>
      </c>
      <c r="E11300" s="29" t="n">
        <f aca="false">Sens!E11294-Sens!D11294</f>
        <v>1620</v>
      </c>
      <c r="F11300" s="29" t="n">
        <f aca="false">Sens!F11294-Sens!E11294</f>
        <v>2527.2</v>
      </c>
      <c r="G11300" s="29" t="n">
        <f aca="false">Sens!G11294-Sens!F11294</f>
        <v>2527.2</v>
      </c>
      <c r="H11300" s="29" t="n">
        <f aca="false">Sens!H11294-Sens!G11294</f>
        <v>2527.2</v>
      </c>
      <c r="I11300" s="29" t="n">
        <f aca="false">Sens!I11294-Sens!H11294</f>
        <v>1793.116</v>
      </c>
      <c r="J11300" s="29" t="n">
        <f aca="false">Sens!J11294-Sens!I11294</f>
        <v>1059.032</v>
      </c>
      <c r="K11300" s="29" t="n">
        <f aca="false">Sens!K11294-Sens!J11294</f>
        <v>324.948</v>
      </c>
    </row>
    <row r="11301" customFormat="false" ht="17.15" hidden="false" customHeight="false" outlineLevel="0" collapsed="false">
      <c r="A11301" s="1" t="s">
        <v>810</v>
      </c>
      <c r="B11301" s="0" t="s">
        <v>392</v>
      </c>
      <c r="F11301" s="29" t="n">
        <f aca="false">Sens!F11318*ext_sh</f>
        <v>0</v>
      </c>
      <c r="G11301" s="29" t="n">
        <f aca="false">Sens!G11318*ext_sh</f>
        <v>0</v>
      </c>
      <c r="H11301" s="29" t="n">
        <f aca="false">Sens!H11318*ext_sh</f>
        <v>0</v>
      </c>
      <c r="I11301" s="29" t="n">
        <f aca="false">Sens!I11318*ext_sh</f>
        <v>490</v>
      </c>
      <c r="J11301" s="29" t="n">
        <f aca="false">Sens!J11318*ext_sh</f>
        <v>740</v>
      </c>
      <c r="K11301" s="29" t="n">
        <f aca="false">Sens!K11318*ext_sh</f>
        <v>1470</v>
      </c>
      <c r="L11301" s="1" t="s">
        <v>811</v>
      </c>
    </row>
    <row r="11302" customFormat="false" ht="17.15" hidden="false" customHeight="false" outlineLevel="0" collapsed="false">
      <c r="A11302" s="1" t="s">
        <v>812</v>
      </c>
      <c r="B11302" s="0" t="s">
        <v>392</v>
      </c>
      <c r="C11302" s="29" t="n">
        <f aca="false">mix_h*Sens!C11294</f>
        <v>128</v>
      </c>
      <c r="D11302" s="29" t="n">
        <f aca="false">mix_h*Sens!D11294</f>
        <v>326</v>
      </c>
      <c r="E11302" s="29" t="n">
        <f aca="false">mix_h*Sens!E11294</f>
        <v>650</v>
      </c>
      <c r="F11302" s="29" t="n">
        <f aca="false">Sens!E11302-Sens!F11301*mix_h</f>
        <v>650</v>
      </c>
      <c r="G11302" s="29" t="n">
        <f aca="false">Sens!F11302-Sens!G11301*mix_h</f>
        <v>650</v>
      </c>
      <c r="H11302" s="29" t="n">
        <f aca="false">Sens!G11302-Sens!H11301*mix_h</f>
        <v>650</v>
      </c>
      <c r="I11302" s="29" t="n">
        <f aca="false">Sens!H11302-Sens!I11301*mix_h</f>
        <v>552</v>
      </c>
      <c r="J11302" s="29" t="n">
        <f aca="false">Sens!I11302-Sens!J11301*mix_h</f>
        <v>404</v>
      </c>
      <c r="K11302" s="29" t="n">
        <f aca="false">Sens!J11302-Sens!K11301*mix_h</f>
        <v>110</v>
      </c>
    </row>
    <row r="11303" customFormat="false" ht="17.15" hidden="false" customHeight="false" outlineLevel="0" collapsed="false">
      <c r="A11303" s="1" t="s">
        <v>813</v>
      </c>
      <c r="B11303" s="0" t="s">
        <v>392</v>
      </c>
      <c r="C11303" s="29" t="n">
        <f aca="false">mix_g2*Sens!C11294</f>
        <v>288</v>
      </c>
      <c r="D11303" s="29" t="n">
        <f aca="false">mix_g2*Sens!D11294</f>
        <v>733.5</v>
      </c>
      <c r="E11303" s="29" t="n">
        <f aca="false">mix_g2*Sens!E11294</f>
        <v>1462.5</v>
      </c>
      <c r="F11303" s="29" t="n">
        <f aca="false">Sens!E11303-Sens!F11301*mix_g2</f>
        <v>1462.5</v>
      </c>
      <c r="G11303" s="29" t="n">
        <f aca="false">Sens!F11303-Sens!G11301*mix_g2</f>
        <v>1462.5</v>
      </c>
      <c r="H11303" s="29" t="n">
        <f aca="false">Sens!G11303-Sens!H11301*mix_g2</f>
        <v>1462.5</v>
      </c>
      <c r="I11303" s="29" t="n">
        <f aca="false">Sens!H11303-Sens!I11301*mix_g2</f>
        <v>1242</v>
      </c>
      <c r="J11303" s="29" t="n">
        <f aca="false">Sens!I11303-Sens!J11301*mix_g2</f>
        <v>909</v>
      </c>
      <c r="K11303" s="29" t="n">
        <f aca="false">Sens!J11303-Sens!K11301*mix_g2</f>
        <v>247.5</v>
      </c>
    </row>
    <row r="11304" customFormat="false" ht="17.15" hidden="false" customHeight="false" outlineLevel="0" collapsed="false">
      <c r="A11304" s="1" t="s">
        <v>814</v>
      </c>
      <c r="B11304" s="0" t="s">
        <v>392</v>
      </c>
      <c r="C11304" s="29" t="n">
        <f aca="false">mix_g3*Sens!C11294</f>
        <v>224</v>
      </c>
      <c r="D11304" s="29" t="n">
        <f aca="false">mix_g3*Sens!D11294</f>
        <v>570.5</v>
      </c>
      <c r="E11304" s="29" t="n">
        <f aca="false">mix_g3*Sens!E11294</f>
        <v>1137.5</v>
      </c>
      <c r="F11304" s="29" t="n">
        <f aca="false">Sens!E11304+(Sens!F11300+Sens!F11301)*a_g3_27-Sens!F11301*mix_g3</f>
        <v>2906.54</v>
      </c>
      <c r="G11304" s="29" t="n">
        <f aca="false">Sens!F11304+(Sens!G11300+Sens!G11301)*a_g3_28-Sens!G11301*mix_g3</f>
        <v>3664.7</v>
      </c>
      <c r="H11304" s="29" t="n">
        <f aca="false">Sens!G11304+(Sens!H11300+Sens!H11301)*a_g3_29-Sens!H11301*mix_g3</f>
        <v>3917.42</v>
      </c>
      <c r="I11304" s="29" t="n">
        <f aca="false">Sens!H11304+(Sens!I11300+Sens!I11301)*a_g3_29-Sens!I11301*mix_g3</f>
        <v>3974.2316</v>
      </c>
      <c r="J11304" s="29" t="n">
        <f aca="false">Sens!I11304+(Sens!J11300+Sens!J11301)*a_g3_29-Sens!J11301*mix_g3</f>
        <v>3895.1348</v>
      </c>
      <c r="K11304" s="29" t="n">
        <f aca="false">Sens!J11304+(Sens!K11300+Sens!K11301)*a_g3_29-Sens!K11301*mix_g3</f>
        <v>3560.1296</v>
      </c>
    </row>
    <row r="11305" customFormat="false" ht="17.15" hidden="false" customHeight="false" outlineLevel="0" collapsed="false">
      <c r="A11305" s="1" t="s">
        <v>815</v>
      </c>
      <c r="B11305" s="0" t="s">
        <v>392</v>
      </c>
      <c r="C11305" s="29" t="n">
        <v>0</v>
      </c>
      <c r="D11305" s="29" t="n">
        <v>0</v>
      </c>
      <c r="E11305" s="29" t="n">
        <v>0</v>
      </c>
      <c r="F11305" s="29" t="n">
        <f aca="false">Sens!E11305+(Sens!F11300+Sens!F11301)*(1-a_g3_27)</f>
        <v>758.16</v>
      </c>
      <c r="G11305" s="29" t="n">
        <f aca="false">Sens!F11305+(Sens!G11300+Sens!G11301)*(1-a_g3_28)</f>
        <v>2527.2</v>
      </c>
      <c r="H11305" s="29" t="n">
        <f aca="false">Sens!G11305+(Sens!H11300+Sens!H11301)*(1-a_g3_29)</f>
        <v>4801.68</v>
      </c>
      <c r="I11305" s="29" t="n">
        <f aca="false">Sens!H11305+(Sens!I11300+Sens!I11301)*(1-a_g3_29)</f>
        <v>6856.4844</v>
      </c>
      <c r="J11305" s="29" t="n">
        <f aca="false">Sens!I11305+(Sens!J11300+Sens!J11301)*(1-a_g3_29)</f>
        <v>8475.6132</v>
      </c>
      <c r="K11305" s="29" t="n">
        <f aca="false">Sens!J11305+(Sens!K11300+Sens!K11301)*(1-a_g3_29)</f>
        <v>10091.0664</v>
      </c>
    </row>
    <row r="11306" customFormat="false" ht="17.15" hidden="false" customHeight="false" outlineLevel="0" collapsed="false">
      <c r="A11306" s="1" t="s">
        <v>816</v>
      </c>
      <c r="B11306" s="0" t="s">
        <v>339</v>
      </c>
      <c r="C11306" s="14" t="n">
        <f aca="false">(Sens!C11302*tk_hold_h100+Sens!C11303*tk_hold_gb200+Sens!C11304*tk_hold_gb300+Sens!C11305*tk_hold_vr200)/Sens!C11294</f>
        <v>9.7235358126469</v>
      </c>
      <c r="D11306" s="14" t="n">
        <f aca="false">(Sens!D11302*tk_hold_h100+Sens!D11303*tk_hold_gb200+Sens!D11304*tk_hold_gb300+Sens!D11305*tk_hold_vr200)/Sens!D11294</f>
        <v>9.7235358126469</v>
      </c>
      <c r="E11306" s="14" t="n">
        <f aca="false">(Sens!E11302*tk_hold_h100+Sens!E11303*tk_hold_gb200+Sens!E11304*tk_hold_gb300+Sens!E11305*tk_hold_vr200)/Sens!E11294</f>
        <v>9.7235358126469</v>
      </c>
      <c r="F11306" s="14" t="n">
        <f aca="false">(Sens!F11302*tk_hold_h100+Sens!F11303*tk_hold_gb200+Sens!F11304*tk_hold_gb300+Sens!F11305*tk_hold_vr200)/Sens!F11294</f>
        <v>10.4079573161931</v>
      </c>
      <c r="G11306" s="14" t="n">
        <f aca="false">(Sens!G11302*tk_hold_h100+Sens!G11303*tk_hold_gb200+Sens!G11304*tk_hold_gb300+Sens!G11305*tk_hold_vr200)/Sens!G11294</f>
        <v>10.8388131109316</v>
      </c>
      <c r="H11306" s="14" t="n">
        <f aca="false">(Sens!H11302*tk_hold_h100+Sens!H11303*tk_hold_gb200+Sens!H11304*tk_hold_gb300+Sens!H11305*tk_hold_vr200)/Sens!H11294</f>
        <v>11.1311018388216</v>
      </c>
      <c r="I11306" s="14" t="n">
        <f aca="false">(Sens!I11302*tk_hold_h100+Sens!I11303*tk_hold_gb200+Sens!I11304*tk_hold_gb300+Sens!I11305*tk_hold_vr200)/Sens!I11294</f>
        <v>11.3594282560989</v>
      </c>
      <c r="J11306" s="14" t="n">
        <f aca="false">(Sens!J11302*tk_hold_h100+Sens!J11303*tk_hold_gb200+Sens!J11304*tk_hold_gb300+Sens!J11305*tk_hold_vr200)/Sens!J11294</f>
        <v>11.5441508808221</v>
      </c>
      <c r="K11306" s="14" t="n">
        <f aca="false">(Sens!K11302*tk_hold_h100+Sens!K11303*tk_hold_gb200+Sens!K11304*tk_hold_gb300+Sens!K11305*tk_hold_vr200)/Sens!K11294</f>
        <v>11.8053375063575</v>
      </c>
    </row>
    <row r="11307" customFormat="false" ht="17.15" hidden="false" customHeight="false" outlineLevel="0" collapsed="false">
      <c r="A11307" s="0" t="s">
        <v>817</v>
      </c>
      <c r="B11307" s="0" t="s">
        <v>185</v>
      </c>
      <c r="C11307" s="14" t="n">
        <f aca="false">k_B</f>
        <v>1.17213932619116</v>
      </c>
      <c r="D11307" s="14" t="n">
        <f aca="false">k_B</f>
        <v>1.17213932619116</v>
      </c>
      <c r="E11307" s="14" t="n">
        <f aca="false">k_B</f>
        <v>1.17213932619116</v>
      </c>
      <c r="F11307" s="14" t="n">
        <f aca="false">(k_B+((ls_C*k_long+(1-ls_C)*k_spot)-k_B)*MIN(1,(Sens!F11292-base_fy)/k_ramp))</f>
        <v>1.07843258004497</v>
      </c>
      <c r="G11307" s="14" t="n">
        <f aca="false">(k_B+((ls_C*k_long+(1-ls_C)*k_spot)-k_B)*MIN(1,(Sens!G11292-base_fy)/k_ramp))</f>
        <v>0.984725833898784</v>
      </c>
      <c r="H11307" s="14" t="n">
        <f aca="false">(k_B+((ls_C*k_long+(1-ls_C)*k_spot)-k_B)*MIN(1,(Sens!H11292-base_fy)/k_ramp))</f>
        <v>0.891019087752599</v>
      </c>
      <c r="I11307" s="14" t="n">
        <f aca="false">(k_B+((ls_C*k_long+(1-ls_C)*k_spot)-k_B)*MIN(1,(Sens!I11292-base_fy)/k_ramp))</f>
        <v>0.891019087752599</v>
      </c>
      <c r="J11307" s="14" t="n">
        <f aca="false">(k_B+((ls_C*k_long+(1-ls_C)*k_spot)-k_B)*MIN(1,(Sens!J11292-base_fy)/k_ramp))</f>
        <v>0.891019087752599</v>
      </c>
      <c r="K11307" s="14" t="n">
        <f aca="false">(k_B+((ls_C*k_long+(1-ls_C)*k_spot)-k_B)*MIN(1,(Sens!K11292-base_fy)/k_ramp))</f>
        <v>0.891019087752599</v>
      </c>
      <c r="L11307" s="1" t="s">
        <v>818</v>
      </c>
    </row>
    <row r="11308" customFormat="false" ht="17.15" hidden="false" customHeight="false" outlineLevel="0" collapsed="false">
      <c r="A11308" s="1" t="s">
        <v>819</v>
      </c>
      <c r="B11308" s="0" t="s">
        <v>339</v>
      </c>
      <c r="C11308" s="14" t="n">
        <f aca="false">Sens!C11306*Sens!C11307*chip_f</f>
        <v>11.3973387156315</v>
      </c>
      <c r="D11308" s="14" t="n">
        <f aca="false">Sens!D11306*Sens!D11307*chip_f</f>
        <v>11.3973387156315</v>
      </c>
      <c r="E11308" s="14" t="n">
        <f aca="false">Sens!E11306*Sens!E11307*chip_f</f>
        <v>11.3973387156315</v>
      </c>
      <c r="F11308" s="14" t="n">
        <f aca="false">Sens!F11306*Sens!F11307*chip_f</f>
        <v>11.2242802615</v>
      </c>
      <c r="G11308" s="14" t="n">
        <f aca="false">Sens!G11306*Sens!G11307*chip_f</f>
        <v>10.6732592791352</v>
      </c>
      <c r="H11308" s="14" t="n">
        <f aca="false">Sens!H11306*Sens!H11307*chip_f</f>
        <v>9.91802420610807</v>
      </c>
      <c r="I11308" s="14" t="n">
        <f aca="false">Sens!I11306*Sens!I11307*chip_f</f>
        <v>10.1214674021403</v>
      </c>
      <c r="J11308" s="14" t="n">
        <f aca="false">Sens!J11306*Sens!J11307*chip_f</f>
        <v>10.2860587867084</v>
      </c>
      <c r="K11308" s="14" t="n">
        <f aca="false">Sens!K11306*Sens!K11307*chip_f</f>
        <v>10.5187810555262</v>
      </c>
      <c r="L11308" s="1" t="s">
        <v>820</v>
      </c>
    </row>
    <row r="11309" customFormat="false" ht="17.15" hidden="false" customHeight="false" outlineLevel="0" collapsed="false">
      <c r="A11309" s="0" t="s">
        <v>821</v>
      </c>
      <c r="B11309" s="0" t="s">
        <v>98</v>
      </c>
      <c r="D11309" s="6" t="n">
        <f aca="false">(Sens!C11294+Sens!D11294)/2*Sens!D11308/1000</f>
        <v>12.9359794422418</v>
      </c>
      <c r="E11309" s="6" t="n">
        <f aca="false">(Sens!D11294+Sens!E11294)/2*Sens!E11308/1000</f>
        <v>27.8095064661409</v>
      </c>
      <c r="F11309" s="6" t="n">
        <f aca="false">(Sens!E11294+Sens!F11294)/2*Sens!F11308/1000</f>
        <v>50.6619113883066</v>
      </c>
      <c r="G11309" s="6" t="n">
        <f aca="false">(Sens!F11294+Sens!G11294)/2*Sens!G11308/1000</f>
        <v>75.1482839325348</v>
      </c>
      <c r="H11309" s="6" t="n">
        <f aca="false">(Sens!G11294+Sens!H11294)/2*Sens!H11308/1000</f>
        <v>94.895655604042</v>
      </c>
      <c r="I11309" s="6" t="n">
        <f aca="false">(Sens!H11294+Sens!I11294)/2*Sens!I11308/1000</f>
        <v>118.706168884151</v>
      </c>
      <c r="J11309" s="6" t="n">
        <f aca="false">(Sens!I11294+Sens!J11294)/2*Sens!J11308/1000</f>
        <v>135.305203646001</v>
      </c>
      <c r="K11309" s="6" t="n">
        <f aca="false">(Sens!J11294+Sens!K11294)/2*Sens!K11308/1000</f>
        <v>145.64537766421</v>
      </c>
      <c r="L11309" s="11" t="s">
        <v>822</v>
      </c>
    </row>
    <row r="11310" customFormat="false" ht="17.15" hidden="false" customHeight="false" outlineLevel="0" collapsed="false">
      <c r="A11310" s="1" t="s">
        <v>823</v>
      </c>
      <c r="B11310" s="0" t="s">
        <v>339</v>
      </c>
      <c r="C11310" s="14" t="n">
        <f aca="false">(Sens!C11302*tk_opex_h100+Sens!C11303*tk_opex_gb200+Sens!C11304*tk_opex_gb300+Sens!C11305*tk_opex_vr200)/Sens!C11294</f>
        <v>1.88636041306092</v>
      </c>
      <c r="D11310" s="14" t="n">
        <f aca="false">(Sens!D11302*tk_opex_h100+Sens!D11303*tk_opex_gb200+Sens!D11304*tk_opex_gb300+Sens!D11305*tk_opex_vr200)/Sens!D11294</f>
        <v>1.88636041306092</v>
      </c>
      <c r="E11310" s="14" t="n">
        <f aca="false">(Sens!E11302*tk_opex_h100+Sens!E11303*tk_opex_gb200+Sens!E11304*tk_opex_gb300+Sens!E11305*tk_opex_vr200)/Sens!E11294</f>
        <v>1.88636041306092</v>
      </c>
      <c r="F11310" s="14" t="n">
        <f aca="false">(Sens!F11302*tk_opex_h100+Sens!F11303*tk_opex_gb200+Sens!F11304*tk_opex_gb300+Sens!F11305*tk_opex_vr200)/Sens!F11294</f>
        <v>1.9430236476499</v>
      </c>
      <c r="G11310" s="14" t="n">
        <f aca="false">(Sens!G11302*tk_opex_h100+Sens!G11303*tk_opex_gb200+Sens!G11304*tk_opex_gb300+Sens!G11305*tk_opex_vr200)/Sens!G11294</f>
        <v>1.9786941852423</v>
      </c>
      <c r="H11310" s="14" t="n">
        <f aca="false">(Sens!H11302*tk_opex_h100+Sens!H11303*tk_opex_gb200+Sens!H11304*tk_opex_gb300+Sens!H11305*tk_opex_vr200)/Sens!H11294</f>
        <v>2.00289275976156</v>
      </c>
      <c r="I11310" s="14" t="n">
        <f aca="false">(Sens!I11302*tk_opex_h100+Sens!I11303*tk_opex_gb200+Sens!I11304*tk_opex_gb300+Sens!I11305*tk_opex_vr200)/Sens!I11294</f>
        <v>2.02179589661219</v>
      </c>
      <c r="J11310" s="14" t="n">
        <f aca="false">(Sens!J11302*tk_opex_h100+Sens!J11303*tk_opex_gb200+Sens!J11304*tk_opex_gb300+Sens!J11305*tk_opex_vr200)/Sens!J11294</f>
        <v>2.03708907685909</v>
      </c>
      <c r="K11310" s="14" t="n">
        <f aca="false">(Sens!K11302*tk_opex_h100+Sens!K11303*tk_opex_gb200+Sens!K11304*tk_opex_gb300+Sens!K11305*tk_opex_vr200)/Sens!K11294</f>
        <v>2.05871270931005</v>
      </c>
    </row>
    <row r="11311" customFormat="false" ht="17.15" hidden="false" customHeight="false" outlineLevel="0" collapsed="false">
      <c r="A11311" s="0" t="s">
        <v>824</v>
      </c>
      <c r="B11311" s="0" t="s">
        <v>98</v>
      </c>
      <c r="D11311" s="6" t="n">
        <f aca="false">(Sens!C11297+Sens!D11297)/2*Sens!D11310/1000</f>
        <v>2.70378325872065</v>
      </c>
      <c r="E11311" s="6" t="n">
        <f aca="false">(Sens!D11297+Sens!E11297)/2*Sens!E11310/1000</f>
        <v>6.17783035277451</v>
      </c>
      <c r="F11311" s="6" t="n">
        <f aca="false">(Sens!E11297+Sens!F11297)/2*Sens!F11310/1000</f>
        <v>12.5020618235287</v>
      </c>
      <c r="G11311" s="6" t="n">
        <f aca="false">(Sens!F11297+Sens!G11297)/2*Sens!G11310/1000</f>
        <v>20.7261620256847</v>
      </c>
      <c r="H11311" s="6" t="n">
        <f aca="false">(Sens!G11297+Sens!H11297)/2*Sens!H11310/1000</f>
        <v>29.4158183316982</v>
      </c>
      <c r="I11311" s="6" t="n">
        <f aca="false">(Sens!H11297+Sens!I11297)/2*Sens!I11310/1000</f>
        <v>36.9724400356344</v>
      </c>
      <c r="J11311" s="6" t="n">
        <f aca="false">(Sens!I11297+Sens!J11297)/2*Sens!J11310/1000</f>
        <v>42.0938382992747</v>
      </c>
      <c r="K11311" s="6" t="n">
        <f aca="false">(Sens!J11297+Sens!K11297)/2*Sens!K11310/1000</f>
        <v>44.9150106651501</v>
      </c>
    </row>
    <row r="11312" customFormat="false" ht="17.15" hidden="false" customHeight="false" outlineLevel="0" collapsed="false">
      <c r="A11312" s="0" t="s">
        <v>825</v>
      </c>
      <c r="B11312" s="0" t="s">
        <v>98</v>
      </c>
      <c r="D11312" s="6" t="n">
        <f aca="false">(Sens!C11295+Sens!D11295)/2*rent_mw/1000</f>
        <v>2.44475</v>
      </c>
      <c r="E11312" s="6" t="n">
        <f aca="false">(Sens!D11295+Sens!E11295)/2*rent_mw/1000</f>
        <v>4.22275</v>
      </c>
      <c r="F11312" s="6" t="n">
        <f aca="false">(Sens!E11295+Sens!F11295)/2*rent_mw/1000</f>
        <v>5.80517</v>
      </c>
      <c r="G11312" s="6" t="n">
        <f aca="false">(Sens!F11295+Sens!G11295)/2*rent_mw/1000</f>
        <v>6.72084</v>
      </c>
      <c r="H11312" s="6" t="n">
        <f aca="false">(Sens!G11295+Sens!H11295)/2*rent_mw/1000</f>
        <v>6.72084</v>
      </c>
      <c r="I11312" s="6" t="n">
        <f aca="false">(Sens!H11295+Sens!I11295)/2*rent_mw/1000</f>
        <v>6.72084</v>
      </c>
      <c r="J11312" s="6" t="n">
        <f aca="false">(Sens!I11295+Sens!J11295)/2*rent_mw/1000</f>
        <v>6.72084</v>
      </c>
      <c r="K11312" s="6" t="n">
        <f aca="false">(Sens!J11295+Sens!K11295)/2*rent_mw/1000</f>
        <v>6.72084</v>
      </c>
    </row>
    <row r="11313" customFormat="false" ht="17.15" hidden="false" customHeight="false" outlineLevel="0" collapsed="false">
      <c r="A11313" s="0" t="s">
        <v>826</v>
      </c>
      <c r="B11313" s="0" t="s">
        <v>98</v>
      </c>
      <c r="D11313" s="6" t="n">
        <f aca="false">(Sens!C11297+Sens!D11297)/2*(1-self_build)*fac_rent/1000</f>
        <v>0.853242375631075</v>
      </c>
      <c r="E11313" s="6" t="n">
        <f aca="false">(Sens!D11297+Sens!E11297)/2*(1-self_build)*fac_rent/1000</f>
        <v>1.94955961408728</v>
      </c>
      <c r="F11313" s="6" t="n">
        <f aca="false">(Sens!E11297+Sens!F11297)/2*(1-self_build)*fac_rent/1000</f>
        <v>3.83026455274573</v>
      </c>
      <c r="G11313" s="6" t="n">
        <f aca="false">(Sens!F11297+Sens!G11297)/2*(1-self_build)*fac_rent/1000</f>
        <v>6.23541590972812</v>
      </c>
      <c r="H11313" s="6" t="n">
        <f aca="false">(Sens!G11297+Sens!H11297)/2*(1-self_build)*fac_rent/1000</f>
        <v>8.74275792332679</v>
      </c>
      <c r="I11313" s="6" t="n">
        <f aca="false">(Sens!H11297+Sens!I11297)/2*(1-self_build)*fac_rent/1000</f>
        <v>10.8859420438599</v>
      </c>
      <c r="J11313" s="6" t="n">
        <f aca="false">(Sens!I11297+Sens!J11297)/2*(1-self_build)*fac_rent/1000</f>
        <v>12.3008103782619</v>
      </c>
      <c r="K11313" s="6" t="n">
        <f aca="false">(Sens!J11297+Sens!K11297)/2*(1-self_build)*fac_rent/1000</f>
        <v>12.9873629265328</v>
      </c>
      <c r="L11313" s="11" t="s">
        <v>827</v>
      </c>
    </row>
    <row r="11314" customFormat="false" ht="17.15" hidden="false" customHeight="false" outlineLevel="0" collapsed="false">
      <c r="A11314" s="1" t="s">
        <v>828</v>
      </c>
      <c r="B11314" s="0" t="s">
        <v>129</v>
      </c>
      <c r="D11314" s="7" t="n">
        <f aca="false">(Sens!C11296+Sens!D11296)/(Sens!C11297+Sens!D11297)</f>
        <v>0.6</v>
      </c>
      <c r="E11314" s="7" t="n">
        <f aca="false">(Sens!D11296+Sens!E11296)/(Sens!D11297+Sens!E11297)</f>
        <v>0.6</v>
      </c>
      <c r="F11314" s="7" t="n">
        <f aca="false">(Sens!E11296+Sens!F11296)/(Sens!E11297+Sens!F11297)</f>
        <v>0.6</v>
      </c>
      <c r="G11314" s="7" t="n">
        <f aca="false">(Sens!F11296+Sens!G11296)/(Sens!F11297+Sens!G11297)</f>
        <v>0.6</v>
      </c>
      <c r="H11314" s="7" t="n">
        <f aca="false">(Sens!G11296+Sens!H11296)/(Sens!G11297+Sens!H11297)</f>
        <v>0.6</v>
      </c>
      <c r="I11314" s="7" t="n">
        <f aca="false">(Sens!H11296+Sens!I11296)/(Sens!H11297+Sens!I11297)</f>
        <v>0.6</v>
      </c>
      <c r="J11314" s="7" t="n">
        <f aca="false">(Sens!I11296+Sens!J11296)/(Sens!I11297+Sens!J11297)</f>
        <v>0.6</v>
      </c>
      <c r="K11314" s="7" t="n">
        <f aca="false">(Sens!J11296+Sens!K11296)/(Sens!J11297+Sens!K11297)</f>
        <v>0.6</v>
      </c>
    </row>
    <row r="11315" customFormat="false" ht="17.15" hidden="false" customHeight="false" outlineLevel="0" collapsed="false">
      <c r="A11315" s="0" t="s">
        <v>829</v>
      </c>
      <c r="B11315" s="0" t="s">
        <v>98</v>
      </c>
      <c r="D11315" s="6" t="n">
        <f aca="false">Sens!D11309-Sens!D11314*(Sens!D11311+Sens!D11313)-Sens!D11312</f>
        <v>8.35701406163072</v>
      </c>
      <c r="E11315" s="6" t="n">
        <f aca="false">Sens!E11309-Sens!E11314*(Sens!E11311+Sens!E11313)-Sens!E11312</f>
        <v>18.7103224860238</v>
      </c>
      <c r="F11315" s="6" t="n">
        <f aca="false">Sens!F11309-Sens!F11314*(Sens!F11311+Sens!F11313)-Sens!F11312</f>
        <v>35.0573455625419</v>
      </c>
      <c r="G11315" s="6" t="n">
        <f aca="false">Sens!G11309-Sens!G11314*(Sens!G11311+Sens!G11313)-Sens!G11312</f>
        <v>52.2504971712871</v>
      </c>
      <c r="H11315" s="6" t="n">
        <f aca="false">Sens!H11309-Sens!H11314*(Sens!H11311+Sens!H11313)-Sens!H11312</f>
        <v>65.2796698510271</v>
      </c>
      <c r="I11315" s="6" t="n">
        <f aca="false">Sens!I11309-Sens!I11314*(Sens!I11311+Sens!I11313)-Sens!I11312</f>
        <v>83.2702996364549</v>
      </c>
      <c r="J11315" s="6" t="n">
        <f aca="false">Sens!J11309-Sens!J11314*(Sens!J11311+Sens!J11313)-Sens!J11312</f>
        <v>95.9475744394793</v>
      </c>
      <c r="K11315" s="6" t="n">
        <f aca="false">Sens!K11309-Sens!K11314*(Sens!K11311+Sens!K11313)-Sens!K11312</f>
        <v>104.1831135092</v>
      </c>
    </row>
    <row r="11316" customFormat="false" ht="17.15" hidden="false" customHeight="false" outlineLevel="0" collapsed="false">
      <c r="A11316" s="1" t="s">
        <v>830</v>
      </c>
      <c r="B11316" s="0" t="s">
        <v>98</v>
      </c>
      <c r="D11316" s="6" t="n">
        <f aca="false">(1-Sens!D11314)*(Sens!D11311+Sens!D11313)</f>
        <v>1.42281025374069</v>
      </c>
      <c r="E11316" s="6" t="n">
        <f aca="false">(1-Sens!E11314)*(Sens!E11311+Sens!E11313)</f>
        <v>3.25095598674472</v>
      </c>
      <c r="F11316" s="6" t="n">
        <f aca="false">(1-Sens!F11314)*(Sens!F11311+Sens!F11313)</f>
        <v>6.53293055050977</v>
      </c>
      <c r="G11316" s="6" t="n">
        <f aca="false">(1-Sens!G11314)*(Sens!G11311+Sens!G11313)</f>
        <v>10.7846311741651</v>
      </c>
      <c r="H11316" s="6" t="n">
        <f aca="false">(1-Sens!H11314)*(Sens!H11311+Sens!H11313)</f>
        <v>15.26343050201</v>
      </c>
      <c r="I11316" s="6" t="n">
        <f aca="false">(1-Sens!I11314)*(Sens!I11311+Sens!I11313)</f>
        <v>19.1433528317977</v>
      </c>
      <c r="J11316" s="6" t="n">
        <f aca="false">(1-Sens!J11314)*(Sens!J11311+Sens!J11313)</f>
        <v>21.7578594710146</v>
      </c>
      <c r="K11316" s="6" t="n">
        <f aca="false">(1-Sens!K11314)*(Sens!K11311+Sens!K11313)</f>
        <v>23.1609494366731</v>
      </c>
    </row>
    <row r="11317" customFormat="false" ht="17.15" hidden="false" customHeight="false" outlineLevel="0" collapsed="false">
      <c r="A11317" s="1" t="s">
        <v>831</v>
      </c>
      <c r="B11317" s="0" t="s">
        <v>350</v>
      </c>
      <c r="C11317" s="8" t="n">
        <f aca="false">cxit_open</f>
        <v>27.5918995</v>
      </c>
      <c r="D11317" s="8" t="n">
        <f aca="false">cxit_open</f>
        <v>27.5918995</v>
      </c>
      <c r="E11317" s="8" t="n">
        <f aca="false">cxit_open</f>
        <v>27.5918995</v>
      </c>
      <c r="F11317" s="8" t="n">
        <f aca="false">(a_g3_27*tk_cxit_gb300+(1-a_g3_27)*tk_cxit_vr200)</f>
        <v>33.8419624</v>
      </c>
      <c r="G11317" s="8" t="n">
        <f aca="false">(a_g3_28*tk_cxit_gb300+(1-a_g3_28)*tk_cxit_vr200)</f>
        <v>35.9816136</v>
      </c>
      <c r="H11317" s="8" t="n">
        <f aca="false">(a_g3_29*tk_cxit_gb300+(1-a_g3_29)*tk_cxit_vr200)</f>
        <v>37.0514392</v>
      </c>
      <c r="I11317" s="8" t="n">
        <f aca="false">(a_g3_29*tk_cxit_gb300+(1-a_g3_29)*tk_cxit_vr200)</f>
        <v>37.0514392</v>
      </c>
      <c r="J11317" s="8" t="n">
        <f aca="false">(a_g3_29*tk_cxit_gb300+(1-a_g3_29)*tk_cxit_vr200)</f>
        <v>37.0514392</v>
      </c>
      <c r="K11317" s="8" t="n">
        <f aca="false">(a_g3_29*tk_cxit_gb300+(1-a_g3_29)*tk_cxit_vr200)</f>
        <v>37.0514392</v>
      </c>
      <c r="L11317" s="11" t="s">
        <v>832</v>
      </c>
    </row>
    <row r="11318" customFormat="false" ht="17.15" hidden="false" customHeight="false" outlineLevel="0" collapsed="false">
      <c r="A11318" s="0" t="s">
        <v>833</v>
      </c>
      <c r="B11318" s="0" t="s">
        <v>392</v>
      </c>
      <c r="F11318" s="29" t="n">
        <f aca="false">Sens!C11299*IF(Sens!F11292-Sens!C11292=life_it,1,0)+Sens!D11299*IF(Sens!F11292-Sens!D11292=life_it,1,0)+Sens!E11299*IF(Sens!F11292-Sens!E11292=life_it,1,0)</f>
        <v>0</v>
      </c>
      <c r="G11318" s="29" t="n">
        <f aca="false">Sens!C11299*IF(Sens!G11292-Sens!C11292=life_it,1,0)+Sens!D11299*IF(Sens!G11292-Sens!D11292=life_it,1,0)+Sens!E11299*IF(Sens!G11292-Sens!E11292=life_it,1,0)+Sens!F11299*IF(Sens!G11292-Sens!F11292=life_it,1,0)</f>
        <v>0</v>
      </c>
      <c r="H11318" s="29" t="n">
        <f aca="false">Sens!C11299*IF(Sens!H11292-Sens!C11292=life_it,1,0)+Sens!D11299*IF(Sens!H11292-Sens!D11292=life_it,1,0)+Sens!E11299*IF(Sens!H11292-Sens!E11292=life_it,1,0)+Sens!F11299*IF(Sens!H11292-Sens!F11292=life_it,1,0)+Sens!G11299*IF(Sens!H11292-Sens!G11292=life_it,1,0)</f>
        <v>0</v>
      </c>
      <c r="I11318" s="29" t="n">
        <f aca="false">Sens!C11299*IF(Sens!I11292-Sens!C11292=life_it,1,0)+Sens!D11299*IF(Sens!I11292-Sens!D11292=life_it,1,0)+Sens!E11299*IF(Sens!I11292-Sens!E11292=life_it,1,0)+Sens!F11299*IF(Sens!I11292-Sens!F11292=life_it,1,0)+Sens!G11299*IF(Sens!I11292-Sens!G11292=life_it,1,0)+Sens!H11299*IF(Sens!I11292-Sens!H11292=life_it,1,0)</f>
        <v>816.666666666667</v>
      </c>
      <c r="J11318" s="29" t="n">
        <f aca="false">Sens!C11299*IF(Sens!J11292-Sens!C11292=life_it,1,0)+Sens!D11299*IF(Sens!J11292-Sens!D11292=life_it,1,0)+Sens!E11299*IF(Sens!J11292-Sens!E11292=life_it,1,0)+Sens!F11299*IF(Sens!J11292-Sens!F11292=life_it,1,0)+Sens!G11299*IF(Sens!J11292-Sens!G11292=life_it,1,0)+Sens!H11299*IF(Sens!J11292-Sens!H11292=life_it,1,0)+Sens!I11299*IF(Sens!J11292-Sens!I11292=life_it,1,0)</f>
        <v>1233.33333333333</v>
      </c>
      <c r="K11318" s="29" t="n">
        <f aca="false">Sens!C11299*IF(Sens!K11292-Sens!C11292=life_it,1,0)+Sens!D11299*IF(Sens!K11292-Sens!D11292=life_it,1,0)+Sens!E11299*IF(Sens!K11292-Sens!E11292=life_it,1,0)+Sens!F11299*IF(Sens!K11292-Sens!F11292=life_it,1,0)+Sens!G11299*IF(Sens!K11292-Sens!G11292=life_it,1,0)+Sens!H11299*IF(Sens!K11292-Sens!H11292=life_it,1,0)+Sens!I11299*IF(Sens!K11292-Sens!I11292=life_it,1,0)+Sens!J11299*IF(Sens!K11292-Sens!J11292=life_it,1,0)</f>
        <v>2450</v>
      </c>
      <c r="L11318" s="1" t="s">
        <v>834</v>
      </c>
    </row>
    <row r="11319" customFormat="false" ht="17.15" hidden="false" customHeight="false" outlineLevel="0" collapsed="false">
      <c r="A11319" s="0" t="s">
        <v>835</v>
      </c>
      <c r="B11319" s="0" t="s">
        <v>98</v>
      </c>
      <c r="C11319" s="6" t="n">
        <f aca="false">Sens!C11299*Sens!C11317/1000</f>
        <v>22.5333845916667</v>
      </c>
      <c r="D11319" s="6" t="n">
        <f aca="false">Sens!D11299*Sens!D11317/1000</f>
        <v>34.0300093833333</v>
      </c>
      <c r="E11319" s="6" t="n">
        <f aca="false">Sens!E11299*Sens!E11317/1000</f>
        <v>67.600153775</v>
      </c>
      <c r="F11319" s="6" t="n">
        <f aca="false">(Sens!F11299+Sens!F11318)*Sens!F11317/1000</f>
        <v>130.923271871467</v>
      </c>
      <c r="G11319" s="6" t="n">
        <f aca="false">(Sens!G11299+Sens!G11318)*Sens!G11317/1000</f>
        <v>151.5545564832</v>
      </c>
      <c r="H11319" s="6" t="n">
        <f aca="false">(Sens!H11299+Sens!H11318)*Sens!H11317/1000</f>
        <v>156.0606619104</v>
      </c>
      <c r="I11319" s="6" t="n">
        <f aca="false">(Sens!I11299+Sens!I11318)*Sens!I11317/1000</f>
        <v>140.987889434245</v>
      </c>
      <c r="J11319" s="6" t="n">
        <f aca="false">(Sens!J11299+Sens!J11318)*Sens!J11317/1000</f>
        <v>111.094541278091</v>
      </c>
      <c r="K11319" s="6" t="n">
        <f aca="false">(Sens!K11299+Sens!K11318)*Sens!K11317/1000</f>
        <v>110.842344481936</v>
      </c>
    </row>
    <row r="11320" customFormat="false" ht="17.15" hidden="false" customHeight="false" outlineLevel="0" collapsed="false">
      <c r="A11320" s="0" t="s">
        <v>836</v>
      </c>
      <c r="B11320" s="0" t="s">
        <v>98</v>
      </c>
      <c r="C11320" s="6" t="n">
        <f aca="false">Sens!C11299*self_build*tk_cxfac/1000</f>
        <v>6.2083</v>
      </c>
      <c r="D11320" s="6" t="n">
        <f aca="false">Sens!D11299*self_build*tk_cxfac/1000</f>
        <v>9.3758</v>
      </c>
      <c r="E11320" s="6" t="n">
        <f aca="false">Sens!E11299*self_build*tk_cxfac/1000</f>
        <v>18.6249</v>
      </c>
      <c r="F11320" s="6" t="n">
        <f aca="false">Sens!F11299*self_build*tk_cxfac/1000</f>
        <v>29.409604</v>
      </c>
      <c r="G11320" s="6" t="n">
        <f aca="false">Sens!G11299*self_build*tk_cxfac/1000</f>
        <v>32.019624</v>
      </c>
      <c r="H11320" s="6" t="n">
        <f aca="false">Sens!H11299*self_build*tk_cxfac/1000</f>
        <v>32.019624</v>
      </c>
      <c r="I11320" s="6" t="n">
        <f aca="false">Sens!I11299*self_build*tk_cxfac/1000</f>
        <v>22.71877972</v>
      </c>
      <c r="J11320" s="6" t="n">
        <f aca="false">Sens!J11299*self_build*tk_cxfac/1000</f>
        <v>13.41793544</v>
      </c>
      <c r="K11320" s="6" t="n">
        <f aca="false">Sens!K11299*self_build*tk_cxfac/1000</f>
        <v>4.11709116000001</v>
      </c>
    </row>
    <row r="11321" customFormat="false" ht="17.15" hidden="false" customHeight="false" outlineLevel="0" collapsed="false">
      <c r="A11321" s="0" t="s">
        <v>837</v>
      </c>
      <c r="B11321" s="0" t="s">
        <v>98</v>
      </c>
      <c r="F11321" s="6" t="n">
        <f aca="false">MAX(0,capex_floor27-Sens!F11319-Sens!F11320-Sens!F11414)</f>
        <v>8.43777689897088</v>
      </c>
      <c r="L11321" s="1" t="s">
        <v>838</v>
      </c>
    </row>
    <row r="11322" customFormat="false" ht="17.15" hidden="false" customHeight="false" outlineLevel="0" collapsed="false">
      <c r="A11322" s="0" t="s">
        <v>839</v>
      </c>
      <c r="B11322" s="0" t="s">
        <v>98</v>
      </c>
      <c r="C11322" s="6" t="n">
        <f aca="false">Sens!C11319</f>
        <v>22.5333845916667</v>
      </c>
      <c r="D11322" s="6" t="n">
        <f aca="false">Sens!D11319</f>
        <v>34.0300093833333</v>
      </c>
      <c r="E11322" s="6" t="n">
        <f aca="false">Sens!E11319</f>
        <v>67.600153775</v>
      </c>
      <c r="F11322" s="6" t="n">
        <f aca="false">Sens!F11319+Sens!F11321</f>
        <v>139.361048770438</v>
      </c>
      <c r="G11322" s="6" t="n">
        <f aca="false">Sens!G11319</f>
        <v>151.5545564832</v>
      </c>
      <c r="H11322" s="6" t="n">
        <f aca="false">Sens!H11319</f>
        <v>156.0606619104</v>
      </c>
      <c r="I11322" s="6" t="n">
        <f aca="false">Sens!I11319</f>
        <v>140.987889434245</v>
      </c>
      <c r="J11322" s="6" t="n">
        <f aca="false">Sens!J11319</f>
        <v>111.094541278091</v>
      </c>
      <c r="K11322" s="6" t="n">
        <f aca="false">Sens!K11319</f>
        <v>110.842344481936</v>
      </c>
    </row>
    <row r="11323" customFormat="false" ht="17.15" hidden="false" customHeight="false" outlineLevel="0" collapsed="false">
      <c r="A11323" s="0" t="s">
        <v>840</v>
      </c>
      <c r="B11323" s="0" t="s">
        <v>98</v>
      </c>
      <c r="C11323" s="6" t="n">
        <f aca="false">Sens!C11322+Sens!C11320</f>
        <v>28.7416845916667</v>
      </c>
      <c r="D11323" s="6" t="n">
        <f aca="false">Sens!D11322+Sens!D11320</f>
        <v>43.4058093833333</v>
      </c>
      <c r="E11323" s="6" t="n">
        <f aca="false">Sens!E11322+Sens!E11320</f>
        <v>86.225053775</v>
      </c>
      <c r="F11323" s="6" t="n">
        <f aca="false">Sens!F11322+Sens!F11320</f>
        <v>168.770652770438</v>
      </c>
      <c r="G11323" s="6" t="n">
        <f aca="false">Sens!G11322+Sens!G11320</f>
        <v>183.5741804832</v>
      </c>
      <c r="H11323" s="6" t="n">
        <f aca="false">Sens!H11322+Sens!H11320</f>
        <v>188.0802859104</v>
      </c>
      <c r="I11323" s="6" t="n">
        <f aca="false">Sens!I11322+Sens!I11320</f>
        <v>163.706669154245</v>
      </c>
      <c r="J11323" s="6" t="n">
        <f aca="false">Sens!J11322+Sens!J11320</f>
        <v>124.51247671809</v>
      </c>
      <c r="K11323" s="6" t="n">
        <f aca="false">Sens!K11322+Sens!K11320</f>
        <v>114.959435641936</v>
      </c>
      <c r="L11323" s="11" t="s">
        <v>841</v>
      </c>
    </row>
    <row r="11324" customFormat="false" ht="17.15" hidden="false" customHeight="false" outlineLevel="0" collapsed="false">
      <c r="A11324" s="0" t="s">
        <v>842</v>
      </c>
      <c r="B11324" s="0" t="s">
        <v>98</v>
      </c>
      <c r="E11324" s="6" t="n">
        <f aca="false">(Sens!C11322*IF(2&lt;life_it,1,IF(2=life_it,0.5,0))+Sens!D11322*IF(1&lt;life_it,1,IF(1=life_it,0.5,0))+Sens!E11322*0.5)/life_it</f>
        <v>15.0605784770833</v>
      </c>
      <c r="F11324" s="6" t="n">
        <f aca="false">(Sens!C11322*IF(3&lt;life_it,1,IF(3=life_it,0.5,0))+Sens!D11322*IF(2&lt;life_it,1,IF(2=life_it,0.5,0))+Sens!E11322*IF(1&lt;life_it,1,IF(1=life_it,0.5,0))+Sens!F11322*0.5)/life_it</f>
        <v>32.3073453558698</v>
      </c>
      <c r="G11324" s="6" t="n">
        <f aca="false">(Sens!C11322*IF(4&lt;life_it,1,IF(4=life_it,0.5,0))+Sens!D11322*IF(3&lt;life_it,1,IF(3=life_it,0.5,0))+Sens!E11322*IF(2&lt;life_it,1,IF(2=life_it,0.5,0))+Sens!F11322*IF(1&lt;life_it,1,IF(1=life_it,0.5,0))+Sens!G11322*0.5)/life_it</f>
        <v>56.5503124603396</v>
      </c>
      <c r="H11324" s="6" t="n">
        <f aca="false">(Sens!C11322*IF(5&lt;life_it,1,IF(5=life_it,0.5,0))+Sens!D11322*IF(4&lt;life_it,1,IF(4=life_it,0.5,0))+Sens!E11322*IF(3&lt;life_it,1,IF(3=life_it,0.5,0))+Sens!F11322*IF(2&lt;life_it,1,IF(2=life_it,0.5,0))+Sens!G11322*IF(1&lt;life_it,1,IF(1=life_it,0.5,0))+Sens!H11322*0.5)/life_it</f>
        <v>82.1849139931396</v>
      </c>
      <c r="I11324" s="6" t="n">
        <f aca="false">(Sens!C11322*IF(6&lt;life_it,1,IF(6=life_it,0.5,0))+Sens!D11322*IF(5&lt;life_it,1,IF(5=life_it,0.5,0))+Sens!E11322*IF(4&lt;life_it,1,IF(4=life_it,0.5,0))+Sens!F11322*IF(3&lt;life_it,1,IF(3=life_it,0.5,0))+Sens!G11322*IF(2&lt;life_it,1,IF(2=life_it,0.5,0))+Sens!H11322*IF(1&lt;life_it,1,IF(1=life_it,0.5,0))+Sens!I11322*0.5)/life_it</f>
        <v>105.061177889221</v>
      </c>
      <c r="J11324" s="6" t="n">
        <f aca="false">(Sens!C11322*IF(7&lt;life_it,1,IF(7=life_it,0.5,0))+Sens!D11322*IF(6&lt;life_it,1,IF(6=life_it,0.5,0))+Sens!E11322*IF(5&lt;life_it,1,IF(5=life_it,0.5,0))+Sens!F11322*IF(4&lt;life_it,1,IF(4=life_it,0.5,0))+Sens!G11322*IF(3&lt;life_it,1,IF(3=life_it,0.5,0))+Sens!H11322*IF(2&lt;life_it,1,IF(2=life_it,0.5,0))+Sens!I11322*IF(1&lt;life_it,1,IF(1=life_it,0.5,0))+Sens!J11322*0.5)/life_it</f>
        <v>121.354430950666</v>
      </c>
      <c r="K11324" s="6" t="n">
        <f aca="false">(Sens!C11322*IF(8&lt;life_it,1,IF(8=life_it,0.5,0))+Sens!D11322*IF(7&lt;life_it,1,IF(7=life_it,0.5,0))+Sens!E11322*IF(6&lt;life_it,1,IF(6=life_it,0.5,0))+Sens!F11322*IF(5&lt;life_it,1,IF(5=life_it,0.5,0))+Sens!G11322*IF(4&lt;life_it,1,IF(4=life_it,0.5,0))+Sens!H11322*IF(3&lt;life_it,1,IF(3=life_it,0.5,0))+Sens!I11322*IF(2&lt;life_it,1,IF(2=life_it,0.5,0))+Sens!J11322*IF(1&lt;life_it,1,IF(1=life_it,0.5,0))+Sens!K11322*0.5)/life_it</f>
        <v>131.379991167474</v>
      </c>
    </row>
    <row r="11325" customFormat="false" ht="17.15" hidden="false" customHeight="false" outlineLevel="0" collapsed="false">
      <c r="A11325" s="0" t="s">
        <v>843</v>
      </c>
      <c r="B11325" s="0" t="s">
        <v>98</v>
      </c>
      <c r="E11325" s="6" t="n">
        <f aca="false">(Sens!C11320*IF(2&lt;life_fac,1,IF(2=life_fac,0.5,0))+Sens!D11320*IF(1&lt;life_fac,1,IF(1=life_fac,0.5,0))+Sens!E11320*0.5)/life_fac</f>
        <v>1.2448275</v>
      </c>
      <c r="F11325" s="6" t="n">
        <f aca="false">(Sens!C11320*IF(3&lt;life_fac,1,IF(3=life_fac,0.5,0))+Sens!D11320*IF(2&lt;life_fac,1,IF(2=life_fac,0.5,0))+Sens!E11320*IF(1&lt;life_fac,1,IF(1=life_fac,0.5,0))+Sens!F11320*0.5)/life_fac</f>
        <v>2.4456901</v>
      </c>
      <c r="G11325" s="6" t="n">
        <f aca="false">(Sens!C11320*IF(4&lt;life_fac,1,IF(4=life_fac,0.5,0))+Sens!D11320*IF(3&lt;life_fac,1,IF(3=life_fac,0.5,0))+Sens!E11320*IF(2&lt;life_fac,1,IF(2=life_fac,0.5,0))+Sens!F11320*IF(1&lt;life_fac,1,IF(1=life_fac,0.5,0))+Sens!G11320*0.5)/life_fac</f>
        <v>3.9814208</v>
      </c>
      <c r="H11325" s="6" t="n">
        <f aca="false">(Sens!C11320*IF(5&lt;life_fac,1,IF(5=life_fac,0.5,0))+Sens!D11320*IF(4&lt;life_fac,1,IF(4=life_fac,0.5,0))+Sens!E11320*IF(3&lt;life_fac,1,IF(3=life_fac,0.5,0))+Sens!F11320*IF(2&lt;life_fac,1,IF(2=life_fac,0.5,0))+Sens!G11320*IF(1&lt;life_fac,1,IF(1=life_fac,0.5,0))+Sens!H11320*0.5)/life_fac</f>
        <v>5.582402</v>
      </c>
      <c r="I11325" s="6" t="n">
        <f aca="false">(Sens!C11320*IF(6&lt;life_fac,1,IF(6=life_fac,0.5,0))+Sens!D11320*IF(5&lt;life_fac,1,IF(5=life_fac,0.5,0))+Sens!E11320*IF(4&lt;life_fac,1,IF(4=life_fac,0.5,0))+Sens!F11320*IF(3&lt;life_fac,1,IF(3=life_fac,0.5,0))+Sens!G11320*IF(2&lt;life_fac,1,IF(2=life_fac,0.5,0))+Sens!H11320*IF(1&lt;life_fac,1,IF(1=life_fac,0.5,0))+Sens!I11320*0.5)/life_fac</f>
        <v>6.950862093</v>
      </c>
      <c r="J11325" s="6" t="n">
        <f aca="false">(Sens!C11320*IF(7&lt;life_fac,1,IF(7=life_fac,0.5,0))+Sens!D11320*IF(6&lt;life_fac,1,IF(6=life_fac,0.5,0))+Sens!E11320*IF(5&lt;life_fac,1,IF(5=life_fac,0.5,0))+Sens!F11320*IF(4&lt;life_fac,1,IF(4=life_fac,0.5,0))+Sens!G11320*IF(3&lt;life_fac,1,IF(3=life_fac,0.5,0))+Sens!H11320*IF(2&lt;life_fac,1,IF(2=life_fac,0.5,0))+Sens!I11320*IF(1&lt;life_fac,1,IF(1=life_fac,0.5,0))+Sens!J11320*0.5)/life_fac</f>
        <v>7.854279972</v>
      </c>
      <c r="K11325" s="6" t="n">
        <f aca="false">(Sens!C11320*IF(8&lt;life_fac,1,IF(8=life_fac,0.5,0))+Sens!D11320*IF(7&lt;life_fac,1,IF(7=life_fac,0.5,0))+Sens!E11320*IF(6&lt;life_fac,1,IF(6=life_fac,0.5,0))+Sens!F11320*IF(5&lt;life_fac,1,IF(5=life_fac,0.5,0))+Sens!G11320*IF(4&lt;life_fac,1,IF(4=life_fac,0.5,0))+Sens!H11320*IF(3&lt;life_fac,1,IF(3=life_fac,0.5,0))+Sens!I11320*IF(2&lt;life_fac,1,IF(2=life_fac,0.5,0))+Sens!J11320*IF(1&lt;life_fac,1,IF(1=life_fac,0.5,0))+Sens!K11320*0.5)/life_fac</f>
        <v>8.292655637</v>
      </c>
    </row>
    <row r="11326" customFormat="false" ht="17.15" hidden="false" customHeight="false" outlineLevel="0" collapsed="false">
      <c r="A11326" s="0" t="s">
        <v>844</v>
      </c>
      <c r="B11326" s="0" t="s">
        <v>98</v>
      </c>
      <c r="E11326" s="6" t="n">
        <f aca="false">Sens!E11324+Sens!E11325</f>
        <v>16.3054059770833</v>
      </c>
      <c r="F11326" s="6" t="n">
        <f aca="false">Sens!F11324+Sens!F11325</f>
        <v>34.7530354558698</v>
      </c>
      <c r="G11326" s="6" t="n">
        <f aca="false">Sens!G11324+Sens!G11325</f>
        <v>60.5317332603396</v>
      </c>
      <c r="H11326" s="6" t="n">
        <f aca="false">Sens!H11324+Sens!H11325</f>
        <v>87.7673159931396</v>
      </c>
      <c r="I11326" s="6" t="n">
        <f aca="false">Sens!I11324+Sens!I11325</f>
        <v>112.012039982221</v>
      </c>
      <c r="J11326" s="6" t="n">
        <f aca="false">Sens!J11324+Sens!J11325</f>
        <v>129.208710922666</v>
      </c>
      <c r="K11326" s="6" t="n">
        <f aca="false">Sens!K11324+Sens!K11325</f>
        <v>139.672646804474</v>
      </c>
    </row>
    <row r="11327" customFormat="false" ht="17.15" hidden="false" customHeight="false" outlineLevel="0" collapsed="false">
      <c r="A11327" s="0" t="s">
        <v>845</v>
      </c>
      <c r="B11327" s="0" t="s">
        <v>98</v>
      </c>
      <c r="E11327" s="6" t="n">
        <f aca="false">Sens!E11315-Sens!E11314*Sens!E11326</f>
        <v>8.92707889977379</v>
      </c>
      <c r="F11327" s="6" t="n">
        <f aca="false">Sens!F11315-Sens!F11314*Sens!F11326</f>
        <v>14.2055242890201</v>
      </c>
      <c r="G11327" s="6" t="n">
        <f aca="false">Sens!G11315-Sens!G11314*Sens!G11326</f>
        <v>15.9314572150833</v>
      </c>
      <c r="H11327" s="6" t="n">
        <f aca="false">Sens!H11315-Sens!H11314*Sens!H11326</f>
        <v>12.6192802551433</v>
      </c>
      <c r="I11327" s="6" t="n">
        <f aca="false">Sens!I11315-Sens!I11314*Sens!I11326</f>
        <v>16.0630756471222</v>
      </c>
      <c r="J11327" s="6" t="n">
        <f aca="false">Sens!J11315-Sens!J11314*Sens!J11326</f>
        <v>18.4223478858798</v>
      </c>
      <c r="K11327" s="6" t="n">
        <f aca="false">Sens!K11315-Sens!K11314*Sens!K11326</f>
        <v>20.3795254265162</v>
      </c>
    </row>
    <row r="11328" customFormat="false" ht="17.15" hidden="false" customHeight="false" outlineLevel="0" collapsed="false">
      <c r="A11328" s="3" t="s">
        <v>1530</v>
      </c>
    </row>
    <row r="11329" customFormat="false" ht="15" hidden="false" customHeight="false" outlineLevel="0" collapsed="false">
      <c r="A11329" s="4" t="s">
        <v>43</v>
      </c>
      <c r="B11329" s="4" t="s">
        <v>65</v>
      </c>
      <c r="C11329" s="20" t="s">
        <v>788</v>
      </c>
      <c r="D11329" s="20" t="s">
        <v>789</v>
      </c>
      <c r="E11329" s="20" t="s">
        <v>790</v>
      </c>
      <c r="F11329" s="20" t="s">
        <v>791</v>
      </c>
      <c r="G11329" s="20" t="s">
        <v>792</v>
      </c>
      <c r="H11329" s="20" t="s">
        <v>793</v>
      </c>
      <c r="I11329" s="20" t="s">
        <v>794</v>
      </c>
      <c r="J11329" s="20" t="s">
        <v>795</v>
      </c>
      <c r="K11329" s="20" t="s">
        <v>796</v>
      </c>
      <c r="L11329" s="4" t="s">
        <v>47</v>
      </c>
    </row>
    <row r="11330" customFormat="false" ht="17.15" hidden="false" customHeight="false" outlineLevel="0" collapsed="false">
      <c r="A11330" s="0" t="s">
        <v>864</v>
      </c>
      <c r="B11330" s="0" t="s">
        <v>98</v>
      </c>
      <c r="D11330" s="6" t="n">
        <f aca="false">Sens!D11309</f>
        <v>12.9359794422418</v>
      </c>
      <c r="E11330" s="6" t="n">
        <f aca="false">Sens!E11309</f>
        <v>27.8095064661409</v>
      </c>
      <c r="F11330" s="6" t="n">
        <f aca="false">Sens!F11309</f>
        <v>50.6619113883066</v>
      </c>
      <c r="G11330" s="6" t="n">
        <f aca="false">Sens!G11309</f>
        <v>75.1482839325348</v>
      </c>
      <c r="H11330" s="6" t="n">
        <f aca="false">Sens!H11309</f>
        <v>94.895655604042</v>
      </c>
      <c r="I11330" s="6" t="n">
        <f aca="false">Sens!I11309</f>
        <v>118.706168884151</v>
      </c>
      <c r="J11330" s="6" t="n">
        <f aca="false">Sens!J11309</f>
        <v>135.305203646001</v>
      </c>
      <c r="K11330" s="6" t="n">
        <f aca="false">Sens!K11309</f>
        <v>145.64537766421</v>
      </c>
    </row>
    <row r="11331" customFormat="false" ht="17.15" hidden="false" customHeight="false" outlineLevel="0" collapsed="false">
      <c r="A11331" s="0" t="s">
        <v>865</v>
      </c>
      <c r="B11331" s="0" t="s">
        <v>98</v>
      </c>
      <c r="D11331" s="6" t="n">
        <f aca="false">Q!L6-Sens!D11330</f>
        <v>59.6740205577583</v>
      </c>
      <c r="E11331" s="6" t="n">
        <f aca="false">Q!M6-Sens!E11330</f>
        <v>74.1284935338591</v>
      </c>
      <c r="F11331" s="6" t="n">
        <f aca="false">Sens!E11331*(1+Sens!F11332)</f>
        <v>90.0799497373663</v>
      </c>
      <c r="G11331" s="6" t="n">
        <f aca="false">Sens!F11331*(1+Sens!G11332)</f>
        <v>107.02842520331</v>
      </c>
      <c r="H11331" s="6" t="n">
        <f aca="false">Sens!G11331*(1+Sens!H11332)</f>
        <v>124.271982585636</v>
      </c>
      <c r="I11331" s="6" t="n">
        <f aca="false">Sens!H11331*(1+Sens!I11332)</f>
        <v>140.933702381855</v>
      </c>
      <c r="J11331" s="6" t="n">
        <f aca="false">Sens!I11331*(1+Sens!J11332)</f>
        <v>156.018867314332</v>
      </c>
      <c r="K11331" s="6" t="n">
        <f aca="false">Sens!J11331*(1+Sens!K11332)</f>
        <v>168.500376699478</v>
      </c>
    </row>
    <row r="11332" customFormat="false" ht="15" hidden="false" customHeight="false" outlineLevel="0" collapsed="false">
      <c r="A11332" s="1" t="s">
        <v>866</v>
      </c>
      <c r="B11332" s="0" t="s">
        <v>129</v>
      </c>
      <c r="E11332" s="7" t="n">
        <f aca="false">Sens!E11331/Sens!D11331-1</f>
        <v>0.242223883039864</v>
      </c>
      <c r="F11332" s="7" t="n">
        <f aca="false">Sens!$E$11332+(glt_azo-Sens!$E$11332)*MIN(1,(Sens!F11292-base_fy)/n_conv)</f>
        <v>0.215186569199887</v>
      </c>
      <c r="G11332" s="7" t="n">
        <f aca="false">Sens!$E$11332+(glt_azo-Sens!$E$11332)*MIN(1,(Sens!G11292-base_fy)/n_conv)</f>
        <v>0.18814925535991</v>
      </c>
      <c r="H11332" s="7" t="n">
        <f aca="false">Sens!$E$11332+(glt_azo-Sens!$E$11332)*MIN(1,(Sens!H11292-base_fy)/n_conv)</f>
        <v>0.161111941519932</v>
      </c>
      <c r="I11332" s="7" t="n">
        <f aca="false">Sens!$E$11332+(glt_azo-Sens!$E$11332)*MIN(1,(Sens!I11292-base_fy)/n_conv)</f>
        <v>0.134074627679955</v>
      </c>
      <c r="J11332" s="7" t="n">
        <f aca="false">Sens!$E$11332+(glt_azo-Sens!$E$11332)*MIN(1,(Sens!J11292-base_fy)/n_conv)</f>
        <v>0.107037313839977</v>
      </c>
      <c r="K11332" s="7" t="n">
        <f aca="false">Sens!$E$11332+(glt_azo-Sens!$E$11332)*MIN(1,(Sens!K11292-base_fy)/n_conv)</f>
        <v>0.08</v>
      </c>
    </row>
    <row r="11333" customFormat="false" ht="15" hidden="false" customHeight="false" outlineLevel="0" collapsed="false">
      <c r="A11333" s="0" t="s">
        <v>867</v>
      </c>
      <c r="B11333" s="0" t="s">
        <v>98</v>
      </c>
      <c r="D11333" s="6" t="n">
        <f aca="false">Sens!D11330+Sens!D11331</f>
        <v>72.61</v>
      </c>
      <c r="E11333" s="6" t="n">
        <f aca="false">Sens!E11330+Sens!E11331</f>
        <v>101.938</v>
      </c>
      <c r="F11333" s="6" t="n">
        <f aca="false">Sens!F11330+Sens!F11331</f>
        <v>140.741861125673</v>
      </c>
      <c r="G11333" s="6" t="n">
        <f aca="false">Sens!G11330+Sens!G11331</f>
        <v>182.176709135845</v>
      </c>
      <c r="H11333" s="6" t="n">
        <f aca="false">Sens!H11330+Sens!H11331</f>
        <v>219.167638189678</v>
      </c>
      <c r="I11333" s="6" t="n">
        <f aca="false">Sens!I11330+Sens!I11331</f>
        <v>259.639871266006</v>
      </c>
      <c r="J11333" s="6" t="n">
        <f aca="false">Sens!J11330+Sens!J11331</f>
        <v>291.324070960333</v>
      </c>
      <c r="K11333" s="6" t="n">
        <f aca="false">Sens!K11330+Sens!K11331</f>
        <v>314.145754363688</v>
      </c>
    </row>
    <row r="11334" customFormat="false" ht="17.15" hidden="false" customHeight="false" outlineLevel="0" collapsed="false">
      <c r="A11334" s="0" t="s">
        <v>868</v>
      </c>
      <c r="B11334" s="1" t="s">
        <v>521</v>
      </c>
      <c r="C11334" s="29" t="n">
        <f aca="false">cop_s24</f>
        <v>1</v>
      </c>
      <c r="D11334" s="29" t="n">
        <f aca="false">cop_s25</f>
        <v>5</v>
      </c>
      <c r="E11334" s="29" t="n">
        <f aca="false">cop_s26</f>
        <v>30</v>
      </c>
      <c r="F11334" s="29" t="n">
        <f aca="false">Sens!E11334+cop_add_C</f>
        <v>40</v>
      </c>
      <c r="G11334" s="29" t="n">
        <f aca="false">Sens!F11334+cop_add_C</f>
        <v>50</v>
      </c>
      <c r="H11334" s="29" t="n">
        <f aca="false">Sens!G11334+cop_add_C</f>
        <v>60</v>
      </c>
      <c r="I11334" s="29" t="n">
        <f aca="false">Sens!H11334+cop_add_C*cop_tail</f>
        <v>65</v>
      </c>
      <c r="J11334" s="29" t="n">
        <f aca="false">Sens!I11334+cop_add_C*cop_tail</f>
        <v>70</v>
      </c>
      <c r="K11334" s="29" t="n">
        <f aca="false">Sens!J11334+cop_add_C*cop_tail</f>
        <v>75</v>
      </c>
      <c r="L11334" s="11" t="s">
        <v>869</v>
      </c>
    </row>
    <row r="11335" customFormat="false" ht="17.15" hidden="false" customHeight="false" outlineLevel="0" collapsed="false">
      <c r="A11335" s="0" t="s">
        <v>870</v>
      </c>
      <c r="B11335" s="0" t="s">
        <v>98</v>
      </c>
      <c r="D11335" s="6" t="n">
        <f aca="false">(Sens!C11334+Sens!D11334)/2*cop_px*12/1000</f>
        <v>0.9</v>
      </c>
      <c r="E11335" s="6" t="n">
        <f aca="false">(Sens!D11334+Sens!E11334)/2*cop_px*12/1000</f>
        <v>5.25</v>
      </c>
      <c r="F11335" s="6" t="n">
        <f aca="false">(Sens!E11334+Sens!F11334)/2*cop_px*12/1000</f>
        <v>10.5</v>
      </c>
      <c r="G11335" s="6" t="n">
        <f aca="false">(Sens!F11334+Sens!G11334)/2*cop_px*12/1000</f>
        <v>13.5</v>
      </c>
      <c r="H11335" s="6" t="n">
        <f aca="false">(Sens!G11334+Sens!H11334)/2*cop_px*12/1000</f>
        <v>16.5</v>
      </c>
      <c r="I11335" s="6" t="n">
        <f aca="false">(Sens!H11334+Sens!I11334)/2*cop_px*12/1000</f>
        <v>18.75</v>
      </c>
      <c r="J11335" s="6" t="n">
        <f aca="false">(Sens!I11334+Sens!J11334)/2*cop_px*12/1000</f>
        <v>20.25</v>
      </c>
      <c r="K11335" s="6" t="n">
        <f aca="false">(Sens!J11334+Sens!K11334)/2*cop_px*12/1000</f>
        <v>21.75</v>
      </c>
      <c r="L11335" s="1" t="s">
        <v>871</v>
      </c>
    </row>
    <row r="11336" customFormat="false" ht="17.15" hidden="false" customHeight="false" outlineLevel="0" collapsed="false">
      <c r="A11336" s="0" t="s">
        <v>872</v>
      </c>
      <c r="B11336" s="0" t="s">
        <v>98</v>
      </c>
      <c r="D11336" s="6" t="n">
        <f aca="false">Q!L7-Sens!D11335</f>
        <v>83.705</v>
      </c>
      <c r="E11336" s="6" t="n">
        <f aca="false">Q!M7-Sens!E11335</f>
        <v>95.049</v>
      </c>
      <c r="F11336" s="6" t="n">
        <f aca="false">Sens!E11336*(1+Sens!F11337)</f>
        <v>106.89238776686</v>
      </c>
      <c r="G11336" s="6" t="n">
        <f aca="false">Sens!F11336*(1+Sens!G11337)</f>
        <v>119.044168448684</v>
      </c>
      <c r="H11336" s="6" t="n">
        <f aca="false">Sens!G11336*(1+Sens!H11337)</f>
        <v>131.277359388781</v>
      </c>
      <c r="I11336" s="6" t="n">
        <f aca="false">Sens!H11336*(1+Sens!I11337)</f>
        <v>143.334028071957</v>
      </c>
      <c r="J11336" s="6" t="n">
        <f aca="false">Sens!I11336*(1+Sens!J11337)</f>
        <v>154.932702785465</v>
      </c>
      <c r="K11336" s="6" t="n">
        <f aca="false">Sens!J11336*(1+Sens!K11337)</f>
        <v>165.777991980448</v>
      </c>
    </row>
    <row r="11337" customFormat="false" ht="15" hidden="false" customHeight="false" outlineLevel="0" collapsed="false">
      <c r="A11337" s="1" t="s">
        <v>866</v>
      </c>
      <c r="B11337" s="0" t="s">
        <v>129</v>
      </c>
      <c r="E11337" s="7" t="n">
        <f aca="false">Sens!E11336/Sens!D11336-1</f>
        <v>0.135523564900544</v>
      </c>
      <c r="F11337" s="7" t="n">
        <f aca="false">Sens!$E$11337+(glt_m365b-Sens!$E$11337)*MIN(1,(Sens!F11292-base_fy)/n_conv)</f>
        <v>0.124602970750453</v>
      </c>
      <c r="G11337" s="7" t="n">
        <f aca="false">Sens!$E$11337+(glt_m365b-Sens!$E$11337)*MIN(1,(Sens!G11292-base_fy)/n_conv)</f>
        <v>0.113682376600363</v>
      </c>
      <c r="H11337" s="7" t="n">
        <f aca="false">Sens!$E$11337+(glt_m365b-Sens!$E$11337)*MIN(1,(Sens!H11292-base_fy)/n_conv)</f>
        <v>0.102761782450272</v>
      </c>
      <c r="I11337" s="7" t="n">
        <f aca="false">Sens!$E$11337+(glt_m365b-Sens!$E$11337)*MIN(1,(Sens!I11292-base_fy)/n_conv)</f>
        <v>0.0918411883001813</v>
      </c>
      <c r="J11337" s="7" t="n">
        <f aca="false">Sens!$E$11337+(glt_m365b-Sens!$E$11337)*MIN(1,(Sens!J11292-base_fy)/n_conv)</f>
        <v>0.0809205941500906</v>
      </c>
      <c r="K11337" s="7" t="n">
        <f aca="false">Sens!$E$11337+(glt_m365b-Sens!$E$11337)*MIN(1,(Sens!K11292-base_fy)/n_conv)</f>
        <v>0.07</v>
      </c>
    </row>
    <row r="11338" customFormat="false" ht="15" hidden="false" customHeight="false" outlineLevel="0" collapsed="false">
      <c r="A11338" s="0" t="s">
        <v>873</v>
      </c>
      <c r="B11338" s="0" t="s">
        <v>98</v>
      </c>
      <c r="D11338" s="6" t="n">
        <f aca="false">Sens!D11336+Sens!D11335</f>
        <v>84.605</v>
      </c>
      <c r="E11338" s="6" t="n">
        <f aca="false">Sens!E11336+Sens!E11335</f>
        <v>100.299</v>
      </c>
      <c r="F11338" s="6" t="n">
        <f aca="false">Sens!F11336+Sens!F11335</f>
        <v>117.39238776686</v>
      </c>
      <c r="G11338" s="6" t="n">
        <f aca="false">Sens!G11336+Sens!G11335</f>
        <v>132.544168448684</v>
      </c>
      <c r="H11338" s="6" t="n">
        <f aca="false">Sens!H11336+Sens!H11335</f>
        <v>147.777359388781</v>
      </c>
      <c r="I11338" s="6" t="n">
        <f aca="false">Sens!I11336+Sens!I11335</f>
        <v>162.084028071957</v>
      </c>
      <c r="J11338" s="6" t="n">
        <f aca="false">Sens!J11336+Sens!J11335</f>
        <v>175.182702785465</v>
      </c>
      <c r="K11338" s="6" t="n">
        <f aca="false">Sens!K11336+Sens!K11335</f>
        <v>187.527991980448</v>
      </c>
    </row>
    <row r="11339" customFormat="false" ht="15" hidden="false" customHeight="false" outlineLevel="0" collapsed="false">
      <c r="A11339" s="0" t="s">
        <v>874</v>
      </c>
      <c r="B11339" s="0" t="s">
        <v>98</v>
      </c>
      <c r="D11339" s="6" t="n">
        <f aca="false">Q!L8</f>
        <v>35.391</v>
      </c>
      <c r="E11339" s="6" t="n">
        <f aca="false">Q!M8</f>
        <v>37.285</v>
      </c>
      <c r="F11339" s="6" t="n">
        <f aca="false">Sens!E11339*(1+Sens!F11340)</f>
        <v>39.0720834331704</v>
      </c>
      <c r="G11339" s="6" t="n">
        <f aca="false">Sens!F11339*(1+Sens!G11340)</f>
        <v>40.726562953769</v>
      </c>
      <c r="H11339" s="6" t="n">
        <f aca="false">Sens!G11339*(1+Sens!H11340)</f>
        <v>42.2235987259198</v>
      </c>
      <c r="I11339" s="6" t="n">
        <f aca="false">Sens!H11339*(1+Sens!I11340)</f>
        <v>43.5397988077414</v>
      </c>
      <c r="J11339" s="6" t="n">
        <f aca="false">Sens!I11339*(1+Sens!J11340)</f>
        <v>44.653811225693</v>
      </c>
      <c r="K11339" s="6" t="n">
        <f aca="false">Sens!J11339*(1+Sens!K11340)</f>
        <v>45.5468874502068</v>
      </c>
    </row>
    <row r="11340" customFormat="false" ht="15" hidden="false" customHeight="false" outlineLevel="0" collapsed="false">
      <c r="A11340" s="1" t="s">
        <v>866</v>
      </c>
      <c r="B11340" s="0" t="s">
        <v>129</v>
      </c>
      <c r="E11340" s="7" t="n">
        <f aca="false">Sens!E11339/Sens!D11339-1</f>
        <v>0.0535164307309768</v>
      </c>
      <c r="F11340" s="7" t="n">
        <f aca="false">Sens!$E$11340+(glt_lic-Sens!$E$11340)*MIN(1,(Sens!F11292-base_fy)/n_conv)</f>
        <v>0.0479303589424807</v>
      </c>
      <c r="G11340" s="7" t="n">
        <f aca="false">Sens!$E$11340+(glt_lic-Sens!$E$11340)*MIN(1,(Sens!G11292-base_fy)/n_conv)</f>
        <v>0.0423442871539845</v>
      </c>
      <c r="H11340" s="7" t="n">
        <f aca="false">Sens!$E$11340+(glt_lic-Sens!$E$11340)*MIN(1,(Sens!H11292-base_fy)/n_conv)</f>
        <v>0.0367582153654884</v>
      </c>
      <c r="I11340" s="7" t="n">
        <f aca="false">Sens!$E$11340+(glt_lic-Sens!$E$11340)*MIN(1,(Sens!I11292-base_fy)/n_conv)</f>
        <v>0.0311721435769923</v>
      </c>
      <c r="J11340" s="7" t="n">
        <f aca="false">Sens!$E$11340+(glt_lic-Sens!$E$11340)*MIN(1,(Sens!J11292-base_fy)/n_conv)</f>
        <v>0.0255860717884961</v>
      </c>
      <c r="K11340" s="7" t="n">
        <f aca="false">Sens!$E$11340+(glt_lic-Sens!$E$11340)*MIN(1,(Sens!K11292-base_fy)/n_conv)</f>
        <v>0.02</v>
      </c>
    </row>
    <row r="11341" customFormat="false" ht="15" hidden="false" customHeight="false" outlineLevel="0" collapsed="false">
      <c r="A11341" s="0" t="s">
        <v>875</v>
      </c>
      <c r="B11341" s="0" t="s">
        <v>98</v>
      </c>
      <c r="D11341" s="6" t="n">
        <f aca="false">Q!L9</f>
        <v>18.417</v>
      </c>
      <c r="E11341" s="6" t="n">
        <f aca="false">Q!M9</f>
        <v>20.345</v>
      </c>
      <c r="F11341" s="6" t="n">
        <f aca="false">Sens!E11341*(1+Sens!F11342)</f>
        <v>22.3572203267814</v>
      </c>
      <c r="G11341" s="6" t="n">
        <f aca="false">Sens!F11341*(1+Sens!G11342)</f>
        <v>24.4392124437232</v>
      </c>
      <c r="H11341" s="6" t="n">
        <f aca="false">Sens!G11341*(1+Sens!H11342)</f>
        <v>26.5738052080665</v>
      </c>
      <c r="I11341" s="6" t="n">
        <f aca="false">Sens!H11341*(1+Sens!I11342)</f>
        <v>28.7412169166967</v>
      </c>
      <c r="J11341" s="6" t="n">
        <f aca="false">Sens!I11341*(1+Sens!J11342)</f>
        <v>30.9192545395413</v>
      </c>
      <c r="K11341" s="6" t="n">
        <f aca="false">Sens!J11341*(1+Sens!K11342)</f>
        <v>33.0836023573092</v>
      </c>
    </row>
    <row r="11342" customFormat="false" ht="15" hidden="false" customHeight="false" outlineLevel="0" collapsed="false">
      <c r="A11342" s="1" t="s">
        <v>866</v>
      </c>
      <c r="B11342" s="0" t="s">
        <v>129</v>
      </c>
      <c r="E11342" s="7" t="n">
        <f aca="false">Sens!E11341/Sens!D11341-1</f>
        <v>0.104685888038225</v>
      </c>
      <c r="F11342" s="7" t="n">
        <f aca="false">Sens!$E$11342+(glt_ind-Sens!$E$11342)*MIN(1,(Sens!F11292-base_fy)/n_conv)</f>
        <v>0.0989049066985211</v>
      </c>
      <c r="G11342" s="7" t="n">
        <f aca="false">Sens!$E$11342+(glt_ind-Sens!$E$11342)*MIN(1,(Sens!G11292-base_fy)/n_conv)</f>
        <v>0.0931239253588169</v>
      </c>
      <c r="H11342" s="7" t="n">
        <f aca="false">Sens!$E$11342+(glt_ind-Sens!$E$11342)*MIN(1,(Sens!H11292-base_fy)/n_conv)</f>
        <v>0.0873429440191127</v>
      </c>
      <c r="I11342" s="7" t="n">
        <f aca="false">Sens!$E$11342+(glt_ind-Sens!$E$11342)*MIN(1,(Sens!I11292-base_fy)/n_conv)</f>
        <v>0.0815619626794085</v>
      </c>
      <c r="J11342" s="7" t="n">
        <f aca="false">Sens!$E$11342+(glt_ind-Sens!$E$11342)*MIN(1,(Sens!J11292-base_fy)/n_conv)</f>
        <v>0.0757809813397042</v>
      </c>
      <c r="K11342" s="7" t="n">
        <f aca="false">Sens!$E$11342+(glt_ind-Sens!$E$11342)*MIN(1,(Sens!K11292-base_fy)/n_conv)</f>
        <v>0.07</v>
      </c>
    </row>
    <row r="11343" customFormat="false" ht="15" hidden="false" customHeight="false" outlineLevel="0" collapsed="false">
      <c r="A11343" s="0" t="s">
        <v>876</v>
      </c>
      <c r="B11343" s="0" t="s">
        <v>98</v>
      </c>
      <c r="D11343" s="6" t="n">
        <f aca="false">Q!L10</f>
        <v>7.76</v>
      </c>
      <c r="E11343" s="6" t="n">
        <f aca="false">Q!M10</f>
        <v>8.26</v>
      </c>
      <c r="F11343" s="6" t="n">
        <f aca="false">Sens!E11343*(1+Sens!F11344)</f>
        <v>8.79988041237113</v>
      </c>
      <c r="G11343" s="6" t="n">
        <f aca="false">Sens!F11343*(1+Sens!G11344)</f>
        <v>9.38321269125306</v>
      </c>
      <c r="H11343" s="6" t="n">
        <f aca="false">Sens!G11343*(1+Sens!H11344)</f>
        <v>10.0139193587476</v>
      </c>
      <c r="I11343" s="6" t="n">
        <f aca="false">Sens!H11343*(1+Sens!I11344)</f>
        <v>10.6963111830911</v>
      </c>
      <c r="J11343" s="6" t="n">
        <f aca="false">Sens!I11343*(1+Sens!J11344)</f>
        <v>11.4351285534696</v>
      </c>
      <c r="K11343" s="6" t="n">
        <f aca="false">Sens!J11343*(1+Sens!K11344)</f>
        <v>12.2355875522124</v>
      </c>
    </row>
    <row r="11344" customFormat="false" ht="15" hidden="false" customHeight="false" outlineLevel="0" collapsed="false">
      <c r="A11344" s="1" t="s">
        <v>866</v>
      </c>
      <c r="B11344" s="0" t="s">
        <v>129</v>
      </c>
      <c r="E11344" s="7" t="n">
        <f aca="false">Sens!E11343/Sens!D11343-1</f>
        <v>0.0644329896907216</v>
      </c>
      <c r="F11344" s="7" t="n">
        <f aca="false">Sens!$E$11344+(glt_fro-Sens!$E$11344)*MIN(1,(Sens!F11292-base_fy)/n_conv)</f>
        <v>0.065360824742268</v>
      </c>
      <c r="G11344" s="7" t="n">
        <f aca="false">Sens!$E$11344+(glt_fro-Sens!$E$11344)*MIN(1,(Sens!G11292-base_fy)/n_conv)</f>
        <v>0.0662886597938144</v>
      </c>
      <c r="H11344" s="7" t="n">
        <f aca="false">Sens!$E$11344+(glt_fro-Sens!$E$11344)*MIN(1,(Sens!H11292-base_fy)/n_conv)</f>
        <v>0.0672164948453608</v>
      </c>
      <c r="I11344" s="7" t="n">
        <f aca="false">Sens!$E$11344+(glt_fro-Sens!$E$11344)*MIN(1,(Sens!I11292-base_fy)/n_conv)</f>
        <v>0.0681443298969072</v>
      </c>
      <c r="J11344" s="7" t="n">
        <f aca="false">Sens!$E$11344+(glt_fro-Sens!$E$11344)*MIN(1,(Sens!J11292-base_fy)/n_conv)</f>
        <v>0.0690721649484536</v>
      </c>
      <c r="K11344" s="7" t="n">
        <f aca="false">Sens!$E$11344+(glt_fro-Sens!$E$11344)*MIN(1,(Sens!K11292-base_fy)/n_conv)</f>
        <v>0.07</v>
      </c>
    </row>
    <row r="11345" customFormat="false" ht="15" hidden="false" customHeight="false" outlineLevel="0" collapsed="false">
      <c r="A11345" s="0" t="s">
        <v>704</v>
      </c>
      <c r="B11345" s="0" t="s">
        <v>98</v>
      </c>
      <c r="D11345" s="6" t="n">
        <f aca="false">Sens!D11333+Sens!D11338+Sens!D11339+Sens!D11341+Sens!D11343</f>
        <v>218.783</v>
      </c>
      <c r="E11345" s="6" t="n">
        <f aca="false">Sens!E11333+Sens!E11338+Sens!E11339+Sens!E11341+Sens!E11343</f>
        <v>268.127</v>
      </c>
      <c r="F11345" s="6" t="n">
        <f aca="false">Sens!F11333+Sens!F11338+Sens!F11339+Sens!F11341+Sens!F11343</f>
        <v>328.363433064856</v>
      </c>
      <c r="G11345" s="6" t="n">
        <f aca="false">Sens!G11333+Sens!G11338+Sens!G11339+Sens!G11341+Sens!G11343</f>
        <v>389.269865673274</v>
      </c>
      <c r="H11345" s="6" t="n">
        <f aca="false">Sens!H11333+Sens!H11338+Sens!H11339+Sens!H11341+Sens!H11343</f>
        <v>445.756320871193</v>
      </c>
      <c r="I11345" s="6" t="n">
        <f aca="false">Sens!I11333+Sens!I11338+Sens!I11339+Sens!I11341+Sens!I11343</f>
        <v>504.701226245492</v>
      </c>
      <c r="J11345" s="6" t="n">
        <f aca="false">Sens!J11333+Sens!J11338+Sens!J11339+Sens!J11341+Sens!J11343</f>
        <v>553.514968064502</v>
      </c>
      <c r="K11345" s="6" t="n">
        <f aca="false">Sens!K11333+Sens!K11338+Sens!K11339+Sens!K11341+Sens!K11343</f>
        <v>592.539823703865</v>
      </c>
    </row>
    <row r="11346" customFormat="false" ht="15" hidden="false" customHeight="false" outlineLevel="0" collapsed="false">
      <c r="A11346" s="0" t="s">
        <v>877</v>
      </c>
      <c r="B11346" s="0" t="s">
        <v>98</v>
      </c>
      <c r="D11346" s="6" t="n">
        <f aca="false">Q!L13</f>
        <v>22.171</v>
      </c>
      <c r="E11346" s="6" t="n">
        <f aca="false">Q!M13</f>
        <v>24.835</v>
      </c>
      <c r="F11346" s="6" t="n">
        <f aca="false">Sens!E11346*(1+Sens!F11347)</f>
        <v>27.6114901218559</v>
      </c>
      <c r="G11346" s="6" t="n">
        <f aca="false">Sens!F11346*(1+Sens!G11347)</f>
        <v>30.4675667338515</v>
      </c>
      <c r="H11346" s="6" t="n">
        <f aca="false">Sens!G11346*(1+Sens!H11347)</f>
        <v>33.3643766955789</v>
      </c>
      <c r="I11346" s="6" t="n">
        <f aca="false">Sens!H11346*(1+Sens!I11347)</f>
        <v>36.2577016533691</v>
      </c>
      <c r="J11346" s="6" t="n">
        <f aca="false">Sens!I11346*(1+Sens!J11347)</f>
        <v>39.0988367952171</v>
      </c>
      <c r="K11346" s="6" t="n">
        <f aca="false">Sens!J11346*(1+Sens!K11347)</f>
        <v>41.8357553708823</v>
      </c>
    </row>
    <row r="11347" customFormat="false" ht="15" hidden="false" customHeight="false" outlineLevel="0" collapsed="false">
      <c r="A11347" s="1" t="s">
        <v>866</v>
      </c>
      <c r="B11347" s="0" t="s">
        <v>129</v>
      </c>
      <c r="E11347" s="7" t="n">
        <f aca="false">Sens!E11346/Sens!D11346-1</f>
        <v>0.120156961796942</v>
      </c>
      <c r="F11347" s="7" t="n">
        <f aca="false">Sens!$E$11347+(glt_srch-Sens!$E$11347)*MIN(1,(Sens!F11292-base_fy)/n_conv)</f>
        <v>0.111797468164118</v>
      </c>
      <c r="G11347" s="7" t="n">
        <f aca="false">Sens!$E$11347+(glt_srch-Sens!$E$11347)*MIN(1,(Sens!G11292-base_fy)/n_conv)</f>
        <v>0.103437974531295</v>
      </c>
      <c r="H11347" s="7" t="n">
        <f aca="false">Sens!$E$11347+(glt_srch-Sens!$E$11347)*MIN(1,(Sens!H11292-base_fy)/n_conv)</f>
        <v>0.095078480898471</v>
      </c>
      <c r="I11347" s="7" t="n">
        <f aca="false">Sens!$E$11347+(glt_srch-Sens!$E$11347)*MIN(1,(Sens!I11292-base_fy)/n_conv)</f>
        <v>0.0867189872656474</v>
      </c>
      <c r="J11347" s="7" t="n">
        <f aca="false">Sens!$E$11347+(glt_srch-Sens!$E$11347)*MIN(1,(Sens!J11292-base_fy)/n_conv)</f>
        <v>0.0783594936328237</v>
      </c>
      <c r="K11347" s="7" t="n">
        <f aca="false">Sens!$E$11347+(glt_srch-Sens!$E$11347)*MIN(1,(Sens!K11292-base_fy)/n_conv)</f>
        <v>0.07</v>
      </c>
    </row>
    <row r="11348" customFormat="false" ht="15" hidden="false" customHeight="false" outlineLevel="0" collapsed="false">
      <c r="A11348" s="0" t="s">
        <v>878</v>
      </c>
      <c r="B11348" s="0" t="s">
        <v>98</v>
      </c>
      <c r="D11348" s="6" t="n">
        <f aca="false">Q!L14</f>
        <v>23.455</v>
      </c>
      <c r="E11348" s="6" t="n">
        <f aca="false">Q!M14</f>
        <v>21.79</v>
      </c>
      <c r="F11348" s="6" t="n">
        <f aca="false">Sens!E11348*(1+Sens!F11349)</f>
        <v>20.5736277908051</v>
      </c>
      <c r="G11348" s="6" t="n">
        <f aca="false">Sens!F11348*(1+Sens!G11349)</f>
        <v>19.7371452817919</v>
      </c>
      <c r="H11348" s="6" t="n">
        <f aca="false">Sens!G11348*(1+Sens!H11349)</f>
        <v>19.2339764043138</v>
      </c>
      <c r="I11348" s="6" t="n">
        <f aca="false">Sens!H11348*(1+Sens!I11349)</f>
        <v>19.0353086852681</v>
      </c>
      <c r="J11348" s="6" t="n">
        <f aca="false">Sens!I11348*(1+Sens!J11349)</f>
        <v>19.1273539319129</v>
      </c>
      <c r="K11348" s="6" t="n">
        <f aca="false">Sens!J11348*(1+Sens!K11349)</f>
        <v>19.5099010105511</v>
      </c>
    </row>
    <row r="11349" customFormat="false" ht="15" hidden="false" customHeight="false" outlineLevel="0" collapsed="false">
      <c r="A11349" s="1" t="s">
        <v>866</v>
      </c>
      <c r="B11349" s="0" t="s">
        <v>129</v>
      </c>
      <c r="E11349" s="7" t="n">
        <f aca="false">Sens!E11348/Sens!D11348-1</f>
        <v>-0.0709869963760392</v>
      </c>
      <c r="F11349" s="7" t="n">
        <f aca="false">Sens!$E$11349+(glt_xbox-Sens!$E$11349)*MIN(1,(Sens!F11292-base_fy)/n_conv)</f>
        <v>-0.0558224969800327</v>
      </c>
      <c r="G11349" s="7" t="n">
        <f aca="false">Sens!$E$11349+(glt_xbox-Sens!$E$11349)*MIN(1,(Sens!G11292-base_fy)/n_conv)</f>
        <v>-0.0406579975840262</v>
      </c>
      <c r="H11349" s="7" t="n">
        <f aca="false">Sens!$E$11349+(glt_xbox-Sens!$E$11349)*MIN(1,(Sens!H11292-base_fy)/n_conv)</f>
        <v>-0.0254934981880196</v>
      </c>
      <c r="I11349" s="7" t="n">
        <f aca="false">Sens!$E$11349+(glt_xbox-Sens!$E$11349)*MIN(1,(Sens!I11292-base_fy)/n_conv)</f>
        <v>-0.0103289987920131</v>
      </c>
      <c r="J11349" s="7" t="n">
        <f aca="false">Sens!$E$11349+(glt_xbox-Sens!$E$11349)*MIN(1,(Sens!J11292-base_fy)/n_conv)</f>
        <v>0.00483550060399347</v>
      </c>
      <c r="K11349" s="7" t="n">
        <f aca="false">Sens!$E$11349+(glt_xbox-Sens!$E$11349)*MIN(1,(Sens!K11292-base_fy)/n_conv)</f>
        <v>0.02</v>
      </c>
    </row>
    <row r="11350" customFormat="false" ht="15" hidden="false" customHeight="false" outlineLevel="0" collapsed="false">
      <c r="A11350" s="0" t="s">
        <v>879</v>
      </c>
      <c r="B11350" s="0" t="s">
        <v>98</v>
      </c>
      <c r="D11350" s="6" t="n">
        <f aca="false">Q!L15</f>
        <v>17.315</v>
      </c>
      <c r="E11350" s="6" t="n">
        <f aca="false">Q!M15</f>
        <v>17.087</v>
      </c>
      <c r="F11350" s="6" t="n">
        <f aca="false">Sens!E11350*(1+Sens!F11351)</f>
        <v>16.9564585436519</v>
      </c>
      <c r="G11350" s="6" t="n">
        <f aca="false">Sens!F11350*(1+Sens!G11351)</f>
        <v>16.9206490624268</v>
      </c>
      <c r="H11350" s="6" t="n">
        <f aca="false">Sens!G11350*(1+Sens!H11351)</f>
        <v>16.9784519149849</v>
      </c>
      <c r="I11350" s="6" t="n">
        <f aca="false">Sens!H11350*(1+Sens!I11351)</f>
        <v>17.1303084701817</v>
      </c>
      <c r="J11350" s="6" t="n">
        <f aca="false">Sens!I11350*(1+Sens!J11351)</f>
        <v>17.3782189407267</v>
      </c>
      <c r="K11350" s="6" t="n">
        <f aca="false">Sens!J11350*(1+Sens!K11351)</f>
        <v>17.7257833195413</v>
      </c>
    </row>
    <row r="11351" customFormat="false" ht="15" hidden="false" customHeight="false" outlineLevel="0" collapsed="false">
      <c r="A11351" s="1" t="s">
        <v>866</v>
      </c>
      <c r="B11351" s="0" t="s">
        <v>129</v>
      </c>
      <c r="E11351" s="7" t="n">
        <f aca="false">Sens!E11350/Sens!D11350-1</f>
        <v>-0.0131677736066995</v>
      </c>
      <c r="F11351" s="7" t="n">
        <f aca="false">Sens!$E$11351+(glt_win-Sens!$E$11351)*MIN(1,(Sens!F11292-base_fy)/n_conv)</f>
        <v>-0.00763981133891627</v>
      </c>
      <c r="G11351" s="7" t="n">
        <f aca="false">Sens!$E$11351+(glt_win-Sens!$E$11351)*MIN(1,(Sens!G11292-base_fy)/n_conv)</f>
        <v>-0.00211184907113301</v>
      </c>
      <c r="H11351" s="7" t="n">
        <f aca="false">Sens!$E$11351+(glt_win-Sens!$E$11351)*MIN(1,(Sens!H11292-base_fy)/n_conv)</f>
        <v>0.00341611319665024</v>
      </c>
      <c r="I11351" s="7" t="n">
        <f aca="false">Sens!$E$11351+(glt_win-Sens!$E$11351)*MIN(1,(Sens!I11292-base_fy)/n_conv)</f>
        <v>0.00894407546443349</v>
      </c>
      <c r="J11351" s="7" t="n">
        <f aca="false">Sens!$E$11351+(glt_win-Sens!$E$11351)*MIN(1,(Sens!J11292-base_fy)/n_conv)</f>
        <v>0.0144720377322168</v>
      </c>
      <c r="K11351" s="7" t="n">
        <f aca="false">Sens!$E$11351+(glt_win-Sens!$E$11351)*MIN(1,(Sens!K11292-base_fy)/n_conv)</f>
        <v>0.02</v>
      </c>
    </row>
    <row r="11352" customFormat="false" ht="15" hidden="false" customHeight="false" outlineLevel="0" collapsed="false">
      <c r="A11352" s="0" t="s">
        <v>718</v>
      </c>
      <c r="B11352" s="0" t="s">
        <v>98</v>
      </c>
      <c r="D11352" s="6" t="n">
        <f aca="false">Sens!D11346+Sens!D11348+Sens!D11350</f>
        <v>62.941</v>
      </c>
      <c r="E11352" s="6" t="n">
        <f aca="false">Sens!E11346+Sens!E11348+Sens!E11350</f>
        <v>63.712</v>
      </c>
      <c r="F11352" s="6" t="n">
        <f aca="false">Sens!F11346+Sens!F11348+Sens!F11350</f>
        <v>65.1415764563129</v>
      </c>
      <c r="G11352" s="6" t="n">
        <f aca="false">Sens!G11346+Sens!G11348+Sens!G11350</f>
        <v>67.1253610780702</v>
      </c>
      <c r="H11352" s="6" t="n">
        <f aca="false">Sens!H11346+Sens!H11348+Sens!H11350</f>
        <v>69.5768050148776</v>
      </c>
      <c r="I11352" s="6" t="n">
        <f aca="false">Sens!I11346+Sens!I11348+Sens!I11350</f>
        <v>72.4233188088189</v>
      </c>
      <c r="J11352" s="6" t="n">
        <f aca="false">Sens!J11346+Sens!J11348+Sens!J11350</f>
        <v>75.6044096678567</v>
      </c>
      <c r="K11352" s="6" t="n">
        <f aca="false">Sens!K11346+Sens!K11348+Sens!K11350</f>
        <v>79.0714397009747</v>
      </c>
    </row>
    <row r="11353" customFormat="false" ht="15" hidden="false" customHeight="false" outlineLevel="0" collapsed="false">
      <c r="A11353" s="1" t="s">
        <v>880</v>
      </c>
      <c r="B11353" s="0" t="s">
        <v>98</v>
      </c>
      <c r="D11353" s="6" t="n">
        <f aca="false">Sens!D11345+Sens!D11352</f>
        <v>281.724</v>
      </c>
      <c r="E11353" s="6" t="n">
        <f aca="false">Sens!E11345+Sens!E11352</f>
        <v>331.839</v>
      </c>
      <c r="F11353" s="6" t="n">
        <f aca="false">Sens!F11345+Sens!F11352</f>
        <v>393.505009521169</v>
      </c>
      <c r="G11353" s="6" t="n">
        <f aca="false">Sens!G11345+Sens!G11352</f>
        <v>456.395226751344</v>
      </c>
      <c r="H11353" s="6" t="n">
        <f aca="false">Sens!H11345+Sens!H11352</f>
        <v>515.333125886071</v>
      </c>
      <c r="I11353" s="6" t="n">
        <f aca="false">Sens!I11345+Sens!I11352</f>
        <v>577.124545054311</v>
      </c>
      <c r="J11353" s="6" t="n">
        <f aca="false">Sens!J11345+Sens!J11352</f>
        <v>629.119377732358</v>
      </c>
      <c r="K11353" s="6" t="n">
        <f aca="false">Sens!K11345+Sens!K11352</f>
        <v>671.611263404839</v>
      </c>
    </row>
    <row r="11354" customFormat="false" ht="15" hidden="false" customHeight="false" outlineLevel="0" collapsed="false">
      <c r="A11354" s="23" t="s">
        <v>881</v>
      </c>
      <c r="B11354" s="30" t="s">
        <v>98</v>
      </c>
      <c r="C11354" s="30"/>
      <c r="D11354" s="24" t="n">
        <f aca="false">(Sens!D11333+Sens!D11338+Sens!D11339+Sens!D11341+Sens!D11343-Sens!D11345)+(Sens!D11346+Sens!D11348+Sens!D11350-Sens!D11352)+(Sens!D11345-Q!L5)+(Sens!D11352-Q!L12)+(Sens!D11333-Q!L6)+(Sens!D11338-Q!L7)</f>
        <v>0</v>
      </c>
      <c r="E11354" s="24" t="n">
        <f aca="false">(Sens!E11333+Sens!E11338+Sens!E11339+Sens!E11341+Sens!E11343-Sens!E11345)+(Sens!E11346+Sens!E11348+Sens!E11350-Sens!E11352)+(Sens!E11345-Q!M5)+(Sens!E11352-Q!M12)+(Sens!E11333-Q!M6)+(Sens!E11338-Q!M7)</f>
        <v>0</v>
      </c>
      <c r="F11354" s="24" t="n">
        <f aca="false">(Sens!F11333+Sens!F11338+Sens!F11339+Sens!F11341+Sens!F11343-Sens!F11345)+(Sens!F11346+Sens!F11348+Sens!F11350-Sens!F11352)</f>
        <v>0</v>
      </c>
      <c r="G11354" s="24" t="n">
        <f aca="false">(Sens!G11333+Sens!G11338+Sens!G11339+Sens!G11341+Sens!G11343-Sens!G11345)+(Sens!G11346+Sens!G11348+Sens!G11350-Sens!G11352)</f>
        <v>0</v>
      </c>
      <c r="H11354" s="24" t="n">
        <f aca="false">(Sens!H11333+Sens!H11338+Sens!H11339+Sens!H11341+Sens!H11343-Sens!H11345)+(Sens!H11346+Sens!H11348+Sens!H11350-Sens!H11352)</f>
        <v>0</v>
      </c>
      <c r="I11354" s="24" t="n">
        <f aca="false">(Sens!I11333+Sens!I11338+Sens!I11339+Sens!I11341+Sens!I11343-Sens!I11345)+(Sens!I11346+Sens!I11348+Sens!I11350-Sens!I11352)</f>
        <v>0</v>
      </c>
      <c r="J11354" s="24" t="n">
        <f aca="false">(Sens!J11333+Sens!J11338+Sens!J11339+Sens!J11341+Sens!J11343-Sens!J11345)+(Sens!J11346+Sens!J11348+Sens!J11350-Sens!J11352)</f>
        <v>0</v>
      </c>
      <c r="K11354" s="24" t="n">
        <f aca="false">(Sens!K11333+Sens!K11338+Sens!K11339+Sens!K11341+Sens!K11343-Sens!K11345)+(Sens!K11346+Sens!K11348+Sens!K11350-Sens!K11352)</f>
        <v>0</v>
      </c>
    </row>
    <row r="11355" customFormat="false" ht="17.15" hidden="false" customHeight="false" outlineLevel="0" collapsed="false">
      <c r="A11355" s="3" t="s">
        <v>1531</v>
      </c>
    </row>
    <row r="11356" customFormat="false" ht="15" hidden="false" customHeight="false" outlineLevel="0" collapsed="false">
      <c r="A11356" s="4" t="s">
        <v>43</v>
      </c>
      <c r="B11356" s="4" t="s">
        <v>65</v>
      </c>
      <c r="C11356" s="20" t="s">
        <v>788</v>
      </c>
      <c r="D11356" s="20" t="s">
        <v>789</v>
      </c>
      <c r="E11356" s="20" t="s">
        <v>790</v>
      </c>
      <c r="F11356" s="20" t="s">
        <v>791</v>
      </c>
      <c r="G11356" s="20" t="s">
        <v>792</v>
      </c>
      <c r="H11356" s="20" t="s">
        <v>793</v>
      </c>
      <c r="I11356" s="20" t="s">
        <v>794</v>
      </c>
      <c r="J11356" s="20" t="s">
        <v>795</v>
      </c>
      <c r="K11356" s="20" t="s">
        <v>796</v>
      </c>
      <c r="L11356" s="4" t="s">
        <v>47</v>
      </c>
    </row>
    <row r="11357" customFormat="false" ht="15" hidden="false" customHeight="false" outlineLevel="0" collapsed="false">
      <c r="A11357" s="0" t="s">
        <v>867</v>
      </c>
      <c r="B11357" s="0" t="s">
        <v>98</v>
      </c>
      <c r="D11357" s="6" t="n">
        <f aca="false">Sens!D11333</f>
        <v>72.61</v>
      </c>
      <c r="E11357" s="6" t="n">
        <f aca="false">Sens!E11333</f>
        <v>101.938</v>
      </c>
      <c r="F11357" s="6" t="n">
        <f aca="false">Sens!F11333</f>
        <v>140.741861125673</v>
      </c>
      <c r="G11357" s="6" t="n">
        <f aca="false">Sens!G11333</f>
        <v>182.176709135845</v>
      </c>
      <c r="H11357" s="6" t="n">
        <f aca="false">Sens!H11333</f>
        <v>219.167638189678</v>
      </c>
      <c r="I11357" s="6" t="n">
        <f aca="false">Sens!I11333</f>
        <v>259.639871266006</v>
      </c>
      <c r="J11357" s="6" t="n">
        <f aca="false">Sens!J11333</f>
        <v>291.324070960333</v>
      </c>
      <c r="K11357" s="6" t="n">
        <f aca="false">Sens!K11333</f>
        <v>314.145754363688</v>
      </c>
    </row>
    <row r="11358" customFormat="false" ht="17.15" hidden="false" customHeight="false" outlineLevel="0" collapsed="false">
      <c r="A11358" s="0" t="s">
        <v>864</v>
      </c>
      <c r="B11358" s="0" t="s">
        <v>98</v>
      </c>
      <c r="D11358" s="6" t="n">
        <f aca="false">Sens!D11330</f>
        <v>12.9359794422418</v>
      </c>
      <c r="E11358" s="6" t="n">
        <f aca="false">Sens!E11330</f>
        <v>27.8095064661409</v>
      </c>
      <c r="F11358" s="6" t="n">
        <f aca="false">Sens!F11330</f>
        <v>50.6619113883066</v>
      </c>
      <c r="G11358" s="6" t="n">
        <f aca="false">Sens!G11330</f>
        <v>75.1482839325348</v>
      </c>
      <c r="H11358" s="6" t="n">
        <f aca="false">Sens!H11330</f>
        <v>94.895655604042</v>
      </c>
      <c r="I11358" s="6" t="n">
        <f aca="false">Sens!I11330</f>
        <v>118.706168884151</v>
      </c>
      <c r="J11358" s="6" t="n">
        <f aca="false">Sens!J11330</f>
        <v>135.305203646001</v>
      </c>
      <c r="K11358" s="6" t="n">
        <f aca="false">Sens!K11330</f>
        <v>145.64537766421</v>
      </c>
    </row>
    <row r="11359" customFormat="false" ht="17.15" hidden="false" customHeight="false" outlineLevel="0" collapsed="false">
      <c r="A11359" s="0" t="s">
        <v>892</v>
      </c>
      <c r="B11359" s="0" t="s">
        <v>98</v>
      </c>
      <c r="D11359" s="6" t="n">
        <f aca="false">Sens!D11331</f>
        <v>59.6740205577583</v>
      </c>
      <c r="E11359" s="6" t="n">
        <f aca="false">Sens!E11331</f>
        <v>74.1284935338591</v>
      </c>
      <c r="F11359" s="6" t="n">
        <f aca="false">Sens!F11331</f>
        <v>90.0799497373663</v>
      </c>
      <c r="G11359" s="6" t="n">
        <f aca="false">Sens!G11331</f>
        <v>107.02842520331</v>
      </c>
      <c r="H11359" s="6" t="n">
        <f aca="false">Sens!H11331</f>
        <v>124.271982585636</v>
      </c>
      <c r="I11359" s="6" t="n">
        <f aca="false">Sens!I11331</f>
        <v>140.933702381855</v>
      </c>
      <c r="J11359" s="6" t="n">
        <f aca="false">Sens!J11331</f>
        <v>156.018867314332</v>
      </c>
      <c r="K11359" s="6" t="n">
        <f aca="false">Sens!K11331</f>
        <v>168.500376699478</v>
      </c>
    </row>
    <row r="11360" customFormat="false" ht="15" hidden="false" customHeight="false" outlineLevel="0" collapsed="false">
      <c r="A11360" s="0" t="s">
        <v>873</v>
      </c>
      <c r="B11360" s="0" t="s">
        <v>98</v>
      </c>
      <c r="D11360" s="6" t="n">
        <f aca="false">Sens!D11338</f>
        <v>84.605</v>
      </c>
      <c r="E11360" s="6" t="n">
        <f aca="false">Sens!E11338</f>
        <v>100.299</v>
      </c>
      <c r="F11360" s="6" t="n">
        <f aca="false">Sens!F11338</f>
        <v>117.39238776686</v>
      </c>
      <c r="G11360" s="6" t="n">
        <f aca="false">Sens!G11338</f>
        <v>132.544168448684</v>
      </c>
      <c r="H11360" s="6" t="n">
        <f aca="false">Sens!H11338</f>
        <v>147.777359388781</v>
      </c>
      <c r="I11360" s="6" t="n">
        <f aca="false">Sens!I11338</f>
        <v>162.084028071957</v>
      </c>
      <c r="J11360" s="6" t="n">
        <f aca="false">Sens!J11338</f>
        <v>175.182702785465</v>
      </c>
      <c r="K11360" s="6" t="n">
        <f aca="false">Sens!K11338</f>
        <v>187.527991980448</v>
      </c>
    </row>
    <row r="11361" customFormat="false" ht="17.15" hidden="false" customHeight="false" outlineLevel="0" collapsed="false">
      <c r="A11361" s="0" t="s">
        <v>893</v>
      </c>
      <c r="B11361" s="0" t="s">
        <v>98</v>
      </c>
      <c r="D11361" s="6" t="n">
        <f aca="false">Sens!D11336</f>
        <v>83.705</v>
      </c>
      <c r="E11361" s="6" t="n">
        <f aca="false">Sens!E11336</f>
        <v>95.049</v>
      </c>
      <c r="F11361" s="6" t="n">
        <f aca="false">Sens!F11336</f>
        <v>106.89238776686</v>
      </c>
      <c r="G11361" s="6" t="n">
        <f aca="false">Sens!G11336</f>
        <v>119.044168448684</v>
      </c>
      <c r="H11361" s="6" t="n">
        <f aca="false">Sens!H11336</f>
        <v>131.277359388781</v>
      </c>
      <c r="I11361" s="6" t="n">
        <f aca="false">Sens!I11336</f>
        <v>143.334028071957</v>
      </c>
      <c r="J11361" s="6" t="n">
        <f aca="false">Sens!J11336</f>
        <v>154.932702785465</v>
      </c>
      <c r="K11361" s="6" t="n">
        <f aca="false">Sens!K11336</f>
        <v>165.777991980448</v>
      </c>
    </row>
    <row r="11362" customFormat="false" ht="17.15" hidden="false" customHeight="false" outlineLevel="0" collapsed="false">
      <c r="A11362" s="0" t="s">
        <v>894</v>
      </c>
      <c r="B11362" s="0" t="s">
        <v>98</v>
      </c>
      <c r="D11362" s="6" t="n">
        <f aca="false">Sens!D11335</f>
        <v>0.9</v>
      </c>
      <c r="E11362" s="6" t="n">
        <f aca="false">Sens!E11335</f>
        <v>5.25</v>
      </c>
      <c r="F11362" s="6" t="n">
        <f aca="false">Sens!F11335</f>
        <v>10.5</v>
      </c>
      <c r="G11362" s="6" t="n">
        <f aca="false">Sens!G11335</f>
        <v>13.5</v>
      </c>
      <c r="H11362" s="6" t="n">
        <f aca="false">Sens!H11335</f>
        <v>16.5</v>
      </c>
      <c r="I11362" s="6" t="n">
        <f aca="false">Sens!I11335</f>
        <v>18.75</v>
      </c>
      <c r="J11362" s="6" t="n">
        <f aca="false">Sens!J11335</f>
        <v>20.25</v>
      </c>
      <c r="K11362" s="6" t="n">
        <f aca="false">Sens!K11335</f>
        <v>21.75</v>
      </c>
    </row>
    <row r="11363" customFormat="false" ht="15" hidden="false" customHeight="false" outlineLevel="0" collapsed="false">
      <c r="A11363" s="0" t="s">
        <v>874</v>
      </c>
      <c r="B11363" s="0" t="s">
        <v>98</v>
      </c>
      <c r="D11363" s="6" t="n">
        <f aca="false">Sens!D11339</f>
        <v>35.391</v>
      </c>
      <c r="E11363" s="6" t="n">
        <f aca="false">Sens!E11339</f>
        <v>37.285</v>
      </c>
      <c r="F11363" s="6" t="n">
        <f aca="false">Sens!F11339</f>
        <v>39.0720834331704</v>
      </c>
      <c r="G11363" s="6" t="n">
        <f aca="false">Sens!G11339</f>
        <v>40.726562953769</v>
      </c>
      <c r="H11363" s="6" t="n">
        <f aca="false">Sens!H11339</f>
        <v>42.2235987259198</v>
      </c>
      <c r="I11363" s="6" t="n">
        <f aca="false">Sens!I11339</f>
        <v>43.5397988077414</v>
      </c>
      <c r="J11363" s="6" t="n">
        <f aca="false">Sens!J11339</f>
        <v>44.653811225693</v>
      </c>
      <c r="K11363" s="6" t="n">
        <f aca="false">Sens!K11339</f>
        <v>45.5468874502068</v>
      </c>
    </row>
    <row r="11364" customFormat="false" ht="15" hidden="false" customHeight="false" outlineLevel="0" collapsed="false">
      <c r="A11364" s="0" t="s">
        <v>875</v>
      </c>
      <c r="B11364" s="0" t="s">
        <v>98</v>
      </c>
      <c r="D11364" s="6" t="n">
        <f aca="false">Sens!D11341</f>
        <v>18.417</v>
      </c>
      <c r="E11364" s="6" t="n">
        <f aca="false">Sens!E11341</f>
        <v>20.345</v>
      </c>
      <c r="F11364" s="6" t="n">
        <f aca="false">Sens!F11341</f>
        <v>22.3572203267814</v>
      </c>
      <c r="G11364" s="6" t="n">
        <f aca="false">Sens!G11341</f>
        <v>24.4392124437232</v>
      </c>
      <c r="H11364" s="6" t="n">
        <f aca="false">Sens!H11341</f>
        <v>26.5738052080665</v>
      </c>
      <c r="I11364" s="6" t="n">
        <f aca="false">Sens!I11341</f>
        <v>28.7412169166967</v>
      </c>
      <c r="J11364" s="6" t="n">
        <f aca="false">Sens!J11341</f>
        <v>30.9192545395413</v>
      </c>
      <c r="K11364" s="6" t="n">
        <f aca="false">Sens!K11341</f>
        <v>33.0836023573092</v>
      </c>
    </row>
    <row r="11365" customFormat="false" ht="15" hidden="false" customHeight="false" outlineLevel="0" collapsed="false">
      <c r="A11365" s="0" t="s">
        <v>876</v>
      </c>
      <c r="B11365" s="0" t="s">
        <v>98</v>
      </c>
      <c r="D11365" s="6" t="n">
        <f aca="false">Sens!D11343</f>
        <v>7.76</v>
      </c>
      <c r="E11365" s="6" t="n">
        <f aca="false">Sens!E11343</f>
        <v>8.26</v>
      </c>
      <c r="F11365" s="6" t="n">
        <f aca="false">Sens!F11343</f>
        <v>8.79988041237113</v>
      </c>
      <c r="G11365" s="6" t="n">
        <f aca="false">Sens!G11343</f>
        <v>9.38321269125306</v>
      </c>
      <c r="H11365" s="6" t="n">
        <f aca="false">Sens!H11343</f>
        <v>10.0139193587476</v>
      </c>
      <c r="I11365" s="6" t="n">
        <f aca="false">Sens!I11343</f>
        <v>10.6963111830911</v>
      </c>
      <c r="J11365" s="6" t="n">
        <f aca="false">Sens!J11343</f>
        <v>11.4351285534696</v>
      </c>
      <c r="K11365" s="6" t="n">
        <f aca="false">Sens!K11343</f>
        <v>12.2355875522124</v>
      </c>
    </row>
    <row r="11366" customFormat="false" ht="15" hidden="false" customHeight="false" outlineLevel="0" collapsed="false">
      <c r="A11366" s="0" t="s">
        <v>704</v>
      </c>
      <c r="B11366" s="0" t="s">
        <v>98</v>
      </c>
      <c r="D11366" s="6" t="n">
        <f aca="false">Sens!D11345</f>
        <v>218.783</v>
      </c>
      <c r="E11366" s="6" t="n">
        <f aca="false">Sens!E11345</f>
        <v>268.127</v>
      </c>
      <c r="F11366" s="6" t="n">
        <f aca="false">Sens!F11345</f>
        <v>328.363433064856</v>
      </c>
      <c r="G11366" s="6" t="n">
        <f aca="false">Sens!G11345</f>
        <v>389.269865673274</v>
      </c>
      <c r="H11366" s="6" t="n">
        <f aca="false">Sens!H11345</f>
        <v>445.756320871193</v>
      </c>
      <c r="I11366" s="6" t="n">
        <f aca="false">Sens!I11345</f>
        <v>504.701226245492</v>
      </c>
      <c r="J11366" s="6" t="n">
        <f aca="false">Sens!J11345</f>
        <v>553.514968064502</v>
      </c>
      <c r="K11366" s="6" t="n">
        <f aca="false">Sens!K11345</f>
        <v>592.539823703865</v>
      </c>
    </row>
    <row r="11367" customFormat="false" ht="15" hidden="false" customHeight="false" outlineLevel="0" collapsed="false">
      <c r="A11367" s="0" t="s">
        <v>877</v>
      </c>
      <c r="B11367" s="0" t="s">
        <v>98</v>
      </c>
      <c r="D11367" s="6" t="n">
        <f aca="false">Sens!D11346</f>
        <v>22.171</v>
      </c>
      <c r="E11367" s="6" t="n">
        <f aca="false">Sens!E11346</f>
        <v>24.835</v>
      </c>
      <c r="F11367" s="6" t="n">
        <f aca="false">Sens!F11346</f>
        <v>27.6114901218559</v>
      </c>
      <c r="G11367" s="6" t="n">
        <f aca="false">Sens!G11346</f>
        <v>30.4675667338515</v>
      </c>
      <c r="H11367" s="6" t="n">
        <f aca="false">Sens!H11346</f>
        <v>33.3643766955789</v>
      </c>
      <c r="I11367" s="6" t="n">
        <f aca="false">Sens!I11346</f>
        <v>36.2577016533691</v>
      </c>
      <c r="J11367" s="6" t="n">
        <f aca="false">Sens!J11346</f>
        <v>39.0988367952171</v>
      </c>
      <c r="K11367" s="6" t="n">
        <f aca="false">Sens!K11346</f>
        <v>41.8357553708823</v>
      </c>
    </row>
    <row r="11368" customFormat="false" ht="15" hidden="false" customHeight="false" outlineLevel="0" collapsed="false">
      <c r="A11368" s="0" t="s">
        <v>878</v>
      </c>
      <c r="B11368" s="0" t="s">
        <v>98</v>
      </c>
      <c r="D11368" s="6" t="n">
        <f aca="false">Sens!D11348</f>
        <v>23.455</v>
      </c>
      <c r="E11368" s="6" t="n">
        <f aca="false">Sens!E11348</f>
        <v>21.79</v>
      </c>
      <c r="F11368" s="6" t="n">
        <f aca="false">Sens!F11348</f>
        <v>20.5736277908051</v>
      </c>
      <c r="G11368" s="6" t="n">
        <f aca="false">Sens!G11348</f>
        <v>19.7371452817919</v>
      </c>
      <c r="H11368" s="6" t="n">
        <f aca="false">Sens!H11348</f>
        <v>19.2339764043138</v>
      </c>
      <c r="I11368" s="6" t="n">
        <f aca="false">Sens!I11348</f>
        <v>19.0353086852681</v>
      </c>
      <c r="J11368" s="6" t="n">
        <f aca="false">Sens!J11348</f>
        <v>19.1273539319129</v>
      </c>
      <c r="K11368" s="6" t="n">
        <f aca="false">Sens!K11348</f>
        <v>19.5099010105511</v>
      </c>
    </row>
    <row r="11369" customFormat="false" ht="15" hidden="false" customHeight="false" outlineLevel="0" collapsed="false">
      <c r="A11369" s="0" t="s">
        <v>879</v>
      </c>
      <c r="B11369" s="0" t="s">
        <v>98</v>
      </c>
      <c r="D11369" s="6" t="n">
        <f aca="false">Sens!D11350</f>
        <v>17.315</v>
      </c>
      <c r="E11369" s="6" t="n">
        <f aca="false">Sens!E11350</f>
        <v>17.087</v>
      </c>
      <c r="F11369" s="6" t="n">
        <f aca="false">Sens!F11350</f>
        <v>16.9564585436519</v>
      </c>
      <c r="G11369" s="6" t="n">
        <f aca="false">Sens!G11350</f>
        <v>16.9206490624268</v>
      </c>
      <c r="H11369" s="6" t="n">
        <f aca="false">Sens!H11350</f>
        <v>16.9784519149849</v>
      </c>
      <c r="I11369" s="6" t="n">
        <f aca="false">Sens!I11350</f>
        <v>17.1303084701817</v>
      </c>
      <c r="J11369" s="6" t="n">
        <f aca="false">Sens!J11350</f>
        <v>17.3782189407267</v>
      </c>
      <c r="K11369" s="6" t="n">
        <f aca="false">Sens!K11350</f>
        <v>17.7257833195413</v>
      </c>
    </row>
    <row r="11370" customFormat="false" ht="15" hidden="false" customHeight="false" outlineLevel="0" collapsed="false">
      <c r="A11370" s="0" t="s">
        <v>718</v>
      </c>
      <c r="B11370" s="0" t="s">
        <v>98</v>
      </c>
      <c r="D11370" s="6" t="n">
        <f aca="false">Sens!D11352</f>
        <v>62.941</v>
      </c>
      <c r="E11370" s="6" t="n">
        <f aca="false">Sens!E11352</f>
        <v>63.712</v>
      </c>
      <c r="F11370" s="6" t="n">
        <f aca="false">Sens!F11352</f>
        <v>65.1415764563129</v>
      </c>
      <c r="G11370" s="6" t="n">
        <f aca="false">Sens!G11352</f>
        <v>67.1253610780702</v>
      </c>
      <c r="H11370" s="6" t="n">
        <f aca="false">Sens!H11352</f>
        <v>69.5768050148776</v>
      </c>
      <c r="I11370" s="6" t="n">
        <f aca="false">Sens!I11352</f>
        <v>72.4233188088189</v>
      </c>
      <c r="J11370" s="6" t="n">
        <f aca="false">Sens!J11352</f>
        <v>75.6044096678567</v>
      </c>
      <c r="K11370" s="6" t="n">
        <f aca="false">Sens!K11352</f>
        <v>79.0714397009747</v>
      </c>
    </row>
    <row r="11371" customFormat="false" ht="15" hidden="false" customHeight="false" outlineLevel="0" collapsed="false">
      <c r="A11371" s="1" t="s">
        <v>895</v>
      </c>
      <c r="B11371" s="0" t="s">
        <v>98</v>
      </c>
      <c r="D11371" s="6" t="n">
        <f aca="false">Sens!D11353</f>
        <v>281.724</v>
      </c>
      <c r="E11371" s="6" t="n">
        <f aca="false">Sens!E11353</f>
        <v>331.839</v>
      </c>
      <c r="F11371" s="6" t="n">
        <f aca="false">Sens!F11353</f>
        <v>393.505009521169</v>
      </c>
      <c r="G11371" s="6" t="n">
        <f aca="false">Sens!G11353</f>
        <v>456.395226751344</v>
      </c>
      <c r="H11371" s="6" t="n">
        <f aca="false">Sens!H11353</f>
        <v>515.333125886071</v>
      </c>
      <c r="I11371" s="6" t="n">
        <f aca="false">Sens!I11353</f>
        <v>577.124545054311</v>
      </c>
      <c r="J11371" s="6" t="n">
        <f aca="false">Sens!J11353</f>
        <v>629.119377732358</v>
      </c>
      <c r="K11371" s="6" t="n">
        <f aca="false">Sens!K11353</f>
        <v>671.611263404839</v>
      </c>
    </row>
    <row r="11372" customFormat="false" ht="15" hidden="false" customHeight="false" outlineLevel="0" collapsed="false">
      <c r="A11372" s="1" t="s">
        <v>896</v>
      </c>
      <c r="B11372" s="0" t="s">
        <v>129</v>
      </c>
      <c r="E11372" s="7" t="n">
        <f aca="false">Sens!E11371/Sens!D11371-1</f>
        <v>0.177886867998467</v>
      </c>
      <c r="F11372" s="7" t="n">
        <f aca="false">Sens!F11371/Sens!E11371-1</f>
        <v>0.185831109427067</v>
      </c>
      <c r="G11372" s="7" t="n">
        <f aca="false">Sens!G11371/Sens!F11371-1</f>
        <v>0.159820626697237</v>
      </c>
      <c r="H11372" s="7" t="n">
        <f aca="false">Sens!H11371/Sens!G11371-1</f>
        <v>0.129137851756801</v>
      </c>
      <c r="I11372" s="7" t="n">
        <f aca="false">Sens!I11371/Sens!H11371-1</f>
        <v>0.119905777572508</v>
      </c>
      <c r="J11372" s="7" t="n">
        <f aca="false">Sens!J11371/Sens!I11371-1</f>
        <v>0.090092915166438</v>
      </c>
      <c r="K11372" s="7" t="n">
        <f aca="false">Sens!K11371/Sens!J11371-1</f>
        <v>0.0675418484575083</v>
      </c>
    </row>
    <row r="11373" customFormat="false" ht="17.15" hidden="false" customHeight="false" outlineLevel="0" collapsed="false">
      <c r="A11373" s="23" t="s">
        <v>897</v>
      </c>
      <c r="B11373" s="30" t="s">
        <v>98</v>
      </c>
      <c r="C11373" s="30"/>
      <c r="D11373" s="24" t="n">
        <f aca="false">(Sens!D11366+Sens!D11370-Sens!D11371)+(Sens!D11358+Sens!D11359-Sens!D11357)+(Sens!D11361+Sens!D11362-Sens!D11360)+(Sens!D11371-Q!L18)</f>
        <v>0</v>
      </c>
      <c r="E11373" s="24" t="n">
        <f aca="false">(Sens!E11366+Sens!E11370-Sens!E11371)+(Sens!E11358+Sens!E11359-Sens!E11357)+(Sens!E11361+Sens!E11362-Sens!E11360)+(Sens!E11371-Q!M18)</f>
        <v>0</v>
      </c>
      <c r="F11373" s="24" t="n">
        <f aca="false">(Sens!F11366+Sens!F11370-Sens!F11371)+(Sens!F11358+Sens!F11359-Sens!F11357)+(Sens!F11361+Sens!F11362-Sens!F11360)</f>
        <v>0</v>
      </c>
      <c r="G11373" s="24" t="n">
        <f aca="false">(Sens!G11366+Sens!G11370-Sens!G11371)+(Sens!G11358+Sens!G11359-Sens!G11357)+(Sens!G11361+Sens!G11362-Sens!G11360)</f>
        <v>0</v>
      </c>
      <c r="H11373" s="24" t="n">
        <f aca="false">(Sens!H11366+Sens!H11370-Sens!H11371)+(Sens!H11358+Sens!H11359-Sens!H11357)+(Sens!H11361+Sens!H11362-Sens!H11360)</f>
        <v>0</v>
      </c>
      <c r="I11373" s="24" t="n">
        <f aca="false">(Sens!I11366+Sens!I11370-Sens!I11371)+(Sens!I11358+Sens!I11359-Sens!I11357)+(Sens!I11361+Sens!I11362-Sens!I11360)</f>
        <v>0</v>
      </c>
      <c r="J11373" s="24" t="n">
        <f aca="false">(Sens!J11366+Sens!J11370-Sens!J11371)+(Sens!J11358+Sens!J11359-Sens!J11357)+(Sens!J11361+Sens!J11362-Sens!J11360)</f>
        <v>0</v>
      </c>
      <c r="K11373" s="24" t="n">
        <f aca="false">(Sens!K11366+Sens!K11370-Sens!K11371)+(Sens!K11358+Sens!K11359-Sens!K11357)+(Sens!K11361+Sens!K11362-Sens!K11360)</f>
        <v>0</v>
      </c>
    </row>
    <row r="11374" customFormat="false" ht="17.15" hidden="false" customHeight="false" outlineLevel="0" collapsed="false">
      <c r="A11374" s="0" t="s">
        <v>898</v>
      </c>
      <c r="B11374" s="0" t="s">
        <v>129</v>
      </c>
      <c r="E11374" s="7" t="n">
        <f aca="false">(Q!M21+Sens!E11311+Sens!E11312+Sens!E11313+Sens!E11326-Sens!E11309)/(Q!M5-Sens!E11309)</f>
        <v>0.570957350878296</v>
      </c>
      <c r="F11374" s="7" t="n">
        <f aca="false">Sens!$E$11374+dm_seg_lo</f>
        <v>0.550957350878296</v>
      </c>
      <c r="G11374" s="7" t="n">
        <f aca="false">Sens!$E$11374+dm_seg_lo</f>
        <v>0.550957350878296</v>
      </c>
      <c r="H11374" s="7" t="n">
        <f aca="false">Sens!$E$11374+dm_seg_lo</f>
        <v>0.550957350878296</v>
      </c>
      <c r="I11374" s="7" t="n">
        <f aca="false">Sens!$E$11374+dm_seg_lo</f>
        <v>0.550957350878296</v>
      </c>
      <c r="J11374" s="7" t="n">
        <f aca="false">Sens!$E$11374+dm_seg_lo</f>
        <v>0.550957350878296</v>
      </c>
      <c r="K11374" s="7" t="n">
        <f aca="false">Sens!$E$11374+dm_seg_lo</f>
        <v>0.550957350878296</v>
      </c>
      <c r="L11374" s="11" t="s">
        <v>899</v>
      </c>
    </row>
    <row r="11375" customFormat="false" ht="17.15" hidden="false" customHeight="false" outlineLevel="0" collapsed="false">
      <c r="A11375" s="0" t="s">
        <v>732</v>
      </c>
      <c r="B11375" s="0" t="s">
        <v>98</v>
      </c>
      <c r="D11375" s="6" t="n">
        <f aca="false">Q!L21</f>
        <v>110.814</v>
      </c>
      <c r="E11375" s="6" t="n">
        <f aca="false">Q!M21</f>
        <v>136.365</v>
      </c>
      <c r="F11375" s="6" t="n">
        <f aca="false">Sens!F11374*(Sens!F11345-Sens!F11309)+Sens!F11309-(Sens!F11311+Sens!F11312+Sens!F11313)-Sens!F11326</f>
        <v>146.773074273946</v>
      </c>
      <c r="G11375" s="6" t="n">
        <f aca="false">Sens!G11374*(Sens!G11345-Sens!G11309)+Sens!G11309-(Sens!G11311+Sens!G11312+Sens!G11313)-Sens!G11326</f>
        <v>154.00172726636</v>
      </c>
      <c r="H11375" s="6" t="n">
        <f aca="false">Sens!H11374*(Sens!H11345-Sens!H11309)+Sens!H11309-(Sens!H11311+Sens!H11312+Sens!H11313)-Sens!H11326</f>
        <v>155.558186018864</v>
      </c>
      <c r="I11375" s="6" t="n">
        <f aca="false">Sens!I11374*(Sens!I11345-Sens!I11309)+Sens!I11309-(Sens!I11311+Sens!I11312+Sens!I11313)-Sens!I11326</f>
        <v>164.781721078356</v>
      </c>
      <c r="J11375" s="6" t="n">
        <f aca="false">Sens!J11374*(Sens!J11345-Sens!J11309)+Sens!J11309-(Sens!J11311+Sens!J11312+Sens!J11313)-Sens!J11326</f>
        <v>175.396747961252</v>
      </c>
      <c r="K11375" s="6" t="n">
        <f aca="false">Sens!K11374*(Sens!K11345-Sens!K11309)+Sens!K11309-(Sens!K11311+Sens!K11312+Sens!K11313)-Sens!K11326</f>
        <v>187.569297380285</v>
      </c>
      <c r="L11375" s="1" t="s">
        <v>900</v>
      </c>
    </row>
    <row r="11376" customFormat="false" ht="17.15" hidden="false" customHeight="false" outlineLevel="0" collapsed="false">
      <c r="A11376" s="0" t="s">
        <v>901</v>
      </c>
      <c r="B11376" s="0" t="s">
        <v>129</v>
      </c>
      <c r="E11376" s="7" t="n">
        <f aca="false">Q!M22/Q!M12</f>
        <v>0.296207935710698</v>
      </c>
      <c r="F11376" s="7" t="n">
        <f aca="false">Sens!$E$11376+dm_seg_lo</f>
        <v>0.276207935710698</v>
      </c>
      <c r="G11376" s="7" t="n">
        <f aca="false">Sens!$E$11376+dm_seg_lo</f>
        <v>0.276207935710698</v>
      </c>
      <c r="H11376" s="7" t="n">
        <f aca="false">Sens!$E$11376+dm_seg_lo</f>
        <v>0.276207935710698</v>
      </c>
      <c r="I11376" s="7" t="n">
        <f aca="false">Sens!$E$11376+dm_seg_lo</f>
        <v>0.276207935710698</v>
      </c>
      <c r="J11376" s="7" t="n">
        <f aca="false">Sens!$E$11376+dm_seg_lo</f>
        <v>0.276207935710698</v>
      </c>
      <c r="K11376" s="7" t="n">
        <f aca="false">Sens!$E$11376+dm_seg_lo</f>
        <v>0.276207935710698</v>
      </c>
      <c r="L11376" s="11" t="s">
        <v>902</v>
      </c>
    </row>
    <row r="11377" customFormat="false" ht="17.15" hidden="false" customHeight="false" outlineLevel="0" collapsed="false">
      <c r="A11377" s="0" t="s">
        <v>734</v>
      </c>
      <c r="B11377" s="0" t="s">
        <v>98</v>
      </c>
      <c r="D11377" s="6" t="n">
        <f aca="false">Q!L22</f>
        <v>17.714</v>
      </c>
      <c r="E11377" s="6" t="n">
        <f aca="false">Q!M22</f>
        <v>18.872</v>
      </c>
      <c r="F11377" s="6" t="n">
        <f aca="false">Sens!F11352*Sens!F11376</f>
        <v>17.9926203619388</v>
      </c>
      <c r="G11377" s="6" t="n">
        <f aca="false">Sens!G11352*Sens!G11376</f>
        <v>18.540557417209</v>
      </c>
      <c r="H11377" s="6" t="n">
        <f aca="false">Sens!H11352*Sens!H11376</f>
        <v>19.2176656865051</v>
      </c>
      <c r="I11377" s="6" t="n">
        <f aca="false">Sens!I11352*Sens!I11376</f>
        <v>20.0038953855016</v>
      </c>
      <c r="J11377" s="6" t="n">
        <f aca="false">Sens!J11352*Sens!J11376</f>
        <v>20.8825379249846</v>
      </c>
      <c r="K11377" s="6" t="n">
        <f aca="false">Sens!K11352*Sens!K11376</f>
        <v>21.8401591334792</v>
      </c>
    </row>
    <row r="11378" customFormat="false" ht="15" hidden="false" customHeight="false" outlineLevel="0" collapsed="false">
      <c r="A11378" s="1" t="s">
        <v>903</v>
      </c>
      <c r="B11378" s="0" t="s">
        <v>98</v>
      </c>
      <c r="D11378" s="6" t="n">
        <f aca="false">Sens!D11375+Sens!D11377</f>
        <v>128.528</v>
      </c>
      <c r="E11378" s="6" t="n">
        <f aca="false">Sens!E11375+Sens!E11377</f>
        <v>155.237</v>
      </c>
      <c r="F11378" s="6" t="n">
        <f aca="false">Sens!F11375+Sens!F11377</f>
        <v>164.765694635884</v>
      </c>
      <c r="G11378" s="6" t="n">
        <f aca="false">Sens!G11375+Sens!G11377</f>
        <v>172.542284683569</v>
      </c>
      <c r="H11378" s="6" t="n">
        <f aca="false">Sens!H11375+Sens!H11377</f>
        <v>174.775851705369</v>
      </c>
      <c r="I11378" s="6" t="n">
        <f aca="false">Sens!I11375+Sens!I11377</f>
        <v>184.785616463858</v>
      </c>
      <c r="J11378" s="6" t="n">
        <f aca="false">Sens!J11375+Sens!J11377</f>
        <v>196.279285886237</v>
      </c>
      <c r="K11378" s="6" t="n">
        <f aca="false">Sens!K11375+Sens!K11377</f>
        <v>209.409456513764</v>
      </c>
    </row>
    <row r="11379" customFormat="false" ht="15" hidden="false" customHeight="false" outlineLevel="0" collapsed="false">
      <c r="A11379" s="23" t="s">
        <v>904</v>
      </c>
      <c r="B11379" s="30" t="s">
        <v>98</v>
      </c>
      <c r="C11379" s="30"/>
      <c r="D11379" s="24" t="n">
        <f aca="false">Sens!D11378-Q!L23</f>
        <v>0</v>
      </c>
      <c r="E11379" s="24" t="n">
        <f aca="false">Sens!E11378-Q!M23</f>
        <v>0</v>
      </c>
      <c r="F11379" s="30"/>
      <c r="G11379" s="30"/>
      <c r="H11379" s="30"/>
      <c r="I11379" s="30"/>
      <c r="J11379" s="30"/>
      <c r="K11379" s="30"/>
    </row>
    <row r="11380" customFormat="false" ht="15" hidden="false" customHeight="false" outlineLevel="0" collapsed="false">
      <c r="A11380" s="1" t="s">
        <v>905</v>
      </c>
      <c r="B11380" s="0" t="s">
        <v>129</v>
      </c>
      <c r="D11380" s="7" t="n">
        <f aca="false">Sens!D11378/Sens!D11371</f>
        <v>0.456219562408598</v>
      </c>
      <c r="E11380" s="7" t="n">
        <f aca="false">Sens!E11378/Sens!E11371</f>
        <v>0.467808184089272</v>
      </c>
      <c r="F11380" s="7" t="n">
        <f aca="false">Sens!F11378/Sens!F11371</f>
        <v>0.418713080263901</v>
      </c>
      <c r="G11380" s="7" t="n">
        <f aca="false">Sens!G11378/Sens!G11371</f>
        <v>0.378054533812148</v>
      </c>
      <c r="H11380" s="7" t="n">
        <f aca="false">Sens!H11378/Sens!H11371</f>
        <v>0.339151207104835</v>
      </c>
      <c r="I11380" s="7" t="n">
        <f aca="false">Sens!I11378/Sens!I11371</f>
        <v>0.320183256885164</v>
      </c>
      <c r="J11380" s="7" t="n">
        <f aca="false">Sens!J11378/Sens!J11371</f>
        <v>0.311990526493906</v>
      </c>
      <c r="K11380" s="7" t="n">
        <f aca="false">Sens!K11378/Sens!K11371</f>
        <v>0.311801585119538</v>
      </c>
    </row>
    <row r="11381" customFormat="false" ht="17.15" hidden="false" customHeight="false" outlineLevel="0" collapsed="false">
      <c r="A11381" s="1" t="s">
        <v>906</v>
      </c>
      <c r="B11381" s="0" t="s">
        <v>98</v>
      </c>
      <c r="F11381" s="6" t="n">
        <f aca="false">Sens!F11396</f>
        <v>21.0022544923746</v>
      </c>
      <c r="G11381" s="6" t="n">
        <f aca="false">Sens!G11396</f>
        <v>37.9752575228648</v>
      </c>
      <c r="H11381" s="6" t="n">
        <f aca="false">Sens!H11396</f>
        <v>56.3007166463052</v>
      </c>
      <c r="I11381" s="6" t="n">
        <f aca="false">Sens!I11396</f>
        <v>72.761177414753</v>
      </c>
      <c r="J11381" s="6" t="n">
        <f aca="false">Sens!J11396</f>
        <v>84.2611542203386</v>
      </c>
      <c r="K11381" s="6" t="n">
        <f aca="false">Sens!K11396</f>
        <v>91.0396701138278</v>
      </c>
      <c r="L11381" s="1" t="s">
        <v>907</v>
      </c>
    </row>
    <row r="11382" customFormat="false" ht="17.15" hidden="false" customHeight="false" outlineLevel="0" collapsed="false">
      <c r="A11382" s="1" t="s">
        <v>908</v>
      </c>
      <c r="B11382" s="0" t="s">
        <v>98</v>
      </c>
      <c r="D11382" s="6" t="n">
        <f aca="false">Sens!D11378</f>
        <v>128.528</v>
      </c>
      <c r="E11382" s="6" t="n">
        <f aca="false">Sens!E11378</f>
        <v>155.237</v>
      </c>
      <c r="F11382" s="6" t="n">
        <f aca="false">Sens!F11378+Sens!F11381</f>
        <v>185.767949128259</v>
      </c>
      <c r="G11382" s="6" t="n">
        <f aca="false">Sens!G11378+Sens!G11381</f>
        <v>210.517542206434</v>
      </c>
      <c r="H11382" s="6" t="n">
        <f aca="false">Sens!H11378+Sens!H11381</f>
        <v>231.076568351674</v>
      </c>
      <c r="I11382" s="6" t="n">
        <f aca="false">Sens!I11378+Sens!I11381</f>
        <v>257.546793878611</v>
      </c>
      <c r="J11382" s="6" t="n">
        <f aca="false">Sens!J11378+Sens!J11381</f>
        <v>280.540440106575</v>
      </c>
      <c r="K11382" s="6" t="n">
        <f aca="false">Sens!K11378+Sens!K11381</f>
        <v>300.449126627592</v>
      </c>
    </row>
    <row r="11383" customFormat="false" ht="17.15" hidden="false" customHeight="false" outlineLevel="0" collapsed="false">
      <c r="A11383" s="1" t="s">
        <v>909</v>
      </c>
      <c r="B11383" s="0" t="s">
        <v>98</v>
      </c>
      <c r="E11383" s="6" t="n">
        <f aca="false">Sens!E11326</f>
        <v>16.3054059770833</v>
      </c>
      <c r="F11383" s="6" t="n">
        <f aca="false">Sens!F11326</f>
        <v>34.7530354558698</v>
      </c>
      <c r="G11383" s="6" t="n">
        <f aca="false">Sens!G11326</f>
        <v>60.5317332603396</v>
      </c>
      <c r="H11383" s="6" t="n">
        <f aca="false">Sens!H11326</f>
        <v>87.7673159931396</v>
      </c>
      <c r="I11383" s="6" t="n">
        <f aca="false">Sens!I11326</f>
        <v>112.012039982221</v>
      </c>
      <c r="J11383" s="6" t="n">
        <f aca="false">Sens!J11326</f>
        <v>129.208710922666</v>
      </c>
      <c r="K11383" s="6" t="n">
        <f aca="false">Sens!K11326</f>
        <v>139.672646804474</v>
      </c>
    </row>
    <row r="11384" customFormat="false" ht="17.15" hidden="false" customHeight="false" outlineLevel="0" collapsed="false">
      <c r="A11384" s="1" t="s">
        <v>910</v>
      </c>
      <c r="B11384" s="0" t="s">
        <v>98</v>
      </c>
      <c r="E11384" s="6" t="n">
        <f aca="false">Sens!E11408</f>
        <v>22.2285940229167</v>
      </c>
      <c r="F11384" s="6" t="n">
        <f aca="false">Sens!F11408</f>
        <v>23.5486693435813</v>
      </c>
      <c r="G11384" s="6" t="n">
        <f aca="false">Sens!G11408</f>
        <v>25.264091766262</v>
      </c>
      <c r="H11384" s="6" t="n">
        <f aca="false">Sens!H11408</f>
        <v>27.3438339540448</v>
      </c>
      <c r="I11384" s="6" t="n">
        <f aca="false">Sens!I11408</f>
        <v>29.7317905898047</v>
      </c>
      <c r="J11384" s="6" t="n">
        <f aca="false">Sens!J11408</f>
        <v>32.3542028558616</v>
      </c>
      <c r="K11384" s="6" t="n">
        <f aca="false">Sens!K11408</f>
        <v>35.1281528444749</v>
      </c>
    </row>
    <row r="11385" customFormat="false" ht="17.15" hidden="false" customHeight="false" outlineLevel="0" collapsed="false">
      <c r="A11385" s="1" t="s">
        <v>911</v>
      </c>
      <c r="B11385" s="0" t="s">
        <v>98</v>
      </c>
      <c r="D11385" s="6" t="n">
        <f aca="false">Q!L27</f>
        <v>-4.901</v>
      </c>
      <c r="E11385" s="6" t="n">
        <f aca="false">Q!M27</f>
        <v>10.697</v>
      </c>
      <c r="F11385" s="6" t="n">
        <f aca="false">oie_f</f>
        <v>-0.4</v>
      </c>
      <c r="G11385" s="6" t="n">
        <f aca="false">oie_f</f>
        <v>-0.4</v>
      </c>
      <c r="H11385" s="6" t="n">
        <f aca="false">oie_f</f>
        <v>-0.4</v>
      </c>
      <c r="I11385" s="6" t="n">
        <f aca="false">oie_f</f>
        <v>-0.4</v>
      </c>
      <c r="J11385" s="6" t="n">
        <f aca="false">oie_f</f>
        <v>-0.4</v>
      </c>
      <c r="K11385" s="6" t="n">
        <f aca="false">oie_f</f>
        <v>-0.4</v>
      </c>
      <c r="L11385" s="11" t="s">
        <v>912</v>
      </c>
    </row>
    <row r="11386" customFormat="false" ht="15" hidden="false" customHeight="false" outlineLevel="0" collapsed="false">
      <c r="A11386" s="1" t="s">
        <v>913</v>
      </c>
      <c r="B11386" s="0" t="s">
        <v>98</v>
      </c>
      <c r="D11386" s="6" t="n">
        <f aca="false">Sens!D11378+Sens!D11385</f>
        <v>123.627</v>
      </c>
      <c r="E11386" s="6" t="n">
        <f aca="false">Sens!E11378+Sens!E11385</f>
        <v>165.934</v>
      </c>
      <c r="F11386" s="6" t="n">
        <f aca="false">Sens!F11378+Sens!F11385</f>
        <v>164.365694635884</v>
      </c>
      <c r="G11386" s="6" t="n">
        <f aca="false">Sens!G11378+Sens!G11385</f>
        <v>172.142284683569</v>
      </c>
      <c r="H11386" s="6" t="n">
        <f aca="false">Sens!H11378+Sens!H11385</f>
        <v>174.375851705369</v>
      </c>
      <c r="I11386" s="6" t="n">
        <f aca="false">Sens!I11378+Sens!I11385</f>
        <v>184.385616463858</v>
      </c>
      <c r="J11386" s="6" t="n">
        <f aca="false">Sens!J11378+Sens!J11385</f>
        <v>195.879285886237</v>
      </c>
      <c r="K11386" s="6" t="n">
        <f aca="false">Sens!K11378+Sens!K11385</f>
        <v>209.009456513764</v>
      </c>
    </row>
    <row r="11387" customFormat="false" ht="15" hidden="false" customHeight="false" outlineLevel="0" collapsed="false">
      <c r="A11387" s="1" t="s">
        <v>914</v>
      </c>
      <c r="B11387" s="0" t="s">
        <v>98</v>
      </c>
      <c r="D11387" s="6" t="n">
        <f aca="false">Q!L29</f>
        <v>21.795</v>
      </c>
      <c r="E11387" s="6" t="n">
        <f aca="false">Q!M29</f>
        <v>32.185</v>
      </c>
      <c r="F11387" s="6" t="n">
        <f aca="false">Sens!F11386*tax_f</f>
        <v>32.8731389271769</v>
      </c>
      <c r="G11387" s="6" t="n">
        <f aca="false">Sens!G11386*tax_f</f>
        <v>34.4284569367138</v>
      </c>
      <c r="H11387" s="6" t="n">
        <f aca="false">Sens!H11386*tax_f</f>
        <v>34.8751703410738</v>
      </c>
      <c r="I11387" s="6" t="n">
        <f aca="false">Sens!I11386*tax_f</f>
        <v>36.8771232927716</v>
      </c>
      <c r="J11387" s="6" t="n">
        <f aca="false">Sens!J11386*tax_f</f>
        <v>39.1758571772474</v>
      </c>
      <c r="K11387" s="6" t="n">
        <f aca="false">Sens!K11386*tax_f</f>
        <v>41.8018913027529</v>
      </c>
    </row>
    <row r="11388" customFormat="false" ht="15" hidden="false" customHeight="false" outlineLevel="0" collapsed="false">
      <c r="A11388" s="1" t="s">
        <v>915</v>
      </c>
      <c r="B11388" s="0" t="s">
        <v>98</v>
      </c>
      <c r="D11388" s="6" t="n">
        <f aca="false">Sens!D11386-Sens!D11387</f>
        <v>101.832</v>
      </c>
      <c r="E11388" s="6" t="n">
        <f aca="false">Sens!E11386-Sens!E11387</f>
        <v>133.749</v>
      </c>
      <c r="F11388" s="6" t="n">
        <f aca="false">Sens!F11386-Sens!F11387</f>
        <v>131.492555708707</v>
      </c>
      <c r="G11388" s="6" t="n">
        <f aca="false">Sens!G11386-Sens!G11387</f>
        <v>137.713827746855</v>
      </c>
      <c r="H11388" s="6" t="n">
        <f aca="false">Sens!H11386-Sens!H11387</f>
        <v>139.500681364295</v>
      </c>
      <c r="I11388" s="6" t="n">
        <f aca="false">Sens!I11386-Sens!I11387</f>
        <v>147.508493171086</v>
      </c>
      <c r="J11388" s="6" t="n">
        <f aca="false">Sens!J11386-Sens!J11387</f>
        <v>156.703428708989</v>
      </c>
      <c r="K11388" s="6" t="n">
        <f aca="false">Sens!K11386-Sens!K11387</f>
        <v>167.207565211012</v>
      </c>
    </row>
    <row r="11389" customFormat="false" ht="17.15" hidden="false" customHeight="false" outlineLevel="0" collapsed="false">
      <c r="A11389" s="1" t="s">
        <v>916</v>
      </c>
      <c r="B11389" s="1" t="s">
        <v>81</v>
      </c>
      <c r="D11389" s="14" t="n">
        <f aca="false">Q!L31</f>
        <v>7.465</v>
      </c>
      <c r="E11389" s="14" t="n">
        <f aca="false">Q!M31</f>
        <v>7.453</v>
      </c>
      <c r="F11389" s="14" t="n">
        <f aca="false">Sens!F11430</f>
        <v>7.4735</v>
      </c>
      <c r="G11389" s="14" t="n">
        <f aca="false">Sens!G11430</f>
        <v>7.5185</v>
      </c>
      <c r="H11389" s="14" t="n">
        <f aca="false">Sens!H11430</f>
        <v>7.5635</v>
      </c>
      <c r="I11389" s="14" t="n">
        <f aca="false">Sens!I11430</f>
        <v>7.59252924615736</v>
      </c>
      <c r="J11389" s="14" t="n">
        <f aca="false">Sens!J11430</f>
        <v>7.60677075727524</v>
      </c>
      <c r="K11389" s="14" t="n">
        <f aca="false">Sens!K11430</f>
        <v>7.62329067497699</v>
      </c>
    </row>
    <row r="11390" customFormat="false" ht="17.15" hidden="false" customHeight="false" outlineLevel="0" collapsed="false">
      <c r="A11390" s="0" t="s">
        <v>917</v>
      </c>
      <c r="B11390" s="0" t="s">
        <v>75</v>
      </c>
      <c r="D11390" s="8" t="n">
        <f aca="false">Sens!D11388/Sens!D11389</f>
        <v>13.641259209645</v>
      </c>
      <c r="E11390" s="8" t="n">
        <f aca="false">Sens!E11388/Sens!E11389</f>
        <v>17.9456594659869</v>
      </c>
      <c r="F11390" s="8" t="n">
        <f aca="false">Sens!F11388/Sens!F11389</f>
        <v>17.5945080228417</v>
      </c>
      <c r="G11390" s="8" t="n">
        <f aca="false">Sens!G11388/Sens!G11389</f>
        <v>18.3166625985044</v>
      </c>
      <c r="H11390" s="8" t="n">
        <f aca="false">Sens!H11388/Sens!H11389</f>
        <v>18.4439322224228</v>
      </c>
      <c r="I11390" s="8" t="n">
        <f aca="false">Sens!I11388/Sens!I11389</f>
        <v>19.4281099734639</v>
      </c>
      <c r="J11390" s="8" t="n">
        <f aca="false">Sens!J11388/Sens!J11389</f>
        <v>20.6005194200332</v>
      </c>
      <c r="K11390" s="8" t="n">
        <f aca="false">Sens!K11388/Sens!K11389</f>
        <v>21.9337779890593</v>
      </c>
      <c r="L11390" s="1" t="s">
        <v>918</v>
      </c>
    </row>
    <row r="11391" customFormat="false" ht="17.15" hidden="false" customHeight="false" outlineLevel="0" collapsed="false">
      <c r="A11391" s="1" t="s">
        <v>919</v>
      </c>
      <c r="B11391" s="0" t="s">
        <v>98</v>
      </c>
      <c r="D11391" s="6" t="n">
        <f aca="false">Sens!D11388</f>
        <v>101.832</v>
      </c>
      <c r="E11391" s="6" t="n">
        <f aca="false">Sens!E11388</f>
        <v>133.749</v>
      </c>
      <c r="F11391" s="6" t="n">
        <f aca="false">Sens!F11388+Sens!F11381*(1-tax_f)</f>
        <v>148.294359302607</v>
      </c>
      <c r="G11391" s="6" t="n">
        <f aca="false">Sens!G11388+Sens!G11381*(1-tax_f)</f>
        <v>168.094033765147</v>
      </c>
      <c r="H11391" s="6" t="n">
        <f aca="false">Sens!H11388+Sens!H11381*(1-tax_f)</f>
        <v>184.541254681339</v>
      </c>
      <c r="I11391" s="6" t="n">
        <f aca="false">Sens!I11388+Sens!I11381*(1-tax_f)</f>
        <v>205.717435102889</v>
      </c>
      <c r="J11391" s="6" t="n">
        <f aca="false">Sens!J11388+Sens!J11381*(1-tax_f)</f>
        <v>224.11235208526</v>
      </c>
      <c r="K11391" s="6" t="n">
        <f aca="false">Sens!K11388+Sens!K11381*(1-tax_f)</f>
        <v>240.039301302074</v>
      </c>
    </row>
    <row r="11392" customFormat="false" ht="17.15" hidden="false" customHeight="false" outlineLevel="0" collapsed="false">
      <c r="A11392" s="0" t="s">
        <v>920</v>
      </c>
      <c r="B11392" s="0" t="s">
        <v>75</v>
      </c>
      <c r="D11392" s="8" t="n">
        <f aca="false">Sens!D11391/Sens!D11389</f>
        <v>13.641259209645</v>
      </c>
      <c r="E11392" s="8" t="n">
        <f aca="false">Sens!E11391/Sens!E11389</f>
        <v>17.9456594659869</v>
      </c>
      <c r="F11392" s="8" t="n">
        <f aca="false">Sens!F11391/Sens!F11389</f>
        <v>19.8426920857172</v>
      </c>
      <c r="G11392" s="8" t="n">
        <f aca="false">Sens!G11391/Sens!G11389</f>
        <v>22.3573896076541</v>
      </c>
      <c r="H11392" s="8" t="n">
        <f aca="false">Sens!H11391/Sens!H11389</f>
        <v>24.3989230754729</v>
      </c>
      <c r="I11392" s="8" t="n">
        <f aca="false">Sens!I11391/Sens!I11389</f>
        <v>27.0947175089255</v>
      </c>
      <c r="J11392" s="8" t="n">
        <f aca="false">Sens!J11391/Sens!J11389</f>
        <v>29.4622198087034</v>
      </c>
      <c r="K11392" s="8" t="n">
        <f aca="false">Sens!K11391/Sens!K11389</f>
        <v>31.4876228044129</v>
      </c>
      <c r="L11392" s="1" t="s">
        <v>921</v>
      </c>
    </row>
    <row r="11393" customFormat="false" ht="17.15" hidden="false" customHeight="false" outlineLevel="0" collapsed="false">
      <c r="A11393" s="0" t="s">
        <v>922</v>
      </c>
      <c r="B11393" s="0" t="s">
        <v>129</v>
      </c>
      <c r="E11393" s="7" t="n">
        <f aca="false">Sens!E11392/Sens!D11392-1</f>
        <v>0.315542736208578</v>
      </c>
      <c r="F11393" s="7" t="n">
        <f aca="false">Sens!F11392/Sens!E11392-1</f>
        <v>0.1057098304649</v>
      </c>
      <c r="G11393" s="7" t="n">
        <f aca="false">Sens!G11392/Sens!F11392-1</f>
        <v>0.126731670837497</v>
      </c>
      <c r="H11393" s="7" t="n">
        <f aca="false">Sens!H11392/Sens!G11392-1</f>
        <v>0.0913135881981453</v>
      </c>
      <c r="I11393" s="7" t="n">
        <f aca="false">Sens!I11392/Sens!H11392-1</f>
        <v>0.110488254957555</v>
      </c>
      <c r="J11393" s="7" t="n">
        <f aca="false">Sens!J11392/Sens!I11392-1</f>
        <v>0.0873787408559621</v>
      </c>
      <c r="K11393" s="7" t="n">
        <f aca="false">Sens!K11392/Sens!J11392-1</f>
        <v>0.0687457703072059</v>
      </c>
    </row>
    <row r="11394" customFormat="false" ht="17.15" hidden="false" customHeight="false" outlineLevel="0" collapsed="false">
      <c r="A11394" s="0" t="s">
        <v>846</v>
      </c>
      <c r="B11394" s="0" t="s">
        <v>98</v>
      </c>
      <c r="E11394" s="6" t="n">
        <f aca="false">Sens!E11335</f>
        <v>5.25</v>
      </c>
      <c r="F11394" s="6" t="n">
        <f aca="false">Sens!F11335</f>
        <v>10.5</v>
      </c>
      <c r="G11394" s="6" t="n">
        <f aca="false">Sens!G11335</f>
        <v>13.5</v>
      </c>
      <c r="H11394" s="6" t="n">
        <f aca="false">Sens!H11335</f>
        <v>16.5</v>
      </c>
      <c r="I11394" s="6" t="n">
        <f aca="false">Sens!I11335</f>
        <v>18.75</v>
      </c>
      <c r="J11394" s="6" t="n">
        <f aca="false">Sens!J11335</f>
        <v>20.25</v>
      </c>
      <c r="K11394" s="6" t="n">
        <f aca="false">Sens!K11335</f>
        <v>21.75</v>
      </c>
    </row>
    <row r="11395" customFormat="false" ht="17.15" hidden="false" customHeight="false" outlineLevel="0" collapsed="false">
      <c r="A11395" s="1" t="s">
        <v>847</v>
      </c>
      <c r="B11395" s="0" t="s">
        <v>98</v>
      </c>
      <c r="F11395" s="6" t="n">
        <f aca="false">MAX(0,(Sens!E11298+Sens!F11298)/2*Sens!F11306/1000-Sens!F11394*Sens!F11374)</f>
        <v>21.0022544923746</v>
      </c>
      <c r="G11395" s="6" t="n">
        <f aca="false">MAX(0,(Sens!F11298+Sens!G11298)/2*Sens!G11306/1000-Sens!G11394*Sens!G11374)</f>
        <v>37.9752575228648</v>
      </c>
      <c r="H11395" s="6" t="n">
        <f aca="false">MAX(0,(Sens!G11298+Sens!H11298)/2*Sens!H11306/1000-Sens!H11394*Sens!H11374)</f>
        <v>56.3007166463052</v>
      </c>
      <c r="I11395" s="6" t="n">
        <f aca="false">MAX(0,(Sens!H11298+Sens!I11298)/2*Sens!I11306/1000-Sens!I11394*Sens!I11374)</f>
        <v>72.761177414753</v>
      </c>
      <c r="J11395" s="6" t="n">
        <f aca="false">MAX(0,(Sens!I11298+Sens!J11298)/2*Sens!J11306/1000-Sens!J11394*Sens!J11374)</f>
        <v>84.2611542203386</v>
      </c>
      <c r="K11395" s="6" t="n">
        <f aca="false">MAX(0,(Sens!J11298+Sens!K11298)/2*Sens!K11306/1000-Sens!K11394*Sens!K11374)</f>
        <v>91.0396701138278</v>
      </c>
      <c r="L11395" s="1" t="s">
        <v>848</v>
      </c>
    </row>
    <row r="11396" customFormat="false" ht="17.15" hidden="false" customHeight="false" outlineLevel="0" collapsed="false">
      <c r="A11396" s="1" t="s">
        <v>849</v>
      </c>
      <c r="B11396" s="0" t="s">
        <v>98</v>
      </c>
      <c r="F11396" s="6" t="n">
        <f aca="false">IF(internal_ai_reading=2,1,0)*Sens!F11395</f>
        <v>21.0022544923746</v>
      </c>
      <c r="G11396" s="6" t="n">
        <f aca="false">IF(internal_ai_reading=2,1,0)*Sens!G11395</f>
        <v>37.9752575228648</v>
      </c>
      <c r="H11396" s="6" t="n">
        <f aca="false">IF(internal_ai_reading=2,1,0)*Sens!H11395</f>
        <v>56.3007166463052</v>
      </c>
      <c r="I11396" s="6" t="n">
        <f aca="false">IF(internal_ai_reading=2,1,0)*Sens!I11395</f>
        <v>72.761177414753</v>
      </c>
      <c r="J11396" s="6" t="n">
        <f aca="false">IF(internal_ai_reading=2,1,0)*Sens!J11395</f>
        <v>84.2611542203386</v>
      </c>
      <c r="K11396" s="6" t="n">
        <f aca="false">IF(internal_ai_reading=2,1,0)*Sens!K11395</f>
        <v>91.0396701138278</v>
      </c>
    </row>
    <row r="11397" customFormat="false" ht="17.15" hidden="false" customHeight="false" outlineLevel="0" collapsed="false">
      <c r="A11397" s="0" t="s">
        <v>850</v>
      </c>
      <c r="B11397" s="0" t="s">
        <v>98</v>
      </c>
      <c r="F11397" s="6" t="n">
        <f aca="false">Sens!F11315+Sens!F11394*Sens!F11374+Sens!F11396-Sens!F11316-Sens!F11326</f>
        <v>20.5586862327591</v>
      </c>
      <c r="G11397" s="6" t="n">
        <f aca="false">Sens!G11315+Sens!G11394*Sens!G11374+Sens!G11396-Sens!G11316-Sens!G11326</f>
        <v>26.3473144965041</v>
      </c>
      <c r="H11397" s="6" t="n">
        <f aca="false">Sens!H11315+Sens!H11394*Sens!H11374+Sens!H11396-Sens!H11316-Sens!H11326</f>
        <v>27.6404362916746</v>
      </c>
      <c r="I11397" s="6" t="n">
        <f aca="false">Sens!I11315+Sens!I11394*Sens!I11374+Sens!I11396-Sens!I11316-Sens!I11326</f>
        <v>35.206534566157</v>
      </c>
      <c r="J11397" s="6" t="n">
        <f aca="false">Sens!J11315+Sens!J11394*Sens!J11374+Sens!J11396-Sens!J11316-Sens!J11326</f>
        <v>40.399044621423</v>
      </c>
      <c r="K11397" s="6" t="n">
        <f aca="false">Sens!K11315+Sens!K11394*Sens!K11374+Sens!K11396-Sens!K11316-Sens!K11326</f>
        <v>44.3725097634843</v>
      </c>
    </row>
    <row r="11398" customFormat="false" ht="17.15" hidden="false" customHeight="false" outlineLevel="0" collapsed="false">
      <c r="A11398" s="0" t="s">
        <v>851</v>
      </c>
      <c r="B11398" s="0" t="s">
        <v>98</v>
      </c>
      <c r="E11398" s="6" t="n">
        <f aca="false">Sens!E11297*(cxit_open+self_build*tk_cxfac)/1000*ai_net_open</f>
        <v>126.6980382</v>
      </c>
      <c r="F11398" s="6" t="n">
        <f aca="false">Sens!E11398+Sens!F11323-Sens!F11326</f>
        <v>260.715655514568</v>
      </c>
      <c r="G11398" s="6" t="n">
        <f aca="false">Sens!F11398+Sens!G11323-Sens!G11326</f>
        <v>383.758102737428</v>
      </c>
      <c r="H11398" s="6" t="n">
        <f aca="false">Sens!G11398+Sens!H11323-Sens!H11326</f>
        <v>484.071072654689</v>
      </c>
      <c r="I11398" s="6" t="n">
        <f aca="false">Sens!H11398+Sens!I11323-Sens!I11326</f>
        <v>535.765701826713</v>
      </c>
      <c r="J11398" s="6" t="n">
        <f aca="false">Sens!I11398+Sens!J11323-Sens!J11326</f>
        <v>531.069467622138</v>
      </c>
      <c r="K11398" s="6" t="n">
        <f aca="false">Sens!J11398+Sens!K11323-Sens!K11326</f>
        <v>506.3562564596</v>
      </c>
      <c r="L11398" s="1" t="s">
        <v>852</v>
      </c>
    </row>
    <row r="11399" customFormat="false" ht="17.15" hidden="false" customHeight="false" outlineLevel="0" collapsed="false">
      <c r="A11399" s="0" t="s">
        <v>853</v>
      </c>
      <c r="B11399" s="0" t="s">
        <v>129</v>
      </c>
      <c r="F11399" s="7" t="n">
        <f aca="false">Sens!F11397*(1-tax_f)/((Sens!E11398+Sens!F11398)/2)</f>
        <v>0.0849063894903249</v>
      </c>
      <c r="G11399" s="7" t="n">
        <f aca="false">Sens!G11397*(1-tax_f)/((Sens!F11398+Sens!G11398)/2)</f>
        <v>0.0654110468496738</v>
      </c>
      <c r="H11399" s="7" t="n">
        <f aca="false">Sens!H11397*(1-tax_f)/((Sens!G11398+Sens!H11398)/2)</f>
        <v>0.0509601420656284</v>
      </c>
      <c r="I11399" s="7" t="n">
        <f aca="false">Sens!I11397*(1-tax_f)/((Sens!H11398+Sens!I11398)/2)</f>
        <v>0.0552347755203238</v>
      </c>
      <c r="J11399" s="7" t="n">
        <f aca="false">Sens!J11397*(1-tax_f)/((Sens!I11398+Sens!J11398)/2)</f>
        <v>0.0605889956062007</v>
      </c>
      <c r="K11399" s="7" t="n">
        <f aca="false">Sens!K11397*(1-tax_f)/((Sens!J11398+Sens!K11398)/2)</f>
        <v>0.068434793907213</v>
      </c>
    </row>
    <row r="11400" customFormat="false" ht="17.15" hidden="false" customHeight="false" outlineLevel="0" collapsed="false">
      <c r="A11400" s="1" t="s">
        <v>854</v>
      </c>
      <c r="B11400" s="0" t="s">
        <v>129</v>
      </c>
      <c r="F11400" s="7" t="n">
        <f aca="false">(Sens!F11397-Sens!F11396)*(1-tax_f)/((Sens!E11398+Sens!F11398)/2)</f>
        <v>-0.00183191566766798</v>
      </c>
      <c r="G11400" s="7" t="n">
        <f aca="false">(Sens!G11397-Sens!G11396)*(1-tax_f)/((Sens!F11398+Sens!G11398)/2)</f>
        <v>-0.028868062669671</v>
      </c>
      <c r="H11400" s="7" t="n">
        <f aca="false">(Sens!H11397-Sens!H11396)*(1-tax_f)/((Sens!G11398+Sens!H11398)/2)</f>
        <v>-0.0528404089971847</v>
      </c>
      <c r="I11400" s="7" t="n">
        <f aca="false">(Sens!I11397-Sens!I11396)*(1-tax_f)/((Sens!H11398+Sens!I11398)/2)</f>
        <v>-0.0589186721456566</v>
      </c>
      <c r="J11400" s="7" t="n">
        <f aca="false">(Sens!J11397-Sens!J11396)*(1-tax_f)/((Sens!I11398+Sens!J11398)/2)</f>
        <v>-0.0657827726044326</v>
      </c>
      <c r="K11400" s="7" t="n">
        <f aca="false">(Sens!K11397-Sens!K11396)*(1-tax_f)/((Sens!J11398+Sens!K11398)/2)</f>
        <v>-0.0719737855224674</v>
      </c>
    </row>
    <row r="11401" customFormat="false" ht="17.15" hidden="false" customHeight="false" outlineLevel="0" collapsed="false">
      <c r="A11401" s="1" t="s">
        <v>855</v>
      </c>
      <c r="B11401" s="0" t="s">
        <v>129</v>
      </c>
      <c r="F11401" s="7" t="n">
        <f aca="false">(Sens!F11397-Sens!F11396+Sens!F11395)*(1-tax_f)/((Sens!E11398+Sens!F11398)/2)</f>
        <v>0.0849063894903249</v>
      </c>
      <c r="G11401" s="7" t="n">
        <f aca="false">(Sens!G11397-Sens!G11396+Sens!G11395)*(1-tax_f)/((Sens!F11398+Sens!G11398)/2)</f>
        <v>0.0654110468496738</v>
      </c>
      <c r="H11401" s="7" t="n">
        <f aca="false">(Sens!H11397-Sens!H11396+Sens!H11395)*(1-tax_f)/((Sens!G11398+Sens!H11398)/2)</f>
        <v>0.0509601420656284</v>
      </c>
      <c r="I11401" s="7" t="n">
        <f aca="false">(Sens!I11397-Sens!I11396+Sens!I11395)*(1-tax_f)/((Sens!H11398+Sens!I11398)/2)</f>
        <v>0.0552347755203238</v>
      </c>
      <c r="J11401" s="7" t="n">
        <f aca="false">(Sens!J11397-Sens!J11396+Sens!J11395)*(1-tax_f)/((Sens!I11398+Sens!J11398)/2)</f>
        <v>0.0605889956062007</v>
      </c>
      <c r="K11401" s="7" t="n">
        <f aca="false">(Sens!K11397-Sens!K11396+Sens!K11395)*(1-tax_f)/((Sens!J11398+Sens!K11398)/2)</f>
        <v>0.068434793907213</v>
      </c>
    </row>
    <row r="11402" customFormat="false" ht="17.15" hidden="false" customHeight="false" outlineLevel="0" collapsed="false">
      <c r="A11402" s="1" t="s">
        <v>856</v>
      </c>
      <c r="B11402" s="0" t="s">
        <v>129</v>
      </c>
      <c r="F11402" s="7" t="n">
        <f aca="false">Sens!F11327*(1-tax_f)/(Sens!F11314*(Sens!E11398+Sens!F11398)/2)</f>
        <v>0.0977802249085266</v>
      </c>
      <c r="G11402" s="7" t="n">
        <f aca="false">Sens!G11327*(1-tax_f)/(Sens!G11314*(Sens!F11398+Sens!G11398)/2)</f>
        <v>0.0659202727231561</v>
      </c>
      <c r="H11402" s="7" t="n">
        <f aca="false">Sens!H11327*(1-tax_f)/(Sens!H11314*(Sens!G11398+Sens!H11398)/2)</f>
        <v>0.0387765414760463</v>
      </c>
      <c r="I11402" s="7" t="n">
        <f aca="false">Sens!I11327*(1-tax_f)/(Sens!I11314*(Sens!H11398+Sens!I11398)/2)</f>
        <v>0.0420016903333455</v>
      </c>
      <c r="J11402" s="7" t="n">
        <f aca="false">Sens!J11327*(1-tax_f)/(Sens!J11314*(Sens!I11398+Sens!J11398)/2)</f>
        <v>0.0460485953555435</v>
      </c>
      <c r="K11402" s="7" t="n">
        <f aca="false">Sens!K11327*(1-tax_f)/(Sens!K11314*(Sens!J11398+Sens!K11398)/2)</f>
        <v>0.0523848598274153</v>
      </c>
    </row>
    <row r="11403" customFormat="false" ht="17.15" hidden="false" customHeight="false" outlineLevel="0" collapsed="false">
      <c r="A11403" s="0" t="s">
        <v>857</v>
      </c>
      <c r="B11403" s="0" t="s">
        <v>209</v>
      </c>
      <c r="F11403" s="7" t="n">
        <f aca="false">Sens!F11399-wacc</f>
        <v>-0.0180280306025508</v>
      </c>
      <c r="G11403" s="7" t="n">
        <f aca="false">Sens!G11399-wacc</f>
        <v>-0.037523373243202</v>
      </c>
      <c r="H11403" s="7" t="n">
        <f aca="false">Sens!H11399-wacc</f>
        <v>-0.0519742780272474</v>
      </c>
      <c r="I11403" s="7" t="n">
        <f aca="false">Sens!I11399-wacc</f>
        <v>-0.047699644572552</v>
      </c>
      <c r="J11403" s="7" t="n">
        <f aca="false">Sens!J11399-wacc</f>
        <v>-0.042345424486675</v>
      </c>
      <c r="K11403" s="7" t="n">
        <f aca="false">Sens!K11399-wacc</f>
        <v>-0.0344996261856627</v>
      </c>
    </row>
    <row r="11404" customFormat="false" ht="17.15" hidden="false" customHeight="false" outlineLevel="0" collapsed="false">
      <c r="A11404" s="0" t="s">
        <v>858</v>
      </c>
      <c r="B11404" s="0" t="s">
        <v>98</v>
      </c>
      <c r="F11404" s="6" t="n">
        <f aca="false">Sens!F11397*(1-tax_f)-wacc*(Sens!E11398+Sens!F11398)/2</f>
        <v>-3.49215296306674</v>
      </c>
      <c r="G11404" s="6" t="n">
        <f aca="false">Sens!G11397*(1-tax_f)-wacc*(Sens!F11398+Sens!G11398)/2</f>
        <v>-12.0914146881694</v>
      </c>
      <c r="H11404" s="6" t="n">
        <f aca="false">Sens!H11397*(1-tax_f)-wacc*(Sens!G11398+Sens!H11398)/2</f>
        <v>-22.5523974209934</v>
      </c>
      <c r="I11404" s="6" t="n">
        <f aca="false">Sens!I11397*(1-tax_f)-wacc*(Sens!H11398+Sens!I11398)/2</f>
        <v>-24.3229258323903</v>
      </c>
      <c r="J11404" s="6" t="n">
        <f aca="false">Sens!J11397*(1-tax_f)-wacc*(Sens!I11398+Sens!J11398)/2</f>
        <v>-22.5877940538127</v>
      </c>
      <c r="K11404" s="6" t="n">
        <f aca="false">Sens!K11397*(1-tax_f)-wacc*(Sens!J11398+Sens!K11398)/2</f>
        <v>-17.8953998381052</v>
      </c>
    </row>
    <row r="11405" customFormat="false" ht="17.15" hidden="false" customHeight="false" outlineLevel="0" collapsed="false">
      <c r="A11405" s="3" t="s">
        <v>1532</v>
      </c>
    </row>
    <row r="11406" customFormat="false" ht="15" hidden="false" customHeight="false" outlineLevel="0" collapsed="false">
      <c r="A11406" s="4" t="s">
        <v>43</v>
      </c>
      <c r="B11406" s="4" t="s">
        <v>65</v>
      </c>
      <c r="C11406" s="20" t="s">
        <v>788</v>
      </c>
      <c r="D11406" s="20" t="s">
        <v>789</v>
      </c>
      <c r="E11406" s="20" t="s">
        <v>790</v>
      </c>
      <c r="F11406" s="20" t="s">
        <v>791</v>
      </c>
      <c r="G11406" s="20" t="s">
        <v>792</v>
      </c>
      <c r="H11406" s="20" t="s">
        <v>793</v>
      </c>
      <c r="I11406" s="20" t="s">
        <v>794</v>
      </c>
      <c r="J11406" s="20" t="s">
        <v>795</v>
      </c>
      <c r="K11406" s="20" t="s">
        <v>796</v>
      </c>
      <c r="L11406" s="4" t="s">
        <v>47</v>
      </c>
    </row>
    <row r="11407" customFormat="false" ht="15" hidden="false" customHeight="false" outlineLevel="0" collapsed="false">
      <c r="A11407" s="1" t="s">
        <v>915</v>
      </c>
      <c r="B11407" s="0" t="s">
        <v>98</v>
      </c>
      <c r="F11407" s="6" t="n">
        <f aca="false">Sens!F11388</f>
        <v>131.492555708707</v>
      </c>
      <c r="G11407" s="6" t="n">
        <f aca="false">Sens!G11388</f>
        <v>137.713827746855</v>
      </c>
      <c r="H11407" s="6" t="n">
        <f aca="false">Sens!H11388</f>
        <v>139.500681364295</v>
      </c>
      <c r="I11407" s="6" t="n">
        <f aca="false">Sens!I11388</f>
        <v>147.508493171086</v>
      </c>
      <c r="J11407" s="6" t="n">
        <f aca="false">Sens!J11388</f>
        <v>156.703428708989</v>
      </c>
      <c r="K11407" s="6" t="n">
        <f aca="false">Sens!K11388</f>
        <v>167.207565211012</v>
      </c>
    </row>
    <row r="11408" customFormat="false" ht="17.15" hidden="false" customHeight="false" outlineLevel="0" collapsed="false">
      <c r="A11408" s="1" t="s">
        <v>937</v>
      </c>
      <c r="B11408" s="0" t="s">
        <v>98</v>
      </c>
      <c r="E11408" s="6" t="n">
        <f aca="false">Q!M38-Sens!E11326</f>
        <v>22.2285940229167</v>
      </c>
      <c r="F11408" s="6" t="n">
        <f aca="false">Sens!E11408*(1-1/life_nonai)+Sens!F11414/life_nonai</f>
        <v>23.5486693435813</v>
      </c>
      <c r="G11408" s="6" t="n">
        <f aca="false">Sens!F11408*(1-1/life_nonai)+Sens!G11414/life_nonai</f>
        <v>25.264091766262</v>
      </c>
      <c r="H11408" s="6" t="n">
        <f aca="false">Sens!G11408*(1-1/life_nonai)+Sens!H11414/life_nonai</f>
        <v>27.3438339540448</v>
      </c>
      <c r="I11408" s="6" t="n">
        <f aca="false">Sens!H11408*(1-1/life_nonai)+Sens!I11414/life_nonai</f>
        <v>29.7317905898047</v>
      </c>
      <c r="J11408" s="6" t="n">
        <f aca="false">Sens!I11408*(1-1/life_nonai)+Sens!J11414/life_nonai</f>
        <v>32.3542028558616</v>
      </c>
      <c r="K11408" s="6" t="n">
        <f aca="false">Sens!J11408*(1-1/life_nonai)+Sens!K11414/life_nonai</f>
        <v>35.1281528444749</v>
      </c>
      <c r="L11408" s="11" t="s">
        <v>938</v>
      </c>
    </row>
    <row r="11409" customFormat="false" ht="17.15" hidden="false" customHeight="false" outlineLevel="0" collapsed="false">
      <c r="A11409" s="1" t="s">
        <v>939</v>
      </c>
      <c r="B11409" s="0" t="s">
        <v>98</v>
      </c>
      <c r="E11409" s="6" t="n">
        <f aca="false">Sens!E11326+Sens!E11408</f>
        <v>38.534</v>
      </c>
      <c r="F11409" s="6" t="n">
        <f aca="false">Sens!F11326+Sens!F11408</f>
        <v>58.301704799451</v>
      </c>
      <c r="G11409" s="6" t="n">
        <f aca="false">Sens!G11326+Sens!G11408</f>
        <v>85.7958250266017</v>
      </c>
      <c r="H11409" s="6" t="n">
        <f aca="false">Sens!H11326+Sens!H11408</f>
        <v>115.111149947184</v>
      </c>
      <c r="I11409" s="6" t="n">
        <f aca="false">Sens!I11326+Sens!I11408</f>
        <v>141.743830572026</v>
      </c>
      <c r="J11409" s="6" t="n">
        <f aca="false">Sens!J11326+Sens!J11408</f>
        <v>161.562913778527</v>
      </c>
      <c r="K11409" s="6" t="n">
        <f aca="false">Sens!K11326+Sens!K11408</f>
        <v>174.800799648948</v>
      </c>
    </row>
    <row r="11410" customFormat="false" ht="17.15" hidden="false" customHeight="false" outlineLevel="0" collapsed="false">
      <c r="A11410" s="1" t="s">
        <v>940</v>
      </c>
      <c r="B11410" s="0" t="s">
        <v>98</v>
      </c>
      <c r="F11410" s="6" t="n">
        <f aca="false">Sens!F11353*sbc_r</f>
        <v>14.7102349124428</v>
      </c>
      <c r="G11410" s="6" t="n">
        <f aca="false">Sens!G11353*sbc_r</f>
        <v>17.061233875013</v>
      </c>
      <c r="H11410" s="6" t="n">
        <f aca="false">Sens!H11353*sbc_r</f>
        <v>19.2644849659525</v>
      </c>
      <c r="I11410" s="6" t="n">
        <f aca="false">Sens!I11353*sbc_r</f>
        <v>21.5744080153289</v>
      </c>
      <c r="J11410" s="6" t="n">
        <f aca="false">Sens!J11353*sbc_r</f>
        <v>23.5181093264201</v>
      </c>
      <c r="K11410" s="6" t="n">
        <f aca="false">Sens!K11353*sbc_r</f>
        <v>25.1065659025522</v>
      </c>
    </row>
    <row r="11411" customFormat="false" ht="17.15" hidden="false" customHeight="false" outlineLevel="0" collapsed="false">
      <c r="A11411" s="1" t="s">
        <v>941</v>
      </c>
      <c r="B11411" s="0" t="s">
        <v>98</v>
      </c>
      <c r="F11411" s="6" t="n">
        <f aca="false">wc27</f>
        <v>-4.895</v>
      </c>
      <c r="G11411" s="6" t="n">
        <f aca="false">wc_f</f>
        <v>0</v>
      </c>
      <c r="H11411" s="6" t="n">
        <f aca="false">wc_f</f>
        <v>0</v>
      </c>
      <c r="I11411" s="6" t="n">
        <f aca="false">wc_f</f>
        <v>0</v>
      </c>
      <c r="J11411" s="6" t="n">
        <f aca="false">wc_f</f>
        <v>0</v>
      </c>
      <c r="K11411" s="6" t="n">
        <f aca="false">wc_f</f>
        <v>0</v>
      </c>
      <c r="L11411" s="11" t="s">
        <v>942</v>
      </c>
    </row>
    <row r="11412" customFormat="false" ht="15" hidden="false" customHeight="false" outlineLevel="0" collapsed="false">
      <c r="A11412" s="1" t="s">
        <v>756</v>
      </c>
      <c r="B11412" s="0" t="s">
        <v>98</v>
      </c>
      <c r="E11412" s="6" t="n">
        <f aca="false">Q!M35</f>
        <v>182.935</v>
      </c>
      <c r="F11412" s="6" t="n">
        <f aca="false">Sens!F11407+Sens!F11409+Sens!F11410+Sens!F11411</f>
        <v>199.609495420601</v>
      </c>
      <c r="G11412" s="6" t="n">
        <f aca="false">Sens!G11407+Sens!G11409+Sens!G11410+Sens!G11411</f>
        <v>240.57088664847</v>
      </c>
      <c r="H11412" s="6" t="n">
        <f aca="false">Sens!H11407+Sens!H11409+Sens!H11410+Sens!H11411</f>
        <v>273.876316277432</v>
      </c>
      <c r="I11412" s="6" t="n">
        <f aca="false">Sens!I11407+Sens!I11409+Sens!I11410+Sens!I11411</f>
        <v>310.826731758441</v>
      </c>
      <c r="J11412" s="6" t="n">
        <f aca="false">Sens!J11407+Sens!J11409+Sens!J11410+Sens!J11411</f>
        <v>341.784451813937</v>
      </c>
      <c r="K11412" s="6" t="n">
        <f aca="false">Sens!K11407+Sens!K11409+Sens!K11410+Sens!K11411</f>
        <v>367.114930762512</v>
      </c>
    </row>
    <row r="11413" customFormat="false" ht="17.15" hidden="false" customHeight="false" outlineLevel="0" collapsed="false">
      <c r="A11413" s="0" t="s">
        <v>943</v>
      </c>
      <c r="B11413" s="0" t="s">
        <v>98</v>
      </c>
      <c r="F11413" s="6" t="n">
        <f aca="false">Sens!F11323</f>
        <v>168.770652770438</v>
      </c>
      <c r="G11413" s="6" t="n">
        <f aca="false">Sens!G11323</f>
        <v>183.5741804832</v>
      </c>
      <c r="H11413" s="6" t="n">
        <f aca="false">Sens!H11323</f>
        <v>188.0802859104</v>
      </c>
      <c r="I11413" s="6" t="n">
        <f aca="false">Sens!I11323</f>
        <v>163.706669154245</v>
      </c>
      <c r="J11413" s="6" t="n">
        <f aca="false">Sens!J11323</f>
        <v>124.51247671809</v>
      </c>
      <c r="K11413" s="6" t="n">
        <f aca="false">Sens!K11323</f>
        <v>114.959435641936</v>
      </c>
    </row>
    <row r="11414" customFormat="false" ht="17.15" hidden="false" customHeight="false" outlineLevel="0" collapsed="false">
      <c r="A11414" s="1" t="s">
        <v>944</v>
      </c>
      <c r="B11414" s="0" t="s">
        <v>98</v>
      </c>
      <c r="E11414" s="6" t="n">
        <f aca="false">Sens!E11331*cx_azo+Sens!E11338*cx_m365+Sens!E11339*cx_lic+(Sens!E11341+Sens!E11343)*cx_ind+Sens!E11346*cx_srch+(Sens!E11348+Sens!E11350)*cx_dev</f>
        <v>30.1846587067718</v>
      </c>
      <c r="F11414" s="6" t="n">
        <f aca="false">Sens!F11331*cx_azo+Sens!F11338*cx_m365+Sens!F11339*cx_lic+(Sens!F11341+Sens!F11343)*cx_ind+Sens!F11346*cx_srch+(Sens!F11348+Sens!F11350)*cx_dev</f>
        <v>35.4293472295625</v>
      </c>
      <c r="G11414" s="6" t="n">
        <f aca="false">Sens!G11331*cx_azo+Sens!G11338*cx_m365+Sens!G11339*cx_lic+(Sens!G11341+Sens!G11343)*cx_ind+Sens!G11346*cx_srch+(Sens!G11348+Sens!G11350)*cx_dev</f>
        <v>40.7028935703892</v>
      </c>
      <c r="H11414" s="6" t="n">
        <f aca="false">Sens!H11331*cx_azo+Sens!H11338*cx_m365+Sens!H11339*cx_lic+(Sens!H11341+Sens!H11343)*cx_ind+Sens!H11346*cx_srch+(Sens!H11348+Sens!H11350)*cx_dev</f>
        <v>46.0615136440897</v>
      </c>
      <c r="I11414" s="6" t="n">
        <f aca="false">Sens!I11331*cx_azo+Sens!I11338*cx_m365+Sens!I11339*cx_lic+(Sens!I11341+Sens!I11343)*cx_ind+Sens!I11346*cx_srch+(Sens!I11348+Sens!I11350)*cx_dev</f>
        <v>51.2234003116439</v>
      </c>
      <c r="J11414" s="6" t="n">
        <f aca="false">Sens!J11331*cx_azo+Sens!J11338*cx_m365+Sens!J11339*cx_lic+(Sens!J11341+Sens!J11343)*cx_ind+Sens!J11346*cx_srch+(Sens!J11348+Sens!J11350)*cx_dev</f>
        <v>55.9559132503738</v>
      </c>
      <c r="K11414" s="6" t="n">
        <f aca="false">Sens!K11331*cx_azo+Sens!K11338*cx_m365+Sens!K11339*cx_lic+(Sens!K11341+Sens!K11343)*cx_ind+Sens!K11346*cx_srch+(Sens!K11348+Sens!K11350)*cx_dev</f>
        <v>60.093702741994</v>
      </c>
    </row>
    <row r="11415" customFormat="false" ht="17.15" hidden="false" customHeight="false" outlineLevel="0" collapsed="false">
      <c r="A11415" s="1" t="s">
        <v>945</v>
      </c>
      <c r="B11415" s="0" t="s">
        <v>98</v>
      </c>
      <c r="E11415" s="6" t="n">
        <f aca="false">Q!M42</f>
        <v>145.3</v>
      </c>
      <c r="F11415" s="6" t="n">
        <f aca="false">Sens!F11413+Sens!F11414</f>
        <v>204.2</v>
      </c>
      <c r="G11415" s="6" t="n">
        <f aca="false">Sens!G11413+Sens!G11414</f>
        <v>224.277074053589</v>
      </c>
      <c r="H11415" s="6" t="n">
        <f aca="false">Sens!H11413+Sens!H11414</f>
        <v>234.14179955449</v>
      </c>
      <c r="I11415" s="6" t="n">
        <f aca="false">Sens!I11413+Sens!I11414</f>
        <v>214.930069465889</v>
      </c>
      <c r="J11415" s="6" t="n">
        <f aca="false">Sens!J11413+Sens!J11414</f>
        <v>180.468389968464</v>
      </c>
      <c r="K11415" s="6" t="n">
        <f aca="false">Sens!K11413+Sens!K11414</f>
        <v>175.05313838393</v>
      </c>
      <c r="L11415" s="1" t="s">
        <v>946</v>
      </c>
    </row>
    <row r="11416" customFormat="false" ht="15" hidden="false" customHeight="false" outlineLevel="0" collapsed="false">
      <c r="A11416" s="1" t="s">
        <v>947</v>
      </c>
      <c r="B11416" s="0" t="s">
        <v>98</v>
      </c>
      <c r="E11416" s="6" t="n">
        <f aca="false">fl_liab</f>
        <v>66.594</v>
      </c>
      <c r="F11416" s="6" t="n">
        <f aca="false">Sens!E11416-Sens!F11417</f>
        <v>62.46973</v>
      </c>
      <c r="G11416" s="6" t="n">
        <f aca="false">Sens!F11416-Sens!G11417</f>
        <v>57.98686785</v>
      </c>
      <c r="H11416" s="6" t="n">
        <f aca="false">Sens!G11416-Sens!H11417</f>
        <v>53.92827690325</v>
      </c>
      <c r="I11416" s="6" t="n">
        <f aca="false">Sens!H11416-Sens!I11417</f>
        <v>49.7850493638962</v>
      </c>
      <c r="J11416" s="6" t="n">
        <f aca="false">Sens!I11416-Sens!J11417</f>
        <v>45.4823765852716</v>
      </c>
      <c r="K11416" s="6" t="n">
        <f aca="false">Sens!J11416-Sens!K11417</f>
        <v>40.9860835316088</v>
      </c>
    </row>
    <row r="11417" customFormat="false" ht="15" hidden="false" customHeight="false" outlineLevel="0" collapsed="false">
      <c r="A11417" s="1" t="s">
        <v>948</v>
      </c>
      <c r="B11417" s="0" t="s">
        <v>98</v>
      </c>
      <c r="F11417" s="6" t="n">
        <f aca="false">fl_pay_27-Sens!E11416*fl_rate</f>
        <v>4.12427</v>
      </c>
      <c r="G11417" s="6" t="n">
        <f aca="false">fl_pay_28-Sens!F11416*fl_rate</f>
        <v>4.48286215</v>
      </c>
      <c r="H11417" s="6" t="n">
        <f aca="false">fl_pay_29-Sens!G11416*fl_rate</f>
        <v>4.05859094675</v>
      </c>
      <c r="I11417" s="6" t="n">
        <f aca="false">fl_pay_30-Sens!H11416*fl_rate</f>
        <v>4.14322753935375</v>
      </c>
      <c r="J11417" s="6" t="n">
        <f aca="false">fl_pay_31-Sens!I11416*fl_rate</f>
        <v>4.30267277862467</v>
      </c>
      <c r="K11417" s="6" t="n">
        <f aca="false">fl_pay_32-Sens!J11416*fl_rate</f>
        <v>4.49629305366278</v>
      </c>
    </row>
    <row r="11418" customFormat="false" ht="17.15" hidden="false" customHeight="false" outlineLevel="0" collapsed="false">
      <c r="A11418" s="1" t="s">
        <v>949</v>
      </c>
      <c r="B11418" s="0" t="s">
        <v>98</v>
      </c>
      <c r="E11418" s="6" t="n">
        <f aca="false">Q!M35-Q!M36-Q!M43</f>
        <v>63.886</v>
      </c>
      <c r="F11418" s="6" t="n">
        <f aca="false">Sens!F11412-Sens!F11415-Sens!F11417</f>
        <v>-8.71477457939876</v>
      </c>
      <c r="G11418" s="6" t="n">
        <f aca="false">Sens!G11412-Sens!G11415-Sens!G11417</f>
        <v>11.8109504448807</v>
      </c>
      <c r="H11418" s="6" t="n">
        <f aca="false">Sens!H11412-Sens!H11415-Sens!H11417</f>
        <v>35.6759257761923</v>
      </c>
      <c r="I11418" s="6" t="n">
        <f aca="false">Sens!I11412-Sens!I11415-Sens!I11417</f>
        <v>91.753434753198</v>
      </c>
      <c r="J11418" s="6" t="n">
        <f aca="false">Sens!J11412-Sens!J11415-Sens!J11417</f>
        <v>157.013389066848</v>
      </c>
      <c r="K11418" s="6" t="n">
        <f aca="false">Sens!K11412-Sens!K11415-Sens!K11417</f>
        <v>187.565499324919</v>
      </c>
      <c r="L11418" s="11" t="s">
        <v>950</v>
      </c>
    </row>
    <row r="11419" customFormat="false" ht="15" hidden="false" customHeight="false" outlineLevel="0" collapsed="false">
      <c r="A11419" s="1" t="s">
        <v>951</v>
      </c>
      <c r="B11419" s="0" t="s">
        <v>75</v>
      </c>
      <c r="F11419" s="8" t="n">
        <f aca="false">dps_27</f>
        <v>3.85</v>
      </c>
      <c r="G11419" s="8" t="n">
        <f aca="false">Sens!F11419*(1+dps_g)</f>
        <v>4.158</v>
      </c>
      <c r="H11419" s="8" t="n">
        <f aca="false">Sens!G11419*(1+dps_g)</f>
        <v>4.49064</v>
      </c>
      <c r="I11419" s="8" t="n">
        <f aca="false">Sens!H11419*(1+dps_g)</f>
        <v>4.8498912</v>
      </c>
      <c r="J11419" s="8" t="n">
        <f aca="false">Sens!I11419*(1+dps_g)</f>
        <v>5.237882496</v>
      </c>
      <c r="K11419" s="8" t="n">
        <f aca="false">Sens!J11419*(1+dps_g)</f>
        <v>5.65691309568</v>
      </c>
    </row>
    <row r="11420" customFormat="false" ht="17.15" hidden="false" customHeight="false" outlineLevel="0" collapsed="false">
      <c r="A11420" s="1" t="s">
        <v>952</v>
      </c>
      <c r="B11420" s="0" t="s">
        <v>98</v>
      </c>
      <c r="E11420" s="6" t="n">
        <f aca="false">Q!M41</f>
        <v>26.445</v>
      </c>
      <c r="F11420" s="6" t="n">
        <f aca="false">Sens!F11419*Sens!E11429</f>
        <v>28.59395</v>
      </c>
      <c r="G11420" s="6" t="n">
        <f aca="false">Sens!G11419*Sens!F11429</f>
        <v>31.068576</v>
      </c>
      <c r="H11420" s="6" t="n">
        <f aca="false">Sens!H11419*Sens!G11429</f>
        <v>33.75614088</v>
      </c>
      <c r="I11420" s="6" t="n">
        <f aca="false">Sens!I11419*Sens!H11429</f>
        <v>36.6748772544</v>
      </c>
      <c r="J11420" s="6" t="n">
        <f aca="false">Sens!J11419*Sens!I11429</f>
        <v>39.6772662830715</v>
      </c>
      <c r="K11420" s="6" t="n">
        <f aca="false">Sens!K11419*Sens!J11429</f>
        <v>42.9387028110222</v>
      </c>
      <c r="L11420" s="1" t="s">
        <v>953</v>
      </c>
    </row>
    <row r="11421" customFormat="false" ht="15" hidden="false" customHeight="false" outlineLevel="0" collapsed="false">
      <c r="A11421" s="1" t="s">
        <v>954</v>
      </c>
      <c r="B11421" s="0" t="s">
        <v>98</v>
      </c>
      <c r="E11421" s="6" t="n">
        <f aca="false">Sens!E11418-Sens!E11420</f>
        <v>37.441</v>
      </c>
      <c r="F11421" s="6" t="n">
        <f aca="false">Sens!F11418-Sens!F11420</f>
        <v>-37.3087245793988</v>
      </c>
      <c r="G11421" s="6" t="n">
        <f aca="false">Sens!G11418-Sens!G11420</f>
        <v>-19.2576255551194</v>
      </c>
      <c r="H11421" s="6" t="n">
        <f aca="false">Sens!H11418-Sens!H11420</f>
        <v>1.91978489619225</v>
      </c>
      <c r="I11421" s="6" t="n">
        <f aca="false">Sens!I11418-Sens!I11420</f>
        <v>55.078557498798</v>
      </c>
      <c r="J11421" s="6" t="n">
        <f aca="false">Sens!J11418-Sens!J11420</f>
        <v>117.336122783777</v>
      </c>
      <c r="K11421" s="6" t="n">
        <f aca="false">Sens!K11418-Sens!K11420</f>
        <v>144.626796513897</v>
      </c>
    </row>
    <row r="11422" customFormat="false" ht="15" hidden="false" customHeight="false" outlineLevel="0" collapsed="false">
      <c r="A11422" s="1" t="s">
        <v>955</v>
      </c>
      <c r="B11422" s="0" t="s">
        <v>98</v>
      </c>
      <c r="F11422" s="6" t="n">
        <f aca="false">debt_mat_27</f>
        <v>9.25</v>
      </c>
      <c r="G11422" s="6" t="n">
        <f aca="false">debt_mat_28</f>
        <v>0</v>
      </c>
      <c r="H11422" s="6" t="n">
        <f aca="false">debt_mat_29</f>
        <v>2.001</v>
      </c>
      <c r="I11422" s="6" t="n">
        <f aca="false">debt_mat_30</f>
        <v>0</v>
      </c>
      <c r="J11422" s="6" t="n">
        <f aca="false">debt_mat_31</f>
        <v>0.5</v>
      </c>
      <c r="K11422" s="6" t="n">
        <f aca="false">debt_mat_32</f>
        <v>0</v>
      </c>
    </row>
    <row r="11423" customFormat="false" ht="15" hidden="false" customHeight="false" outlineLevel="0" collapsed="false">
      <c r="A11423" s="1" t="s">
        <v>956</v>
      </c>
      <c r="B11423" s="0" t="s">
        <v>98</v>
      </c>
      <c r="E11423" s="6" t="n">
        <f aca="false">Q!M40</f>
        <v>22.271</v>
      </c>
      <c r="F11423" s="6" t="n">
        <f aca="false">MAX(0,MIN(bb_target,Sens!E11425+Sens!F11421-Sens!F11422-min_cash))</f>
        <v>0</v>
      </c>
      <c r="G11423" s="6" t="n">
        <f aca="false">MAX(0,MIN(bb_target,Sens!F11425+Sens!G11421-Sens!G11422-min_cash))</f>
        <v>0</v>
      </c>
      <c r="H11423" s="6" t="n">
        <f aca="false">MAX(0,MIN(bb_target,Sens!G11425+Sens!H11421-Sens!H11422-min_cash))</f>
        <v>0</v>
      </c>
      <c r="I11423" s="6" t="n">
        <f aca="false">MAX(0,MIN(bb_target,Sens!H11425+Sens!I11421-Sens!I11422-min_cash))</f>
        <v>22.271</v>
      </c>
      <c r="J11423" s="6" t="n">
        <f aca="false">MAX(0,MIN(bb_target,Sens!I11425+Sens!J11421-Sens!J11422-min_cash))</f>
        <v>22.271</v>
      </c>
      <c r="K11423" s="6" t="n">
        <f aca="false">MAX(0,MIN(bb_target,Sens!J11425+Sens!K11421-Sens!K11422-min_cash))</f>
        <v>22.271</v>
      </c>
    </row>
    <row r="11424" customFormat="false" ht="15" hidden="false" customHeight="false" outlineLevel="0" collapsed="false">
      <c r="A11424" s="1" t="s">
        <v>957</v>
      </c>
      <c r="B11424" s="0" t="s">
        <v>98</v>
      </c>
      <c r="F11424" s="6" t="n">
        <f aca="false">MAX(0,min_cash-(Sens!E11425+Sens!F11421-Sens!F11422-Sens!F11423))</f>
        <v>19.7157245793988</v>
      </c>
      <c r="G11424" s="6" t="n">
        <f aca="false">MAX(0,min_cash-(Sens!F11425+Sens!G11421-Sens!G11422-Sens!G11423))</f>
        <v>19.2576255551194</v>
      </c>
      <c r="H11424" s="6" t="n">
        <f aca="false">MAX(0,min_cash-(Sens!G11425+Sens!H11421-Sens!H11422-Sens!H11423))</f>
        <v>0.0812151038077431</v>
      </c>
      <c r="I11424" s="6" t="n">
        <f aca="false">MAX(0,min_cash-(Sens!H11425+Sens!I11421-Sens!I11422-Sens!I11423))</f>
        <v>0</v>
      </c>
      <c r="J11424" s="6" t="n">
        <f aca="false">MAX(0,min_cash-(Sens!I11425+Sens!J11421-Sens!J11422-Sens!J11423))</f>
        <v>0</v>
      </c>
      <c r="K11424" s="6" t="n">
        <f aca="false">MAX(0,min_cash-(Sens!J11425+Sens!K11421-Sens!K11422-Sens!K11423))</f>
        <v>0</v>
      </c>
    </row>
    <row r="11425" customFormat="false" ht="15" hidden="false" customHeight="false" outlineLevel="0" collapsed="false">
      <c r="A11425" s="1" t="s">
        <v>958</v>
      </c>
      <c r="B11425" s="0" t="s">
        <v>98</v>
      </c>
      <c r="E11425" s="6" t="n">
        <f aca="false">cash_open</f>
        <v>76.843</v>
      </c>
      <c r="F11425" s="6" t="n">
        <f aca="false">Sens!E11425+Sens!F11421-Sens!F11422-Sens!F11423+Sens!F11424</f>
        <v>50</v>
      </c>
      <c r="G11425" s="6" t="n">
        <f aca="false">Sens!F11425+Sens!G11421-Sens!G11422-Sens!G11423+Sens!G11424</f>
        <v>50</v>
      </c>
      <c r="H11425" s="6" t="n">
        <f aca="false">Sens!G11425+Sens!H11421-Sens!H11422-Sens!H11423+Sens!H11424</f>
        <v>50</v>
      </c>
      <c r="I11425" s="6" t="n">
        <f aca="false">Sens!H11425+Sens!I11421-Sens!I11422-Sens!I11423+Sens!I11424</f>
        <v>82.807557498798</v>
      </c>
      <c r="J11425" s="6" t="n">
        <f aca="false">Sens!I11425+Sens!J11421-Sens!J11422-Sens!J11423+Sens!J11424</f>
        <v>177.372680282575</v>
      </c>
      <c r="K11425" s="6" t="n">
        <f aca="false">Sens!J11425+Sens!K11421-Sens!K11422-Sens!K11423+Sens!K11424</f>
        <v>299.728476796472</v>
      </c>
    </row>
    <row r="11426" customFormat="false" ht="15" hidden="false" customHeight="false" outlineLevel="0" collapsed="false">
      <c r="A11426" s="1" t="s">
        <v>959</v>
      </c>
      <c r="B11426" s="0" t="s">
        <v>98</v>
      </c>
      <c r="E11426" s="6" t="n">
        <f aca="false">debt_face</f>
        <v>46.136</v>
      </c>
      <c r="F11426" s="6" t="n">
        <f aca="false">Sens!E11426-Sens!F11422+Sens!F11424</f>
        <v>56.6017245793988</v>
      </c>
      <c r="G11426" s="6" t="n">
        <f aca="false">Sens!F11426-Sens!G11422+Sens!G11424</f>
        <v>75.8593501345181</v>
      </c>
      <c r="H11426" s="6" t="n">
        <f aca="false">Sens!G11426-Sens!H11422+Sens!H11424</f>
        <v>73.9395652383259</v>
      </c>
      <c r="I11426" s="6" t="n">
        <f aca="false">Sens!H11426-Sens!I11422+Sens!I11424</f>
        <v>73.9395652383259</v>
      </c>
      <c r="J11426" s="6" t="n">
        <f aca="false">Sens!I11426-Sens!J11422+Sens!J11424</f>
        <v>73.4395652383259</v>
      </c>
      <c r="K11426" s="6" t="n">
        <f aca="false">Sens!J11426-Sens!K11422+Sens!K11424</f>
        <v>73.4395652383259</v>
      </c>
    </row>
    <row r="11427" customFormat="false" ht="15" hidden="false" customHeight="false" outlineLevel="0" collapsed="false">
      <c r="A11427" s="1" t="s">
        <v>960</v>
      </c>
      <c r="B11427" s="0" t="s">
        <v>98</v>
      </c>
      <c r="E11427" s="6" t="n">
        <f aca="false">Sens!E11425-Sens!E11426</f>
        <v>30.707</v>
      </c>
      <c r="F11427" s="6" t="n">
        <f aca="false">Sens!F11425-Sens!F11426</f>
        <v>-6.60172457939876</v>
      </c>
      <c r="G11427" s="6" t="n">
        <f aca="false">Sens!G11425-Sens!G11426</f>
        <v>-25.8593501345181</v>
      </c>
      <c r="H11427" s="6" t="n">
        <f aca="false">Sens!H11425-Sens!H11426</f>
        <v>-23.9395652383259</v>
      </c>
      <c r="I11427" s="6" t="n">
        <f aca="false">Sens!I11425-Sens!I11426</f>
        <v>8.86799226047212</v>
      </c>
      <c r="J11427" s="6" t="n">
        <f aca="false">Sens!J11425-Sens!J11426</f>
        <v>103.933115044249</v>
      </c>
      <c r="K11427" s="6" t="n">
        <f aca="false">Sens!K11425-Sens!K11426</f>
        <v>226.288911558146</v>
      </c>
    </row>
    <row r="11428" customFormat="false" ht="15" hidden="false" customHeight="false" outlineLevel="0" collapsed="false">
      <c r="A11428" s="1" t="s">
        <v>961</v>
      </c>
      <c r="B11428" s="0" t="s">
        <v>75</v>
      </c>
      <c r="F11428" s="29" t="n">
        <f aca="false">px*(1+bb_g)^(Sens!F11292-base_fy-mid_yr)</f>
        <v>553.494156066711</v>
      </c>
      <c r="G11428" s="29" t="n">
        <f aca="false">px*(1+bb_g)^(Sens!G11292-base_fy-mid_yr)</f>
        <v>597.773688552047</v>
      </c>
      <c r="H11428" s="29" t="n">
        <f aca="false">px*(1+bb_g)^(Sens!H11292-base_fy-mid_yr)</f>
        <v>645.595583636211</v>
      </c>
      <c r="I11428" s="29" t="n">
        <f aca="false">px*(1+bb_g)^(Sens!I11292-base_fy-mid_yr)</f>
        <v>697.243230327108</v>
      </c>
      <c r="J11428" s="29" t="n">
        <f aca="false">px*(1+bb_g)^(Sens!J11292-base_fy-mid_yr)</f>
        <v>753.022688753277</v>
      </c>
      <c r="K11428" s="29" t="n">
        <f aca="false">px*(1+bb_g)^(Sens!K11292-base_fy-mid_yr)</f>
        <v>813.264503853539</v>
      </c>
    </row>
    <row r="11429" customFormat="false" ht="15" hidden="false" customHeight="false" outlineLevel="0" collapsed="false">
      <c r="A11429" s="1" t="s">
        <v>962</v>
      </c>
      <c r="B11429" s="1" t="s">
        <v>81</v>
      </c>
      <c r="E11429" s="14" t="n">
        <f aca="false">sh_out26</f>
        <v>7.427</v>
      </c>
      <c r="F11429" s="14" t="n">
        <f aca="false">Sens!E11429+sh_iss-Sens!F11423/Sens!F11428</f>
        <v>7.472</v>
      </c>
      <c r="G11429" s="14" t="n">
        <f aca="false">Sens!F11429+sh_iss-Sens!G11423/Sens!G11428</f>
        <v>7.517</v>
      </c>
      <c r="H11429" s="14" t="n">
        <f aca="false">Sens!G11429+sh_iss-Sens!H11423/Sens!H11428</f>
        <v>7.562</v>
      </c>
      <c r="I11429" s="14" t="n">
        <f aca="false">Sens!H11429+sh_iss-Sens!I11423/Sens!I11428</f>
        <v>7.57505849231472</v>
      </c>
      <c r="J11429" s="14" t="n">
        <f aca="false">Sens!I11429+sh_iss-Sens!J11423/Sens!J11428</f>
        <v>7.59048302223576</v>
      </c>
      <c r="K11429" s="14" t="n">
        <f aca="false">Sens!J11429+sh_iss-Sens!K11423/Sens!K11428</f>
        <v>7.60809832771821</v>
      </c>
    </row>
    <row r="11430" customFormat="false" ht="15" hidden="false" customHeight="false" outlineLevel="0" collapsed="false">
      <c r="A11430" s="1" t="s">
        <v>963</v>
      </c>
      <c r="B11430" s="1" t="s">
        <v>81</v>
      </c>
      <c r="E11430" s="14" t="n">
        <f aca="false">sh_dil26</f>
        <v>7.453</v>
      </c>
      <c r="F11430" s="14" t="n">
        <f aca="false">(Sens!E11429+Sens!F11429)/2+dil_gap</f>
        <v>7.4735</v>
      </c>
      <c r="G11430" s="14" t="n">
        <f aca="false">(Sens!F11429+Sens!G11429)/2+dil_gap</f>
        <v>7.5185</v>
      </c>
      <c r="H11430" s="14" t="n">
        <f aca="false">(Sens!G11429+Sens!H11429)/2+dil_gap</f>
        <v>7.5635</v>
      </c>
      <c r="I11430" s="14" t="n">
        <f aca="false">(Sens!H11429+Sens!I11429)/2+dil_gap</f>
        <v>7.59252924615736</v>
      </c>
      <c r="J11430" s="14" t="n">
        <f aca="false">(Sens!I11429+Sens!J11429)/2+dil_gap</f>
        <v>7.60677075727524</v>
      </c>
      <c r="K11430" s="14" t="n">
        <f aca="false">(Sens!J11429+Sens!K11429)/2+dil_gap</f>
        <v>7.62329067497699</v>
      </c>
    </row>
    <row r="11431" customFormat="false" ht="17.15" hidden="false" customHeight="false" outlineLevel="0" collapsed="false">
      <c r="A11431" s="1" t="s">
        <v>964</v>
      </c>
      <c r="B11431" s="0" t="s">
        <v>98</v>
      </c>
      <c r="C11431" s="6" t="n">
        <f aca="false">SUM(Sens!F11421:J11421)</f>
        <v>117.768115044249</v>
      </c>
    </row>
    <row r="11432" customFormat="false" ht="15" hidden="false" customHeight="false" outlineLevel="0" collapsed="false">
      <c r="A11432" s="23" t="s">
        <v>935</v>
      </c>
      <c r="B11432" s="30" t="s">
        <v>98</v>
      </c>
      <c r="C11432" s="24" t="n">
        <f aca="false">Sens!$C$11431-(Sens!F11421+Sens!G11421+Sens!H11421+Sens!I11421+Sens!J11421)</f>
        <v>0</v>
      </c>
      <c r="D11432" s="30"/>
      <c r="E11432" s="30"/>
      <c r="F11432" s="30"/>
      <c r="G11432" s="30"/>
      <c r="H11432" s="30"/>
      <c r="I11432" s="30"/>
      <c r="J11432" s="30"/>
      <c r="K11432" s="30"/>
    </row>
    <row r="11433" customFormat="false" ht="17.15" hidden="false" customHeight="false" outlineLevel="0" collapsed="false">
      <c r="A11433" s="1" t="s">
        <v>929</v>
      </c>
      <c r="B11433" s="1" t="s">
        <v>965</v>
      </c>
      <c r="C11433" s="32" t="str">
        <f aca="false">IF(SUM(Sens!F11424:J11424)&gt;0.05,"需要舉債 "&amp;TEXT(SUM(Sens!F11424:J11424),"0.0")&amp;" 十億美元","不需舉債")&amp;"；"&amp;IF(SUM(Sens!F11423:J11423)&lt;COUNT(Sens!F11423:J11423)*bb_target-0.05,"回購較每年 "&amp;TEXT(bb_target,"0.0")&amp;" 的目標少 "&amp;TEXT(COUNT(Sens!F11423:J11423)*bb_target-SUM(Sens!F11423:J11423),"0.0")&amp;" 十億美元（"&amp;TEXT(COUNTIF(Sens!F11423:J11423,"&lt;"&amp;(bb_target-0.05)),"0")&amp;" 年減少）","回購不減")</f>
        <v>需要舉債 39.1 十億美元；回購較每年 22.3 的目標少 66.8 十億美元（3 年減少）</v>
      </c>
    </row>
    <row r="11434" customFormat="false" ht="17.15" hidden="false" customHeight="false" outlineLevel="0" collapsed="false">
      <c r="A11434" s="3" t="s">
        <v>1533</v>
      </c>
    </row>
    <row r="11435" customFormat="false" ht="15" hidden="false" customHeight="false" outlineLevel="0" collapsed="false">
      <c r="A11435" s="4" t="s">
        <v>43</v>
      </c>
      <c r="B11435" s="4" t="s">
        <v>65</v>
      </c>
      <c r="C11435" s="20" t="s">
        <v>788</v>
      </c>
      <c r="D11435" s="20" t="s">
        <v>789</v>
      </c>
      <c r="E11435" s="20" t="s">
        <v>790</v>
      </c>
      <c r="F11435" s="20" t="s">
        <v>791</v>
      </c>
      <c r="G11435" s="20" t="s">
        <v>792</v>
      </c>
      <c r="H11435" s="20" t="s">
        <v>793</v>
      </c>
      <c r="I11435" s="20" t="s">
        <v>794</v>
      </c>
      <c r="J11435" s="20" t="s">
        <v>795</v>
      </c>
      <c r="K11435" s="20" t="s">
        <v>796</v>
      </c>
      <c r="L11435" s="4" t="s">
        <v>47</v>
      </c>
    </row>
    <row r="11436" customFormat="false" ht="15" hidden="false" customHeight="false" outlineLevel="0" collapsed="false">
      <c r="A11436" s="1" t="s">
        <v>1042</v>
      </c>
      <c r="B11436" s="1" t="s">
        <v>235</v>
      </c>
      <c r="F11436" s="36" t="n">
        <f aca="false">Sens!F11292-base_fy-mid_yr</f>
        <v>0.5</v>
      </c>
      <c r="G11436" s="36" t="n">
        <f aca="false">Sens!G11292-base_fy-mid_yr</f>
        <v>1.5</v>
      </c>
      <c r="H11436" s="36" t="n">
        <f aca="false">Sens!H11292-base_fy-mid_yr</f>
        <v>2.5</v>
      </c>
      <c r="I11436" s="36" t="n">
        <f aca="false">Sens!I11292-base_fy-mid_yr</f>
        <v>3.5</v>
      </c>
      <c r="J11436" s="36" t="n">
        <f aca="false">Sens!J11292-base_fy-mid_yr</f>
        <v>4.5</v>
      </c>
      <c r="K11436" s="36" t="n">
        <f aca="false">Sens!K11292-base_fy-mid_yr</f>
        <v>5.5</v>
      </c>
    </row>
    <row r="11437" customFormat="false" ht="15" hidden="false" customHeight="false" outlineLevel="0" collapsed="false">
      <c r="A11437" s="1" t="s">
        <v>1043</v>
      </c>
      <c r="B11437" s="0" t="s">
        <v>185</v>
      </c>
      <c r="F11437" s="14" t="n">
        <f aca="false">1/(1+wacc)^Sens!F11436</f>
        <v>0.952193373608246</v>
      </c>
      <c r="G11437" s="14" t="n">
        <f aca="false">1/(1+wacc)^Sens!G11436</f>
        <v>0.863327280626589</v>
      </c>
      <c r="H11437" s="14" t="n">
        <f aca="false">1/(1+wacc)^Sens!H11436</f>
        <v>0.782754862754115</v>
      </c>
      <c r="I11437" s="14" t="n">
        <f aca="false">1/(1+wacc)^Sens!I11436</f>
        <v>0.709702089711011</v>
      </c>
      <c r="J11437" s="14" t="n">
        <f aca="false">1/(1+wacc)^Sens!J11436</f>
        <v>0.643467169744551</v>
      </c>
      <c r="K11437" s="14" t="n">
        <f aca="false">1/(1+wacc)^Sens!K11436</f>
        <v>0.583413807767797</v>
      </c>
    </row>
    <row r="11438" customFormat="false" ht="17.15" hidden="false" customHeight="false" outlineLevel="0" collapsed="false">
      <c r="A11438" s="1" t="s">
        <v>1044</v>
      </c>
      <c r="B11438" s="0" t="s">
        <v>98</v>
      </c>
      <c r="F11438" s="6" t="n">
        <f aca="false">Sens!F11412-Sens!F11410-Sens!F11415+Sens!F11396*(1-tax_f)</f>
        <v>-2.49893589794183</v>
      </c>
      <c r="G11438" s="6" t="n">
        <f aca="false">Sens!G11412-Sens!G11410-Sens!G11415+Sens!G11396*(1-tax_f)</f>
        <v>29.6127847381595</v>
      </c>
      <c r="H11438" s="6" t="n">
        <f aca="false">Sens!H11412-Sens!H11410-Sens!H11415+Sens!H11396*(1-tax_f)</f>
        <v>65.510605074034</v>
      </c>
      <c r="I11438" s="6" t="n">
        <f aca="false">Sens!I11412-Sens!I11410-Sens!I11415+Sens!I11396*(1-tax_f)</f>
        <v>132.531196209025</v>
      </c>
      <c r="J11438" s="6" t="n">
        <f aca="false">Sens!J11412-Sens!J11410-Sens!J11415+Sens!J11396*(1-tax_f)</f>
        <v>205.206875895324</v>
      </c>
      <c r="K11438" s="6" t="n">
        <f aca="false">Sens!K11412-Sens!K11410-Sens!K11415+Sens!K11396*(1-tax_f)</f>
        <v>239.786962567092</v>
      </c>
      <c r="L11438" s="1" t="s">
        <v>1045</v>
      </c>
    </row>
    <row r="11439" customFormat="false" ht="15" hidden="false" customHeight="false" outlineLevel="0" collapsed="false">
      <c r="A11439" s="1" t="s">
        <v>1046</v>
      </c>
      <c r="B11439" s="0" t="s">
        <v>98</v>
      </c>
      <c r="F11439" s="6" t="n">
        <f aca="false">Sens!F11438*Sens!F11437</f>
        <v>-2.37947020309198</v>
      </c>
      <c r="G11439" s="6" t="n">
        <f aca="false">Sens!G11438*Sens!G11437</f>
        <v>25.5655249197758</v>
      </c>
      <c r="H11439" s="6" t="n">
        <f aca="false">Sens!H11438*Sens!H11437</f>
        <v>51.2787446836645</v>
      </c>
      <c r="I11439" s="6" t="n">
        <f aca="false">Sens!I11438*Sens!I11437</f>
        <v>94.0576669014452</v>
      </c>
      <c r="J11439" s="6" t="n">
        <f aca="false">Sens!J11438*Sens!J11437</f>
        <v>132.043887644485</v>
      </c>
      <c r="K11439" s="6" t="n">
        <f aca="false">Sens!K11438*Sens!K11437</f>
        <v>139.895024884341</v>
      </c>
    </row>
    <row r="11440" customFormat="false" ht="17.15" hidden="false" customHeight="false" outlineLevel="0" collapsed="false">
      <c r="A11440" s="1" t="s">
        <v>1047</v>
      </c>
      <c r="B11440" s="0" t="s">
        <v>98</v>
      </c>
      <c r="C11440" s="6" t="n">
        <f aca="false">SUM(Sens!F11439:K11439)</f>
        <v>440.46137883062</v>
      </c>
    </row>
    <row r="11441" customFormat="false" ht="17.15" hidden="false" customHeight="false" outlineLevel="0" collapsed="false">
      <c r="A11441" s="1" t="s">
        <v>1048</v>
      </c>
      <c r="B11441" s="0" t="s">
        <v>98</v>
      </c>
      <c r="C11441" s="6" t="n">
        <f aca="false">Sens!K11382*(1+g_tv)*(1-tax_f)</f>
        <v>247.570080341136</v>
      </c>
    </row>
    <row r="11442" customFormat="false" ht="17.15" hidden="false" customHeight="false" outlineLevel="0" collapsed="false">
      <c r="A11442" s="1" t="s">
        <v>1049</v>
      </c>
      <c r="B11442" s="0" t="s">
        <v>98</v>
      </c>
      <c r="C11442" s="6" t="n">
        <f aca="false">Sens!$C$11441*(1-g_tv/(wacc+ronic_prem))</f>
        <v>175.416349805395</v>
      </c>
    </row>
    <row r="11443" customFormat="false" ht="17.15" hidden="false" customHeight="false" outlineLevel="0" collapsed="false">
      <c r="A11443" s="1" t="s">
        <v>1050</v>
      </c>
      <c r="B11443" s="0" t="s">
        <v>98</v>
      </c>
      <c r="C11443" s="6" t="n">
        <f aca="false">Sens!$C$11442/(wacc-g_tv)</f>
        <v>2405.12435119135</v>
      </c>
    </row>
    <row r="11444" customFormat="false" ht="15" hidden="false" customHeight="false" outlineLevel="0" collapsed="false">
      <c r="A11444" s="1" t="s">
        <v>1051</v>
      </c>
      <c r="B11444" s="0" t="s">
        <v>98</v>
      </c>
      <c r="C11444" s="6" t="n">
        <f aca="false">Sens!$C$11443/(1+wacc)^(Sens!K11436+mid_yr)</f>
        <v>1336.10132211372</v>
      </c>
    </row>
    <row r="11445" customFormat="false" ht="17.15" hidden="false" customHeight="false" outlineLevel="0" collapsed="false">
      <c r="A11445" s="0" t="s">
        <v>972</v>
      </c>
      <c r="B11445" s="0" t="s">
        <v>98</v>
      </c>
      <c r="C11445" s="6" t="n">
        <f aca="false">Sens!$C$11440+Sens!$C$11444</f>
        <v>1776.56270094434</v>
      </c>
    </row>
    <row r="11446" customFormat="false" ht="15" hidden="false" customHeight="false" outlineLevel="0" collapsed="false">
      <c r="A11446" s="1" t="s">
        <v>973</v>
      </c>
      <c r="B11446" s="0" t="s">
        <v>129</v>
      </c>
      <c r="C11446" s="7" t="n">
        <f aca="false">Sens!$C$11444/Sens!$C$11445</f>
        <v>0.752071019730128</v>
      </c>
    </row>
    <row r="11447" customFormat="false" ht="17.15" hidden="false" customHeight="false" outlineLevel="0" collapsed="false">
      <c r="A11447" s="1" t="s">
        <v>1052</v>
      </c>
      <c r="B11447" s="0" t="s">
        <v>98</v>
      </c>
      <c r="C11447" s="6" t="n">
        <f aca="false">Sens!$C$11445+Sens!E11427-Sens!E11416+oai_v</f>
        <v>1911.07570094434</v>
      </c>
    </row>
    <row r="11448" customFormat="false" ht="17.15" hidden="false" customHeight="false" outlineLevel="0" collapsed="false">
      <c r="A11448" s="0" t="s">
        <v>980</v>
      </c>
      <c r="B11448" s="0" t="s">
        <v>75</v>
      </c>
      <c r="C11448" s="5" t="n">
        <f aca="false">Sens!$C$11447/sh_dil26</f>
        <v>256.4169731577</v>
      </c>
    </row>
    <row r="11449" customFormat="false" ht="15" hidden="false" customHeight="false" outlineLevel="0" collapsed="false">
      <c r="A11449" s="1" t="s">
        <v>1053</v>
      </c>
      <c r="B11449" s="0" t="s">
        <v>75</v>
      </c>
      <c r="C11449" s="8" t="n">
        <f aca="false">dps_27+Sens!G11419*roll_div_q/q_per_yr</f>
        <v>4.8895</v>
      </c>
    </row>
    <row r="11450" customFormat="false" ht="17.15" hidden="false" customHeight="false" outlineLevel="0" collapsed="false">
      <c r="A11450" s="0" t="s">
        <v>1054</v>
      </c>
      <c r="B11450" s="0" t="s">
        <v>75</v>
      </c>
      <c r="C11450" s="5" t="n">
        <f aca="false">Sens!$C$11448*(1+wacc)^t_roll-Sens!$C$11449</f>
        <v>287.1010689758</v>
      </c>
    </row>
    <row r="11451" customFormat="false" ht="17.15" hidden="false" customHeight="false" outlineLevel="0" collapsed="false">
      <c r="A11451" s="1" t="s">
        <v>1055</v>
      </c>
      <c r="B11451" s="0" t="s">
        <v>129</v>
      </c>
      <c r="F11451" s="7" t="n">
        <f aca="false">Sens!F11408/(Sens!F11353-Sens!F11309)</f>
        <v>0.0686864325746334</v>
      </c>
      <c r="G11451" s="7" t="n">
        <f aca="false">Sens!G11408/(Sens!G11353-Sens!G11309)</f>
        <v>0.066267001590801</v>
      </c>
      <c r="H11451" s="7" t="n">
        <f aca="false">Sens!H11408/(Sens!H11353-Sens!H11309)</f>
        <v>0.0650366246750144</v>
      </c>
      <c r="I11451" s="7" t="n">
        <f aca="false">Sens!I11408/(Sens!I11353-Sens!I11309)</f>
        <v>0.0648573271390164</v>
      </c>
      <c r="J11451" s="7" t="n">
        <f aca="false">Sens!J11408/(Sens!J11353-Sens!J11309)</f>
        <v>0.0655189837669657</v>
      </c>
      <c r="K11451" s="7" t="n">
        <f aca="false">Sens!K11408/(Sens!K11353-Sens!K11309)</f>
        <v>0.0667878921367872</v>
      </c>
    </row>
    <row r="11452" customFormat="false" ht="17.15" hidden="false" customHeight="false" outlineLevel="0" collapsed="false">
      <c r="A11452" s="0" t="s">
        <v>1056</v>
      </c>
      <c r="B11452" s="0" t="s">
        <v>98</v>
      </c>
      <c r="F11452" s="6" t="n">
        <f aca="false">Sens!F11338*(al_m365+Sens!F11451+sbc_r)</f>
        <v>82.8871280343675</v>
      </c>
      <c r="G11452" s="6" t="n">
        <f aca="false">Sens!G11338*(al_m365+Sens!G11451+sbc_r)</f>
        <v>93.2646494841949</v>
      </c>
      <c r="H11452" s="6" t="n">
        <f aca="false">Sens!H11338*(al_m365+Sens!H11451+sbc_r)</f>
        <v>103.801656157254</v>
      </c>
      <c r="I11452" s="6" t="n">
        <f aca="false">Sens!I11338*(al_m365+Sens!I11451+sbc_r)</f>
        <v>113.821873816133</v>
      </c>
      <c r="J11452" s="6" t="n">
        <f aca="false">Sens!J11338*(al_m365+Sens!J11451+sbc_r)</f>
        <v>123.136196807334</v>
      </c>
      <c r="K11452" s="6" t="n">
        <f aca="false">Sens!K11338*(al_m365+Sens!K11451+sbc_r)</f>
        <v>132.051675801964</v>
      </c>
      <c r="L11452" s="11" t="s">
        <v>1057</v>
      </c>
    </row>
    <row r="11453" customFormat="false" ht="17.15" hidden="false" customHeight="false" outlineLevel="0" collapsed="false">
      <c r="A11453" s="0" t="s">
        <v>1058</v>
      </c>
      <c r="B11453" s="0" t="s">
        <v>98</v>
      </c>
      <c r="F11453" s="6" t="n">
        <f aca="false">Sens!F11339*(al_lic+Sens!F11451+sbc_r)</f>
        <v>33.4484001235218</v>
      </c>
      <c r="G11453" s="6" t="n">
        <f aca="false">Sens!G11339*(al_lic+Sens!G11451+sbc_r)</f>
        <v>34.7662136749183</v>
      </c>
      <c r="H11453" s="6" t="n">
        <f aca="false">Sens!H11339*(al_lic+Sens!H11451+sbc_r)</f>
        <v>35.9922067034497</v>
      </c>
      <c r="I11453" s="6" t="n">
        <f aca="false">Sens!I11339*(al_lic+Sens!I11451+sbc_r)</f>
        <v>37.1063543598183</v>
      </c>
      <c r="J11453" s="6" t="n">
        <f aca="false">Sens!J11339*(al_lic+Sens!J11451+sbc_r)</f>
        <v>38.0853056964387</v>
      </c>
      <c r="K11453" s="6" t="n">
        <f aca="false">Sens!K11339*(al_lic+Sens!K11451+sbc_r)</f>
        <v>38.9048066370724</v>
      </c>
    </row>
    <row r="11454" customFormat="false" ht="17.15" hidden="false" customHeight="false" outlineLevel="0" collapsed="false">
      <c r="A11454" s="0" t="s">
        <v>1059</v>
      </c>
      <c r="B11454" s="0" t="s">
        <v>98</v>
      </c>
      <c r="F11454" s="6" t="n">
        <f aca="false">Sens!F11341*(al_ind+Sens!F11451+sbc_r)</f>
        <v>9.07857451914073</v>
      </c>
      <c r="G11454" s="6" t="n">
        <f aca="false">Sens!G11341*(al_ind+Sens!G11451+sbc_r)</f>
        <v>9.86487802721884</v>
      </c>
      <c r="H11454" s="6" t="n">
        <f aca="false">Sens!H11341*(al_ind+Sens!H11451+sbc_r)</f>
        <v>10.693809720013</v>
      </c>
      <c r="I11454" s="6" t="n">
        <f aca="false">Sens!I11341*(al_ind+Sens!I11451+sbc_r)</f>
        <v>11.5608645999226</v>
      </c>
      <c r="J11454" s="6" t="n">
        <f aca="false">Sens!J11341*(al_ind+Sens!J11451+sbc_r)</f>
        <v>12.4574161941375</v>
      </c>
      <c r="K11454" s="6" t="n">
        <f aca="false">Sens!K11341*(al_ind+Sens!K11451+sbc_r)</f>
        <v>13.3714153876622</v>
      </c>
    </row>
    <row r="11455" customFormat="false" ht="17.15" hidden="false" customHeight="false" outlineLevel="0" collapsed="false">
      <c r="A11455" s="0" t="s">
        <v>1060</v>
      </c>
      <c r="B11455" s="0" t="s">
        <v>98</v>
      </c>
      <c r="F11455" s="6" t="n">
        <f aca="false">Sens!F11343*(al_fro+Sens!F11451+sbc_r)</f>
        <v>3.57335880380168</v>
      </c>
      <c r="G11455" s="6" t="n">
        <f aca="false">Sens!G11343*(al_fro+Sens!G11451+sbc_r)</f>
        <v>3.78752993435501</v>
      </c>
      <c r="H11455" s="6" t="n">
        <f aca="false">Sens!H11343*(al_fro+Sens!H11451+sbc_r)</f>
        <v>4.02979352544868</v>
      </c>
      <c r="I11455" s="6" t="n">
        <f aca="false">Sens!I11343*(al_fro+Sens!I11451+sbc_r)</f>
        <v>4.30248328262388</v>
      </c>
      <c r="J11455" s="6" t="n">
        <f aca="false">Sens!J11343*(al_fro+Sens!J11451+sbc_r)</f>
        <v>4.6072312462081</v>
      </c>
      <c r="K11455" s="6" t="n">
        <f aca="false">Sens!K11343*(al_fro+Sens!K11451+sbc_r)</f>
        <v>4.94526327289735</v>
      </c>
    </row>
    <row r="11456" customFormat="false" ht="17.15" hidden="false" customHeight="false" outlineLevel="0" collapsed="false">
      <c r="A11456" s="0" t="s">
        <v>1061</v>
      </c>
      <c r="B11456" s="0" t="s">
        <v>98</v>
      </c>
      <c r="F11456" s="6" t="n">
        <f aca="false">Sens!F11346*(al_srch+Sens!F11451+sbc_r)</f>
        <v>11.2121706988551</v>
      </c>
      <c r="G11456" s="6" t="n">
        <f aca="false">Sens!G11346*(al_srch+Sens!G11451+sbc_r)</f>
        <v>12.298220751086</v>
      </c>
      <c r="H11456" s="6" t="n">
        <f aca="false">Sens!H11346*(al_srch+Sens!H11451+sbc_r)</f>
        <v>13.4264661389574</v>
      </c>
      <c r="I11456" s="6" t="n">
        <f aca="false">Sens!I11346*(al_srch+Sens!I11451+sbc_r)</f>
        <v>14.5842947685169</v>
      </c>
      <c r="J11456" s="6" t="n">
        <f aca="false">Sens!J11346*(al_srch+Sens!J11451+sbc_r)</f>
        <v>15.7529827260804</v>
      </c>
      <c r="K11456" s="6" t="n">
        <f aca="false">Sens!K11346*(al_srch+Sens!K11451+sbc_r)</f>
        <v>16.908777257054</v>
      </c>
    </row>
    <row r="11457" customFormat="false" ht="17.15" hidden="false" customHeight="false" outlineLevel="0" collapsed="false">
      <c r="A11457" s="0" t="s">
        <v>1062</v>
      </c>
      <c r="B11457" s="0" t="s">
        <v>98</v>
      </c>
      <c r="F11457" s="6" t="n">
        <f aca="false">Sens!F11315-Sens!F11316+Sens!F11396</f>
        <v>49.5266695044068</v>
      </c>
      <c r="G11457" s="6" t="n">
        <f aca="false">Sens!G11315-Sens!G11316+Sens!G11396</f>
        <v>79.4411235199868</v>
      </c>
      <c r="H11457" s="6" t="n">
        <f aca="false">Sens!H11315-Sens!H11316+Sens!H11396</f>
        <v>106.316955995322</v>
      </c>
      <c r="I11457" s="6" t="n">
        <f aca="false">Sens!I11315-Sens!I11316+Sens!I11396</f>
        <v>136.88812421941</v>
      </c>
      <c r="J11457" s="6" t="n">
        <f aca="false">Sens!J11315-Sens!J11316+Sens!J11396</f>
        <v>158.450869188803</v>
      </c>
      <c r="K11457" s="6" t="n">
        <f aca="false">Sens!K11315-Sens!K11316+Sens!K11396</f>
        <v>172.061834186355</v>
      </c>
    </row>
    <row r="11458" customFormat="false" ht="17.15" hidden="false" customHeight="false" outlineLevel="0" collapsed="false">
      <c r="A11458" s="0" t="s">
        <v>1063</v>
      </c>
      <c r="B11458" s="0" t="s">
        <v>98</v>
      </c>
      <c r="F11458" s="6" t="n">
        <f aca="false">Sens!F11375+Sens!F11396+Sens!F11326+Sens!F11451*(Sens!F11345-Sens!F11309)+sbc_r*Sens!F11345</f>
        <v>233.877765386383</v>
      </c>
      <c r="G11458" s="6" t="n">
        <f aca="false">Sens!G11375+Sens!G11396+Sens!G11326+Sens!G11451*(Sens!G11345-Sens!G11309)+sbc_r*Sens!G11345</f>
        <v>287.876527689243</v>
      </c>
      <c r="H11458" s="6" t="n">
        <f aca="false">Sens!H11375+Sens!H11396+Sens!H11326+Sens!H11451*(Sens!H11345-Sens!H11309)+sbc_r*Sens!H11345</f>
        <v>339.108536118095</v>
      </c>
      <c r="I11458" s="6" t="n">
        <f aca="false">Sens!I11375+Sens!I11396+Sens!I11326+Sens!I11451*(Sens!I11345-Sens!I11309)+sbc_r*Sens!I11345</f>
        <v>393.456583246533</v>
      </c>
      <c r="J11458" s="6" t="n">
        <f aca="false">Sens!J11375+Sens!J11396+Sens!J11326+Sens!J11451*(Sens!J11345-Sens!J11309)+sbc_r*Sens!J11345</f>
        <v>436.959112840308</v>
      </c>
      <c r="K11458" s="6" t="n">
        <f aca="false">Sens!K11375+Sens!K11396+Sens!K11326+Sens!K11451*(Sens!K11345-Sens!K11309)+sbc_r*Sens!K11345</f>
        <v>470.279423354432</v>
      </c>
    </row>
    <row r="11459" customFormat="false" ht="17.15" hidden="false" customHeight="false" outlineLevel="0" collapsed="false">
      <c r="A11459" s="0" t="s">
        <v>1064</v>
      </c>
      <c r="B11459" s="0" t="s">
        <v>98</v>
      </c>
      <c r="F11459" s="6" t="n">
        <f aca="false">Sens!F11458-Sens!F11452-Sens!F11453-Sens!F11454-Sens!F11455-Sens!F11457</f>
        <v>55.3636344011446</v>
      </c>
      <c r="G11459" s="6" t="n">
        <f aca="false">Sens!G11458-Sens!G11452-Sens!G11453-Sens!G11454-Sens!G11455-Sens!G11457</f>
        <v>66.7521330485696</v>
      </c>
      <c r="H11459" s="6" t="n">
        <f aca="false">Sens!H11458-Sens!H11452-Sens!H11453-Sens!H11454-Sens!H11455-Sens!H11457</f>
        <v>78.2741140166068</v>
      </c>
      <c r="I11459" s="6" t="n">
        <f aca="false">Sens!I11458-Sens!I11452-Sens!I11453-Sens!I11454-Sens!I11455-Sens!I11457</f>
        <v>89.7768829686245</v>
      </c>
      <c r="J11459" s="6" t="n">
        <f aca="false">Sens!J11458-Sens!J11452-Sens!J11453-Sens!J11454-Sens!J11455-Sens!J11457</f>
        <v>100.222093707386</v>
      </c>
      <c r="K11459" s="6" t="n">
        <f aca="false">Sens!K11458-Sens!K11452-Sens!K11453-Sens!K11454-Sens!K11455-Sens!K11457</f>
        <v>108.944428068481</v>
      </c>
    </row>
    <row r="11460" customFormat="false" ht="17.15" hidden="false" customHeight="false" outlineLevel="0" collapsed="false">
      <c r="A11460" s="0" t="s">
        <v>1065</v>
      </c>
      <c r="B11460" s="0" t="s">
        <v>98</v>
      </c>
      <c r="F11460" s="6" t="n">
        <f aca="false">Sens!F11377+Sens!F11451*Sens!F11352+sbc_r*Sens!F11352</f>
        <v>24.9021234537697</v>
      </c>
      <c r="G11460" s="6" t="n">
        <f aca="false">Sens!G11377+Sens!G11451*Sens!G11352+sbc_r*Sens!G11352</f>
        <v>25.498073418805</v>
      </c>
      <c r="H11460" s="6" t="n">
        <f aca="false">Sens!H11377+Sens!H11451*Sens!H11352+sbc_r*Sens!H11352</f>
        <v>26.3436671467163</v>
      </c>
      <c r="I11460" s="6" t="n">
        <f aca="false">Sens!I11377+Sens!I11451*Sens!I11352+sbc_r*Sens!I11352</f>
        <v>27.408449219433</v>
      </c>
      <c r="J11460" s="6" t="n">
        <f aca="false">Sens!J11377+Sens!J11451*Sens!J11352+sbc_r*Sens!J11352</f>
        <v>28.6623503712154</v>
      </c>
      <c r="K11460" s="6" t="n">
        <f aca="false">Sens!K11377+Sens!K11451*Sens!K11352+sbc_r*Sens!K11352</f>
        <v>30.0770688246607</v>
      </c>
    </row>
    <row r="11461" customFormat="false" ht="17.15" hidden="false" customHeight="false" outlineLevel="0" collapsed="false">
      <c r="A11461" s="0" t="s">
        <v>1066</v>
      </c>
      <c r="B11461" s="0" t="s">
        <v>98</v>
      </c>
      <c r="F11461" s="6" t="n">
        <f aca="false">(Sens!F11460-Sens!F11456)*Sens!F11348/(Sens!F11348+Sens!F11350)</f>
        <v>7.5046987620364</v>
      </c>
      <c r="G11461" s="6" t="n">
        <f aca="false">(Sens!G11460-Sens!G11456)*Sens!G11348/(Sens!G11348+Sens!G11350)</f>
        <v>7.10701269570811</v>
      </c>
      <c r="H11461" s="6" t="n">
        <f aca="false">(Sens!H11460-Sens!H11456)*Sens!H11348/(Sens!H11348+Sens!H11350)</f>
        <v>6.86088039173575</v>
      </c>
      <c r="I11461" s="6" t="n">
        <f aca="false">(Sens!I11460-Sens!I11456)*Sens!I11348/(Sens!I11348+Sens!I11350)</f>
        <v>6.74982919692709</v>
      </c>
      <c r="J11461" s="6" t="n">
        <f aca="false">(Sens!J11460-Sens!J11456)*Sens!J11348/(Sens!J11348+Sens!J11350)</f>
        <v>6.76395477608698</v>
      </c>
      <c r="K11461" s="6" t="n">
        <f aca="false">(Sens!K11460-Sens!K11456)*Sens!K11348/(Sens!K11348+Sens!K11350)</f>
        <v>6.89961980246075</v>
      </c>
    </row>
    <row r="11462" customFormat="false" ht="17.15" hidden="false" customHeight="false" outlineLevel="0" collapsed="false">
      <c r="A11462" s="0" t="s">
        <v>1067</v>
      </c>
      <c r="B11462" s="0" t="s">
        <v>98</v>
      </c>
      <c r="F11462" s="6" t="n">
        <f aca="false">Sens!F11460-Sens!F11456-Sens!F11461</f>
        <v>6.18525399287816</v>
      </c>
      <c r="G11462" s="6" t="n">
        <f aca="false">Sens!G11460-Sens!G11456-Sens!G11461</f>
        <v>6.09283997201095</v>
      </c>
      <c r="H11462" s="6" t="n">
        <f aca="false">Sens!H11460-Sens!H11456-Sens!H11461</f>
        <v>6.05632061602311</v>
      </c>
      <c r="I11462" s="6" t="n">
        <f aca="false">Sens!I11460-Sens!I11456-Sens!I11461</f>
        <v>6.07432525398901</v>
      </c>
      <c r="J11462" s="6" t="n">
        <f aca="false">Sens!J11460-Sens!J11456-Sens!J11461</f>
        <v>6.14541286904802</v>
      </c>
      <c r="K11462" s="6" t="n">
        <f aca="false">Sens!K11460-Sens!K11456-Sens!K11461</f>
        <v>6.26867176514599</v>
      </c>
    </row>
    <row r="11463" customFormat="false" ht="17.15" hidden="false" customHeight="false" outlineLevel="0" collapsed="false">
      <c r="A11463" s="0" t="s">
        <v>1068</v>
      </c>
      <c r="B11463" s="0" t="s">
        <v>98</v>
      </c>
      <c r="F11463" s="6" t="n">
        <f aca="false">Sens!F11457-tax_f*(Sens!F11457-Sens!F11326)-Sens!F11323</f>
        <v>-122.198710075738</v>
      </c>
      <c r="G11463" s="6" t="n">
        <f aca="false">Sens!G11457-tax_f*(Sens!G11457-Sens!G11326)-Sens!G11323</f>
        <v>-107.914935015143</v>
      </c>
      <c r="H11463" s="6" t="n">
        <f aca="false">Sens!H11457-tax_f*(Sens!H11457-Sens!H11326)-Sens!H11323</f>
        <v>-85.4732579155142</v>
      </c>
      <c r="I11463" s="6" t="n">
        <f aca="false">Sens!I11457-tax_f*(Sens!I11457-Sens!I11326)-Sens!I11323</f>
        <v>-31.7937617822731</v>
      </c>
      <c r="J11463" s="6" t="n">
        <f aca="false">Sens!J11457-tax_f*(Sens!J11457-Sens!J11326)-Sens!J11323</f>
        <v>28.0899608174854</v>
      </c>
      <c r="K11463" s="6" t="n">
        <f aca="false">Sens!K11457-tax_f*(Sens!K11457-Sens!K11326)-Sens!K11323</f>
        <v>50.6245610680426</v>
      </c>
    </row>
    <row r="11464" customFormat="false" ht="17.15" hidden="false" customHeight="false" outlineLevel="0" collapsed="false">
      <c r="A11464" s="0" t="s">
        <v>1069</v>
      </c>
      <c r="B11464" s="0" t="s">
        <v>98</v>
      </c>
      <c r="F11464" s="6" t="n">
        <f aca="false">Sens!F11463*Sens!F11437</f>
        <v>-116.356801997593</v>
      </c>
      <c r="G11464" s="6" t="n">
        <f aca="false">Sens!G11463*Sens!G11437</f>
        <v>-93.1659073856182</v>
      </c>
      <c r="H11464" s="6" t="n">
        <f aca="false">Sens!H11463*Sens!H11437</f>
        <v>-66.9046082688054</v>
      </c>
      <c r="I11464" s="6" t="n">
        <f aca="false">Sens!I11463*Sens!I11437</f>
        <v>-22.5640991766533</v>
      </c>
      <c r="J11464" s="6" t="n">
        <f aca="false">Sens!J11463*Sens!J11437</f>
        <v>18.0749675854626</v>
      </c>
      <c r="K11464" s="6" t="n">
        <f aca="false">Sens!K11463*Sens!K11437</f>
        <v>29.5350679392801</v>
      </c>
    </row>
    <row r="11465" customFormat="false" ht="17.15" hidden="false" customHeight="false" outlineLevel="0" collapsed="false">
      <c r="A11465" s="0" t="s">
        <v>1070</v>
      </c>
      <c r="B11465" s="0" t="s">
        <v>98</v>
      </c>
      <c r="C11465" s="6" t="n">
        <f aca="false">(Sens!K11457-Sens!K11326)*(1-tax_f)*(1+g_tv)*(1-g_tv/(wacc+ronic_prem))/(wacc-g_tv)/(1+wacc)^(Sens!K11436+mid_yr)</f>
        <v>144.03515353453</v>
      </c>
    </row>
    <row r="11466" customFormat="false" ht="17.15" hidden="false" customHeight="false" outlineLevel="0" collapsed="false">
      <c r="A11466" s="1" t="s">
        <v>1071</v>
      </c>
      <c r="B11466" s="0" t="s">
        <v>98</v>
      </c>
      <c r="C11466" s="6" t="n">
        <f aca="false">(SUM(Sens!F11464:K11464)+Sens!$C$11465)*(1+wacc)^t_roll</f>
        <v>-122.238733800648</v>
      </c>
      <c r="L11466" s="11" t="s">
        <v>1072</v>
      </c>
    </row>
    <row r="11467" customFormat="false" ht="17.15" hidden="false" customHeight="false" outlineLevel="0" collapsed="false">
      <c r="A11467" s="1" t="s">
        <v>1073</v>
      </c>
      <c r="B11467" s="0" t="s">
        <v>98</v>
      </c>
      <c r="C11467" s="6" t="n">
        <f aca="false">(w_ntm28*Sens!G11315+(1-w_ntm28)*Sens!H11315)*m_ai</f>
        <v>338.776008390068</v>
      </c>
    </row>
    <row r="11468" customFormat="false" ht="17.15" hidden="false" customHeight="false" outlineLevel="0" collapsed="false">
      <c r="A11468" s="1" t="s">
        <v>1074</v>
      </c>
      <c r="B11468" s="0" t="s">
        <v>98</v>
      </c>
      <c r="C11468" s="6" t="n">
        <f aca="false">(w_ntm28*Sens!G11459+(1-w_ntm28)*Sens!H11459)*m_cloud</f>
        <v>973.992795672153</v>
      </c>
    </row>
    <row r="11469" customFormat="false" ht="17.15" hidden="false" customHeight="false" outlineLevel="0" collapsed="false">
      <c r="A11469" s="1" t="s">
        <v>1075</v>
      </c>
      <c r="B11469" s="0" t="s">
        <v>98</v>
      </c>
      <c r="C11469" s="6" t="n">
        <f aca="false">(w_ntm28*Sens!G11452+(1-w_ntm28)*Sens!H11452)*m_sw</f>
        <v>1044.04824539957</v>
      </c>
    </row>
    <row r="11470" customFormat="false" ht="17.15" hidden="false" customHeight="false" outlineLevel="0" collapsed="false">
      <c r="A11470" s="1" t="s">
        <v>1076</v>
      </c>
      <c r="B11470" s="0" t="s">
        <v>98</v>
      </c>
      <c r="C11470" s="6" t="n">
        <f aca="false">(w_ntm28*Sens!G11453+(1-w_ntm28)*Sens!H11453)*m_sw</f>
        <v>379.755670745447</v>
      </c>
    </row>
    <row r="11471" customFormat="false" ht="17.15" hidden="false" customHeight="false" outlineLevel="0" collapsed="false">
      <c r="A11471" s="1" t="s">
        <v>1077</v>
      </c>
      <c r="B11471" s="0" t="s">
        <v>98</v>
      </c>
      <c r="C11471" s="6" t="n">
        <f aca="false">(w_ntm28*Sens!G11454+(1-w_ntm28)*Sens!H11454)*m_sw</f>
        <v>109.434903376969</v>
      </c>
    </row>
    <row r="11472" customFormat="false" ht="17.15" hidden="false" customHeight="false" outlineLevel="0" collapsed="false">
      <c r="A11472" s="1" t="s">
        <v>1078</v>
      </c>
      <c r="B11472" s="0" t="s">
        <v>98</v>
      </c>
      <c r="C11472" s="6" t="n">
        <f aca="false">(w_ntm28*Sens!G11455+(1-w_ntm28)*Sens!H11455)*m_sw</f>
        <v>41.7511882786773</v>
      </c>
    </row>
    <row r="11473" customFormat="false" ht="17.15" hidden="false" customHeight="false" outlineLevel="0" collapsed="false">
      <c r="A11473" s="1" t="s">
        <v>1079</v>
      </c>
      <c r="B11473" s="0" t="s">
        <v>98</v>
      </c>
      <c r="C11473" s="6" t="n">
        <f aca="false">(w_ntm28*Sens!G11456+(1-w_ntm28)*Sens!H11456)*m_ads</f>
        <v>115.359643719254</v>
      </c>
    </row>
    <row r="11474" customFormat="false" ht="17.15" hidden="false" customHeight="false" outlineLevel="0" collapsed="false">
      <c r="A11474" s="1" t="s">
        <v>1080</v>
      </c>
      <c r="B11474" s="0" t="s">
        <v>98</v>
      </c>
      <c r="C11474" s="6" t="n">
        <f aca="false">(w_ntm28*Sens!G11461+(1-w_ntm28)*Sens!H11461)*m_game</f>
        <v>88.7565818045957</v>
      </c>
    </row>
    <row r="11475" customFormat="false" ht="17.15" hidden="false" customHeight="false" outlineLevel="0" collapsed="false">
      <c r="A11475" s="1" t="s">
        <v>1081</v>
      </c>
      <c r="B11475" s="0" t="s">
        <v>98</v>
      </c>
      <c r="C11475" s="6" t="n">
        <f aca="false">(w_ntm28*Sens!G11462+(1-w_ntm28)*Sens!H11462)*m_pc</f>
        <v>87.9925578482176</v>
      </c>
    </row>
    <row r="11476" customFormat="false" ht="17.15" hidden="false" customHeight="false" outlineLevel="0" collapsed="false">
      <c r="A11476" s="1" t="s">
        <v>1082</v>
      </c>
      <c r="B11476" s="0" t="s">
        <v>98</v>
      </c>
      <c r="C11476" s="6" t="n">
        <f aca="false">Sens!$C$11466+Sens!$C$11468+Sens!$C$11469+Sens!$C$11470+Sens!$C$11471+Sens!$C$11472+Sens!$C$11473+Sens!$C$11474+Sens!$C$11475</f>
        <v>2718.85285304424</v>
      </c>
    </row>
    <row r="11477" customFormat="false" ht="17.15" hidden="false" customHeight="false" outlineLevel="0" collapsed="false">
      <c r="A11477" s="1" t="s">
        <v>1000</v>
      </c>
      <c r="B11477" s="0" t="s">
        <v>98</v>
      </c>
      <c r="C11477" s="6" t="n">
        <f aca="false">Sens!F11427+oai_v-Sens!F11416</f>
        <v>101.328545420601</v>
      </c>
      <c r="L11477" s="1" t="s">
        <v>1083</v>
      </c>
    </row>
    <row r="11478" customFormat="false" ht="15" hidden="false" customHeight="false" outlineLevel="0" collapsed="false">
      <c r="A11478" s="1" t="s">
        <v>1001</v>
      </c>
      <c r="B11478" s="0" t="s">
        <v>75</v>
      </c>
      <c r="C11478" s="5" t="n">
        <f aca="false">(Sens!$C$11476+Sens!$C$11477)/Sens!F11429</f>
        <v>377.433270672489</v>
      </c>
    </row>
    <row r="11479" customFormat="false" ht="17.15" hidden="false" customHeight="false" outlineLevel="0" collapsed="false">
      <c r="A11479" s="1" t="s">
        <v>1084</v>
      </c>
      <c r="B11479" s="0" t="s">
        <v>75</v>
      </c>
      <c r="C11479" s="5" t="n">
        <f aca="false">w_dcf*Sens!$C$11450+(1-w_dcf)*Sens!$C$11478</f>
        <v>332.267169824144</v>
      </c>
    </row>
    <row r="11480" customFormat="false" ht="17.15" hidden="false" customHeight="false" outlineLevel="0" collapsed="false">
      <c r="A11480" s="3" t="s">
        <v>1534</v>
      </c>
    </row>
    <row r="11481" customFormat="false" ht="15" hidden="false" customHeight="false" outlineLevel="0" collapsed="false">
      <c r="A11481" s="4" t="s">
        <v>43</v>
      </c>
      <c r="B11481" s="4" t="s">
        <v>65</v>
      </c>
      <c r="C11481" s="20" t="s">
        <v>788</v>
      </c>
      <c r="D11481" s="20" t="s">
        <v>789</v>
      </c>
      <c r="E11481" s="20" t="s">
        <v>790</v>
      </c>
      <c r="F11481" s="20" t="s">
        <v>791</v>
      </c>
      <c r="G11481" s="20" t="s">
        <v>792</v>
      </c>
      <c r="H11481" s="20" t="s">
        <v>793</v>
      </c>
      <c r="I11481" s="20" t="s">
        <v>794</v>
      </c>
      <c r="J11481" s="20" t="s">
        <v>795</v>
      </c>
      <c r="K11481" s="20" t="s">
        <v>796</v>
      </c>
      <c r="L11481" s="4" t="s">
        <v>47</v>
      </c>
    </row>
    <row r="11482" customFormat="false" ht="17.15" hidden="false" customHeight="false" outlineLevel="0" collapsed="false">
      <c r="A11482" s="1" t="s">
        <v>797</v>
      </c>
      <c r="B11482" s="1" t="s">
        <v>235</v>
      </c>
      <c r="C11482" s="28" t="n">
        <v>2024</v>
      </c>
      <c r="D11482" s="28" t="n">
        <v>2025</v>
      </c>
      <c r="E11482" s="28" t="n">
        <v>2026</v>
      </c>
      <c r="F11482" s="28" t="n">
        <v>2027</v>
      </c>
      <c r="G11482" s="28" t="n">
        <v>2028</v>
      </c>
      <c r="H11482" s="28" t="n">
        <v>2029</v>
      </c>
      <c r="I11482" s="28" t="n">
        <v>2030</v>
      </c>
      <c r="J11482" s="28" t="n">
        <v>2031</v>
      </c>
      <c r="K11482" s="28" t="n">
        <v>2032</v>
      </c>
    </row>
    <row r="11483" customFormat="false" ht="17.15" hidden="false" customHeight="false" outlineLevel="0" collapsed="false">
      <c r="A11483" s="1" t="s">
        <v>798</v>
      </c>
      <c r="B11483" s="0" t="s">
        <v>392</v>
      </c>
      <c r="F11483" s="29" t="n">
        <f aca="false">pace</f>
        <v>2527.2</v>
      </c>
      <c r="G11483" s="29" t="n">
        <f aca="false">pace</f>
        <v>2527.2</v>
      </c>
      <c r="H11483" s="29" t="n">
        <f aca="false">pace</f>
        <v>2527.2</v>
      </c>
      <c r="I11483" s="29" t="n">
        <f aca="false">pace+(g_tv*Sens!H11484-pace)*MIN(1,(Sens!I11482-pace_y0)/(pace_y1-pace_y0))</f>
        <v>1793.116</v>
      </c>
      <c r="J11483" s="29" t="n">
        <f aca="false">pace+(g_tv*Sens!H11484-pace)*MIN(1,(Sens!J11482-pace_y0)/(pace_y1-pace_y0))</f>
        <v>1059.032</v>
      </c>
      <c r="K11483" s="29" t="n">
        <f aca="false">pace+(g_tv*Sens!H11484-pace)*MIN(1,(Sens!K11482-pace_y0)/(pace_y1-pace_y0))</f>
        <v>324.948</v>
      </c>
      <c r="L11483" s="11" t="s">
        <v>799</v>
      </c>
    </row>
    <row r="11484" customFormat="false" ht="17.15" hidden="false" customHeight="false" outlineLevel="0" collapsed="false">
      <c r="A11484" s="1" t="s">
        <v>800</v>
      </c>
      <c r="B11484" s="0" t="s">
        <v>392</v>
      </c>
      <c r="C11484" s="29" t="n">
        <f aca="false">mw_ext_24</f>
        <v>640</v>
      </c>
      <c r="D11484" s="29" t="n">
        <f aca="false">mw_ext_25</f>
        <v>1630</v>
      </c>
      <c r="E11484" s="29" t="n">
        <f aca="false">mw_ext_26</f>
        <v>3250</v>
      </c>
      <c r="F11484" s="29" t="n">
        <f aca="false">Sens!E11484+Sens!F11483</f>
        <v>5777.2</v>
      </c>
      <c r="G11484" s="29" t="n">
        <f aca="false">Sens!F11484+Sens!G11483</f>
        <v>8304.4</v>
      </c>
      <c r="H11484" s="29" t="n">
        <f aca="false">Sens!G11484+Sens!H11483</f>
        <v>10831.6</v>
      </c>
      <c r="I11484" s="29" t="n">
        <f aca="false">Sens!H11484+Sens!I11483</f>
        <v>12624.716</v>
      </c>
      <c r="J11484" s="29" t="n">
        <f aca="false">Sens!I11484+Sens!J11483</f>
        <v>13683.748</v>
      </c>
      <c r="K11484" s="29" t="n">
        <f aca="false">Sens!J11484+Sens!K11483</f>
        <v>14008.696</v>
      </c>
      <c r="L11484" s="1" t="s">
        <v>801</v>
      </c>
    </row>
    <row r="11485" customFormat="false" ht="17.15" hidden="false" customHeight="false" outlineLevel="0" collapsed="false">
      <c r="A11485" s="1" t="s">
        <v>802</v>
      </c>
      <c r="B11485" s="0" t="s">
        <v>392</v>
      </c>
      <c r="C11485" s="29" t="n">
        <f aca="false">rent_ext_24</f>
        <v>150</v>
      </c>
      <c r="D11485" s="29" t="n">
        <f aca="false">rent_ext_25</f>
        <v>400</v>
      </c>
      <c r="E11485" s="29" t="n">
        <f aca="false">rent_ext_26</f>
        <v>550</v>
      </c>
      <c r="F11485" s="29" t="n">
        <f aca="false">rent_ext_f</f>
        <v>756</v>
      </c>
      <c r="G11485" s="29" t="n">
        <f aca="false">rent_ext_f</f>
        <v>756</v>
      </c>
      <c r="H11485" s="29" t="n">
        <f aca="false">rent_ext_f</f>
        <v>756</v>
      </c>
      <c r="I11485" s="29" t="n">
        <f aca="false">rent_ext_f</f>
        <v>756</v>
      </c>
      <c r="J11485" s="29" t="n">
        <f aca="false">rent_ext_f</f>
        <v>756</v>
      </c>
      <c r="K11485" s="29" t="n">
        <f aca="false">rent_ext_f</f>
        <v>756</v>
      </c>
      <c r="L11485" s="1" t="s">
        <v>803</v>
      </c>
    </row>
    <row r="11486" customFormat="false" ht="17.15" hidden="false" customHeight="false" outlineLevel="0" collapsed="false">
      <c r="A11486" s="1" t="s">
        <v>804</v>
      </c>
      <c r="B11486" s="0" t="s">
        <v>392</v>
      </c>
      <c r="C11486" s="29" t="n">
        <f aca="false">Sens!C11484-Sens!C11485</f>
        <v>490</v>
      </c>
      <c r="D11486" s="29" t="n">
        <f aca="false">Sens!D11484-Sens!D11485</f>
        <v>1230</v>
      </c>
      <c r="E11486" s="29" t="n">
        <f aca="false">Sens!E11484-Sens!E11485</f>
        <v>2700</v>
      </c>
      <c r="F11486" s="29" t="n">
        <f aca="false">Sens!F11484-Sens!F11485</f>
        <v>5021.2</v>
      </c>
      <c r="G11486" s="29" t="n">
        <f aca="false">Sens!G11484-Sens!G11485</f>
        <v>7548.4</v>
      </c>
      <c r="H11486" s="29" t="n">
        <f aca="false">Sens!H11484-Sens!H11485</f>
        <v>10075.6</v>
      </c>
      <c r="I11486" s="29" t="n">
        <f aca="false">Sens!I11484-Sens!I11485</f>
        <v>11868.716</v>
      </c>
      <c r="J11486" s="29" t="n">
        <f aca="false">Sens!J11484-Sens!J11485</f>
        <v>12927.748</v>
      </c>
      <c r="K11486" s="29" t="n">
        <f aca="false">Sens!K11484-Sens!K11485</f>
        <v>13252.696</v>
      </c>
    </row>
    <row r="11487" customFormat="false" ht="17.15" hidden="false" customHeight="false" outlineLevel="0" collapsed="false">
      <c r="A11487" s="1" t="s">
        <v>805</v>
      </c>
      <c r="B11487" s="0" t="s">
        <v>392</v>
      </c>
      <c r="C11487" s="29" t="n">
        <f aca="false">Sens!C11486/ext_sh</f>
        <v>816.666666666667</v>
      </c>
      <c r="D11487" s="29" t="n">
        <f aca="false">Sens!D11486/ext_sh</f>
        <v>2050</v>
      </c>
      <c r="E11487" s="29" t="n">
        <f aca="false">Sens!E11486/ext_sh</f>
        <v>4500</v>
      </c>
      <c r="F11487" s="29" t="n">
        <f aca="false">Sens!F11486/ext_sh</f>
        <v>8368.66666666667</v>
      </c>
      <c r="G11487" s="29" t="n">
        <f aca="false">Sens!G11486/ext_sh</f>
        <v>12580.6666666667</v>
      </c>
      <c r="H11487" s="29" t="n">
        <f aca="false">Sens!H11486/ext_sh</f>
        <v>16792.6666666667</v>
      </c>
      <c r="I11487" s="29" t="n">
        <f aca="false">Sens!I11486/ext_sh</f>
        <v>19781.1933333333</v>
      </c>
      <c r="J11487" s="29" t="n">
        <f aca="false">Sens!J11486/ext_sh</f>
        <v>21546.2466666667</v>
      </c>
      <c r="K11487" s="29" t="n">
        <f aca="false">Sens!K11486/ext_sh</f>
        <v>22087.8266666667</v>
      </c>
      <c r="L11487" s="1" t="s">
        <v>806</v>
      </c>
    </row>
    <row r="11488" customFormat="false" ht="17.15" hidden="false" customHeight="false" outlineLevel="0" collapsed="false">
      <c r="A11488" s="1" t="s">
        <v>807</v>
      </c>
      <c r="B11488" s="0" t="s">
        <v>392</v>
      </c>
      <c r="C11488" s="29" t="n">
        <f aca="false">Sens!C11487-Sens!C11486</f>
        <v>326.666666666667</v>
      </c>
      <c r="D11488" s="29" t="n">
        <f aca="false">Sens!D11487-Sens!D11486</f>
        <v>820</v>
      </c>
      <c r="E11488" s="29" t="n">
        <f aca="false">Sens!E11487-Sens!E11486</f>
        <v>1800</v>
      </c>
      <c r="F11488" s="29" t="n">
        <f aca="false">Sens!F11487-Sens!F11486</f>
        <v>3347.46666666667</v>
      </c>
      <c r="G11488" s="29" t="n">
        <f aca="false">Sens!G11487-Sens!G11486</f>
        <v>5032.26666666667</v>
      </c>
      <c r="H11488" s="29" t="n">
        <f aca="false">Sens!H11487-Sens!H11486</f>
        <v>6717.06666666667</v>
      </c>
      <c r="I11488" s="29" t="n">
        <f aca="false">Sens!I11487-Sens!I11486</f>
        <v>7912.47733333333</v>
      </c>
      <c r="J11488" s="29" t="n">
        <f aca="false">Sens!J11487-Sens!J11486</f>
        <v>8618.49866666667</v>
      </c>
      <c r="K11488" s="29" t="n">
        <f aca="false">Sens!K11487-Sens!K11486</f>
        <v>8835.13066666667</v>
      </c>
    </row>
    <row r="11489" customFormat="false" ht="17.15" hidden="false" customHeight="false" outlineLevel="0" collapsed="false">
      <c r="A11489" s="1" t="s">
        <v>808</v>
      </c>
      <c r="B11489" s="0" t="s">
        <v>392</v>
      </c>
      <c r="C11489" s="29" t="n">
        <f aca="false">Sens!C11487</f>
        <v>816.666666666667</v>
      </c>
      <c r="D11489" s="29" t="n">
        <f aca="false">Sens!D11487-Sens!C11487</f>
        <v>1233.33333333333</v>
      </c>
      <c r="E11489" s="29" t="n">
        <f aca="false">Sens!E11487-Sens!D11487</f>
        <v>2450</v>
      </c>
      <c r="F11489" s="29" t="n">
        <f aca="false">Sens!F11487-Sens!E11487</f>
        <v>3868.66666666667</v>
      </c>
      <c r="G11489" s="29" t="n">
        <f aca="false">Sens!G11487-Sens!F11487</f>
        <v>4212</v>
      </c>
      <c r="H11489" s="29" t="n">
        <f aca="false">Sens!H11487-Sens!G11487</f>
        <v>4212</v>
      </c>
      <c r="I11489" s="29" t="n">
        <f aca="false">Sens!I11487-Sens!H11487</f>
        <v>2988.52666666667</v>
      </c>
      <c r="J11489" s="29" t="n">
        <f aca="false">Sens!J11487-Sens!I11487</f>
        <v>1765.05333333333</v>
      </c>
      <c r="K11489" s="29" t="n">
        <f aca="false">Sens!K11487-Sens!J11487</f>
        <v>541.580000000002</v>
      </c>
    </row>
    <row r="11490" customFormat="false" ht="17.15" hidden="false" customHeight="false" outlineLevel="0" collapsed="false">
      <c r="A11490" s="1" t="s">
        <v>809</v>
      </c>
      <c r="B11490" s="0" t="s">
        <v>392</v>
      </c>
      <c r="D11490" s="29" t="n">
        <f aca="false">Sens!D11484-Sens!C11484</f>
        <v>990</v>
      </c>
      <c r="E11490" s="29" t="n">
        <f aca="false">Sens!E11484-Sens!D11484</f>
        <v>1620</v>
      </c>
      <c r="F11490" s="29" t="n">
        <f aca="false">Sens!F11484-Sens!E11484</f>
        <v>2527.2</v>
      </c>
      <c r="G11490" s="29" t="n">
        <f aca="false">Sens!G11484-Sens!F11484</f>
        <v>2527.2</v>
      </c>
      <c r="H11490" s="29" t="n">
        <f aca="false">Sens!H11484-Sens!G11484</f>
        <v>2527.2</v>
      </c>
      <c r="I11490" s="29" t="n">
        <f aca="false">Sens!I11484-Sens!H11484</f>
        <v>1793.116</v>
      </c>
      <c r="J11490" s="29" t="n">
        <f aca="false">Sens!J11484-Sens!I11484</f>
        <v>1059.032</v>
      </c>
      <c r="K11490" s="29" t="n">
        <f aca="false">Sens!K11484-Sens!J11484</f>
        <v>324.948</v>
      </c>
    </row>
    <row r="11491" customFormat="false" ht="17.15" hidden="false" customHeight="false" outlineLevel="0" collapsed="false">
      <c r="A11491" s="1" t="s">
        <v>810</v>
      </c>
      <c r="B11491" s="0" t="s">
        <v>392</v>
      </c>
      <c r="F11491" s="29" t="n">
        <f aca="false">Sens!F11508*ext_sh</f>
        <v>0</v>
      </c>
      <c r="G11491" s="29" t="n">
        <f aca="false">Sens!G11508*ext_sh</f>
        <v>0</v>
      </c>
      <c r="H11491" s="29" t="n">
        <f aca="false">Sens!H11508*ext_sh</f>
        <v>0</v>
      </c>
      <c r="I11491" s="29" t="n">
        <f aca="false">Sens!I11508*ext_sh</f>
        <v>490</v>
      </c>
      <c r="J11491" s="29" t="n">
        <f aca="false">Sens!J11508*ext_sh</f>
        <v>740</v>
      </c>
      <c r="K11491" s="29" t="n">
        <f aca="false">Sens!K11508*ext_sh</f>
        <v>1470</v>
      </c>
      <c r="L11491" s="1" t="s">
        <v>811</v>
      </c>
    </row>
    <row r="11492" customFormat="false" ht="17.15" hidden="false" customHeight="false" outlineLevel="0" collapsed="false">
      <c r="A11492" s="1" t="s">
        <v>812</v>
      </c>
      <c r="B11492" s="0" t="s">
        <v>392</v>
      </c>
      <c r="C11492" s="29" t="n">
        <f aca="false">mix_h*Sens!C11484</f>
        <v>128</v>
      </c>
      <c r="D11492" s="29" t="n">
        <f aca="false">mix_h*Sens!D11484</f>
        <v>326</v>
      </c>
      <c r="E11492" s="29" t="n">
        <f aca="false">mix_h*Sens!E11484</f>
        <v>650</v>
      </c>
      <c r="F11492" s="29" t="n">
        <f aca="false">Sens!E11492-Sens!F11491*mix_h</f>
        <v>650</v>
      </c>
      <c r="G11492" s="29" t="n">
        <f aca="false">Sens!F11492-Sens!G11491*mix_h</f>
        <v>650</v>
      </c>
      <c r="H11492" s="29" t="n">
        <f aca="false">Sens!G11492-Sens!H11491*mix_h</f>
        <v>650</v>
      </c>
      <c r="I11492" s="29" t="n">
        <f aca="false">Sens!H11492-Sens!I11491*mix_h</f>
        <v>552</v>
      </c>
      <c r="J11492" s="29" t="n">
        <f aca="false">Sens!I11492-Sens!J11491*mix_h</f>
        <v>404</v>
      </c>
      <c r="K11492" s="29" t="n">
        <f aca="false">Sens!J11492-Sens!K11491*mix_h</f>
        <v>110</v>
      </c>
    </row>
    <row r="11493" customFormat="false" ht="17.15" hidden="false" customHeight="false" outlineLevel="0" collapsed="false">
      <c r="A11493" s="1" t="s">
        <v>813</v>
      </c>
      <c r="B11493" s="0" t="s">
        <v>392</v>
      </c>
      <c r="C11493" s="29" t="n">
        <f aca="false">mix_g2*Sens!C11484</f>
        <v>288</v>
      </c>
      <c r="D11493" s="29" t="n">
        <f aca="false">mix_g2*Sens!D11484</f>
        <v>733.5</v>
      </c>
      <c r="E11493" s="29" t="n">
        <f aca="false">mix_g2*Sens!E11484</f>
        <v>1462.5</v>
      </c>
      <c r="F11493" s="29" t="n">
        <f aca="false">Sens!E11493-Sens!F11491*mix_g2</f>
        <v>1462.5</v>
      </c>
      <c r="G11493" s="29" t="n">
        <f aca="false">Sens!F11493-Sens!G11491*mix_g2</f>
        <v>1462.5</v>
      </c>
      <c r="H11493" s="29" t="n">
        <f aca="false">Sens!G11493-Sens!H11491*mix_g2</f>
        <v>1462.5</v>
      </c>
      <c r="I11493" s="29" t="n">
        <f aca="false">Sens!H11493-Sens!I11491*mix_g2</f>
        <v>1242</v>
      </c>
      <c r="J11493" s="29" t="n">
        <f aca="false">Sens!I11493-Sens!J11491*mix_g2</f>
        <v>909</v>
      </c>
      <c r="K11493" s="29" t="n">
        <f aca="false">Sens!J11493-Sens!K11491*mix_g2</f>
        <v>247.5</v>
      </c>
    </row>
    <row r="11494" customFormat="false" ht="17.15" hidden="false" customHeight="false" outlineLevel="0" collapsed="false">
      <c r="A11494" s="1" t="s">
        <v>814</v>
      </c>
      <c r="B11494" s="0" t="s">
        <v>392</v>
      </c>
      <c r="C11494" s="29" t="n">
        <f aca="false">mix_g3*Sens!C11484</f>
        <v>224</v>
      </c>
      <c r="D11494" s="29" t="n">
        <f aca="false">mix_g3*Sens!D11484</f>
        <v>570.5</v>
      </c>
      <c r="E11494" s="29" t="n">
        <f aca="false">mix_g3*Sens!E11484</f>
        <v>1137.5</v>
      </c>
      <c r="F11494" s="29" t="n">
        <f aca="false">Sens!E11494+(Sens!F11490+Sens!F11491)*a_g3_27-Sens!F11491*mix_g3</f>
        <v>2906.54</v>
      </c>
      <c r="G11494" s="29" t="n">
        <f aca="false">Sens!F11494+(Sens!G11490+Sens!G11491)*a_g3_28-Sens!G11491*mix_g3</f>
        <v>3664.7</v>
      </c>
      <c r="H11494" s="29" t="n">
        <f aca="false">Sens!G11494+(Sens!H11490+Sens!H11491)*a_g3_29-Sens!H11491*mix_g3</f>
        <v>3917.42</v>
      </c>
      <c r="I11494" s="29" t="n">
        <f aca="false">Sens!H11494+(Sens!I11490+Sens!I11491)*a_g3_29-Sens!I11491*mix_g3</f>
        <v>3974.2316</v>
      </c>
      <c r="J11494" s="29" t="n">
        <f aca="false">Sens!I11494+(Sens!J11490+Sens!J11491)*a_g3_29-Sens!J11491*mix_g3</f>
        <v>3895.1348</v>
      </c>
      <c r="K11494" s="29" t="n">
        <f aca="false">Sens!J11494+(Sens!K11490+Sens!K11491)*a_g3_29-Sens!K11491*mix_g3</f>
        <v>3560.1296</v>
      </c>
    </row>
    <row r="11495" customFormat="false" ht="17.15" hidden="false" customHeight="false" outlineLevel="0" collapsed="false">
      <c r="A11495" s="1" t="s">
        <v>815</v>
      </c>
      <c r="B11495" s="0" t="s">
        <v>392</v>
      </c>
      <c r="C11495" s="29" t="n">
        <v>0</v>
      </c>
      <c r="D11495" s="29" t="n">
        <v>0</v>
      </c>
      <c r="E11495" s="29" t="n">
        <v>0</v>
      </c>
      <c r="F11495" s="29" t="n">
        <f aca="false">Sens!E11495+(Sens!F11490+Sens!F11491)*(1-a_g3_27)</f>
        <v>758.16</v>
      </c>
      <c r="G11495" s="29" t="n">
        <f aca="false">Sens!F11495+(Sens!G11490+Sens!G11491)*(1-a_g3_28)</f>
        <v>2527.2</v>
      </c>
      <c r="H11495" s="29" t="n">
        <f aca="false">Sens!G11495+(Sens!H11490+Sens!H11491)*(1-a_g3_29)</f>
        <v>4801.68</v>
      </c>
      <c r="I11495" s="29" t="n">
        <f aca="false">Sens!H11495+(Sens!I11490+Sens!I11491)*(1-a_g3_29)</f>
        <v>6856.4844</v>
      </c>
      <c r="J11495" s="29" t="n">
        <f aca="false">Sens!I11495+(Sens!J11490+Sens!J11491)*(1-a_g3_29)</f>
        <v>8475.6132</v>
      </c>
      <c r="K11495" s="29" t="n">
        <f aca="false">Sens!J11495+(Sens!K11490+Sens!K11491)*(1-a_g3_29)</f>
        <v>10091.0664</v>
      </c>
    </row>
    <row r="11496" customFormat="false" ht="17.15" hidden="false" customHeight="false" outlineLevel="0" collapsed="false">
      <c r="A11496" s="1" t="s">
        <v>816</v>
      </c>
      <c r="B11496" s="0" t="s">
        <v>339</v>
      </c>
      <c r="C11496" s="14" t="n">
        <f aca="false">(Sens!C11492*tk_hold_h100+Sens!C11493*tk_hold_gb200+Sens!C11494*tk_hold_gb300+Sens!C11495*tk_hold_vr200)/Sens!C11484</f>
        <v>9.7235358126469</v>
      </c>
      <c r="D11496" s="14" t="n">
        <f aca="false">(Sens!D11492*tk_hold_h100+Sens!D11493*tk_hold_gb200+Sens!D11494*tk_hold_gb300+Sens!D11495*tk_hold_vr200)/Sens!D11484</f>
        <v>9.7235358126469</v>
      </c>
      <c r="E11496" s="14" t="n">
        <f aca="false">(Sens!E11492*tk_hold_h100+Sens!E11493*tk_hold_gb200+Sens!E11494*tk_hold_gb300+Sens!E11495*tk_hold_vr200)/Sens!E11484</f>
        <v>9.7235358126469</v>
      </c>
      <c r="F11496" s="14" t="n">
        <f aca="false">(Sens!F11492*tk_hold_h100+Sens!F11493*tk_hold_gb200+Sens!F11494*tk_hold_gb300+Sens!F11495*tk_hold_vr200)/Sens!F11484</f>
        <v>10.4079573161931</v>
      </c>
      <c r="G11496" s="14" t="n">
        <f aca="false">(Sens!G11492*tk_hold_h100+Sens!G11493*tk_hold_gb200+Sens!G11494*tk_hold_gb300+Sens!G11495*tk_hold_vr200)/Sens!G11484</f>
        <v>10.8388131109316</v>
      </c>
      <c r="H11496" s="14" t="n">
        <f aca="false">(Sens!H11492*tk_hold_h100+Sens!H11493*tk_hold_gb200+Sens!H11494*tk_hold_gb300+Sens!H11495*tk_hold_vr200)/Sens!H11484</f>
        <v>11.1311018388216</v>
      </c>
      <c r="I11496" s="14" t="n">
        <f aca="false">(Sens!I11492*tk_hold_h100+Sens!I11493*tk_hold_gb200+Sens!I11494*tk_hold_gb300+Sens!I11495*tk_hold_vr200)/Sens!I11484</f>
        <v>11.3594282560989</v>
      </c>
      <c r="J11496" s="14" t="n">
        <f aca="false">(Sens!J11492*tk_hold_h100+Sens!J11493*tk_hold_gb200+Sens!J11494*tk_hold_gb300+Sens!J11495*tk_hold_vr200)/Sens!J11484</f>
        <v>11.5441508808221</v>
      </c>
      <c r="K11496" s="14" t="n">
        <f aca="false">(Sens!K11492*tk_hold_h100+Sens!K11493*tk_hold_gb200+Sens!K11494*tk_hold_gb300+Sens!K11495*tk_hold_vr200)/Sens!K11484</f>
        <v>11.8053375063575</v>
      </c>
    </row>
    <row r="11497" customFormat="false" ht="17.15" hidden="false" customHeight="false" outlineLevel="0" collapsed="false">
      <c r="A11497" s="0" t="s">
        <v>817</v>
      </c>
      <c r="B11497" s="0" t="s">
        <v>185</v>
      </c>
      <c r="C11497" s="14" t="n">
        <f aca="false">k_B</f>
        <v>1.17213932619116</v>
      </c>
      <c r="D11497" s="14" t="n">
        <f aca="false">k_B</f>
        <v>1.17213932619116</v>
      </c>
      <c r="E11497" s="14" t="n">
        <f aca="false">k_B</f>
        <v>1.17213932619116</v>
      </c>
      <c r="F11497" s="14" t="n">
        <f aca="false">(k_B+((ls_A*k_long+(1-ls_A)*k_spot)-k_B)*MIN(1,(Sens!F11482-base_fy)/k_ramp))</f>
        <v>1.25022828131298</v>
      </c>
      <c r="G11497" s="14" t="n">
        <f aca="false">(k_B+((ls_A*k_long+(1-ls_A)*k_spot)-k_B)*MIN(1,(Sens!G11482-base_fy)/k_ramp))</f>
        <v>1.3283172364348</v>
      </c>
      <c r="H11497" s="14" t="n">
        <f aca="false">(k_B+((ls_A*k_long+(1-ls_A)*k_spot)-k_B)*MIN(1,(Sens!H11482-base_fy)/k_ramp))</f>
        <v>1.40640619155662</v>
      </c>
      <c r="I11497" s="14" t="n">
        <f aca="false">(k_B+((ls_A*k_long+(1-ls_A)*k_spot)-k_B)*MIN(1,(Sens!I11482-base_fy)/k_ramp))</f>
        <v>1.40640619155662</v>
      </c>
      <c r="J11497" s="14" t="n">
        <f aca="false">(k_B+((ls_A*k_long+(1-ls_A)*k_spot)-k_B)*MIN(1,(Sens!J11482-base_fy)/k_ramp))</f>
        <v>1.40640619155662</v>
      </c>
      <c r="K11497" s="14" t="n">
        <f aca="false">(k_B+((ls_A*k_long+(1-ls_A)*k_spot)-k_B)*MIN(1,(Sens!K11482-base_fy)/k_ramp))</f>
        <v>1.40640619155662</v>
      </c>
      <c r="L11497" s="1" t="s">
        <v>818</v>
      </c>
    </row>
    <row r="11498" customFormat="false" ht="17.15" hidden="false" customHeight="false" outlineLevel="0" collapsed="false">
      <c r="A11498" s="1" t="s">
        <v>819</v>
      </c>
      <c r="B11498" s="0" t="s">
        <v>339</v>
      </c>
      <c r="C11498" s="14" t="n">
        <f aca="false">Sens!C11496*Sens!C11497*chip_f</f>
        <v>11.3973387156315</v>
      </c>
      <c r="D11498" s="14" t="n">
        <f aca="false">Sens!D11496*Sens!D11497*chip_f</f>
        <v>11.3973387156315</v>
      </c>
      <c r="E11498" s="14" t="n">
        <f aca="false">Sens!E11496*Sens!E11497*chip_f</f>
        <v>11.3973387156315</v>
      </c>
      <c r="F11498" s="14" t="n">
        <f aca="false">Sens!F11496*Sens!F11497*chip_f</f>
        <v>13.0123225874029</v>
      </c>
      <c r="G11498" s="14" t="n">
        <f aca="false">Sens!G11496*Sens!G11497*chip_f</f>
        <v>14.3973822777458</v>
      </c>
      <c r="H11498" s="14" t="n">
        <f aca="false">Sens!H11496*Sens!H11497*chip_f</f>
        <v>15.6548505449659</v>
      </c>
      <c r="I11498" s="14" t="n">
        <f aca="false">Sens!I11496*Sens!I11497*chip_f</f>
        <v>15.9759702319207</v>
      </c>
      <c r="J11498" s="14" t="n">
        <f aca="false">Sens!J11496*Sens!J11497*chip_f</f>
        <v>16.2357652750519</v>
      </c>
      <c r="K11498" s="14" t="n">
        <f aca="false">Sens!K11496*Sens!K11497*chip_f</f>
        <v>16.6030997623568</v>
      </c>
      <c r="L11498" s="1" t="s">
        <v>820</v>
      </c>
    </row>
    <row r="11499" customFormat="false" ht="17.15" hidden="false" customHeight="false" outlineLevel="0" collapsed="false">
      <c r="A11499" s="0" t="s">
        <v>821</v>
      </c>
      <c r="B11499" s="0" t="s">
        <v>98</v>
      </c>
      <c r="D11499" s="6" t="n">
        <f aca="false">(Sens!C11484+Sens!D11484)/2*Sens!D11498/1000</f>
        <v>12.9359794422418</v>
      </c>
      <c r="E11499" s="6" t="n">
        <f aca="false">(Sens!D11484+Sens!E11484)/2*Sens!E11498/1000</f>
        <v>27.8095064661409</v>
      </c>
      <c r="F11499" s="6" t="n">
        <f aca="false">(Sens!E11484+Sens!F11484)/2*Sens!F11498/1000</f>
        <v>58.7324192305018</v>
      </c>
      <c r="G11499" s="6" t="n">
        <f aca="false">(Sens!F11484+Sens!G11484)/2*Sens!G11498/1000</f>
        <v>101.369089141153</v>
      </c>
      <c r="H11499" s="6" t="n">
        <f aca="false">(Sens!G11484+Sens!H11484)/2*Sens!H11498/1000</f>
        <v>149.785610014234</v>
      </c>
      <c r="I11499" s="6" t="n">
        <f aca="false">(Sens!H11484+Sens!I11484)/2*Sens!I11498/1000</f>
        <v>187.368703083263</v>
      </c>
      <c r="J11499" s="6" t="n">
        <f aca="false">(Sens!I11484+Sens!J11484)/2*Sens!J11498/1000</f>
        <v>213.569023125577</v>
      </c>
      <c r="K11499" s="6" t="n">
        <f aca="false">(Sens!J11484+Sens!K11484)/2*Sens!K11498/1000</f>
        <v>229.890205197739</v>
      </c>
      <c r="L11499" s="11" t="s">
        <v>822</v>
      </c>
    </row>
    <row r="11500" customFormat="false" ht="17.15" hidden="false" customHeight="false" outlineLevel="0" collapsed="false">
      <c r="A11500" s="1" t="s">
        <v>823</v>
      </c>
      <c r="B11500" s="0" t="s">
        <v>339</v>
      </c>
      <c r="C11500" s="14" t="n">
        <f aca="false">(Sens!C11492*tk_opex_h100+Sens!C11493*tk_opex_gb200+Sens!C11494*tk_opex_gb300+Sens!C11495*tk_opex_vr200)/Sens!C11484</f>
        <v>1.88636041306092</v>
      </c>
      <c r="D11500" s="14" t="n">
        <f aca="false">(Sens!D11492*tk_opex_h100+Sens!D11493*tk_opex_gb200+Sens!D11494*tk_opex_gb300+Sens!D11495*tk_opex_vr200)/Sens!D11484</f>
        <v>1.88636041306092</v>
      </c>
      <c r="E11500" s="14" t="n">
        <f aca="false">(Sens!E11492*tk_opex_h100+Sens!E11493*tk_opex_gb200+Sens!E11494*tk_opex_gb300+Sens!E11495*tk_opex_vr200)/Sens!E11484</f>
        <v>1.88636041306092</v>
      </c>
      <c r="F11500" s="14" t="n">
        <f aca="false">(Sens!F11492*tk_opex_h100+Sens!F11493*tk_opex_gb200+Sens!F11494*tk_opex_gb300+Sens!F11495*tk_opex_vr200)/Sens!F11484</f>
        <v>1.9430236476499</v>
      </c>
      <c r="G11500" s="14" t="n">
        <f aca="false">(Sens!G11492*tk_opex_h100+Sens!G11493*tk_opex_gb200+Sens!G11494*tk_opex_gb300+Sens!G11495*tk_opex_vr200)/Sens!G11484</f>
        <v>1.9786941852423</v>
      </c>
      <c r="H11500" s="14" t="n">
        <f aca="false">(Sens!H11492*tk_opex_h100+Sens!H11493*tk_opex_gb200+Sens!H11494*tk_opex_gb300+Sens!H11495*tk_opex_vr200)/Sens!H11484</f>
        <v>2.00289275976156</v>
      </c>
      <c r="I11500" s="14" t="n">
        <f aca="false">(Sens!I11492*tk_opex_h100+Sens!I11493*tk_opex_gb200+Sens!I11494*tk_opex_gb300+Sens!I11495*tk_opex_vr200)/Sens!I11484</f>
        <v>2.02179589661219</v>
      </c>
      <c r="J11500" s="14" t="n">
        <f aca="false">(Sens!J11492*tk_opex_h100+Sens!J11493*tk_opex_gb200+Sens!J11494*tk_opex_gb300+Sens!J11495*tk_opex_vr200)/Sens!J11484</f>
        <v>2.03708907685909</v>
      </c>
      <c r="K11500" s="14" t="n">
        <f aca="false">(Sens!K11492*tk_opex_h100+Sens!K11493*tk_opex_gb200+Sens!K11494*tk_opex_gb300+Sens!K11495*tk_opex_vr200)/Sens!K11484</f>
        <v>2.05871270931005</v>
      </c>
    </row>
    <row r="11501" customFormat="false" ht="17.15" hidden="false" customHeight="false" outlineLevel="0" collapsed="false">
      <c r="A11501" s="0" t="s">
        <v>824</v>
      </c>
      <c r="B11501" s="0" t="s">
        <v>98</v>
      </c>
      <c r="D11501" s="6" t="n">
        <f aca="false">(Sens!C11487+Sens!D11487)/2*Sens!D11500/1000</f>
        <v>2.70378325872065</v>
      </c>
      <c r="E11501" s="6" t="n">
        <f aca="false">(Sens!D11487+Sens!E11487)/2*Sens!E11500/1000</f>
        <v>6.17783035277451</v>
      </c>
      <c r="F11501" s="6" t="n">
        <f aca="false">(Sens!E11487+Sens!F11487)/2*Sens!F11500/1000</f>
        <v>12.5020618235287</v>
      </c>
      <c r="G11501" s="6" t="n">
        <f aca="false">(Sens!F11487+Sens!G11487)/2*Sens!G11500/1000</f>
        <v>20.7261620256847</v>
      </c>
      <c r="H11501" s="6" t="n">
        <f aca="false">(Sens!G11487+Sens!H11487)/2*Sens!H11500/1000</f>
        <v>29.4158183316982</v>
      </c>
      <c r="I11501" s="6" t="n">
        <f aca="false">(Sens!H11487+Sens!I11487)/2*Sens!I11500/1000</f>
        <v>36.9724400356344</v>
      </c>
      <c r="J11501" s="6" t="n">
        <f aca="false">(Sens!I11487+Sens!J11487)/2*Sens!J11500/1000</f>
        <v>42.0938382992747</v>
      </c>
      <c r="K11501" s="6" t="n">
        <f aca="false">(Sens!J11487+Sens!K11487)/2*Sens!K11500/1000</f>
        <v>44.9150106651501</v>
      </c>
    </row>
    <row r="11502" customFormat="false" ht="17.15" hidden="false" customHeight="false" outlineLevel="0" collapsed="false">
      <c r="A11502" s="0" t="s">
        <v>825</v>
      </c>
      <c r="B11502" s="0" t="s">
        <v>98</v>
      </c>
      <c r="D11502" s="6" t="n">
        <f aca="false">(Sens!C11485+Sens!D11485)/2*rent_mw/1000</f>
        <v>2.44475</v>
      </c>
      <c r="E11502" s="6" t="n">
        <f aca="false">(Sens!D11485+Sens!E11485)/2*rent_mw/1000</f>
        <v>4.22275</v>
      </c>
      <c r="F11502" s="6" t="n">
        <f aca="false">(Sens!E11485+Sens!F11485)/2*rent_mw/1000</f>
        <v>5.80517</v>
      </c>
      <c r="G11502" s="6" t="n">
        <f aca="false">(Sens!F11485+Sens!G11485)/2*rent_mw/1000</f>
        <v>6.72084</v>
      </c>
      <c r="H11502" s="6" t="n">
        <f aca="false">(Sens!G11485+Sens!H11485)/2*rent_mw/1000</f>
        <v>6.72084</v>
      </c>
      <c r="I11502" s="6" t="n">
        <f aca="false">(Sens!H11485+Sens!I11485)/2*rent_mw/1000</f>
        <v>6.72084</v>
      </c>
      <c r="J11502" s="6" t="n">
        <f aca="false">(Sens!I11485+Sens!J11485)/2*rent_mw/1000</f>
        <v>6.72084</v>
      </c>
      <c r="K11502" s="6" t="n">
        <f aca="false">(Sens!J11485+Sens!K11485)/2*rent_mw/1000</f>
        <v>6.72084</v>
      </c>
    </row>
    <row r="11503" customFormat="false" ht="17.15" hidden="false" customHeight="false" outlineLevel="0" collapsed="false">
      <c r="A11503" s="0" t="s">
        <v>826</v>
      </c>
      <c r="B11503" s="0" t="s">
        <v>98</v>
      </c>
      <c r="D11503" s="6" t="n">
        <f aca="false">(Sens!C11487+Sens!D11487)/2*(1-self_build)*fac_rent/1000</f>
        <v>0.853242375631075</v>
      </c>
      <c r="E11503" s="6" t="n">
        <f aca="false">(Sens!D11487+Sens!E11487)/2*(1-self_build)*fac_rent/1000</f>
        <v>1.94955961408728</v>
      </c>
      <c r="F11503" s="6" t="n">
        <f aca="false">(Sens!E11487+Sens!F11487)/2*(1-self_build)*fac_rent/1000</f>
        <v>3.83026455274573</v>
      </c>
      <c r="G11503" s="6" t="n">
        <f aca="false">(Sens!F11487+Sens!G11487)/2*(1-self_build)*fac_rent/1000</f>
        <v>6.23541590972812</v>
      </c>
      <c r="H11503" s="6" t="n">
        <f aca="false">(Sens!G11487+Sens!H11487)/2*(1-self_build)*fac_rent/1000</f>
        <v>8.74275792332679</v>
      </c>
      <c r="I11503" s="6" t="n">
        <f aca="false">(Sens!H11487+Sens!I11487)/2*(1-self_build)*fac_rent/1000</f>
        <v>10.8859420438599</v>
      </c>
      <c r="J11503" s="6" t="n">
        <f aca="false">(Sens!I11487+Sens!J11487)/2*(1-self_build)*fac_rent/1000</f>
        <v>12.3008103782619</v>
      </c>
      <c r="K11503" s="6" t="n">
        <f aca="false">(Sens!J11487+Sens!K11487)/2*(1-self_build)*fac_rent/1000</f>
        <v>12.9873629265328</v>
      </c>
      <c r="L11503" s="11" t="s">
        <v>827</v>
      </c>
    </row>
    <row r="11504" customFormat="false" ht="17.15" hidden="false" customHeight="false" outlineLevel="0" collapsed="false">
      <c r="A11504" s="1" t="s">
        <v>828</v>
      </c>
      <c r="B11504" s="0" t="s">
        <v>129</v>
      </c>
      <c r="D11504" s="7" t="n">
        <f aca="false">(Sens!C11486+Sens!D11486)/(Sens!C11487+Sens!D11487)</f>
        <v>0.6</v>
      </c>
      <c r="E11504" s="7" t="n">
        <f aca="false">(Sens!D11486+Sens!E11486)/(Sens!D11487+Sens!E11487)</f>
        <v>0.6</v>
      </c>
      <c r="F11504" s="7" t="n">
        <f aca="false">(Sens!E11486+Sens!F11486)/(Sens!E11487+Sens!F11487)</f>
        <v>0.6</v>
      </c>
      <c r="G11504" s="7" t="n">
        <f aca="false">(Sens!F11486+Sens!G11486)/(Sens!F11487+Sens!G11487)</f>
        <v>0.6</v>
      </c>
      <c r="H11504" s="7" t="n">
        <f aca="false">(Sens!G11486+Sens!H11486)/(Sens!G11487+Sens!H11487)</f>
        <v>0.6</v>
      </c>
      <c r="I11504" s="7" t="n">
        <f aca="false">(Sens!H11486+Sens!I11486)/(Sens!H11487+Sens!I11487)</f>
        <v>0.6</v>
      </c>
      <c r="J11504" s="7" t="n">
        <f aca="false">(Sens!I11486+Sens!J11486)/(Sens!I11487+Sens!J11487)</f>
        <v>0.6</v>
      </c>
      <c r="K11504" s="7" t="n">
        <f aca="false">(Sens!J11486+Sens!K11486)/(Sens!J11487+Sens!K11487)</f>
        <v>0.6</v>
      </c>
    </row>
    <row r="11505" customFormat="false" ht="17.15" hidden="false" customHeight="false" outlineLevel="0" collapsed="false">
      <c r="A11505" s="0" t="s">
        <v>829</v>
      </c>
      <c r="B11505" s="0" t="s">
        <v>98</v>
      </c>
      <c r="D11505" s="6" t="n">
        <f aca="false">Sens!D11499-Sens!D11504*(Sens!D11501+Sens!D11503)-Sens!D11502</f>
        <v>8.35701406163072</v>
      </c>
      <c r="E11505" s="6" t="n">
        <f aca="false">Sens!E11499-Sens!E11504*(Sens!E11501+Sens!E11503)-Sens!E11502</f>
        <v>18.7103224860238</v>
      </c>
      <c r="F11505" s="6" t="n">
        <f aca="false">Sens!F11499-Sens!F11504*(Sens!F11501+Sens!F11503)-Sens!F11502</f>
        <v>43.1278534047371</v>
      </c>
      <c r="G11505" s="6" t="n">
        <f aca="false">Sens!G11499-Sens!G11504*(Sens!G11501+Sens!G11503)-Sens!G11502</f>
        <v>78.4713023799053</v>
      </c>
      <c r="H11505" s="6" t="n">
        <f aca="false">Sens!H11499-Sens!H11504*(Sens!H11501+Sens!H11503)-Sens!H11502</f>
        <v>120.169624261219</v>
      </c>
      <c r="I11505" s="6" t="n">
        <f aca="false">Sens!I11499-Sens!I11504*(Sens!I11501+Sens!I11503)-Sens!I11502</f>
        <v>151.932833835566</v>
      </c>
      <c r="J11505" s="6" t="n">
        <f aca="false">Sens!J11499-Sens!J11504*(Sens!J11501+Sens!J11503)-Sens!J11502</f>
        <v>174.211393919055</v>
      </c>
      <c r="K11505" s="6" t="n">
        <f aca="false">Sens!K11499-Sens!K11504*(Sens!K11501+Sens!K11503)-Sens!K11502</f>
        <v>188.427941042729</v>
      </c>
    </row>
    <row r="11506" customFormat="false" ht="17.15" hidden="false" customHeight="false" outlineLevel="0" collapsed="false">
      <c r="A11506" s="1" t="s">
        <v>830</v>
      </c>
      <c r="B11506" s="0" t="s">
        <v>98</v>
      </c>
      <c r="D11506" s="6" t="n">
        <f aca="false">(1-Sens!D11504)*(Sens!D11501+Sens!D11503)</f>
        <v>1.42281025374069</v>
      </c>
      <c r="E11506" s="6" t="n">
        <f aca="false">(1-Sens!E11504)*(Sens!E11501+Sens!E11503)</f>
        <v>3.25095598674472</v>
      </c>
      <c r="F11506" s="6" t="n">
        <f aca="false">(1-Sens!F11504)*(Sens!F11501+Sens!F11503)</f>
        <v>6.53293055050977</v>
      </c>
      <c r="G11506" s="6" t="n">
        <f aca="false">(1-Sens!G11504)*(Sens!G11501+Sens!G11503)</f>
        <v>10.7846311741651</v>
      </c>
      <c r="H11506" s="6" t="n">
        <f aca="false">(1-Sens!H11504)*(Sens!H11501+Sens!H11503)</f>
        <v>15.26343050201</v>
      </c>
      <c r="I11506" s="6" t="n">
        <f aca="false">(1-Sens!I11504)*(Sens!I11501+Sens!I11503)</f>
        <v>19.1433528317977</v>
      </c>
      <c r="J11506" s="6" t="n">
        <f aca="false">(1-Sens!J11504)*(Sens!J11501+Sens!J11503)</f>
        <v>21.7578594710146</v>
      </c>
      <c r="K11506" s="6" t="n">
        <f aca="false">(1-Sens!K11504)*(Sens!K11501+Sens!K11503)</f>
        <v>23.1609494366731</v>
      </c>
    </row>
    <row r="11507" customFormat="false" ht="17.15" hidden="false" customHeight="false" outlineLevel="0" collapsed="false">
      <c r="A11507" s="1" t="s">
        <v>831</v>
      </c>
      <c r="B11507" s="0" t="s">
        <v>350</v>
      </c>
      <c r="C11507" s="8" t="n">
        <f aca="false">cxit_open</f>
        <v>27.5918995</v>
      </c>
      <c r="D11507" s="8" t="n">
        <f aca="false">cxit_open</f>
        <v>27.5918995</v>
      </c>
      <c r="E11507" s="8" t="n">
        <f aca="false">cxit_open</f>
        <v>27.5918995</v>
      </c>
      <c r="F11507" s="8" t="n">
        <f aca="false">(a_g3_27*tk_cxit_gb300+(1-a_g3_27)*tk_cxit_vr200)</f>
        <v>33.8419624</v>
      </c>
      <c r="G11507" s="8" t="n">
        <f aca="false">(a_g3_28*tk_cxit_gb300+(1-a_g3_28)*tk_cxit_vr200)</f>
        <v>35.9816136</v>
      </c>
      <c r="H11507" s="8" t="n">
        <f aca="false">(a_g3_29*tk_cxit_gb300+(1-a_g3_29)*tk_cxit_vr200)</f>
        <v>37.0514392</v>
      </c>
      <c r="I11507" s="8" t="n">
        <f aca="false">(a_g3_29*tk_cxit_gb300+(1-a_g3_29)*tk_cxit_vr200)</f>
        <v>37.0514392</v>
      </c>
      <c r="J11507" s="8" t="n">
        <f aca="false">(a_g3_29*tk_cxit_gb300+(1-a_g3_29)*tk_cxit_vr200)</f>
        <v>37.0514392</v>
      </c>
      <c r="K11507" s="8" t="n">
        <f aca="false">(a_g3_29*tk_cxit_gb300+(1-a_g3_29)*tk_cxit_vr200)</f>
        <v>37.0514392</v>
      </c>
      <c r="L11507" s="11" t="s">
        <v>832</v>
      </c>
    </row>
    <row r="11508" customFormat="false" ht="17.15" hidden="false" customHeight="false" outlineLevel="0" collapsed="false">
      <c r="A11508" s="0" t="s">
        <v>833</v>
      </c>
      <c r="B11508" s="0" t="s">
        <v>392</v>
      </c>
      <c r="F11508" s="29" t="n">
        <f aca="false">Sens!C11489*IF(Sens!F11482-Sens!C11482=life_it,1,0)+Sens!D11489*IF(Sens!F11482-Sens!D11482=life_it,1,0)+Sens!E11489*IF(Sens!F11482-Sens!E11482=life_it,1,0)</f>
        <v>0</v>
      </c>
      <c r="G11508" s="29" t="n">
        <f aca="false">Sens!C11489*IF(Sens!G11482-Sens!C11482=life_it,1,0)+Sens!D11489*IF(Sens!G11482-Sens!D11482=life_it,1,0)+Sens!E11489*IF(Sens!G11482-Sens!E11482=life_it,1,0)+Sens!F11489*IF(Sens!G11482-Sens!F11482=life_it,1,0)</f>
        <v>0</v>
      </c>
      <c r="H11508" s="29" t="n">
        <f aca="false">Sens!C11489*IF(Sens!H11482-Sens!C11482=life_it,1,0)+Sens!D11489*IF(Sens!H11482-Sens!D11482=life_it,1,0)+Sens!E11489*IF(Sens!H11482-Sens!E11482=life_it,1,0)+Sens!F11489*IF(Sens!H11482-Sens!F11482=life_it,1,0)+Sens!G11489*IF(Sens!H11482-Sens!G11482=life_it,1,0)</f>
        <v>0</v>
      </c>
      <c r="I11508" s="29" t="n">
        <f aca="false">Sens!C11489*IF(Sens!I11482-Sens!C11482=life_it,1,0)+Sens!D11489*IF(Sens!I11482-Sens!D11482=life_it,1,0)+Sens!E11489*IF(Sens!I11482-Sens!E11482=life_it,1,0)+Sens!F11489*IF(Sens!I11482-Sens!F11482=life_it,1,0)+Sens!G11489*IF(Sens!I11482-Sens!G11482=life_it,1,0)+Sens!H11489*IF(Sens!I11482-Sens!H11482=life_it,1,0)</f>
        <v>816.666666666667</v>
      </c>
      <c r="J11508" s="29" t="n">
        <f aca="false">Sens!C11489*IF(Sens!J11482-Sens!C11482=life_it,1,0)+Sens!D11489*IF(Sens!J11482-Sens!D11482=life_it,1,0)+Sens!E11489*IF(Sens!J11482-Sens!E11482=life_it,1,0)+Sens!F11489*IF(Sens!J11482-Sens!F11482=life_it,1,0)+Sens!G11489*IF(Sens!J11482-Sens!G11482=life_it,1,0)+Sens!H11489*IF(Sens!J11482-Sens!H11482=life_it,1,0)+Sens!I11489*IF(Sens!J11482-Sens!I11482=life_it,1,0)</f>
        <v>1233.33333333333</v>
      </c>
      <c r="K11508" s="29" t="n">
        <f aca="false">Sens!C11489*IF(Sens!K11482-Sens!C11482=life_it,1,0)+Sens!D11489*IF(Sens!K11482-Sens!D11482=life_it,1,0)+Sens!E11489*IF(Sens!K11482-Sens!E11482=life_it,1,0)+Sens!F11489*IF(Sens!K11482-Sens!F11482=life_it,1,0)+Sens!G11489*IF(Sens!K11482-Sens!G11482=life_it,1,0)+Sens!H11489*IF(Sens!K11482-Sens!H11482=life_it,1,0)+Sens!I11489*IF(Sens!K11482-Sens!I11482=life_it,1,0)+Sens!J11489*IF(Sens!K11482-Sens!J11482=life_it,1,0)</f>
        <v>2450</v>
      </c>
      <c r="L11508" s="1" t="s">
        <v>834</v>
      </c>
    </row>
    <row r="11509" customFormat="false" ht="17.15" hidden="false" customHeight="false" outlineLevel="0" collapsed="false">
      <c r="A11509" s="0" t="s">
        <v>835</v>
      </c>
      <c r="B11509" s="0" t="s">
        <v>98</v>
      </c>
      <c r="C11509" s="6" t="n">
        <f aca="false">Sens!C11489*Sens!C11507/1000</f>
        <v>22.5333845916667</v>
      </c>
      <c r="D11509" s="6" t="n">
        <f aca="false">Sens!D11489*Sens!D11507/1000</f>
        <v>34.0300093833333</v>
      </c>
      <c r="E11509" s="6" t="n">
        <f aca="false">Sens!E11489*Sens!E11507/1000</f>
        <v>67.600153775</v>
      </c>
      <c r="F11509" s="6" t="n">
        <f aca="false">(Sens!F11489+Sens!F11508)*Sens!F11507/1000</f>
        <v>130.923271871467</v>
      </c>
      <c r="G11509" s="6" t="n">
        <f aca="false">(Sens!G11489+Sens!G11508)*Sens!G11507/1000</f>
        <v>151.5545564832</v>
      </c>
      <c r="H11509" s="6" t="n">
        <f aca="false">(Sens!H11489+Sens!H11508)*Sens!H11507/1000</f>
        <v>156.0606619104</v>
      </c>
      <c r="I11509" s="6" t="n">
        <f aca="false">(Sens!I11489+Sens!I11508)*Sens!I11507/1000</f>
        <v>140.987889434245</v>
      </c>
      <c r="J11509" s="6" t="n">
        <f aca="false">(Sens!J11489+Sens!J11508)*Sens!J11507/1000</f>
        <v>111.094541278091</v>
      </c>
      <c r="K11509" s="6" t="n">
        <f aca="false">(Sens!K11489+Sens!K11508)*Sens!K11507/1000</f>
        <v>110.842344481936</v>
      </c>
    </row>
    <row r="11510" customFormat="false" ht="17.15" hidden="false" customHeight="false" outlineLevel="0" collapsed="false">
      <c r="A11510" s="0" t="s">
        <v>836</v>
      </c>
      <c r="B11510" s="0" t="s">
        <v>98</v>
      </c>
      <c r="C11510" s="6" t="n">
        <f aca="false">Sens!C11489*self_build*tk_cxfac/1000</f>
        <v>6.2083</v>
      </c>
      <c r="D11510" s="6" t="n">
        <f aca="false">Sens!D11489*self_build*tk_cxfac/1000</f>
        <v>9.3758</v>
      </c>
      <c r="E11510" s="6" t="n">
        <f aca="false">Sens!E11489*self_build*tk_cxfac/1000</f>
        <v>18.6249</v>
      </c>
      <c r="F11510" s="6" t="n">
        <f aca="false">Sens!F11489*self_build*tk_cxfac/1000</f>
        <v>29.409604</v>
      </c>
      <c r="G11510" s="6" t="n">
        <f aca="false">Sens!G11489*self_build*tk_cxfac/1000</f>
        <v>32.019624</v>
      </c>
      <c r="H11510" s="6" t="n">
        <f aca="false">Sens!H11489*self_build*tk_cxfac/1000</f>
        <v>32.019624</v>
      </c>
      <c r="I11510" s="6" t="n">
        <f aca="false">Sens!I11489*self_build*tk_cxfac/1000</f>
        <v>22.71877972</v>
      </c>
      <c r="J11510" s="6" t="n">
        <f aca="false">Sens!J11489*self_build*tk_cxfac/1000</f>
        <v>13.41793544</v>
      </c>
      <c r="K11510" s="6" t="n">
        <f aca="false">Sens!K11489*self_build*tk_cxfac/1000</f>
        <v>4.11709116000001</v>
      </c>
    </row>
    <row r="11511" customFormat="false" ht="17.15" hidden="false" customHeight="false" outlineLevel="0" collapsed="false">
      <c r="A11511" s="0" t="s">
        <v>837</v>
      </c>
      <c r="B11511" s="0" t="s">
        <v>98</v>
      </c>
      <c r="F11511" s="6" t="n">
        <f aca="false">MAX(0,capex_floor27-Sens!F11509-Sens!F11510-Sens!F11604)</f>
        <v>8.13777689897088</v>
      </c>
      <c r="L11511" s="1" t="s">
        <v>838</v>
      </c>
    </row>
    <row r="11512" customFormat="false" ht="17.15" hidden="false" customHeight="false" outlineLevel="0" collapsed="false">
      <c r="A11512" s="0" t="s">
        <v>839</v>
      </c>
      <c r="B11512" s="0" t="s">
        <v>98</v>
      </c>
      <c r="C11512" s="6" t="n">
        <f aca="false">Sens!C11509</f>
        <v>22.5333845916667</v>
      </c>
      <c r="D11512" s="6" t="n">
        <f aca="false">Sens!D11509</f>
        <v>34.0300093833333</v>
      </c>
      <c r="E11512" s="6" t="n">
        <f aca="false">Sens!E11509</f>
        <v>67.600153775</v>
      </c>
      <c r="F11512" s="6" t="n">
        <f aca="false">Sens!F11509+Sens!F11511</f>
        <v>139.061048770438</v>
      </c>
      <c r="G11512" s="6" t="n">
        <f aca="false">Sens!G11509</f>
        <v>151.5545564832</v>
      </c>
      <c r="H11512" s="6" t="n">
        <f aca="false">Sens!H11509</f>
        <v>156.0606619104</v>
      </c>
      <c r="I11512" s="6" t="n">
        <f aca="false">Sens!I11509</f>
        <v>140.987889434245</v>
      </c>
      <c r="J11512" s="6" t="n">
        <f aca="false">Sens!J11509</f>
        <v>111.094541278091</v>
      </c>
      <c r="K11512" s="6" t="n">
        <f aca="false">Sens!K11509</f>
        <v>110.842344481936</v>
      </c>
    </row>
    <row r="11513" customFormat="false" ht="17.15" hidden="false" customHeight="false" outlineLevel="0" collapsed="false">
      <c r="A11513" s="0" t="s">
        <v>840</v>
      </c>
      <c r="B11513" s="0" t="s">
        <v>98</v>
      </c>
      <c r="C11513" s="6" t="n">
        <f aca="false">Sens!C11512+Sens!C11510</f>
        <v>28.7416845916667</v>
      </c>
      <c r="D11513" s="6" t="n">
        <f aca="false">Sens!D11512+Sens!D11510</f>
        <v>43.4058093833333</v>
      </c>
      <c r="E11513" s="6" t="n">
        <f aca="false">Sens!E11512+Sens!E11510</f>
        <v>86.225053775</v>
      </c>
      <c r="F11513" s="6" t="n">
        <f aca="false">Sens!F11512+Sens!F11510</f>
        <v>168.470652770438</v>
      </c>
      <c r="G11513" s="6" t="n">
        <f aca="false">Sens!G11512+Sens!G11510</f>
        <v>183.5741804832</v>
      </c>
      <c r="H11513" s="6" t="n">
        <f aca="false">Sens!H11512+Sens!H11510</f>
        <v>188.0802859104</v>
      </c>
      <c r="I11513" s="6" t="n">
        <f aca="false">Sens!I11512+Sens!I11510</f>
        <v>163.706669154245</v>
      </c>
      <c r="J11513" s="6" t="n">
        <f aca="false">Sens!J11512+Sens!J11510</f>
        <v>124.51247671809</v>
      </c>
      <c r="K11513" s="6" t="n">
        <f aca="false">Sens!K11512+Sens!K11510</f>
        <v>114.959435641936</v>
      </c>
      <c r="L11513" s="11" t="s">
        <v>841</v>
      </c>
    </row>
    <row r="11514" customFormat="false" ht="17.15" hidden="false" customHeight="false" outlineLevel="0" collapsed="false">
      <c r="A11514" s="0" t="s">
        <v>842</v>
      </c>
      <c r="B11514" s="0" t="s">
        <v>98</v>
      </c>
      <c r="E11514" s="6" t="n">
        <f aca="false">(Sens!C11512*IF(2&lt;life_it,1,IF(2=life_it,0.5,0))+Sens!D11512*IF(1&lt;life_it,1,IF(1=life_it,0.5,0))+Sens!E11512*0.5)/life_it</f>
        <v>15.0605784770833</v>
      </c>
      <c r="F11514" s="6" t="n">
        <f aca="false">(Sens!C11512*IF(3&lt;life_it,1,IF(3=life_it,0.5,0))+Sens!D11512*IF(2&lt;life_it,1,IF(2=life_it,0.5,0))+Sens!E11512*IF(1&lt;life_it,1,IF(1=life_it,0.5,0))+Sens!F11512*0.5)/life_it</f>
        <v>32.2823453558698</v>
      </c>
      <c r="G11514" s="6" t="n">
        <f aca="false">(Sens!C11512*IF(4&lt;life_it,1,IF(4=life_it,0.5,0))+Sens!D11512*IF(3&lt;life_it,1,IF(3=life_it,0.5,0))+Sens!E11512*IF(2&lt;life_it,1,IF(2=life_it,0.5,0))+Sens!F11512*IF(1&lt;life_it,1,IF(1=life_it,0.5,0))+Sens!G11512*0.5)/life_it</f>
        <v>56.5003124603396</v>
      </c>
      <c r="H11514" s="6" t="n">
        <f aca="false">(Sens!C11512*IF(5&lt;life_it,1,IF(5=life_it,0.5,0))+Sens!D11512*IF(4&lt;life_it,1,IF(4=life_it,0.5,0))+Sens!E11512*IF(3&lt;life_it,1,IF(3=life_it,0.5,0))+Sens!F11512*IF(2&lt;life_it,1,IF(2=life_it,0.5,0))+Sens!G11512*IF(1&lt;life_it,1,IF(1=life_it,0.5,0))+Sens!H11512*0.5)/life_it</f>
        <v>82.1349139931396</v>
      </c>
      <c r="I11514" s="6" t="n">
        <f aca="false">(Sens!C11512*IF(6&lt;life_it,1,IF(6=life_it,0.5,0))+Sens!D11512*IF(5&lt;life_it,1,IF(5=life_it,0.5,0))+Sens!E11512*IF(4&lt;life_it,1,IF(4=life_it,0.5,0))+Sens!F11512*IF(3&lt;life_it,1,IF(3=life_it,0.5,0))+Sens!G11512*IF(2&lt;life_it,1,IF(2=life_it,0.5,0))+Sens!H11512*IF(1&lt;life_it,1,IF(1=life_it,0.5,0))+Sens!I11512*0.5)/life_it</f>
        <v>105.011177889221</v>
      </c>
      <c r="J11514" s="6" t="n">
        <f aca="false">(Sens!C11512*IF(7&lt;life_it,1,IF(7=life_it,0.5,0))+Sens!D11512*IF(6&lt;life_it,1,IF(6=life_it,0.5,0))+Sens!E11512*IF(5&lt;life_it,1,IF(5=life_it,0.5,0))+Sens!F11512*IF(4&lt;life_it,1,IF(4=life_it,0.5,0))+Sens!G11512*IF(3&lt;life_it,1,IF(3=life_it,0.5,0))+Sens!H11512*IF(2&lt;life_it,1,IF(2=life_it,0.5,0))+Sens!I11512*IF(1&lt;life_it,1,IF(1=life_it,0.5,0))+Sens!J11512*0.5)/life_it</f>
        <v>121.304430950666</v>
      </c>
      <c r="K11514" s="6" t="n">
        <f aca="false">(Sens!C11512*IF(8&lt;life_it,1,IF(8=life_it,0.5,0))+Sens!D11512*IF(7&lt;life_it,1,IF(7=life_it,0.5,0))+Sens!E11512*IF(6&lt;life_it,1,IF(6=life_it,0.5,0))+Sens!F11512*IF(5&lt;life_it,1,IF(5=life_it,0.5,0))+Sens!G11512*IF(4&lt;life_it,1,IF(4=life_it,0.5,0))+Sens!H11512*IF(3&lt;life_it,1,IF(3=life_it,0.5,0))+Sens!I11512*IF(2&lt;life_it,1,IF(2=life_it,0.5,0))+Sens!J11512*IF(1&lt;life_it,1,IF(1=life_it,0.5,0))+Sens!K11512*0.5)/life_it</f>
        <v>131.329991167474</v>
      </c>
    </row>
    <row r="11515" customFormat="false" ht="17.15" hidden="false" customHeight="false" outlineLevel="0" collapsed="false">
      <c r="A11515" s="0" t="s">
        <v>843</v>
      </c>
      <c r="B11515" s="0" t="s">
        <v>98</v>
      </c>
      <c r="E11515" s="6" t="n">
        <f aca="false">(Sens!C11510*IF(2&lt;life_fac,1,IF(2=life_fac,0.5,0))+Sens!D11510*IF(1&lt;life_fac,1,IF(1=life_fac,0.5,0))+Sens!E11510*0.5)/life_fac</f>
        <v>1.2448275</v>
      </c>
      <c r="F11515" s="6" t="n">
        <f aca="false">(Sens!C11510*IF(3&lt;life_fac,1,IF(3=life_fac,0.5,0))+Sens!D11510*IF(2&lt;life_fac,1,IF(2=life_fac,0.5,0))+Sens!E11510*IF(1&lt;life_fac,1,IF(1=life_fac,0.5,0))+Sens!F11510*0.5)/life_fac</f>
        <v>2.4456901</v>
      </c>
      <c r="G11515" s="6" t="n">
        <f aca="false">(Sens!C11510*IF(4&lt;life_fac,1,IF(4=life_fac,0.5,0))+Sens!D11510*IF(3&lt;life_fac,1,IF(3=life_fac,0.5,0))+Sens!E11510*IF(2&lt;life_fac,1,IF(2=life_fac,0.5,0))+Sens!F11510*IF(1&lt;life_fac,1,IF(1=life_fac,0.5,0))+Sens!G11510*0.5)/life_fac</f>
        <v>3.9814208</v>
      </c>
      <c r="H11515" s="6" t="n">
        <f aca="false">(Sens!C11510*IF(5&lt;life_fac,1,IF(5=life_fac,0.5,0))+Sens!D11510*IF(4&lt;life_fac,1,IF(4=life_fac,0.5,0))+Sens!E11510*IF(3&lt;life_fac,1,IF(3=life_fac,0.5,0))+Sens!F11510*IF(2&lt;life_fac,1,IF(2=life_fac,0.5,0))+Sens!G11510*IF(1&lt;life_fac,1,IF(1=life_fac,0.5,0))+Sens!H11510*0.5)/life_fac</f>
        <v>5.582402</v>
      </c>
      <c r="I11515" s="6" t="n">
        <f aca="false">(Sens!C11510*IF(6&lt;life_fac,1,IF(6=life_fac,0.5,0))+Sens!D11510*IF(5&lt;life_fac,1,IF(5=life_fac,0.5,0))+Sens!E11510*IF(4&lt;life_fac,1,IF(4=life_fac,0.5,0))+Sens!F11510*IF(3&lt;life_fac,1,IF(3=life_fac,0.5,0))+Sens!G11510*IF(2&lt;life_fac,1,IF(2=life_fac,0.5,0))+Sens!H11510*IF(1&lt;life_fac,1,IF(1=life_fac,0.5,0))+Sens!I11510*0.5)/life_fac</f>
        <v>6.950862093</v>
      </c>
      <c r="J11515" s="6" t="n">
        <f aca="false">(Sens!C11510*IF(7&lt;life_fac,1,IF(7=life_fac,0.5,0))+Sens!D11510*IF(6&lt;life_fac,1,IF(6=life_fac,0.5,0))+Sens!E11510*IF(5&lt;life_fac,1,IF(5=life_fac,0.5,0))+Sens!F11510*IF(4&lt;life_fac,1,IF(4=life_fac,0.5,0))+Sens!G11510*IF(3&lt;life_fac,1,IF(3=life_fac,0.5,0))+Sens!H11510*IF(2&lt;life_fac,1,IF(2=life_fac,0.5,0))+Sens!I11510*IF(1&lt;life_fac,1,IF(1=life_fac,0.5,0))+Sens!J11510*0.5)/life_fac</f>
        <v>7.854279972</v>
      </c>
      <c r="K11515" s="6" t="n">
        <f aca="false">(Sens!C11510*IF(8&lt;life_fac,1,IF(8=life_fac,0.5,0))+Sens!D11510*IF(7&lt;life_fac,1,IF(7=life_fac,0.5,0))+Sens!E11510*IF(6&lt;life_fac,1,IF(6=life_fac,0.5,0))+Sens!F11510*IF(5&lt;life_fac,1,IF(5=life_fac,0.5,0))+Sens!G11510*IF(4&lt;life_fac,1,IF(4=life_fac,0.5,0))+Sens!H11510*IF(3&lt;life_fac,1,IF(3=life_fac,0.5,0))+Sens!I11510*IF(2&lt;life_fac,1,IF(2=life_fac,0.5,0))+Sens!J11510*IF(1&lt;life_fac,1,IF(1=life_fac,0.5,0))+Sens!K11510*0.5)/life_fac</f>
        <v>8.292655637</v>
      </c>
    </row>
    <row r="11516" customFormat="false" ht="17.15" hidden="false" customHeight="false" outlineLevel="0" collapsed="false">
      <c r="A11516" s="0" t="s">
        <v>844</v>
      </c>
      <c r="B11516" s="0" t="s">
        <v>98</v>
      </c>
      <c r="E11516" s="6" t="n">
        <f aca="false">Sens!E11514+Sens!E11515</f>
        <v>16.3054059770833</v>
      </c>
      <c r="F11516" s="6" t="n">
        <f aca="false">Sens!F11514+Sens!F11515</f>
        <v>34.7280354558698</v>
      </c>
      <c r="G11516" s="6" t="n">
        <f aca="false">Sens!G11514+Sens!G11515</f>
        <v>60.4817332603396</v>
      </c>
      <c r="H11516" s="6" t="n">
        <f aca="false">Sens!H11514+Sens!H11515</f>
        <v>87.7173159931396</v>
      </c>
      <c r="I11516" s="6" t="n">
        <f aca="false">Sens!I11514+Sens!I11515</f>
        <v>111.962039982221</v>
      </c>
      <c r="J11516" s="6" t="n">
        <f aca="false">Sens!J11514+Sens!J11515</f>
        <v>129.158710922666</v>
      </c>
      <c r="K11516" s="6" t="n">
        <f aca="false">Sens!K11514+Sens!K11515</f>
        <v>139.622646804474</v>
      </c>
    </row>
    <row r="11517" customFormat="false" ht="17.15" hidden="false" customHeight="false" outlineLevel="0" collapsed="false">
      <c r="A11517" s="0" t="s">
        <v>845</v>
      </c>
      <c r="B11517" s="0" t="s">
        <v>98</v>
      </c>
      <c r="E11517" s="6" t="n">
        <f aca="false">Sens!E11505-Sens!E11504*Sens!E11516</f>
        <v>8.92707889977379</v>
      </c>
      <c r="F11517" s="6" t="n">
        <f aca="false">Sens!F11505-Sens!F11504*Sens!F11516</f>
        <v>22.2910321312152</v>
      </c>
      <c r="G11517" s="6" t="n">
        <f aca="false">Sens!G11505-Sens!G11504*Sens!G11516</f>
        <v>42.1822624237015</v>
      </c>
      <c r="H11517" s="6" t="n">
        <f aca="false">Sens!H11505-Sens!H11504*Sens!H11516</f>
        <v>67.5392346653351</v>
      </c>
      <c r="I11517" s="6" t="n">
        <f aca="false">Sens!I11505-Sens!I11504*Sens!I11516</f>
        <v>84.7556098462332</v>
      </c>
      <c r="J11517" s="6" t="n">
        <f aca="false">Sens!J11505-Sens!J11504*Sens!J11516</f>
        <v>96.7161673654554</v>
      </c>
      <c r="K11517" s="6" t="n">
        <f aca="false">Sens!K11505-Sens!K11504*Sens!K11516</f>
        <v>104.654352960045</v>
      </c>
    </row>
    <row r="11518" customFormat="false" ht="17.15" hidden="false" customHeight="false" outlineLevel="0" collapsed="false">
      <c r="A11518" s="3" t="s">
        <v>1535</v>
      </c>
    </row>
    <row r="11519" customFormat="false" ht="15" hidden="false" customHeight="false" outlineLevel="0" collapsed="false">
      <c r="A11519" s="4" t="s">
        <v>43</v>
      </c>
      <c r="B11519" s="4" t="s">
        <v>65</v>
      </c>
      <c r="C11519" s="20" t="s">
        <v>788</v>
      </c>
      <c r="D11519" s="20" t="s">
        <v>789</v>
      </c>
      <c r="E11519" s="20" t="s">
        <v>790</v>
      </c>
      <c r="F11519" s="20" t="s">
        <v>791</v>
      </c>
      <c r="G11519" s="20" t="s">
        <v>792</v>
      </c>
      <c r="H11519" s="20" t="s">
        <v>793</v>
      </c>
      <c r="I11519" s="20" t="s">
        <v>794</v>
      </c>
      <c r="J11519" s="20" t="s">
        <v>795</v>
      </c>
      <c r="K11519" s="20" t="s">
        <v>796</v>
      </c>
      <c r="L11519" s="4" t="s">
        <v>47</v>
      </c>
    </row>
    <row r="11520" customFormat="false" ht="17.15" hidden="false" customHeight="false" outlineLevel="0" collapsed="false">
      <c r="A11520" s="0" t="s">
        <v>864</v>
      </c>
      <c r="B11520" s="0" t="s">
        <v>98</v>
      </c>
      <c r="D11520" s="6" t="n">
        <f aca="false">Sens!D11499</f>
        <v>12.9359794422418</v>
      </c>
      <c r="E11520" s="6" t="n">
        <f aca="false">Sens!E11499</f>
        <v>27.8095064661409</v>
      </c>
      <c r="F11520" s="6" t="n">
        <f aca="false">Sens!F11499</f>
        <v>58.7324192305018</v>
      </c>
      <c r="G11520" s="6" t="n">
        <f aca="false">Sens!G11499</f>
        <v>101.369089141153</v>
      </c>
      <c r="H11520" s="6" t="n">
        <f aca="false">Sens!H11499</f>
        <v>149.785610014234</v>
      </c>
      <c r="I11520" s="6" t="n">
        <f aca="false">Sens!I11499</f>
        <v>187.368703083263</v>
      </c>
      <c r="J11520" s="6" t="n">
        <f aca="false">Sens!J11499</f>
        <v>213.569023125577</v>
      </c>
      <c r="K11520" s="6" t="n">
        <f aca="false">Sens!K11499</f>
        <v>229.890205197739</v>
      </c>
    </row>
    <row r="11521" customFormat="false" ht="17.15" hidden="false" customHeight="false" outlineLevel="0" collapsed="false">
      <c r="A11521" s="0" t="s">
        <v>865</v>
      </c>
      <c r="B11521" s="0" t="s">
        <v>98</v>
      </c>
      <c r="D11521" s="6" t="n">
        <f aca="false">Q!L6-Sens!D11520</f>
        <v>59.6740205577583</v>
      </c>
      <c r="E11521" s="6" t="n">
        <f aca="false">Q!M6-Sens!E11520</f>
        <v>74.1284935338591</v>
      </c>
      <c r="F11521" s="6" t="n">
        <f aca="false">Sens!E11521*(1+Sens!F11522)</f>
        <v>90.0799497373663</v>
      </c>
      <c r="G11521" s="6" t="n">
        <f aca="false">Sens!F11521*(1+Sens!G11522)</f>
        <v>107.02842520331</v>
      </c>
      <c r="H11521" s="6" t="n">
        <f aca="false">Sens!G11521*(1+Sens!H11522)</f>
        <v>124.271982585636</v>
      </c>
      <c r="I11521" s="6" t="n">
        <f aca="false">Sens!H11521*(1+Sens!I11522)</f>
        <v>140.933702381855</v>
      </c>
      <c r="J11521" s="6" t="n">
        <f aca="false">Sens!I11521*(1+Sens!J11522)</f>
        <v>156.018867314332</v>
      </c>
      <c r="K11521" s="6" t="n">
        <f aca="false">Sens!J11521*(1+Sens!K11522)</f>
        <v>168.500376699478</v>
      </c>
    </row>
    <row r="11522" customFormat="false" ht="15" hidden="false" customHeight="false" outlineLevel="0" collapsed="false">
      <c r="A11522" s="1" t="s">
        <v>866</v>
      </c>
      <c r="B11522" s="0" t="s">
        <v>129</v>
      </c>
      <c r="E11522" s="7" t="n">
        <f aca="false">Sens!E11521/Sens!D11521-1</f>
        <v>0.242223883039864</v>
      </c>
      <c r="F11522" s="7" t="n">
        <f aca="false">Sens!$E$11522+(glt_azo-Sens!$E$11522)*MIN(1,(Sens!F11482-base_fy)/n_conv)</f>
        <v>0.215186569199887</v>
      </c>
      <c r="G11522" s="7" t="n">
        <f aca="false">Sens!$E$11522+(glt_azo-Sens!$E$11522)*MIN(1,(Sens!G11482-base_fy)/n_conv)</f>
        <v>0.18814925535991</v>
      </c>
      <c r="H11522" s="7" t="n">
        <f aca="false">Sens!$E$11522+(glt_azo-Sens!$E$11522)*MIN(1,(Sens!H11482-base_fy)/n_conv)</f>
        <v>0.161111941519932</v>
      </c>
      <c r="I11522" s="7" t="n">
        <f aca="false">Sens!$E$11522+(glt_azo-Sens!$E$11522)*MIN(1,(Sens!I11482-base_fy)/n_conv)</f>
        <v>0.134074627679955</v>
      </c>
      <c r="J11522" s="7" t="n">
        <f aca="false">Sens!$E$11522+(glt_azo-Sens!$E$11522)*MIN(1,(Sens!J11482-base_fy)/n_conv)</f>
        <v>0.107037313839977</v>
      </c>
      <c r="K11522" s="7" t="n">
        <f aca="false">Sens!$E$11522+(glt_azo-Sens!$E$11522)*MIN(1,(Sens!K11482-base_fy)/n_conv)</f>
        <v>0.08</v>
      </c>
    </row>
    <row r="11523" customFormat="false" ht="15" hidden="false" customHeight="false" outlineLevel="0" collapsed="false">
      <c r="A11523" s="0" t="s">
        <v>867</v>
      </c>
      <c r="B11523" s="0" t="s">
        <v>98</v>
      </c>
      <c r="D11523" s="6" t="n">
        <f aca="false">Sens!D11520+Sens!D11521</f>
        <v>72.61</v>
      </c>
      <c r="E11523" s="6" t="n">
        <f aca="false">Sens!E11520+Sens!E11521</f>
        <v>101.938</v>
      </c>
      <c r="F11523" s="6" t="n">
        <f aca="false">Sens!F11520+Sens!F11521</f>
        <v>148.812368967868</v>
      </c>
      <c r="G11523" s="6" t="n">
        <f aca="false">Sens!G11520+Sens!G11521</f>
        <v>208.397514344463</v>
      </c>
      <c r="H11523" s="6" t="n">
        <f aca="false">Sens!H11520+Sens!H11521</f>
        <v>274.05759259987</v>
      </c>
      <c r="I11523" s="6" t="n">
        <f aca="false">Sens!I11520+Sens!I11521</f>
        <v>328.302405465117</v>
      </c>
      <c r="J11523" s="6" t="n">
        <f aca="false">Sens!J11520+Sens!J11521</f>
        <v>369.587890439908</v>
      </c>
      <c r="K11523" s="6" t="n">
        <f aca="false">Sens!K11520+Sens!K11521</f>
        <v>398.390581897217</v>
      </c>
    </row>
    <row r="11524" customFormat="false" ht="17.15" hidden="false" customHeight="false" outlineLevel="0" collapsed="false">
      <c r="A11524" s="0" t="s">
        <v>868</v>
      </c>
      <c r="B11524" s="1" t="s">
        <v>521</v>
      </c>
      <c r="C11524" s="29" t="n">
        <f aca="false">cop_s24</f>
        <v>1</v>
      </c>
      <c r="D11524" s="29" t="n">
        <f aca="false">cop_s25</f>
        <v>5</v>
      </c>
      <c r="E11524" s="29" t="n">
        <f aca="false">cop_s26</f>
        <v>30</v>
      </c>
      <c r="F11524" s="29" t="n">
        <f aca="false">Sens!E11524+cop_add_A</f>
        <v>60</v>
      </c>
      <c r="G11524" s="29" t="n">
        <f aca="false">Sens!F11524+cop_add_A</f>
        <v>90</v>
      </c>
      <c r="H11524" s="29" t="n">
        <f aca="false">Sens!G11524+cop_add_A</f>
        <v>120</v>
      </c>
      <c r="I11524" s="29" t="n">
        <f aca="false">Sens!H11524+cop_add_A*cop_tail</f>
        <v>135</v>
      </c>
      <c r="J11524" s="29" t="n">
        <f aca="false">Sens!I11524+cop_add_A*cop_tail</f>
        <v>150</v>
      </c>
      <c r="K11524" s="29" t="n">
        <f aca="false">Sens!J11524+cop_add_A*cop_tail</f>
        <v>165</v>
      </c>
      <c r="L11524" s="11" t="s">
        <v>869</v>
      </c>
    </row>
    <row r="11525" customFormat="false" ht="17.15" hidden="false" customHeight="false" outlineLevel="0" collapsed="false">
      <c r="A11525" s="0" t="s">
        <v>870</v>
      </c>
      <c r="B11525" s="0" t="s">
        <v>98</v>
      </c>
      <c r="D11525" s="6" t="n">
        <f aca="false">(Sens!C11524+Sens!D11524)/2*cop_px*12/1000</f>
        <v>0.9</v>
      </c>
      <c r="E11525" s="6" t="n">
        <f aca="false">(Sens!D11524+Sens!E11524)/2*cop_px*12/1000</f>
        <v>5.25</v>
      </c>
      <c r="F11525" s="6" t="n">
        <f aca="false">(Sens!E11524+Sens!F11524)/2*cop_px*12/1000</f>
        <v>13.5</v>
      </c>
      <c r="G11525" s="6" t="n">
        <f aca="false">(Sens!F11524+Sens!G11524)/2*cop_px*12/1000</f>
        <v>22.5</v>
      </c>
      <c r="H11525" s="6" t="n">
        <f aca="false">(Sens!G11524+Sens!H11524)/2*cop_px*12/1000</f>
        <v>31.5</v>
      </c>
      <c r="I11525" s="6" t="n">
        <f aca="false">(Sens!H11524+Sens!I11524)/2*cop_px*12/1000</f>
        <v>38.25</v>
      </c>
      <c r="J11525" s="6" t="n">
        <f aca="false">(Sens!I11524+Sens!J11524)/2*cop_px*12/1000</f>
        <v>42.75</v>
      </c>
      <c r="K11525" s="6" t="n">
        <f aca="false">(Sens!J11524+Sens!K11524)/2*cop_px*12/1000</f>
        <v>47.25</v>
      </c>
      <c r="L11525" s="1" t="s">
        <v>871</v>
      </c>
    </row>
    <row r="11526" customFormat="false" ht="17.15" hidden="false" customHeight="false" outlineLevel="0" collapsed="false">
      <c r="A11526" s="0" t="s">
        <v>872</v>
      </c>
      <c r="B11526" s="0" t="s">
        <v>98</v>
      </c>
      <c r="D11526" s="6" t="n">
        <f aca="false">Q!L7-Sens!D11525</f>
        <v>83.705</v>
      </c>
      <c r="E11526" s="6" t="n">
        <f aca="false">Q!M7-Sens!E11525</f>
        <v>95.049</v>
      </c>
      <c r="F11526" s="6" t="n">
        <f aca="false">Sens!E11526*(1+Sens!F11527)</f>
        <v>106.89238776686</v>
      </c>
      <c r="G11526" s="6" t="n">
        <f aca="false">Sens!F11526*(1+Sens!G11527)</f>
        <v>119.044168448684</v>
      </c>
      <c r="H11526" s="6" t="n">
        <f aca="false">Sens!G11526*(1+Sens!H11527)</f>
        <v>131.277359388781</v>
      </c>
      <c r="I11526" s="6" t="n">
        <f aca="false">Sens!H11526*(1+Sens!I11527)</f>
        <v>143.334028071957</v>
      </c>
      <c r="J11526" s="6" t="n">
        <f aca="false">Sens!I11526*(1+Sens!J11527)</f>
        <v>154.932702785465</v>
      </c>
      <c r="K11526" s="6" t="n">
        <f aca="false">Sens!J11526*(1+Sens!K11527)</f>
        <v>165.777991980448</v>
      </c>
    </row>
    <row r="11527" customFormat="false" ht="15" hidden="false" customHeight="false" outlineLevel="0" collapsed="false">
      <c r="A11527" s="1" t="s">
        <v>866</v>
      </c>
      <c r="B11527" s="0" t="s">
        <v>129</v>
      </c>
      <c r="E11527" s="7" t="n">
        <f aca="false">Sens!E11526/Sens!D11526-1</f>
        <v>0.135523564900544</v>
      </c>
      <c r="F11527" s="7" t="n">
        <f aca="false">Sens!$E$11527+(glt_m365b-Sens!$E$11527)*MIN(1,(Sens!F11482-base_fy)/n_conv)</f>
        <v>0.124602970750453</v>
      </c>
      <c r="G11527" s="7" t="n">
        <f aca="false">Sens!$E$11527+(glt_m365b-Sens!$E$11527)*MIN(1,(Sens!G11482-base_fy)/n_conv)</f>
        <v>0.113682376600363</v>
      </c>
      <c r="H11527" s="7" t="n">
        <f aca="false">Sens!$E$11527+(glt_m365b-Sens!$E$11527)*MIN(1,(Sens!H11482-base_fy)/n_conv)</f>
        <v>0.102761782450272</v>
      </c>
      <c r="I11527" s="7" t="n">
        <f aca="false">Sens!$E$11527+(glt_m365b-Sens!$E$11527)*MIN(1,(Sens!I11482-base_fy)/n_conv)</f>
        <v>0.0918411883001813</v>
      </c>
      <c r="J11527" s="7" t="n">
        <f aca="false">Sens!$E$11527+(glt_m365b-Sens!$E$11527)*MIN(1,(Sens!J11482-base_fy)/n_conv)</f>
        <v>0.0809205941500906</v>
      </c>
      <c r="K11527" s="7" t="n">
        <f aca="false">Sens!$E$11527+(glt_m365b-Sens!$E$11527)*MIN(1,(Sens!K11482-base_fy)/n_conv)</f>
        <v>0.07</v>
      </c>
    </row>
    <row r="11528" customFormat="false" ht="15" hidden="false" customHeight="false" outlineLevel="0" collapsed="false">
      <c r="A11528" s="0" t="s">
        <v>873</v>
      </c>
      <c r="B11528" s="0" t="s">
        <v>98</v>
      </c>
      <c r="D11528" s="6" t="n">
        <f aca="false">Sens!D11526+Sens!D11525</f>
        <v>84.605</v>
      </c>
      <c r="E11528" s="6" t="n">
        <f aca="false">Sens!E11526+Sens!E11525</f>
        <v>100.299</v>
      </c>
      <c r="F11528" s="6" t="n">
        <f aca="false">Sens!F11526+Sens!F11525</f>
        <v>120.39238776686</v>
      </c>
      <c r="G11528" s="6" t="n">
        <f aca="false">Sens!G11526+Sens!G11525</f>
        <v>141.544168448684</v>
      </c>
      <c r="H11528" s="6" t="n">
        <f aca="false">Sens!H11526+Sens!H11525</f>
        <v>162.777359388781</v>
      </c>
      <c r="I11528" s="6" t="n">
        <f aca="false">Sens!I11526+Sens!I11525</f>
        <v>181.584028071957</v>
      </c>
      <c r="J11528" s="6" t="n">
        <f aca="false">Sens!J11526+Sens!J11525</f>
        <v>197.682702785465</v>
      </c>
      <c r="K11528" s="6" t="n">
        <f aca="false">Sens!K11526+Sens!K11525</f>
        <v>213.027991980448</v>
      </c>
    </row>
    <row r="11529" customFormat="false" ht="15" hidden="false" customHeight="false" outlineLevel="0" collapsed="false">
      <c r="A11529" s="0" t="s">
        <v>874</v>
      </c>
      <c r="B11529" s="0" t="s">
        <v>98</v>
      </c>
      <c r="D11529" s="6" t="n">
        <f aca="false">Q!L8</f>
        <v>35.391</v>
      </c>
      <c r="E11529" s="6" t="n">
        <f aca="false">Q!M8</f>
        <v>37.285</v>
      </c>
      <c r="F11529" s="6" t="n">
        <f aca="false">Sens!E11529*(1+Sens!F11530)</f>
        <v>39.0720834331704</v>
      </c>
      <c r="G11529" s="6" t="n">
        <f aca="false">Sens!F11529*(1+Sens!G11530)</f>
        <v>40.726562953769</v>
      </c>
      <c r="H11529" s="6" t="n">
        <f aca="false">Sens!G11529*(1+Sens!H11530)</f>
        <v>42.2235987259198</v>
      </c>
      <c r="I11529" s="6" t="n">
        <f aca="false">Sens!H11529*(1+Sens!I11530)</f>
        <v>43.5397988077414</v>
      </c>
      <c r="J11529" s="6" t="n">
        <f aca="false">Sens!I11529*(1+Sens!J11530)</f>
        <v>44.653811225693</v>
      </c>
      <c r="K11529" s="6" t="n">
        <f aca="false">Sens!J11529*(1+Sens!K11530)</f>
        <v>45.5468874502068</v>
      </c>
    </row>
    <row r="11530" customFormat="false" ht="15" hidden="false" customHeight="false" outlineLevel="0" collapsed="false">
      <c r="A11530" s="1" t="s">
        <v>866</v>
      </c>
      <c r="B11530" s="0" t="s">
        <v>129</v>
      </c>
      <c r="E11530" s="7" t="n">
        <f aca="false">Sens!E11529/Sens!D11529-1</f>
        <v>0.0535164307309768</v>
      </c>
      <c r="F11530" s="7" t="n">
        <f aca="false">Sens!$E$11530+(glt_lic-Sens!$E$11530)*MIN(1,(Sens!F11482-base_fy)/n_conv)</f>
        <v>0.0479303589424807</v>
      </c>
      <c r="G11530" s="7" t="n">
        <f aca="false">Sens!$E$11530+(glt_lic-Sens!$E$11530)*MIN(1,(Sens!G11482-base_fy)/n_conv)</f>
        <v>0.0423442871539845</v>
      </c>
      <c r="H11530" s="7" t="n">
        <f aca="false">Sens!$E$11530+(glt_lic-Sens!$E$11530)*MIN(1,(Sens!H11482-base_fy)/n_conv)</f>
        <v>0.0367582153654884</v>
      </c>
      <c r="I11530" s="7" t="n">
        <f aca="false">Sens!$E$11530+(glt_lic-Sens!$E$11530)*MIN(1,(Sens!I11482-base_fy)/n_conv)</f>
        <v>0.0311721435769923</v>
      </c>
      <c r="J11530" s="7" t="n">
        <f aca="false">Sens!$E$11530+(glt_lic-Sens!$E$11530)*MIN(1,(Sens!J11482-base_fy)/n_conv)</f>
        <v>0.0255860717884961</v>
      </c>
      <c r="K11530" s="7" t="n">
        <f aca="false">Sens!$E$11530+(glt_lic-Sens!$E$11530)*MIN(1,(Sens!K11482-base_fy)/n_conv)</f>
        <v>0.02</v>
      </c>
    </row>
    <row r="11531" customFormat="false" ht="15" hidden="false" customHeight="false" outlineLevel="0" collapsed="false">
      <c r="A11531" s="0" t="s">
        <v>875</v>
      </c>
      <c r="B11531" s="0" t="s">
        <v>98</v>
      </c>
      <c r="D11531" s="6" t="n">
        <f aca="false">Q!L9</f>
        <v>18.417</v>
      </c>
      <c r="E11531" s="6" t="n">
        <f aca="false">Q!M9</f>
        <v>20.345</v>
      </c>
      <c r="F11531" s="6" t="n">
        <f aca="false">Sens!E11531*(1+Sens!F11532)</f>
        <v>22.3572203267814</v>
      </c>
      <c r="G11531" s="6" t="n">
        <f aca="false">Sens!F11531*(1+Sens!G11532)</f>
        <v>24.4392124437232</v>
      </c>
      <c r="H11531" s="6" t="n">
        <f aca="false">Sens!G11531*(1+Sens!H11532)</f>
        <v>26.5738052080665</v>
      </c>
      <c r="I11531" s="6" t="n">
        <f aca="false">Sens!H11531*(1+Sens!I11532)</f>
        <v>28.7412169166967</v>
      </c>
      <c r="J11531" s="6" t="n">
        <f aca="false">Sens!I11531*(1+Sens!J11532)</f>
        <v>30.9192545395413</v>
      </c>
      <c r="K11531" s="6" t="n">
        <f aca="false">Sens!J11531*(1+Sens!K11532)</f>
        <v>33.0836023573092</v>
      </c>
    </row>
    <row r="11532" customFormat="false" ht="15" hidden="false" customHeight="false" outlineLevel="0" collapsed="false">
      <c r="A11532" s="1" t="s">
        <v>866</v>
      </c>
      <c r="B11532" s="0" t="s">
        <v>129</v>
      </c>
      <c r="E11532" s="7" t="n">
        <f aca="false">Sens!E11531/Sens!D11531-1</f>
        <v>0.104685888038225</v>
      </c>
      <c r="F11532" s="7" t="n">
        <f aca="false">Sens!$E$11532+(glt_ind-Sens!$E$11532)*MIN(1,(Sens!F11482-base_fy)/n_conv)</f>
        <v>0.0989049066985211</v>
      </c>
      <c r="G11532" s="7" t="n">
        <f aca="false">Sens!$E$11532+(glt_ind-Sens!$E$11532)*MIN(1,(Sens!G11482-base_fy)/n_conv)</f>
        <v>0.0931239253588169</v>
      </c>
      <c r="H11532" s="7" t="n">
        <f aca="false">Sens!$E$11532+(glt_ind-Sens!$E$11532)*MIN(1,(Sens!H11482-base_fy)/n_conv)</f>
        <v>0.0873429440191127</v>
      </c>
      <c r="I11532" s="7" t="n">
        <f aca="false">Sens!$E$11532+(glt_ind-Sens!$E$11532)*MIN(1,(Sens!I11482-base_fy)/n_conv)</f>
        <v>0.0815619626794085</v>
      </c>
      <c r="J11532" s="7" t="n">
        <f aca="false">Sens!$E$11532+(glt_ind-Sens!$E$11532)*MIN(1,(Sens!J11482-base_fy)/n_conv)</f>
        <v>0.0757809813397042</v>
      </c>
      <c r="K11532" s="7" t="n">
        <f aca="false">Sens!$E$11532+(glt_ind-Sens!$E$11532)*MIN(1,(Sens!K11482-base_fy)/n_conv)</f>
        <v>0.07</v>
      </c>
    </row>
    <row r="11533" customFormat="false" ht="15" hidden="false" customHeight="false" outlineLevel="0" collapsed="false">
      <c r="A11533" s="0" t="s">
        <v>876</v>
      </c>
      <c r="B11533" s="0" t="s">
        <v>98</v>
      </c>
      <c r="D11533" s="6" t="n">
        <f aca="false">Q!L10</f>
        <v>7.76</v>
      </c>
      <c r="E11533" s="6" t="n">
        <f aca="false">Q!M10</f>
        <v>8.26</v>
      </c>
      <c r="F11533" s="6" t="n">
        <f aca="false">Sens!E11533*(1+Sens!F11534)</f>
        <v>8.79988041237113</v>
      </c>
      <c r="G11533" s="6" t="n">
        <f aca="false">Sens!F11533*(1+Sens!G11534)</f>
        <v>9.38321269125306</v>
      </c>
      <c r="H11533" s="6" t="n">
        <f aca="false">Sens!G11533*(1+Sens!H11534)</f>
        <v>10.0139193587476</v>
      </c>
      <c r="I11533" s="6" t="n">
        <f aca="false">Sens!H11533*(1+Sens!I11534)</f>
        <v>10.6963111830911</v>
      </c>
      <c r="J11533" s="6" t="n">
        <f aca="false">Sens!I11533*(1+Sens!J11534)</f>
        <v>11.4351285534696</v>
      </c>
      <c r="K11533" s="6" t="n">
        <f aca="false">Sens!J11533*(1+Sens!K11534)</f>
        <v>12.2355875522124</v>
      </c>
    </row>
    <row r="11534" customFormat="false" ht="15" hidden="false" customHeight="false" outlineLevel="0" collapsed="false">
      <c r="A11534" s="1" t="s">
        <v>866</v>
      </c>
      <c r="B11534" s="0" t="s">
        <v>129</v>
      </c>
      <c r="E11534" s="7" t="n">
        <f aca="false">Sens!E11533/Sens!D11533-1</f>
        <v>0.0644329896907216</v>
      </c>
      <c r="F11534" s="7" t="n">
        <f aca="false">Sens!$E$11534+(glt_fro-Sens!$E$11534)*MIN(1,(Sens!F11482-base_fy)/n_conv)</f>
        <v>0.065360824742268</v>
      </c>
      <c r="G11534" s="7" t="n">
        <f aca="false">Sens!$E$11534+(glt_fro-Sens!$E$11534)*MIN(1,(Sens!G11482-base_fy)/n_conv)</f>
        <v>0.0662886597938144</v>
      </c>
      <c r="H11534" s="7" t="n">
        <f aca="false">Sens!$E$11534+(glt_fro-Sens!$E$11534)*MIN(1,(Sens!H11482-base_fy)/n_conv)</f>
        <v>0.0672164948453608</v>
      </c>
      <c r="I11534" s="7" t="n">
        <f aca="false">Sens!$E$11534+(glt_fro-Sens!$E$11534)*MIN(1,(Sens!I11482-base_fy)/n_conv)</f>
        <v>0.0681443298969072</v>
      </c>
      <c r="J11534" s="7" t="n">
        <f aca="false">Sens!$E$11534+(glt_fro-Sens!$E$11534)*MIN(1,(Sens!J11482-base_fy)/n_conv)</f>
        <v>0.0690721649484536</v>
      </c>
      <c r="K11534" s="7" t="n">
        <f aca="false">Sens!$E$11534+(glt_fro-Sens!$E$11534)*MIN(1,(Sens!K11482-base_fy)/n_conv)</f>
        <v>0.07</v>
      </c>
    </row>
    <row r="11535" customFormat="false" ht="15" hidden="false" customHeight="false" outlineLevel="0" collapsed="false">
      <c r="A11535" s="0" t="s">
        <v>704</v>
      </c>
      <c r="B11535" s="0" t="s">
        <v>98</v>
      </c>
      <c r="D11535" s="6" t="n">
        <f aca="false">Sens!D11523+Sens!D11528+Sens!D11529+Sens!D11531+Sens!D11533</f>
        <v>218.783</v>
      </c>
      <c r="E11535" s="6" t="n">
        <f aca="false">Sens!E11523+Sens!E11528+Sens!E11529+Sens!E11531+Sens!E11533</f>
        <v>268.127</v>
      </c>
      <c r="F11535" s="6" t="n">
        <f aca="false">Sens!F11523+Sens!F11528+Sens!F11529+Sens!F11531+Sens!F11533</f>
        <v>339.433940907051</v>
      </c>
      <c r="G11535" s="6" t="n">
        <f aca="false">Sens!G11523+Sens!G11528+Sens!G11529+Sens!G11531+Sens!G11533</f>
        <v>424.490670881892</v>
      </c>
      <c r="H11535" s="6" t="n">
        <f aca="false">Sens!H11523+Sens!H11528+Sens!H11529+Sens!H11531+Sens!H11533</f>
        <v>515.646275281385</v>
      </c>
      <c r="I11535" s="6" t="n">
        <f aca="false">Sens!I11523+Sens!I11528+Sens!I11529+Sens!I11531+Sens!I11533</f>
        <v>592.863760444604</v>
      </c>
      <c r="J11535" s="6" t="n">
        <f aca="false">Sens!J11523+Sens!J11528+Sens!J11529+Sens!J11531+Sens!J11533</f>
        <v>654.278787544077</v>
      </c>
      <c r="K11535" s="6" t="n">
        <f aca="false">Sens!K11523+Sens!K11528+Sens!K11529+Sens!K11531+Sens!K11533</f>
        <v>702.284651237393</v>
      </c>
    </row>
    <row r="11536" customFormat="false" ht="15" hidden="false" customHeight="false" outlineLevel="0" collapsed="false">
      <c r="A11536" s="0" t="s">
        <v>877</v>
      </c>
      <c r="B11536" s="0" t="s">
        <v>98</v>
      </c>
      <c r="D11536" s="6" t="n">
        <f aca="false">Q!L13</f>
        <v>22.171</v>
      </c>
      <c r="E11536" s="6" t="n">
        <f aca="false">Q!M13</f>
        <v>24.835</v>
      </c>
      <c r="F11536" s="6" t="n">
        <f aca="false">Sens!E11536*(1+Sens!F11537)</f>
        <v>27.6114901218559</v>
      </c>
      <c r="G11536" s="6" t="n">
        <f aca="false">Sens!F11536*(1+Sens!G11537)</f>
        <v>30.4675667338515</v>
      </c>
      <c r="H11536" s="6" t="n">
        <f aca="false">Sens!G11536*(1+Sens!H11537)</f>
        <v>33.3643766955789</v>
      </c>
      <c r="I11536" s="6" t="n">
        <f aca="false">Sens!H11536*(1+Sens!I11537)</f>
        <v>36.2577016533691</v>
      </c>
      <c r="J11536" s="6" t="n">
        <f aca="false">Sens!I11536*(1+Sens!J11537)</f>
        <v>39.0988367952171</v>
      </c>
      <c r="K11536" s="6" t="n">
        <f aca="false">Sens!J11536*(1+Sens!K11537)</f>
        <v>41.8357553708823</v>
      </c>
    </row>
    <row r="11537" customFormat="false" ht="15" hidden="false" customHeight="false" outlineLevel="0" collapsed="false">
      <c r="A11537" s="1" t="s">
        <v>866</v>
      </c>
      <c r="B11537" s="0" t="s">
        <v>129</v>
      </c>
      <c r="E11537" s="7" t="n">
        <f aca="false">Sens!E11536/Sens!D11536-1</f>
        <v>0.120156961796942</v>
      </c>
      <c r="F11537" s="7" t="n">
        <f aca="false">Sens!$E$11537+(glt_srch-Sens!$E$11537)*MIN(1,(Sens!F11482-base_fy)/n_conv)</f>
        <v>0.111797468164118</v>
      </c>
      <c r="G11537" s="7" t="n">
        <f aca="false">Sens!$E$11537+(glt_srch-Sens!$E$11537)*MIN(1,(Sens!G11482-base_fy)/n_conv)</f>
        <v>0.103437974531295</v>
      </c>
      <c r="H11537" s="7" t="n">
        <f aca="false">Sens!$E$11537+(glt_srch-Sens!$E$11537)*MIN(1,(Sens!H11482-base_fy)/n_conv)</f>
        <v>0.095078480898471</v>
      </c>
      <c r="I11537" s="7" t="n">
        <f aca="false">Sens!$E$11537+(glt_srch-Sens!$E$11537)*MIN(1,(Sens!I11482-base_fy)/n_conv)</f>
        <v>0.0867189872656474</v>
      </c>
      <c r="J11537" s="7" t="n">
        <f aca="false">Sens!$E$11537+(glt_srch-Sens!$E$11537)*MIN(1,(Sens!J11482-base_fy)/n_conv)</f>
        <v>0.0783594936328237</v>
      </c>
      <c r="K11537" s="7" t="n">
        <f aca="false">Sens!$E$11537+(glt_srch-Sens!$E$11537)*MIN(1,(Sens!K11482-base_fy)/n_conv)</f>
        <v>0.07</v>
      </c>
    </row>
    <row r="11538" customFormat="false" ht="15" hidden="false" customHeight="false" outlineLevel="0" collapsed="false">
      <c r="A11538" s="0" t="s">
        <v>878</v>
      </c>
      <c r="B11538" s="0" t="s">
        <v>98</v>
      </c>
      <c r="D11538" s="6" t="n">
        <f aca="false">Q!L14</f>
        <v>23.455</v>
      </c>
      <c r="E11538" s="6" t="n">
        <f aca="false">Q!M14</f>
        <v>21.79</v>
      </c>
      <c r="F11538" s="6" t="n">
        <f aca="false">Sens!E11538*(1+Sens!F11539)</f>
        <v>20.5736277908051</v>
      </c>
      <c r="G11538" s="6" t="n">
        <f aca="false">Sens!F11538*(1+Sens!G11539)</f>
        <v>19.7371452817919</v>
      </c>
      <c r="H11538" s="6" t="n">
        <f aca="false">Sens!G11538*(1+Sens!H11539)</f>
        <v>19.2339764043138</v>
      </c>
      <c r="I11538" s="6" t="n">
        <f aca="false">Sens!H11538*(1+Sens!I11539)</f>
        <v>19.0353086852681</v>
      </c>
      <c r="J11538" s="6" t="n">
        <f aca="false">Sens!I11538*(1+Sens!J11539)</f>
        <v>19.1273539319129</v>
      </c>
      <c r="K11538" s="6" t="n">
        <f aca="false">Sens!J11538*(1+Sens!K11539)</f>
        <v>19.5099010105511</v>
      </c>
    </row>
    <row r="11539" customFormat="false" ht="15" hidden="false" customHeight="false" outlineLevel="0" collapsed="false">
      <c r="A11539" s="1" t="s">
        <v>866</v>
      </c>
      <c r="B11539" s="0" t="s">
        <v>129</v>
      </c>
      <c r="E11539" s="7" t="n">
        <f aca="false">Sens!E11538/Sens!D11538-1</f>
        <v>-0.0709869963760392</v>
      </c>
      <c r="F11539" s="7" t="n">
        <f aca="false">Sens!$E$11539+(glt_xbox-Sens!$E$11539)*MIN(1,(Sens!F11482-base_fy)/n_conv)</f>
        <v>-0.0558224969800327</v>
      </c>
      <c r="G11539" s="7" t="n">
        <f aca="false">Sens!$E$11539+(glt_xbox-Sens!$E$11539)*MIN(1,(Sens!G11482-base_fy)/n_conv)</f>
        <v>-0.0406579975840262</v>
      </c>
      <c r="H11539" s="7" t="n">
        <f aca="false">Sens!$E$11539+(glt_xbox-Sens!$E$11539)*MIN(1,(Sens!H11482-base_fy)/n_conv)</f>
        <v>-0.0254934981880196</v>
      </c>
      <c r="I11539" s="7" t="n">
        <f aca="false">Sens!$E$11539+(glt_xbox-Sens!$E$11539)*MIN(1,(Sens!I11482-base_fy)/n_conv)</f>
        <v>-0.0103289987920131</v>
      </c>
      <c r="J11539" s="7" t="n">
        <f aca="false">Sens!$E$11539+(glt_xbox-Sens!$E$11539)*MIN(1,(Sens!J11482-base_fy)/n_conv)</f>
        <v>0.00483550060399347</v>
      </c>
      <c r="K11539" s="7" t="n">
        <f aca="false">Sens!$E$11539+(glt_xbox-Sens!$E$11539)*MIN(1,(Sens!K11482-base_fy)/n_conv)</f>
        <v>0.02</v>
      </c>
    </row>
    <row r="11540" customFormat="false" ht="15" hidden="false" customHeight="false" outlineLevel="0" collapsed="false">
      <c r="A11540" s="0" t="s">
        <v>879</v>
      </c>
      <c r="B11540" s="0" t="s">
        <v>98</v>
      </c>
      <c r="D11540" s="6" t="n">
        <f aca="false">Q!L15</f>
        <v>17.315</v>
      </c>
      <c r="E11540" s="6" t="n">
        <f aca="false">Q!M15</f>
        <v>17.087</v>
      </c>
      <c r="F11540" s="6" t="n">
        <f aca="false">Sens!E11540*(1+Sens!F11541)</f>
        <v>16.9564585436519</v>
      </c>
      <c r="G11540" s="6" t="n">
        <f aca="false">Sens!F11540*(1+Sens!G11541)</f>
        <v>16.9206490624268</v>
      </c>
      <c r="H11540" s="6" t="n">
        <f aca="false">Sens!G11540*(1+Sens!H11541)</f>
        <v>16.9784519149849</v>
      </c>
      <c r="I11540" s="6" t="n">
        <f aca="false">Sens!H11540*(1+Sens!I11541)</f>
        <v>17.1303084701817</v>
      </c>
      <c r="J11540" s="6" t="n">
        <f aca="false">Sens!I11540*(1+Sens!J11541)</f>
        <v>17.3782189407267</v>
      </c>
      <c r="K11540" s="6" t="n">
        <f aca="false">Sens!J11540*(1+Sens!K11541)</f>
        <v>17.7257833195413</v>
      </c>
    </row>
    <row r="11541" customFormat="false" ht="15" hidden="false" customHeight="false" outlineLevel="0" collapsed="false">
      <c r="A11541" s="1" t="s">
        <v>866</v>
      </c>
      <c r="B11541" s="0" t="s">
        <v>129</v>
      </c>
      <c r="E11541" s="7" t="n">
        <f aca="false">Sens!E11540/Sens!D11540-1</f>
        <v>-0.0131677736066995</v>
      </c>
      <c r="F11541" s="7" t="n">
        <f aca="false">Sens!$E$11541+(glt_win-Sens!$E$11541)*MIN(1,(Sens!F11482-base_fy)/n_conv)</f>
        <v>-0.00763981133891627</v>
      </c>
      <c r="G11541" s="7" t="n">
        <f aca="false">Sens!$E$11541+(glt_win-Sens!$E$11541)*MIN(1,(Sens!G11482-base_fy)/n_conv)</f>
        <v>-0.00211184907113301</v>
      </c>
      <c r="H11541" s="7" t="n">
        <f aca="false">Sens!$E$11541+(glt_win-Sens!$E$11541)*MIN(1,(Sens!H11482-base_fy)/n_conv)</f>
        <v>0.00341611319665024</v>
      </c>
      <c r="I11541" s="7" t="n">
        <f aca="false">Sens!$E$11541+(glt_win-Sens!$E$11541)*MIN(1,(Sens!I11482-base_fy)/n_conv)</f>
        <v>0.00894407546443349</v>
      </c>
      <c r="J11541" s="7" t="n">
        <f aca="false">Sens!$E$11541+(glt_win-Sens!$E$11541)*MIN(1,(Sens!J11482-base_fy)/n_conv)</f>
        <v>0.0144720377322168</v>
      </c>
      <c r="K11541" s="7" t="n">
        <f aca="false">Sens!$E$11541+(glt_win-Sens!$E$11541)*MIN(1,(Sens!K11482-base_fy)/n_conv)</f>
        <v>0.02</v>
      </c>
    </row>
    <row r="11542" customFormat="false" ht="15" hidden="false" customHeight="false" outlineLevel="0" collapsed="false">
      <c r="A11542" s="0" t="s">
        <v>718</v>
      </c>
      <c r="B11542" s="0" t="s">
        <v>98</v>
      </c>
      <c r="D11542" s="6" t="n">
        <f aca="false">Sens!D11536+Sens!D11538+Sens!D11540</f>
        <v>62.941</v>
      </c>
      <c r="E11542" s="6" t="n">
        <f aca="false">Sens!E11536+Sens!E11538+Sens!E11540</f>
        <v>63.712</v>
      </c>
      <c r="F11542" s="6" t="n">
        <f aca="false">Sens!F11536+Sens!F11538+Sens!F11540</f>
        <v>65.1415764563129</v>
      </c>
      <c r="G11542" s="6" t="n">
        <f aca="false">Sens!G11536+Sens!G11538+Sens!G11540</f>
        <v>67.1253610780702</v>
      </c>
      <c r="H11542" s="6" t="n">
        <f aca="false">Sens!H11536+Sens!H11538+Sens!H11540</f>
        <v>69.5768050148776</v>
      </c>
      <c r="I11542" s="6" t="n">
        <f aca="false">Sens!I11536+Sens!I11538+Sens!I11540</f>
        <v>72.4233188088189</v>
      </c>
      <c r="J11542" s="6" t="n">
        <f aca="false">Sens!J11536+Sens!J11538+Sens!J11540</f>
        <v>75.6044096678567</v>
      </c>
      <c r="K11542" s="6" t="n">
        <f aca="false">Sens!K11536+Sens!K11538+Sens!K11540</f>
        <v>79.0714397009747</v>
      </c>
    </row>
    <row r="11543" customFormat="false" ht="15" hidden="false" customHeight="false" outlineLevel="0" collapsed="false">
      <c r="A11543" s="1" t="s">
        <v>880</v>
      </c>
      <c r="B11543" s="0" t="s">
        <v>98</v>
      </c>
      <c r="D11543" s="6" t="n">
        <f aca="false">Sens!D11535+Sens!D11542</f>
        <v>281.724</v>
      </c>
      <c r="E11543" s="6" t="n">
        <f aca="false">Sens!E11535+Sens!E11542</f>
        <v>331.839</v>
      </c>
      <c r="F11543" s="6" t="n">
        <f aca="false">Sens!F11535+Sens!F11542</f>
        <v>404.575517363364</v>
      </c>
      <c r="G11543" s="6" t="n">
        <f aca="false">Sens!G11535+Sens!G11542</f>
        <v>491.616031959962</v>
      </c>
      <c r="H11543" s="6" t="n">
        <f aca="false">Sens!H11535+Sens!H11542</f>
        <v>585.223080296262</v>
      </c>
      <c r="I11543" s="6" t="n">
        <f aca="false">Sens!I11535+Sens!I11542</f>
        <v>665.287079253422</v>
      </c>
      <c r="J11543" s="6" t="n">
        <f aca="false">Sens!J11535+Sens!J11542</f>
        <v>729.883197211934</v>
      </c>
      <c r="K11543" s="6" t="n">
        <f aca="false">Sens!K11535+Sens!K11542</f>
        <v>781.356090938368</v>
      </c>
    </row>
    <row r="11544" customFormat="false" ht="15" hidden="false" customHeight="false" outlineLevel="0" collapsed="false">
      <c r="A11544" s="23" t="s">
        <v>881</v>
      </c>
      <c r="B11544" s="30" t="s">
        <v>98</v>
      </c>
      <c r="C11544" s="30"/>
      <c r="D11544" s="24" t="n">
        <f aca="false">(Sens!D11523+Sens!D11528+Sens!D11529+Sens!D11531+Sens!D11533-Sens!D11535)+(Sens!D11536+Sens!D11538+Sens!D11540-Sens!D11542)+(Sens!D11535-Q!L5)+(Sens!D11542-Q!L12)+(Sens!D11523-Q!L6)+(Sens!D11528-Q!L7)</f>
        <v>0</v>
      </c>
      <c r="E11544" s="24" t="n">
        <f aca="false">(Sens!E11523+Sens!E11528+Sens!E11529+Sens!E11531+Sens!E11533-Sens!E11535)+(Sens!E11536+Sens!E11538+Sens!E11540-Sens!E11542)+(Sens!E11535-Q!M5)+(Sens!E11542-Q!M12)+(Sens!E11523-Q!M6)+(Sens!E11528-Q!M7)</f>
        <v>0</v>
      </c>
      <c r="F11544" s="24" t="n">
        <f aca="false">(Sens!F11523+Sens!F11528+Sens!F11529+Sens!F11531+Sens!F11533-Sens!F11535)+(Sens!F11536+Sens!F11538+Sens!F11540-Sens!F11542)</f>
        <v>0</v>
      </c>
      <c r="G11544" s="24" t="n">
        <f aca="false">(Sens!G11523+Sens!G11528+Sens!G11529+Sens!G11531+Sens!G11533-Sens!G11535)+(Sens!G11536+Sens!G11538+Sens!G11540-Sens!G11542)</f>
        <v>0</v>
      </c>
      <c r="H11544" s="24" t="n">
        <f aca="false">(Sens!H11523+Sens!H11528+Sens!H11529+Sens!H11531+Sens!H11533-Sens!H11535)+(Sens!H11536+Sens!H11538+Sens!H11540-Sens!H11542)</f>
        <v>0</v>
      </c>
      <c r="I11544" s="24" t="n">
        <f aca="false">(Sens!I11523+Sens!I11528+Sens!I11529+Sens!I11531+Sens!I11533-Sens!I11535)+(Sens!I11536+Sens!I11538+Sens!I11540-Sens!I11542)</f>
        <v>0</v>
      </c>
      <c r="J11544" s="24" t="n">
        <f aca="false">(Sens!J11523+Sens!J11528+Sens!J11529+Sens!J11531+Sens!J11533-Sens!J11535)+(Sens!J11536+Sens!J11538+Sens!J11540-Sens!J11542)</f>
        <v>0</v>
      </c>
      <c r="K11544" s="24" t="n">
        <f aca="false">(Sens!K11523+Sens!K11528+Sens!K11529+Sens!K11531+Sens!K11533-Sens!K11535)+(Sens!K11536+Sens!K11538+Sens!K11540-Sens!K11542)</f>
        <v>0</v>
      </c>
    </row>
    <row r="11545" customFormat="false" ht="17.15" hidden="false" customHeight="false" outlineLevel="0" collapsed="false">
      <c r="A11545" s="3" t="s">
        <v>1536</v>
      </c>
    </row>
    <row r="11546" customFormat="false" ht="15" hidden="false" customHeight="false" outlineLevel="0" collapsed="false">
      <c r="A11546" s="4" t="s">
        <v>43</v>
      </c>
      <c r="B11546" s="4" t="s">
        <v>65</v>
      </c>
      <c r="C11546" s="20" t="s">
        <v>788</v>
      </c>
      <c r="D11546" s="20" t="s">
        <v>789</v>
      </c>
      <c r="E11546" s="20" t="s">
        <v>790</v>
      </c>
      <c r="F11546" s="20" t="s">
        <v>791</v>
      </c>
      <c r="G11546" s="20" t="s">
        <v>792</v>
      </c>
      <c r="H11546" s="20" t="s">
        <v>793</v>
      </c>
      <c r="I11546" s="20" t="s">
        <v>794</v>
      </c>
      <c r="J11546" s="20" t="s">
        <v>795</v>
      </c>
      <c r="K11546" s="20" t="s">
        <v>796</v>
      </c>
      <c r="L11546" s="4" t="s">
        <v>47</v>
      </c>
    </row>
    <row r="11547" customFormat="false" ht="15" hidden="false" customHeight="false" outlineLevel="0" collapsed="false">
      <c r="A11547" s="0" t="s">
        <v>867</v>
      </c>
      <c r="B11547" s="0" t="s">
        <v>98</v>
      </c>
      <c r="D11547" s="6" t="n">
        <f aca="false">Sens!D11523</f>
        <v>72.61</v>
      </c>
      <c r="E11547" s="6" t="n">
        <f aca="false">Sens!E11523</f>
        <v>101.938</v>
      </c>
      <c r="F11547" s="6" t="n">
        <f aca="false">Sens!F11523</f>
        <v>148.812368967868</v>
      </c>
      <c r="G11547" s="6" t="n">
        <f aca="false">Sens!G11523</f>
        <v>208.397514344463</v>
      </c>
      <c r="H11547" s="6" t="n">
        <f aca="false">Sens!H11523</f>
        <v>274.05759259987</v>
      </c>
      <c r="I11547" s="6" t="n">
        <f aca="false">Sens!I11523</f>
        <v>328.302405465117</v>
      </c>
      <c r="J11547" s="6" t="n">
        <f aca="false">Sens!J11523</f>
        <v>369.587890439908</v>
      </c>
      <c r="K11547" s="6" t="n">
        <f aca="false">Sens!K11523</f>
        <v>398.390581897217</v>
      </c>
    </row>
    <row r="11548" customFormat="false" ht="17.15" hidden="false" customHeight="false" outlineLevel="0" collapsed="false">
      <c r="A11548" s="0" t="s">
        <v>864</v>
      </c>
      <c r="B11548" s="0" t="s">
        <v>98</v>
      </c>
      <c r="D11548" s="6" t="n">
        <f aca="false">Sens!D11520</f>
        <v>12.9359794422418</v>
      </c>
      <c r="E11548" s="6" t="n">
        <f aca="false">Sens!E11520</f>
        <v>27.8095064661409</v>
      </c>
      <c r="F11548" s="6" t="n">
        <f aca="false">Sens!F11520</f>
        <v>58.7324192305018</v>
      </c>
      <c r="G11548" s="6" t="n">
        <f aca="false">Sens!G11520</f>
        <v>101.369089141153</v>
      </c>
      <c r="H11548" s="6" t="n">
        <f aca="false">Sens!H11520</f>
        <v>149.785610014234</v>
      </c>
      <c r="I11548" s="6" t="n">
        <f aca="false">Sens!I11520</f>
        <v>187.368703083263</v>
      </c>
      <c r="J11548" s="6" t="n">
        <f aca="false">Sens!J11520</f>
        <v>213.569023125577</v>
      </c>
      <c r="K11548" s="6" t="n">
        <f aca="false">Sens!K11520</f>
        <v>229.890205197739</v>
      </c>
    </row>
    <row r="11549" customFormat="false" ht="17.15" hidden="false" customHeight="false" outlineLevel="0" collapsed="false">
      <c r="A11549" s="0" t="s">
        <v>892</v>
      </c>
      <c r="B11549" s="0" t="s">
        <v>98</v>
      </c>
      <c r="D11549" s="6" t="n">
        <f aca="false">Sens!D11521</f>
        <v>59.6740205577583</v>
      </c>
      <c r="E11549" s="6" t="n">
        <f aca="false">Sens!E11521</f>
        <v>74.1284935338591</v>
      </c>
      <c r="F11549" s="6" t="n">
        <f aca="false">Sens!F11521</f>
        <v>90.0799497373663</v>
      </c>
      <c r="G11549" s="6" t="n">
        <f aca="false">Sens!G11521</f>
        <v>107.02842520331</v>
      </c>
      <c r="H11549" s="6" t="n">
        <f aca="false">Sens!H11521</f>
        <v>124.271982585636</v>
      </c>
      <c r="I11549" s="6" t="n">
        <f aca="false">Sens!I11521</f>
        <v>140.933702381855</v>
      </c>
      <c r="J11549" s="6" t="n">
        <f aca="false">Sens!J11521</f>
        <v>156.018867314332</v>
      </c>
      <c r="K11549" s="6" t="n">
        <f aca="false">Sens!K11521</f>
        <v>168.500376699478</v>
      </c>
    </row>
    <row r="11550" customFormat="false" ht="15" hidden="false" customHeight="false" outlineLevel="0" collapsed="false">
      <c r="A11550" s="0" t="s">
        <v>873</v>
      </c>
      <c r="B11550" s="0" t="s">
        <v>98</v>
      </c>
      <c r="D11550" s="6" t="n">
        <f aca="false">Sens!D11528</f>
        <v>84.605</v>
      </c>
      <c r="E11550" s="6" t="n">
        <f aca="false">Sens!E11528</f>
        <v>100.299</v>
      </c>
      <c r="F11550" s="6" t="n">
        <f aca="false">Sens!F11528</f>
        <v>120.39238776686</v>
      </c>
      <c r="G11550" s="6" t="n">
        <f aca="false">Sens!G11528</f>
        <v>141.544168448684</v>
      </c>
      <c r="H11550" s="6" t="n">
        <f aca="false">Sens!H11528</f>
        <v>162.777359388781</v>
      </c>
      <c r="I11550" s="6" t="n">
        <f aca="false">Sens!I11528</f>
        <v>181.584028071957</v>
      </c>
      <c r="J11550" s="6" t="n">
        <f aca="false">Sens!J11528</f>
        <v>197.682702785465</v>
      </c>
      <c r="K11550" s="6" t="n">
        <f aca="false">Sens!K11528</f>
        <v>213.027991980448</v>
      </c>
    </row>
    <row r="11551" customFormat="false" ht="17.15" hidden="false" customHeight="false" outlineLevel="0" collapsed="false">
      <c r="A11551" s="0" t="s">
        <v>893</v>
      </c>
      <c r="B11551" s="0" t="s">
        <v>98</v>
      </c>
      <c r="D11551" s="6" t="n">
        <f aca="false">Sens!D11526</f>
        <v>83.705</v>
      </c>
      <c r="E11551" s="6" t="n">
        <f aca="false">Sens!E11526</f>
        <v>95.049</v>
      </c>
      <c r="F11551" s="6" t="n">
        <f aca="false">Sens!F11526</f>
        <v>106.89238776686</v>
      </c>
      <c r="G11551" s="6" t="n">
        <f aca="false">Sens!G11526</f>
        <v>119.044168448684</v>
      </c>
      <c r="H11551" s="6" t="n">
        <f aca="false">Sens!H11526</f>
        <v>131.277359388781</v>
      </c>
      <c r="I11551" s="6" t="n">
        <f aca="false">Sens!I11526</f>
        <v>143.334028071957</v>
      </c>
      <c r="J11551" s="6" t="n">
        <f aca="false">Sens!J11526</f>
        <v>154.932702785465</v>
      </c>
      <c r="K11551" s="6" t="n">
        <f aca="false">Sens!K11526</f>
        <v>165.777991980448</v>
      </c>
    </row>
    <row r="11552" customFormat="false" ht="17.15" hidden="false" customHeight="false" outlineLevel="0" collapsed="false">
      <c r="A11552" s="0" t="s">
        <v>894</v>
      </c>
      <c r="B11552" s="0" t="s">
        <v>98</v>
      </c>
      <c r="D11552" s="6" t="n">
        <f aca="false">Sens!D11525</f>
        <v>0.9</v>
      </c>
      <c r="E11552" s="6" t="n">
        <f aca="false">Sens!E11525</f>
        <v>5.25</v>
      </c>
      <c r="F11552" s="6" t="n">
        <f aca="false">Sens!F11525</f>
        <v>13.5</v>
      </c>
      <c r="G11552" s="6" t="n">
        <f aca="false">Sens!G11525</f>
        <v>22.5</v>
      </c>
      <c r="H11552" s="6" t="n">
        <f aca="false">Sens!H11525</f>
        <v>31.5</v>
      </c>
      <c r="I11552" s="6" t="n">
        <f aca="false">Sens!I11525</f>
        <v>38.25</v>
      </c>
      <c r="J11552" s="6" t="n">
        <f aca="false">Sens!J11525</f>
        <v>42.75</v>
      </c>
      <c r="K11552" s="6" t="n">
        <f aca="false">Sens!K11525</f>
        <v>47.25</v>
      </c>
    </row>
    <row r="11553" customFormat="false" ht="15" hidden="false" customHeight="false" outlineLevel="0" collapsed="false">
      <c r="A11553" s="0" t="s">
        <v>874</v>
      </c>
      <c r="B11553" s="0" t="s">
        <v>98</v>
      </c>
      <c r="D11553" s="6" t="n">
        <f aca="false">Sens!D11529</f>
        <v>35.391</v>
      </c>
      <c r="E11553" s="6" t="n">
        <f aca="false">Sens!E11529</f>
        <v>37.285</v>
      </c>
      <c r="F11553" s="6" t="n">
        <f aca="false">Sens!F11529</f>
        <v>39.0720834331704</v>
      </c>
      <c r="G11553" s="6" t="n">
        <f aca="false">Sens!G11529</f>
        <v>40.726562953769</v>
      </c>
      <c r="H11553" s="6" t="n">
        <f aca="false">Sens!H11529</f>
        <v>42.2235987259198</v>
      </c>
      <c r="I11553" s="6" t="n">
        <f aca="false">Sens!I11529</f>
        <v>43.5397988077414</v>
      </c>
      <c r="J11553" s="6" t="n">
        <f aca="false">Sens!J11529</f>
        <v>44.653811225693</v>
      </c>
      <c r="K11553" s="6" t="n">
        <f aca="false">Sens!K11529</f>
        <v>45.5468874502068</v>
      </c>
    </row>
    <row r="11554" customFormat="false" ht="15" hidden="false" customHeight="false" outlineLevel="0" collapsed="false">
      <c r="A11554" s="0" t="s">
        <v>875</v>
      </c>
      <c r="B11554" s="0" t="s">
        <v>98</v>
      </c>
      <c r="D11554" s="6" t="n">
        <f aca="false">Sens!D11531</f>
        <v>18.417</v>
      </c>
      <c r="E11554" s="6" t="n">
        <f aca="false">Sens!E11531</f>
        <v>20.345</v>
      </c>
      <c r="F11554" s="6" t="n">
        <f aca="false">Sens!F11531</f>
        <v>22.3572203267814</v>
      </c>
      <c r="G11554" s="6" t="n">
        <f aca="false">Sens!G11531</f>
        <v>24.4392124437232</v>
      </c>
      <c r="H11554" s="6" t="n">
        <f aca="false">Sens!H11531</f>
        <v>26.5738052080665</v>
      </c>
      <c r="I11554" s="6" t="n">
        <f aca="false">Sens!I11531</f>
        <v>28.7412169166967</v>
      </c>
      <c r="J11554" s="6" t="n">
        <f aca="false">Sens!J11531</f>
        <v>30.9192545395413</v>
      </c>
      <c r="K11554" s="6" t="n">
        <f aca="false">Sens!K11531</f>
        <v>33.0836023573092</v>
      </c>
    </row>
    <row r="11555" customFormat="false" ht="15" hidden="false" customHeight="false" outlineLevel="0" collapsed="false">
      <c r="A11555" s="0" t="s">
        <v>876</v>
      </c>
      <c r="B11555" s="0" t="s">
        <v>98</v>
      </c>
      <c r="D11555" s="6" t="n">
        <f aca="false">Sens!D11533</f>
        <v>7.76</v>
      </c>
      <c r="E11555" s="6" t="n">
        <f aca="false">Sens!E11533</f>
        <v>8.26</v>
      </c>
      <c r="F11555" s="6" t="n">
        <f aca="false">Sens!F11533</f>
        <v>8.79988041237113</v>
      </c>
      <c r="G11555" s="6" t="n">
        <f aca="false">Sens!G11533</f>
        <v>9.38321269125306</v>
      </c>
      <c r="H11555" s="6" t="n">
        <f aca="false">Sens!H11533</f>
        <v>10.0139193587476</v>
      </c>
      <c r="I11555" s="6" t="n">
        <f aca="false">Sens!I11533</f>
        <v>10.6963111830911</v>
      </c>
      <c r="J11555" s="6" t="n">
        <f aca="false">Sens!J11533</f>
        <v>11.4351285534696</v>
      </c>
      <c r="K11555" s="6" t="n">
        <f aca="false">Sens!K11533</f>
        <v>12.2355875522124</v>
      </c>
    </row>
    <row r="11556" customFormat="false" ht="15" hidden="false" customHeight="false" outlineLevel="0" collapsed="false">
      <c r="A11556" s="0" t="s">
        <v>704</v>
      </c>
      <c r="B11556" s="0" t="s">
        <v>98</v>
      </c>
      <c r="D11556" s="6" t="n">
        <f aca="false">Sens!D11535</f>
        <v>218.783</v>
      </c>
      <c r="E11556" s="6" t="n">
        <f aca="false">Sens!E11535</f>
        <v>268.127</v>
      </c>
      <c r="F11556" s="6" t="n">
        <f aca="false">Sens!F11535</f>
        <v>339.433940907051</v>
      </c>
      <c r="G11556" s="6" t="n">
        <f aca="false">Sens!G11535</f>
        <v>424.490670881892</v>
      </c>
      <c r="H11556" s="6" t="n">
        <f aca="false">Sens!H11535</f>
        <v>515.646275281385</v>
      </c>
      <c r="I11556" s="6" t="n">
        <f aca="false">Sens!I11535</f>
        <v>592.863760444604</v>
      </c>
      <c r="J11556" s="6" t="n">
        <f aca="false">Sens!J11535</f>
        <v>654.278787544077</v>
      </c>
      <c r="K11556" s="6" t="n">
        <f aca="false">Sens!K11535</f>
        <v>702.284651237393</v>
      </c>
    </row>
    <row r="11557" customFormat="false" ht="15" hidden="false" customHeight="false" outlineLevel="0" collapsed="false">
      <c r="A11557" s="0" t="s">
        <v>877</v>
      </c>
      <c r="B11557" s="0" t="s">
        <v>98</v>
      </c>
      <c r="D11557" s="6" t="n">
        <f aca="false">Sens!D11536</f>
        <v>22.171</v>
      </c>
      <c r="E11557" s="6" t="n">
        <f aca="false">Sens!E11536</f>
        <v>24.835</v>
      </c>
      <c r="F11557" s="6" t="n">
        <f aca="false">Sens!F11536</f>
        <v>27.6114901218559</v>
      </c>
      <c r="G11557" s="6" t="n">
        <f aca="false">Sens!G11536</f>
        <v>30.4675667338515</v>
      </c>
      <c r="H11557" s="6" t="n">
        <f aca="false">Sens!H11536</f>
        <v>33.3643766955789</v>
      </c>
      <c r="I11557" s="6" t="n">
        <f aca="false">Sens!I11536</f>
        <v>36.2577016533691</v>
      </c>
      <c r="J11557" s="6" t="n">
        <f aca="false">Sens!J11536</f>
        <v>39.0988367952171</v>
      </c>
      <c r="K11557" s="6" t="n">
        <f aca="false">Sens!K11536</f>
        <v>41.8357553708823</v>
      </c>
    </row>
    <row r="11558" customFormat="false" ht="15" hidden="false" customHeight="false" outlineLevel="0" collapsed="false">
      <c r="A11558" s="0" t="s">
        <v>878</v>
      </c>
      <c r="B11558" s="0" t="s">
        <v>98</v>
      </c>
      <c r="D11558" s="6" t="n">
        <f aca="false">Sens!D11538</f>
        <v>23.455</v>
      </c>
      <c r="E11558" s="6" t="n">
        <f aca="false">Sens!E11538</f>
        <v>21.79</v>
      </c>
      <c r="F11558" s="6" t="n">
        <f aca="false">Sens!F11538</f>
        <v>20.5736277908051</v>
      </c>
      <c r="G11558" s="6" t="n">
        <f aca="false">Sens!G11538</f>
        <v>19.7371452817919</v>
      </c>
      <c r="H11558" s="6" t="n">
        <f aca="false">Sens!H11538</f>
        <v>19.2339764043138</v>
      </c>
      <c r="I11558" s="6" t="n">
        <f aca="false">Sens!I11538</f>
        <v>19.0353086852681</v>
      </c>
      <c r="J11558" s="6" t="n">
        <f aca="false">Sens!J11538</f>
        <v>19.1273539319129</v>
      </c>
      <c r="K11558" s="6" t="n">
        <f aca="false">Sens!K11538</f>
        <v>19.5099010105511</v>
      </c>
    </row>
    <row r="11559" customFormat="false" ht="15" hidden="false" customHeight="false" outlineLevel="0" collapsed="false">
      <c r="A11559" s="0" t="s">
        <v>879</v>
      </c>
      <c r="B11559" s="0" t="s">
        <v>98</v>
      </c>
      <c r="D11559" s="6" t="n">
        <f aca="false">Sens!D11540</f>
        <v>17.315</v>
      </c>
      <c r="E11559" s="6" t="n">
        <f aca="false">Sens!E11540</f>
        <v>17.087</v>
      </c>
      <c r="F11559" s="6" t="n">
        <f aca="false">Sens!F11540</f>
        <v>16.9564585436519</v>
      </c>
      <c r="G11559" s="6" t="n">
        <f aca="false">Sens!G11540</f>
        <v>16.9206490624268</v>
      </c>
      <c r="H11559" s="6" t="n">
        <f aca="false">Sens!H11540</f>
        <v>16.9784519149849</v>
      </c>
      <c r="I11559" s="6" t="n">
        <f aca="false">Sens!I11540</f>
        <v>17.1303084701817</v>
      </c>
      <c r="J11559" s="6" t="n">
        <f aca="false">Sens!J11540</f>
        <v>17.3782189407267</v>
      </c>
      <c r="K11559" s="6" t="n">
        <f aca="false">Sens!K11540</f>
        <v>17.7257833195413</v>
      </c>
    </row>
    <row r="11560" customFormat="false" ht="15" hidden="false" customHeight="false" outlineLevel="0" collapsed="false">
      <c r="A11560" s="0" t="s">
        <v>718</v>
      </c>
      <c r="B11560" s="0" t="s">
        <v>98</v>
      </c>
      <c r="D11560" s="6" t="n">
        <f aca="false">Sens!D11542</f>
        <v>62.941</v>
      </c>
      <c r="E11560" s="6" t="n">
        <f aca="false">Sens!E11542</f>
        <v>63.712</v>
      </c>
      <c r="F11560" s="6" t="n">
        <f aca="false">Sens!F11542</f>
        <v>65.1415764563129</v>
      </c>
      <c r="G11560" s="6" t="n">
        <f aca="false">Sens!G11542</f>
        <v>67.1253610780702</v>
      </c>
      <c r="H11560" s="6" t="n">
        <f aca="false">Sens!H11542</f>
        <v>69.5768050148776</v>
      </c>
      <c r="I11560" s="6" t="n">
        <f aca="false">Sens!I11542</f>
        <v>72.4233188088189</v>
      </c>
      <c r="J11560" s="6" t="n">
        <f aca="false">Sens!J11542</f>
        <v>75.6044096678567</v>
      </c>
      <c r="K11560" s="6" t="n">
        <f aca="false">Sens!K11542</f>
        <v>79.0714397009747</v>
      </c>
    </row>
    <row r="11561" customFormat="false" ht="15" hidden="false" customHeight="false" outlineLevel="0" collapsed="false">
      <c r="A11561" s="1" t="s">
        <v>895</v>
      </c>
      <c r="B11561" s="0" t="s">
        <v>98</v>
      </c>
      <c r="D11561" s="6" t="n">
        <f aca="false">Sens!D11543</f>
        <v>281.724</v>
      </c>
      <c r="E11561" s="6" t="n">
        <f aca="false">Sens!E11543</f>
        <v>331.839</v>
      </c>
      <c r="F11561" s="6" t="n">
        <f aca="false">Sens!F11543</f>
        <v>404.575517363364</v>
      </c>
      <c r="G11561" s="6" t="n">
        <f aca="false">Sens!G11543</f>
        <v>491.616031959962</v>
      </c>
      <c r="H11561" s="6" t="n">
        <f aca="false">Sens!H11543</f>
        <v>585.223080296262</v>
      </c>
      <c r="I11561" s="6" t="n">
        <f aca="false">Sens!I11543</f>
        <v>665.287079253422</v>
      </c>
      <c r="J11561" s="6" t="n">
        <f aca="false">Sens!J11543</f>
        <v>729.883197211934</v>
      </c>
      <c r="K11561" s="6" t="n">
        <f aca="false">Sens!K11543</f>
        <v>781.356090938368</v>
      </c>
    </row>
    <row r="11562" customFormat="false" ht="15" hidden="false" customHeight="false" outlineLevel="0" collapsed="false">
      <c r="A11562" s="1" t="s">
        <v>896</v>
      </c>
      <c r="B11562" s="0" t="s">
        <v>129</v>
      </c>
      <c r="E11562" s="7" t="n">
        <f aca="false">Sens!E11561/Sens!D11561-1</f>
        <v>0.177886867998467</v>
      </c>
      <c r="F11562" s="7" t="n">
        <f aca="false">Sens!F11561/Sens!E11561-1</f>
        <v>0.219192190680914</v>
      </c>
      <c r="G11562" s="7" t="n">
        <f aca="false">Sens!G11561/Sens!F11561-1</f>
        <v>0.215140340581766</v>
      </c>
      <c r="H11562" s="7" t="n">
        <f aca="false">Sens!H11561/Sens!G11561-1</f>
        <v>0.19040682616291</v>
      </c>
      <c r="I11562" s="7" t="n">
        <f aca="false">Sens!I11561/Sens!H11561-1</f>
        <v>0.13680936663781</v>
      </c>
      <c r="J11562" s="7" t="n">
        <f aca="false">Sens!J11561/Sens!I11561-1</f>
        <v>0.097095103712221</v>
      </c>
      <c r="K11562" s="7" t="n">
        <f aca="false">Sens!K11561/Sens!J11561-1</f>
        <v>0.0705220971287655</v>
      </c>
    </row>
    <row r="11563" customFormat="false" ht="17.15" hidden="false" customHeight="false" outlineLevel="0" collapsed="false">
      <c r="A11563" s="23" t="s">
        <v>897</v>
      </c>
      <c r="B11563" s="30" t="s">
        <v>98</v>
      </c>
      <c r="C11563" s="30"/>
      <c r="D11563" s="24" t="n">
        <f aca="false">(Sens!D11556+Sens!D11560-Sens!D11561)+(Sens!D11548+Sens!D11549-Sens!D11547)+(Sens!D11551+Sens!D11552-Sens!D11550)+(Sens!D11561-Q!L18)</f>
        <v>0</v>
      </c>
      <c r="E11563" s="24" t="n">
        <f aca="false">(Sens!E11556+Sens!E11560-Sens!E11561)+(Sens!E11548+Sens!E11549-Sens!E11547)+(Sens!E11551+Sens!E11552-Sens!E11550)+(Sens!E11561-Q!M18)</f>
        <v>0</v>
      </c>
      <c r="F11563" s="24" t="n">
        <f aca="false">(Sens!F11556+Sens!F11560-Sens!F11561)+(Sens!F11548+Sens!F11549-Sens!F11547)+(Sens!F11551+Sens!F11552-Sens!F11550)</f>
        <v>0</v>
      </c>
      <c r="G11563" s="24" t="n">
        <f aca="false">(Sens!G11556+Sens!G11560-Sens!G11561)+(Sens!G11548+Sens!G11549-Sens!G11547)+(Sens!G11551+Sens!G11552-Sens!G11550)</f>
        <v>0</v>
      </c>
      <c r="H11563" s="24" t="n">
        <f aca="false">(Sens!H11556+Sens!H11560-Sens!H11561)+(Sens!H11548+Sens!H11549-Sens!H11547)+(Sens!H11551+Sens!H11552-Sens!H11550)</f>
        <v>0</v>
      </c>
      <c r="I11563" s="24" t="n">
        <f aca="false">(Sens!I11556+Sens!I11560-Sens!I11561)+(Sens!I11548+Sens!I11549-Sens!I11547)+(Sens!I11551+Sens!I11552-Sens!I11550)</f>
        <v>0</v>
      </c>
      <c r="J11563" s="24" t="n">
        <f aca="false">(Sens!J11556+Sens!J11560-Sens!J11561)+(Sens!J11548+Sens!J11549-Sens!J11547)+(Sens!J11551+Sens!J11552-Sens!J11550)</f>
        <v>0</v>
      </c>
      <c r="K11563" s="24" t="n">
        <f aca="false">(Sens!K11556+Sens!K11560-Sens!K11561)+(Sens!K11548+Sens!K11549-Sens!K11547)+(Sens!K11551+Sens!K11552-Sens!K11550)</f>
        <v>0</v>
      </c>
    </row>
    <row r="11564" customFormat="false" ht="17.15" hidden="false" customHeight="false" outlineLevel="0" collapsed="false">
      <c r="A11564" s="0" t="s">
        <v>898</v>
      </c>
      <c r="B11564" s="0" t="s">
        <v>129</v>
      </c>
      <c r="E11564" s="7" t="n">
        <f aca="false">(Q!M21+Sens!E11501+Sens!E11502+Sens!E11503+Sens!E11516-Sens!E11499)/(Q!M5-Sens!E11499)</f>
        <v>0.570957350878296</v>
      </c>
      <c r="F11564" s="7" t="n">
        <f aca="false">Sens!$E$11564+dm_seg_hi</f>
        <v>0.590957350878296</v>
      </c>
      <c r="G11564" s="7" t="n">
        <f aca="false">Sens!$E$11564+dm_seg_hi</f>
        <v>0.590957350878296</v>
      </c>
      <c r="H11564" s="7" t="n">
        <f aca="false">Sens!$E$11564+dm_seg_hi</f>
        <v>0.590957350878296</v>
      </c>
      <c r="I11564" s="7" t="n">
        <f aca="false">Sens!$E$11564+dm_seg_hi</f>
        <v>0.590957350878296</v>
      </c>
      <c r="J11564" s="7" t="n">
        <f aca="false">Sens!$E$11564+dm_seg_hi</f>
        <v>0.590957350878296</v>
      </c>
      <c r="K11564" s="7" t="n">
        <f aca="false">Sens!$E$11564+dm_seg_hi</f>
        <v>0.590957350878296</v>
      </c>
      <c r="L11564" s="11" t="s">
        <v>899</v>
      </c>
    </row>
    <row r="11565" customFormat="false" ht="17.15" hidden="false" customHeight="false" outlineLevel="0" collapsed="false">
      <c r="A11565" s="0" t="s">
        <v>732</v>
      </c>
      <c r="B11565" s="0" t="s">
        <v>98</v>
      </c>
      <c r="D11565" s="6" t="n">
        <f aca="false">Q!L21</f>
        <v>110.814</v>
      </c>
      <c r="E11565" s="6" t="n">
        <f aca="false">Q!M21</f>
        <v>136.365</v>
      </c>
      <c r="F11565" s="6" t="n">
        <f aca="false">Sens!F11564*(Sens!F11535-Sens!F11499)+Sens!F11499-(Sens!F11501+Sens!F11502+Sens!F11503)-Sens!F11516</f>
        <v>167.749515035838</v>
      </c>
      <c r="G11565" s="6" t="n">
        <f aca="false">Sens!G11564*(Sens!G11535-Sens!G11499)+Sens!G11499-(Sens!G11501+Sens!G11502+Sens!G11503)-Sens!G11516</f>
        <v>198.156011902513</v>
      </c>
      <c r="H11565" s="6" t="n">
        <f aca="false">Sens!H11564*(Sens!H11535-Sens!H11499)+Sens!H11499-(Sens!H11501+Sens!H11502+Sens!H11503)-Sens!H11516</f>
        <v>233.396927302916</v>
      </c>
      <c r="I11565" s="6" t="n">
        <f aca="false">Sens!I11564*(Sens!I11535-Sens!I11499)+Sens!I11499-(Sens!I11501+Sens!I11502+Sens!I11503)-Sens!I11516</f>
        <v>260.457725914048</v>
      </c>
      <c r="J11565" s="6" t="n">
        <f aca="false">Sens!J11564*(Sens!J11535-Sens!J11499)+Sens!J11499-(Sens!J11501+Sens!J11502+Sens!J11503)-Sens!J11516</f>
        <v>283.735498412329</v>
      </c>
      <c r="K11565" s="6" t="n">
        <f aca="false">Sens!K11564*(Sens!K11535-Sens!K11499)+Sens!K11499-(Sens!K11501+Sens!K11502+Sens!K11503)-Sens!K11516</f>
        <v>304.809315202797</v>
      </c>
      <c r="L11565" s="1" t="s">
        <v>900</v>
      </c>
    </row>
    <row r="11566" customFormat="false" ht="17.15" hidden="false" customHeight="false" outlineLevel="0" collapsed="false">
      <c r="A11566" s="0" t="s">
        <v>901</v>
      </c>
      <c r="B11566" s="0" t="s">
        <v>129</v>
      </c>
      <c r="E11566" s="7" t="n">
        <f aca="false">Q!M22/Q!M12</f>
        <v>0.296207935710698</v>
      </c>
      <c r="F11566" s="7" t="n">
        <f aca="false">Sens!$E$11566+dm_seg_hi</f>
        <v>0.316207935710698</v>
      </c>
      <c r="G11566" s="7" t="n">
        <f aca="false">Sens!$E$11566+dm_seg_hi</f>
        <v>0.316207935710698</v>
      </c>
      <c r="H11566" s="7" t="n">
        <f aca="false">Sens!$E$11566+dm_seg_hi</f>
        <v>0.316207935710698</v>
      </c>
      <c r="I11566" s="7" t="n">
        <f aca="false">Sens!$E$11566+dm_seg_hi</f>
        <v>0.316207935710698</v>
      </c>
      <c r="J11566" s="7" t="n">
        <f aca="false">Sens!$E$11566+dm_seg_hi</f>
        <v>0.316207935710698</v>
      </c>
      <c r="K11566" s="7" t="n">
        <f aca="false">Sens!$E$11566+dm_seg_hi</f>
        <v>0.316207935710698</v>
      </c>
      <c r="L11566" s="11" t="s">
        <v>902</v>
      </c>
    </row>
    <row r="11567" customFormat="false" ht="17.15" hidden="false" customHeight="false" outlineLevel="0" collapsed="false">
      <c r="A11567" s="0" t="s">
        <v>734</v>
      </c>
      <c r="B11567" s="0" t="s">
        <v>98</v>
      </c>
      <c r="D11567" s="6" t="n">
        <f aca="false">Q!L22</f>
        <v>17.714</v>
      </c>
      <c r="E11567" s="6" t="n">
        <f aca="false">Q!M22</f>
        <v>18.872</v>
      </c>
      <c r="F11567" s="6" t="n">
        <f aca="false">Sens!F11542*Sens!F11566</f>
        <v>20.5982834201913</v>
      </c>
      <c r="G11567" s="6" t="n">
        <f aca="false">Sens!G11542*Sens!G11566</f>
        <v>21.2255718603318</v>
      </c>
      <c r="H11567" s="6" t="n">
        <f aca="false">Sens!H11542*Sens!H11566</f>
        <v>22.0007378871002</v>
      </c>
      <c r="I11567" s="6" t="n">
        <f aca="false">Sens!I11542*Sens!I11566</f>
        <v>22.9008281378544</v>
      </c>
      <c r="J11567" s="6" t="n">
        <f aca="false">Sens!J11542*Sens!J11566</f>
        <v>23.9067143116989</v>
      </c>
      <c r="K11567" s="6" t="n">
        <f aca="false">Sens!K11542*Sens!K11566</f>
        <v>25.0030167215181</v>
      </c>
    </row>
    <row r="11568" customFormat="false" ht="15" hidden="false" customHeight="false" outlineLevel="0" collapsed="false">
      <c r="A11568" s="1" t="s">
        <v>903</v>
      </c>
      <c r="B11568" s="0" t="s">
        <v>98</v>
      </c>
      <c r="D11568" s="6" t="n">
        <f aca="false">Sens!D11565+Sens!D11567</f>
        <v>128.528</v>
      </c>
      <c r="E11568" s="6" t="n">
        <f aca="false">Sens!E11565+Sens!E11567</f>
        <v>155.237</v>
      </c>
      <c r="F11568" s="6" t="n">
        <f aca="false">Sens!F11565+Sens!F11567</f>
        <v>188.347798456029</v>
      </c>
      <c r="G11568" s="6" t="n">
        <f aca="false">Sens!G11565+Sens!G11567</f>
        <v>219.381583762844</v>
      </c>
      <c r="H11568" s="6" t="n">
        <f aca="false">Sens!H11565+Sens!H11567</f>
        <v>255.397665190016</v>
      </c>
      <c r="I11568" s="6" t="n">
        <f aca="false">Sens!I11565+Sens!I11567</f>
        <v>283.358554051902</v>
      </c>
      <c r="J11568" s="6" t="n">
        <f aca="false">Sens!J11565+Sens!J11567</f>
        <v>307.642212724028</v>
      </c>
      <c r="K11568" s="6" t="n">
        <f aca="false">Sens!K11565+Sens!K11567</f>
        <v>329.812331924315</v>
      </c>
    </row>
    <row r="11569" customFormat="false" ht="15" hidden="false" customHeight="false" outlineLevel="0" collapsed="false">
      <c r="A11569" s="23" t="s">
        <v>904</v>
      </c>
      <c r="B11569" s="30" t="s">
        <v>98</v>
      </c>
      <c r="C11569" s="30"/>
      <c r="D11569" s="24" t="n">
        <f aca="false">Sens!D11568-Q!L23</f>
        <v>0</v>
      </c>
      <c r="E11569" s="24" t="n">
        <f aca="false">Sens!E11568-Q!M23</f>
        <v>0</v>
      </c>
      <c r="F11569" s="30"/>
      <c r="G11569" s="30"/>
      <c r="H11569" s="30"/>
      <c r="I11569" s="30"/>
      <c r="J11569" s="30"/>
      <c r="K11569" s="30"/>
    </row>
    <row r="11570" customFormat="false" ht="15" hidden="false" customHeight="false" outlineLevel="0" collapsed="false">
      <c r="A11570" s="1" t="s">
        <v>905</v>
      </c>
      <c r="B11570" s="0" t="s">
        <v>129</v>
      </c>
      <c r="D11570" s="7" t="n">
        <f aca="false">Sens!D11568/Sens!D11561</f>
        <v>0.456219562408598</v>
      </c>
      <c r="E11570" s="7" t="n">
        <f aca="false">Sens!E11568/Sens!E11561</f>
        <v>0.467808184089272</v>
      </c>
      <c r="F11570" s="7" t="n">
        <f aca="false">Sens!F11568/Sens!F11561</f>
        <v>0.46554423184947</v>
      </c>
      <c r="G11570" s="7" t="n">
        <f aca="false">Sens!G11568/Sens!G11561</f>
        <v>0.446245788381269</v>
      </c>
      <c r="H11570" s="7" t="n">
        <f aca="false">Sens!H11568/Sens!H11561</f>
        <v>0.436410787251801</v>
      </c>
      <c r="I11570" s="7" t="n">
        <f aca="false">Sens!I11568/Sens!I11561</f>
        <v>0.42591922027087</v>
      </c>
      <c r="J11570" s="7" t="n">
        <f aca="false">Sens!J11568/Sens!J11561</f>
        <v>0.421495129493575</v>
      </c>
      <c r="K11570" s="7" t="n">
        <f aca="false">Sens!K11568/Sens!K11561</f>
        <v>0.422102464867494</v>
      </c>
    </row>
    <row r="11571" customFormat="false" ht="17.15" hidden="false" customHeight="false" outlineLevel="0" collapsed="false">
      <c r="A11571" s="1" t="s">
        <v>906</v>
      </c>
      <c r="B11571" s="0" t="s">
        <v>98</v>
      </c>
      <c r="F11571" s="6" t="n">
        <f aca="false">Sens!F11586</f>
        <v>18.8093824397397</v>
      </c>
      <c r="G11571" s="6" t="n">
        <f aca="false">Sens!G11586</f>
        <v>32.1166413649601</v>
      </c>
      <c r="H11571" s="6" t="n">
        <f aca="false">Sens!H11586</f>
        <v>46.7763563831308</v>
      </c>
      <c r="I11571" s="6" t="n">
        <f aca="false">Sens!I11586</f>
        <v>60.4875090726263</v>
      </c>
      <c r="J11571" s="6" t="n">
        <f aca="false">Sens!J11586</f>
        <v>70.154613825577</v>
      </c>
      <c r="K11571" s="6" t="n">
        <f aca="false">Sens!K11586</f>
        <v>75.1002576664312</v>
      </c>
      <c r="L11571" s="1" t="s">
        <v>907</v>
      </c>
    </row>
    <row r="11572" customFormat="false" ht="17.15" hidden="false" customHeight="false" outlineLevel="0" collapsed="false">
      <c r="A11572" s="1" t="s">
        <v>908</v>
      </c>
      <c r="B11572" s="0" t="s">
        <v>98</v>
      </c>
      <c r="D11572" s="6" t="n">
        <f aca="false">Sens!D11568</f>
        <v>128.528</v>
      </c>
      <c r="E11572" s="6" t="n">
        <f aca="false">Sens!E11568</f>
        <v>155.237</v>
      </c>
      <c r="F11572" s="6" t="n">
        <f aca="false">Sens!F11568+Sens!F11571</f>
        <v>207.157180895769</v>
      </c>
      <c r="G11572" s="6" t="n">
        <f aca="false">Sens!G11568+Sens!G11571</f>
        <v>251.498225127804</v>
      </c>
      <c r="H11572" s="6" t="n">
        <f aca="false">Sens!H11568+Sens!H11571</f>
        <v>302.174021573147</v>
      </c>
      <c r="I11572" s="6" t="n">
        <f aca="false">Sens!I11568+Sens!I11571</f>
        <v>343.846063124528</v>
      </c>
      <c r="J11572" s="6" t="n">
        <f aca="false">Sens!J11568+Sens!J11571</f>
        <v>377.796826549605</v>
      </c>
      <c r="K11572" s="6" t="n">
        <f aca="false">Sens!K11568+Sens!K11571</f>
        <v>404.912589590746</v>
      </c>
    </row>
    <row r="11573" customFormat="false" ht="17.15" hidden="false" customHeight="false" outlineLevel="0" collapsed="false">
      <c r="A11573" s="1" t="s">
        <v>909</v>
      </c>
      <c r="B11573" s="0" t="s">
        <v>98</v>
      </c>
      <c r="E11573" s="6" t="n">
        <f aca="false">Sens!E11516</f>
        <v>16.3054059770833</v>
      </c>
      <c r="F11573" s="6" t="n">
        <f aca="false">Sens!F11516</f>
        <v>34.7280354558698</v>
      </c>
      <c r="G11573" s="6" t="n">
        <f aca="false">Sens!G11516</f>
        <v>60.4817332603396</v>
      </c>
      <c r="H11573" s="6" t="n">
        <f aca="false">Sens!H11516</f>
        <v>87.7173159931396</v>
      </c>
      <c r="I11573" s="6" t="n">
        <f aca="false">Sens!I11516</f>
        <v>111.962039982221</v>
      </c>
      <c r="J11573" s="6" t="n">
        <f aca="false">Sens!J11516</f>
        <v>129.158710922666</v>
      </c>
      <c r="K11573" s="6" t="n">
        <f aca="false">Sens!K11516</f>
        <v>139.622646804474</v>
      </c>
    </row>
    <row r="11574" customFormat="false" ht="17.15" hidden="false" customHeight="false" outlineLevel="0" collapsed="false">
      <c r="A11574" s="1" t="s">
        <v>910</v>
      </c>
      <c r="B11574" s="0" t="s">
        <v>98</v>
      </c>
      <c r="E11574" s="6" t="n">
        <f aca="false">Sens!E11598</f>
        <v>22.2285940229167</v>
      </c>
      <c r="F11574" s="6" t="n">
        <f aca="false">Sens!F11598</f>
        <v>23.5786693435813</v>
      </c>
      <c r="G11574" s="6" t="n">
        <f aca="false">Sens!G11598</f>
        <v>25.3810917662621</v>
      </c>
      <c r="H11574" s="6" t="n">
        <f aca="false">Sens!H11598</f>
        <v>27.5991339540448</v>
      </c>
      <c r="I11574" s="6" t="n">
        <f aca="false">Sens!I11598</f>
        <v>30.1565605898047</v>
      </c>
      <c r="J11574" s="6" t="n">
        <f aca="false">Sens!J11598</f>
        <v>32.9614958558616</v>
      </c>
      <c r="K11574" s="6" t="n">
        <f aca="false">Sens!K11598</f>
        <v>35.9297165444749</v>
      </c>
    </row>
    <row r="11575" customFormat="false" ht="17.15" hidden="false" customHeight="false" outlineLevel="0" collapsed="false">
      <c r="A11575" s="1" t="s">
        <v>911</v>
      </c>
      <c r="B11575" s="0" t="s">
        <v>98</v>
      </c>
      <c r="D11575" s="6" t="n">
        <f aca="false">Q!L27</f>
        <v>-4.901</v>
      </c>
      <c r="E11575" s="6" t="n">
        <f aca="false">Q!M27</f>
        <v>10.697</v>
      </c>
      <c r="F11575" s="6" t="n">
        <f aca="false">oie_f</f>
        <v>-0.4</v>
      </c>
      <c r="G11575" s="6" t="n">
        <f aca="false">oie_f</f>
        <v>-0.4</v>
      </c>
      <c r="H11575" s="6" t="n">
        <f aca="false">oie_f</f>
        <v>-0.4</v>
      </c>
      <c r="I11575" s="6" t="n">
        <f aca="false">oie_f</f>
        <v>-0.4</v>
      </c>
      <c r="J11575" s="6" t="n">
        <f aca="false">oie_f</f>
        <v>-0.4</v>
      </c>
      <c r="K11575" s="6" t="n">
        <f aca="false">oie_f</f>
        <v>-0.4</v>
      </c>
      <c r="L11575" s="11" t="s">
        <v>912</v>
      </c>
    </row>
    <row r="11576" customFormat="false" ht="15" hidden="false" customHeight="false" outlineLevel="0" collapsed="false">
      <c r="A11576" s="1" t="s">
        <v>913</v>
      </c>
      <c r="B11576" s="0" t="s">
        <v>98</v>
      </c>
      <c r="D11576" s="6" t="n">
        <f aca="false">Sens!D11568+Sens!D11575</f>
        <v>123.627</v>
      </c>
      <c r="E11576" s="6" t="n">
        <f aca="false">Sens!E11568+Sens!E11575</f>
        <v>165.934</v>
      </c>
      <c r="F11576" s="6" t="n">
        <f aca="false">Sens!F11568+Sens!F11575</f>
        <v>187.947798456029</v>
      </c>
      <c r="G11576" s="6" t="n">
        <f aca="false">Sens!G11568+Sens!G11575</f>
        <v>218.981583762844</v>
      </c>
      <c r="H11576" s="6" t="n">
        <f aca="false">Sens!H11568+Sens!H11575</f>
        <v>254.997665190016</v>
      </c>
      <c r="I11576" s="6" t="n">
        <f aca="false">Sens!I11568+Sens!I11575</f>
        <v>282.958554051902</v>
      </c>
      <c r="J11576" s="6" t="n">
        <f aca="false">Sens!J11568+Sens!J11575</f>
        <v>307.242212724028</v>
      </c>
      <c r="K11576" s="6" t="n">
        <f aca="false">Sens!K11568+Sens!K11575</f>
        <v>329.412331924315</v>
      </c>
    </row>
    <row r="11577" customFormat="false" ht="15" hidden="false" customHeight="false" outlineLevel="0" collapsed="false">
      <c r="A11577" s="1" t="s">
        <v>914</v>
      </c>
      <c r="B11577" s="0" t="s">
        <v>98</v>
      </c>
      <c r="D11577" s="6" t="n">
        <f aca="false">Q!L29</f>
        <v>21.795</v>
      </c>
      <c r="E11577" s="6" t="n">
        <f aca="false">Q!M29</f>
        <v>32.185</v>
      </c>
      <c r="F11577" s="6" t="n">
        <f aca="false">Sens!F11576*tax_f</f>
        <v>37.5895596912058</v>
      </c>
      <c r="G11577" s="6" t="n">
        <f aca="false">Sens!G11576*tax_f</f>
        <v>43.7963167525689</v>
      </c>
      <c r="H11577" s="6" t="n">
        <f aca="false">Sens!H11576*tax_f</f>
        <v>50.9995330380032</v>
      </c>
      <c r="I11577" s="6" t="n">
        <f aca="false">Sens!I11576*tax_f</f>
        <v>56.5917108103804</v>
      </c>
      <c r="J11577" s="6" t="n">
        <f aca="false">Sens!J11576*tax_f</f>
        <v>61.4484425448057</v>
      </c>
      <c r="K11577" s="6" t="n">
        <f aca="false">Sens!K11576*tax_f</f>
        <v>65.882466384863</v>
      </c>
    </row>
    <row r="11578" customFormat="false" ht="15" hidden="false" customHeight="false" outlineLevel="0" collapsed="false">
      <c r="A11578" s="1" t="s">
        <v>915</v>
      </c>
      <c r="B11578" s="0" t="s">
        <v>98</v>
      </c>
      <c r="D11578" s="6" t="n">
        <f aca="false">Sens!D11576-Sens!D11577</f>
        <v>101.832</v>
      </c>
      <c r="E11578" s="6" t="n">
        <f aca="false">Sens!E11576-Sens!E11577</f>
        <v>133.749</v>
      </c>
      <c r="F11578" s="6" t="n">
        <f aca="false">Sens!F11576-Sens!F11577</f>
        <v>150.358238764823</v>
      </c>
      <c r="G11578" s="6" t="n">
        <f aca="false">Sens!G11576-Sens!G11577</f>
        <v>175.185267010275</v>
      </c>
      <c r="H11578" s="6" t="n">
        <f aca="false">Sens!H11576-Sens!H11577</f>
        <v>203.998132152013</v>
      </c>
      <c r="I11578" s="6" t="n">
        <f aca="false">Sens!I11576-Sens!I11577</f>
        <v>226.366843241522</v>
      </c>
      <c r="J11578" s="6" t="n">
        <f aca="false">Sens!J11576-Sens!J11577</f>
        <v>245.793770179223</v>
      </c>
      <c r="K11578" s="6" t="n">
        <f aca="false">Sens!K11576-Sens!K11577</f>
        <v>263.529865539452</v>
      </c>
    </row>
    <row r="11579" customFormat="false" ht="17.15" hidden="false" customHeight="false" outlineLevel="0" collapsed="false">
      <c r="A11579" s="1" t="s">
        <v>916</v>
      </c>
      <c r="B11579" s="1" t="s">
        <v>81</v>
      </c>
      <c r="D11579" s="14" t="n">
        <f aca="false">Q!L31</f>
        <v>7.465</v>
      </c>
      <c r="E11579" s="14" t="n">
        <f aca="false">Q!M31</f>
        <v>7.453</v>
      </c>
      <c r="F11579" s="14" t="n">
        <f aca="false">Sens!F11620</f>
        <v>7.4735</v>
      </c>
      <c r="G11579" s="14" t="n">
        <f aca="false">Sens!G11620</f>
        <v>7.50286075487197</v>
      </c>
      <c r="H11579" s="14" t="n">
        <f aca="false">Sens!H11620</f>
        <v>7.51497309559388</v>
      </c>
      <c r="I11579" s="14" t="n">
        <f aca="false">Sens!I11620</f>
        <v>7.5267539276012</v>
      </c>
      <c r="J11579" s="14" t="n">
        <f aca="false">Sens!J11620</f>
        <v>7.54099543871908</v>
      </c>
      <c r="K11579" s="14" t="n">
        <f aca="false">Sens!K11620</f>
        <v>7.55751535642082</v>
      </c>
    </row>
    <row r="11580" customFormat="false" ht="17.15" hidden="false" customHeight="false" outlineLevel="0" collapsed="false">
      <c r="A11580" s="0" t="s">
        <v>917</v>
      </c>
      <c r="B11580" s="0" t="s">
        <v>75</v>
      </c>
      <c r="D11580" s="8" t="n">
        <f aca="false">Sens!D11578/Sens!D11579</f>
        <v>13.641259209645</v>
      </c>
      <c r="E11580" s="8" t="n">
        <f aca="false">Sens!E11578/Sens!E11579</f>
        <v>17.9456594659869</v>
      </c>
      <c r="F11580" s="8" t="n">
        <f aca="false">Sens!F11578/Sens!F11579</f>
        <v>20.1188517782596</v>
      </c>
      <c r="G11580" s="8" t="n">
        <f aca="false">Sens!G11578/Sens!G11579</f>
        <v>23.3491294499261</v>
      </c>
      <c r="H11580" s="8" t="n">
        <f aca="false">Sens!H11578/Sens!H11579</f>
        <v>27.1455572171801</v>
      </c>
      <c r="I11580" s="8" t="n">
        <f aca="false">Sens!I11578/Sens!I11579</f>
        <v>30.0749626490932</v>
      </c>
      <c r="J11580" s="8" t="n">
        <f aca="false">Sens!J11578/Sens!J11579</f>
        <v>32.5943401208281</v>
      </c>
      <c r="K11580" s="8" t="n">
        <f aca="false">Sens!K11578/Sens!K11579</f>
        <v>34.8699080466384</v>
      </c>
      <c r="L11580" s="1" t="s">
        <v>918</v>
      </c>
    </row>
    <row r="11581" customFormat="false" ht="17.15" hidden="false" customHeight="false" outlineLevel="0" collapsed="false">
      <c r="A11581" s="1" t="s">
        <v>919</v>
      </c>
      <c r="B11581" s="0" t="s">
        <v>98</v>
      </c>
      <c r="D11581" s="6" t="n">
        <f aca="false">Sens!D11578</f>
        <v>101.832</v>
      </c>
      <c r="E11581" s="6" t="n">
        <f aca="false">Sens!E11578</f>
        <v>133.749</v>
      </c>
      <c r="F11581" s="6" t="n">
        <f aca="false">Sens!F11578+Sens!F11571*(1-tax_f)</f>
        <v>165.405744716615</v>
      </c>
      <c r="G11581" s="6" t="n">
        <f aca="false">Sens!G11578+Sens!G11571*(1-tax_f)</f>
        <v>200.878580102244</v>
      </c>
      <c r="H11581" s="6" t="n">
        <f aca="false">Sens!H11578+Sens!H11571*(1-tax_f)</f>
        <v>241.419217258517</v>
      </c>
      <c r="I11581" s="6" t="n">
        <f aca="false">Sens!I11578+Sens!I11571*(1-tax_f)</f>
        <v>274.756850499623</v>
      </c>
      <c r="J11581" s="6" t="n">
        <f aca="false">Sens!J11578+Sens!J11571*(1-tax_f)</f>
        <v>301.917461239684</v>
      </c>
      <c r="K11581" s="6" t="n">
        <f aca="false">Sens!K11578+Sens!K11571*(1-tax_f)</f>
        <v>323.610071672597</v>
      </c>
    </row>
    <row r="11582" customFormat="false" ht="17.15" hidden="false" customHeight="false" outlineLevel="0" collapsed="false">
      <c r="A11582" s="0" t="s">
        <v>920</v>
      </c>
      <c r="B11582" s="0" t="s">
        <v>75</v>
      </c>
      <c r="D11582" s="8" t="n">
        <f aca="false">Sens!D11581/Sens!D11579</f>
        <v>13.641259209645</v>
      </c>
      <c r="E11582" s="8" t="n">
        <f aca="false">Sens!E11581/Sens!E11579</f>
        <v>17.9456594659869</v>
      </c>
      <c r="F11582" s="8" t="n">
        <f aca="false">Sens!F11581/Sens!F11579</f>
        <v>22.1323000891971</v>
      </c>
      <c r="G11582" s="8" t="n">
        <f aca="false">Sens!G11581/Sens!G11579</f>
        <v>26.7735983200546</v>
      </c>
      <c r="H11582" s="8" t="n">
        <f aca="false">Sens!H11581/Sens!H11579</f>
        <v>32.1250940206379</v>
      </c>
      <c r="I11582" s="8" t="n">
        <f aca="false">Sens!I11581/Sens!I11579</f>
        <v>36.5040299101672</v>
      </c>
      <c r="J11582" s="8" t="n">
        <f aca="false">Sens!J11581/Sens!J11579</f>
        <v>40.0368179099401</v>
      </c>
      <c r="K11582" s="8" t="n">
        <f aca="false">Sens!K11581/Sens!K11579</f>
        <v>42.8196379908986</v>
      </c>
      <c r="L11582" s="1" t="s">
        <v>921</v>
      </c>
    </row>
    <row r="11583" customFormat="false" ht="17.15" hidden="false" customHeight="false" outlineLevel="0" collapsed="false">
      <c r="A11583" s="0" t="s">
        <v>922</v>
      </c>
      <c r="B11583" s="0" t="s">
        <v>129</v>
      </c>
      <c r="E11583" s="7" t="n">
        <f aca="false">Sens!E11582/Sens!D11582-1</f>
        <v>0.315542736208578</v>
      </c>
      <c r="F11583" s="7" t="n">
        <f aca="false">Sens!F11582/Sens!E11582-1</f>
        <v>0.233295445683978</v>
      </c>
      <c r="G11583" s="7" t="n">
        <f aca="false">Sens!G11582/Sens!F11582-1</f>
        <v>0.209706998917969</v>
      </c>
      <c r="H11583" s="7" t="n">
        <f aca="false">Sens!H11582/Sens!G11582-1</f>
        <v>0.199879584231111</v>
      </c>
      <c r="I11583" s="7" t="n">
        <f aca="false">Sens!I11582/Sens!H11582-1</f>
        <v>0.136308889453094</v>
      </c>
      <c r="J11583" s="7" t="n">
        <f aca="false">Sens!J11582/Sens!I11582-1</f>
        <v>0.096778027205946</v>
      </c>
      <c r="K11583" s="7" t="n">
        <f aca="false">Sens!K11582/Sens!J11582-1</f>
        <v>0.0695065248996143</v>
      </c>
    </row>
    <row r="11584" customFormat="false" ht="17.15" hidden="false" customHeight="false" outlineLevel="0" collapsed="false">
      <c r="A11584" s="0" t="s">
        <v>846</v>
      </c>
      <c r="B11584" s="0" t="s">
        <v>98</v>
      </c>
      <c r="E11584" s="6" t="n">
        <f aca="false">Sens!E11525</f>
        <v>5.25</v>
      </c>
      <c r="F11584" s="6" t="n">
        <f aca="false">Sens!F11525</f>
        <v>13.5</v>
      </c>
      <c r="G11584" s="6" t="n">
        <f aca="false">Sens!G11525</f>
        <v>22.5</v>
      </c>
      <c r="H11584" s="6" t="n">
        <f aca="false">Sens!H11525</f>
        <v>31.5</v>
      </c>
      <c r="I11584" s="6" t="n">
        <f aca="false">Sens!I11525</f>
        <v>38.25</v>
      </c>
      <c r="J11584" s="6" t="n">
        <f aca="false">Sens!J11525</f>
        <v>42.75</v>
      </c>
      <c r="K11584" s="6" t="n">
        <f aca="false">Sens!K11525</f>
        <v>47.25</v>
      </c>
    </row>
    <row r="11585" customFormat="false" ht="17.15" hidden="false" customHeight="false" outlineLevel="0" collapsed="false">
      <c r="A11585" s="1" t="s">
        <v>847</v>
      </c>
      <c r="B11585" s="0" t="s">
        <v>98</v>
      </c>
      <c r="F11585" s="6" t="n">
        <f aca="false">MAX(0,(Sens!E11488+Sens!F11488)/2*Sens!F11496/1000-Sens!F11584*Sens!F11564)</f>
        <v>18.8093824397397</v>
      </c>
      <c r="G11585" s="6" t="n">
        <f aca="false">MAX(0,(Sens!F11488+Sens!G11488)/2*Sens!G11496/1000-Sens!G11584*Sens!G11564)</f>
        <v>32.1166413649601</v>
      </c>
      <c r="H11585" s="6" t="n">
        <f aca="false">MAX(0,(Sens!G11488+Sens!H11488)/2*Sens!H11496/1000-Sens!H11584*Sens!H11564)</f>
        <v>46.7763563831308</v>
      </c>
      <c r="I11585" s="6" t="n">
        <f aca="false">MAX(0,(Sens!H11488+Sens!I11488)/2*Sens!I11496/1000-Sens!I11584*Sens!I11564)</f>
        <v>60.4875090726263</v>
      </c>
      <c r="J11585" s="6" t="n">
        <f aca="false">MAX(0,(Sens!I11488+Sens!J11488)/2*Sens!J11496/1000-Sens!J11584*Sens!J11564)</f>
        <v>70.154613825577</v>
      </c>
      <c r="K11585" s="6" t="n">
        <f aca="false">MAX(0,(Sens!J11488+Sens!K11488)/2*Sens!K11496/1000-Sens!K11584*Sens!K11564)</f>
        <v>75.1002576664312</v>
      </c>
      <c r="L11585" s="1" t="s">
        <v>848</v>
      </c>
    </row>
    <row r="11586" customFormat="false" ht="17.15" hidden="false" customHeight="false" outlineLevel="0" collapsed="false">
      <c r="A11586" s="1" t="s">
        <v>849</v>
      </c>
      <c r="B11586" s="0" t="s">
        <v>98</v>
      </c>
      <c r="F11586" s="6" t="n">
        <f aca="false">IF(internal_ai_reading=2,1,0)*Sens!F11585</f>
        <v>18.8093824397397</v>
      </c>
      <c r="G11586" s="6" t="n">
        <f aca="false">IF(internal_ai_reading=2,1,0)*Sens!G11585</f>
        <v>32.1166413649601</v>
      </c>
      <c r="H11586" s="6" t="n">
        <f aca="false">IF(internal_ai_reading=2,1,0)*Sens!H11585</f>
        <v>46.7763563831308</v>
      </c>
      <c r="I11586" s="6" t="n">
        <f aca="false">IF(internal_ai_reading=2,1,0)*Sens!I11585</f>
        <v>60.4875090726263</v>
      </c>
      <c r="J11586" s="6" t="n">
        <f aca="false">IF(internal_ai_reading=2,1,0)*Sens!J11585</f>
        <v>70.154613825577</v>
      </c>
      <c r="K11586" s="6" t="n">
        <f aca="false">IF(internal_ai_reading=2,1,0)*Sens!K11585</f>
        <v>75.1002576664312</v>
      </c>
    </row>
    <row r="11587" customFormat="false" ht="17.15" hidden="false" customHeight="false" outlineLevel="0" collapsed="false">
      <c r="A11587" s="0" t="s">
        <v>850</v>
      </c>
      <c r="B11587" s="0" t="s">
        <v>98</v>
      </c>
      <c r="F11587" s="6" t="n">
        <f aca="false">Sens!F11505+Sens!F11584*Sens!F11564+Sens!F11586-Sens!F11506-Sens!F11516</f>
        <v>28.6541940749543</v>
      </c>
      <c r="G11587" s="6" t="n">
        <f aca="false">Sens!G11505+Sens!G11584*Sens!G11564+Sens!G11586-Sens!G11506-Sens!G11516</f>
        <v>52.6181197051223</v>
      </c>
      <c r="H11587" s="6" t="n">
        <f aca="false">Sens!H11505+Sens!H11584*Sens!H11564+Sens!H11586-Sens!H11506-Sens!H11516</f>
        <v>82.5803907018664</v>
      </c>
      <c r="I11587" s="6" t="n">
        <f aca="false">Sens!I11505+Sens!I11584*Sens!I11564+Sens!I11586-Sens!I11506-Sens!I11516</f>
        <v>103.919068765268</v>
      </c>
      <c r="J11587" s="6" t="n">
        <f aca="false">Sens!J11505+Sens!J11584*Sens!J11564+Sens!J11586-Sens!J11506-Sens!J11516</f>
        <v>118.712864100999</v>
      </c>
      <c r="K11587" s="6" t="n">
        <f aca="false">Sens!K11505+Sens!K11584*Sens!K11564+Sens!K11586-Sens!K11506-Sens!K11516</f>
        <v>128.667337297013</v>
      </c>
    </row>
    <row r="11588" customFormat="false" ht="17.15" hidden="false" customHeight="false" outlineLevel="0" collapsed="false">
      <c r="A11588" s="0" t="s">
        <v>851</v>
      </c>
      <c r="B11588" s="0" t="s">
        <v>98</v>
      </c>
      <c r="E11588" s="6" t="n">
        <f aca="false">Sens!E11487*(cxit_open+self_build*tk_cxfac)/1000*ai_net_open</f>
        <v>126.6980382</v>
      </c>
      <c r="F11588" s="6" t="n">
        <f aca="false">Sens!E11588+Sens!F11513-Sens!F11516</f>
        <v>260.440655514568</v>
      </c>
      <c r="G11588" s="6" t="n">
        <f aca="false">Sens!F11588+Sens!G11513-Sens!G11516</f>
        <v>383.533102737428</v>
      </c>
      <c r="H11588" s="6" t="n">
        <f aca="false">Sens!G11588+Sens!H11513-Sens!H11516</f>
        <v>483.896072654688</v>
      </c>
      <c r="I11588" s="6" t="n">
        <f aca="false">Sens!H11588+Sens!I11513-Sens!I11516</f>
        <v>535.640701826713</v>
      </c>
      <c r="J11588" s="6" t="n">
        <f aca="false">Sens!I11588+Sens!J11513-Sens!J11516</f>
        <v>530.994467622137</v>
      </c>
      <c r="K11588" s="6" t="n">
        <f aca="false">Sens!J11588+Sens!K11513-Sens!K11516</f>
        <v>506.3312564596</v>
      </c>
      <c r="L11588" s="1" t="s">
        <v>852</v>
      </c>
    </row>
    <row r="11589" customFormat="false" ht="17.15" hidden="false" customHeight="false" outlineLevel="0" collapsed="false">
      <c r="A11589" s="0" t="s">
        <v>853</v>
      </c>
      <c r="B11589" s="0" t="s">
        <v>129</v>
      </c>
      <c r="F11589" s="7" t="n">
        <f aca="false">Sens!F11587*(1-tax_f)/((Sens!E11588+Sens!F11588)/2)</f>
        <v>0.118424511071293</v>
      </c>
      <c r="G11589" s="7" t="n">
        <f aca="false">Sens!G11587*(1-tax_f)/((Sens!F11588+Sens!G11588)/2)</f>
        <v>0.130733574853607</v>
      </c>
      <c r="H11589" s="7" t="n">
        <f aca="false">Sens!H11587*(1-tax_f)/((Sens!G11588+Sens!H11588)/2)</f>
        <v>0.152322090230892</v>
      </c>
      <c r="I11589" s="7" t="n">
        <f aca="false">Sens!I11587*(1-tax_f)/((Sens!H11588+Sens!I11588)/2)</f>
        <v>0.163084367514849</v>
      </c>
      <c r="J11589" s="7" t="n">
        <f aca="false">Sens!J11587*(1-tax_f)/((Sens!I11588+Sens!J11588)/2)</f>
        <v>0.178074554451213</v>
      </c>
      <c r="K11589" s="7" t="n">
        <f aca="false">Sens!K11587*(1-tax_f)/((Sens!J11588+Sens!K11588)/2)</f>
        <v>0.198460073722224</v>
      </c>
    </row>
    <row r="11590" customFormat="false" ht="17.15" hidden="false" customHeight="false" outlineLevel="0" collapsed="false">
      <c r="A11590" s="1" t="s">
        <v>854</v>
      </c>
      <c r="B11590" s="0" t="s">
        <v>129</v>
      </c>
      <c r="F11590" s="7" t="n">
        <f aca="false">(Sens!F11587-Sens!F11586)*(1-tax_f)/((Sens!E11588+Sens!F11588)/2)</f>
        <v>0.0406874819595191</v>
      </c>
      <c r="G11590" s="7" t="n">
        <f aca="false">(Sens!G11587-Sens!G11586)*(1-tax_f)/((Sens!F11588+Sens!G11588)/2)</f>
        <v>0.0509374255145091</v>
      </c>
      <c r="H11590" s="7" t="n">
        <f aca="false">(Sens!H11587-Sens!H11586)*(1-tax_f)/((Sens!G11588+Sens!H11588)/2)</f>
        <v>0.0660416510478576</v>
      </c>
      <c r="I11590" s="7" t="n">
        <f aca="false">(Sens!I11587-Sens!I11586)*(1-tax_f)/((Sens!H11588+Sens!I11588)/2)</f>
        <v>0.0681588906330271</v>
      </c>
      <c r="J11590" s="7" t="n">
        <f aca="false">(Sens!J11587-Sens!J11586)*(1-tax_f)/((Sens!I11588+Sens!J11588)/2)</f>
        <v>0.0728395262654053</v>
      </c>
      <c r="K11590" s="7" t="n">
        <f aca="false">(Sens!K11587-Sens!K11586)*(1-tax_f)/((Sens!J11588+Sens!K11588)/2)</f>
        <v>0.0826233510065519</v>
      </c>
    </row>
    <row r="11591" customFormat="false" ht="17.15" hidden="false" customHeight="false" outlineLevel="0" collapsed="false">
      <c r="A11591" s="1" t="s">
        <v>855</v>
      </c>
      <c r="B11591" s="0" t="s">
        <v>129</v>
      </c>
      <c r="F11591" s="7" t="n">
        <f aca="false">(Sens!F11587-Sens!F11586+Sens!F11585)*(1-tax_f)/((Sens!E11588+Sens!F11588)/2)</f>
        <v>0.118424511071293</v>
      </c>
      <c r="G11591" s="7" t="n">
        <f aca="false">(Sens!G11587-Sens!G11586+Sens!G11585)*(1-tax_f)/((Sens!F11588+Sens!G11588)/2)</f>
        <v>0.130733574853607</v>
      </c>
      <c r="H11591" s="7" t="n">
        <f aca="false">(Sens!H11587-Sens!H11586+Sens!H11585)*(1-tax_f)/((Sens!G11588+Sens!H11588)/2)</f>
        <v>0.152322090230892</v>
      </c>
      <c r="I11591" s="7" t="n">
        <f aca="false">(Sens!I11587-Sens!I11586+Sens!I11585)*(1-tax_f)/((Sens!H11588+Sens!I11588)/2)</f>
        <v>0.163084367514849</v>
      </c>
      <c r="J11591" s="7" t="n">
        <f aca="false">(Sens!J11587-Sens!J11586+Sens!J11585)*(1-tax_f)/((Sens!I11588+Sens!J11588)/2)</f>
        <v>0.178074554451213</v>
      </c>
      <c r="K11591" s="7" t="n">
        <f aca="false">(Sens!K11587-Sens!K11586+Sens!K11585)*(1-tax_f)/((Sens!J11588+Sens!K11588)/2)</f>
        <v>0.198460073722224</v>
      </c>
    </row>
    <row r="11592" customFormat="false" ht="17.15" hidden="false" customHeight="false" outlineLevel="0" collapsed="false">
      <c r="A11592" s="1" t="s">
        <v>856</v>
      </c>
      <c r="B11592" s="0" t="s">
        <v>129</v>
      </c>
      <c r="F11592" s="7" t="n">
        <f aca="false">Sens!F11517*(1-tax_f)/(Sens!F11504*(Sens!E11588+Sens!F11588)/2)</f>
        <v>0.153543815988938</v>
      </c>
      <c r="G11592" s="7" t="n">
        <f aca="false">Sens!G11517*(1-tax_f)/(Sens!G11504*(Sens!F11588+Sens!G11588)/2)</f>
        <v>0.17467487096866</v>
      </c>
      <c r="H11592" s="7" t="n">
        <f aca="false">Sens!H11517*(1-tax_f)/(Sens!H11504*(Sens!G11588+Sens!H11588)/2)</f>
        <v>0.207630352867497</v>
      </c>
      <c r="I11592" s="7" t="n">
        <f aca="false">Sens!I11517*(1-tax_f)/(Sens!I11504*(Sens!H11588+Sens!I11588)/2)</f>
        <v>0.221683969864569</v>
      </c>
      <c r="J11592" s="7" t="n">
        <f aca="false">Sens!J11517*(1-tax_f)/(Sens!J11504*(Sens!I11588+Sens!J11588)/2)</f>
        <v>0.241797558367104</v>
      </c>
      <c r="K11592" s="7" t="n">
        <f aca="false">Sens!K11517*(1-tax_f)/(Sens!K11504*(Sens!J11588+Sens!K11588)/2)</f>
        <v>0.269036299863445</v>
      </c>
    </row>
    <row r="11593" customFormat="false" ht="17.15" hidden="false" customHeight="false" outlineLevel="0" collapsed="false">
      <c r="A11593" s="0" t="s">
        <v>857</v>
      </c>
      <c r="B11593" s="0" t="s">
        <v>209</v>
      </c>
      <c r="F11593" s="7" t="n">
        <f aca="false">Sens!F11589-wacc</f>
        <v>0.0154900909784175</v>
      </c>
      <c r="G11593" s="7" t="n">
        <f aca="false">Sens!G11589-wacc</f>
        <v>0.0277991547607309</v>
      </c>
      <c r="H11593" s="7" t="n">
        <f aca="false">Sens!H11589-wacc</f>
        <v>0.0493876701380163</v>
      </c>
      <c r="I11593" s="7" t="n">
        <f aca="false">Sens!I11589-wacc</f>
        <v>0.0601499474219737</v>
      </c>
      <c r="J11593" s="7" t="n">
        <f aca="false">Sens!J11589-wacc</f>
        <v>0.0751401343583369</v>
      </c>
      <c r="K11593" s="7" t="n">
        <f aca="false">Sens!K11589-wacc</f>
        <v>0.0955256536293482</v>
      </c>
    </row>
    <row r="11594" customFormat="false" ht="17.15" hidden="false" customHeight="false" outlineLevel="0" collapsed="false">
      <c r="A11594" s="0" t="s">
        <v>858</v>
      </c>
      <c r="B11594" s="0" t="s">
        <v>98</v>
      </c>
      <c r="F11594" s="6" t="n">
        <f aca="false">Sens!F11587*(1-tax_f)-wacc*(Sens!E11588+Sens!F11588)/2</f>
        <v>2.99840679345218</v>
      </c>
      <c r="G11594" s="6" t="n">
        <f aca="false">Sens!G11587*(1-tax_f)-wacc*(Sens!F11588+Sens!G11588)/2</f>
        <v>8.95096308374838</v>
      </c>
      <c r="H11594" s="6" t="n">
        <f aca="false">Sens!H11587*(1-tax_f)-wacc*(Sens!G11588+Sens!H11588)/2</f>
        <v>21.4201529911787</v>
      </c>
      <c r="I11594" s="6" t="n">
        <f aca="false">Sens!I11587*(1-tax_f)-wacc*(Sens!H11588+Sens!I11588)/2</f>
        <v>30.6625416899125</v>
      </c>
      <c r="J11594" s="6" t="n">
        <f aca="false">Sens!J11587*(1-tax_f)-wacc*(Sens!I11588+Sens!J11588)/2</f>
        <v>40.0735549718571</v>
      </c>
      <c r="K11594" s="6" t="n">
        <f aca="false">Sens!K11587*(1-tax_f)-wacc*(Sens!J11588+Sens!K11588)/2</f>
        <v>49.5456089097224</v>
      </c>
    </row>
    <row r="11595" customFormat="false" ht="17.15" hidden="false" customHeight="false" outlineLevel="0" collapsed="false">
      <c r="A11595" s="3" t="s">
        <v>1537</v>
      </c>
    </row>
    <row r="11596" customFormat="false" ht="15" hidden="false" customHeight="false" outlineLevel="0" collapsed="false">
      <c r="A11596" s="4" t="s">
        <v>43</v>
      </c>
      <c r="B11596" s="4" t="s">
        <v>65</v>
      </c>
      <c r="C11596" s="20" t="s">
        <v>788</v>
      </c>
      <c r="D11596" s="20" t="s">
        <v>789</v>
      </c>
      <c r="E11596" s="20" t="s">
        <v>790</v>
      </c>
      <c r="F11596" s="20" t="s">
        <v>791</v>
      </c>
      <c r="G11596" s="20" t="s">
        <v>792</v>
      </c>
      <c r="H11596" s="20" t="s">
        <v>793</v>
      </c>
      <c r="I11596" s="20" t="s">
        <v>794</v>
      </c>
      <c r="J11596" s="20" t="s">
        <v>795</v>
      </c>
      <c r="K11596" s="20" t="s">
        <v>796</v>
      </c>
      <c r="L11596" s="4" t="s">
        <v>47</v>
      </c>
    </row>
    <row r="11597" customFormat="false" ht="15" hidden="false" customHeight="false" outlineLevel="0" collapsed="false">
      <c r="A11597" s="1" t="s">
        <v>915</v>
      </c>
      <c r="B11597" s="0" t="s">
        <v>98</v>
      </c>
      <c r="F11597" s="6" t="n">
        <f aca="false">Sens!F11578</f>
        <v>150.358238764823</v>
      </c>
      <c r="G11597" s="6" t="n">
        <f aca="false">Sens!G11578</f>
        <v>175.185267010275</v>
      </c>
      <c r="H11597" s="6" t="n">
        <f aca="false">Sens!H11578</f>
        <v>203.998132152013</v>
      </c>
      <c r="I11597" s="6" t="n">
        <f aca="false">Sens!I11578</f>
        <v>226.366843241522</v>
      </c>
      <c r="J11597" s="6" t="n">
        <f aca="false">Sens!J11578</f>
        <v>245.793770179223</v>
      </c>
      <c r="K11597" s="6" t="n">
        <f aca="false">Sens!K11578</f>
        <v>263.529865539452</v>
      </c>
    </row>
    <row r="11598" customFormat="false" ht="17.15" hidden="false" customHeight="false" outlineLevel="0" collapsed="false">
      <c r="A11598" s="1" t="s">
        <v>937</v>
      </c>
      <c r="B11598" s="0" t="s">
        <v>98</v>
      </c>
      <c r="E11598" s="6" t="n">
        <f aca="false">Q!M38-Sens!E11516</f>
        <v>22.2285940229167</v>
      </c>
      <c r="F11598" s="6" t="n">
        <f aca="false">Sens!E11598*(1-1/life_nonai)+Sens!F11604/life_nonai</f>
        <v>23.5786693435813</v>
      </c>
      <c r="G11598" s="6" t="n">
        <f aca="false">Sens!F11598*(1-1/life_nonai)+Sens!G11604/life_nonai</f>
        <v>25.3810917662621</v>
      </c>
      <c r="H11598" s="6" t="n">
        <f aca="false">Sens!G11598*(1-1/life_nonai)+Sens!H11604/life_nonai</f>
        <v>27.5991339540448</v>
      </c>
      <c r="I11598" s="6" t="n">
        <f aca="false">Sens!H11598*(1-1/life_nonai)+Sens!I11604/life_nonai</f>
        <v>30.1565605898047</v>
      </c>
      <c r="J11598" s="6" t="n">
        <f aca="false">Sens!I11598*(1-1/life_nonai)+Sens!J11604/life_nonai</f>
        <v>32.9614958558616</v>
      </c>
      <c r="K11598" s="6" t="n">
        <f aca="false">Sens!J11598*(1-1/life_nonai)+Sens!K11604/life_nonai</f>
        <v>35.9297165444749</v>
      </c>
      <c r="L11598" s="11" t="s">
        <v>938</v>
      </c>
    </row>
    <row r="11599" customFormat="false" ht="17.15" hidden="false" customHeight="false" outlineLevel="0" collapsed="false">
      <c r="A11599" s="1" t="s">
        <v>939</v>
      </c>
      <c r="B11599" s="0" t="s">
        <v>98</v>
      </c>
      <c r="E11599" s="6" t="n">
        <f aca="false">Sens!E11516+Sens!E11598</f>
        <v>38.534</v>
      </c>
      <c r="F11599" s="6" t="n">
        <f aca="false">Sens!F11516+Sens!F11598</f>
        <v>58.306704799451</v>
      </c>
      <c r="G11599" s="6" t="n">
        <f aca="false">Sens!G11516+Sens!G11598</f>
        <v>85.8628250266016</v>
      </c>
      <c r="H11599" s="6" t="n">
        <f aca="false">Sens!H11516+Sens!H11598</f>
        <v>115.316449947184</v>
      </c>
      <c r="I11599" s="6" t="n">
        <f aca="false">Sens!I11516+Sens!I11598</f>
        <v>142.118600572026</v>
      </c>
      <c r="J11599" s="6" t="n">
        <f aca="false">Sens!J11516+Sens!J11598</f>
        <v>162.120206778527</v>
      </c>
      <c r="K11599" s="6" t="n">
        <f aca="false">Sens!K11516+Sens!K11598</f>
        <v>175.552363348948</v>
      </c>
    </row>
    <row r="11600" customFormat="false" ht="17.15" hidden="false" customHeight="false" outlineLevel="0" collapsed="false">
      <c r="A11600" s="1" t="s">
        <v>940</v>
      </c>
      <c r="B11600" s="0" t="s">
        <v>98</v>
      </c>
      <c r="F11600" s="6" t="n">
        <f aca="false">Sens!F11543*sbc_r</f>
        <v>15.1240791253967</v>
      </c>
      <c r="G11600" s="6" t="n">
        <f aca="false">Sens!G11543*sbc_r</f>
        <v>18.3778786594202</v>
      </c>
      <c r="H11600" s="6" t="n">
        <f aca="false">Sens!H11543*sbc_r</f>
        <v>21.8771522065674</v>
      </c>
      <c r="I11600" s="6" t="n">
        <f aca="false">Sens!I11543*sbc_r</f>
        <v>24.8701515437869</v>
      </c>
      <c r="J11600" s="6" t="n">
        <f aca="false">Sens!J11543*sbc_r</f>
        <v>27.2849214872696</v>
      </c>
      <c r="K11600" s="6" t="n">
        <f aca="false">Sens!K11543*sbc_r</f>
        <v>29.2091113705455</v>
      </c>
    </row>
    <row r="11601" customFormat="false" ht="17.15" hidden="false" customHeight="false" outlineLevel="0" collapsed="false">
      <c r="A11601" s="1" t="s">
        <v>941</v>
      </c>
      <c r="B11601" s="0" t="s">
        <v>98</v>
      </c>
      <c r="F11601" s="6" t="n">
        <f aca="false">wc27</f>
        <v>-4.895</v>
      </c>
      <c r="G11601" s="6" t="n">
        <f aca="false">wc_f</f>
        <v>0</v>
      </c>
      <c r="H11601" s="6" t="n">
        <f aca="false">wc_f</f>
        <v>0</v>
      </c>
      <c r="I11601" s="6" t="n">
        <f aca="false">wc_f</f>
        <v>0</v>
      </c>
      <c r="J11601" s="6" t="n">
        <f aca="false">wc_f</f>
        <v>0</v>
      </c>
      <c r="K11601" s="6" t="n">
        <f aca="false">wc_f</f>
        <v>0</v>
      </c>
      <c r="L11601" s="11" t="s">
        <v>942</v>
      </c>
    </row>
    <row r="11602" customFormat="false" ht="15" hidden="false" customHeight="false" outlineLevel="0" collapsed="false">
      <c r="A11602" s="1" t="s">
        <v>756</v>
      </c>
      <c r="B11602" s="0" t="s">
        <v>98</v>
      </c>
      <c r="E11602" s="6" t="n">
        <f aca="false">Q!M35</f>
        <v>182.935</v>
      </c>
      <c r="F11602" s="6" t="n">
        <f aca="false">Sens!F11597+Sens!F11599+Sens!F11600+Sens!F11601</f>
        <v>218.894022689671</v>
      </c>
      <c r="G11602" s="6" t="n">
        <f aca="false">Sens!G11597+Sens!G11599+Sens!G11600+Sens!G11601</f>
        <v>279.425970696297</v>
      </c>
      <c r="H11602" s="6" t="n">
        <f aca="false">Sens!H11597+Sens!H11599+Sens!H11600+Sens!H11601</f>
        <v>341.191734305765</v>
      </c>
      <c r="I11602" s="6" t="n">
        <f aca="false">Sens!I11597+Sens!I11599+Sens!I11600+Sens!I11601</f>
        <v>393.355595357335</v>
      </c>
      <c r="J11602" s="6" t="n">
        <f aca="false">Sens!J11597+Sens!J11599+Sens!J11600+Sens!J11601</f>
        <v>435.19889844502</v>
      </c>
      <c r="K11602" s="6" t="n">
        <f aca="false">Sens!K11597+Sens!K11599+Sens!K11600+Sens!K11601</f>
        <v>468.291340258946</v>
      </c>
    </row>
    <row r="11603" customFormat="false" ht="17.15" hidden="false" customHeight="false" outlineLevel="0" collapsed="false">
      <c r="A11603" s="0" t="s">
        <v>943</v>
      </c>
      <c r="B11603" s="0" t="s">
        <v>98</v>
      </c>
      <c r="F11603" s="6" t="n">
        <f aca="false">Sens!F11513</f>
        <v>168.470652770438</v>
      </c>
      <c r="G11603" s="6" t="n">
        <f aca="false">Sens!G11513</f>
        <v>183.5741804832</v>
      </c>
      <c r="H11603" s="6" t="n">
        <f aca="false">Sens!H11513</f>
        <v>188.0802859104</v>
      </c>
      <c r="I11603" s="6" t="n">
        <f aca="false">Sens!I11513</f>
        <v>163.706669154245</v>
      </c>
      <c r="J11603" s="6" t="n">
        <f aca="false">Sens!J11513</f>
        <v>124.51247671809</v>
      </c>
      <c r="K11603" s="6" t="n">
        <f aca="false">Sens!K11513</f>
        <v>114.959435641936</v>
      </c>
    </row>
    <row r="11604" customFormat="false" ht="17.15" hidden="false" customHeight="false" outlineLevel="0" collapsed="false">
      <c r="A11604" s="1" t="s">
        <v>944</v>
      </c>
      <c r="B11604" s="0" t="s">
        <v>98</v>
      </c>
      <c r="E11604" s="6" t="n">
        <f aca="false">Sens!E11521*cx_azo+Sens!E11528*cx_m365+Sens!E11529*cx_lic+(Sens!E11531+Sens!E11533)*cx_ind+Sens!E11536*cx_srch+(Sens!E11538+Sens!E11540)*cx_dev</f>
        <v>30.1846587067718</v>
      </c>
      <c r="F11604" s="6" t="n">
        <f aca="false">Sens!F11521*cx_azo+Sens!F11528*cx_m365+Sens!F11529*cx_lic+(Sens!F11531+Sens!F11533)*cx_ind+Sens!F11536*cx_srch+(Sens!F11538+Sens!F11540)*cx_dev</f>
        <v>35.7293472295625</v>
      </c>
      <c r="G11604" s="6" t="n">
        <f aca="false">Sens!G11521*cx_azo+Sens!G11528*cx_m365+Sens!G11529*cx_lic+(Sens!G11531+Sens!G11533)*cx_ind+Sens!G11536*cx_srch+(Sens!G11538+Sens!G11540)*cx_dev</f>
        <v>41.6028935703892</v>
      </c>
      <c r="H11604" s="6" t="n">
        <f aca="false">Sens!H11521*cx_azo+Sens!H11528*cx_m365+Sens!H11529*cx_lic+(Sens!H11531+Sens!H11533)*cx_ind+Sens!H11536*cx_srch+(Sens!H11538+Sens!H11540)*cx_dev</f>
        <v>47.5615136440897</v>
      </c>
      <c r="I11604" s="6" t="n">
        <f aca="false">Sens!I11521*cx_azo+Sens!I11528*cx_m365+Sens!I11529*cx_lic+(Sens!I11531+Sens!I11533)*cx_ind+Sens!I11536*cx_srch+(Sens!I11538+Sens!I11540)*cx_dev</f>
        <v>53.1734003116439</v>
      </c>
      <c r="J11604" s="6" t="n">
        <f aca="false">Sens!J11521*cx_azo+Sens!J11528*cx_m365+Sens!J11529*cx_lic+(Sens!J11531+Sens!J11533)*cx_ind+Sens!J11536*cx_srch+(Sens!J11538+Sens!J11540)*cx_dev</f>
        <v>58.2059132503738</v>
      </c>
      <c r="K11604" s="6" t="n">
        <f aca="false">Sens!K11521*cx_azo+Sens!K11528*cx_m365+Sens!K11529*cx_lic+(Sens!K11531+Sens!K11533)*cx_ind+Sens!K11536*cx_srch+(Sens!K11538+Sens!K11540)*cx_dev</f>
        <v>62.643702741994</v>
      </c>
    </row>
    <row r="11605" customFormat="false" ht="17.15" hidden="false" customHeight="false" outlineLevel="0" collapsed="false">
      <c r="A11605" s="1" t="s">
        <v>945</v>
      </c>
      <c r="B11605" s="0" t="s">
        <v>98</v>
      </c>
      <c r="E11605" s="6" t="n">
        <f aca="false">Q!M42</f>
        <v>145.3</v>
      </c>
      <c r="F11605" s="6" t="n">
        <f aca="false">Sens!F11603+Sens!F11604</f>
        <v>204.2</v>
      </c>
      <c r="G11605" s="6" t="n">
        <f aca="false">Sens!G11603+Sens!G11604</f>
        <v>225.177074053589</v>
      </c>
      <c r="H11605" s="6" t="n">
        <f aca="false">Sens!H11603+Sens!H11604</f>
        <v>235.64179955449</v>
      </c>
      <c r="I11605" s="6" t="n">
        <f aca="false">Sens!I11603+Sens!I11604</f>
        <v>216.880069465889</v>
      </c>
      <c r="J11605" s="6" t="n">
        <f aca="false">Sens!J11603+Sens!J11604</f>
        <v>182.718389968464</v>
      </c>
      <c r="K11605" s="6" t="n">
        <f aca="false">Sens!K11603+Sens!K11604</f>
        <v>177.60313838393</v>
      </c>
      <c r="L11605" s="1" t="s">
        <v>946</v>
      </c>
    </row>
    <row r="11606" customFormat="false" ht="15" hidden="false" customHeight="false" outlineLevel="0" collapsed="false">
      <c r="A11606" s="1" t="s">
        <v>947</v>
      </c>
      <c r="B11606" s="0" t="s">
        <v>98</v>
      </c>
      <c r="E11606" s="6" t="n">
        <f aca="false">fl_liab</f>
        <v>66.594</v>
      </c>
      <c r="F11606" s="6" t="n">
        <f aca="false">Sens!E11606-Sens!F11607</f>
        <v>62.46973</v>
      </c>
      <c r="G11606" s="6" t="n">
        <f aca="false">Sens!F11606-Sens!G11607</f>
        <v>57.98686785</v>
      </c>
      <c r="H11606" s="6" t="n">
        <f aca="false">Sens!G11606-Sens!H11607</f>
        <v>53.92827690325</v>
      </c>
      <c r="I11606" s="6" t="n">
        <f aca="false">Sens!H11606-Sens!I11607</f>
        <v>49.7850493638962</v>
      </c>
      <c r="J11606" s="6" t="n">
        <f aca="false">Sens!I11606-Sens!J11607</f>
        <v>45.4823765852716</v>
      </c>
      <c r="K11606" s="6" t="n">
        <f aca="false">Sens!J11606-Sens!K11607</f>
        <v>40.9860835316088</v>
      </c>
    </row>
    <row r="11607" customFormat="false" ht="15" hidden="false" customHeight="false" outlineLevel="0" collapsed="false">
      <c r="A11607" s="1" t="s">
        <v>948</v>
      </c>
      <c r="B11607" s="0" t="s">
        <v>98</v>
      </c>
      <c r="F11607" s="6" t="n">
        <f aca="false">fl_pay_27-Sens!E11606*fl_rate</f>
        <v>4.12427</v>
      </c>
      <c r="G11607" s="6" t="n">
        <f aca="false">fl_pay_28-Sens!F11606*fl_rate</f>
        <v>4.48286215</v>
      </c>
      <c r="H11607" s="6" t="n">
        <f aca="false">fl_pay_29-Sens!G11606*fl_rate</f>
        <v>4.05859094675</v>
      </c>
      <c r="I11607" s="6" t="n">
        <f aca="false">fl_pay_30-Sens!H11606*fl_rate</f>
        <v>4.14322753935375</v>
      </c>
      <c r="J11607" s="6" t="n">
        <f aca="false">fl_pay_31-Sens!I11606*fl_rate</f>
        <v>4.30267277862467</v>
      </c>
      <c r="K11607" s="6" t="n">
        <f aca="false">fl_pay_32-Sens!J11606*fl_rate</f>
        <v>4.49629305366278</v>
      </c>
    </row>
    <row r="11608" customFormat="false" ht="17.15" hidden="false" customHeight="false" outlineLevel="0" collapsed="false">
      <c r="A11608" s="1" t="s">
        <v>949</v>
      </c>
      <c r="B11608" s="0" t="s">
        <v>98</v>
      </c>
      <c r="E11608" s="6" t="n">
        <f aca="false">Q!M35-Q!M36-Q!M43</f>
        <v>63.886</v>
      </c>
      <c r="F11608" s="6" t="n">
        <f aca="false">Sens!F11602-Sens!F11605-Sens!F11607</f>
        <v>10.5697526896709</v>
      </c>
      <c r="G11608" s="6" t="n">
        <f aca="false">Sens!G11602-Sens!G11605-Sens!G11607</f>
        <v>49.766034492708</v>
      </c>
      <c r="H11608" s="6" t="n">
        <f aca="false">Sens!H11602-Sens!H11605-Sens!H11607</f>
        <v>101.491343804525</v>
      </c>
      <c r="I11608" s="6" t="n">
        <f aca="false">Sens!I11602-Sens!I11605-Sens!I11607</f>
        <v>172.332298352091</v>
      </c>
      <c r="J11608" s="6" t="n">
        <f aca="false">Sens!J11602-Sens!J11605-Sens!J11607</f>
        <v>248.177835697931</v>
      </c>
      <c r="K11608" s="6" t="n">
        <f aca="false">Sens!K11602-Sens!K11605-Sens!K11607</f>
        <v>286.191908821353</v>
      </c>
      <c r="L11608" s="11" t="s">
        <v>950</v>
      </c>
    </row>
    <row r="11609" customFormat="false" ht="15" hidden="false" customHeight="false" outlineLevel="0" collapsed="false">
      <c r="A11609" s="1" t="s">
        <v>951</v>
      </c>
      <c r="B11609" s="0" t="s">
        <v>75</v>
      </c>
      <c r="F11609" s="8" t="n">
        <f aca="false">dps_27</f>
        <v>3.85</v>
      </c>
      <c r="G11609" s="8" t="n">
        <f aca="false">Sens!F11609*(1+dps_g)</f>
        <v>4.158</v>
      </c>
      <c r="H11609" s="8" t="n">
        <f aca="false">Sens!G11609*(1+dps_g)</f>
        <v>4.49064</v>
      </c>
      <c r="I11609" s="8" t="n">
        <f aca="false">Sens!H11609*(1+dps_g)</f>
        <v>4.8498912</v>
      </c>
      <c r="J11609" s="8" t="n">
        <f aca="false">Sens!I11609*(1+dps_g)</f>
        <v>5.237882496</v>
      </c>
      <c r="K11609" s="8" t="n">
        <f aca="false">Sens!J11609*(1+dps_g)</f>
        <v>5.65691309568</v>
      </c>
    </row>
    <row r="11610" customFormat="false" ht="17.15" hidden="false" customHeight="false" outlineLevel="0" collapsed="false">
      <c r="A11610" s="1" t="s">
        <v>952</v>
      </c>
      <c r="B11610" s="0" t="s">
        <v>98</v>
      </c>
      <c r="E11610" s="6" t="n">
        <f aca="false">Q!M41</f>
        <v>26.445</v>
      </c>
      <c r="F11610" s="6" t="n">
        <f aca="false">Sens!F11609*Sens!E11619</f>
        <v>28.59395</v>
      </c>
      <c r="G11610" s="6" t="n">
        <f aca="false">Sens!G11609*Sens!F11619</f>
        <v>31.068576</v>
      </c>
      <c r="H11610" s="6" t="n">
        <f aca="false">Sens!H11609*Sens!G11619</f>
        <v>33.6156804405165</v>
      </c>
      <c r="I11610" s="6" t="n">
        <f aca="false">Sens!I11609*Sens!H11619</f>
        <v>36.3558741157573</v>
      </c>
      <c r="J11610" s="6" t="n">
        <f aca="false">Sens!J11609*Sens!I11619</f>
        <v>39.3327428933373</v>
      </c>
      <c r="K11610" s="6" t="n">
        <f aca="false">Sens!K11609*Sens!J11619</f>
        <v>42.5666175501093</v>
      </c>
      <c r="L11610" s="1" t="s">
        <v>953</v>
      </c>
    </row>
    <row r="11611" customFormat="false" ht="15" hidden="false" customHeight="false" outlineLevel="0" collapsed="false">
      <c r="A11611" s="1" t="s">
        <v>954</v>
      </c>
      <c r="B11611" s="0" t="s">
        <v>98</v>
      </c>
      <c r="E11611" s="6" t="n">
        <f aca="false">Sens!E11608-Sens!E11610</f>
        <v>37.441</v>
      </c>
      <c r="F11611" s="6" t="n">
        <f aca="false">Sens!F11608-Sens!F11610</f>
        <v>-18.0241973103291</v>
      </c>
      <c r="G11611" s="6" t="n">
        <f aca="false">Sens!G11608-Sens!G11610</f>
        <v>18.697458492708</v>
      </c>
      <c r="H11611" s="6" t="n">
        <f aca="false">Sens!H11608-Sens!H11610</f>
        <v>67.8756633640085</v>
      </c>
      <c r="I11611" s="6" t="n">
        <f aca="false">Sens!I11608-Sens!I11610</f>
        <v>135.976424236334</v>
      </c>
      <c r="J11611" s="6" t="n">
        <f aca="false">Sens!J11608-Sens!J11610</f>
        <v>208.845092804593</v>
      </c>
      <c r="K11611" s="6" t="n">
        <f aca="false">Sens!K11608-Sens!K11610</f>
        <v>243.625291271244</v>
      </c>
    </row>
    <row r="11612" customFormat="false" ht="15" hidden="false" customHeight="false" outlineLevel="0" collapsed="false">
      <c r="A11612" s="1" t="s">
        <v>955</v>
      </c>
      <c r="B11612" s="0" t="s">
        <v>98</v>
      </c>
      <c r="F11612" s="6" t="n">
        <f aca="false">debt_mat_27</f>
        <v>9.25</v>
      </c>
      <c r="G11612" s="6" t="n">
        <f aca="false">debt_mat_28</f>
        <v>0</v>
      </c>
      <c r="H11612" s="6" t="n">
        <f aca="false">debt_mat_29</f>
        <v>2.001</v>
      </c>
      <c r="I11612" s="6" t="n">
        <f aca="false">debt_mat_30</f>
        <v>0</v>
      </c>
      <c r="J11612" s="6" t="n">
        <f aca="false">debt_mat_31</f>
        <v>0.5</v>
      </c>
      <c r="K11612" s="6" t="n">
        <f aca="false">debt_mat_32</f>
        <v>0</v>
      </c>
    </row>
    <row r="11613" customFormat="false" ht="15" hidden="false" customHeight="false" outlineLevel="0" collapsed="false">
      <c r="A11613" s="1" t="s">
        <v>956</v>
      </c>
      <c r="B11613" s="0" t="s">
        <v>98</v>
      </c>
      <c r="E11613" s="6" t="n">
        <f aca="false">Q!M40</f>
        <v>22.271</v>
      </c>
      <c r="F11613" s="6" t="n">
        <f aca="false">MAX(0,MIN(bb_target,Sens!E11615+Sens!F11611-Sens!F11612-min_cash))</f>
        <v>0</v>
      </c>
      <c r="G11613" s="6" t="n">
        <f aca="false">MAX(0,MIN(bb_target,Sens!F11615+Sens!G11611-Sens!G11612-min_cash))</f>
        <v>18.697458492708</v>
      </c>
      <c r="H11613" s="6" t="n">
        <f aca="false">MAX(0,MIN(bb_target,Sens!G11615+Sens!H11611-Sens!H11612-min_cash))</f>
        <v>22.271</v>
      </c>
      <c r="I11613" s="6" t="n">
        <f aca="false">MAX(0,MIN(bb_target,Sens!H11615+Sens!I11611-Sens!I11612-min_cash))</f>
        <v>22.271</v>
      </c>
      <c r="J11613" s="6" t="n">
        <f aca="false">MAX(0,MIN(bb_target,Sens!I11615+Sens!J11611-Sens!J11612-min_cash))</f>
        <v>22.271</v>
      </c>
      <c r="K11613" s="6" t="n">
        <f aca="false">MAX(0,MIN(bb_target,Sens!J11615+Sens!K11611-Sens!K11612-min_cash))</f>
        <v>22.271</v>
      </c>
    </row>
    <row r="11614" customFormat="false" ht="15" hidden="false" customHeight="false" outlineLevel="0" collapsed="false">
      <c r="A11614" s="1" t="s">
        <v>957</v>
      </c>
      <c r="B11614" s="0" t="s">
        <v>98</v>
      </c>
      <c r="F11614" s="6" t="n">
        <f aca="false">MAX(0,min_cash-(Sens!E11615+Sens!F11611-Sens!F11612-Sens!F11613))</f>
        <v>0.431197310329097</v>
      </c>
      <c r="G11614" s="6" t="n">
        <f aca="false">MAX(0,min_cash-(Sens!F11615+Sens!G11611-Sens!G11612-Sens!G11613))</f>
        <v>0</v>
      </c>
      <c r="H11614" s="6" t="n">
        <f aca="false">MAX(0,min_cash-(Sens!G11615+Sens!H11611-Sens!H11612-Sens!H11613))</f>
        <v>0</v>
      </c>
      <c r="I11614" s="6" t="n">
        <f aca="false">MAX(0,min_cash-(Sens!H11615+Sens!I11611-Sens!I11612-Sens!I11613))</f>
        <v>0</v>
      </c>
      <c r="J11614" s="6" t="n">
        <f aca="false">MAX(0,min_cash-(Sens!I11615+Sens!J11611-Sens!J11612-Sens!J11613))</f>
        <v>0</v>
      </c>
      <c r="K11614" s="6" t="n">
        <f aca="false">MAX(0,min_cash-(Sens!J11615+Sens!K11611-Sens!K11612-Sens!K11613))</f>
        <v>0</v>
      </c>
    </row>
    <row r="11615" customFormat="false" ht="15" hidden="false" customHeight="false" outlineLevel="0" collapsed="false">
      <c r="A11615" s="1" t="s">
        <v>958</v>
      </c>
      <c r="B11615" s="0" t="s">
        <v>98</v>
      </c>
      <c r="E11615" s="6" t="n">
        <f aca="false">cash_open</f>
        <v>76.843</v>
      </c>
      <c r="F11615" s="6" t="n">
        <f aca="false">Sens!E11615+Sens!F11611-Sens!F11612-Sens!F11613+Sens!F11614</f>
        <v>50</v>
      </c>
      <c r="G11615" s="6" t="n">
        <f aca="false">Sens!F11615+Sens!G11611-Sens!G11612-Sens!G11613+Sens!G11614</f>
        <v>50</v>
      </c>
      <c r="H11615" s="6" t="n">
        <f aca="false">Sens!G11615+Sens!H11611-Sens!H11612-Sens!H11613+Sens!H11614</f>
        <v>93.6036633640085</v>
      </c>
      <c r="I11615" s="6" t="n">
        <f aca="false">Sens!H11615+Sens!I11611-Sens!I11612-Sens!I11613+Sens!I11614</f>
        <v>207.309087600343</v>
      </c>
      <c r="J11615" s="6" t="n">
        <f aca="false">Sens!I11615+Sens!J11611-Sens!J11612-Sens!J11613+Sens!J11614</f>
        <v>393.383180404936</v>
      </c>
      <c r="K11615" s="6" t="n">
        <f aca="false">Sens!J11615+Sens!K11611-Sens!K11612-Sens!K11613+Sens!K11614</f>
        <v>614.73747167618</v>
      </c>
    </row>
    <row r="11616" customFormat="false" ht="15" hidden="false" customHeight="false" outlineLevel="0" collapsed="false">
      <c r="A11616" s="1" t="s">
        <v>959</v>
      </c>
      <c r="B11616" s="0" t="s">
        <v>98</v>
      </c>
      <c r="E11616" s="6" t="n">
        <f aca="false">debt_face</f>
        <v>46.136</v>
      </c>
      <c r="F11616" s="6" t="n">
        <f aca="false">Sens!E11616-Sens!F11612+Sens!F11614</f>
        <v>37.3171973103291</v>
      </c>
      <c r="G11616" s="6" t="n">
        <f aca="false">Sens!F11616-Sens!G11612+Sens!G11614</f>
        <v>37.3171973103291</v>
      </c>
      <c r="H11616" s="6" t="n">
        <f aca="false">Sens!G11616-Sens!H11612+Sens!H11614</f>
        <v>35.3161973103291</v>
      </c>
      <c r="I11616" s="6" t="n">
        <f aca="false">Sens!H11616-Sens!I11612+Sens!I11614</f>
        <v>35.3161973103291</v>
      </c>
      <c r="J11616" s="6" t="n">
        <f aca="false">Sens!I11616-Sens!J11612+Sens!J11614</f>
        <v>34.8161973103291</v>
      </c>
      <c r="K11616" s="6" t="n">
        <f aca="false">Sens!J11616-Sens!K11612+Sens!K11614</f>
        <v>34.8161973103291</v>
      </c>
    </row>
    <row r="11617" customFormat="false" ht="15" hidden="false" customHeight="false" outlineLevel="0" collapsed="false">
      <c r="A11617" s="1" t="s">
        <v>960</v>
      </c>
      <c r="B11617" s="0" t="s">
        <v>98</v>
      </c>
      <c r="E11617" s="6" t="n">
        <f aca="false">Sens!E11615-Sens!E11616</f>
        <v>30.707</v>
      </c>
      <c r="F11617" s="6" t="n">
        <f aca="false">Sens!F11615-Sens!F11616</f>
        <v>12.6828026896709</v>
      </c>
      <c r="G11617" s="6" t="n">
        <f aca="false">Sens!G11615-Sens!G11616</f>
        <v>12.6828026896709</v>
      </c>
      <c r="H11617" s="6" t="n">
        <f aca="false">Sens!H11615-Sens!H11616</f>
        <v>58.2874660536794</v>
      </c>
      <c r="I11617" s="6" t="n">
        <f aca="false">Sens!I11615-Sens!I11616</f>
        <v>171.992890290014</v>
      </c>
      <c r="J11617" s="6" t="n">
        <f aca="false">Sens!J11615-Sens!J11616</f>
        <v>358.566983094607</v>
      </c>
      <c r="K11617" s="6" t="n">
        <f aca="false">Sens!K11615-Sens!K11616</f>
        <v>579.921274365851</v>
      </c>
    </row>
    <row r="11618" customFormat="false" ht="15" hidden="false" customHeight="false" outlineLevel="0" collapsed="false">
      <c r="A11618" s="1" t="s">
        <v>961</v>
      </c>
      <c r="B11618" s="0" t="s">
        <v>75</v>
      </c>
      <c r="F11618" s="29" t="n">
        <f aca="false">px*(1+bb_g)^(Sens!F11482-base_fy-mid_yr)</f>
        <v>553.494156066711</v>
      </c>
      <c r="G11618" s="29" t="n">
        <f aca="false">px*(1+bb_g)^(Sens!G11482-base_fy-mid_yr)</f>
        <v>597.773688552047</v>
      </c>
      <c r="H11618" s="29" t="n">
        <f aca="false">px*(1+bb_g)^(Sens!H11482-base_fy-mid_yr)</f>
        <v>645.595583636211</v>
      </c>
      <c r="I11618" s="29" t="n">
        <f aca="false">px*(1+bb_g)^(Sens!I11482-base_fy-mid_yr)</f>
        <v>697.243230327108</v>
      </c>
      <c r="J11618" s="29" t="n">
        <f aca="false">px*(1+bb_g)^(Sens!J11482-base_fy-mid_yr)</f>
        <v>753.022688753277</v>
      </c>
      <c r="K11618" s="29" t="n">
        <f aca="false">px*(1+bb_g)^(Sens!K11482-base_fy-mid_yr)</f>
        <v>813.264503853539</v>
      </c>
    </row>
    <row r="11619" customFormat="false" ht="15" hidden="false" customHeight="false" outlineLevel="0" collapsed="false">
      <c r="A11619" s="1" t="s">
        <v>962</v>
      </c>
      <c r="B11619" s="1" t="s">
        <v>81</v>
      </c>
      <c r="E11619" s="14" t="n">
        <f aca="false">sh_out26</f>
        <v>7.427</v>
      </c>
      <c r="F11619" s="14" t="n">
        <f aca="false">Sens!E11619+sh_iss-Sens!F11613/Sens!F11618</f>
        <v>7.472</v>
      </c>
      <c r="G11619" s="14" t="n">
        <f aca="false">Sens!F11619+sh_iss-Sens!G11613/Sens!G11618</f>
        <v>7.48572150974393</v>
      </c>
      <c r="H11619" s="14" t="n">
        <f aca="false">Sens!G11619+sh_iss-Sens!H11613/Sens!H11618</f>
        <v>7.49622468144384</v>
      </c>
      <c r="I11619" s="14" t="n">
        <f aca="false">Sens!H11619+sh_iss-Sens!I11613/Sens!I11618</f>
        <v>7.50928317375856</v>
      </c>
      <c r="J11619" s="14" t="n">
        <f aca="false">Sens!I11619+sh_iss-Sens!J11613/Sens!J11618</f>
        <v>7.5247077036796</v>
      </c>
      <c r="K11619" s="14" t="n">
        <f aca="false">Sens!J11619+sh_iss-Sens!K11613/Sens!K11618</f>
        <v>7.54232300916205</v>
      </c>
    </row>
    <row r="11620" customFormat="false" ht="15" hidden="false" customHeight="false" outlineLevel="0" collapsed="false">
      <c r="A11620" s="1" t="s">
        <v>963</v>
      </c>
      <c r="B11620" s="1" t="s">
        <v>81</v>
      </c>
      <c r="E11620" s="14" t="n">
        <f aca="false">sh_dil26</f>
        <v>7.453</v>
      </c>
      <c r="F11620" s="14" t="n">
        <f aca="false">(Sens!E11619+Sens!F11619)/2+dil_gap</f>
        <v>7.4735</v>
      </c>
      <c r="G11620" s="14" t="n">
        <f aca="false">(Sens!F11619+Sens!G11619)/2+dil_gap</f>
        <v>7.50286075487197</v>
      </c>
      <c r="H11620" s="14" t="n">
        <f aca="false">(Sens!G11619+Sens!H11619)/2+dil_gap</f>
        <v>7.51497309559388</v>
      </c>
      <c r="I11620" s="14" t="n">
        <f aca="false">(Sens!H11619+Sens!I11619)/2+dil_gap</f>
        <v>7.5267539276012</v>
      </c>
      <c r="J11620" s="14" t="n">
        <f aca="false">(Sens!I11619+Sens!J11619)/2+dil_gap</f>
        <v>7.54099543871908</v>
      </c>
      <c r="K11620" s="14" t="n">
        <f aca="false">(Sens!J11619+Sens!K11619)/2+dil_gap</f>
        <v>7.55751535642082</v>
      </c>
    </row>
    <row r="11621" customFormat="false" ht="17.15" hidden="false" customHeight="false" outlineLevel="0" collapsed="false">
      <c r="A11621" s="1" t="s">
        <v>964</v>
      </c>
      <c r="B11621" s="0" t="s">
        <v>98</v>
      </c>
      <c r="C11621" s="6" t="n">
        <f aca="false">SUM(Sens!F11611:J11611)</f>
        <v>413.370441587315</v>
      </c>
    </row>
    <row r="11622" customFormat="false" ht="15" hidden="false" customHeight="false" outlineLevel="0" collapsed="false">
      <c r="A11622" s="23" t="s">
        <v>935</v>
      </c>
      <c r="B11622" s="30" t="s">
        <v>98</v>
      </c>
      <c r="C11622" s="24" t="n">
        <f aca="false">Sens!$C$11621-(Sens!F11611+Sens!G11611+Sens!H11611+Sens!I11611+Sens!J11611)</f>
        <v>0</v>
      </c>
      <c r="D11622" s="30"/>
      <c r="E11622" s="30"/>
      <c r="F11622" s="30"/>
      <c r="G11622" s="30"/>
      <c r="H11622" s="30"/>
      <c r="I11622" s="30"/>
      <c r="J11622" s="30"/>
      <c r="K11622" s="30"/>
    </row>
    <row r="11623" customFormat="false" ht="17.15" hidden="false" customHeight="false" outlineLevel="0" collapsed="false">
      <c r="A11623" s="1" t="s">
        <v>929</v>
      </c>
      <c r="B11623" s="1" t="s">
        <v>965</v>
      </c>
      <c r="C11623" s="32" t="str">
        <f aca="false">IF(SUM(Sens!F11614:J11614)&gt;0.05,"需要舉債 "&amp;TEXT(SUM(Sens!F11614:J11614),"0.0")&amp;" 十億美元","不需舉債")&amp;"；"&amp;IF(SUM(Sens!F11613:J11613)&lt;COUNT(Sens!F11613:J11613)*bb_target-0.05,"回購較每年 "&amp;TEXT(bb_target,"0.0")&amp;" 的目標少 "&amp;TEXT(COUNT(Sens!F11613:J11613)*bb_target-SUM(Sens!F11613:J11613),"0.0")&amp;" 十億美元（"&amp;TEXT(COUNTIF(Sens!F11613:J11613,"&lt;"&amp;(bb_target-0.05)),"0")&amp;" 年減少）","回購不減")</f>
        <v>需要舉債 0.4 十億美元；回購較每年 22.3 的目標少 25.8 十億美元（2 年減少）</v>
      </c>
    </row>
    <row r="11624" customFormat="false" ht="17.15" hidden="false" customHeight="false" outlineLevel="0" collapsed="false">
      <c r="A11624" s="3" t="s">
        <v>1538</v>
      </c>
    </row>
    <row r="11625" customFormat="false" ht="15" hidden="false" customHeight="false" outlineLevel="0" collapsed="false">
      <c r="A11625" s="4" t="s">
        <v>43</v>
      </c>
      <c r="B11625" s="4" t="s">
        <v>65</v>
      </c>
      <c r="C11625" s="20" t="s">
        <v>788</v>
      </c>
      <c r="D11625" s="20" t="s">
        <v>789</v>
      </c>
      <c r="E11625" s="20" t="s">
        <v>790</v>
      </c>
      <c r="F11625" s="20" t="s">
        <v>791</v>
      </c>
      <c r="G11625" s="20" t="s">
        <v>792</v>
      </c>
      <c r="H11625" s="20" t="s">
        <v>793</v>
      </c>
      <c r="I11625" s="20" t="s">
        <v>794</v>
      </c>
      <c r="J11625" s="20" t="s">
        <v>795</v>
      </c>
      <c r="K11625" s="20" t="s">
        <v>796</v>
      </c>
      <c r="L11625" s="4" t="s">
        <v>47</v>
      </c>
    </row>
    <row r="11626" customFormat="false" ht="15" hidden="false" customHeight="false" outlineLevel="0" collapsed="false">
      <c r="A11626" s="1" t="s">
        <v>1042</v>
      </c>
      <c r="B11626" s="1" t="s">
        <v>235</v>
      </c>
      <c r="F11626" s="36" t="n">
        <f aca="false">Sens!F11482-base_fy-mid_yr</f>
        <v>0.5</v>
      </c>
      <c r="G11626" s="36" t="n">
        <f aca="false">Sens!G11482-base_fy-mid_yr</f>
        <v>1.5</v>
      </c>
      <c r="H11626" s="36" t="n">
        <f aca="false">Sens!H11482-base_fy-mid_yr</f>
        <v>2.5</v>
      </c>
      <c r="I11626" s="36" t="n">
        <f aca="false">Sens!I11482-base_fy-mid_yr</f>
        <v>3.5</v>
      </c>
      <c r="J11626" s="36" t="n">
        <f aca="false">Sens!J11482-base_fy-mid_yr</f>
        <v>4.5</v>
      </c>
      <c r="K11626" s="36" t="n">
        <f aca="false">Sens!K11482-base_fy-mid_yr</f>
        <v>5.5</v>
      </c>
    </row>
    <row r="11627" customFormat="false" ht="15" hidden="false" customHeight="false" outlineLevel="0" collapsed="false">
      <c r="A11627" s="1" t="s">
        <v>1043</v>
      </c>
      <c r="B11627" s="0" t="s">
        <v>185</v>
      </c>
      <c r="F11627" s="14" t="n">
        <f aca="false">1/(1+wacc)^Sens!F11626</f>
        <v>0.952193373608246</v>
      </c>
      <c r="G11627" s="14" t="n">
        <f aca="false">1/(1+wacc)^Sens!G11626</f>
        <v>0.863327280626589</v>
      </c>
      <c r="H11627" s="14" t="n">
        <f aca="false">1/(1+wacc)^Sens!H11626</f>
        <v>0.782754862754115</v>
      </c>
      <c r="I11627" s="14" t="n">
        <f aca="false">1/(1+wacc)^Sens!I11626</f>
        <v>0.709702089711011</v>
      </c>
      <c r="J11627" s="14" t="n">
        <f aca="false">1/(1+wacc)^Sens!J11626</f>
        <v>0.643467169744551</v>
      </c>
      <c r="K11627" s="14" t="n">
        <f aca="false">1/(1+wacc)^Sens!K11626</f>
        <v>0.583413807767797</v>
      </c>
    </row>
    <row r="11628" customFormat="false" ht="17.15" hidden="false" customHeight="false" outlineLevel="0" collapsed="false">
      <c r="A11628" s="1" t="s">
        <v>1044</v>
      </c>
      <c r="B11628" s="0" t="s">
        <v>98</v>
      </c>
      <c r="F11628" s="6" t="n">
        <f aca="false">Sens!F11602-Sens!F11600-Sens!F11605+Sens!F11586*(1-tax_f)</f>
        <v>14.617449516066</v>
      </c>
      <c r="G11628" s="6" t="n">
        <f aca="false">Sens!G11602-Sens!G11600-Sens!G11605+Sens!G11586*(1-tax_f)</f>
        <v>61.5643310752559</v>
      </c>
      <c r="H11628" s="6" t="n">
        <f aca="false">Sens!H11602-Sens!H11600-Sens!H11605+Sens!H11586*(1-tax_f)</f>
        <v>121.093867651212</v>
      </c>
      <c r="I11628" s="6" t="n">
        <f aca="false">Sens!I11602-Sens!I11600-Sens!I11605+Sens!I11586*(1-tax_f)</f>
        <v>199.995381605759</v>
      </c>
      <c r="J11628" s="6" t="n">
        <f aca="false">Sens!J11602-Sens!J11600-Sens!J11605+Sens!J11586*(1-tax_f)</f>
        <v>281.319278049747</v>
      </c>
      <c r="K11628" s="6" t="n">
        <f aca="false">Sens!K11602-Sens!K11600-Sens!K11605+Sens!K11586*(1-tax_f)</f>
        <v>321.559296637615</v>
      </c>
      <c r="L11628" s="1" t="s">
        <v>1045</v>
      </c>
    </row>
    <row r="11629" customFormat="false" ht="15" hidden="false" customHeight="false" outlineLevel="0" collapsed="false">
      <c r="A11629" s="1" t="s">
        <v>1046</v>
      </c>
      <c r="B11629" s="0" t="s">
        <v>98</v>
      </c>
      <c r="F11629" s="6" t="n">
        <f aca="false">Sens!F11628*Sens!F11627</f>
        <v>13.9186385682511</v>
      </c>
      <c r="G11629" s="6" t="n">
        <f aca="false">Sens!G11628*Sens!G11627</f>
        <v>53.1501665307957</v>
      </c>
      <c r="H11629" s="6" t="n">
        <f aca="false">Sens!H11628*Sens!H11627</f>
        <v>94.7868137536897</v>
      </c>
      <c r="I11629" s="6" t="n">
        <f aca="false">Sens!I11628*Sens!I11627</f>
        <v>141.937140258158</v>
      </c>
      <c r="J11629" s="6" t="n">
        <f aca="false">Sens!J11628*Sens!J11627</f>
        <v>181.019719641251</v>
      </c>
      <c r="K11629" s="6" t="n">
        <f aca="false">Sens!K11628*Sens!K11627</f>
        <v>187.602133674486</v>
      </c>
    </row>
    <row r="11630" customFormat="false" ht="17.15" hidden="false" customHeight="false" outlineLevel="0" collapsed="false">
      <c r="A11630" s="1" t="s">
        <v>1047</v>
      </c>
      <c r="B11630" s="0" t="s">
        <v>98</v>
      </c>
      <c r="C11630" s="6" t="n">
        <f aca="false">SUM(Sens!F11629:K11629)</f>
        <v>672.414612426632</v>
      </c>
    </row>
    <row r="11631" customFormat="false" ht="17.15" hidden="false" customHeight="false" outlineLevel="0" collapsed="false">
      <c r="A11631" s="1" t="s">
        <v>1048</v>
      </c>
      <c r="B11631" s="0" t="s">
        <v>98</v>
      </c>
      <c r="C11631" s="6" t="n">
        <f aca="false">Sens!K11572*(1+g_tv)*(1-tax_f)</f>
        <v>333.647973822775</v>
      </c>
    </row>
    <row r="11632" customFormat="false" ht="17.15" hidden="false" customHeight="false" outlineLevel="0" collapsed="false">
      <c r="A11632" s="1" t="s">
        <v>1049</v>
      </c>
      <c r="B11632" s="0" t="s">
        <v>98</v>
      </c>
      <c r="C11632" s="6" t="n">
        <f aca="false">Sens!$C$11631*(1-g_tv/(wacc+ronic_prem))</f>
        <v>236.407039200013</v>
      </c>
    </row>
    <row r="11633" customFormat="false" ht="17.15" hidden="false" customHeight="false" outlineLevel="0" collapsed="false">
      <c r="A11633" s="1" t="s">
        <v>1050</v>
      </c>
      <c r="B11633" s="0" t="s">
        <v>98</v>
      </c>
      <c r="C11633" s="6" t="n">
        <f aca="false">Sens!$C$11632/(wacc-g_tv)</f>
        <v>3241.3644874254</v>
      </c>
    </row>
    <row r="11634" customFormat="false" ht="15" hidden="false" customHeight="false" outlineLevel="0" collapsed="false">
      <c r="A11634" s="1" t="s">
        <v>1051</v>
      </c>
      <c r="B11634" s="0" t="s">
        <v>98</v>
      </c>
      <c r="C11634" s="6" t="n">
        <f aca="false">Sens!$C$11633/(1+wacc)^(Sens!K11626+mid_yr)</f>
        <v>1800.65175214592</v>
      </c>
    </row>
    <row r="11635" customFormat="false" ht="17.15" hidden="false" customHeight="false" outlineLevel="0" collapsed="false">
      <c r="A11635" s="0" t="s">
        <v>972</v>
      </c>
      <c r="B11635" s="0" t="s">
        <v>98</v>
      </c>
      <c r="C11635" s="6" t="n">
        <f aca="false">Sens!$C$11630+Sens!$C$11634</f>
        <v>2473.06636457255</v>
      </c>
    </row>
    <row r="11636" customFormat="false" ht="15" hidden="false" customHeight="false" outlineLevel="0" collapsed="false">
      <c r="A11636" s="1" t="s">
        <v>973</v>
      </c>
      <c r="B11636" s="0" t="s">
        <v>129</v>
      </c>
      <c r="C11636" s="7" t="n">
        <f aca="false">Sens!$C$11634/Sens!$C$11635</f>
        <v>0.728104905691501</v>
      </c>
    </row>
    <row r="11637" customFormat="false" ht="17.15" hidden="false" customHeight="false" outlineLevel="0" collapsed="false">
      <c r="A11637" s="1" t="s">
        <v>1052</v>
      </c>
      <c r="B11637" s="0" t="s">
        <v>98</v>
      </c>
      <c r="C11637" s="6" t="n">
        <f aca="false">Sens!$C$11635+Sens!E11617-Sens!E11606+oai_v</f>
        <v>2607.57936457255</v>
      </c>
    </row>
    <row r="11638" customFormat="false" ht="17.15" hidden="false" customHeight="false" outlineLevel="0" collapsed="false">
      <c r="A11638" s="0" t="s">
        <v>980</v>
      </c>
      <c r="B11638" s="0" t="s">
        <v>75</v>
      </c>
      <c r="C11638" s="5" t="n">
        <f aca="false">Sens!$C$11637/sh_dil26</f>
        <v>349.869765808742</v>
      </c>
    </row>
    <row r="11639" customFormat="false" ht="15" hidden="false" customHeight="false" outlineLevel="0" collapsed="false">
      <c r="A11639" s="1" t="s">
        <v>1053</v>
      </c>
      <c r="B11639" s="0" t="s">
        <v>75</v>
      </c>
      <c r="C11639" s="8" t="n">
        <f aca="false">dps_27+Sens!G11609*roll_div_q/q_per_yr</f>
        <v>4.8895</v>
      </c>
    </row>
    <row r="11640" customFormat="false" ht="17.15" hidden="false" customHeight="false" outlineLevel="0" collapsed="false">
      <c r="A11640" s="0" t="s">
        <v>1054</v>
      </c>
      <c r="B11640" s="0" t="s">
        <v>75</v>
      </c>
      <c r="C11640" s="5" t="n">
        <f aca="false">Sens!$C$11638*(1+wacc)^t_roll-Sens!$C$11639</f>
        <v>393.518884311967</v>
      </c>
    </row>
    <row r="11641" customFormat="false" ht="17.15" hidden="false" customHeight="false" outlineLevel="0" collapsed="false">
      <c r="A11641" s="1" t="s">
        <v>1055</v>
      </c>
      <c r="B11641" s="0" t="s">
        <v>129</v>
      </c>
      <c r="F11641" s="7" t="n">
        <f aca="false">Sens!F11598/(Sens!F11543-Sens!F11499)</f>
        <v>0.0681773598226415</v>
      </c>
      <c r="G11641" s="7" t="n">
        <f aca="false">Sens!G11598/(Sens!G11543-Sens!G11499)</f>
        <v>0.0650385409375172</v>
      </c>
      <c r="H11641" s="7" t="n">
        <f aca="false">Sens!H11598/(Sens!H11543-Sens!H11499)</f>
        <v>0.063382542471986</v>
      </c>
      <c r="I11641" s="7" t="n">
        <f aca="false">Sens!I11598/(Sens!I11543-Sens!I11499)</f>
        <v>0.0630998138876076</v>
      </c>
      <c r="J11641" s="7" t="n">
        <f aca="false">Sens!J11598/(Sens!J11543-Sens!J11499)</f>
        <v>0.0638399980286975</v>
      </c>
      <c r="K11641" s="7" t="n">
        <f aca="false">Sens!K11598/(Sens!K11543-Sens!K11499)</f>
        <v>0.0651531082402687</v>
      </c>
    </row>
    <row r="11642" customFormat="false" ht="17.15" hidden="false" customHeight="false" outlineLevel="0" collapsed="false">
      <c r="A11642" s="0" t="s">
        <v>1056</v>
      </c>
      <c r="B11642" s="0" t="s">
        <v>98</v>
      </c>
      <c r="F11642" s="6" t="n">
        <f aca="false">Sens!F11528*(al_m365+Sens!F11641+sbc_r)</f>
        <v>84.944046606333</v>
      </c>
      <c r="G11642" s="6" t="n">
        <f aca="false">Sens!G11528*(al_m365+Sens!G11641+sbc_r)</f>
        <v>99.4236143320739</v>
      </c>
      <c r="H11642" s="6" t="n">
        <f aca="false">Sens!H11528*(al_m365+Sens!H11641+sbc_r)</f>
        <v>114.068697186163</v>
      </c>
      <c r="I11642" s="6" t="n">
        <f aca="false">Sens!I11528*(al_m365+Sens!I11641+sbc_r)</f>
        <v>127.196415789369</v>
      </c>
      <c r="J11642" s="6" t="n">
        <f aca="false">Sens!J11528*(al_m365+Sens!J11641+sbc_r)</f>
        <v>138.619575691419</v>
      </c>
      <c r="K11642" s="6" t="n">
        <f aca="false">Sens!K11528*(al_m365+Sens!K11641+sbc_r)</f>
        <v>149.659768267063</v>
      </c>
      <c r="L11642" s="11" t="s">
        <v>1057</v>
      </c>
    </row>
    <row r="11643" customFormat="false" ht="17.15" hidden="false" customHeight="false" outlineLevel="0" collapsed="false">
      <c r="A11643" s="0" t="s">
        <v>1058</v>
      </c>
      <c r="B11643" s="0" t="s">
        <v>98</v>
      </c>
      <c r="F11643" s="6" t="n">
        <f aca="false">Sens!F11529*(al_lic+Sens!F11641+sbc_r)</f>
        <v>33.4285095904825</v>
      </c>
      <c r="G11643" s="6" t="n">
        <f aca="false">Sens!G11529*(al_lic+Sens!G11641+sbc_r)</f>
        <v>34.7161826947861</v>
      </c>
      <c r="H11643" s="6" t="n">
        <f aca="false">Sens!H11529*(al_lic+Sens!H11641+sbc_r)</f>
        <v>35.9223654002493</v>
      </c>
      <c r="I11643" s="6" t="n">
        <f aca="false">Sens!I11529*(al_lic+Sens!I11641+sbc_r)</f>
        <v>37.0298325864501</v>
      </c>
      <c r="J11643" s="6" t="n">
        <f aca="false">Sens!J11529*(al_lic+Sens!J11641+sbc_r)</f>
        <v>38.0103325842314</v>
      </c>
      <c r="K11643" s="6" t="n">
        <f aca="false">Sens!K11529*(al_lic+Sens!K11641+sbc_r)</f>
        <v>38.8303473189322</v>
      </c>
    </row>
    <row r="11644" customFormat="false" ht="17.15" hidden="false" customHeight="false" outlineLevel="0" collapsed="false">
      <c r="A11644" s="0" t="s">
        <v>1059</v>
      </c>
      <c r="B11644" s="0" t="s">
        <v>98</v>
      </c>
      <c r="F11644" s="6" t="n">
        <f aca="false">Sens!F11531*(al_ind+Sens!F11641+sbc_r)</f>
        <v>9.06719306746208</v>
      </c>
      <c r="G11644" s="6" t="n">
        <f aca="false">Sens!G11531*(al_ind+Sens!G11641+sbc_r)</f>
        <v>9.83485541633448</v>
      </c>
      <c r="H11644" s="6" t="n">
        <f aca="false">Sens!H11531*(al_ind+Sens!H11641+sbc_r)</f>
        <v>10.6498544617516</v>
      </c>
      <c r="I11644" s="6" t="n">
        <f aca="false">Sens!I11531*(al_ind+Sens!I11641+sbc_r)</f>
        <v>11.5103515303299</v>
      </c>
      <c r="J11644" s="6" t="n">
        <f aca="false">Sens!J11531*(al_ind+Sens!J11641+sbc_r)</f>
        <v>12.4055032067278</v>
      </c>
      <c r="K11644" s="6" t="n">
        <f aca="false">Sens!K11531*(al_ind+Sens!K11641+sbc_r)</f>
        <v>13.3173308472897</v>
      </c>
    </row>
    <row r="11645" customFormat="false" ht="17.15" hidden="false" customHeight="false" outlineLevel="0" collapsed="false">
      <c r="A11645" s="0" t="s">
        <v>1060</v>
      </c>
      <c r="B11645" s="0" t="s">
        <v>98</v>
      </c>
      <c r="F11645" s="6" t="n">
        <f aca="false">Sens!F11533*(al_fro+Sens!F11641+sbc_r)</f>
        <v>3.56887902446295</v>
      </c>
      <c r="G11645" s="6" t="n">
        <f aca="false">Sens!G11533*(al_fro+Sens!G11641+sbc_r)</f>
        <v>3.77600302676241</v>
      </c>
      <c r="H11645" s="6" t="n">
        <f aca="false">Sens!H11533*(al_fro+Sens!H11641+sbc_r)</f>
        <v>4.01322967965482</v>
      </c>
      <c r="I11645" s="6" t="n">
        <f aca="false">Sens!I11533*(al_fro+Sens!I11641+sbc_r)</f>
        <v>4.28368437397841</v>
      </c>
      <c r="J11645" s="6" t="n">
        <f aca="false">Sens!J11533*(al_fro+Sens!J11641+sbc_r)</f>
        <v>4.58803182845156</v>
      </c>
      <c r="K11645" s="6" t="n">
        <f aca="false">Sens!K11533*(al_fro+Sens!K11641+sbc_r)</f>
        <v>4.92526073140255</v>
      </c>
    </row>
    <row r="11646" customFormat="false" ht="17.15" hidden="false" customHeight="false" outlineLevel="0" collapsed="false">
      <c r="A11646" s="0" t="s">
        <v>1061</v>
      </c>
      <c r="B11646" s="0" t="s">
        <v>98</v>
      </c>
      <c r="F11646" s="6" t="n">
        <f aca="false">Sens!F11536*(al_srch+Sens!F11641+sbc_r)</f>
        <v>11.1981144415922</v>
      </c>
      <c r="G11646" s="6" t="n">
        <f aca="false">Sens!G11536*(al_srch+Sens!G11641+sbc_r)</f>
        <v>12.2607925441521</v>
      </c>
      <c r="H11646" s="6" t="n">
        <f aca="false">Sens!H11536*(al_srch+Sens!H11641+sbc_r)</f>
        <v>13.3712787172501</v>
      </c>
      <c r="I11646" s="6" t="n">
        <f aca="false">Sens!I11536*(al_srch+Sens!I11641+sbc_r)</f>
        <v>14.5205713773955</v>
      </c>
      <c r="J11646" s="6" t="n">
        <f aca="false">Sens!J11536*(al_srch+Sens!J11641+sbc_r)</f>
        <v>15.6873363367184</v>
      </c>
      <c r="K11646" s="6" t="n">
        <f aca="false">Sens!K11536*(al_srch+Sens!K11641+sbc_r)</f>
        <v>16.8403848378749</v>
      </c>
    </row>
    <row r="11647" customFormat="false" ht="17.15" hidden="false" customHeight="false" outlineLevel="0" collapsed="false">
      <c r="A11647" s="0" t="s">
        <v>1062</v>
      </c>
      <c r="B11647" s="0" t="s">
        <v>98</v>
      </c>
      <c r="F11647" s="6" t="n">
        <f aca="false">Sens!F11505-Sens!F11506+Sens!F11586</f>
        <v>55.4043052939671</v>
      </c>
      <c r="G11647" s="6" t="n">
        <f aca="false">Sens!G11505-Sens!G11506+Sens!G11586</f>
        <v>99.8033125707002</v>
      </c>
      <c r="H11647" s="6" t="n">
        <f aca="false">Sens!H11505-Sens!H11506+Sens!H11586</f>
        <v>151.68255014234</v>
      </c>
      <c r="I11647" s="6" t="n">
        <f aca="false">Sens!I11505-Sens!I11506+Sens!I11586</f>
        <v>193.276990076394</v>
      </c>
      <c r="J11647" s="6" t="n">
        <f aca="false">Sens!J11505-Sens!J11506+Sens!J11586</f>
        <v>222.608148273617</v>
      </c>
      <c r="K11647" s="6" t="n">
        <f aca="false">Sens!K11505-Sens!K11506+Sens!K11586</f>
        <v>240.367249272487</v>
      </c>
    </row>
    <row r="11648" customFormat="false" ht="17.15" hidden="false" customHeight="false" outlineLevel="0" collapsed="false">
      <c r="A11648" s="0" t="s">
        <v>1063</v>
      </c>
      <c r="B11648" s="0" t="s">
        <v>98</v>
      </c>
      <c r="F11648" s="6" t="n">
        <f aca="false">Sens!F11565+Sens!F11586+Sens!F11516+Sens!F11641*(Sens!F11535-Sens!F11499)+sbc_r*Sens!F11535</f>
        <v>253.11334011019</v>
      </c>
      <c r="G11648" s="6" t="n">
        <f aca="false">Sens!G11565+Sens!G11586+Sens!G11516+Sens!G11641*(Sens!G11535-Sens!G11499)+sbc_r*Sens!G11535</f>
        <v>327.63830181682</v>
      </c>
      <c r="H11648" s="6" t="n">
        <f aca="false">Sens!H11565+Sens!H11586+Sens!H11516+Sens!H11641*(Sens!H11535-Sens!H11499)+sbc_r*Sens!H11535</f>
        <v>410.355970134506</v>
      </c>
      <c r="I11648" s="6" t="n">
        <f aca="false">Sens!I11565+Sens!I11586+Sens!I11516+Sens!I11641*(Sens!I11535-Sens!I11499)+sbc_r*Sens!I11535</f>
        <v>480.656718211073</v>
      </c>
      <c r="J11648" s="6" t="n">
        <f aca="false">Sens!J11565+Sens!J11586+Sens!J11516+Sens!J11641*(Sens!J11535-Sens!J11499)+sbc_r*Sens!J11535</f>
        <v>535.642366783055</v>
      </c>
      <c r="K11648" s="6" t="n">
        <f aca="false">Sens!K11565+Sens!K11586+Sens!K11516+Sens!K11641*(Sens!K11535-Sens!K11499)+sbc_r*Sens!K11535</f>
        <v>576.563402613838</v>
      </c>
    </row>
    <row r="11649" customFormat="false" ht="17.15" hidden="false" customHeight="false" outlineLevel="0" collapsed="false">
      <c r="A11649" s="0" t="s">
        <v>1064</v>
      </c>
      <c r="B11649" s="0" t="s">
        <v>98</v>
      </c>
      <c r="F11649" s="6" t="n">
        <f aca="false">Sens!F11648-Sens!F11642-Sens!F11643-Sens!F11644-Sens!F11645-Sens!F11647</f>
        <v>66.7004065274824</v>
      </c>
      <c r="G11649" s="6" t="n">
        <f aca="false">Sens!G11648-Sens!G11642-Sens!G11643-Sens!G11644-Sens!G11645-Sens!G11647</f>
        <v>80.0843337761632</v>
      </c>
      <c r="H11649" s="6" t="n">
        <f aca="false">Sens!H11648-Sens!H11642-Sens!H11643-Sens!H11644-Sens!H11645-Sens!H11647</f>
        <v>94.0192732643476</v>
      </c>
      <c r="I11649" s="6" t="n">
        <f aca="false">Sens!I11648-Sens!I11642-Sens!I11643-Sens!I11644-Sens!I11645-Sens!I11647</f>
        <v>107.359443854551</v>
      </c>
      <c r="J11649" s="6" t="n">
        <f aca="false">Sens!J11648-Sens!J11642-Sens!J11643-Sens!J11644-Sens!J11645-Sens!J11647</f>
        <v>119.410775198608</v>
      </c>
      <c r="K11649" s="6" t="n">
        <f aca="false">Sens!K11648-Sens!K11642-Sens!K11643-Sens!K11644-Sens!K11645-Sens!K11647</f>
        <v>129.463446176664</v>
      </c>
    </row>
    <row r="11650" customFormat="false" ht="17.15" hidden="false" customHeight="false" outlineLevel="0" collapsed="false">
      <c r="A11650" s="0" t="s">
        <v>1065</v>
      </c>
      <c r="B11650" s="0" t="s">
        <v>98</v>
      </c>
      <c r="F11650" s="6" t="n">
        <f aca="false">Sens!F11567+Sens!F11641*Sens!F11542+sbc_r*Sens!F11542</f>
        <v>27.4746247104265</v>
      </c>
      <c r="G11650" s="6" t="n">
        <f aca="false">Sens!G11567+Sens!G11641*Sens!G11542+sbc_r*Sens!G11542</f>
        <v>28.100626997006</v>
      </c>
      <c r="H11650" s="6" t="n">
        <f aca="false">Sens!H11567+Sens!H11641*Sens!H11542+sbc_r*Sens!H11542</f>
        <v>29.0116535923927</v>
      </c>
      <c r="I11650" s="6" t="n">
        <f aca="false">Sens!I11567+Sens!I11641*Sens!I11542+sbc_r*Sens!I11542</f>
        <v>30.1780970292683</v>
      </c>
      <c r="J11650" s="6" t="n">
        <f aca="false">Sens!J11567+Sens!J11641*Sens!J11542+sbc_r*Sens!J11542</f>
        <v>31.5595880323472</v>
      </c>
      <c r="K11650" s="6" t="n">
        <f aca="false">Sens!K11567+Sens!K11641*Sens!K11542+sbc_r*Sens!K11542</f>
        <v>33.110661696402</v>
      </c>
    </row>
    <row r="11651" customFormat="false" ht="17.15" hidden="false" customHeight="false" outlineLevel="0" collapsed="false">
      <c r="A11651" s="0" t="s">
        <v>1066</v>
      </c>
      <c r="B11651" s="0" t="s">
        <v>98</v>
      </c>
      <c r="F11651" s="6" t="n">
        <f aca="false">(Sens!F11650-Sens!F11646)*Sens!F11538/(Sens!F11538+Sens!F11540)</f>
        <v>8.92262439846206</v>
      </c>
      <c r="G11651" s="6" t="n">
        <f aca="false">(Sens!G11650-Sens!G11646)*Sens!G11538/(Sens!G11538+Sens!G11540)</f>
        <v>8.52842129288703</v>
      </c>
      <c r="H11651" s="6" t="n">
        <f aca="false">(Sens!H11650-Sens!H11646)*Sens!H11538/(Sens!H11538+Sens!H11540)</f>
        <v>8.30727502311121</v>
      </c>
      <c r="I11651" s="6" t="n">
        <f aca="false">(Sens!I11650-Sens!I11646)*Sens!I11538/(Sens!I11538+Sens!I11540)</f>
        <v>8.24113778426117</v>
      </c>
      <c r="J11651" s="6" t="n">
        <f aca="false">(Sens!J11650-Sens!J11646)*Sens!J11538/(Sens!J11538+Sens!J11540)</f>
        <v>8.31637889748707</v>
      </c>
      <c r="K11651" s="6" t="n">
        <f aca="false">(Sens!K11650-Sens!K11646)*Sens!K11538/(Sens!K11538+Sens!K11540)</f>
        <v>8.52492700577517</v>
      </c>
    </row>
    <row r="11652" customFormat="false" ht="17.15" hidden="false" customHeight="false" outlineLevel="0" collapsed="false">
      <c r="A11652" s="0" t="s">
        <v>1067</v>
      </c>
      <c r="B11652" s="0" t="s">
        <v>98</v>
      </c>
      <c r="F11652" s="6" t="n">
        <f aca="false">Sens!F11650-Sens!F11646-Sens!F11651</f>
        <v>7.35388587037225</v>
      </c>
      <c r="G11652" s="6" t="n">
        <f aca="false">Sens!G11650-Sens!G11646-Sens!G11651</f>
        <v>7.3114131599668</v>
      </c>
      <c r="H11652" s="6" t="n">
        <f aca="false">Sens!H11650-Sens!H11646-Sens!H11651</f>
        <v>7.33309985203136</v>
      </c>
      <c r="I11652" s="6" t="n">
        <f aca="false">Sens!I11650-Sens!I11646-Sens!I11651</f>
        <v>7.4163878676116</v>
      </c>
      <c r="J11652" s="6" t="n">
        <f aca="false">Sens!J11650-Sens!J11646-Sens!J11651</f>
        <v>7.55587279814173</v>
      </c>
      <c r="K11652" s="6" t="n">
        <f aca="false">Sens!K11650-Sens!K11646-Sens!K11651</f>
        <v>7.74534985275189</v>
      </c>
    </row>
    <row r="11653" customFormat="false" ht="17.15" hidden="false" customHeight="false" outlineLevel="0" collapsed="false">
      <c r="A11653" s="0" t="s">
        <v>1068</v>
      </c>
      <c r="B11653" s="0" t="s">
        <v>98</v>
      </c>
      <c r="F11653" s="6" t="n">
        <f aca="false">Sens!F11647-tax_f*(Sens!F11647-Sens!F11516)-Sens!F11513</f>
        <v>-117.20160144409</v>
      </c>
      <c r="G11653" s="6" t="n">
        <f aca="false">Sens!G11647-tax_f*(Sens!G11647-Sens!G11516)-Sens!G11513</f>
        <v>-91.6351837745719</v>
      </c>
      <c r="H11653" s="6" t="n">
        <f aca="false">Sens!H11647-tax_f*(Sens!H11647-Sens!H11516)-Sens!H11513</f>
        <v>-49.1907825979003</v>
      </c>
      <c r="I11653" s="6" t="n">
        <f aca="false">Sens!I11647-tax_f*(Sens!I11647-Sens!I11516)-Sens!I11513</f>
        <v>13.3073309033144</v>
      </c>
      <c r="J11653" s="6" t="n">
        <f aca="false">Sens!J11647-tax_f*(Sens!J11647-Sens!J11516)-Sens!J11513</f>
        <v>79.4057840853365</v>
      </c>
      <c r="K11653" s="6" t="n">
        <f aca="false">Sens!K11647-tax_f*(Sens!K11647-Sens!K11516)-Sens!K11513</f>
        <v>105.258893136948</v>
      </c>
    </row>
    <row r="11654" customFormat="false" ht="17.15" hidden="false" customHeight="false" outlineLevel="0" collapsed="false">
      <c r="A11654" s="0" t="s">
        <v>1069</v>
      </c>
      <c r="B11654" s="0" t="s">
        <v>98</v>
      </c>
      <c r="F11654" s="6" t="n">
        <f aca="false">Sens!F11653*Sens!F11627</f>
        <v>-111.598588271337</v>
      </c>
      <c r="G11654" s="6" t="n">
        <f aca="false">Sens!G11653*Sens!G11627</f>
        <v>-79.1111540178189</v>
      </c>
      <c r="H11654" s="6" t="n">
        <f aca="false">Sens!H11653*Sens!H11627</f>
        <v>-38.504324281187</v>
      </c>
      <c r="I11654" s="6" t="n">
        <f aca="false">Sens!I11653*Sens!I11627</f>
        <v>9.44424055055811</v>
      </c>
      <c r="J11654" s="6" t="n">
        <f aca="false">Sens!J11653*Sens!J11627</f>
        <v>51.0950151467384</v>
      </c>
      <c r="K11654" s="6" t="n">
        <f aca="false">Sens!K11653*Sens!K11627</f>
        <v>61.4094916464506</v>
      </c>
    </row>
    <row r="11655" customFormat="false" ht="17.15" hidden="false" customHeight="false" outlineLevel="0" collapsed="false">
      <c r="A11655" s="0" t="s">
        <v>1070</v>
      </c>
      <c r="B11655" s="0" t="s">
        <v>98</v>
      </c>
      <c r="C11655" s="6" t="n">
        <f aca="false">(Sens!K11647-Sens!K11516)*(1-tax_f)*(1+g_tv)*(1-g_tv/(wacc+ronic_prem))/(wacc-g_tv)/(1+wacc)^(Sens!K11626+mid_yr)</f>
        <v>448.012607206469</v>
      </c>
    </row>
    <row r="11656" customFormat="false" ht="17.15" hidden="false" customHeight="false" outlineLevel="0" collapsed="false">
      <c r="A11656" s="1" t="s">
        <v>1071</v>
      </c>
      <c r="B11656" s="0" t="s">
        <v>98</v>
      </c>
      <c r="C11656" s="6" t="n">
        <f aca="false">(SUM(Sens!F11654:K11654)+Sens!$C$11655)*(1+wacc)^t_roll</f>
        <v>388.020314213025</v>
      </c>
      <c r="L11656" s="11" t="s">
        <v>1072</v>
      </c>
    </row>
    <row r="11657" customFormat="false" ht="17.15" hidden="false" customHeight="false" outlineLevel="0" collapsed="false">
      <c r="A11657" s="1" t="s">
        <v>1073</v>
      </c>
      <c r="B11657" s="0" t="s">
        <v>98</v>
      </c>
      <c r="C11657" s="6" t="n">
        <f aca="false">(w_ntm28*Sens!G11505+(1-w_ntm28)*Sens!H11505)*m_ai</f>
        <v>551.711134531404</v>
      </c>
    </row>
    <row r="11658" customFormat="false" ht="17.15" hidden="false" customHeight="false" outlineLevel="0" collapsed="false">
      <c r="A11658" s="1" t="s">
        <v>1074</v>
      </c>
      <c r="B11658" s="0" t="s">
        <v>98</v>
      </c>
      <c r="C11658" s="6" t="n">
        <f aca="false">(w_ntm28*Sens!G11649+(1-w_ntm28)*Sens!H11649)*m_cloud</f>
        <v>1169.0245117448</v>
      </c>
    </row>
    <row r="11659" customFormat="false" ht="17.15" hidden="false" customHeight="false" outlineLevel="0" collapsed="false">
      <c r="A11659" s="1" t="s">
        <v>1075</v>
      </c>
      <c r="B11659" s="0" t="s">
        <v>98</v>
      </c>
      <c r="C11659" s="6" t="n">
        <f aca="false">(w_ntm28*Sens!G11642+(1-w_ntm28)*Sens!H11642)*m_sw</f>
        <v>1124.90844188024</v>
      </c>
    </row>
    <row r="11660" customFormat="false" ht="17.15" hidden="false" customHeight="false" outlineLevel="0" collapsed="false">
      <c r="A11660" s="1" t="s">
        <v>1076</v>
      </c>
      <c r="B11660" s="0" t="s">
        <v>98</v>
      </c>
      <c r="C11660" s="6" t="n">
        <f aca="false">(w_ntm28*Sens!G11643+(1-w_ntm28)*Sens!H11643)*m_sw</f>
        <v>379.14616828134</v>
      </c>
    </row>
    <row r="11661" customFormat="false" ht="17.15" hidden="false" customHeight="false" outlineLevel="0" collapsed="false">
      <c r="A11661" s="1" t="s">
        <v>1077</v>
      </c>
      <c r="B11661" s="0" t="s">
        <v>98</v>
      </c>
      <c r="C11661" s="6" t="n">
        <f aca="false">(w_ntm28*Sens!G11644+(1-w_ntm28)*Sens!H11644)*m_sw</f>
        <v>109.062013245671</v>
      </c>
    </row>
    <row r="11662" customFormat="false" ht="17.15" hidden="false" customHeight="false" outlineLevel="0" collapsed="false">
      <c r="A11662" s="1" t="s">
        <v>1078</v>
      </c>
      <c r="B11662" s="0" t="s">
        <v>98</v>
      </c>
      <c r="C11662" s="6" t="n">
        <f aca="false">(w_ntm28*Sens!G11645+(1-w_ntm28)*Sens!H11645)*m_sw</f>
        <v>41.609111172448</v>
      </c>
    </row>
    <row r="11663" customFormat="false" ht="17.15" hidden="false" customHeight="false" outlineLevel="0" collapsed="false">
      <c r="A11663" s="1" t="s">
        <v>1079</v>
      </c>
      <c r="B11663" s="0" t="s">
        <v>98</v>
      </c>
      <c r="C11663" s="6" t="n">
        <f aca="false">(w_ntm28*Sens!G11646+(1-w_ntm28)*Sens!H11646)*m_ads</f>
        <v>114.966369190532</v>
      </c>
    </row>
    <row r="11664" customFormat="false" ht="17.15" hidden="false" customHeight="false" outlineLevel="0" collapsed="false">
      <c r="A11664" s="1" t="s">
        <v>1080</v>
      </c>
      <c r="B11664" s="0" t="s">
        <v>98</v>
      </c>
      <c r="C11664" s="6" t="n">
        <f aca="false">(w_ntm28*Sens!G11651+(1-w_ntm28)*Sens!H11651)*m_game</f>
        <v>106.81099344506</v>
      </c>
    </row>
    <row r="11665" customFormat="false" ht="17.15" hidden="false" customHeight="false" outlineLevel="0" collapsed="false">
      <c r="A11665" s="1" t="s">
        <v>1081</v>
      </c>
      <c r="B11665" s="0" t="s">
        <v>98</v>
      </c>
      <c r="C11665" s="6" t="n">
        <f aca="false">(w_ntm28*Sens!G11652+(1-w_ntm28)*Sens!H11652)*m_pc</f>
        <v>105.897598176042</v>
      </c>
    </row>
    <row r="11666" customFormat="false" ht="17.15" hidden="false" customHeight="false" outlineLevel="0" collapsed="false">
      <c r="A11666" s="1" t="s">
        <v>1082</v>
      </c>
      <c r="B11666" s="0" t="s">
        <v>98</v>
      </c>
      <c r="C11666" s="6" t="n">
        <f aca="false">Sens!$C$11656+Sens!$C$11658+Sens!$C$11659+Sens!$C$11660+Sens!$C$11661+Sens!$C$11662+Sens!$C$11663+Sens!$C$11664+Sens!$C$11665</f>
        <v>3539.44552134915</v>
      </c>
    </row>
    <row r="11667" customFormat="false" ht="17.15" hidden="false" customHeight="false" outlineLevel="0" collapsed="false">
      <c r="A11667" s="1" t="s">
        <v>1000</v>
      </c>
      <c r="B11667" s="0" t="s">
        <v>98</v>
      </c>
      <c r="C11667" s="6" t="n">
        <f aca="false">Sens!F11617+oai_v-Sens!F11606</f>
        <v>120.613072689671</v>
      </c>
      <c r="L11667" s="1" t="s">
        <v>1083</v>
      </c>
    </row>
    <row r="11668" customFormat="false" ht="15" hidden="false" customHeight="false" outlineLevel="0" collapsed="false">
      <c r="A11668" s="1" t="s">
        <v>1001</v>
      </c>
      <c r="B11668" s="0" t="s">
        <v>75</v>
      </c>
      <c r="C11668" s="5" t="n">
        <f aca="false">(Sens!$C$11666+Sens!$C$11667)/Sens!F11619</f>
        <v>489.836535604768</v>
      </c>
    </row>
    <row r="11669" customFormat="false" ht="17.15" hidden="false" customHeight="false" outlineLevel="0" collapsed="false">
      <c r="A11669" s="1" t="s">
        <v>1084</v>
      </c>
      <c r="B11669" s="0" t="s">
        <v>75</v>
      </c>
      <c r="C11669" s="5" t="n">
        <f aca="false">w_dcf*Sens!$C$11640+(1-w_dcf)*Sens!$C$11668</f>
        <v>441.677709958367</v>
      </c>
    </row>
    <row r="11670" customFormat="false" ht="17.15" hidden="false" customHeight="false" outlineLevel="0" collapsed="false">
      <c r="A11670" s="3" t="s">
        <v>1539</v>
      </c>
    </row>
    <row r="11671" customFormat="false" ht="15" hidden="false" customHeight="false" outlineLevel="0" collapsed="false">
      <c r="A11671" s="4" t="s">
        <v>43</v>
      </c>
      <c r="B11671" s="4" t="s">
        <v>65</v>
      </c>
      <c r="C11671" s="20" t="s">
        <v>788</v>
      </c>
      <c r="D11671" s="20" t="s">
        <v>789</v>
      </c>
      <c r="E11671" s="20" t="s">
        <v>790</v>
      </c>
      <c r="F11671" s="20" t="s">
        <v>791</v>
      </c>
      <c r="G11671" s="20" t="s">
        <v>792</v>
      </c>
      <c r="H11671" s="20" t="s">
        <v>793</v>
      </c>
      <c r="I11671" s="20" t="s">
        <v>794</v>
      </c>
      <c r="J11671" s="20" t="s">
        <v>795</v>
      </c>
      <c r="K11671" s="20" t="s">
        <v>796</v>
      </c>
      <c r="L11671" s="4" t="s">
        <v>47</v>
      </c>
    </row>
    <row r="11672" customFormat="false" ht="17.15" hidden="false" customHeight="false" outlineLevel="0" collapsed="false">
      <c r="A11672" s="1" t="s">
        <v>797</v>
      </c>
      <c r="B11672" s="1" t="s">
        <v>235</v>
      </c>
      <c r="C11672" s="28" t="n">
        <v>2024</v>
      </c>
      <c r="D11672" s="28" t="n">
        <v>2025</v>
      </c>
      <c r="E11672" s="28" t="n">
        <v>2026</v>
      </c>
      <c r="F11672" s="28" t="n">
        <v>2027</v>
      </c>
      <c r="G11672" s="28" t="n">
        <v>2028</v>
      </c>
      <c r="H11672" s="28" t="n">
        <v>2029</v>
      </c>
      <c r="I11672" s="28" t="n">
        <v>2030</v>
      </c>
      <c r="J11672" s="28" t="n">
        <v>2031</v>
      </c>
      <c r="K11672" s="28" t="n">
        <v>2032</v>
      </c>
    </row>
    <row r="11673" customFormat="false" ht="17.15" hidden="false" customHeight="false" outlineLevel="0" collapsed="false">
      <c r="A11673" s="1" t="s">
        <v>798</v>
      </c>
      <c r="B11673" s="0" t="s">
        <v>392</v>
      </c>
      <c r="F11673" s="29" t="n">
        <f aca="false">pace</f>
        <v>2527.2</v>
      </c>
      <c r="G11673" s="29" t="n">
        <f aca="false">pace</f>
        <v>2527.2</v>
      </c>
      <c r="H11673" s="29" t="n">
        <f aca="false">pace</f>
        <v>2527.2</v>
      </c>
      <c r="I11673" s="29" t="n">
        <f aca="false">pace+(g_tv*Sens!H11674-pace)*MIN(1,(Sens!I11672-pace_y0)/(pace_y1-pace_y0))</f>
        <v>1793.116</v>
      </c>
      <c r="J11673" s="29" t="n">
        <f aca="false">pace+(g_tv*Sens!H11674-pace)*MIN(1,(Sens!J11672-pace_y0)/(pace_y1-pace_y0))</f>
        <v>1059.032</v>
      </c>
      <c r="K11673" s="29" t="n">
        <f aca="false">pace+(g_tv*Sens!H11674-pace)*MIN(1,(Sens!K11672-pace_y0)/(pace_y1-pace_y0))</f>
        <v>324.948</v>
      </c>
      <c r="L11673" s="11" t="s">
        <v>799</v>
      </c>
    </row>
    <row r="11674" customFormat="false" ht="17.15" hidden="false" customHeight="false" outlineLevel="0" collapsed="false">
      <c r="A11674" s="1" t="s">
        <v>800</v>
      </c>
      <c r="B11674" s="0" t="s">
        <v>392</v>
      </c>
      <c r="C11674" s="29" t="n">
        <f aca="false">mw_ext_24</f>
        <v>640</v>
      </c>
      <c r="D11674" s="29" t="n">
        <f aca="false">mw_ext_25</f>
        <v>1630</v>
      </c>
      <c r="E11674" s="29" t="n">
        <f aca="false">mw_ext_26</f>
        <v>3250</v>
      </c>
      <c r="F11674" s="29" t="n">
        <f aca="false">Sens!E11674+Sens!F11673</f>
        <v>5777.2</v>
      </c>
      <c r="G11674" s="29" t="n">
        <f aca="false">Sens!F11674+Sens!G11673</f>
        <v>8304.4</v>
      </c>
      <c r="H11674" s="29" t="n">
        <f aca="false">Sens!G11674+Sens!H11673</f>
        <v>10831.6</v>
      </c>
      <c r="I11674" s="29" t="n">
        <f aca="false">Sens!H11674+Sens!I11673</f>
        <v>12624.716</v>
      </c>
      <c r="J11674" s="29" t="n">
        <f aca="false">Sens!I11674+Sens!J11673</f>
        <v>13683.748</v>
      </c>
      <c r="K11674" s="29" t="n">
        <f aca="false">Sens!J11674+Sens!K11673</f>
        <v>14008.696</v>
      </c>
      <c r="L11674" s="1" t="s">
        <v>801</v>
      </c>
    </row>
    <row r="11675" customFormat="false" ht="17.15" hidden="false" customHeight="false" outlineLevel="0" collapsed="false">
      <c r="A11675" s="1" t="s">
        <v>802</v>
      </c>
      <c r="B11675" s="0" t="s">
        <v>392</v>
      </c>
      <c r="C11675" s="29" t="n">
        <f aca="false">rent_ext_24</f>
        <v>150</v>
      </c>
      <c r="D11675" s="29" t="n">
        <f aca="false">rent_ext_25</f>
        <v>400</v>
      </c>
      <c r="E11675" s="29" t="n">
        <f aca="false">rent_ext_26</f>
        <v>550</v>
      </c>
      <c r="F11675" s="29" t="n">
        <f aca="false">rent_ext_f</f>
        <v>756</v>
      </c>
      <c r="G11675" s="29" t="n">
        <f aca="false">rent_ext_f</f>
        <v>756</v>
      </c>
      <c r="H11675" s="29" t="n">
        <f aca="false">rent_ext_f</f>
        <v>756</v>
      </c>
      <c r="I11675" s="29" t="n">
        <f aca="false">rent_ext_f</f>
        <v>756</v>
      </c>
      <c r="J11675" s="29" t="n">
        <f aca="false">rent_ext_f</f>
        <v>756</v>
      </c>
      <c r="K11675" s="29" t="n">
        <f aca="false">rent_ext_f</f>
        <v>756</v>
      </c>
      <c r="L11675" s="1" t="s">
        <v>803</v>
      </c>
    </row>
    <row r="11676" customFormat="false" ht="17.15" hidden="false" customHeight="false" outlineLevel="0" collapsed="false">
      <c r="A11676" s="1" t="s">
        <v>804</v>
      </c>
      <c r="B11676" s="0" t="s">
        <v>392</v>
      </c>
      <c r="C11676" s="29" t="n">
        <f aca="false">Sens!C11674-Sens!C11675</f>
        <v>490</v>
      </c>
      <c r="D11676" s="29" t="n">
        <f aca="false">Sens!D11674-Sens!D11675</f>
        <v>1230</v>
      </c>
      <c r="E11676" s="29" t="n">
        <f aca="false">Sens!E11674-Sens!E11675</f>
        <v>2700</v>
      </c>
      <c r="F11676" s="29" t="n">
        <f aca="false">Sens!F11674-Sens!F11675</f>
        <v>5021.2</v>
      </c>
      <c r="G11676" s="29" t="n">
        <f aca="false">Sens!G11674-Sens!G11675</f>
        <v>7548.4</v>
      </c>
      <c r="H11676" s="29" t="n">
        <f aca="false">Sens!H11674-Sens!H11675</f>
        <v>10075.6</v>
      </c>
      <c r="I11676" s="29" t="n">
        <f aca="false">Sens!I11674-Sens!I11675</f>
        <v>11868.716</v>
      </c>
      <c r="J11676" s="29" t="n">
        <f aca="false">Sens!J11674-Sens!J11675</f>
        <v>12927.748</v>
      </c>
      <c r="K11676" s="29" t="n">
        <f aca="false">Sens!K11674-Sens!K11675</f>
        <v>13252.696</v>
      </c>
    </row>
    <row r="11677" customFormat="false" ht="17.15" hidden="false" customHeight="false" outlineLevel="0" collapsed="false">
      <c r="A11677" s="1" t="s">
        <v>805</v>
      </c>
      <c r="B11677" s="0" t="s">
        <v>392</v>
      </c>
      <c r="C11677" s="29" t="n">
        <f aca="false">Sens!C11676/ext_sh</f>
        <v>816.666666666667</v>
      </c>
      <c r="D11677" s="29" t="n">
        <f aca="false">Sens!D11676/ext_sh</f>
        <v>2050</v>
      </c>
      <c r="E11677" s="29" t="n">
        <f aca="false">Sens!E11676/ext_sh</f>
        <v>4500</v>
      </c>
      <c r="F11677" s="29" t="n">
        <f aca="false">Sens!F11676/ext_sh</f>
        <v>8368.66666666667</v>
      </c>
      <c r="G11677" s="29" t="n">
        <f aca="false">Sens!G11676/ext_sh</f>
        <v>12580.6666666667</v>
      </c>
      <c r="H11677" s="29" t="n">
        <f aca="false">Sens!H11676/ext_sh</f>
        <v>16792.6666666667</v>
      </c>
      <c r="I11677" s="29" t="n">
        <f aca="false">Sens!I11676/ext_sh</f>
        <v>19781.1933333333</v>
      </c>
      <c r="J11677" s="29" t="n">
        <f aca="false">Sens!J11676/ext_sh</f>
        <v>21546.2466666667</v>
      </c>
      <c r="K11677" s="29" t="n">
        <f aca="false">Sens!K11676/ext_sh</f>
        <v>22087.8266666667</v>
      </c>
      <c r="L11677" s="1" t="s">
        <v>806</v>
      </c>
    </row>
    <row r="11678" customFormat="false" ht="17.15" hidden="false" customHeight="false" outlineLevel="0" collapsed="false">
      <c r="A11678" s="1" t="s">
        <v>807</v>
      </c>
      <c r="B11678" s="0" t="s">
        <v>392</v>
      </c>
      <c r="C11678" s="29" t="n">
        <f aca="false">Sens!C11677-Sens!C11676</f>
        <v>326.666666666667</v>
      </c>
      <c r="D11678" s="29" t="n">
        <f aca="false">Sens!D11677-Sens!D11676</f>
        <v>820</v>
      </c>
      <c r="E11678" s="29" t="n">
        <f aca="false">Sens!E11677-Sens!E11676</f>
        <v>1800</v>
      </c>
      <c r="F11678" s="29" t="n">
        <f aca="false">Sens!F11677-Sens!F11676</f>
        <v>3347.46666666667</v>
      </c>
      <c r="G11678" s="29" t="n">
        <f aca="false">Sens!G11677-Sens!G11676</f>
        <v>5032.26666666667</v>
      </c>
      <c r="H11678" s="29" t="n">
        <f aca="false">Sens!H11677-Sens!H11676</f>
        <v>6717.06666666667</v>
      </c>
      <c r="I11678" s="29" t="n">
        <f aca="false">Sens!I11677-Sens!I11676</f>
        <v>7912.47733333333</v>
      </c>
      <c r="J11678" s="29" t="n">
        <f aca="false">Sens!J11677-Sens!J11676</f>
        <v>8618.49866666667</v>
      </c>
      <c r="K11678" s="29" t="n">
        <f aca="false">Sens!K11677-Sens!K11676</f>
        <v>8835.13066666667</v>
      </c>
    </row>
    <row r="11679" customFormat="false" ht="17.15" hidden="false" customHeight="false" outlineLevel="0" collapsed="false">
      <c r="A11679" s="1" t="s">
        <v>808</v>
      </c>
      <c r="B11679" s="0" t="s">
        <v>392</v>
      </c>
      <c r="C11679" s="29" t="n">
        <f aca="false">Sens!C11677</f>
        <v>816.666666666667</v>
      </c>
      <c r="D11679" s="29" t="n">
        <f aca="false">Sens!D11677-Sens!C11677</f>
        <v>1233.33333333333</v>
      </c>
      <c r="E11679" s="29" t="n">
        <f aca="false">Sens!E11677-Sens!D11677</f>
        <v>2450</v>
      </c>
      <c r="F11679" s="29" t="n">
        <f aca="false">Sens!F11677-Sens!E11677</f>
        <v>3868.66666666667</v>
      </c>
      <c r="G11679" s="29" t="n">
        <f aca="false">Sens!G11677-Sens!F11677</f>
        <v>4212</v>
      </c>
      <c r="H11679" s="29" t="n">
        <f aca="false">Sens!H11677-Sens!G11677</f>
        <v>4212</v>
      </c>
      <c r="I11679" s="29" t="n">
        <f aca="false">Sens!I11677-Sens!H11677</f>
        <v>2988.52666666667</v>
      </c>
      <c r="J11679" s="29" t="n">
        <f aca="false">Sens!J11677-Sens!I11677</f>
        <v>1765.05333333333</v>
      </c>
      <c r="K11679" s="29" t="n">
        <f aca="false">Sens!K11677-Sens!J11677</f>
        <v>541.580000000002</v>
      </c>
    </row>
    <row r="11680" customFormat="false" ht="17.15" hidden="false" customHeight="false" outlineLevel="0" collapsed="false">
      <c r="A11680" s="1" t="s">
        <v>809</v>
      </c>
      <c r="B11680" s="0" t="s">
        <v>392</v>
      </c>
      <c r="D11680" s="29" t="n">
        <f aca="false">Sens!D11674-Sens!C11674</f>
        <v>990</v>
      </c>
      <c r="E11680" s="29" t="n">
        <f aca="false">Sens!E11674-Sens!D11674</f>
        <v>1620</v>
      </c>
      <c r="F11680" s="29" t="n">
        <f aca="false">Sens!F11674-Sens!E11674</f>
        <v>2527.2</v>
      </c>
      <c r="G11680" s="29" t="n">
        <f aca="false">Sens!G11674-Sens!F11674</f>
        <v>2527.2</v>
      </c>
      <c r="H11680" s="29" t="n">
        <f aca="false">Sens!H11674-Sens!G11674</f>
        <v>2527.2</v>
      </c>
      <c r="I11680" s="29" t="n">
        <f aca="false">Sens!I11674-Sens!H11674</f>
        <v>1793.116</v>
      </c>
      <c r="J11680" s="29" t="n">
        <f aca="false">Sens!J11674-Sens!I11674</f>
        <v>1059.032</v>
      </c>
      <c r="K11680" s="29" t="n">
        <f aca="false">Sens!K11674-Sens!J11674</f>
        <v>324.948</v>
      </c>
    </row>
    <row r="11681" customFormat="false" ht="17.15" hidden="false" customHeight="false" outlineLevel="0" collapsed="false">
      <c r="A11681" s="1" t="s">
        <v>810</v>
      </c>
      <c r="B11681" s="0" t="s">
        <v>392</v>
      </c>
      <c r="F11681" s="29" t="n">
        <f aca="false">Sens!F11698*ext_sh</f>
        <v>0</v>
      </c>
      <c r="G11681" s="29" t="n">
        <f aca="false">Sens!G11698*ext_sh</f>
        <v>0</v>
      </c>
      <c r="H11681" s="29" t="n">
        <f aca="false">Sens!H11698*ext_sh</f>
        <v>0</v>
      </c>
      <c r="I11681" s="29" t="n">
        <f aca="false">Sens!I11698*ext_sh</f>
        <v>490</v>
      </c>
      <c r="J11681" s="29" t="n">
        <f aca="false">Sens!J11698*ext_sh</f>
        <v>740</v>
      </c>
      <c r="K11681" s="29" t="n">
        <f aca="false">Sens!K11698*ext_sh</f>
        <v>1470</v>
      </c>
      <c r="L11681" s="1" t="s">
        <v>811</v>
      </c>
    </row>
    <row r="11682" customFormat="false" ht="17.15" hidden="false" customHeight="false" outlineLevel="0" collapsed="false">
      <c r="A11682" s="1" t="s">
        <v>812</v>
      </c>
      <c r="B11682" s="0" t="s">
        <v>392</v>
      </c>
      <c r="C11682" s="29" t="n">
        <f aca="false">mix_h*Sens!C11674</f>
        <v>128</v>
      </c>
      <c r="D11682" s="29" t="n">
        <f aca="false">mix_h*Sens!D11674</f>
        <v>326</v>
      </c>
      <c r="E11682" s="29" t="n">
        <f aca="false">mix_h*Sens!E11674</f>
        <v>650</v>
      </c>
      <c r="F11682" s="29" t="n">
        <f aca="false">Sens!E11682-Sens!F11681*mix_h</f>
        <v>650</v>
      </c>
      <c r="G11682" s="29" t="n">
        <f aca="false">Sens!F11682-Sens!G11681*mix_h</f>
        <v>650</v>
      </c>
      <c r="H11682" s="29" t="n">
        <f aca="false">Sens!G11682-Sens!H11681*mix_h</f>
        <v>650</v>
      </c>
      <c r="I11682" s="29" t="n">
        <f aca="false">Sens!H11682-Sens!I11681*mix_h</f>
        <v>552</v>
      </c>
      <c r="J11682" s="29" t="n">
        <f aca="false">Sens!I11682-Sens!J11681*mix_h</f>
        <v>404</v>
      </c>
      <c r="K11682" s="29" t="n">
        <f aca="false">Sens!J11682-Sens!K11681*mix_h</f>
        <v>110</v>
      </c>
    </row>
    <row r="11683" customFormat="false" ht="17.15" hidden="false" customHeight="false" outlineLevel="0" collapsed="false">
      <c r="A11683" s="1" t="s">
        <v>813</v>
      </c>
      <c r="B11683" s="0" t="s">
        <v>392</v>
      </c>
      <c r="C11683" s="29" t="n">
        <f aca="false">mix_g2*Sens!C11674</f>
        <v>288</v>
      </c>
      <c r="D11683" s="29" t="n">
        <f aca="false">mix_g2*Sens!D11674</f>
        <v>733.5</v>
      </c>
      <c r="E11683" s="29" t="n">
        <f aca="false">mix_g2*Sens!E11674</f>
        <v>1462.5</v>
      </c>
      <c r="F11683" s="29" t="n">
        <f aca="false">Sens!E11683-Sens!F11681*mix_g2</f>
        <v>1462.5</v>
      </c>
      <c r="G11683" s="29" t="n">
        <f aca="false">Sens!F11683-Sens!G11681*mix_g2</f>
        <v>1462.5</v>
      </c>
      <c r="H11683" s="29" t="n">
        <f aca="false">Sens!G11683-Sens!H11681*mix_g2</f>
        <v>1462.5</v>
      </c>
      <c r="I11683" s="29" t="n">
        <f aca="false">Sens!H11683-Sens!I11681*mix_g2</f>
        <v>1242</v>
      </c>
      <c r="J11683" s="29" t="n">
        <f aca="false">Sens!I11683-Sens!J11681*mix_g2</f>
        <v>909</v>
      </c>
      <c r="K11683" s="29" t="n">
        <f aca="false">Sens!J11683-Sens!K11681*mix_g2</f>
        <v>247.5</v>
      </c>
    </row>
    <row r="11684" customFormat="false" ht="17.15" hidden="false" customHeight="false" outlineLevel="0" collapsed="false">
      <c r="A11684" s="1" t="s">
        <v>814</v>
      </c>
      <c r="B11684" s="0" t="s">
        <v>392</v>
      </c>
      <c r="C11684" s="29" t="n">
        <f aca="false">mix_g3*Sens!C11674</f>
        <v>224</v>
      </c>
      <c r="D11684" s="29" t="n">
        <f aca="false">mix_g3*Sens!D11674</f>
        <v>570.5</v>
      </c>
      <c r="E11684" s="29" t="n">
        <f aca="false">mix_g3*Sens!E11674</f>
        <v>1137.5</v>
      </c>
      <c r="F11684" s="29" t="n">
        <f aca="false">Sens!E11684+(Sens!F11680+Sens!F11681)*a_g3_27-Sens!F11681*mix_g3</f>
        <v>2906.54</v>
      </c>
      <c r="G11684" s="29" t="n">
        <f aca="false">Sens!F11684+(Sens!G11680+Sens!G11681)*a_g3_28-Sens!G11681*mix_g3</f>
        <v>3664.7</v>
      </c>
      <c r="H11684" s="29" t="n">
        <f aca="false">Sens!G11684+(Sens!H11680+Sens!H11681)*a_g3_29-Sens!H11681*mix_g3</f>
        <v>3917.42</v>
      </c>
      <c r="I11684" s="29" t="n">
        <f aca="false">Sens!H11684+(Sens!I11680+Sens!I11681)*a_g3_29-Sens!I11681*mix_g3</f>
        <v>3974.2316</v>
      </c>
      <c r="J11684" s="29" t="n">
        <f aca="false">Sens!I11684+(Sens!J11680+Sens!J11681)*a_g3_29-Sens!J11681*mix_g3</f>
        <v>3895.1348</v>
      </c>
      <c r="K11684" s="29" t="n">
        <f aca="false">Sens!J11684+(Sens!K11680+Sens!K11681)*a_g3_29-Sens!K11681*mix_g3</f>
        <v>3560.1296</v>
      </c>
    </row>
    <row r="11685" customFormat="false" ht="17.15" hidden="false" customHeight="false" outlineLevel="0" collapsed="false">
      <c r="A11685" s="1" t="s">
        <v>815</v>
      </c>
      <c r="B11685" s="0" t="s">
        <v>392</v>
      </c>
      <c r="C11685" s="29" t="n">
        <v>0</v>
      </c>
      <c r="D11685" s="29" t="n">
        <v>0</v>
      </c>
      <c r="E11685" s="29" t="n">
        <v>0</v>
      </c>
      <c r="F11685" s="29" t="n">
        <f aca="false">Sens!E11685+(Sens!F11680+Sens!F11681)*(1-a_g3_27)</f>
        <v>758.16</v>
      </c>
      <c r="G11685" s="29" t="n">
        <f aca="false">Sens!F11685+(Sens!G11680+Sens!G11681)*(1-a_g3_28)</f>
        <v>2527.2</v>
      </c>
      <c r="H11685" s="29" t="n">
        <f aca="false">Sens!G11685+(Sens!H11680+Sens!H11681)*(1-a_g3_29)</f>
        <v>4801.68</v>
      </c>
      <c r="I11685" s="29" t="n">
        <f aca="false">Sens!H11685+(Sens!I11680+Sens!I11681)*(1-a_g3_29)</f>
        <v>6856.4844</v>
      </c>
      <c r="J11685" s="29" t="n">
        <f aca="false">Sens!I11685+(Sens!J11680+Sens!J11681)*(1-a_g3_29)</f>
        <v>8475.6132</v>
      </c>
      <c r="K11685" s="29" t="n">
        <f aca="false">Sens!J11685+(Sens!K11680+Sens!K11681)*(1-a_g3_29)</f>
        <v>10091.0664</v>
      </c>
    </row>
    <row r="11686" customFormat="false" ht="17.15" hidden="false" customHeight="false" outlineLevel="0" collapsed="false">
      <c r="A11686" s="1" t="s">
        <v>816</v>
      </c>
      <c r="B11686" s="0" t="s">
        <v>339</v>
      </c>
      <c r="C11686" s="14" t="n">
        <f aca="false">(Sens!C11682*tk_hold_h100+Sens!C11683*tk_hold_gb200+Sens!C11684*tk_hold_gb300+Sens!C11685*tk_hold_vr200)/Sens!C11674</f>
        <v>9.7235358126469</v>
      </c>
      <c r="D11686" s="14" t="n">
        <f aca="false">(Sens!D11682*tk_hold_h100+Sens!D11683*tk_hold_gb200+Sens!D11684*tk_hold_gb300+Sens!D11685*tk_hold_vr200)/Sens!D11674</f>
        <v>9.7235358126469</v>
      </c>
      <c r="E11686" s="14" t="n">
        <f aca="false">(Sens!E11682*tk_hold_h100+Sens!E11683*tk_hold_gb200+Sens!E11684*tk_hold_gb300+Sens!E11685*tk_hold_vr200)/Sens!E11674</f>
        <v>9.7235358126469</v>
      </c>
      <c r="F11686" s="14" t="n">
        <f aca="false">(Sens!F11682*tk_hold_h100+Sens!F11683*tk_hold_gb200+Sens!F11684*tk_hold_gb300+Sens!F11685*tk_hold_vr200)/Sens!F11674</f>
        <v>10.4079573161931</v>
      </c>
      <c r="G11686" s="14" t="n">
        <f aca="false">(Sens!G11682*tk_hold_h100+Sens!G11683*tk_hold_gb200+Sens!G11684*tk_hold_gb300+Sens!G11685*tk_hold_vr200)/Sens!G11674</f>
        <v>10.8388131109316</v>
      </c>
      <c r="H11686" s="14" t="n">
        <f aca="false">(Sens!H11682*tk_hold_h100+Sens!H11683*tk_hold_gb200+Sens!H11684*tk_hold_gb300+Sens!H11685*tk_hold_vr200)/Sens!H11674</f>
        <v>11.1311018388216</v>
      </c>
      <c r="I11686" s="14" t="n">
        <f aca="false">(Sens!I11682*tk_hold_h100+Sens!I11683*tk_hold_gb200+Sens!I11684*tk_hold_gb300+Sens!I11685*tk_hold_vr200)/Sens!I11674</f>
        <v>11.3594282560989</v>
      </c>
      <c r="J11686" s="14" t="n">
        <f aca="false">(Sens!J11682*tk_hold_h100+Sens!J11683*tk_hold_gb200+Sens!J11684*tk_hold_gb300+Sens!J11685*tk_hold_vr200)/Sens!J11674</f>
        <v>11.5441508808221</v>
      </c>
      <c r="K11686" s="14" t="n">
        <f aca="false">(Sens!K11682*tk_hold_h100+Sens!K11683*tk_hold_gb200+Sens!K11684*tk_hold_gb300+Sens!K11685*tk_hold_vr200)/Sens!K11674</f>
        <v>11.8053375063575</v>
      </c>
    </row>
    <row r="11687" customFormat="false" ht="17.15" hidden="false" customHeight="false" outlineLevel="0" collapsed="false">
      <c r="A11687" s="0" t="s">
        <v>817</v>
      </c>
      <c r="B11687" s="0" t="s">
        <v>185</v>
      </c>
      <c r="C11687" s="14" t="n">
        <f aca="false">k_B</f>
        <v>1.17213932619116</v>
      </c>
      <c r="D11687" s="14" t="n">
        <f aca="false">k_B</f>
        <v>1.17213932619116</v>
      </c>
      <c r="E11687" s="14" t="n">
        <f aca="false">k_B</f>
        <v>1.17213932619116</v>
      </c>
      <c r="F11687" s="14" t="n">
        <f aca="false">(k_B+((ls_B*k_long+(1-ls_B)*k_spot)-k_B)*MIN(1,(Sens!F11672-base_fy)/k_ramp))</f>
        <v>1.17213932619116</v>
      </c>
      <c r="G11687" s="14" t="n">
        <f aca="false">(k_B+((ls_B*k_long+(1-ls_B)*k_spot)-k_B)*MIN(1,(Sens!G11672-base_fy)/k_ramp))</f>
        <v>1.17213932619116</v>
      </c>
      <c r="H11687" s="14" t="n">
        <f aca="false">(k_B+((ls_B*k_long+(1-ls_B)*k_spot)-k_B)*MIN(1,(Sens!H11672-base_fy)/k_ramp))</f>
        <v>1.17213932619116</v>
      </c>
      <c r="I11687" s="14" t="n">
        <f aca="false">(k_B+((ls_B*k_long+(1-ls_B)*k_spot)-k_B)*MIN(1,(Sens!I11672-base_fy)/k_ramp))</f>
        <v>1.17213932619116</v>
      </c>
      <c r="J11687" s="14" t="n">
        <f aca="false">(k_B+((ls_B*k_long+(1-ls_B)*k_spot)-k_B)*MIN(1,(Sens!J11672-base_fy)/k_ramp))</f>
        <v>1.17213932619116</v>
      </c>
      <c r="K11687" s="14" t="n">
        <f aca="false">(k_B+((ls_B*k_long+(1-ls_B)*k_spot)-k_B)*MIN(1,(Sens!K11672-base_fy)/k_ramp))</f>
        <v>1.17213932619116</v>
      </c>
      <c r="L11687" s="1" t="s">
        <v>818</v>
      </c>
    </row>
    <row r="11688" customFormat="false" ht="17.15" hidden="false" customHeight="false" outlineLevel="0" collapsed="false">
      <c r="A11688" s="1" t="s">
        <v>819</v>
      </c>
      <c r="B11688" s="0" t="s">
        <v>339</v>
      </c>
      <c r="C11688" s="14" t="n">
        <f aca="false">Sens!C11686*Sens!C11687*chip_f</f>
        <v>11.3973387156315</v>
      </c>
      <c r="D11688" s="14" t="n">
        <f aca="false">Sens!D11686*Sens!D11687*chip_f</f>
        <v>11.3973387156315</v>
      </c>
      <c r="E11688" s="14" t="n">
        <f aca="false">Sens!E11686*Sens!E11687*chip_f</f>
        <v>11.3973387156315</v>
      </c>
      <c r="F11688" s="14" t="n">
        <f aca="false">Sens!F11686*Sens!F11687*chip_f</f>
        <v>12.1995760756289</v>
      </c>
      <c r="G11688" s="14" t="n">
        <f aca="false">Sens!G11686*Sens!G11687*chip_f</f>
        <v>12.7045990965592</v>
      </c>
      <c r="H11688" s="14" t="n">
        <f aca="false">Sens!H11686*Sens!H11687*chip_f</f>
        <v>13.0472022091214</v>
      </c>
      <c r="I11688" s="14" t="n">
        <f aca="false">Sens!I11686*Sens!I11687*chip_f</f>
        <v>13.3148325820205</v>
      </c>
      <c r="J11688" s="14" t="n">
        <f aca="false">Sens!J11686*Sens!J11687*chip_f</f>
        <v>13.5313532348958</v>
      </c>
      <c r="K11688" s="14" t="n">
        <f aca="false">Sens!K11686*Sens!K11687*chip_f</f>
        <v>13.8375003501611</v>
      </c>
      <c r="L11688" s="1" t="s">
        <v>820</v>
      </c>
    </row>
    <row r="11689" customFormat="false" ht="17.15" hidden="false" customHeight="false" outlineLevel="0" collapsed="false">
      <c r="A11689" s="0" t="s">
        <v>821</v>
      </c>
      <c r="B11689" s="0" t="s">
        <v>98</v>
      </c>
      <c r="D11689" s="6" t="n">
        <f aca="false">(Sens!C11674+Sens!D11674)/2*Sens!D11688/1000</f>
        <v>12.9359794422418</v>
      </c>
      <c r="E11689" s="6" t="n">
        <f aca="false">(Sens!D11674+Sens!E11674)/2*Sens!E11688/1000</f>
        <v>27.8095064661409</v>
      </c>
      <c r="F11689" s="6" t="n">
        <f aca="false">(Sens!E11674+Sens!F11674)/2*Sens!F11688/1000</f>
        <v>55.0640065749585</v>
      </c>
      <c r="G11689" s="6" t="n">
        <f aca="false">(Sens!F11674+Sens!G11674)/2*Sens!G11688/1000</f>
        <v>89.4505413190538</v>
      </c>
      <c r="H11689" s="6" t="n">
        <f aca="false">(Sens!G11674+Sens!H11674)/2*Sens!H11688/1000</f>
        <v>124.835630736874</v>
      </c>
      <c r="I11689" s="6" t="n">
        <f aca="false">(Sens!H11674+Sens!I11674)/2*Sens!I11688/1000</f>
        <v>156.158460265485</v>
      </c>
      <c r="J11689" s="6" t="n">
        <f aca="false">(Sens!I11674+Sens!J11674)/2*Sens!J11688/1000</f>
        <v>177.99455972577</v>
      </c>
      <c r="K11689" s="6" t="n">
        <f aca="false">(Sens!J11674+Sens!K11674)/2*Sens!K11688/1000</f>
        <v>191.597101773408</v>
      </c>
      <c r="L11689" s="11" t="s">
        <v>822</v>
      </c>
    </row>
    <row r="11690" customFormat="false" ht="17.15" hidden="false" customHeight="false" outlineLevel="0" collapsed="false">
      <c r="A11690" s="1" t="s">
        <v>823</v>
      </c>
      <c r="B11690" s="0" t="s">
        <v>339</v>
      </c>
      <c r="C11690" s="14" t="n">
        <f aca="false">(Sens!C11682*tk_opex_h100+Sens!C11683*tk_opex_gb200+Sens!C11684*tk_opex_gb300+Sens!C11685*tk_opex_vr200)/Sens!C11674</f>
        <v>1.88636041306092</v>
      </c>
      <c r="D11690" s="14" t="n">
        <f aca="false">(Sens!D11682*tk_opex_h100+Sens!D11683*tk_opex_gb200+Sens!D11684*tk_opex_gb300+Sens!D11685*tk_opex_vr200)/Sens!D11674</f>
        <v>1.88636041306092</v>
      </c>
      <c r="E11690" s="14" t="n">
        <f aca="false">(Sens!E11682*tk_opex_h100+Sens!E11683*tk_opex_gb200+Sens!E11684*tk_opex_gb300+Sens!E11685*tk_opex_vr200)/Sens!E11674</f>
        <v>1.88636041306092</v>
      </c>
      <c r="F11690" s="14" t="n">
        <f aca="false">(Sens!F11682*tk_opex_h100+Sens!F11683*tk_opex_gb200+Sens!F11684*tk_opex_gb300+Sens!F11685*tk_opex_vr200)/Sens!F11674</f>
        <v>1.9430236476499</v>
      </c>
      <c r="G11690" s="14" t="n">
        <f aca="false">(Sens!G11682*tk_opex_h100+Sens!G11683*tk_opex_gb200+Sens!G11684*tk_opex_gb300+Sens!G11685*tk_opex_vr200)/Sens!G11674</f>
        <v>1.9786941852423</v>
      </c>
      <c r="H11690" s="14" t="n">
        <f aca="false">(Sens!H11682*tk_opex_h100+Sens!H11683*tk_opex_gb200+Sens!H11684*tk_opex_gb300+Sens!H11685*tk_opex_vr200)/Sens!H11674</f>
        <v>2.00289275976156</v>
      </c>
      <c r="I11690" s="14" t="n">
        <f aca="false">(Sens!I11682*tk_opex_h100+Sens!I11683*tk_opex_gb200+Sens!I11684*tk_opex_gb300+Sens!I11685*tk_opex_vr200)/Sens!I11674</f>
        <v>2.02179589661219</v>
      </c>
      <c r="J11690" s="14" t="n">
        <f aca="false">(Sens!J11682*tk_opex_h100+Sens!J11683*tk_opex_gb200+Sens!J11684*tk_opex_gb300+Sens!J11685*tk_opex_vr200)/Sens!J11674</f>
        <v>2.03708907685909</v>
      </c>
      <c r="K11690" s="14" t="n">
        <f aca="false">(Sens!K11682*tk_opex_h100+Sens!K11683*tk_opex_gb200+Sens!K11684*tk_opex_gb300+Sens!K11685*tk_opex_vr200)/Sens!K11674</f>
        <v>2.05871270931005</v>
      </c>
    </row>
    <row r="11691" customFormat="false" ht="17.15" hidden="false" customHeight="false" outlineLevel="0" collapsed="false">
      <c r="A11691" s="0" t="s">
        <v>824</v>
      </c>
      <c r="B11691" s="0" t="s">
        <v>98</v>
      </c>
      <c r="D11691" s="6" t="n">
        <f aca="false">(Sens!C11677+Sens!D11677)/2*Sens!D11690/1000</f>
        <v>2.70378325872065</v>
      </c>
      <c r="E11691" s="6" t="n">
        <f aca="false">(Sens!D11677+Sens!E11677)/2*Sens!E11690/1000</f>
        <v>6.17783035277451</v>
      </c>
      <c r="F11691" s="6" t="n">
        <f aca="false">(Sens!E11677+Sens!F11677)/2*Sens!F11690/1000</f>
        <v>12.5020618235287</v>
      </c>
      <c r="G11691" s="6" t="n">
        <f aca="false">(Sens!F11677+Sens!G11677)/2*Sens!G11690/1000</f>
        <v>20.7261620256847</v>
      </c>
      <c r="H11691" s="6" t="n">
        <f aca="false">(Sens!G11677+Sens!H11677)/2*Sens!H11690/1000</f>
        <v>29.4158183316982</v>
      </c>
      <c r="I11691" s="6" t="n">
        <f aca="false">(Sens!H11677+Sens!I11677)/2*Sens!I11690/1000</f>
        <v>36.9724400356344</v>
      </c>
      <c r="J11691" s="6" t="n">
        <f aca="false">(Sens!I11677+Sens!J11677)/2*Sens!J11690/1000</f>
        <v>42.0938382992747</v>
      </c>
      <c r="K11691" s="6" t="n">
        <f aca="false">(Sens!J11677+Sens!K11677)/2*Sens!K11690/1000</f>
        <v>44.9150106651501</v>
      </c>
    </row>
    <row r="11692" customFormat="false" ht="17.15" hidden="false" customHeight="false" outlineLevel="0" collapsed="false">
      <c r="A11692" s="0" t="s">
        <v>825</v>
      </c>
      <c r="B11692" s="0" t="s">
        <v>98</v>
      </c>
      <c r="D11692" s="6" t="n">
        <f aca="false">(Sens!C11675+Sens!D11675)/2*rent_mw/1000</f>
        <v>2.44475</v>
      </c>
      <c r="E11692" s="6" t="n">
        <f aca="false">(Sens!D11675+Sens!E11675)/2*rent_mw/1000</f>
        <v>4.22275</v>
      </c>
      <c r="F11692" s="6" t="n">
        <f aca="false">(Sens!E11675+Sens!F11675)/2*rent_mw/1000</f>
        <v>5.80517</v>
      </c>
      <c r="G11692" s="6" t="n">
        <f aca="false">(Sens!F11675+Sens!G11675)/2*rent_mw/1000</f>
        <v>6.72084</v>
      </c>
      <c r="H11692" s="6" t="n">
        <f aca="false">(Sens!G11675+Sens!H11675)/2*rent_mw/1000</f>
        <v>6.72084</v>
      </c>
      <c r="I11692" s="6" t="n">
        <f aca="false">(Sens!H11675+Sens!I11675)/2*rent_mw/1000</f>
        <v>6.72084</v>
      </c>
      <c r="J11692" s="6" t="n">
        <f aca="false">(Sens!I11675+Sens!J11675)/2*rent_mw/1000</f>
        <v>6.72084</v>
      </c>
      <c r="K11692" s="6" t="n">
        <f aca="false">(Sens!J11675+Sens!K11675)/2*rent_mw/1000</f>
        <v>6.72084</v>
      </c>
    </row>
    <row r="11693" customFormat="false" ht="17.15" hidden="false" customHeight="false" outlineLevel="0" collapsed="false">
      <c r="A11693" s="0" t="s">
        <v>826</v>
      </c>
      <c r="B11693" s="0" t="s">
        <v>98</v>
      </c>
      <c r="D11693" s="6" t="n">
        <f aca="false">(Sens!C11677+Sens!D11677)/2*(1-self_build)*fac_rent/1000</f>
        <v>0.853242375631075</v>
      </c>
      <c r="E11693" s="6" t="n">
        <f aca="false">(Sens!D11677+Sens!E11677)/2*(1-self_build)*fac_rent/1000</f>
        <v>1.94955961408728</v>
      </c>
      <c r="F11693" s="6" t="n">
        <f aca="false">(Sens!E11677+Sens!F11677)/2*(1-self_build)*fac_rent/1000</f>
        <v>3.83026455274573</v>
      </c>
      <c r="G11693" s="6" t="n">
        <f aca="false">(Sens!F11677+Sens!G11677)/2*(1-self_build)*fac_rent/1000</f>
        <v>6.23541590972812</v>
      </c>
      <c r="H11693" s="6" t="n">
        <f aca="false">(Sens!G11677+Sens!H11677)/2*(1-self_build)*fac_rent/1000</f>
        <v>8.74275792332679</v>
      </c>
      <c r="I11693" s="6" t="n">
        <f aca="false">(Sens!H11677+Sens!I11677)/2*(1-self_build)*fac_rent/1000</f>
        <v>10.8859420438599</v>
      </c>
      <c r="J11693" s="6" t="n">
        <f aca="false">(Sens!I11677+Sens!J11677)/2*(1-self_build)*fac_rent/1000</f>
        <v>12.3008103782619</v>
      </c>
      <c r="K11693" s="6" t="n">
        <f aca="false">(Sens!J11677+Sens!K11677)/2*(1-self_build)*fac_rent/1000</f>
        <v>12.9873629265328</v>
      </c>
      <c r="L11693" s="11" t="s">
        <v>827</v>
      </c>
    </row>
    <row r="11694" customFormat="false" ht="17.15" hidden="false" customHeight="false" outlineLevel="0" collapsed="false">
      <c r="A11694" s="1" t="s">
        <v>828</v>
      </c>
      <c r="B11694" s="0" t="s">
        <v>129</v>
      </c>
      <c r="D11694" s="7" t="n">
        <f aca="false">(Sens!C11676+Sens!D11676)/(Sens!C11677+Sens!D11677)</f>
        <v>0.6</v>
      </c>
      <c r="E11694" s="7" t="n">
        <f aca="false">(Sens!D11676+Sens!E11676)/(Sens!D11677+Sens!E11677)</f>
        <v>0.6</v>
      </c>
      <c r="F11694" s="7" t="n">
        <f aca="false">(Sens!E11676+Sens!F11676)/(Sens!E11677+Sens!F11677)</f>
        <v>0.6</v>
      </c>
      <c r="G11694" s="7" t="n">
        <f aca="false">(Sens!F11676+Sens!G11676)/(Sens!F11677+Sens!G11677)</f>
        <v>0.6</v>
      </c>
      <c r="H11694" s="7" t="n">
        <f aca="false">(Sens!G11676+Sens!H11676)/(Sens!G11677+Sens!H11677)</f>
        <v>0.6</v>
      </c>
      <c r="I11694" s="7" t="n">
        <f aca="false">(Sens!H11676+Sens!I11676)/(Sens!H11677+Sens!I11677)</f>
        <v>0.6</v>
      </c>
      <c r="J11694" s="7" t="n">
        <f aca="false">(Sens!I11676+Sens!J11676)/(Sens!I11677+Sens!J11677)</f>
        <v>0.6</v>
      </c>
      <c r="K11694" s="7" t="n">
        <f aca="false">(Sens!J11676+Sens!K11676)/(Sens!J11677+Sens!K11677)</f>
        <v>0.6</v>
      </c>
    </row>
    <row r="11695" customFormat="false" ht="17.15" hidden="false" customHeight="false" outlineLevel="0" collapsed="false">
      <c r="A11695" s="0" t="s">
        <v>829</v>
      </c>
      <c r="B11695" s="0" t="s">
        <v>98</v>
      </c>
      <c r="D11695" s="6" t="n">
        <f aca="false">Sens!D11689-Sens!D11694*(Sens!D11691+Sens!D11693)-Sens!D11692</f>
        <v>8.35701406163072</v>
      </c>
      <c r="E11695" s="6" t="n">
        <f aca="false">Sens!E11689-Sens!E11694*(Sens!E11691+Sens!E11693)-Sens!E11692</f>
        <v>18.7103224860238</v>
      </c>
      <c r="F11695" s="6" t="n">
        <f aca="false">Sens!F11689-Sens!F11694*(Sens!F11691+Sens!F11693)-Sens!F11692</f>
        <v>39.4594407491938</v>
      </c>
      <c r="G11695" s="6" t="n">
        <f aca="false">Sens!G11689-Sens!G11694*(Sens!G11691+Sens!G11693)-Sens!G11692</f>
        <v>66.5527545578061</v>
      </c>
      <c r="H11695" s="6" t="n">
        <f aca="false">Sens!H11689-Sens!H11694*(Sens!H11691+Sens!H11693)-Sens!H11692</f>
        <v>95.219644983859</v>
      </c>
      <c r="I11695" s="6" t="n">
        <f aca="false">Sens!I11689-Sens!I11694*(Sens!I11691+Sens!I11693)-Sens!I11692</f>
        <v>120.722591017788</v>
      </c>
      <c r="J11695" s="6" t="n">
        <f aca="false">Sens!J11689-Sens!J11694*(Sens!J11691+Sens!J11693)-Sens!J11692</f>
        <v>138.636930519248</v>
      </c>
      <c r="K11695" s="6" t="n">
        <f aca="false">Sens!K11689-Sens!K11694*(Sens!K11691+Sens!K11693)-Sens!K11692</f>
        <v>150.134837618398</v>
      </c>
    </row>
    <row r="11696" customFormat="false" ht="17.15" hidden="false" customHeight="false" outlineLevel="0" collapsed="false">
      <c r="A11696" s="1" t="s">
        <v>830</v>
      </c>
      <c r="B11696" s="0" t="s">
        <v>98</v>
      </c>
      <c r="D11696" s="6" t="n">
        <f aca="false">(1-Sens!D11694)*(Sens!D11691+Sens!D11693)</f>
        <v>1.42281025374069</v>
      </c>
      <c r="E11696" s="6" t="n">
        <f aca="false">(1-Sens!E11694)*(Sens!E11691+Sens!E11693)</f>
        <v>3.25095598674472</v>
      </c>
      <c r="F11696" s="6" t="n">
        <f aca="false">(1-Sens!F11694)*(Sens!F11691+Sens!F11693)</f>
        <v>6.53293055050977</v>
      </c>
      <c r="G11696" s="6" t="n">
        <f aca="false">(1-Sens!G11694)*(Sens!G11691+Sens!G11693)</f>
        <v>10.7846311741651</v>
      </c>
      <c r="H11696" s="6" t="n">
        <f aca="false">(1-Sens!H11694)*(Sens!H11691+Sens!H11693)</f>
        <v>15.26343050201</v>
      </c>
      <c r="I11696" s="6" t="n">
        <f aca="false">(1-Sens!I11694)*(Sens!I11691+Sens!I11693)</f>
        <v>19.1433528317977</v>
      </c>
      <c r="J11696" s="6" t="n">
        <f aca="false">(1-Sens!J11694)*(Sens!J11691+Sens!J11693)</f>
        <v>21.7578594710146</v>
      </c>
      <c r="K11696" s="6" t="n">
        <f aca="false">(1-Sens!K11694)*(Sens!K11691+Sens!K11693)</f>
        <v>23.1609494366731</v>
      </c>
    </row>
    <row r="11697" customFormat="false" ht="17.15" hidden="false" customHeight="false" outlineLevel="0" collapsed="false">
      <c r="A11697" s="1" t="s">
        <v>831</v>
      </c>
      <c r="B11697" s="0" t="s">
        <v>350</v>
      </c>
      <c r="C11697" s="8" t="n">
        <f aca="false">cxit_open</f>
        <v>27.5918995</v>
      </c>
      <c r="D11697" s="8" t="n">
        <f aca="false">cxit_open</f>
        <v>27.5918995</v>
      </c>
      <c r="E11697" s="8" t="n">
        <f aca="false">cxit_open</f>
        <v>27.5918995</v>
      </c>
      <c r="F11697" s="8" t="n">
        <f aca="false">(a_g3_27*tk_cxit_gb300+(1-a_g3_27)*tk_cxit_vr200)</f>
        <v>33.8419624</v>
      </c>
      <c r="G11697" s="8" t="n">
        <f aca="false">(a_g3_28*tk_cxit_gb300+(1-a_g3_28)*tk_cxit_vr200)</f>
        <v>35.9816136</v>
      </c>
      <c r="H11697" s="8" t="n">
        <f aca="false">(a_g3_29*tk_cxit_gb300+(1-a_g3_29)*tk_cxit_vr200)</f>
        <v>37.0514392</v>
      </c>
      <c r="I11697" s="8" t="n">
        <f aca="false">(a_g3_29*tk_cxit_gb300+(1-a_g3_29)*tk_cxit_vr200)</f>
        <v>37.0514392</v>
      </c>
      <c r="J11697" s="8" t="n">
        <f aca="false">(a_g3_29*tk_cxit_gb300+(1-a_g3_29)*tk_cxit_vr200)</f>
        <v>37.0514392</v>
      </c>
      <c r="K11697" s="8" t="n">
        <f aca="false">(a_g3_29*tk_cxit_gb300+(1-a_g3_29)*tk_cxit_vr200)</f>
        <v>37.0514392</v>
      </c>
      <c r="L11697" s="11" t="s">
        <v>832</v>
      </c>
    </row>
    <row r="11698" customFormat="false" ht="17.15" hidden="false" customHeight="false" outlineLevel="0" collapsed="false">
      <c r="A11698" s="0" t="s">
        <v>833</v>
      </c>
      <c r="B11698" s="0" t="s">
        <v>392</v>
      </c>
      <c r="F11698" s="29" t="n">
        <f aca="false">Sens!C11679*IF(Sens!F11672-Sens!C11672=life_it,1,0)+Sens!D11679*IF(Sens!F11672-Sens!D11672=life_it,1,0)+Sens!E11679*IF(Sens!F11672-Sens!E11672=life_it,1,0)</f>
        <v>0</v>
      </c>
      <c r="G11698" s="29" t="n">
        <f aca="false">Sens!C11679*IF(Sens!G11672-Sens!C11672=life_it,1,0)+Sens!D11679*IF(Sens!G11672-Sens!D11672=life_it,1,0)+Sens!E11679*IF(Sens!G11672-Sens!E11672=life_it,1,0)+Sens!F11679*IF(Sens!G11672-Sens!F11672=life_it,1,0)</f>
        <v>0</v>
      </c>
      <c r="H11698" s="29" t="n">
        <f aca="false">Sens!C11679*IF(Sens!H11672-Sens!C11672=life_it,1,0)+Sens!D11679*IF(Sens!H11672-Sens!D11672=life_it,1,0)+Sens!E11679*IF(Sens!H11672-Sens!E11672=life_it,1,0)+Sens!F11679*IF(Sens!H11672-Sens!F11672=life_it,1,0)+Sens!G11679*IF(Sens!H11672-Sens!G11672=life_it,1,0)</f>
        <v>0</v>
      </c>
      <c r="I11698" s="29" t="n">
        <f aca="false">Sens!C11679*IF(Sens!I11672-Sens!C11672=life_it,1,0)+Sens!D11679*IF(Sens!I11672-Sens!D11672=life_it,1,0)+Sens!E11679*IF(Sens!I11672-Sens!E11672=life_it,1,0)+Sens!F11679*IF(Sens!I11672-Sens!F11672=life_it,1,0)+Sens!G11679*IF(Sens!I11672-Sens!G11672=life_it,1,0)+Sens!H11679*IF(Sens!I11672-Sens!H11672=life_it,1,0)</f>
        <v>816.666666666667</v>
      </c>
      <c r="J11698" s="29" t="n">
        <f aca="false">Sens!C11679*IF(Sens!J11672-Sens!C11672=life_it,1,0)+Sens!D11679*IF(Sens!J11672-Sens!D11672=life_it,1,0)+Sens!E11679*IF(Sens!J11672-Sens!E11672=life_it,1,0)+Sens!F11679*IF(Sens!J11672-Sens!F11672=life_it,1,0)+Sens!G11679*IF(Sens!J11672-Sens!G11672=life_it,1,0)+Sens!H11679*IF(Sens!J11672-Sens!H11672=life_it,1,0)+Sens!I11679*IF(Sens!J11672-Sens!I11672=life_it,1,0)</f>
        <v>1233.33333333333</v>
      </c>
      <c r="K11698" s="29" t="n">
        <f aca="false">Sens!C11679*IF(Sens!K11672-Sens!C11672=life_it,1,0)+Sens!D11679*IF(Sens!K11672-Sens!D11672=life_it,1,0)+Sens!E11679*IF(Sens!K11672-Sens!E11672=life_it,1,0)+Sens!F11679*IF(Sens!K11672-Sens!F11672=life_it,1,0)+Sens!G11679*IF(Sens!K11672-Sens!G11672=life_it,1,0)+Sens!H11679*IF(Sens!K11672-Sens!H11672=life_it,1,0)+Sens!I11679*IF(Sens!K11672-Sens!I11672=life_it,1,0)+Sens!J11679*IF(Sens!K11672-Sens!J11672=life_it,1,0)</f>
        <v>2450</v>
      </c>
      <c r="L11698" s="1" t="s">
        <v>834</v>
      </c>
    </row>
    <row r="11699" customFormat="false" ht="17.15" hidden="false" customHeight="false" outlineLevel="0" collapsed="false">
      <c r="A11699" s="0" t="s">
        <v>835</v>
      </c>
      <c r="B11699" s="0" t="s">
        <v>98</v>
      </c>
      <c r="C11699" s="6" t="n">
        <f aca="false">Sens!C11679*Sens!C11697/1000</f>
        <v>22.5333845916667</v>
      </c>
      <c r="D11699" s="6" t="n">
        <f aca="false">Sens!D11679*Sens!D11697/1000</f>
        <v>34.0300093833333</v>
      </c>
      <c r="E11699" s="6" t="n">
        <f aca="false">Sens!E11679*Sens!E11697/1000</f>
        <v>67.600153775</v>
      </c>
      <c r="F11699" s="6" t="n">
        <f aca="false">(Sens!F11679+Sens!F11698)*Sens!F11697/1000</f>
        <v>130.923271871467</v>
      </c>
      <c r="G11699" s="6" t="n">
        <f aca="false">(Sens!G11679+Sens!G11698)*Sens!G11697/1000</f>
        <v>151.5545564832</v>
      </c>
      <c r="H11699" s="6" t="n">
        <f aca="false">(Sens!H11679+Sens!H11698)*Sens!H11697/1000</f>
        <v>156.0606619104</v>
      </c>
      <c r="I11699" s="6" t="n">
        <f aca="false">(Sens!I11679+Sens!I11698)*Sens!I11697/1000</f>
        <v>140.987889434245</v>
      </c>
      <c r="J11699" s="6" t="n">
        <f aca="false">(Sens!J11679+Sens!J11698)*Sens!J11697/1000</f>
        <v>111.094541278091</v>
      </c>
      <c r="K11699" s="6" t="n">
        <f aca="false">(Sens!K11679+Sens!K11698)*Sens!K11697/1000</f>
        <v>110.842344481936</v>
      </c>
    </row>
    <row r="11700" customFormat="false" ht="17.15" hidden="false" customHeight="false" outlineLevel="0" collapsed="false">
      <c r="A11700" s="0" t="s">
        <v>836</v>
      </c>
      <c r="B11700" s="0" t="s">
        <v>98</v>
      </c>
      <c r="C11700" s="6" t="n">
        <f aca="false">Sens!C11679*self_build*tk_cxfac/1000</f>
        <v>6.2083</v>
      </c>
      <c r="D11700" s="6" t="n">
        <f aca="false">Sens!D11679*self_build*tk_cxfac/1000</f>
        <v>9.3758</v>
      </c>
      <c r="E11700" s="6" t="n">
        <f aca="false">Sens!E11679*self_build*tk_cxfac/1000</f>
        <v>18.6249</v>
      </c>
      <c r="F11700" s="6" t="n">
        <f aca="false">Sens!F11679*self_build*tk_cxfac/1000</f>
        <v>29.409604</v>
      </c>
      <c r="G11700" s="6" t="n">
        <f aca="false">Sens!G11679*self_build*tk_cxfac/1000</f>
        <v>32.019624</v>
      </c>
      <c r="H11700" s="6" t="n">
        <f aca="false">Sens!H11679*self_build*tk_cxfac/1000</f>
        <v>32.019624</v>
      </c>
      <c r="I11700" s="6" t="n">
        <f aca="false">Sens!I11679*self_build*tk_cxfac/1000</f>
        <v>22.71877972</v>
      </c>
      <c r="J11700" s="6" t="n">
        <f aca="false">Sens!J11679*self_build*tk_cxfac/1000</f>
        <v>13.41793544</v>
      </c>
      <c r="K11700" s="6" t="n">
        <f aca="false">Sens!K11679*self_build*tk_cxfac/1000</f>
        <v>4.11709116000001</v>
      </c>
    </row>
    <row r="11701" customFormat="false" ht="17.15" hidden="false" customHeight="false" outlineLevel="0" collapsed="false">
      <c r="A11701" s="0" t="s">
        <v>837</v>
      </c>
      <c r="B11701" s="0" t="s">
        <v>98</v>
      </c>
      <c r="F11701" s="6" t="n">
        <f aca="false">MAX(0,capex_floor27-Sens!F11699-Sens!F11700-Sens!F11794)</f>
        <v>8.28777689897088</v>
      </c>
      <c r="L11701" s="1" t="s">
        <v>838</v>
      </c>
    </row>
    <row r="11702" customFormat="false" ht="17.15" hidden="false" customHeight="false" outlineLevel="0" collapsed="false">
      <c r="A11702" s="0" t="s">
        <v>839</v>
      </c>
      <c r="B11702" s="0" t="s">
        <v>98</v>
      </c>
      <c r="C11702" s="6" t="n">
        <f aca="false">Sens!C11699</f>
        <v>22.5333845916667</v>
      </c>
      <c r="D11702" s="6" t="n">
        <f aca="false">Sens!D11699</f>
        <v>34.0300093833333</v>
      </c>
      <c r="E11702" s="6" t="n">
        <f aca="false">Sens!E11699</f>
        <v>67.600153775</v>
      </c>
      <c r="F11702" s="6" t="n">
        <f aca="false">Sens!F11699+Sens!F11701</f>
        <v>139.211048770438</v>
      </c>
      <c r="G11702" s="6" t="n">
        <f aca="false">Sens!G11699</f>
        <v>151.5545564832</v>
      </c>
      <c r="H11702" s="6" t="n">
        <f aca="false">Sens!H11699</f>
        <v>156.0606619104</v>
      </c>
      <c r="I11702" s="6" t="n">
        <f aca="false">Sens!I11699</f>
        <v>140.987889434245</v>
      </c>
      <c r="J11702" s="6" t="n">
        <f aca="false">Sens!J11699</f>
        <v>111.094541278091</v>
      </c>
      <c r="K11702" s="6" t="n">
        <f aca="false">Sens!K11699</f>
        <v>110.842344481936</v>
      </c>
    </row>
    <row r="11703" customFormat="false" ht="17.15" hidden="false" customHeight="false" outlineLevel="0" collapsed="false">
      <c r="A11703" s="0" t="s">
        <v>840</v>
      </c>
      <c r="B11703" s="0" t="s">
        <v>98</v>
      </c>
      <c r="C11703" s="6" t="n">
        <f aca="false">Sens!C11702+Sens!C11700</f>
        <v>28.7416845916667</v>
      </c>
      <c r="D11703" s="6" t="n">
        <f aca="false">Sens!D11702+Sens!D11700</f>
        <v>43.4058093833333</v>
      </c>
      <c r="E11703" s="6" t="n">
        <f aca="false">Sens!E11702+Sens!E11700</f>
        <v>86.225053775</v>
      </c>
      <c r="F11703" s="6" t="n">
        <f aca="false">Sens!F11702+Sens!F11700</f>
        <v>168.620652770438</v>
      </c>
      <c r="G11703" s="6" t="n">
        <f aca="false">Sens!G11702+Sens!G11700</f>
        <v>183.5741804832</v>
      </c>
      <c r="H11703" s="6" t="n">
        <f aca="false">Sens!H11702+Sens!H11700</f>
        <v>188.0802859104</v>
      </c>
      <c r="I11703" s="6" t="n">
        <f aca="false">Sens!I11702+Sens!I11700</f>
        <v>163.706669154245</v>
      </c>
      <c r="J11703" s="6" t="n">
        <f aca="false">Sens!J11702+Sens!J11700</f>
        <v>124.51247671809</v>
      </c>
      <c r="K11703" s="6" t="n">
        <f aca="false">Sens!K11702+Sens!K11700</f>
        <v>114.959435641936</v>
      </c>
      <c r="L11703" s="11" t="s">
        <v>841</v>
      </c>
    </row>
    <row r="11704" customFormat="false" ht="17.15" hidden="false" customHeight="false" outlineLevel="0" collapsed="false">
      <c r="A11704" s="0" t="s">
        <v>842</v>
      </c>
      <c r="B11704" s="0" t="s">
        <v>98</v>
      </c>
      <c r="E11704" s="6" t="n">
        <f aca="false">(Sens!C11702*IF(2&lt;life_it,1,IF(2=life_it,0.5,0))+Sens!D11702*IF(1&lt;life_it,1,IF(1=life_it,0.5,0))+Sens!E11702*0.5)/life_it</f>
        <v>15.0605784770833</v>
      </c>
      <c r="F11704" s="6" t="n">
        <f aca="false">(Sens!C11702*IF(3&lt;life_it,1,IF(3=life_it,0.5,0))+Sens!D11702*IF(2&lt;life_it,1,IF(2=life_it,0.5,0))+Sens!E11702*IF(1&lt;life_it,1,IF(1=life_it,0.5,0))+Sens!F11702*0.5)/life_it</f>
        <v>32.2948453558698</v>
      </c>
      <c r="G11704" s="6" t="n">
        <f aca="false">(Sens!C11702*IF(4&lt;life_it,1,IF(4=life_it,0.5,0))+Sens!D11702*IF(3&lt;life_it,1,IF(3=life_it,0.5,0))+Sens!E11702*IF(2&lt;life_it,1,IF(2=life_it,0.5,0))+Sens!F11702*IF(1&lt;life_it,1,IF(1=life_it,0.5,0))+Sens!G11702*0.5)/life_it</f>
        <v>56.5253124603396</v>
      </c>
      <c r="H11704" s="6" t="n">
        <f aca="false">(Sens!C11702*IF(5&lt;life_it,1,IF(5=life_it,0.5,0))+Sens!D11702*IF(4&lt;life_it,1,IF(4=life_it,0.5,0))+Sens!E11702*IF(3&lt;life_it,1,IF(3=life_it,0.5,0))+Sens!F11702*IF(2&lt;life_it,1,IF(2=life_it,0.5,0))+Sens!G11702*IF(1&lt;life_it,1,IF(1=life_it,0.5,0))+Sens!H11702*0.5)/life_it</f>
        <v>82.1599139931396</v>
      </c>
      <c r="I11704" s="6" t="n">
        <f aca="false">(Sens!C11702*IF(6&lt;life_it,1,IF(6=life_it,0.5,0))+Sens!D11702*IF(5&lt;life_it,1,IF(5=life_it,0.5,0))+Sens!E11702*IF(4&lt;life_it,1,IF(4=life_it,0.5,0))+Sens!F11702*IF(3&lt;life_it,1,IF(3=life_it,0.5,0))+Sens!G11702*IF(2&lt;life_it,1,IF(2=life_it,0.5,0))+Sens!H11702*IF(1&lt;life_it,1,IF(1=life_it,0.5,0))+Sens!I11702*0.5)/life_it</f>
        <v>105.036177889221</v>
      </c>
      <c r="J11704" s="6" t="n">
        <f aca="false">(Sens!C11702*IF(7&lt;life_it,1,IF(7=life_it,0.5,0))+Sens!D11702*IF(6&lt;life_it,1,IF(6=life_it,0.5,0))+Sens!E11702*IF(5&lt;life_it,1,IF(5=life_it,0.5,0))+Sens!F11702*IF(4&lt;life_it,1,IF(4=life_it,0.5,0))+Sens!G11702*IF(3&lt;life_it,1,IF(3=life_it,0.5,0))+Sens!H11702*IF(2&lt;life_it,1,IF(2=life_it,0.5,0))+Sens!I11702*IF(1&lt;life_it,1,IF(1=life_it,0.5,0))+Sens!J11702*0.5)/life_it</f>
        <v>121.329430950666</v>
      </c>
      <c r="K11704" s="6" t="n">
        <f aca="false">(Sens!C11702*IF(8&lt;life_it,1,IF(8=life_it,0.5,0))+Sens!D11702*IF(7&lt;life_it,1,IF(7=life_it,0.5,0))+Sens!E11702*IF(6&lt;life_it,1,IF(6=life_it,0.5,0))+Sens!F11702*IF(5&lt;life_it,1,IF(5=life_it,0.5,0))+Sens!G11702*IF(4&lt;life_it,1,IF(4=life_it,0.5,0))+Sens!H11702*IF(3&lt;life_it,1,IF(3=life_it,0.5,0))+Sens!I11702*IF(2&lt;life_it,1,IF(2=life_it,0.5,0))+Sens!J11702*IF(1&lt;life_it,1,IF(1=life_it,0.5,0))+Sens!K11702*0.5)/life_it</f>
        <v>131.354991167474</v>
      </c>
    </row>
    <row r="11705" customFormat="false" ht="17.15" hidden="false" customHeight="false" outlineLevel="0" collapsed="false">
      <c r="A11705" s="0" t="s">
        <v>843</v>
      </c>
      <c r="B11705" s="0" t="s">
        <v>98</v>
      </c>
      <c r="E11705" s="6" t="n">
        <f aca="false">(Sens!C11700*IF(2&lt;life_fac,1,IF(2=life_fac,0.5,0))+Sens!D11700*IF(1&lt;life_fac,1,IF(1=life_fac,0.5,0))+Sens!E11700*0.5)/life_fac</f>
        <v>1.2448275</v>
      </c>
      <c r="F11705" s="6" t="n">
        <f aca="false">(Sens!C11700*IF(3&lt;life_fac,1,IF(3=life_fac,0.5,0))+Sens!D11700*IF(2&lt;life_fac,1,IF(2=life_fac,0.5,0))+Sens!E11700*IF(1&lt;life_fac,1,IF(1=life_fac,0.5,0))+Sens!F11700*0.5)/life_fac</f>
        <v>2.4456901</v>
      </c>
      <c r="G11705" s="6" t="n">
        <f aca="false">(Sens!C11700*IF(4&lt;life_fac,1,IF(4=life_fac,0.5,0))+Sens!D11700*IF(3&lt;life_fac,1,IF(3=life_fac,0.5,0))+Sens!E11700*IF(2&lt;life_fac,1,IF(2=life_fac,0.5,0))+Sens!F11700*IF(1&lt;life_fac,1,IF(1=life_fac,0.5,0))+Sens!G11700*0.5)/life_fac</f>
        <v>3.9814208</v>
      </c>
      <c r="H11705" s="6" t="n">
        <f aca="false">(Sens!C11700*IF(5&lt;life_fac,1,IF(5=life_fac,0.5,0))+Sens!D11700*IF(4&lt;life_fac,1,IF(4=life_fac,0.5,0))+Sens!E11700*IF(3&lt;life_fac,1,IF(3=life_fac,0.5,0))+Sens!F11700*IF(2&lt;life_fac,1,IF(2=life_fac,0.5,0))+Sens!G11700*IF(1&lt;life_fac,1,IF(1=life_fac,0.5,0))+Sens!H11700*0.5)/life_fac</f>
        <v>5.582402</v>
      </c>
      <c r="I11705" s="6" t="n">
        <f aca="false">(Sens!C11700*IF(6&lt;life_fac,1,IF(6=life_fac,0.5,0))+Sens!D11700*IF(5&lt;life_fac,1,IF(5=life_fac,0.5,0))+Sens!E11700*IF(4&lt;life_fac,1,IF(4=life_fac,0.5,0))+Sens!F11700*IF(3&lt;life_fac,1,IF(3=life_fac,0.5,0))+Sens!G11700*IF(2&lt;life_fac,1,IF(2=life_fac,0.5,0))+Sens!H11700*IF(1&lt;life_fac,1,IF(1=life_fac,0.5,0))+Sens!I11700*0.5)/life_fac</f>
        <v>6.950862093</v>
      </c>
      <c r="J11705" s="6" t="n">
        <f aca="false">(Sens!C11700*IF(7&lt;life_fac,1,IF(7=life_fac,0.5,0))+Sens!D11700*IF(6&lt;life_fac,1,IF(6=life_fac,0.5,0))+Sens!E11700*IF(5&lt;life_fac,1,IF(5=life_fac,0.5,0))+Sens!F11700*IF(4&lt;life_fac,1,IF(4=life_fac,0.5,0))+Sens!G11700*IF(3&lt;life_fac,1,IF(3=life_fac,0.5,0))+Sens!H11700*IF(2&lt;life_fac,1,IF(2=life_fac,0.5,0))+Sens!I11700*IF(1&lt;life_fac,1,IF(1=life_fac,0.5,0))+Sens!J11700*0.5)/life_fac</f>
        <v>7.854279972</v>
      </c>
      <c r="K11705" s="6" t="n">
        <f aca="false">(Sens!C11700*IF(8&lt;life_fac,1,IF(8=life_fac,0.5,0))+Sens!D11700*IF(7&lt;life_fac,1,IF(7=life_fac,0.5,0))+Sens!E11700*IF(6&lt;life_fac,1,IF(6=life_fac,0.5,0))+Sens!F11700*IF(5&lt;life_fac,1,IF(5=life_fac,0.5,0))+Sens!G11700*IF(4&lt;life_fac,1,IF(4=life_fac,0.5,0))+Sens!H11700*IF(3&lt;life_fac,1,IF(3=life_fac,0.5,0))+Sens!I11700*IF(2&lt;life_fac,1,IF(2=life_fac,0.5,0))+Sens!J11700*IF(1&lt;life_fac,1,IF(1=life_fac,0.5,0))+Sens!K11700*0.5)/life_fac</f>
        <v>8.292655637</v>
      </c>
    </row>
    <row r="11706" customFormat="false" ht="17.15" hidden="false" customHeight="false" outlineLevel="0" collapsed="false">
      <c r="A11706" s="0" t="s">
        <v>844</v>
      </c>
      <c r="B11706" s="0" t="s">
        <v>98</v>
      </c>
      <c r="E11706" s="6" t="n">
        <f aca="false">Sens!E11704+Sens!E11705</f>
        <v>16.3054059770833</v>
      </c>
      <c r="F11706" s="6" t="n">
        <f aca="false">Sens!F11704+Sens!F11705</f>
        <v>34.7405354558698</v>
      </c>
      <c r="G11706" s="6" t="n">
        <f aca="false">Sens!G11704+Sens!G11705</f>
        <v>60.5067332603396</v>
      </c>
      <c r="H11706" s="6" t="n">
        <f aca="false">Sens!H11704+Sens!H11705</f>
        <v>87.7423159931396</v>
      </c>
      <c r="I11706" s="6" t="n">
        <f aca="false">Sens!I11704+Sens!I11705</f>
        <v>111.987039982221</v>
      </c>
      <c r="J11706" s="6" t="n">
        <f aca="false">Sens!J11704+Sens!J11705</f>
        <v>129.183710922666</v>
      </c>
      <c r="K11706" s="6" t="n">
        <f aca="false">Sens!K11704+Sens!K11705</f>
        <v>139.647646804474</v>
      </c>
    </row>
    <row r="11707" customFormat="false" ht="17.15" hidden="false" customHeight="false" outlineLevel="0" collapsed="false">
      <c r="A11707" s="0" t="s">
        <v>845</v>
      </c>
      <c r="B11707" s="0" t="s">
        <v>98</v>
      </c>
      <c r="E11707" s="6" t="n">
        <f aca="false">Sens!E11695-Sens!E11694*Sens!E11706</f>
        <v>8.92707889977379</v>
      </c>
      <c r="F11707" s="6" t="n">
        <f aca="false">Sens!F11695-Sens!F11694*Sens!F11706</f>
        <v>18.615119475672</v>
      </c>
      <c r="G11707" s="6" t="n">
        <f aca="false">Sens!G11695-Sens!G11694*Sens!G11706</f>
        <v>30.2487146016024</v>
      </c>
      <c r="H11707" s="6" t="n">
        <f aca="false">Sens!H11695-Sens!H11694*Sens!H11706</f>
        <v>42.5742553879752</v>
      </c>
      <c r="I11707" s="6" t="n">
        <f aca="false">Sens!I11695-Sens!I11694*Sens!I11706</f>
        <v>53.5303670284555</v>
      </c>
      <c r="J11707" s="6" t="n">
        <f aca="false">Sens!J11695-Sens!J11694*Sens!J11706</f>
        <v>61.1267039656484</v>
      </c>
      <c r="K11707" s="6" t="n">
        <f aca="false">Sens!K11695-Sens!K11694*Sens!K11706</f>
        <v>66.3462495357137</v>
      </c>
    </row>
    <row r="11708" customFormat="false" ht="17.15" hidden="false" customHeight="false" outlineLevel="0" collapsed="false">
      <c r="A11708" s="3" t="s">
        <v>1540</v>
      </c>
    </row>
    <row r="11709" customFormat="false" ht="15" hidden="false" customHeight="false" outlineLevel="0" collapsed="false">
      <c r="A11709" s="4" t="s">
        <v>43</v>
      </c>
      <c r="B11709" s="4" t="s">
        <v>65</v>
      </c>
      <c r="C11709" s="20" t="s">
        <v>788</v>
      </c>
      <c r="D11709" s="20" t="s">
        <v>789</v>
      </c>
      <c r="E11709" s="20" t="s">
        <v>790</v>
      </c>
      <c r="F11709" s="20" t="s">
        <v>791</v>
      </c>
      <c r="G11709" s="20" t="s">
        <v>792</v>
      </c>
      <c r="H11709" s="20" t="s">
        <v>793</v>
      </c>
      <c r="I11709" s="20" t="s">
        <v>794</v>
      </c>
      <c r="J11709" s="20" t="s">
        <v>795</v>
      </c>
      <c r="K11709" s="20" t="s">
        <v>796</v>
      </c>
      <c r="L11709" s="4" t="s">
        <v>47</v>
      </c>
    </row>
    <row r="11710" customFormat="false" ht="17.15" hidden="false" customHeight="false" outlineLevel="0" collapsed="false">
      <c r="A11710" s="0" t="s">
        <v>864</v>
      </c>
      <c r="B11710" s="0" t="s">
        <v>98</v>
      </c>
      <c r="D11710" s="6" t="n">
        <f aca="false">Sens!D11689</f>
        <v>12.9359794422418</v>
      </c>
      <c r="E11710" s="6" t="n">
        <f aca="false">Sens!E11689</f>
        <v>27.8095064661409</v>
      </c>
      <c r="F11710" s="6" t="n">
        <f aca="false">Sens!F11689</f>
        <v>55.0640065749585</v>
      </c>
      <c r="G11710" s="6" t="n">
        <f aca="false">Sens!G11689</f>
        <v>89.4505413190538</v>
      </c>
      <c r="H11710" s="6" t="n">
        <f aca="false">Sens!H11689</f>
        <v>124.835630736874</v>
      </c>
      <c r="I11710" s="6" t="n">
        <f aca="false">Sens!I11689</f>
        <v>156.158460265485</v>
      </c>
      <c r="J11710" s="6" t="n">
        <f aca="false">Sens!J11689</f>
        <v>177.99455972577</v>
      </c>
      <c r="K11710" s="6" t="n">
        <f aca="false">Sens!K11689</f>
        <v>191.597101773408</v>
      </c>
    </row>
    <row r="11711" customFormat="false" ht="17.15" hidden="false" customHeight="false" outlineLevel="0" collapsed="false">
      <c r="A11711" s="0" t="s">
        <v>865</v>
      </c>
      <c r="B11711" s="0" t="s">
        <v>98</v>
      </c>
      <c r="D11711" s="6" t="n">
        <f aca="false">Q!L6-Sens!D11710</f>
        <v>59.6740205577583</v>
      </c>
      <c r="E11711" s="6" t="n">
        <f aca="false">Q!M6-Sens!E11710</f>
        <v>74.1284935338591</v>
      </c>
      <c r="F11711" s="6" t="n">
        <f aca="false">Sens!E11711*(1+Sens!F11712)</f>
        <v>90.0799497373663</v>
      </c>
      <c r="G11711" s="6" t="n">
        <f aca="false">Sens!F11711*(1+Sens!G11712)</f>
        <v>107.02842520331</v>
      </c>
      <c r="H11711" s="6" t="n">
        <f aca="false">Sens!G11711*(1+Sens!H11712)</f>
        <v>124.271982585636</v>
      </c>
      <c r="I11711" s="6" t="n">
        <f aca="false">Sens!H11711*(1+Sens!I11712)</f>
        <v>140.933702381855</v>
      </c>
      <c r="J11711" s="6" t="n">
        <f aca="false">Sens!I11711*(1+Sens!J11712)</f>
        <v>156.018867314332</v>
      </c>
      <c r="K11711" s="6" t="n">
        <f aca="false">Sens!J11711*(1+Sens!K11712)</f>
        <v>168.500376699478</v>
      </c>
    </row>
    <row r="11712" customFormat="false" ht="15" hidden="false" customHeight="false" outlineLevel="0" collapsed="false">
      <c r="A11712" s="1" t="s">
        <v>866</v>
      </c>
      <c r="B11712" s="0" t="s">
        <v>129</v>
      </c>
      <c r="E11712" s="7" t="n">
        <f aca="false">Sens!E11711/Sens!D11711-1</f>
        <v>0.242223883039864</v>
      </c>
      <c r="F11712" s="7" t="n">
        <f aca="false">Sens!$E$11712+(glt_azo-Sens!$E$11712)*MIN(1,(Sens!F11672-base_fy)/n_conv)</f>
        <v>0.215186569199887</v>
      </c>
      <c r="G11712" s="7" t="n">
        <f aca="false">Sens!$E$11712+(glt_azo-Sens!$E$11712)*MIN(1,(Sens!G11672-base_fy)/n_conv)</f>
        <v>0.18814925535991</v>
      </c>
      <c r="H11712" s="7" t="n">
        <f aca="false">Sens!$E$11712+(glt_azo-Sens!$E$11712)*MIN(1,(Sens!H11672-base_fy)/n_conv)</f>
        <v>0.161111941519932</v>
      </c>
      <c r="I11712" s="7" t="n">
        <f aca="false">Sens!$E$11712+(glt_azo-Sens!$E$11712)*MIN(1,(Sens!I11672-base_fy)/n_conv)</f>
        <v>0.134074627679955</v>
      </c>
      <c r="J11712" s="7" t="n">
        <f aca="false">Sens!$E$11712+(glt_azo-Sens!$E$11712)*MIN(1,(Sens!J11672-base_fy)/n_conv)</f>
        <v>0.107037313839977</v>
      </c>
      <c r="K11712" s="7" t="n">
        <f aca="false">Sens!$E$11712+(glt_azo-Sens!$E$11712)*MIN(1,(Sens!K11672-base_fy)/n_conv)</f>
        <v>0.08</v>
      </c>
    </row>
    <row r="11713" customFormat="false" ht="15" hidden="false" customHeight="false" outlineLevel="0" collapsed="false">
      <c r="A11713" s="0" t="s">
        <v>867</v>
      </c>
      <c r="B11713" s="0" t="s">
        <v>98</v>
      </c>
      <c r="D11713" s="6" t="n">
        <f aca="false">Sens!D11710+Sens!D11711</f>
        <v>72.61</v>
      </c>
      <c r="E11713" s="6" t="n">
        <f aca="false">Sens!E11710+Sens!E11711</f>
        <v>101.938</v>
      </c>
      <c r="F11713" s="6" t="n">
        <f aca="false">Sens!F11710+Sens!F11711</f>
        <v>145.143956312325</v>
      </c>
      <c r="G11713" s="6" t="n">
        <f aca="false">Sens!G11710+Sens!G11711</f>
        <v>196.478966522364</v>
      </c>
      <c r="H11713" s="6" t="n">
        <f aca="false">Sens!H11710+Sens!H11711</f>
        <v>249.10761332251</v>
      </c>
      <c r="I11713" s="6" t="n">
        <f aca="false">Sens!I11710+Sens!I11711</f>
        <v>297.09216264734</v>
      </c>
      <c r="J11713" s="6" t="n">
        <f aca="false">Sens!J11710+Sens!J11711</f>
        <v>334.013427040101</v>
      </c>
      <c r="K11713" s="6" t="n">
        <f aca="false">Sens!K11710+Sens!K11711</f>
        <v>360.097478472886</v>
      </c>
    </row>
    <row r="11714" customFormat="false" ht="17.15" hidden="false" customHeight="false" outlineLevel="0" collapsed="false">
      <c r="A11714" s="0" t="s">
        <v>868</v>
      </c>
      <c r="B11714" s="1" t="s">
        <v>521</v>
      </c>
      <c r="C11714" s="29" t="n">
        <f aca="false">cop_s24</f>
        <v>1</v>
      </c>
      <c r="D11714" s="29" t="n">
        <f aca="false">cop_s25</f>
        <v>5</v>
      </c>
      <c r="E11714" s="29" t="n">
        <f aca="false">cop_s26</f>
        <v>30</v>
      </c>
      <c r="F11714" s="29" t="n">
        <f aca="false">Sens!E11714+cop_add_B</f>
        <v>50</v>
      </c>
      <c r="G11714" s="29" t="n">
        <f aca="false">Sens!F11714+cop_add_B</f>
        <v>70</v>
      </c>
      <c r="H11714" s="29" t="n">
        <f aca="false">Sens!G11714+cop_add_B</f>
        <v>90</v>
      </c>
      <c r="I11714" s="29" t="n">
        <f aca="false">Sens!H11714+cop_add_B*cop_tail</f>
        <v>100</v>
      </c>
      <c r="J11714" s="29" t="n">
        <f aca="false">Sens!I11714+cop_add_B*cop_tail</f>
        <v>110</v>
      </c>
      <c r="K11714" s="29" t="n">
        <f aca="false">Sens!J11714+cop_add_B*cop_tail</f>
        <v>120</v>
      </c>
      <c r="L11714" s="11" t="s">
        <v>869</v>
      </c>
    </row>
    <row r="11715" customFormat="false" ht="17.15" hidden="false" customHeight="false" outlineLevel="0" collapsed="false">
      <c r="A11715" s="0" t="s">
        <v>870</v>
      </c>
      <c r="B11715" s="0" t="s">
        <v>98</v>
      </c>
      <c r="D11715" s="6" t="n">
        <f aca="false">(Sens!C11714+Sens!D11714)/2*cop_px*12/1000</f>
        <v>0.9</v>
      </c>
      <c r="E11715" s="6" t="n">
        <f aca="false">(Sens!D11714+Sens!E11714)/2*cop_px*12/1000</f>
        <v>5.25</v>
      </c>
      <c r="F11715" s="6" t="n">
        <f aca="false">(Sens!E11714+Sens!F11714)/2*cop_px*12/1000</f>
        <v>12</v>
      </c>
      <c r="G11715" s="6" t="n">
        <f aca="false">(Sens!F11714+Sens!G11714)/2*cop_px*12/1000</f>
        <v>18</v>
      </c>
      <c r="H11715" s="6" t="n">
        <f aca="false">(Sens!G11714+Sens!H11714)/2*cop_px*12/1000</f>
        <v>24</v>
      </c>
      <c r="I11715" s="6" t="n">
        <f aca="false">(Sens!H11714+Sens!I11714)/2*cop_px*12/1000</f>
        <v>28.5</v>
      </c>
      <c r="J11715" s="6" t="n">
        <f aca="false">(Sens!I11714+Sens!J11714)/2*cop_px*12/1000</f>
        <v>31.5</v>
      </c>
      <c r="K11715" s="6" t="n">
        <f aca="false">(Sens!J11714+Sens!K11714)/2*cop_px*12/1000</f>
        <v>34.5</v>
      </c>
      <c r="L11715" s="1" t="s">
        <v>871</v>
      </c>
    </row>
    <row r="11716" customFormat="false" ht="17.15" hidden="false" customHeight="false" outlineLevel="0" collapsed="false">
      <c r="A11716" s="0" t="s">
        <v>872</v>
      </c>
      <c r="B11716" s="0" t="s">
        <v>98</v>
      </c>
      <c r="D11716" s="6" t="n">
        <f aca="false">Q!L7-Sens!D11715</f>
        <v>83.705</v>
      </c>
      <c r="E11716" s="6" t="n">
        <f aca="false">Q!M7-Sens!E11715</f>
        <v>95.049</v>
      </c>
      <c r="F11716" s="6" t="n">
        <f aca="false">Sens!E11716*(1+Sens!F11717)</f>
        <v>106.89238776686</v>
      </c>
      <c r="G11716" s="6" t="n">
        <f aca="false">Sens!F11716*(1+Sens!G11717)</f>
        <v>119.044168448684</v>
      </c>
      <c r="H11716" s="6" t="n">
        <f aca="false">Sens!G11716*(1+Sens!H11717)</f>
        <v>131.277359388781</v>
      </c>
      <c r="I11716" s="6" t="n">
        <f aca="false">Sens!H11716*(1+Sens!I11717)</f>
        <v>143.334028071957</v>
      </c>
      <c r="J11716" s="6" t="n">
        <f aca="false">Sens!I11716*(1+Sens!J11717)</f>
        <v>154.932702785465</v>
      </c>
      <c r="K11716" s="6" t="n">
        <f aca="false">Sens!J11716*(1+Sens!K11717)</f>
        <v>165.777991980448</v>
      </c>
    </row>
    <row r="11717" customFormat="false" ht="15" hidden="false" customHeight="false" outlineLevel="0" collapsed="false">
      <c r="A11717" s="1" t="s">
        <v>866</v>
      </c>
      <c r="B11717" s="0" t="s">
        <v>129</v>
      </c>
      <c r="E11717" s="7" t="n">
        <f aca="false">Sens!E11716/Sens!D11716-1</f>
        <v>0.135523564900544</v>
      </c>
      <c r="F11717" s="7" t="n">
        <f aca="false">Sens!$E$11717+(glt_m365b-Sens!$E$11717)*MIN(1,(Sens!F11672-base_fy)/n_conv)</f>
        <v>0.124602970750453</v>
      </c>
      <c r="G11717" s="7" t="n">
        <f aca="false">Sens!$E$11717+(glt_m365b-Sens!$E$11717)*MIN(1,(Sens!G11672-base_fy)/n_conv)</f>
        <v>0.113682376600363</v>
      </c>
      <c r="H11717" s="7" t="n">
        <f aca="false">Sens!$E$11717+(glt_m365b-Sens!$E$11717)*MIN(1,(Sens!H11672-base_fy)/n_conv)</f>
        <v>0.102761782450272</v>
      </c>
      <c r="I11717" s="7" t="n">
        <f aca="false">Sens!$E$11717+(glt_m365b-Sens!$E$11717)*MIN(1,(Sens!I11672-base_fy)/n_conv)</f>
        <v>0.0918411883001813</v>
      </c>
      <c r="J11717" s="7" t="n">
        <f aca="false">Sens!$E$11717+(glt_m365b-Sens!$E$11717)*MIN(1,(Sens!J11672-base_fy)/n_conv)</f>
        <v>0.0809205941500906</v>
      </c>
      <c r="K11717" s="7" t="n">
        <f aca="false">Sens!$E$11717+(glt_m365b-Sens!$E$11717)*MIN(1,(Sens!K11672-base_fy)/n_conv)</f>
        <v>0.07</v>
      </c>
    </row>
    <row r="11718" customFormat="false" ht="15" hidden="false" customHeight="false" outlineLevel="0" collapsed="false">
      <c r="A11718" s="0" t="s">
        <v>873</v>
      </c>
      <c r="B11718" s="0" t="s">
        <v>98</v>
      </c>
      <c r="D11718" s="6" t="n">
        <f aca="false">Sens!D11716+Sens!D11715</f>
        <v>84.605</v>
      </c>
      <c r="E11718" s="6" t="n">
        <f aca="false">Sens!E11716+Sens!E11715</f>
        <v>100.299</v>
      </c>
      <c r="F11718" s="6" t="n">
        <f aca="false">Sens!F11716+Sens!F11715</f>
        <v>118.89238776686</v>
      </c>
      <c r="G11718" s="6" t="n">
        <f aca="false">Sens!G11716+Sens!G11715</f>
        <v>137.044168448684</v>
      </c>
      <c r="H11718" s="6" t="n">
        <f aca="false">Sens!H11716+Sens!H11715</f>
        <v>155.277359388781</v>
      </c>
      <c r="I11718" s="6" t="n">
        <f aca="false">Sens!I11716+Sens!I11715</f>
        <v>171.834028071957</v>
      </c>
      <c r="J11718" s="6" t="n">
        <f aca="false">Sens!J11716+Sens!J11715</f>
        <v>186.432702785465</v>
      </c>
      <c r="K11718" s="6" t="n">
        <f aca="false">Sens!K11716+Sens!K11715</f>
        <v>200.277991980448</v>
      </c>
    </row>
    <row r="11719" customFormat="false" ht="15" hidden="false" customHeight="false" outlineLevel="0" collapsed="false">
      <c r="A11719" s="0" t="s">
        <v>874</v>
      </c>
      <c r="B11719" s="0" t="s">
        <v>98</v>
      </c>
      <c r="D11719" s="6" t="n">
        <f aca="false">Q!L8</f>
        <v>35.391</v>
      </c>
      <c r="E11719" s="6" t="n">
        <f aca="false">Q!M8</f>
        <v>37.285</v>
      </c>
      <c r="F11719" s="6" t="n">
        <f aca="false">Sens!E11719*(1+Sens!F11720)</f>
        <v>39.0720834331704</v>
      </c>
      <c r="G11719" s="6" t="n">
        <f aca="false">Sens!F11719*(1+Sens!G11720)</f>
        <v>40.726562953769</v>
      </c>
      <c r="H11719" s="6" t="n">
        <f aca="false">Sens!G11719*(1+Sens!H11720)</f>
        <v>42.2235987259198</v>
      </c>
      <c r="I11719" s="6" t="n">
        <f aca="false">Sens!H11719*(1+Sens!I11720)</f>
        <v>43.5397988077414</v>
      </c>
      <c r="J11719" s="6" t="n">
        <f aca="false">Sens!I11719*(1+Sens!J11720)</f>
        <v>44.653811225693</v>
      </c>
      <c r="K11719" s="6" t="n">
        <f aca="false">Sens!J11719*(1+Sens!K11720)</f>
        <v>45.5468874502068</v>
      </c>
    </row>
    <row r="11720" customFormat="false" ht="15" hidden="false" customHeight="false" outlineLevel="0" collapsed="false">
      <c r="A11720" s="1" t="s">
        <v>866</v>
      </c>
      <c r="B11720" s="0" t="s">
        <v>129</v>
      </c>
      <c r="E11720" s="7" t="n">
        <f aca="false">Sens!E11719/Sens!D11719-1</f>
        <v>0.0535164307309768</v>
      </c>
      <c r="F11720" s="7" t="n">
        <f aca="false">Sens!$E$11720+(glt_lic-Sens!$E$11720)*MIN(1,(Sens!F11672-base_fy)/n_conv)</f>
        <v>0.0479303589424807</v>
      </c>
      <c r="G11720" s="7" t="n">
        <f aca="false">Sens!$E$11720+(glt_lic-Sens!$E$11720)*MIN(1,(Sens!G11672-base_fy)/n_conv)</f>
        <v>0.0423442871539845</v>
      </c>
      <c r="H11720" s="7" t="n">
        <f aca="false">Sens!$E$11720+(glt_lic-Sens!$E$11720)*MIN(1,(Sens!H11672-base_fy)/n_conv)</f>
        <v>0.0367582153654884</v>
      </c>
      <c r="I11720" s="7" t="n">
        <f aca="false">Sens!$E$11720+(glt_lic-Sens!$E$11720)*MIN(1,(Sens!I11672-base_fy)/n_conv)</f>
        <v>0.0311721435769923</v>
      </c>
      <c r="J11720" s="7" t="n">
        <f aca="false">Sens!$E$11720+(glt_lic-Sens!$E$11720)*MIN(1,(Sens!J11672-base_fy)/n_conv)</f>
        <v>0.0255860717884961</v>
      </c>
      <c r="K11720" s="7" t="n">
        <f aca="false">Sens!$E$11720+(glt_lic-Sens!$E$11720)*MIN(1,(Sens!K11672-base_fy)/n_conv)</f>
        <v>0.02</v>
      </c>
    </row>
    <row r="11721" customFormat="false" ht="15" hidden="false" customHeight="false" outlineLevel="0" collapsed="false">
      <c r="A11721" s="0" t="s">
        <v>875</v>
      </c>
      <c r="B11721" s="0" t="s">
        <v>98</v>
      </c>
      <c r="D11721" s="6" t="n">
        <f aca="false">Q!L9</f>
        <v>18.417</v>
      </c>
      <c r="E11721" s="6" t="n">
        <f aca="false">Q!M9</f>
        <v>20.345</v>
      </c>
      <c r="F11721" s="6" t="n">
        <f aca="false">Sens!E11721*(1+Sens!F11722)</f>
        <v>22.3572203267814</v>
      </c>
      <c r="G11721" s="6" t="n">
        <f aca="false">Sens!F11721*(1+Sens!G11722)</f>
        <v>24.4392124437232</v>
      </c>
      <c r="H11721" s="6" t="n">
        <f aca="false">Sens!G11721*(1+Sens!H11722)</f>
        <v>26.5738052080665</v>
      </c>
      <c r="I11721" s="6" t="n">
        <f aca="false">Sens!H11721*(1+Sens!I11722)</f>
        <v>28.7412169166967</v>
      </c>
      <c r="J11721" s="6" t="n">
        <f aca="false">Sens!I11721*(1+Sens!J11722)</f>
        <v>30.9192545395413</v>
      </c>
      <c r="K11721" s="6" t="n">
        <f aca="false">Sens!J11721*(1+Sens!K11722)</f>
        <v>33.0836023573092</v>
      </c>
    </row>
    <row r="11722" customFormat="false" ht="15" hidden="false" customHeight="false" outlineLevel="0" collapsed="false">
      <c r="A11722" s="1" t="s">
        <v>866</v>
      </c>
      <c r="B11722" s="0" t="s">
        <v>129</v>
      </c>
      <c r="E11722" s="7" t="n">
        <f aca="false">Sens!E11721/Sens!D11721-1</f>
        <v>0.104685888038225</v>
      </c>
      <c r="F11722" s="7" t="n">
        <f aca="false">Sens!$E$11722+(glt_ind-Sens!$E$11722)*MIN(1,(Sens!F11672-base_fy)/n_conv)</f>
        <v>0.0989049066985211</v>
      </c>
      <c r="G11722" s="7" t="n">
        <f aca="false">Sens!$E$11722+(glt_ind-Sens!$E$11722)*MIN(1,(Sens!G11672-base_fy)/n_conv)</f>
        <v>0.0931239253588169</v>
      </c>
      <c r="H11722" s="7" t="n">
        <f aca="false">Sens!$E$11722+(glt_ind-Sens!$E$11722)*MIN(1,(Sens!H11672-base_fy)/n_conv)</f>
        <v>0.0873429440191127</v>
      </c>
      <c r="I11722" s="7" t="n">
        <f aca="false">Sens!$E$11722+(glt_ind-Sens!$E$11722)*MIN(1,(Sens!I11672-base_fy)/n_conv)</f>
        <v>0.0815619626794085</v>
      </c>
      <c r="J11722" s="7" t="n">
        <f aca="false">Sens!$E$11722+(glt_ind-Sens!$E$11722)*MIN(1,(Sens!J11672-base_fy)/n_conv)</f>
        <v>0.0757809813397042</v>
      </c>
      <c r="K11722" s="7" t="n">
        <f aca="false">Sens!$E$11722+(glt_ind-Sens!$E$11722)*MIN(1,(Sens!K11672-base_fy)/n_conv)</f>
        <v>0.07</v>
      </c>
    </row>
    <row r="11723" customFormat="false" ht="15" hidden="false" customHeight="false" outlineLevel="0" collapsed="false">
      <c r="A11723" s="0" t="s">
        <v>876</v>
      </c>
      <c r="B11723" s="0" t="s">
        <v>98</v>
      </c>
      <c r="D11723" s="6" t="n">
        <f aca="false">Q!L10</f>
        <v>7.76</v>
      </c>
      <c r="E11723" s="6" t="n">
        <f aca="false">Q!M10</f>
        <v>8.26</v>
      </c>
      <c r="F11723" s="6" t="n">
        <f aca="false">Sens!E11723*(1+Sens!F11724)</f>
        <v>8.79988041237113</v>
      </c>
      <c r="G11723" s="6" t="n">
        <f aca="false">Sens!F11723*(1+Sens!G11724)</f>
        <v>9.38321269125306</v>
      </c>
      <c r="H11723" s="6" t="n">
        <f aca="false">Sens!G11723*(1+Sens!H11724)</f>
        <v>10.0139193587476</v>
      </c>
      <c r="I11723" s="6" t="n">
        <f aca="false">Sens!H11723*(1+Sens!I11724)</f>
        <v>10.6963111830911</v>
      </c>
      <c r="J11723" s="6" t="n">
        <f aca="false">Sens!I11723*(1+Sens!J11724)</f>
        <v>11.4351285534696</v>
      </c>
      <c r="K11723" s="6" t="n">
        <f aca="false">Sens!J11723*(1+Sens!K11724)</f>
        <v>12.2355875522124</v>
      </c>
    </row>
    <row r="11724" customFormat="false" ht="15" hidden="false" customHeight="false" outlineLevel="0" collapsed="false">
      <c r="A11724" s="1" t="s">
        <v>866</v>
      </c>
      <c r="B11724" s="0" t="s">
        <v>129</v>
      </c>
      <c r="E11724" s="7" t="n">
        <f aca="false">Sens!E11723/Sens!D11723-1</f>
        <v>0.0644329896907216</v>
      </c>
      <c r="F11724" s="7" t="n">
        <f aca="false">Sens!$E$11724+(glt_fro-Sens!$E$11724)*MIN(1,(Sens!F11672-base_fy)/n_conv)</f>
        <v>0.065360824742268</v>
      </c>
      <c r="G11724" s="7" t="n">
        <f aca="false">Sens!$E$11724+(glt_fro-Sens!$E$11724)*MIN(1,(Sens!G11672-base_fy)/n_conv)</f>
        <v>0.0662886597938144</v>
      </c>
      <c r="H11724" s="7" t="n">
        <f aca="false">Sens!$E$11724+(glt_fro-Sens!$E$11724)*MIN(1,(Sens!H11672-base_fy)/n_conv)</f>
        <v>0.0672164948453608</v>
      </c>
      <c r="I11724" s="7" t="n">
        <f aca="false">Sens!$E$11724+(glt_fro-Sens!$E$11724)*MIN(1,(Sens!I11672-base_fy)/n_conv)</f>
        <v>0.0681443298969072</v>
      </c>
      <c r="J11724" s="7" t="n">
        <f aca="false">Sens!$E$11724+(glt_fro-Sens!$E$11724)*MIN(1,(Sens!J11672-base_fy)/n_conv)</f>
        <v>0.0690721649484536</v>
      </c>
      <c r="K11724" s="7" t="n">
        <f aca="false">Sens!$E$11724+(glt_fro-Sens!$E$11724)*MIN(1,(Sens!K11672-base_fy)/n_conv)</f>
        <v>0.07</v>
      </c>
    </row>
    <row r="11725" customFormat="false" ht="15" hidden="false" customHeight="false" outlineLevel="0" collapsed="false">
      <c r="A11725" s="0" t="s">
        <v>704</v>
      </c>
      <c r="B11725" s="0" t="s">
        <v>98</v>
      </c>
      <c r="D11725" s="6" t="n">
        <f aca="false">Sens!D11713+Sens!D11718+Sens!D11719+Sens!D11721+Sens!D11723</f>
        <v>218.783</v>
      </c>
      <c r="E11725" s="6" t="n">
        <f aca="false">Sens!E11713+Sens!E11718+Sens!E11719+Sens!E11721+Sens!E11723</f>
        <v>268.127</v>
      </c>
      <c r="F11725" s="6" t="n">
        <f aca="false">Sens!F11713+Sens!F11718+Sens!F11719+Sens!F11721+Sens!F11723</f>
        <v>334.265528251508</v>
      </c>
      <c r="G11725" s="6" t="n">
        <f aca="false">Sens!G11713+Sens!G11718+Sens!G11719+Sens!G11721+Sens!G11723</f>
        <v>408.072123059793</v>
      </c>
      <c r="H11725" s="6" t="n">
        <f aca="false">Sens!H11713+Sens!H11718+Sens!H11719+Sens!H11721+Sens!H11723</f>
        <v>483.196296004025</v>
      </c>
      <c r="I11725" s="6" t="n">
        <f aca="false">Sens!I11713+Sens!I11718+Sens!I11719+Sens!I11721+Sens!I11723</f>
        <v>551.903517626826</v>
      </c>
      <c r="J11725" s="6" t="n">
        <f aca="false">Sens!J11713+Sens!J11718+Sens!J11719+Sens!J11721+Sens!J11723</f>
        <v>607.45432414427</v>
      </c>
      <c r="K11725" s="6" t="n">
        <f aca="false">Sens!K11713+Sens!K11718+Sens!K11719+Sens!K11721+Sens!K11723</f>
        <v>651.241547813062</v>
      </c>
    </row>
    <row r="11726" customFormat="false" ht="15" hidden="false" customHeight="false" outlineLevel="0" collapsed="false">
      <c r="A11726" s="0" t="s">
        <v>877</v>
      </c>
      <c r="B11726" s="0" t="s">
        <v>98</v>
      </c>
      <c r="D11726" s="6" t="n">
        <f aca="false">Q!L13</f>
        <v>22.171</v>
      </c>
      <c r="E11726" s="6" t="n">
        <f aca="false">Q!M13</f>
        <v>24.835</v>
      </c>
      <c r="F11726" s="6" t="n">
        <f aca="false">Sens!E11726*(1+Sens!F11727)</f>
        <v>27.6114901218559</v>
      </c>
      <c r="G11726" s="6" t="n">
        <f aca="false">Sens!F11726*(1+Sens!G11727)</f>
        <v>30.4675667338515</v>
      </c>
      <c r="H11726" s="6" t="n">
        <f aca="false">Sens!G11726*(1+Sens!H11727)</f>
        <v>33.3643766955789</v>
      </c>
      <c r="I11726" s="6" t="n">
        <f aca="false">Sens!H11726*(1+Sens!I11727)</f>
        <v>36.2577016533691</v>
      </c>
      <c r="J11726" s="6" t="n">
        <f aca="false">Sens!I11726*(1+Sens!J11727)</f>
        <v>39.0988367952171</v>
      </c>
      <c r="K11726" s="6" t="n">
        <f aca="false">Sens!J11726*(1+Sens!K11727)</f>
        <v>41.8357553708823</v>
      </c>
    </row>
    <row r="11727" customFormat="false" ht="15" hidden="false" customHeight="false" outlineLevel="0" collapsed="false">
      <c r="A11727" s="1" t="s">
        <v>866</v>
      </c>
      <c r="B11727" s="0" t="s">
        <v>129</v>
      </c>
      <c r="E11727" s="7" t="n">
        <f aca="false">Sens!E11726/Sens!D11726-1</f>
        <v>0.120156961796942</v>
      </c>
      <c r="F11727" s="7" t="n">
        <f aca="false">Sens!$E$11727+(glt_srch-Sens!$E$11727)*MIN(1,(Sens!F11672-base_fy)/n_conv)</f>
        <v>0.111797468164118</v>
      </c>
      <c r="G11727" s="7" t="n">
        <f aca="false">Sens!$E$11727+(glt_srch-Sens!$E$11727)*MIN(1,(Sens!G11672-base_fy)/n_conv)</f>
        <v>0.103437974531295</v>
      </c>
      <c r="H11727" s="7" t="n">
        <f aca="false">Sens!$E$11727+(glt_srch-Sens!$E$11727)*MIN(1,(Sens!H11672-base_fy)/n_conv)</f>
        <v>0.095078480898471</v>
      </c>
      <c r="I11727" s="7" t="n">
        <f aca="false">Sens!$E$11727+(glt_srch-Sens!$E$11727)*MIN(1,(Sens!I11672-base_fy)/n_conv)</f>
        <v>0.0867189872656474</v>
      </c>
      <c r="J11727" s="7" t="n">
        <f aca="false">Sens!$E$11727+(glt_srch-Sens!$E$11727)*MIN(1,(Sens!J11672-base_fy)/n_conv)</f>
        <v>0.0783594936328237</v>
      </c>
      <c r="K11727" s="7" t="n">
        <f aca="false">Sens!$E$11727+(glt_srch-Sens!$E$11727)*MIN(1,(Sens!K11672-base_fy)/n_conv)</f>
        <v>0.07</v>
      </c>
    </row>
    <row r="11728" customFormat="false" ht="15" hidden="false" customHeight="false" outlineLevel="0" collapsed="false">
      <c r="A11728" s="0" t="s">
        <v>878</v>
      </c>
      <c r="B11728" s="0" t="s">
        <v>98</v>
      </c>
      <c r="D11728" s="6" t="n">
        <f aca="false">Q!L14</f>
        <v>23.455</v>
      </c>
      <c r="E11728" s="6" t="n">
        <f aca="false">Q!M14</f>
        <v>21.79</v>
      </c>
      <c r="F11728" s="6" t="n">
        <f aca="false">Sens!E11728*(1+Sens!F11729)</f>
        <v>20.5736277908051</v>
      </c>
      <c r="G11728" s="6" t="n">
        <f aca="false">Sens!F11728*(1+Sens!G11729)</f>
        <v>19.7371452817919</v>
      </c>
      <c r="H11728" s="6" t="n">
        <f aca="false">Sens!G11728*(1+Sens!H11729)</f>
        <v>19.2339764043138</v>
      </c>
      <c r="I11728" s="6" t="n">
        <f aca="false">Sens!H11728*(1+Sens!I11729)</f>
        <v>19.0353086852681</v>
      </c>
      <c r="J11728" s="6" t="n">
        <f aca="false">Sens!I11728*(1+Sens!J11729)</f>
        <v>19.1273539319129</v>
      </c>
      <c r="K11728" s="6" t="n">
        <f aca="false">Sens!J11728*(1+Sens!K11729)</f>
        <v>19.5099010105511</v>
      </c>
    </row>
    <row r="11729" customFormat="false" ht="15" hidden="false" customHeight="false" outlineLevel="0" collapsed="false">
      <c r="A11729" s="1" t="s">
        <v>866</v>
      </c>
      <c r="B11729" s="0" t="s">
        <v>129</v>
      </c>
      <c r="E11729" s="7" t="n">
        <f aca="false">Sens!E11728/Sens!D11728-1</f>
        <v>-0.0709869963760392</v>
      </c>
      <c r="F11729" s="7" t="n">
        <f aca="false">Sens!$E$11729+(glt_xbox-Sens!$E$11729)*MIN(1,(Sens!F11672-base_fy)/n_conv)</f>
        <v>-0.0558224969800327</v>
      </c>
      <c r="G11729" s="7" t="n">
        <f aca="false">Sens!$E$11729+(glt_xbox-Sens!$E$11729)*MIN(1,(Sens!G11672-base_fy)/n_conv)</f>
        <v>-0.0406579975840262</v>
      </c>
      <c r="H11729" s="7" t="n">
        <f aca="false">Sens!$E$11729+(glt_xbox-Sens!$E$11729)*MIN(1,(Sens!H11672-base_fy)/n_conv)</f>
        <v>-0.0254934981880196</v>
      </c>
      <c r="I11729" s="7" t="n">
        <f aca="false">Sens!$E$11729+(glt_xbox-Sens!$E$11729)*MIN(1,(Sens!I11672-base_fy)/n_conv)</f>
        <v>-0.0103289987920131</v>
      </c>
      <c r="J11729" s="7" t="n">
        <f aca="false">Sens!$E$11729+(glt_xbox-Sens!$E$11729)*MIN(1,(Sens!J11672-base_fy)/n_conv)</f>
        <v>0.00483550060399347</v>
      </c>
      <c r="K11729" s="7" t="n">
        <f aca="false">Sens!$E$11729+(glt_xbox-Sens!$E$11729)*MIN(1,(Sens!K11672-base_fy)/n_conv)</f>
        <v>0.02</v>
      </c>
    </row>
    <row r="11730" customFormat="false" ht="15" hidden="false" customHeight="false" outlineLevel="0" collapsed="false">
      <c r="A11730" s="0" t="s">
        <v>879</v>
      </c>
      <c r="B11730" s="0" t="s">
        <v>98</v>
      </c>
      <c r="D11730" s="6" t="n">
        <f aca="false">Q!L15</f>
        <v>17.315</v>
      </c>
      <c r="E11730" s="6" t="n">
        <f aca="false">Q!M15</f>
        <v>17.087</v>
      </c>
      <c r="F11730" s="6" t="n">
        <f aca="false">Sens!E11730*(1+Sens!F11731)</f>
        <v>16.9564585436519</v>
      </c>
      <c r="G11730" s="6" t="n">
        <f aca="false">Sens!F11730*(1+Sens!G11731)</f>
        <v>16.9206490624268</v>
      </c>
      <c r="H11730" s="6" t="n">
        <f aca="false">Sens!G11730*(1+Sens!H11731)</f>
        <v>16.9784519149849</v>
      </c>
      <c r="I11730" s="6" t="n">
        <f aca="false">Sens!H11730*(1+Sens!I11731)</f>
        <v>17.1303084701817</v>
      </c>
      <c r="J11730" s="6" t="n">
        <f aca="false">Sens!I11730*(1+Sens!J11731)</f>
        <v>17.3782189407267</v>
      </c>
      <c r="K11730" s="6" t="n">
        <f aca="false">Sens!J11730*(1+Sens!K11731)</f>
        <v>17.7257833195413</v>
      </c>
    </row>
    <row r="11731" customFormat="false" ht="15" hidden="false" customHeight="false" outlineLevel="0" collapsed="false">
      <c r="A11731" s="1" t="s">
        <v>866</v>
      </c>
      <c r="B11731" s="0" t="s">
        <v>129</v>
      </c>
      <c r="E11731" s="7" t="n">
        <f aca="false">Sens!E11730/Sens!D11730-1</f>
        <v>-0.0131677736066995</v>
      </c>
      <c r="F11731" s="7" t="n">
        <f aca="false">Sens!$E$11731+(glt_win-Sens!$E$11731)*MIN(1,(Sens!F11672-base_fy)/n_conv)</f>
        <v>-0.00763981133891627</v>
      </c>
      <c r="G11731" s="7" t="n">
        <f aca="false">Sens!$E$11731+(glt_win-Sens!$E$11731)*MIN(1,(Sens!G11672-base_fy)/n_conv)</f>
        <v>-0.00211184907113301</v>
      </c>
      <c r="H11731" s="7" t="n">
        <f aca="false">Sens!$E$11731+(glt_win-Sens!$E$11731)*MIN(1,(Sens!H11672-base_fy)/n_conv)</f>
        <v>0.00341611319665024</v>
      </c>
      <c r="I11731" s="7" t="n">
        <f aca="false">Sens!$E$11731+(glt_win-Sens!$E$11731)*MIN(1,(Sens!I11672-base_fy)/n_conv)</f>
        <v>0.00894407546443349</v>
      </c>
      <c r="J11731" s="7" t="n">
        <f aca="false">Sens!$E$11731+(glt_win-Sens!$E$11731)*MIN(1,(Sens!J11672-base_fy)/n_conv)</f>
        <v>0.0144720377322168</v>
      </c>
      <c r="K11731" s="7" t="n">
        <f aca="false">Sens!$E$11731+(glt_win-Sens!$E$11731)*MIN(1,(Sens!K11672-base_fy)/n_conv)</f>
        <v>0.02</v>
      </c>
    </row>
    <row r="11732" customFormat="false" ht="15" hidden="false" customHeight="false" outlineLevel="0" collapsed="false">
      <c r="A11732" s="0" t="s">
        <v>718</v>
      </c>
      <c r="B11732" s="0" t="s">
        <v>98</v>
      </c>
      <c r="D11732" s="6" t="n">
        <f aca="false">Sens!D11726+Sens!D11728+Sens!D11730</f>
        <v>62.941</v>
      </c>
      <c r="E11732" s="6" t="n">
        <f aca="false">Sens!E11726+Sens!E11728+Sens!E11730</f>
        <v>63.712</v>
      </c>
      <c r="F11732" s="6" t="n">
        <f aca="false">Sens!F11726+Sens!F11728+Sens!F11730</f>
        <v>65.1415764563129</v>
      </c>
      <c r="G11732" s="6" t="n">
        <f aca="false">Sens!G11726+Sens!G11728+Sens!G11730</f>
        <v>67.1253610780702</v>
      </c>
      <c r="H11732" s="6" t="n">
        <f aca="false">Sens!H11726+Sens!H11728+Sens!H11730</f>
        <v>69.5768050148776</v>
      </c>
      <c r="I11732" s="6" t="n">
        <f aca="false">Sens!I11726+Sens!I11728+Sens!I11730</f>
        <v>72.4233188088189</v>
      </c>
      <c r="J11732" s="6" t="n">
        <f aca="false">Sens!J11726+Sens!J11728+Sens!J11730</f>
        <v>75.6044096678567</v>
      </c>
      <c r="K11732" s="6" t="n">
        <f aca="false">Sens!K11726+Sens!K11728+Sens!K11730</f>
        <v>79.0714397009747</v>
      </c>
    </row>
    <row r="11733" customFormat="false" ht="15" hidden="false" customHeight="false" outlineLevel="0" collapsed="false">
      <c r="A11733" s="1" t="s">
        <v>880</v>
      </c>
      <c r="B11733" s="0" t="s">
        <v>98</v>
      </c>
      <c r="D11733" s="6" t="n">
        <f aca="false">Sens!D11725+Sens!D11732</f>
        <v>281.724</v>
      </c>
      <c r="E11733" s="6" t="n">
        <f aca="false">Sens!E11725+Sens!E11732</f>
        <v>331.839</v>
      </c>
      <c r="F11733" s="6" t="n">
        <f aca="false">Sens!F11725+Sens!F11732</f>
        <v>399.407104707821</v>
      </c>
      <c r="G11733" s="6" t="n">
        <f aca="false">Sens!G11725+Sens!G11732</f>
        <v>475.197484137863</v>
      </c>
      <c r="H11733" s="6" t="n">
        <f aca="false">Sens!H11725+Sens!H11732</f>
        <v>552.773101018903</v>
      </c>
      <c r="I11733" s="6" t="n">
        <f aca="false">Sens!I11725+Sens!I11732</f>
        <v>624.326836435645</v>
      </c>
      <c r="J11733" s="6" t="n">
        <f aca="false">Sens!J11725+Sens!J11732</f>
        <v>683.058733812127</v>
      </c>
      <c r="K11733" s="6" t="n">
        <f aca="false">Sens!K11725+Sens!K11732</f>
        <v>730.312987514037</v>
      </c>
    </row>
    <row r="11734" customFormat="false" ht="15" hidden="false" customHeight="false" outlineLevel="0" collapsed="false">
      <c r="A11734" s="23" t="s">
        <v>881</v>
      </c>
      <c r="B11734" s="30" t="s">
        <v>98</v>
      </c>
      <c r="C11734" s="30"/>
      <c r="D11734" s="24" t="n">
        <f aca="false">(Sens!D11713+Sens!D11718+Sens!D11719+Sens!D11721+Sens!D11723-Sens!D11725)+(Sens!D11726+Sens!D11728+Sens!D11730-Sens!D11732)+(Sens!D11725-Q!L5)+(Sens!D11732-Q!L12)+(Sens!D11713-Q!L6)+(Sens!D11718-Q!L7)</f>
        <v>0</v>
      </c>
      <c r="E11734" s="24" t="n">
        <f aca="false">(Sens!E11713+Sens!E11718+Sens!E11719+Sens!E11721+Sens!E11723-Sens!E11725)+(Sens!E11726+Sens!E11728+Sens!E11730-Sens!E11732)+(Sens!E11725-Q!M5)+(Sens!E11732-Q!M12)+(Sens!E11713-Q!M6)+(Sens!E11718-Q!M7)</f>
        <v>0</v>
      </c>
      <c r="F11734" s="24" t="n">
        <f aca="false">(Sens!F11713+Sens!F11718+Sens!F11719+Sens!F11721+Sens!F11723-Sens!F11725)+(Sens!F11726+Sens!F11728+Sens!F11730-Sens!F11732)</f>
        <v>0</v>
      </c>
      <c r="G11734" s="24" t="n">
        <f aca="false">(Sens!G11713+Sens!G11718+Sens!G11719+Sens!G11721+Sens!G11723-Sens!G11725)+(Sens!G11726+Sens!G11728+Sens!G11730-Sens!G11732)</f>
        <v>0</v>
      </c>
      <c r="H11734" s="24" t="n">
        <f aca="false">(Sens!H11713+Sens!H11718+Sens!H11719+Sens!H11721+Sens!H11723-Sens!H11725)+(Sens!H11726+Sens!H11728+Sens!H11730-Sens!H11732)</f>
        <v>0</v>
      </c>
      <c r="I11734" s="24" t="n">
        <f aca="false">(Sens!I11713+Sens!I11718+Sens!I11719+Sens!I11721+Sens!I11723-Sens!I11725)+(Sens!I11726+Sens!I11728+Sens!I11730-Sens!I11732)</f>
        <v>0</v>
      </c>
      <c r="J11734" s="24" t="n">
        <f aca="false">(Sens!J11713+Sens!J11718+Sens!J11719+Sens!J11721+Sens!J11723-Sens!J11725)+(Sens!J11726+Sens!J11728+Sens!J11730-Sens!J11732)</f>
        <v>0</v>
      </c>
      <c r="K11734" s="24" t="n">
        <f aca="false">(Sens!K11713+Sens!K11718+Sens!K11719+Sens!K11721+Sens!K11723-Sens!K11725)+(Sens!K11726+Sens!K11728+Sens!K11730-Sens!K11732)</f>
        <v>0</v>
      </c>
    </row>
    <row r="11735" customFormat="false" ht="17.15" hidden="false" customHeight="false" outlineLevel="0" collapsed="false">
      <c r="A11735" s="3" t="s">
        <v>1541</v>
      </c>
    </row>
    <row r="11736" customFormat="false" ht="15" hidden="false" customHeight="false" outlineLevel="0" collapsed="false">
      <c r="A11736" s="4" t="s">
        <v>43</v>
      </c>
      <c r="B11736" s="4" t="s">
        <v>65</v>
      </c>
      <c r="C11736" s="20" t="s">
        <v>788</v>
      </c>
      <c r="D11736" s="20" t="s">
        <v>789</v>
      </c>
      <c r="E11736" s="20" t="s">
        <v>790</v>
      </c>
      <c r="F11736" s="20" t="s">
        <v>791</v>
      </c>
      <c r="G11736" s="20" t="s">
        <v>792</v>
      </c>
      <c r="H11736" s="20" t="s">
        <v>793</v>
      </c>
      <c r="I11736" s="20" t="s">
        <v>794</v>
      </c>
      <c r="J11736" s="20" t="s">
        <v>795</v>
      </c>
      <c r="K11736" s="20" t="s">
        <v>796</v>
      </c>
      <c r="L11736" s="4" t="s">
        <v>47</v>
      </c>
    </row>
    <row r="11737" customFormat="false" ht="15" hidden="false" customHeight="false" outlineLevel="0" collapsed="false">
      <c r="A11737" s="0" t="s">
        <v>867</v>
      </c>
      <c r="B11737" s="0" t="s">
        <v>98</v>
      </c>
      <c r="D11737" s="6" t="n">
        <f aca="false">Sens!D11713</f>
        <v>72.61</v>
      </c>
      <c r="E11737" s="6" t="n">
        <f aca="false">Sens!E11713</f>
        <v>101.938</v>
      </c>
      <c r="F11737" s="6" t="n">
        <f aca="false">Sens!F11713</f>
        <v>145.143956312325</v>
      </c>
      <c r="G11737" s="6" t="n">
        <f aca="false">Sens!G11713</f>
        <v>196.478966522364</v>
      </c>
      <c r="H11737" s="6" t="n">
        <f aca="false">Sens!H11713</f>
        <v>249.10761332251</v>
      </c>
      <c r="I11737" s="6" t="n">
        <f aca="false">Sens!I11713</f>
        <v>297.09216264734</v>
      </c>
      <c r="J11737" s="6" t="n">
        <f aca="false">Sens!J11713</f>
        <v>334.013427040101</v>
      </c>
      <c r="K11737" s="6" t="n">
        <f aca="false">Sens!K11713</f>
        <v>360.097478472886</v>
      </c>
    </row>
    <row r="11738" customFormat="false" ht="17.15" hidden="false" customHeight="false" outlineLevel="0" collapsed="false">
      <c r="A11738" s="0" t="s">
        <v>864</v>
      </c>
      <c r="B11738" s="0" t="s">
        <v>98</v>
      </c>
      <c r="D11738" s="6" t="n">
        <f aca="false">Sens!D11710</f>
        <v>12.9359794422418</v>
      </c>
      <c r="E11738" s="6" t="n">
        <f aca="false">Sens!E11710</f>
        <v>27.8095064661409</v>
      </c>
      <c r="F11738" s="6" t="n">
        <f aca="false">Sens!F11710</f>
        <v>55.0640065749585</v>
      </c>
      <c r="G11738" s="6" t="n">
        <f aca="false">Sens!G11710</f>
        <v>89.4505413190538</v>
      </c>
      <c r="H11738" s="6" t="n">
        <f aca="false">Sens!H11710</f>
        <v>124.835630736874</v>
      </c>
      <c r="I11738" s="6" t="n">
        <f aca="false">Sens!I11710</f>
        <v>156.158460265485</v>
      </c>
      <c r="J11738" s="6" t="n">
        <f aca="false">Sens!J11710</f>
        <v>177.99455972577</v>
      </c>
      <c r="K11738" s="6" t="n">
        <f aca="false">Sens!K11710</f>
        <v>191.597101773408</v>
      </c>
    </row>
    <row r="11739" customFormat="false" ht="17.15" hidden="false" customHeight="false" outlineLevel="0" collapsed="false">
      <c r="A11739" s="0" t="s">
        <v>892</v>
      </c>
      <c r="B11739" s="0" t="s">
        <v>98</v>
      </c>
      <c r="D11739" s="6" t="n">
        <f aca="false">Sens!D11711</f>
        <v>59.6740205577583</v>
      </c>
      <c r="E11739" s="6" t="n">
        <f aca="false">Sens!E11711</f>
        <v>74.1284935338591</v>
      </c>
      <c r="F11739" s="6" t="n">
        <f aca="false">Sens!F11711</f>
        <v>90.0799497373663</v>
      </c>
      <c r="G11739" s="6" t="n">
        <f aca="false">Sens!G11711</f>
        <v>107.02842520331</v>
      </c>
      <c r="H11739" s="6" t="n">
        <f aca="false">Sens!H11711</f>
        <v>124.271982585636</v>
      </c>
      <c r="I11739" s="6" t="n">
        <f aca="false">Sens!I11711</f>
        <v>140.933702381855</v>
      </c>
      <c r="J11739" s="6" t="n">
        <f aca="false">Sens!J11711</f>
        <v>156.018867314332</v>
      </c>
      <c r="K11739" s="6" t="n">
        <f aca="false">Sens!K11711</f>
        <v>168.500376699478</v>
      </c>
    </row>
    <row r="11740" customFormat="false" ht="15" hidden="false" customHeight="false" outlineLevel="0" collapsed="false">
      <c r="A11740" s="0" t="s">
        <v>873</v>
      </c>
      <c r="B11740" s="0" t="s">
        <v>98</v>
      </c>
      <c r="D11740" s="6" t="n">
        <f aca="false">Sens!D11718</f>
        <v>84.605</v>
      </c>
      <c r="E11740" s="6" t="n">
        <f aca="false">Sens!E11718</f>
        <v>100.299</v>
      </c>
      <c r="F11740" s="6" t="n">
        <f aca="false">Sens!F11718</f>
        <v>118.89238776686</v>
      </c>
      <c r="G11740" s="6" t="n">
        <f aca="false">Sens!G11718</f>
        <v>137.044168448684</v>
      </c>
      <c r="H11740" s="6" t="n">
        <f aca="false">Sens!H11718</f>
        <v>155.277359388781</v>
      </c>
      <c r="I11740" s="6" t="n">
        <f aca="false">Sens!I11718</f>
        <v>171.834028071957</v>
      </c>
      <c r="J11740" s="6" t="n">
        <f aca="false">Sens!J11718</f>
        <v>186.432702785465</v>
      </c>
      <c r="K11740" s="6" t="n">
        <f aca="false">Sens!K11718</f>
        <v>200.277991980448</v>
      </c>
    </row>
    <row r="11741" customFormat="false" ht="17.15" hidden="false" customHeight="false" outlineLevel="0" collapsed="false">
      <c r="A11741" s="0" t="s">
        <v>893</v>
      </c>
      <c r="B11741" s="0" t="s">
        <v>98</v>
      </c>
      <c r="D11741" s="6" t="n">
        <f aca="false">Sens!D11716</f>
        <v>83.705</v>
      </c>
      <c r="E11741" s="6" t="n">
        <f aca="false">Sens!E11716</f>
        <v>95.049</v>
      </c>
      <c r="F11741" s="6" t="n">
        <f aca="false">Sens!F11716</f>
        <v>106.89238776686</v>
      </c>
      <c r="G11741" s="6" t="n">
        <f aca="false">Sens!G11716</f>
        <v>119.044168448684</v>
      </c>
      <c r="H11741" s="6" t="n">
        <f aca="false">Sens!H11716</f>
        <v>131.277359388781</v>
      </c>
      <c r="I11741" s="6" t="n">
        <f aca="false">Sens!I11716</f>
        <v>143.334028071957</v>
      </c>
      <c r="J11741" s="6" t="n">
        <f aca="false">Sens!J11716</f>
        <v>154.932702785465</v>
      </c>
      <c r="K11741" s="6" t="n">
        <f aca="false">Sens!K11716</f>
        <v>165.777991980448</v>
      </c>
    </row>
    <row r="11742" customFormat="false" ht="17.15" hidden="false" customHeight="false" outlineLevel="0" collapsed="false">
      <c r="A11742" s="0" t="s">
        <v>894</v>
      </c>
      <c r="B11742" s="0" t="s">
        <v>98</v>
      </c>
      <c r="D11742" s="6" t="n">
        <f aca="false">Sens!D11715</f>
        <v>0.9</v>
      </c>
      <c r="E11742" s="6" t="n">
        <f aca="false">Sens!E11715</f>
        <v>5.25</v>
      </c>
      <c r="F11742" s="6" t="n">
        <f aca="false">Sens!F11715</f>
        <v>12</v>
      </c>
      <c r="G11742" s="6" t="n">
        <f aca="false">Sens!G11715</f>
        <v>18</v>
      </c>
      <c r="H11742" s="6" t="n">
        <f aca="false">Sens!H11715</f>
        <v>24</v>
      </c>
      <c r="I11742" s="6" t="n">
        <f aca="false">Sens!I11715</f>
        <v>28.5</v>
      </c>
      <c r="J11742" s="6" t="n">
        <f aca="false">Sens!J11715</f>
        <v>31.5</v>
      </c>
      <c r="K11742" s="6" t="n">
        <f aca="false">Sens!K11715</f>
        <v>34.5</v>
      </c>
    </row>
    <row r="11743" customFormat="false" ht="15" hidden="false" customHeight="false" outlineLevel="0" collapsed="false">
      <c r="A11743" s="0" t="s">
        <v>874</v>
      </c>
      <c r="B11743" s="0" t="s">
        <v>98</v>
      </c>
      <c r="D11743" s="6" t="n">
        <f aca="false">Sens!D11719</f>
        <v>35.391</v>
      </c>
      <c r="E11743" s="6" t="n">
        <f aca="false">Sens!E11719</f>
        <v>37.285</v>
      </c>
      <c r="F11743" s="6" t="n">
        <f aca="false">Sens!F11719</f>
        <v>39.0720834331704</v>
      </c>
      <c r="G11743" s="6" t="n">
        <f aca="false">Sens!G11719</f>
        <v>40.726562953769</v>
      </c>
      <c r="H11743" s="6" t="n">
        <f aca="false">Sens!H11719</f>
        <v>42.2235987259198</v>
      </c>
      <c r="I11743" s="6" t="n">
        <f aca="false">Sens!I11719</f>
        <v>43.5397988077414</v>
      </c>
      <c r="J11743" s="6" t="n">
        <f aca="false">Sens!J11719</f>
        <v>44.653811225693</v>
      </c>
      <c r="K11743" s="6" t="n">
        <f aca="false">Sens!K11719</f>
        <v>45.5468874502068</v>
      </c>
    </row>
    <row r="11744" customFormat="false" ht="15" hidden="false" customHeight="false" outlineLevel="0" collapsed="false">
      <c r="A11744" s="0" t="s">
        <v>875</v>
      </c>
      <c r="B11744" s="0" t="s">
        <v>98</v>
      </c>
      <c r="D11744" s="6" t="n">
        <f aca="false">Sens!D11721</f>
        <v>18.417</v>
      </c>
      <c r="E11744" s="6" t="n">
        <f aca="false">Sens!E11721</f>
        <v>20.345</v>
      </c>
      <c r="F11744" s="6" t="n">
        <f aca="false">Sens!F11721</f>
        <v>22.3572203267814</v>
      </c>
      <c r="G11744" s="6" t="n">
        <f aca="false">Sens!G11721</f>
        <v>24.4392124437232</v>
      </c>
      <c r="H11744" s="6" t="n">
        <f aca="false">Sens!H11721</f>
        <v>26.5738052080665</v>
      </c>
      <c r="I11744" s="6" t="n">
        <f aca="false">Sens!I11721</f>
        <v>28.7412169166967</v>
      </c>
      <c r="J11744" s="6" t="n">
        <f aca="false">Sens!J11721</f>
        <v>30.9192545395413</v>
      </c>
      <c r="K11744" s="6" t="n">
        <f aca="false">Sens!K11721</f>
        <v>33.0836023573092</v>
      </c>
    </row>
    <row r="11745" customFormat="false" ht="15" hidden="false" customHeight="false" outlineLevel="0" collapsed="false">
      <c r="A11745" s="0" t="s">
        <v>876</v>
      </c>
      <c r="B11745" s="0" t="s">
        <v>98</v>
      </c>
      <c r="D11745" s="6" t="n">
        <f aca="false">Sens!D11723</f>
        <v>7.76</v>
      </c>
      <c r="E11745" s="6" t="n">
        <f aca="false">Sens!E11723</f>
        <v>8.26</v>
      </c>
      <c r="F11745" s="6" t="n">
        <f aca="false">Sens!F11723</f>
        <v>8.79988041237113</v>
      </c>
      <c r="G11745" s="6" t="n">
        <f aca="false">Sens!G11723</f>
        <v>9.38321269125306</v>
      </c>
      <c r="H11745" s="6" t="n">
        <f aca="false">Sens!H11723</f>
        <v>10.0139193587476</v>
      </c>
      <c r="I11745" s="6" t="n">
        <f aca="false">Sens!I11723</f>
        <v>10.6963111830911</v>
      </c>
      <c r="J11745" s="6" t="n">
        <f aca="false">Sens!J11723</f>
        <v>11.4351285534696</v>
      </c>
      <c r="K11745" s="6" t="n">
        <f aca="false">Sens!K11723</f>
        <v>12.2355875522124</v>
      </c>
    </row>
    <row r="11746" customFormat="false" ht="15" hidden="false" customHeight="false" outlineLevel="0" collapsed="false">
      <c r="A11746" s="0" t="s">
        <v>704</v>
      </c>
      <c r="B11746" s="0" t="s">
        <v>98</v>
      </c>
      <c r="D11746" s="6" t="n">
        <f aca="false">Sens!D11725</f>
        <v>218.783</v>
      </c>
      <c r="E11746" s="6" t="n">
        <f aca="false">Sens!E11725</f>
        <v>268.127</v>
      </c>
      <c r="F11746" s="6" t="n">
        <f aca="false">Sens!F11725</f>
        <v>334.265528251508</v>
      </c>
      <c r="G11746" s="6" t="n">
        <f aca="false">Sens!G11725</f>
        <v>408.072123059793</v>
      </c>
      <c r="H11746" s="6" t="n">
        <f aca="false">Sens!H11725</f>
        <v>483.196296004025</v>
      </c>
      <c r="I11746" s="6" t="n">
        <f aca="false">Sens!I11725</f>
        <v>551.903517626826</v>
      </c>
      <c r="J11746" s="6" t="n">
        <f aca="false">Sens!J11725</f>
        <v>607.45432414427</v>
      </c>
      <c r="K11746" s="6" t="n">
        <f aca="false">Sens!K11725</f>
        <v>651.241547813062</v>
      </c>
    </row>
    <row r="11747" customFormat="false" ht="15" hidden="false" customHeight="false" outlineLevel="0" collapsed="false">
      <c r="A11747" s="0" t="s">
        <v>877</v>
      </c>
      <c r="B11747" s="0" t="s">
        <v>98</v>
      </c>
      <c r="D11747" s="6" t="n">
        <f aca="false">Sens!D11726</f>
        <v>22.171</v>
      </c>
      <c r="E11747" s="6" t="n">
        <f aca="false">Sens!E11726</f>
        <v>24.835</v>
      </c>
      <c r="F11747" s="6" t="n">
        <f aca="false">Sens!F11726</f>
        <v>27.6114901218559</v>
      </c>
      <c r="G11747" s="6" t="n">
        <f aca="false">Sens!G11726</f>
        <v>30.4675667338515</v>
      </c>
      <c r="H11747" s="6" t="n">
        <f aca="false">Sens!H11726</f>
        <v>33.3643766955789</v>
      </c>
      <c r="I11747" s="6" t="n">
        <f aca="false">Sens!I11726</f>
        <v>36.2577016533691</v>
      </c>
      <c r="J11747" s="6" t="n">
        <f aca="false">Sens!J11726</f>
        <v>39.0988367952171</v>
      </c>
      <c r="K11747" s="6" t="n">
        <f aca="false">Sens!K11726</f>
        <v>41.8357553708823</v>
      </c>
    </row>
    <row r="11748" customFormat="false" ht="15" hidden="false" customHeight="false" outlineLevel="0" collapsed="false">
      <c r="A11748" s="0" t="s">
        <v>878</v>
      </c>
      <c r="B11748" s="0" t="s">
        <v>98</v>
      </c>
      <c r="D11748" s="6" t="n">
        <f aca="false">Sens!D11728</f>
        <v>23.455</v>
      </c>
      <c r="E11748" s="6" t="n">
        <f aca="false">Sens!E11728</f>
        <v>21.79</v>
      </c>
      <c r="F11748" s="6" t="n">
        <f aca="false">Sens!F11728</f>
        <v>20.5736277908051</v>
      </c>
      <c r="G11748" s="6" t="n">
        <f aca="false">Sens!G11728</f>
        <v>19.7371452817919</v>
      </c>
      <c r="H11748" s="6" t="n">
        <f aca="false">Sens!H11728</f>
        <v>19.2339764043138</v>
      </c>
      <c r="I11748" s="6" t="n">
        <f aca="false">Sens!I11728</f>
        <v>19.0353086852681</v>
      </c>
      <c r="J11748" s="6" t="n">
        <f aca="false">Sens!J11728</f>
        <v>19.1273539319129</v>
      </c>
      <c r="K11748" s="6" t="n">
        <f aca="false">Sens!K11728</f>
        <v>19.5099010105511</v>
      </c>
    </row>
    <row r="11749" customFormat="false" ht="15" hidden="false" customHeight="false" outlineLevel="0" collapsed="false">
      <c r="A11749" s="0" t="s">
        <v>879</v>
      </c>
      <c r="B11749" s="0" t="s">
        <v>98</v>
      </c>
      <c r="D11749" s="6" t="n">
        <f aca="false">Sens!D11730</f>
        <v>17.315</v>
      </c>
      <c r="E11749" s="6" t="n">
        <f aca="false">Sens!E11730</f>
        <v>17.087</v>
      </c>
      <c r="F11749" s="6" t="n">
        <f aca="false">Sens!F11730</f>
        <v>16.9564585436519</v>
      </c>
      <c r="G11749" s="6" t="n">
        <f aca="false">Sens!G11730</f>
        <v>16.9206490624268</v>
      </c>
      <c r="H11749" s="6" t="n">
        <f aca="false">Sens!H11730</f>
        <v>16.9784519149849</v>
      </c>
      <c r="I11749" s="6" t="n">
        <f aca="false">Sens!I11730</f>
        <v>17.1303084701817</v>
      </c>
      <c r="J11749" s="6" t="n">
        <f aca="false">Sens!J11730</f>
        <v>17.3782189407267</v>
      </c>
      <c r="K11749" s="6" t="n">
        <f aca="false">Sens!K11730</f>
        <v>17.7257833195413</v>
      </c>
    </row>
    <row r="11750" customFormat="false" ht="15" hidden="false" customHeight="false" outlineLevel="0" collapsed="false">
      <c r="A11750" s="0" t="s">
        <v>718</v>
      </c>
      <c r="B11750" s="0" t="s">
        <v>98</v>
      </c>
      <c r="D11750" s="6" t="n">
        <f aca="false">Sens!D11732</f>
        <v>62.941</v>
      </c>
      <c r="E11750" s="6" t="n">
        <f aca="false">Sens!E11732</f>
        <v>63.712</v>
      </c>
      <c r="F11750" s="6" t="n">
        <f aca="false">Sens!F11732</f>
        <v>65.1415764563129</v>
      </c>
      <c r="G11750" s="6" t="n">
        <f aca="false">Sens!G11732</f>
        <v>67.1253610780702</v>
      </c>
      <c r="H11750" s="6" t="n">
        <f aca="false">Sens!H11732</f>
        <v>69.5768050148776</v>
      </c>
      <c r="I11750" s="6" t="n">
        <f aca="false">Sens!I11732</f>
        <v>72.4233188088189</v>
      </c>
      <c r="J11750" s="6" t="n">
        <f aca="false">Sens!J11732</f>
        <v>75.6044096678567</v>
      </c>
      <c r="K11750" s="6" t="n">
        <f aca="false">Sens!K11732</f>
        <v>79.0714397009747</v>
      </c>
    </row>
    <row r="11751" customFormat="false" ht="15" hidden="false" customHeight="false" outlineLevel="0" collapsed="false">
      <c r="A11751" s="1" t="s">
        <v>895</v>
      </c>
      <c r="B11751" s="0" t="s">
        <v>98</v>
      </c>
      <c r="D11751" s="6" t="n">
        <f aca="false">Sens!D11733</f>
        <v>281.724</v>
      </c>
      <c r="E11751" s="6" t="n">
        <f aca="false">Sens!E11733</f>
        <v>331.839</v>
      </c>
      <c r="F11751" s="6" t="n">
        <f aca="false">Sens!F11733</f>
        <v>399.407104707821</v>
      </c>
      <c r="G11751" s="6" t="n">
        <f aca="false">Sens!G11733</f>
        <v>475.197484137863</v>
      </c>
      <c r="H11751" s="6" t="n">
        <f aca="false">Sens!H11733</f>
        <v>552.773101018903</v>
      </c>
      <c r="I11751" s="6" t="n">
        <f aca="false">Sens!I11733</f>
        <v>624.326836435645</v>
      </c>
      <c r="J11751" s="6" t="n">
        <f aca="false">Sens!J11733</f>
        <v>683.058733812127</v>
      </c>
      <c r="K11751" s="6" t="n">
        <f aca="false">Sens!K11733</f>
        <v>730.312987514037</v>
      </c>
    </row>
    <row r="11752" customFormat="false" ht="15" hidden="false" customHeight="false" outlineLevel="0" collapsed="false">
      <c r="A11752" s="1" t="s">
        <v>896</v>
      </c>
      <c r="B11752" s="0" t="s">
        <v>129</v>
      </c>
      <c r="E11752" s="7" t="n">
        <f aca="false">Sens!E11751/Sens!D11751-1</f>
        <v>0.177886867998467</v>
      </c>
      <c r="F11752" s="7" t="n">
        <f aca="false">Sens!F11751/Sens!E11751-1</f>
        <v>0.203617129715978</v>
      </c>
      <c r="G11752" s="7" t="n">
        <f aca="false">Sens!G11751/Sens!F11751-1</f>
        <v>0.189757213972159</v>
      </c>
      <c r="H11752" s="7" t="n">
        <f aca="false">Sens!H11751/Sens!G11751-1</f>
        <v>0.163249216316418</v>
      </c>
      <c r="I11752" s="7" t="n">
        <f aca="false">Sens!I11751/Sens!H11751-1</f>
        <v>0.129445038633121</v>
      </c>
      <c r="J11752" s="7" t="n">
        <f aca="false">Sens!J11751/Sens!I11751-1</f>
        <v>0.0940723575359816</v>
      </c>
      <c r="K11752" s="7" t="n">
        <f aca="false">Sens!K11751/Sens!J11751-1</f>
        <v>0.0691803667280342</v>
      </c>
    </row>
    <row r="11753" customFormat="false" ht="17.15" hidden="false" customHeight="false" outlineLevel="0" collapsed="false">
      <c r="A11753" s="23" t="s">
        <v>897</v>
      </c>
      <c r="B11753" s="30" t="s">
        <v>98</v>
      </c>
      <c r="C11753" s="30"/>
      <c r="D11753" s="24" t="n">
        <f aca="false">(Sens!D11746+Sens!D11750-Sens!D11751)+(Sens!D11738+Sens!D11739-Sens!D11737)+(Sens!D11741+Sens!D11742-Sens!D11740)+(Sens!D11751-Q!L18)</f>
        <v>0</v>
      </c>
      <c r="E11753" s="24" t="n">
        <f aca="false">(Sens!E11746+Sens!E11750-Sens!E11751)+(Sens!E11738+Sens!E11739-Sens!E11737)+(Sens!E11741+Sens!E11742-Sens!E11740)+(Sens!E11751-Q!M18)</f>
        <v>0</v>
      </c>
      <c r="F11753" s="24" t="n">
        <f aca="false">(Sens!F11746+Sens!F11750-Sens!F11751)+(Sens!F11738+Sens!F11739-Sens!F11737)+(Sens!F11741+Sens!F11742-Sens!F11740)</f>
        <v>0</v>
      </c>
      <c r="G11753" s="24" t="n">
        <f aca="false">(Sens!G11746+Sens!G11750-Sens!G11751)+(Sens!G11738+Sens!G11739-Sens!G11737)+(Sens!G11741+Sens!G11742-Sens!G11740)</f>
        <v>0</v>
      </c>
      <c r="H11753" s="24" t="n">
        <f aca="false">(Sens!H11746+Sens!H11750-Sens!H11751)+(Sens!H11738+Sens!H11739-Sens!H11737)+(Sens!H11741+Sens!H11742-Sens!H11740)</f>
        <v>0</v>
      </c>
      <c r="I11753" s="24" t="n">
        <f aca="false">(Sens!I11746+Sens!I11750-Sens!I11751)+(Sens!I11738+Sens!I11739-Sens!I11737)+(Sens!I11741+Sens!I11742-Sens!I11740)</f>
        <v>0</v>
      </c>
      <c r="J11753" s="24" t="n">
        <f aca="false">(Sens!J11746+Sens!J11750-Sens!J11751)+(Sens!J11738+Sens!J11739-Sens!J11737)+(Sens!J11741+Sens!J11742-Sens!J11740)</f>
        <v>0</v>
      </c>
      <c r="K11753" s="24" t="n">
        <f aca="false">(Sens!K11746+Sens!K11750-Sens!K11751)+(Sens!K11738+Sens!K11739-Sens!K11737)+(Sens!K11741+Sens!K11742-Sens!K11740)</f>
        <v>0</v>
      </c>
    </row>
    <row r="11754" customFormat="false" ht="17.15" hidden="false" customHeight="false" outlineLevel="0" collapsed="false">
      <c r="A11754" s="0" t="s">
        <v>898</v>
      </c>
      <c r="B11754" s="0" t="s">
        <v>129</v>
      </c>
      <c r="E11754" s="7" t="n">
        <f aca="false">(Q!M21+Sens!E11691+Sens!E11692+Sens!E11693+Sens!E11706-Sens!E11689)/(Q!M5-Sens!E11689)</f>
        <v>0.570957350878296</v>
      </c>
      <c r="F11754" s="7" t="n">
        <f aca="false">Sens!$E$11754+dm_seg_hi</f>
        <v>0.590957350878296</v>
      </c>
      <c r="G11754" s="7" t="n">
        <f aca="false">Sens!$E$11754+dm_seg_hi</f>
        <v>0.590957350878296</v>
      </c>
      <c r="H11754" s="7" t="n">
        <f aca="false">Sens!$E$11754+dm_seg_hi</f>
        <v>0.590957350878296</v>
      </c>
      <c r="I11754" s="7" t="n">
        <f aca="false">Sens!$E$11754+dm_seg_hi</f>
        <v>0.590957350878296</v>
      </c>
      <c r="J11754" s="7" t="n">
        <f aca="false">Sens!$E$11754+dm_seg_hi</f>
        <v>0.590957350878296</v>
      </c>
      <c r="K11754" s="7" t="n">
        <f aca="false">Sens!$E$11754+dm_seg_hi</f>
        <v>0.590957350878296</v>
      </c>
      <c r="L11754" s="11" t="s">
        <v>899</v>
      </c>
    </row>
    <row r="11755" customFormat="false" ht="17.15" hidden="false" customHeight="false" outlineLevel="0" collapsed="false">
      <c r="A11755" s="0" t="s">
        <v>732</v>
      </c>
      <c r="B11755" s="0" t="s">
        <v>98</v>
      </c>
      <c r="D11755" s="6" t="n">
        <f aca="false">Q!L21</f>
        <v>110.814</v>
      </c>
      <c r="E11755" s="6" t="n">
        <f aca="false">Q!M21</f>
        <v>136.365</v>
      </c>
      <c r="F11755" s="6" t="n">
        <f aca="false">Sens!F11754*(Sens!F11725-Sens!F11689)+Sens!F11689-(Sens!F11691+Sens!F11692+Sens!F11693)-Sens!F11706</f>
        <v>163.182166353977</v>
      </c>
      <c r="G11755" s="6" t="n">
        <f aca="false">Sens!G11754*(Sens!G11725-Sens!G11689)+Sens!G11689-(Sens!G11691+Sens!G11692+Sens!G11693)-Sens!G11706</f>
        <v>183.553156001461</v>
      </c>
      <c r="H11755" s="6" t="n">
        <f aca="false">Sens!H11754*(Sens!H11725-Sens!H11689)+Sens!H11689-(Sens!H11691+Sens!H11692+Sens!H11693)-Sens!H11706</f>
        <v>203.989767893969</v>
      </c>
      <c r="I11755" s="6" t="n">
        <f aca="false">Sens!I11754*(Sens!I11725-Sens!I11689)+Sens!I11689-(Sens!I11691+Sens!I11692+Sens!I11693)-Sens!I11706</f>
        <v>223.460648925207</v>
      </c>
      <c r="J11755" s="6" t="n">
        <f aca="false">Sens!J11754*(Sens!J11725-Sens!J11689)+Sens!J11689-(Sens!J11691+Sens!J11692+Sens!J11693)-Sens!J11706</f>
        <v>241.487764815142</v>
      </c>
      <c r="K11755" s="6" t="n">
        <f aca="false">Sens!K11754*(Sens!K11725-Sens!K11689)+Sens!K11689-(Sens!K11691+Sens!K11692+Sens!K11693)-Sens!K11706</f>
        <v>258.956505554767</v>
      </c>
      <c r="L11755" s="1" t="s">
        <v>900</v>
      </c>
    </row>
    <row r="11756" customFormat="false" ht="17.15" hidden="false" customHeight="false" outlineLevel="0" collapsed="false">
      <c r="A11756" s="0" t="s">
        <v>901</v>
      </c>
      <c r="B11756" s="0" t="s">
        <v>129</v>
      </c>
      <c r="E11756" s="7" t="n">
        <f aca="false">Q!M22/Q!M12</f>
        <v>0.296207935710698</v>
      </c>
      <c r="F11756" s="7" t="n">
        <f aca="false">Sens!$E$11756+dm_seg_hi</f>
        <v>0.316207935710698</v>
      </c>
      <c r="G11756" s="7" t="n">
        <f aca="false">Sens!$E$11756+dm_seg_hi</f>
        <v>0.316207935710698</v>
      </c>
      <c r="H11756" s="7" t="n">
        <f aca="false">Sens!$E$11756+dm_seg_hi</f>
        <v>0.316207935710698</v>
      </c>
      <c r="I11756" s="7" t="n">
        <f aca="false">Sens!$E$11756+dm_seg_hi</f>
        <v>0.316207935710698</v>
      </c>
      <c r="J11756" s="7" t="n">
        <f aca="false">Sens!$E$11756+dm_seg_hi</f>
        <v>0.316207935710698</v>
      </c>
      <c r="K11756" s="7" t="n">
        <f aca="false">Sens!$E$11756+dm_seg_hi</f>
        <v>0.316207935710698</v>
      </c>
      <c r="L11756" s="11" t="s">
        <v>902</v>
      </c>
    </row>
    <row r="11757" customFormat="false" ht="17.15" hidden="false" customHeight="false" outlineLevel="0" collapsed="false">
      <c r="A11757" s="0" t="s">
        <v>734</v>
      </c>
      <c r="B11757" s="0" t="s">
        <v>98</v>
      </c>
      <c r="D11757" s="6" t="n">
        <f aca="false">Q!L22</f>
        <v>17.714</v>
      </c>
      <c r="E11757" s="6" t="n">
        <f aca="false">Q!M22</f>
        <v>18.872</v>
      </c>
      <c r="F11757" s="6" t="n">
        <f aca="false">Sens!F11732*Sens!F11756</f>
        <v>20.5982834201913</v>
      </c>
      <c r="G11757" s="6" t="n">
        <f aca="false">Sens!G11732*Sens!G11756</f>
        <v>21.2255718603318</v>
      </c>
      <c r="H11757" s="6" t="n">
        <f aca="false">Sens!H11732*Sens!H11756</f>
        <v>22.0007378871002</v>
      </c>
      <c r="I11757" s="6" t="n">
        <f aca="false">Sens!I11732*Sens!I11756</f>
        <v>22.9008281378544</v>
      </c>
      <c r="J11757" s="6" t="n">
        <f aca="false">Sens!J11732*Sens!J11756</f>
        <v>23.9067143116989</v>
      </c>
      <c r="K11757" s="6" t="n">
        <f aca="false">Sens!K11732*Sens!K11756</f>
        <v>25.0030167215181</v>
      </c>
    </row>
    <row r="11758" customFormat="false" ht="15" hidden="false" customHeight="false" outlineLevel="0" collapsed="false">
      <c r="A11758" s="1" t="s">
        <v>903</v>
      </c>
      <c r="B11758" s="0" t="s">
        <v>98</v>
      </c>
      <c r="D11758" s="6" t="n">
        <f aca="false">Sens!D11755+Sens!D11757</f>
        <v>128.528</v>
      </c>
      <c r="E11758" s="6" t="n">
        <f aca="false">Sens!E11755+Sens!E11757</f>
        <v>155.237</v>
      </c>
      <c r="F11758" s="6" t="n">
        <f aca="false">Sens!F11755+Sens!F11757</f>
        <v>183.780449774168</v>
      </c>
      <c r="G11758" s="6" t="n">
        <f aca="false">Sens!G11755+Sens!G11757</f>
        <v>204.778727861793</v>
      </c>
      <c r="H11758" s="6" t="n">
        <f aca="false">Sens!H11755+Sens!H11757</f>
        <v>225.990505781069</v>
      </c>
      <c r="I11758" s="6" t="n">
        <f aca="false">Sens!I11755+Sens!I11757</f>
        <v>246.361477063061</v>
      </c>
      <c r="J11758" s="6" t="n">
        <f aca="false">Sens!J11755+Sens!J11757</f>
        <v>265.394479126841</v>
      </c>
      <c r="K11758" s="6" t="n">
        <f aca="false">Sens!K11755+Sens!K11757</f>
        <v>283.959522276285</v>
      </c>
    </row>
    <row r="11759" customFormat="false" ht="15" hidden="false" customHeight="false" outlineLevel="0" collapsed="false">
      <c r="A11759" s="23" t="s">
        <v>904</v>
      </c>
      <c r="B11759" s="30" t="s">
        <v>98</v>
      </c>
      <c r="C11759" s="30"/>
      <c r="D11759" s="24" t="n">
        <f aca="false">Sens!D11758-Q!L23</f>
        <v>0</v>
      </c>
      <c r="E11759" s="24" t="n">
        <f aca="false">Sens!E11758-Q!M23</f>
        <v>0</v>
      </c>
      <c r="F11759" s="30"/>
      <c r="G11759" s="30"/>
      <c r="H11759" s="30"/>
      <c r="I11759" s="30"/>
      <c r="J11759" s="30"/>
      <c r="K11759" s="30"/>
    </row>
    <row r="11760" customFormat="false" ht="15" hidden="false" customHeight="false" outlineLevel="0" collapsed="false">
      <c r="A11760" s="1" t="s">
        <v>905</v>
      </c>
      <c r="B11760" s="0" t="s">
        <v>129</v>
      </c>
      <c r="D11760" s="7" t="n">
        <f aca="false">Sens!D11758/Sens!D11751</f>
        <v>0.456219562408598</v>
      </c>
      <c r="E11760" s="7" t="n">
        <f aca="false">Sens!E11758/Sens!E11751</f>
        <v>0.467808184089272</v>
      </c>
      <c r="F11760" s="7" t="n">
        <f aca="false">Sens!F11758/Sens!F11751</f>
        <v>0.460133151383498</v>
      </c>
      <c r="G11760" s="7" t="n">
        <f aca="false">Sens!G11758/Sens!G11751</f>
        <v>0.4309339478792</v>
      </c>
      <c r="H11760" s="7" t="n">
        <f aca="false">Sens!H11758/Sens!H11751</f>
        <v>0.408830504531625</v>
      </c>
      <c r="I11760" s="7" t="n">
        <f aca="false">Sens!I11758/Sens!I11751</f>
        <v>0.394603375484494</v>
      </c>
      <c r="J11760" s="7" t="n">
        <f aca="false">Sens!J11758/Sens!J11751</f>
        <v>0.388538299840898</v>
      </c>
      <c r="K11760" s="7" t="n">
        <f aca="false">Sens!K11758/Sens!K11751</f>
        <v>0.38881894082546</v>
      </c>
    </row>
    <row r="11761" customFormat="false" ht="17.15" hidden="false" customHeight="false" outlineLevel="0" collapsed="false">
      <c r="A11761" s="1" t="s">
        <v>906</v>
      </c>
      <c r="B11761" s="0" t="s">
        <v>98</v>
      </c>
      <c r="F11761" s="6" t="n">
        <f aca="false">Sens!F11776</f>
        <v>19.6958184660572</v>
      </c>
      <c r="G11761" s="6" t="n">
        <f aca="false">Sens!G11776</f>
        <v>34.7759494439124</v>
      </c>
      <c r="H11761" s="6" t="n">
        <f aca="false">Sens!H11776</f>
        <v>51.208536514718</v>
      </c>
      <c r="I11761" s="6" t="n">
        <f aca="false">Sens!I11776</f>
        <v>66.2493432436896</v>
      </c>
      <c r="J11761" s="6" t="n">
        <f aca="false">Sens!J11776</f>
        <v>76.8028840229578</v>
      </c>
      <c r="K11761" s="6" t="n">
        <f aca="false">Sens!K11776</f>
        <v>82.6349638901295</v>
      </c>
      <c r="L11761" s="1" t="s">
        <v>907</v>
      </c>
    </row>
    <row r="11762" customFormat="false" ht="17.15" hidden="false" customHeight="false" outlineLevel="0" collapsed="false">
      <c r="A11762" s="1" t="s">
        <v>908</v>
      </c>
      <c r="B11762" s="0" t="s">
        <v>98</v>
      </c>
      <c r="D11762" s="6" t="n">
        <f aca="false">Sens!D11758</f>
        <v>128.528</v>
      </c>
      <c r="E11762" s="6" t="n">
        <f aca="false">Sens!E11758</f>
        <v>155.237</v>
      </c>
      <c r="F11762" s="6" t="n">
        <f aca="false">Sens!F11758+Sens!F11761</f>
        <v>203.476268240225</v>
      </c>
      <c r="G11762" s="6" t="n">
        <f aca="false">Sens!G11758+Sens!G11761</f>
        <v>239.554677305705</v>
      </c>
      <c r="H11762" s="6" t="n">
        <f aca="false">Sens!H11758+Sens!H11761</f>
        <v>277.199042295787</v>
      </c>
      <c r="I11762" s="6" t="n">
        <f aca="false">Sens!I11758+Sens!I11761</f>
        <v>312.610820306751</v>
      </c>
      <c r="J11762" s="6" t="n">
        <f aca="false">Sens!J11758+Sens!J11761</f>
        <v>342.197363149798</v>
      </c>
      <c r="K11762" s="6" t="n">
        <f aca="false">Sens!K11758+Sens!K11761</f>
        <v>366.594486166415</v>
      </c>
    </row>
    <row r="11763" customFormat="false" ht="17.15" hidden="false" customHeight="false" outlineLevel="0" collapsed="false">
      <c r="A11763" s="1" t="s">
        <v>909</v>
      </c>
      <c r="B11763" s="0" t="s">
        <v>98</v>
      </c>
      <c r="E11763" s="6" t="n">
        <f aca="false">Sens!E11706</f>
        <v>16.3054059770833</v>
      </c>
      <c r="F11763" s="6" t="n">
        <f aca="false">Sens!F11706</f>
        <v>34.7405354558698</v>
      </c>
      <c r="G11763" s="6" t="n">
        <f aca="false">Sens!G11706</f>
        <v>60.5067332603396</v>
      </c>
      <c r="H11763" s="6" t="n">
        <f aca="false">Sens!H11706</f>
        <v>87.7423159931396</v>
      </c>
      <c r="I11763" s="6" t="n">
        <f aca="false">Sens!I11706</f>
        <v>111.987039982221</v>
      </c>
      <c r="J11763" s="6" t="n">
        <f aca="false">Sens!J11706</f>
        <v>129.183710922666</v>
      </c>
      <c r="K11763" s="6" t="n">
        <f aca="false">Sens!K11706</f>
        <v>139.647646804474</v>
      </c>
    </row>
    <row r="11764" customFormat="false" ht="17.15" hidden="false" customHeight="false" outlineLevel="0" collapsed="false">
      <c r="A11764" s="1" t="s">
        <v>910</v>
      </c>
      <c r="B11764" s="0" t="s">
        <v>98</v>
      </c>
      <c r="E11764" s="6" t="n">
        <f aca="false">Sens!E11788</f>
        <v>22.2285940229167</v>
      </c>
      <c r="F11764" s="6" t="n">
        <f aca="false">Sens!F11788</f>
        <v>23.5636693435813</v>
      </c>
      <c r="G11764" s="6" t="n">
        <f aca="false">Sens!G11788</f>
        <v>25.3225917662621</v>
      </c>
      <c r="H11764" s="6" t="n">
        <f aca="false">Sens!H11788</f>
        <v>27.4714839540448</v>
      </c>
      <c r="I11764" s="6" t="n">
        <f aca="false">Sens!I11788</f>
        <v>29.9441755898047</v>
      </c>
      <c r="J11764" s="6" t="n">
        <f aca="false">Sens!J11788</f>
        <v>32.6578493558616</v>
      </c>
      <c r="K11764" s="6" t="n">
        <f aca="false">Sens!K11788</f>
        <v>35.5289346944749</v>
      </c>
    </row>
    <row r="11765" customFormat="false" ht="17.15" hidden="false" customHeight="false" outlineLevel="0" collapsed="false">
      <c r="A11765" s="1" t="s">
        <v>911</v>
      </c>
      <c r="B11765" s="0" t="s">
        <v>98</v>
      </c>
      <c r="D11765" s="6" t="n">
        <f aca="false">Q!L27</f>
        <v>-4.901</v>
      </c>
      <c r="E11765" s="6" t="n">
        <f aca="false">Q!M27</f>
        <v>10.697</v>
      </c>
      <c r="F11765" s="6" t="n">
        <f aca="false">oie_f</f>
        <v>-0.4</v>
      </c>
      <c r="G11765" s="6" t="n">
        <f aca="false">oie_f</f>
        <v>-0.4</v>
      </c>
      <c r="H11765" s="6" t="n">
        <f aca="false">oie_f</f>
        <v>-0.4</v>
      </c>
      <c r="I11765" s="6" t="n">
        <f aca="false">oie_f</f>
        <v>-0.4</v>
      </c>
      <c r="J11765" s="6" t="n">
        <f aca="false">oie_f</f>
        <v>-0.4</v>
      </c>
      <c r="K11765" s="6" t="n">
        <f aca="false">oie_f</f>
        <v>-0.4</v>
      </c>
      <c r="L11765" s="11" t="s">
        <v>912</v>
      </c>
    </row>
    <row r="11766" customFormat="false" ht="15" hidden="false" customHeight="false" outlineLevel="0" collapsed="false">
      <c r="A11766" s="1" t="s">
        <v>913</v>
      </c>
      <c r="B11766" s="0" t="s">
        <v>98</v>
      </c>
      <c r="D11766" s="6" t="n">
        <f aca="false">Sens!D11758+Sens!D11765</f>
        <v>123.627</v>
      </c>
      <c r="E11766" s="6" t="n">
        <f aca="false">Sens!E11758+Sens!E11765</f>
        <v>165.934</v>
      </c>
      <c r="F11766" s="6" t="n">
        <f aca="false">Sens!F11758+Sens!F11765</f>
        <v>183.380449774168</v>
      </c>
      <c r="G11766" s="6" t="n">
        <f aca="false">Sens!G11758+Sens!G11765</f>
        <v>204.378727861793</v>
      </c>
      <c r="H11766" s="6" t="n">
        <f aca="false">Sens!H11758+Sens!H11765</f>
        <v>225.590505781069</v>
      </c>
      <c r="I11766" s="6" t="n">
        <f aca="false">Sens!I11758+Sens!I11765</f>
        <v>245.961477063061</v>
      </c>
      <c r="J11766" s="6" t="n">
        <f aca="false">Sens!J11758+Sens!J11765</f>
        <v>264.994479126841</v>
      </c>
      <c r="K11766" s="6" t="n">
        <f aca="false">Sens!K11758+Sens!K11765</f>
        <v>283.559522276285</v>
      </c>
    </row>
    <row r="11767" customFormat="false" ht="15" hidden="false" customHeight="false" outlineLevel="0" collapsed="false">
      <c r="A11767" s="1" t="s">
        <v>914</v>
      </c>
      <c r="B11767" s="0" t="s">
        <v>98</v>
      </c>
      <c r="D11767" s="6" t="n">
        <f aca="false">Q!L29</f>
        <v>21.795</v>
      </c>
      <c r="E11767" s="6" t="n">
        <f aca="false">Q!M29</f>
        <v>32.185</v>
      </c>
      <c r="F11767" s="6" t="n">
        <f aca="false">Sens!F11766*tax_f</f>
        <v>36.6760899548336</v>
      </c>
      <c r="G11767" s="6" t="n">
        <f aca="false">Sens!G11766*tax_f</f>
        <v>40.8757455723586</v>
      </c>
      <c r="H11767" s="6" t="n">
        <f aca="false">Sens!H11766*tax_f</f>
        <v>45.1181011562138</v>
      </c>
      <c r="I11767" s="6" t="n">
        <f aca="false">Sens!I11766*tax_f</f>
        <v>49.1922954126122</v>
      </c>
      <c r="J11767" s="6" t="n">
        <f aca="false">Sens!J11766*tax_f</f>
        <v>52.9988958253681</v>
      </c>
      <c r="K11767" s="6" t="n">
        <f aca="false">Sens!K11766*tax_f</f>
        <v>56.7119044552571</v>
      </c>
    </row>
    <row r="11768" customFormat="false" ht="15" hidden="false" customHeight="false" outlineLevel="0" collapsed="false">
      <c r="A11768" s="1" t="s">
        <v>915</v>
      </c>
      <c r="B11768" s="0" t="s">
        <v>98</v>
      </c>
      <c r="D11768" s="6" t="n">
        <f aca="false">Sens!D11766-Sens!D11767</f>
        <v>101.832</v>
      </c>
      <c r="E11768" s="6" t="n">
        <f aca="false">Sens!E11766-Sens!E11767</f>
        <v>133.749</v>
      </c>
      <c r="F11768" s="6" t="n">
        <f aca="false">Sens!F11766-Sens!F11767</f>
        <v>146.704359819335</v>
      </c>
      <c r="G11768" s="6" t="n">
        <f aca="false">Sens!G11766-Sens!G11767</f>
        <v>163.502982289434</v>
      </c>
      <c r="H11768" s="6" t="n">
        <f aca="false">Sens!H11766-Sens!H11767</f>
        <v>180.472404624855</v>
      </c>
      <c r="I11768" s="6" t="n">
        <f aca="false">Sens!I11766-Sens!I11767</f>
        <v>196.769181650449</v>
      </c>
      <c r="J11768" s="6" t="n">
        <f aca="false">Sens!J11766-Sens!J11767</f>
        <v>211.995583301472</v>
      </c>
      <c r="K11768" s="6" t="n">
        <f aca="false">Sens!K11766-Sens!K11767</f>
        <v>226.847617821028</v>
      </c>
    </row>
    <row r="11769" customFormat="false" ht="17.15" hidden="false" customHeight="false" outlineLevel="0" collapsed="false">
      <c r="A11769" s="1" t="s">
        <v>916</v>
      </c>
      <c r="B11769" s="1" t="s">
        <v>81</v>
      </c>
      <c r="D11769" s="14" t="n">
        <f aca="false">Q!L31</f>
        <v>7.465</v>
      </c>
      <c r="E11769" s="14" t="n">
        <f aca="false">Q!M31</f>
        <v>7.453</v>
      </c>
      <c r="F11769" s="14" t="n">
        <f aca="false">Sens!F11810</f>
        <v>7.4735</v>
      </c>
      <c r="G11769" s="14" t="n">
        <f aca="false">Sens!G11810</f>
        <v>7.51279725151484</v>
      </c>
      <c r="H11769" s="14" t="n">
        <f aca="false">Sens!H11810</f>
        <v>7.53484608887963</v>
      </c>
      <c r="I11769" s="14" t="n">
        <f aca="false">Sens!I11810</f>
        <v>7.54662692088694</v>
      </c>
      <c r="J11769" s="14" t="n">
        <f aca="false">Sens!J11810</f>
        <v>7.56086843200483</v>
      </c>
      <c r="K11769" s="14" t="n">
        <f aca="false">Sens!K11810</f>
        <v>7.57738834970657</v>
      </c>
    </row>
    <row r="11770" customFormat="false" ht="17.15" hidden="false" customHeight="false" outlineLevel="0" collapsed="false">
      <c r="A11770" s="0" t="s">
        <v>917</v>
      </c>
      <c r="B11770" s="0" t="s">
        <v>75</v>
      </c>
      <c r="D11770" s="8" t="n">
        <f aca="false">Sens!D11768/Sens!D11769</f>
        <v>13.641259209645</v>
      </c>
      <c r="E11770" s="8" t="n">
        <f aca="false">Sens!E11768/Sens!E11769</f>
        <v>17.9456594659869</v>
      </c>
      <c r="F11770" s="8" t="n">
        <f aca="false">Sens!F11768/Sens!F11769</f>
        <v>19.6299404321047</v>
      </c>
      <c r="G11770" s="8" t="n">
        <f aca="false">Sens!G11768/Sens!G11769</f>
        <v>21.7632629785752</v>
      </c>
      <c r="H11770" s="8" t="n">
        <f aca="false">Sens!H11768/Sens!H11769</f>
        <v>23.9517041882524</v>
      </c>
      <c r="I11770" s="8" t="n">
        <f aca="false">Sens!I11768/Sens!I11769</f>
        <v>26.0737921343173</v>
      </c>
      <c r="J11770" s="8" t="n">
        <f aca="false">Sens!J11768/Sens!J11769</f>
        <v>28.0385229829029</v>
      </c>
      <c r="K11770" s="8" t="n">
        <f aca="false">Sens!K11768/Sens!K11769</f>
        <v>29.9374411540901</v>
      </c>
      <c r="L11770" s="1" t="s">
        <v>918</v>
      </c>
    </row>
    <row r="11771" customFormat="false" ht="17.15" hidden="false" customHeight="false" outlineLevel="0" collapsed="false">
      <c r="A11771" s="1" t="s">
        <v>919</v>
      </c>
      <c r="B11771" s="0" t="s">
        <v>98</v>
      </c>
      <c r="D11771" s="6" t="n">
        <f aca="false">Sens!D11768</f>
        <v>101.832</v>
      </c>
      <c r="E11771" s="6" t="n">
        <f aca="false">Sens!E11768</f>
        <v>133.749</v>
      </c>
      <c r="F11771" s="6" t="n">
        <f aca="false">Sens!F11768+Sens!F11761*(1-tax_f)</f>
        <v>162.46101459218</v>
      </c>
      <c r="G11771" s="6" t="n">
        <f aca="false">Sens!G11768+Sens!G11761*(1-tax_f)</f>
        <v>191.323741844564</v>
      </c>
      <c r="H11771" s="6" t="n">
        <f aca="false">Sens!H11768+Sens!H11761*(1-tax_f)</f>
        <v>221.43923383663</v>
      </c>
      <c r="I11771" s="6" t="n">
        <f aca="false">Sens!I11768+Sens!I11761*(1-tax_f)</f>
        <v>249.768656245401</v>
      </c>
      <c r="J11771" s="6" t="n">
        <f aca="false">Sens!J11768+Sens!J11761*(1-tax_f)</f>
        <v>273.437890519839</v>
      </c>
      <c r="K11771" s="6" t="n">
        <f aca="false">Sens!K11768+Sens!K11761*(1-tax_f)</f>
        <v>292.955588933132</v>
      </c>
    </row>
    <row r="11772" customFormat="false" ht="17.15" hidden="false" customHeight="false" outlineLevel="0" collapsed="false">
      <c r="A11772" s="0" t="s">
        <v>920</v>
      </c>
      <c r="B11772" s="0" t="s">
        <v>75</v>
      </c>
      <c r="D11772" s="8" t="n">
        <f aca="false">Sens!D11771/Sens!D11769</f>
        <v>13.641259209645</v>
      </c>
      <c r="E11772" s="8" t="n">
        <f aca="false">Sens!E11771/Sens!E11769</f>
        <v>17.9456594659869</v>
      </c>
      <c r="F11772" s="8" t="n">
        <f aca="false">Sens!F11771/Sens!F11769</f>
        <v>21.7382771917014</v>
      </c>
      <c r="G11772" s="8" t="n">
        <f aca="false">Sens!G11771/Sens!G11769</f>
        <v>25.4663789583815</v>
      </c>
      <c r="H11772" s="8" t="n">
        <f aca="false">Sens!H11771/Sens!H11769</f>
        <v>29.3886870713182</v>
      </c>
      <c r="I11772" s="8" t="n">
        <f aca="false">Sens!I11771/Sens!I11769</f>
        <v>33.0967276988493</v>
      </c>
      <c r="J11772" s="8" t="n">
        <f aca="false">Sens!J11771/Sens!J11769</f>
        <v>36.1648788070942</v>
      </c>
      <c r="K11772" s="8" t="n">
        <f aca="false">Sens!K11771/Sens!K11769</f>
        <v>38.6618153132506</v>
      </c>
      <c r="L11772" s="1" t="s">
        <v>921</v>
      </c>
    </row>
    <row r="11773" customFormat="false" ht="17.15" hidden="false" customHeight="false" outlineLevel="0" collapsed="false">
      <c r="A11773" s="0" t="s">
        <v>922</v>
      </c>
      <c r="B11773" s="0" t="s">
        <v>129</v>
      </c>
      <c r="E11773" s="7" t="n">
        <f aca="false">Sens!E11772/Sens!D11772-1</f>
        <v>0.315542736208578</v>
      </c>
      <c r="F11773" s="7" t="n">
        <f aca="false">Sens!F11772/Sens!E11772-1</f>
        <v>0.211338999990657</v>
      </c>
      <c r="G11773" s="7" t="n">
        <f aca="false">Sens!G11772/Sens!F11772-1</f>
        <v>0.171499412478896</v>
      </c>
      <c r="H11773" s="7" t="n">
        <f aca="false">Sens!H11772/Sens!G11772-1</f>
        <v>0.154019074299755</v>
      </c>
      <c r="I11773" s="7" t="n">
        <f aca="false">Sens!I11772/Sens!H11772-1</f>
        <v>0.126172381179624</v>
      </c>
      <c r="J11773" s="7" t="n">
        <f aca="false">Sens!J11772/Sens!I11772-1</f>
        <v>0.092702551628739</v>
      </c>
      <c r="K11773" s="7" t="n">
        <f aca="false">Sens!K11772/Sens!J11772-1</f>
        <v>0.0690431321358824</v>
      </c>
    </row>
    <row r="11774" customFormat="false" ht="17.15" hidden="false" customHeight="false" outlineLevel="0" collapsed="false">
      <c r="A11774" s="0" t="s">
        <v>846</v>
      </c>
      <c r="B11774" s="0" t="s">
        <v>98</v>
      </c>
      <c r="E11774" s="6" t="n">
        <f aca="false">Sens!E11715</f>
        <v>5.25</v>
      </c>
      <c r="F11774" s="6" t="n">
        <f aca="false">Sens!F11715</f>
        <v>12</v>
      </c>
      <c r="G11774" s="6" t="n">
        <f aca="false">Sens!G11715</f>
        <v>18</v>
      </c>
      <c r="H11774" s="6" t="n">
        <f aca="false">Sens!H11715</f>
        <v>24</v>
      </c>
      <c r="I11774" s="6" t="n">
        <f aca="false">Sens!I11715</f>
        <v>28.5</v>
      </c>
      <c r="J11774" s="6" t="n">
        <f aca="false">Sens!J11715</f>
        <v>31.5</v>
      </c>
      <c r="K11774" s="6" t="n">
        <f aca="false">Sens!K11715</f>
        <v>34.5</v>
      </c>
    </row>
    <row r="11775" customFormat="false" ht="17.15" hidden="false" customHeight="false" outlineLevel="0" collapsed="false">
      <c r="A11775" s="1" t="s">
        <v>847</v>
      </c>
      <c r="B11775" s="0" t="s">
        <v>98</v>
      </c>
      <c r="F11775" s="6" t="n">
        <f aca="false">MAX(0,(Sens!E11678+Sens!F11678)/2*Sens!F11686/1000-Sens!F11774*Sens!F11754)</f>
        <v>19.6958184660572</v>
      </c>
      <c r="G11775" s="6" t="n">
        <f aca="false">MAX(0,(Sens!F11678+Sens!G11678)/2*Sens!G11686/1000-Sens!G11774*Sens!G11754)</f>
        <v>34.7759494439124</v>
      </c>
      <c r="H11775" s="6" t="n">
        <f aca="false">MAX(0,(Sens!G11678+Sens!H11678)/2*Sens!H11686/1000-Sens!H11774*Sens!H11754)</f>
        <v>51.208536514718</v>
      </c>
      <c r="I11775" s="6" t="n">
        <f aca="false">MAX(0,(Sens!H11678+Sens!I11678)/2*Sens!I11686/1000-Sens!I11774*Sens!I11754)</f>
        <v>66.2493432436896</v>
      </c>
      <c r="J11775" s="6" t="n">
        <f aca="false">MAX(0,(Sens!I11678+Sens!J11678)/2*Sens!J11686/1000-Sens!J11774*Sens!J11754)</f>
        <v>76.8028840229578</v>
      </c>
      <c r="K11775" s="6" t="n">
        <f aca="false">MAX(0,(Sens!J11678+Sens!K11678)/2*Sens!K11686/1000-Sens!K11774*Sens!K11754)</f>
        <v>82.6349638901295</v>
      </c>
      <c r="L11775" s="1" t="s">
        <v>848</v>
      </c>
    </row>
    <row r="11776" customFormat="false" ht="17.15" hidden="false" customHeight="false" outlineLevel="0" collapsed="false">
      <c r="A11776" s="1" t="s">
        <v>849</v>
      </c>
      <c r="B11776" s="0" t="s">
        <v>98</v>
      </c>
      <c r="F11776" s="6" t="n">
        <f aca="false">IF(internal_ai_reading=2,1,0)*Sens!F11775</f>
        <v>19.6958184660572</v>
      </c>
      <c r="G11776" s="6" t="n">
        <f aca="false">IF(internal_ai_reading=2,1,0)*Sens!G11775</f>
        <v>34.7759494439124</v>
      </c>
      <c r="H11776" s="6" t="n">
        <f aca="false">IF(internal_ai_reading=2,1,0)*Sens!H11775</f>
        <v>51.208536514718</v>
      </c>
      <c r="I11776" s="6" t="n">
        <f aca="false">IF(internal_ai_reading=2,1,0)*Sens!I11775</f>
        <v>66.2493432436896</v>
      </c>
      <c r="J11776" s="6" t="n">
        <f aca="false">IF(internal_ai_reading=2,1,0)*Sens!J11775</f>
        <v>76.8028840229578</v>
      </c>
      <c r="K11776" s="6" t="n">
        <f aca="false">IF(internal_ai_reading=2,1,0)*Sens!K11775</f>
        <v>82.6349638901295</v>
      </c>
    </row>
    <row r="11777" customFormat="false" ht="17.15" hidden="false" customHeight="false" outlineLevel="0" collapsed="false">
      <c r="A11777" s="0" t="s">
        <v>850</v>
      </c>
      <c r="B11777" s="0" t="s">
        <v>98</v>
      </c>
      <c r="F11777" s="6" t="n">
        <f aca="false">Sens!F11695+Sens!F11774*Sens!F11754+Sens!F11776-Sens!F11696-Sens!F11706</f>
        <v>24.973281419411</v>
      </c>
      <c r="G11777" s="6" t="n">
        <f aca="false">Sens!G11695+Sens!G11774*Sens!G11754+Sens!G11776-Sens!G11696-Sens!G11706</f>
        <v>40.6745718830232</v>
      </c>
      <c r="H11777" s="6" t="n">
        <f aca="false">Sens!H11695+Sens!H11774*Sens!H11754+Sens!H11776-Sens!H11696-Sens!H11706</f>
        <v>57.6054114245065</v>
      </c>
      <c r="I11777" s="6" t="n">
        <f aca="false">Sens!I11695+Sens!I11774*Sens!I11754+Sens!I11776-Sens!I11696-Sens!I11706</f>
        <v>72.6838259474904</v>
      </c>
      <c r="J11777" s="6" t="n">
        <f aca="false">Sens!J11695+Sens!J11774*Sens!J11754+Sens!J11776-Sens!J11696-Sens!J11706</f>
        <v>83.1134007011916</v>
      </c>
      <c r="K11777" s="6" t="n">
        <f aca="false">Sens!K11695+Sens!K11774*Sens!K11754+Sens!K11776-Sens!K11696-Sens!K11706</f>
        <v>90.3492338726818</v>
      </c>
    </row>
    <row r="11778" customFormat="false" ht="17.15" hidden="false" customHeight="false" outlineLevel="0" collapsed="false">
      <c r="A11778" s="0" t="s">
        <v>851</v>
      </c>
      <c r="B11778" s="0" t="s">
        <v>98</v>
      </c>
      <c r="E11778" s="6" t="n">
        <f aca="false">Sens!E11677*(cxit_open+self_build*tk_cxfac)/1000*ai_net_open</f>
        <v>126.6980382</v>
      </c>
      <c r="F11778" s="6" t="n">
        <f aca="false">Sens!E11778+Sens!F11703-Sens!F11706</f>
        <v>260.578155514568</v>
      </c>
      <c r="G11778" s="6" t="n">
        <f aca="false">Sens!F11778+Sens!G11703-Sens!G11706</f>
        <v>383.645602737428</v>
      </c>
      <c r="H11778" s="6" t="n">
        <f aca="false">Sens!G11778+Sens!H11703-Sens!H11706</f>
        <v>483.983572654688</v>
      </c>
      <c r="I11778" s="6" t="n">
        <f aca="false">Sens!H11778+Sens!I11703-Sens!I11706</f>
        <v>535.703201826713</v>
      </c>
      <c r="J11778" s="6" t="n">
        <f aca="false">Sens!I11778+Sens!J11703-Sens!J11706</f>
        <v>531.031967622137</v>
      </c>
      <c r="K11778" s="6" t="n">
        <f aca="false">Sens!J11778+Sens!K11703-Sens!K11706</f>
        <v>506.3437564596</v>
      </c>
      <c r="L11778" s="1" t="s">
        <v>852</v>
      </c>
    </row>
    <row r="11779" customFormat="false" ht="17.15" hidden="false" customHeight="false" outlineLevel="0" collapsed="false">
      <c r="A11779" s="0" t="s">
        <v>853</v>
      </c>
      <c r="B11779" s="0" t="s">
        <v>129</v>
      </c>
      <c r="F11779" s="7" t="n">
        <f aca="false">Sens!F11777*(1-tax_f)/((Sens!E11778+Sens!F11778)/2)</f>
        <v>0.103175074842083</v>
      </c>
      <c r="G11779" s="7" t="n">
        <f aca="false">Sens!G11777*(1-tax_f)/((Sens!F11778+Sens!G11778)/2)</f>
        <v>0.101019737597725</v>
      </c>
      <c r="H11779" s="7" t="n">
        <f aca="false">Sens!H11777*(1-tax_f)/((Sens!G11778+Sens!H11778)/2)</f>
        <v>0.106230473678522</v>
      </c>
      <c r="I11779" s="7" t="n">
        <f aca="false">Sens!I11777*(1-tax_f)/((Sens!H11778+Sens!I11778)/2)</f>
        <v>0.114048867187799</v>
      </c>
      <c r="J11779" s="7" t="n">
        <f aca="false">Sens!J11777*(1-tax_f)/((Sens!I11778+Sens!J11778)/2)</f>
        <v>0.124662095082713</v>
      </c>
      <c r="K11779" s="7" t="n">
        <f aca="false">Sens!K11777*(1-tax_f)/((Sens!J11778+Sens!K11778)/2)</f>
        <v>0.139350450218267</v>
      </c>
    </row>
    <row r="11780" customFormat="false" ht="17.15" hidden="false" customHeight="false" outlineLevel="0" collapsed="false">
      <c r="A11780" s="1" t="s">
        <v>854</v>
      </c>
      <c r="B11780" s="0" t="s">
        <v>129</v>
      </c>
      <c r="F11780" s="7" t="n">
        <f aca="false">(Sens!F11777-Sens!F11776)*(1-tax_f)/((Sens!E11778+Sens!F11778)/2)</f>
        <v>0.0218034076517224</v>
      </c>
      <c r="G11780" s="7" t="n">
        <f aca="false">(Sens!G11777-Sens!G11776)*(1-tax_f)/((Sens!F11778+Sens!G11778)/2)</f>
        <v>0.0146498724731687</v>
      </c>
      <c r="H11780" s="7" t="n">
        <f aca="false">(Sens!H11777-Sens!H11776)*(1-tax_f)/((Sens!G11778+Sens!H11778)/2)</f>
        <v>0.0117965141629037</v>
      </c>
      <c r="I11780" s="7" t="n">
        <f aca="false">(Sens!I11777-Sens!I11776)*(1-tax_f)/((Sens!H11778+Sens!I11778)/2)</f>
        <v>0.0100964066453811</v>
      </c>
      <c r="J11780" s="7" t="n">
        <f aca="false">(Sens!J11777-Sens!J11776)*(1-tax_f)/((Sens!I11778+Sens!J11778)/2)</f>
        <v>0.00946516715145968</v>
      </c>
      <c r="K11780" s="7" t="n">
        <f aca="false">(Sens!K11777-Sens!K11776)*(1-tax_f)/((Sens!J11778+Sens!K11778)/2)</f>
        <v>0.0118981307211611</v>
      </c>
    </row>
    <row r="11781" customFormat="false" ht="17.15" hidden="false" customHeight="false" outlineLevel="0" collapsed="false">
      <c r="A11781" s="1" t="s">
        <v>855</v>
      </c>
      <c r="B11781" s="0" t="s">
        <v>129</v>
      </c>
      <c r="F11781" s="7" t="n">
        <f aca="false">(Sens!F11777-Sens!F11776+Sens!F11775)*(1-tax_f)/((Sens!E11778+Sens!F11778)/2)</f>
        <v>0.103175074842083</v>
      </c>
      <c r="G11781" s="7" t="n">
        <f aca="false">(Sens!G11777-Sens!G11776+Sens!G11775)*(1-tax_f)/((Sens!F11778+Sens!G11778)/2)</f>
        <v>0.101019737597725</v>
      </c>
      <c r="H11781" s="7" t="n">
        <f aca="false">(Sens!H11777-Sens!H11776+Sens!H11775)*(1-tax_f)/((Sens!G11778+Sens!H11778)/2)</f>
        <v>0.106230473678522</v>
      </c>
      <c r="I11781" s="7" t="n">
        <f aca="false">(Sens!I11777-Sens!I11776+Sens!I11775)*(1-tax_f)/((Sens!H11778+Sens!I11778)/2)</f>
        <v>0.114048867187799</v>
      </c>
      <c r="J11781" s="7" t="n">
        <f aca="false">(Sens!J11777-Sens!J11776+Sens!J11775)*(1-tax_f)/((Sens!I11778+Sens!J11778)/2)</f>
        <v>0.124662095082713</v>
      </c>
      <c r="K11781" s="7" t="n">
        <f aca="false">(Sens!K11777-Sens!K11776+Sens!K11775)*(1-tax_f)/((Sens!J11778+Sens!K11778)/2)</f>
        <v>0.139350450218267</v>
      </c>
    </row>
    <row r="11782" customFormat="false" ht="17.15" hidden="false" customHeight="false" outlineLevel="0" collapsed="false">
      <c r="A11782" s="1" t="s">
        <v>856</v>
      </c>
      <c r="B11782" s="0" t="s">
        <v>129</v>
      </c>
      <c r="F11782" s="7" t="n">
        <f aca="false">Sens!F11707*(1-tax_f)/(Sens!F11694*(Sens!E11778+Sens!F11778)/2)</f>
        <v>0.128178079126594</v>
      </c>
      <c r="G11782" s="7" t="n">
        <f aca="false">Sens!G11707*(1-tax_f)/(Sens!G11694*(Sens!F11778+Sens!G11778)/2)</f>
        <v>0.125209972318428</v>
      </c>
      <c r="H11782" s="7" t="n">
        <f aca="false">Sens!H11707*(1-tax_f)/(Sens!H11694*(Sens!G11778+Sens!H11778)/2)</f>
        <v>0.130852385928537</v>
      </c>
      <c r="I11782" s="7" t="n">
        <f aca="false">Sens!I11707*(1-tax_f)/(Sens!I11694*(Sens!H11778+Sens!I11778)/2)</f>
        <v>0.139991661146938</v>
      </c>
      <c r="J11782" s="7" t="n">
        <f aca="false">Sens!J11707*(1-tax_f)/(Sens!J11694*(Sens!I11778+Sens!J11778)/2)</f>
        <v>0.152806946444463</v>
      </c>
      <c r="K11782" s="7" t="n">
        <f aca="false">Sens!K11707*(1-tax_f)/(Sens!K11694*(Sens!J11778+Sens!K11778)/2)</f>
        <v>0.170548941900337</v>
      </c>
    </row>
    <row r="11783" customFormat="false" ht="17.15" hidden="false" customHeight="false" outlineLevel="0" collapsed="false">
      <c r="A11783" s="0" t="s">
        <v>857</v>
      </c>
      <c r="B11783" s="0" t="s">
        <v>209</v>
      </c>
      <c r="F11783" s="7" t="n">
        <f aca="false">Sens!F11779-wacc</f>
        <v>0.000240654749207356</v>
      </c>
      <c r="G11783" s="7" t="n">
        <f aca="false">Sens!G11779-wacc</f>
        <v>-0.00191468249515041</v>
      </c>
      <c r="H11783" s="7" t="n">
        <f aca="false">Sens!H11779-wacc</f>
        <v>0.00329605358564671</v>
      </c>
      <c r="I11783" s="7" t="n">
        <f aca="false">Sens!I11779-wacc</f>
        <v>0.0111144470949234</v>
      </c>
      <c r="J11783" s="7" t="n">
        <f aca="false">Sens!J11779-wacc</f>
        <v>0.0217276749898373</v>
      </c>
      <c r="K11783" s="7" t="n">
        <f aca="false">Sens!K11779-wacc</f>
        <v>0.0364160301253913</v>
      </c>
    </row>
    <row r="11784" customFormat="false" ht="17.15" hidden="false" customHeight="false" outlineLevel="0" collapsed="false">
      <c r="A11784" s="0" t="s">
        <v>858</v>
      </c>
      <c r="B11784" s="0" t="s">
        <v>98</v>
      </c>
      <c r="F11784" s="6" t="n">
        <f aca="false">Sens!F11777*(1-tax_f)-wacc*(Sens!E11778+Sens!F11778)/2</f>
        <v>0.0465999276361799</v>
      </c>
      <c r="G11784" s="6" t="n">
        <f aca="false">Sens!G11777*(1-tax_f)-wacc*(Sens!F11778+Sens!G11778)/2</f>
        <v>-0.616741976442548</v>
      </c>
      <c r="H11784" s="6" t="n">
        <f aca="false">Sens!H11777*(1-tax_f)-wacc*(Sens!G11778+Sens!H11778)/2</f>
        <v>1.42987612728144</v>
      </c>
      <c r="I11784" s="6" t="n">
        <f aca="false">Sens!I11777*(1-tax_f)-wacc*(Sens!H11778+Sens!I11778)/2</f>
        <v>5.66662735418333</v>
      </c>
      <c r="J11784" s="6" t="n">
        <f aca="false">Sens!J11777*(1-tax_f)-wacc*(Sens!I11778+Sens!J11778)/2</f>
        <v>11.5888375310068</v>
      </c>
      <c r="K11784" s="6" t="n">
        <f aca="false">Sens!K11777*(1-tax_f)-wacc*(Sens!J11778+Sens!K11778)/2</f>
        <v>18.8885528097551</v>
      </c>
    </row>
    <row r="11785" customFormat="false" ht="17.15" hidden="false" customHeight="false" outlineLevel="0" collapsed="false">
      <c r="A11785" s="3" t="s">
        <v>1542</v>
      </c>
    </row>
    <row r="11786" customFormat="false" ht="15" hidden="false" customHeight="false" outlineLevel="0" collapsed="false">
      <c r="A11786" s="4" t="s">
        <v>43</v>
      </c>
      <c r="B11786" s="4" t="s">
        <v>65</v>
      </c>
      <c r="C11786" s="20" t="s">
        <v>788</v>
      </c>
      <c r="D11786" s="20" t="s">
        <v>789</v>
      </c>
      <c r="E11786" s="20" t="s">
        <v>790</v>
      </c>
      <c r="F11786" s="20" t="s">
        <v>791</v>
      </c>
      <c r="G11786" s="20" t="s">
        <v>792</v>
      </c>
      <c r="H11786" s="20" t="s">
        <v>793</v>
      </c>
      <c r="I11786" s="20" t="s">
        <v>794</v>
      </c>
      <c r="J11786" s="20" t="s">
        <v>795</v>
      </c>
      <c r="K11786" s="20" t="s">
        <v>796</v>
      </c>
      <c r="L11786" s="4" t="s">
        <v>47</v>
      </c>
    </row>
    <row r="11787" customFormat="false" ht="15" hidden="false" customHeight="false" outlineLevel="0" collapsed="false">
      <c r="A11787" s="1" t="s">
        <v>915</v>
      </c>
      <c r="B11787" s="0" t="s">
        <v>98</v>
      </c>
      <c r="F11787" s="6" t="n">
        <f aca="false">Sens!F11768</f>
        <v>146.704359819335</v>
      </c>
      <c r="G11787" s="6" t="n">
        <f aca="false">Sens!G11768</f>
        <v>163.502982289434</v>
      </c>
      <c r="H11787" s="6" t="n">
        <f aca="false">Sens!H11768</f>
        <v>180.472404624855</v>
      </c>
      <c r="I11787" s="6" t="n">
        <f aca="false">Sens!I11768</f>
        <v>196.769181650449</v>
      </c>
      <c r="J11787" s="6" t="n">
        <f aca="false">Sens!J11768</f>
        <v>211.995583301472</v>
      </c>
      <c r="K11787" s="6" t="n">
        <f aca="false">Sens!K11768</f>
        <v>226.847617821028</v>
      </c>
    </row>
    <row r="11788" customFormat="false" ht="17.15" hidden="false" customHeight="false" outlineLevel="0" collapsed="false">
      <c r="A11788" s="1" t="s">
        <v>937</v>
      </c>
      <c r="B11788" s="0" t="s">
        <v>98</v>
      </c>
      <c r="E11788" s="6" t="n">
        <f aca="false">Q!M38-Sens!E11706</f>
        <v>22.2285940229167</v>
      </c>
      <c r="F11788" s="6" t="n">
        <f aca="false">Sens!E11788*(1-1/life_nonai)+Sens!F11794/life_nonai</f>
        <v>23.5636693435813</v>
      </c>
      <c r="G11788" s="6" t="n">
        <f aca="false">Sens!F11788*(1-1/life_nonai)+Sens!G11794/life_nonai</f>
        <v>25.3225917662621</v>
      </c>
      <c r="H11788" s="6" t="n">
        <f aca="false">Sens!G11788*(1-1/life_nonai)+Sens!H11794/life_nonai</f>
        <v>27.4714839540448</v>
      </c>
      <c r="I11788" s="6" t="n">
        <f aca="false">Sens!H11788*(1-1/life_nonai)+Sens!I11794/life_nonai</f>
        <v>29.9441755898047</v>
      </c>
      <c r="J11788" s="6" t="n">
        <f aca="false">Sens!I11788*(1-1/life_nonai)+Sens!J11794/life_nonai</f>
        <v>32.6578493558616</v>
      </c>
      <c r="K11788" s="6" t="n">
        <f aca="false">Sens!J11788*(1-1/life_nonai)+Sens!K11794/life_nonai</f>
        <v>35.5289346944749</v>
      </c>
      <c r="L11788" s="11" t="s">
        <v>938</v>
      </c>
    </row>
    <row r="11789" customFormat="false" ht="17.15" hidden="false" customHeight="false" outlineLevel="0" collapsed="false">
      <c r="A11789" s="1" t="s">
        <v>939</v>
      </c>
      <c r="B11789" s="0" t="s">
        <v>98</v>
      </c>
      <c r="E11789" s="6" t="n">
        <f aca="false">Sens!E11706+Sens!E11788</f>
        <v>38.534</v>
      </c>
      <c r="F11789" s="6" t="n">
        <f aca="false">Sens!F11706+Sens!F11788</f>
        <v>58.304204799451</v>
      </c>
      <c r="G11789" s="6" t="n">
        <f aca="false">Sens!G11706+Sens!G11788</f>
        <v>85.8293250266017</v>
      </c>
      <c r="H11789" s="6" t="n">
        <f aca="false">Sens!H11706+Sens!H11788</f>
        <v>115.213799947184</v>
      </c>
      <c r="I11789" s="6" t="n">
        <f aca="false">Sens!I11706+Sens!I11788</f>
        <v>141.931215572026</v>
      </c>
      <c r="J11789" s="6" t="n">
        <f aca="false">Sens!J11706+Sens!J11788</f>
        <v>161.841560278527</v>
      </c>
      <c r="K11789" s="6" t="n">
        <f aca="false">Sens!K11706+Sens!K11788</f>
        <v>175.176581498948</v>
      </c>
    </row>
    <row r="11790" customFormat="false" ht="17.15" hidden="false" customHeight="false" outlineLevel="0" collapsed="false">
      <c r="A11790" s="1" t="s">
        <v>940</v>
      </c>
      <c r="B11790" s="0" t="s">
        <v>98</v>
      </c>
      <c r="F11790" s="6" t="n">
        <f aca="false">Sens!F11733*sbc_r</f>
        <v>14.9308704941267</v>
      </c>
      <c r="G11790" s="6" t="n">
        <f aca="false">Sens!G11733*sbc_r</f>
        <v>17.7641108812713</v>
      </c>
      <c r="H11790" s="6" t="n">
        <f aca="false">Sens!H11733*sbc_r</f>
        <v>20.6640880611968</v>
      </c>
      <c r="I11790" s="6" t="n">
        <f aca="false">Sens!I11733*sbc_r</f>
        <v>23.3389517385966</v>
      </c>
      <c r="J11790" s="6" t="n">
        <f aca="false">Sens!J11733*sbc_r</f>
        <v>25.5345019510649</v>
      </c>
      <c r="K11790" s="6" t="n">
        <f aca="false">Sens!K11733*sbc_r</f>
        <v>27.3009881602573</v>
      </c>
    </row>
    <row r="11791" customFormat="false" ht="17.15" hidden="false" customHeight="false" outlineLevel="0" collapsed="false">
      <c r="A11791" s="1" t="s">
        <v>941</v>
      </c>
      <c r="B11791" s="0" t="s">
        <v>98</v>
      </c>
      <c r="F11791" s="6" t="n">
        <f aca="false">wc27</f>
        <v>-4.895</v>
      </c>
      <c r="G11791" s="6" t="n">
        <f aca="false">wc_f</f>
        <v>0</v>
      </c>
      <c r="H11791" s="6" t="n">
        <f aca="false">wc_f</f>
        <v>0</v>
      </c>
      <c r="I11791" s="6" t="n">
        <f aca="false">wc_f</f>
        <v>0</v>
      </c>
      <c r="J11791" s="6" t="n">
        <f aca="false">wc_f</f>
        <v>0</v>
      </c>
      <c r="K11791" s="6" t="n">
        <f aca="false">wc_f</f>
        <v>0</v>
      </c>
      <c r="L11791" s="11" t="s">
        <v>942</v>
      </c>
    </row>
    <row r="11792" customFormat="false" ht="15" hidden="false" customHeight="false" outlineLevel="0" collapsed="false">
      <c r="A11792" s="1" t="s">
        <v>756</v>
      </c>
      <c r="B11792" s="0" t="s">
        <v>98</v>
      </c>
      <c r="E11792" s="6" t="n">
        <f aca="false">Q!M35</f>
        <v>182.935</v>
      </c>
      <c r="F11792" s="6" t="n">
        <f aca="false">Sens!F11787+Sens!F11789+Sens!F11790+Sens!F11791</f>
        <v>215.044435112912</v>
      </c>
      <c r="G11792" s="6" t="n">
        <f aca="false">Sens!G11787+Sens!G11789+Sens!G11790+Sens!G11791</f>
        <v>267.096418197307</v>
      </c>
      <c r="H11792" s="6" t="n">
        <f aca="false">Sens!H11787+Sens!H11789+Sens!H11790+Sens!H11791</f>
        <v>316.350292633236</v>
      </c>
      <c r="I11792" s="6" t="n">
        <f aca="false">Sens!I11787+Sens!I11789+Sens!I11790+Sens!I11791</f>
        <v>362.039348961071</v>
      </c>
      <c r="J11792" s="6" t="n">
        <f aca="false">Sens!J11787+Sens!J11789+Sens!J11790+Sens!J11791</f>
        <v>399.371645531065</v>
      </c>
      <c r="K11792" s="6" t="n">
        <f aca="false">Sens!K11787+Sens!K11789+Sens!K11790+Sens!K11791</f>
        <v>429.325187480234</v>
      </c>
    </row>
    <row r="11793" customFormat="false" ht="17.15" hidden="false" customHeight="false" outlineLevel="0" collapsed="false">
      <c r="A11793" s="0" t="s">
        <v>943</v>
      </c>
      <c r="B11793" s="0" t="s">
        <v>98</v>
      </c>
      <c r="F11793" s="6" t="n">
        <f aca="false">Sens!F11703</f>
        <v>168.620652770438</v>
      </c>
      <c r="G11793" s="6" t="n">
        <f aca="false">Sens!G11703</f>
        <v>183.5741804832</v>
      </c>
      <c r="H11793" s="6" t="n">
        <f aca="false">Sens!H11703</f>
        <v>188.0802859104</v>
      </c>
      <c r="I11793" s="6" t="n">
        <f aca="false">Sens!I11703</f>
        <v>163.706669154245</v>
      </c>
      <c r="J11793" s="6" t="n">
        <f aca="false">Sens!J11703</f>
        <v>124.51247671809</v>
      </c>
      <c r="K11793" s="6" t="n">
        <f aca="false">Sens!K11703</f>
        <v>114.959435641936</v>
      </c>
    </row>
    <row r="11794" customFormat="false" ht="17.15" hidden="false" customHeight="false" outlineLevel="0" collapsed="false">
      <c r="A11794" s="1" t="s">
        <v>944</v>
      </c>
      <c r="B11794" s="0" t="s">
        <v>98</v>
      </c>
      <c r="E11794" s="6" t="n">
        <f aca="false">Sens!E11711*cx_azo+Sens!E11718*cx_m365+Sens!E11719*cx_lic+(Sens!E11721+Sens!E11723)*cx_ind+Sens!E11726*cx_srch+(Sens!E11728+Sens!E11730)*cx_dev</f>
        <v>30.1846587067718</v>
      </c>
      <c r="F11794" s="6" t="n">
        <f aca="false">Sens!F11711*cx_azo+Sens!F11718*cx_m365+Sens!F11719*cx_lic+(Sens!F11721+Sens!F11723)*cx_ind+Sens!F11726*cx_srch+(Sens!F11728+Sens!F11730)*cx_dev</f>
        <v>35.5793472295625</v>
      </c>
      <c r="G11794" s="6" t="n">
        <f aca="false">Sens!G11711*cx_azo+Sens!G11718*cx_m365+Sens!G11719*cx_lic+(Sens!G11721+Sens!G11723)*cx_ind+Sens!G11726*cx_srch+(Sens!G11728+Sens!G11730)*cx_dev</f>
        <v>41.1528935703892</v>
      </c>
      <c r="H11794" s="6" t="n">
        <f aca="false">Sens!H11711*cx_azo+Sens!H11718*cx_m365+Sens!H11719*cx_lic+(Sens!H11721+Sens!H11723)*cx_ind+Sens!H11726*cx_srch+(Sens!H11728+Sens!H11730)*cx_dev</f>
        <v>46.8115136440897</v>
      </c>
      <c r="I11794" s="6" t="n">
        <f aca="false">Sens!I11711*cx_azo+Sens!I11718*cx_m365+Sens!I11719*cx_lic+(Sens!I11721+Sens!I11723)*cx_ind+Sens!I11726*cx_srch+(Sens!I11728+Sens!I11730)*cx_dev</f>
        <v>52.1984003116439</v>
      </c>
      <c r="J11794" s="6" t="n">
        <f aca="false">Sens!J11711*cx_azo+Sens!J11718*cx_m365+Sens!J11719*cx_lic+(Sens!J11721+Sens!J11723)*cx_ind+Sens!J11726*cx_srch+(Sens!J11728+Sens!J11730)*cx_dev</f>
        <v>57.0809132503738</v>
      </c>
      <c r="K11794" s="6" t="n">
        <f aca="false">Sens!K11711*cx_azo+Sens!K11718*cx_m365+Sens!K11719*cx_lic+(Sens!K11721+Sens!K11723)*cx_ind+Sens!K11726*cx_srch+(Sens!K11728+Sens!K11730)*cx_dev</f>
        <v>61.368702741994</v>
      </c>
    </row>
    <row r="11795" customFormat="false" ht="17.15" hidden="false" customHeight="false" outlineLevel="0" collapsed="false">
      <c r="A11795" s="1" t="s">
        <v>945</v>
      </c>
      <c r="B11795" s="0" t="s">
        <v>98</v>
      </c>
      <c r="E11795" s="6" t="n">
        <f aca="false">Q!M42</f>
        <v>145.3</v>
      </c>
      <c r="F11795" s="6" t="n">
        <f aca="false">Sens!F11793+Sens!F11794</f>
        <v>204.2</v>
      </c>
      <c r="G11795" s="6" t="n">
        <f aca="false">Sens!G11793+Sens!G11794</f>
        <v>224.727074053589</v>
      </c>
      <c r="H11795" s="6" t="n">
        <f aca="false">Sens!H11793+Sens!H11794</f>
        <v>234.89179955449</v>
      </c>
      <c r="I11795" s="6" t="n">
        <f aca="false">Sens!I11793+Sens!I11794</f>
        <v>215.905069465889</v>
      </c>
      <c r="J11795" s="6" t="n">
        <f aca="false">Sens!J11793+Sens!J11794</f>
        <v>181.593389968464</v>
      </c>
      <c r="K11795" s="6" t="n">
        <f aca="false">Sens!K11793+Sens!K11794</f>
        <v>176.32813838393</v>
      </c>
      <c r="L11795" s="1" t="s">
        <v>946</v>
      </c>
    </row>
    <row r="11796" customFormat="false" ht="15" hidden="false" customHeight="false" outlineLevel="0" collapsed="false">
      <c r="A11796" s="1" t="s">
        <v>947</v>
      </c>
      <c r="B11796" s="0" t="s">
        <v>98</v>
      </c>
      <c r="E11796" s="6" t="n">
        <f aca="false">fl_liab</f>
        <v>66.594</v>
      </c>
      <c r="F11796" s="6" t="n">
        <f aca="false">Sens!E11796-Sens!F11797</f>
        <v>62.46973</v>
      </c>
      <c r="G11796" s="6" t="n">
        <f aca="false">Sens!F11796-Sens!G11797</f>
        <v>57.98686785</v>
      </c>
      <c r="H11796" s="6" t="n">
        <f aca="false">Sens!G11796-Sens!H11797</f>
        <v>53.92827690325</v>
      </c>
      <c r="I11796" s="6" t="n">
        <f aca="false">Sens!H11796-Sens!I11797</f>
        <v>49.7850493638962</v>
      </c>
      <c r="J11796" s="6" t="n">
        <f aca="false">Sens!I11796-Sens!J11797</f>
        <v>45.4823765852716</v>
      </c>
      <c r="K11796" s="6" t="n">
        <f aca="false">Sens!J11796-Sens!K11797</f>
        <v>40.9860835316088</v>
      </c>
    </row>
    <row r="11797" customFormat="false" ht="15" hidden="false" customHeight="false" outlineLevel="0" collapsed="false">
      <c r="A11797" s="1" t="s">
        <v>948</v>
      </c>
      <c r="B11797" s="0" t="s">
        <v>98</v>
      </c>
      <c r="F11797" s="6" t="n">
        <f aca="false">fl_pay_27-Sens!E11796*fl_rate</f>
        <v>4.12427</v>
      </c>
      <c r="G11797" s="6" t="n">
        <f aca="false">fl_pay_28-Sens!F11796*fl_rate</f>
        <v>4.48286215</v>
      </c>
      <c r="H11797" s="6" t="n">
        <f aca="false">fl_pay_29-Sens!G11796*fl_rate</f>
        <v>4.05859094675</v>
      </c>
      <c r="I11797" s="6" t="n">
        <f aca="false">fl_pay_30-Sens!H11796*fl_rate</f>
        <v>4.14322753935375</v>
      </c>
      <c r="J11797" s="6" t="n">
        <f aca="false">fl_pay_31-Sens!I11796*fl_rate</f>
        <v>4.30267277862467</v>
      </c>
      <c r="K11797" s="6" t="n">
        <f aca="false">fl_pay_32-Sens!J11796*fl_rate</f>
        <v>4.49629305366278</v>
      </c>
    </row>
    <row r="11798" customFormat="false" ht="17.15" hidden="false" customHeight="false" outlineLevel="0" collapsed="false">
      <c r="A11798" s="1" t="s">
        <v>949</v>
      </c>
      <c r="B11798" s="0" t="s">
        <v>98</v>
      </c>
      <c r="E11798" s="6" t="n">
        <f aca="false">Q!M35-Q!M36-Q!M43</f>
        <v>63.886</v>
      </c>
      <c r="F11798" s="6" t="n">
        <f aca="false">Sens!F11792-Sens!F11795-Sens!F11797</f>
        <v>6.72016511291229</v>
      </c>
      <c r="G11798" s="6" t="n">
        <f aca="false">Sens!G11792-Sens!G11795-Sens!G11797</f>
        <v>37.886481993718</v>
      </c>
      <c r="H11798" s="6" t="n">
        <f aca="false">Sens!H11792-Sens!H11795-Sens!H11797</f>
        <v>77.3999021319968</v>
      </c>
      <c r="I11798" s="6" t="n">
        <f aca="false">Sens!I11792-Sens!I11795-Sens!I11797</f>
        <v>141.991051955828</v>
      </c>
      <c r="J11798" s="6" t="n">
        <f aca="false">Sens!J11792-Sens!J11795-Sens!J11797</f>
        <v>213.475582783976</v>
      </c>
      <c r="K11798" s="6" t="n">
        <f aca="false">Sens!K11792-Sens!K11795-Sens!K11797</f>
        <v>248.500756042641</v>
      </c>
      <c r="L11798" s="11" t="s">
        <v>950</v>
      </c>
    </row>
    <row r="11799" customFormat="false" ht="15" hidden="false" customHeight="false" outlineLevel="0" collapsed="false">
      <c r="A11799" s="1" t="s">
        <v>951</v>
      </c>
      <c r="B11799" s="0" t="s">
        <v>75</v>
      </c>
      <c r="F11799" s="8" t="n">
        <f aca="false">dps_27</f>
        <v>3.85</v>
      </c>
      <c r="G11799" s="8" t="n">
        <f aca="false">Sens!F11799*(1+dps_g)</f>
        <v>4.158</v>
      </c>
      <c r="H11799" s="8" t="n">
        <f aca="false">Sens!G11799*(1+dps_g)</f>
        <v>4.49064</v>
      </c>
      <c r="I11799" s="8" t="n">
        <f aca="false">Sens!H11799*(1+dps_g)</f>
        <v>4.8498912</v>
      </c>
      <c r="J11799" s="8" t="n">
        <f aca="false">Sens!I11799*(1+dps_g)</f>
        <v>5.237882496</v>
      </c>
      <c r="K11799" s="8" t="n">
        <f aca="false">Sens!J11799*(1+dps_g)</f>
        <v>5.65691309568</v>
      </c>
    </row>
    <row r="11800" customFormat="false" ht="17.15" hidden="false" customHeight="false" outlineLevel="0" collapsed="false">
      <c r="A11800" s="1" t="s">
        <v>952</v>
      </c>
      <c r="B11800" s="0" t="s">
        <v>98</v>
      </c>
      <c r="E11800" s="6" t="n">
        <f aca="false">Q!M41</f>
        <v>26.445</v>
      </c>
      <c r="F11800" s="6" t="n">
        <f aca="false">Sens!F11799*Sens!E11809</f>
        <v>28.59395</v>
      </c>
      <c r="G11800" s="6" t="n">
        <f aca="false">Sens!G11799*Sens!F11809</f>
        <v>31.068576</v>
      </c>
      <c r="H11800" s="6" t="n">
        <f aca="false">Sens!H11799*Sens!G11809</f>
        <v>33.7049228990852</v>
      </c>
      <c r="I11800" s="6" t="n">
        <f aca="false">Sens!I11799*Sens!H11809</f>
        <v>36.4522559710115</v>
      </c>
      <c r="J11800" s="6" t="n">
        <f aca="false">Sens!J11799*Sens!I11809</f>
        <v>39.4368352970118</v>
      </c>
      <c r="K11800" s="6" t="n">
        <f aca="false">Sens!K11799*Sens!J11809</f>
        <v>42.6790373460778</v>
      </c>
      <c r="L11800" s="1" t="s">
        <v>953</v>
      </c>
    </row>
    <row r="11801" customFormat="false" ht="15" hidden="false" customHeight="false" outlineLevel="0" collapsed="false">
      <c r="A11801" s="1" t="s">
        <v>954</v>
      </c>
      <c r="B11801" s="0" t="s">
        <v>98</v>
      </c>
      <c r="E11801" s="6" t="n">
        <f aca="false">Sens!E11798-Sens!E11800</f>
        <v>37.441</v>
      </c>
      <c r="F11801" s="6" t="n">
        <f aca="false">Sens!F11798-Sens!F11800</f>
        <v>-21.8737848870877</v>
      </c>
      <c r="G11801" s="6" t="n">
        <f aca="false">Sens!G11798-Sens!G11800</f>
        <v>6.81790599371799</v>
      </c>
      <c r="H11801" s="6" t="n">
        <f aca="false">Sens!H11798-Sens!H11800</f>
        <v>43.6949792329116</v>
      </c>
      <c r="I11801" s="6" t="n">
        <f aca="false">Sens!I11798-Sens!I11800</f>
        <v>105.538795984817</v>
      </c>
      <c r="J11801" s="6" t="n">
        <f aca="false">Sens!J11798-Sens!J11800</f>
        <v>174.038747486964</v>
      </c>
      <c r="K11801" s="6" t="n">
        <f aca="false">Sens!K11798-Sens!K11800</f>
        <v>205.821718696563</v>
      </c>
    </row>
    <row r="11802" customFormat="false" ht="15" hidden="false" customHeight="false" outlineLevel="0" collapsed="false">
      <c r="A11802" s="1" t="s">
        <v>955</v>
      </c>
      <c r="B11802" s="0" t="s">
        <v>98</v>
      </c>
      <c r="F11802" s="6" t="n">
        <f aca="false">debt_mat_27</f>
        <v>9.25</v>
      </c>
      <c r="G11802" s="6" t="n">
        <f aca="false">debt_mat_28</f>
        <v>0</v>
      </c>
      <c r="H11802" s="6" t="n">
        <f aca="false">debt_mat_29</f>
        <v>2.001</v>
      </c>
      <c r="I11802" s="6" t="n">
        <f aca="false">debt_mat_30</f>
        <v>0</v>
      </c>
      <c r="J11802" s="6" t="n">
        <f aca="false">debt_mat_31</f>
        <v>0.5</v>
      </c>
      <c r="K11802" s="6" t="n">
        <f aca="false">debt_mat_32</f>
        <v>0</v>
      </c>
    </row>
    <row r="11803" customFormat="false" ht="15" hidden="false" customHeight="false" outlineLevel="0" collapsed="false">
      <c r="A11803" s="1" t="s">
        <v>956</v>
      </c>
      <c r="B11803" s="0" t="s">
        <v>98</v>
      </c>
      <c r="E11803" s="6" t="n">
        <f aca="false">Q!M40</f>
        <v>22.271</v>
      </c>
      <c r="F11803" s="6" t="n">
        <f aca="false">MAX(0,MIN(bb_target,Sens!E11805+Sens!F11801-Sens!F11802-min_cash))</f>
        <v>0</v>
      </c>
      <c r="G11803" s="6" t="n">
        <f aca="false">MAX(0,MIN(bb_target,Sens!F11805+Sens!G11801-Sens!G11802-min_cash))</f>
        <v>6.81790599371799</v>
      </c>
      <c r="H11803" s="6" t="n">
        <f aca="false">MAX(0,MIN(bb_target,Sens!G11805+Sens!H11801-Sens!H11802-min_cash))</f>
        <v>22.271</v>
      </c>
      <c r="I11803" s="6" t="n">
        <f aca="false">MAX(0,MIN(bb_target,Sens!H11805+Sens!I11801-Sens!I11802-min_cash))</f>
        <v>22.271</v>
      </c>
      <c r="J11803" s="6" t="n">
        <f aca="false">MAX(0,MIN(bb_target,Sens!I11805+Sens!J11801-Sens!J11802-min_cash))</f>
        <v>22.271</v>
      </c>
      <c r="K11803" s="6" t="n">
        <f aca="false">MAX(0,MIN(bb_target,Sens!J11805+Sens!K11801-Sens!K11802-min_cash))</f>
        <v>22.271</v>
      </c>
    </row>
    <row r="11804" customFormat="false" ht="15" hidden="false" customHeight="false" outlineLevel="0" collapsed="false">
      <c r="A11804" s="1" t="s">
        <v>957</v>
      </c>
      <c r="B11804" s="0" t="s">
        <v>98</v>
      </c>
      <c r="F11804" s="6" t="n">
        <f aca="false">MAX(0,min_cash-(Sens!E11805+Sens!F11801-Sens!F11802-Sens!F11803))</f>
        <v>4.28078488708771</v>
      </c>
      <c r="G11804" s="6" t="n">
        <f aca="false">MAX(0,min_cash-(Sens!F11805+Sens!G11801-Sens!G11802-Sens!G11803))</f>
        <v>0</v>
      </c>
      <c r="H11804" s="6" t="n">
        <f aca="false">MAX(0,min_cash-(Sens!G11805+Sens!H11801-Sens!H11802-Sens!H11803))</f>
        <v>0</v>
      </c>
      <c r="I11804" s="6" t="n">
        <f aca="false">MAX(0,min_cash-(Sens!H11805+Sens!I11801-Sens!I11802-Sens!I11803))</f>
        <v>0</v>
      </c>
      <c r="J11804" s="6" t="n">
        <f aca="false">MAX(0,min_cash-(Sens!I11805+Sens!J11801-Sens!J11802-Sens!J11803))</f>
        <v>0</v>
      </c>
      <c r="K11804" s="6" t="n">
        <f aca="false">MAX(0,min_cash-(Sens!J11805+Sens!K11801-Sens!K11802-Sens!K11803))</f>
        <v>0</v>
      </c>
    </row>
    <row r="11805" customFormat="false" ht="15" hidden="false" customHeight="false" outlineLevel="0" collapsed="false">
      <c r="A11805" s="1" t="s">
        <v>958</v>
      </c>
      <c r="B11805" s="0" t="s">
        <v>98</v>
      </c>
      <c r="E11805" s="6" t="n">
        <f aca="false">cash_open</f>
        <v>76.843</v>
      </c>
      <c r="F11805" s="6" t="n">
        <f aca="false">Sens!E11805+Sens!F11801-Sens!F11802-Sens!F11803+Sens!F11804</f>
        <v>50</v>
      </c>
      <c r="G11805" s="6" t="n">
        <f aca="false">Sens!F11805+Sens!G11801-Sens!G11802-Sens!G11803+Sens!G11804</f>
        <v>50</v>
      </c>
      <c r="H11805" s="6" t="n">
        <f aca="false">Sens!G11805+Sens!H11801-Sens!H11802-Sens!H11803+Sens!H11804</f>
        <v>69.4229792329115</v>
      </c>
      <c r="I11805" s="6" t="n">
        <f aca="false">Sens!H11805+Sens!I11801-Sens!I11802-Sens!I11803+Sens!I11804</f>
        <v>152.690775217728</v>
      </c>
      <c r="J11805" s="6" t="n">
        <f aca="false">Sens!I11805+Sens!J11801-Sens!J11802-Sens!J11803+Sens!J11804</f>
        <v>303.958522704692</v>
      </c>
      <c r="K11805" s="6" t="n">
        <f aca="false">Sens!J11805+Sens!K11801-Sens!K11802-Sens!K11803+Sens!K11804</f>
        <v>487.509241401256</v>
      </c>
    </row>
    <row r="11806" customFormat="false" ht="15" hidden="false" customHeight="false" outlineLevel="0" collapsed="false">
      <c r="A11806" s="1" t="s">
        <v>959</v>
      </c>
      <c r="B11806" s="0" t="s">
        <v>98</v>
      </c>
      <c r="E11806" s="6" t="n">
        <f aca="false">debt_face</f>
        <v>46.136</v>
      </c>
      <c r="F11806" s="6" t="n">
        <f aca="false">Sens!E11806-Sens!F11802+Sens!F11804</f>
        <v>41.1667848870877</v>
      </c>
      <c r="G11806" s="6" t="n">
        <f aca="false">Sens!F11806-Sens!G11802+Sens!G11804</f>
        <v>41.1667848870877</v>
      </c>
      <c r="H11806" s="6" t="n">
        <f aca="false">Sens!G11806-Sens!H11802+Sens!H11804</f>
        <v>39.1657848870877</v>
      </c>
      <c r="I11806" s="6" t="n">
        <f aca="false">Sens!H11806-Sens!I11802+Sens!I11804</f>
        <v>39.1657848870877</v>
      </c>
      <c r="J11806" s="6" t="n">
        <f aca="false">Sens!I11806-Sens!J11802+Sens!J11804</f>
        <v>38.6657848870877</v>
      </c>
      <c r="K11806" s="6" t="n">
        <f aca="false">Sens!J11806-Sens!K11802+Sens!K11804</f>
        <v>38.6657848870877</v>
      </c>
    </row>
    <row r="11807" customFormat="false" ht="15" hidden="false" customHeight="false" outlineLevel="0" collapsed="false">
      <c r="A11807" s="1" t="s">
        <v>960</v>
      </c>
      <c r="B11807" s="0" t="s">
        <v>98</v>
      </c>
      <c r="E11807" s="6" t="n">
        <f aca="false">Sens!E11805-Sens!E11806</f>
        <v>30.707</v>
      </c>
      <c r="F11807" s="6" t="n">
        <f aca="false">Sens!F11805-Sens!F11806</f>
        <v>8.83321511291229</v>
      </c>
      <c r="G11807" s="6" t="n">
        <f aca="false">Sens!G11805-Sens!G11806</f>
        <v>8.83321511291229</v>
      </c>
      <c r="H11807" s="6" t="n">
        <f aca="false">Sens!H11805-Sens!H11806</f>
        <v>30.2571943458238</v>
      </c>
      <c r="I11807" s="6" t="n">
        <f aca="false">Sens!I11805-Sens!I11806</f>
        <v>113.524990330641</v>
      </c>
      <c r="J11807" s="6" t="n">
        <f aca="false">Sens!J11805-Sens!J11806</f>
        <v>265.292737817605</v>
      </c>
      <c r="K11807" s="6" t="n">
        <f aca="false">Sens!K11805-Sens!K11806</f>
        <v>448.843456514168</v>
      </c>
    </row>
    <row r="11808" customFormat="false" ht="15" hidden="false" customHeight="false" outlineLevel="0" collapsed="false">
      <c r="A11808" s="1" t="s">
        <v>961</v>
      </c>
      <c r="B11808" s="0" t="s">
        <v>75</v>
      </c>
      <c r="F11808" s="29" t="n">
        <f aca="false">px*(1+bb_g)^(Sens!F11672-base_fy-mid_yr)</f>
        <v>553.494156066711</v>
      </c>
      <c r="G11808" s="29" t="n">
        <f aca="false">px*(1+bb_g)^(Sens!G11672-base_fy-mid_yr)</f>
        <v>597.773688552047</v>
      </c>
      <c r="H11808" s="29" t="n">
        <f aca="false">px*(1+bb_g)^(Sens!H11672-base_fy-mid_yr)</f>
        <v>645.595583636211</v>
      </c>
      <c r="I11808" s="29" t="n">
        <f aca="false">px*(1+bb_g)^(Sens!I11672-base_fy-mid_yr)</f>
        <v>697.243230327108</v>
      </c>
      <c r="J11808" s="29" t="n">
        <f aca="false">px*(1+bb_g)^(Sens!J11672-base_fy-mid_yr)</f>
        <v>753.022688753277</v>
      </c>
      <c r="K11808" s="29" t="n">
        <f aca="false">px*(1+bb_g)^(Sens!K11672-base_fy-mid_yr)</f>
        <v>813.264503853539</v>
      </c>
    </row>
    <row r="11809" customFormat="false" ht="15" hidden="false" customHeight="false" outlineLevel="0" collapsed="false">
      <c r="A11809" s="1" t="s">
        <v>962</v>
      </c>
      <c r="B11809" s="1" t="s">
        <v>81</v>
      </c>
      <c r="E11809" s="14" t="n">
        <f aca="false">sh_out26</f>
        <v>7.427</v>
      </c>
      <c r="F11809" s="14" t="n">
        <f aca="false">Sens!E11809+sh_iss-Sens!F11803/Sens!F11808</f>
        <v>7.472</v>
      </c>
      <c r="G11809" s="14" t="n">
        <f aca="false">Sens!F11809+sh_iss-Sens!G11803/Sens!G11808</f>
        <v>7.50559450302968</v>
      </c>
      <c r="H11809" s="14" t="n">
        <f aca="false">Sens!G11809+sh_iss-Sens!H11803/Sens!H11808</f>
        <v>7.51609767472958</v>
      </c>
      <c r="I11809" s="14" t="n">
        <f aca="false">Sens!H11809+sh_iss-Sens!I11803/Sens!I11808</f>
        <v>7.52915616704431</v>
      </c>
      <c r="J11809" s="14" t="n">
        <f aca="false">Sens!I11809+sh_iss-Sens!J11803/Sens!J11808</f>
        <v>7.54458069696535</v>
      </c>
      <c r="K11809" s="14" t="n">
        <f aca="false">Sens!J11809+sh_iss-Sens!K11803/Sens!K11808</f>
        <v>7.56219600244779</v>
      </c>
    </row>
    <row r="11810" customFormat="false" ht="15" hidden="false" customHeight="false" outlineLevel="0" collapsed="false">
      <c r="A11810" s="1" t="s">
        <v>963</v>
      </c>
      <c r="B11810" s="1" t="s">
        <v>81</v>
      </c>
      <c r="E11810" s="14" t="n">
        <f aca="false">sh_dil26</f>
        <v>7.453</v>
      </c>
      <c r="F11810" s="14" t="n">
        <f aca="false">(Sens!E11809+Sens!F11809)/2+dil_gap</f>
        <v>7.4735</v>
      </c>
      <c r="G11810" s="14" t="n">
        <f aca="false">(Sens!F11809+Sens!G11809)/2+dil_gap</f>
        <v>7.51279725151484</v>
      </c>
      <c r="H11810" s="14" t="n">
        <f aca="false">(Sens!G11809+Sens!H11809)/2+dil_gap</f>
        <v>7.53484608887963</v>
      </c>
      <c r="I11810" s="14" t="n">
        <f aca="false">(Sens!H11809+Sens!I11809)/2+dil_gap</f>
        <v>7.54662692088694</v>
      </c>
      <c r="J11810" s="14" t="n">
        <f aca="false">(Sens!I11809+Sens!J11809)/2+dil_gap</f>
        <v>7.56086843200483</v>
      </c>
      <c r="K11810" s="14" t="n">
        <f aca="false">(Sens!J11809+Sens!K11809)/2+dil_gap</f>
        <v>7.57738834970657</v>
      </c>
    </row>
    <row r="11811" customFormat="false" ht="17.15" hidden="false" customHeight="false" outlineLevel="0" collapsed="false">
      <c r="A11811" s="1" t="s">
        <v>964</v>
      </c>
      <c r="B11811" s="0" t="s">
        <v>98</v>
      </c>
      <c r="C11811" s="6" t="n">
        <f aca="false">SUM(Sens!F11801:J11801)</f>
        <v>308.216643811323</v>
      </c>
    </row>
    <row r="11812" customFormat="false" ht="15" hidden="false" customHeight="false" outlineLevel="0" collapsed="false">
      <c r="A11812" s="23" t="s">
        <v>935</v>
      </c>
      <c r="B11812" s="30" t="s">
        <v>98</v>
      </c>
      <c r="C11812" s="24" t="n">
        <f aca="false">Sens!$C$11811-(Sens!F11801+Sens!G11801+Sens!H11801+Sens!I11801+Sens!J11801)</f>
        <v>0</v>
      </c>
      <c r="D11812" s="30"/>
      <c r="E11812" s="30"/>
      <c r="F11812" s="30"/>
      <c r="G11812" s="30"/>
      <c r="H11812" s="30"/>
      <c r="I11812" s="30"/>
      <c r="J11812" s="30"/>
      <c r="K11812" s="30"/>
    </row>
    <row r="11813" customFormat="false" ht="17.15" hidden="false" customHeight="false" outlineLevel="0" collapsed="false">
      <c r="A11813" s="1" t="s">
        <v>929</v>
      </c>
      <c r="B11813" s="1" t="s">
        <v>965</v>
      </c>
      <c r="C11813" s="32" t="str">
        <f aca="false">IF(SUM(Sens!F11804:J11804)&gt;0.05,"需要舉債 "&amp;TEXT(SUM(Sens!F11804:J11804),"0.0")&amp;" 十億美元","不需舉債")&amp;"；"&amp;IF(SUM(Sens!F11803:J11803)&lt;COUNT(Sens!F11803:J11803)*bb_target-0.05,"回購較每年 "&amp;TEXT(bb_target,"0.0")&amp;" 的目標少 "&amp;TEXT(COUNT(Sens!F11803:J11803)*bb_target-SUM(Sens!F11803:J11803),"0.0")&amp;" 十億美元（"&amp;TEXT(COUNTIF(Sens!F11803:J11803,"&lt;"&amp;(bb_target-0.05)),"0")&amp;" 年減少）","回購不減")</f>
        <v>需要舉債 4.3 十億美元；回購較每年 22.3 的目標少 37.7 十億美元（2 年減少）</v>
      </c>
    </row>
    <row r="11814" customFormat="false" ht="17.15" hidden="false" customHeight="false" outlineLevel="0" collapsed="false">
      <c r="A11814" s="3" t="s">
        <v>1543</v>
      </c>
    </row>
    <row r="11815" customFormat="false" ht="15" hidden="false" customHeight="false" outlineLevel="0" collapsed="false">
      <c r="A11815" s="4" t="s">
        <v>43</v>
      </c>
      <c r="B11815" s="4" t="s">
        <v>65</v>
      </c>
      <c r="C11815" s="20" t="s">
        <v>788</v>
      </c>
      <c r="D11815" s="20" t="s">
        <v>789</v>
      </c>
      <c r="E11815" s="20" t="s">
        <v>790</v>
      </c>
      <c r="F11815" s="20" t="s">
        <v>791</v>
      </c>
      <c r="G11815" s="20" t="s">
        <v>792</v>
      </c>
      <c r="H11815" s="20" t="s">
        <v>793</v>
      </c>
      <c r="I11815" s="20" t="s">
        <v>794</v>
      </c>
      <c r="J11815" s="20" t="s">
        <v>795</v>
      </c>
      <c r="K11815" s="20" t="s">
        <v>796</v>
      </c>
      <c r="L11815" s="4" t="s">
        <v>47</v>
      </c>
    </row>
    <row r="11816" customFormat="false" ht="15" hidden="false" customHeight="false" outlineLevel="0" collapsed="false">
      <c r="A11816" s="1" t="s">
        <v>1042</v>
      </c>
      <c r="B11816" s="1" t="s">
        <v>235</v>
      </c>
      <c r="F11816" s="36" t="n">
        <f aca="false">Sens!F11672-base_fy-mid_yr</f>
        <v>0.5</v>
      </c>
      <c r="G11816" s="36" t="n">
        <f aca="false">Sens!G11672-base_fy-mid_yr</f>
        <v>1.5</v>
      </c>
      <c r="H11816" s="36" t="n">
        <f aca="false">Sens!H11672-base_fy-mid_yr</f>
        <v>2.5</v>
      </c>
      <c r="I11816" s="36" t="n">
        <f aca="false">Sens!I11672-base_fy-mid_yr</f>
        <v>3.5</v>
      </c>
      <c r="J11816" s="36" t="n">
        <f aca="false">Sens!J11672-base_fy-mid_yr</f>
        <v>4.5</v>
      </c>
      <c r="K11816" s="36" t="n">
        <f aca="false">Sens!K11672-base_fy-mid_yr</f>
        <v>5.5</v>
      </c>
    </row>
    <row r="11817" customFormat="false" ht="15" hidden="false" customHeight="false" outlineLevel="0" collapsed="false">
      <c r="A11817" s="1" t="s">
        <v>1043</v>
      </c>
      <c r="B11817" s="0" t="s">
        <v>185</v>
      </c>
      <c r="F11817" s="14" t="n">
        <f aca="false">1/(1+wacc)^Sens!F11816</f>
        <v>0.952193373608246</v>
      </c>
      <c r="G11817" s="14" t="n">
        <f aca="false">1/(1+wacc)^Sens!G11816</f>
        <v>0.863327280626589</v>
      </c>
      <c r="H11817" s="14" t="n">
        <f aca="false">1/(1+wacc)^Sens!H11816</f>
        <v>0.782754862754115</v>
      </c>
      <c r="I11817" s="14" t="n">
        <f aca="false">1/(1+wacc)^Sens!I11816</f>
        <v>0.709702089711011</v>
      </c>
      <c r="J11817" s="14" t="n">
        <f aca="false">1/(1+wacc)^Sens!J11816</f>
        <v>0.643467169744551</v>
      </c>
      <c r="K11817" s="14" t="n">
        <f aca="false">1/(1+wacc)^Sens!K11816</f>
        <v>0.583413807767797</v>
      </c>
    </row>
    <row r="11818" customFormat="false" ht="17.15" hidden="false" customHeight="false" outlineLevel="0" collapsed="false">
      <c r="A11818" s="1" t="s">
        <v>1044</v>
      </c>
      <c r="B11818" s="0" t="s">
        <v>98</v>
      </c>
      <c r="F11818" s="6" t="n">
        <f aca="false">Sens!F11792-Sens!F11790-Sens!F11795+Sens!F11776*(1-tax_f)</f>
        <v>11.6702193916313</v>
      </c>
      <c r="G11818" s="6" t="n">
        <f aca="false">Sens!G11792-Sens!G11790-Sens!G11795+Sens!G11776*(1-tax_f)</f>
        <v>52.4259928175766</v>
      </c>
      <c r="H11818" s="6" t="n">
        <f aca="false">Sens!H11792-Sens!H11790-Sens!H11795+Sens!H11776*(1-tax_f)</f>
        <v>101.761234229324</v>
      </c>
      <c r="I11818" s="6" t="n">
        <f aca="false">Sens!I11792-Sens!I11790-Sens!I11795+Sens!I11776*(1-tax_f)</f>
        <v>175.794802351537</v>
      </c>
      <c r="J11818" s="6" t="n">
        <f aca="false">Sens!J11792-Sens!J11790-Sens!J11795+Sens!J11776*(1-tax_f)</f>
        <v>253.686060829902</v>
      </c>
      <c r="K11818" s="6" t="n">
        <f aca="false">Sens!K11792-Sens!K11790-Sens!K11795+Sens!K11776*(1-tax_f)</f>
        <v>291.80403204815</v>
      </c>
      <c r="L11818" s="1" t="s">
        <v>1045</v>
      </c>
    </row>
    <row r="11819" customFormat="false" ht="15" hidden="false" customHeight="false" outlineLevel="0" collapsed="false">
      <c r="A11819" s="1" t="s">
        <v>1046</v>
      </c>
      <c r="B11819" s="0" t="s">
        <v>98</v>
      </c>
      <c r="F11819" s="6" t="n">
        <f aca="false">Sens!F11818*Sens!F11817</f>
        <v>11.1123055732658</v>
      </c>
      <c r="G11819" s="6" t="n">
        <f aca="false">Sens!G11818*Sens!G11817</f>
        <v>45.2607898133475</v>
      </c>
      <c r="H11819" s="6" t="n">
        <f aca="false">Sens!H11818*Sens!H11817</f>
        <v>79.6541009328642</v>
      </c>
      <c r="I11819" s="6" t="n">
        <f aca="false">Sens!I11818*Sens!I11817</f>
        <v>124.76193858922</v>
      </c>
      <c r="J11819" s="6" t="n">
        <f aca="false">Sens!J11818*Sens!J11817</f>
        <v>163.238651565861</v>
      </c>
      <c r="K11819" s="6" t="n">
        <f aca="false">Sens!K11818*Sens!K11817</f>
        <v>170.242501459208</v>
      </c>
    </row>
    <row r="11820" customFormat="false" ht="17.15" hidden="false" customHeight="false" outlineLevel="0" collapsed="false">
      <c r="A11820" s="1" t="s">
        <v>1047</v>
      </c>
      <c r="B11820" s="0" t="s">
        <v>98</v>
      </c>
      <c r="C11820" s="6" t="n">
        <f aca="false">SUM(Sens!F11819:K11819)</f>
        <v>594.270287933766</v>
      </c>
    </row>
    <row r="11821" customFormat="false" ht="17.15" hidden="false" customHeight="false" outlineLevel="0" collapsed="false">
      <c r="A11821" s="1" t="s">
        <v>1048</v>
      </c>
      <c r="B11821" s="0" t="s">
        <v>98</v>
      </c>
      <c r="C11821" s="6" t="n">
        <f aca="false">Sens!K11762*(1+g_tv)*(1-tax_f)</f>
        <v>302.073856601126</v>
      </c>
    </row>
    <row r="11822" customFormat="false" ht="17.15" hidden="false" customHeight="false" outlineLevel="0" collapsed="false">
      <c r="A11822" s="1" t="s">
        <v>1049</v>
      </c>
      <c r="B11822" s="0" t="s">
        <v>98</v>
      </c>
      <c r="C11822" s="6" t="n">
        <f aca="false">Sens!$C$11821*(1-g_tv/(wacc+ronic_prem))</f>
        <v>214.035125826161</v>
      </c>
    </row>
    <row r="11823" customFormat="false" ht="17.15" hidden="false" customHeight="false" outlineLevel="0" collapsed="false">
      <c r="A11823" s="1" t="s">
        <v>1050</v>
      </c>
      <c r="B11823" s="0" t="s">
        <v>98</v>
      </c>
      <c r="C11823" s="6" t="n">
        <f aca="false">Sens!$C$11822/(wacc-g_tv)</f>
        <v>2934.62435916548</v>
      </c>
    </row>
    <row r="11824" customFormat="false" ht="15" hidden="false" customHeight="false" outlineLevel="0" collapsed="false">
      <c r="A11824" s="1" t="s">
        <v>1051</v>
      </c>
      <c r="B11824" s="0" t="s">
        <v>98</v>
      </c>
      <c r="C11824" s="6" t="n">
        <f aca="false">Sens!$C$11823/(1+wacc)^(Sens!K11816+mid_yr)</f>
        <v>1630.25062893148</v>
      </c>
    </row>
    <row r="11825" customFormat="false" ht="17.15" hidden="false" customHeight="false" outlineLevel="0" collapsed="false">
      <c r="A11825" s="0" t="s">
        <v>972</v>
      </c>
      <c r="B11825" s="0" t="s">
        <v>98</v>
      </c>
      <c r="C11825" s="6" t="n">
        <f aca="false">Sens!$C$11820+Sens!$C$11824</f>
        <v>2224.52091686525</v>
      </c>
    </row>
    <row r="11826" customFormat="false" ht="15" hidden="false" customHeight="false" outlineLevel="0" collapsed="false">
      <c r="A11826" s="1" t="s">
        <v>973</v>
      </c>
      <c r="B11826" s="0" t="s">
        <v>129</v>
      </c>
      <c r="C11826" s="7" t="n">
        <f aca="false">Sens!$C$11824/Sens!$C$11825</f>
        <v>0.732854708882126</v>
      </c>
    </row>
    <row r="11827" customFormat="false" ht="17.15" hidden="false" customHeight="false" outlineLevel="0" collapsed="false">
      <c r="A11827" s="1" t="s">
        <v>1052</v>
      </c>
      <c r="B11827" s="0" t="s">
        <v>98</v>
      </c>
      <c r="C11827" s="6" t="n">
        <f aca="false">Sens!$C$11825+Sens!E11807-Sens!E11796+oai_v</f>
        <v>2359.03391686525</v>
      </c>
    </row>
    <row r="11828" customFormat="false" ht="17.15" hidden="false" customHeight="false" outlineLevel="0" collapsed="false">
      <c r="A11828" s="0" t="s">
        <v>980</v>
      </c>
      <c r="B11828" s="0" t="s">
        <v>75</v>
      </c>
      <c r="C11828" s="5" t="n">
        <f aca="false">Sens!$C$11827/sh_dil26</f>
        <v>316.521389623675</v>
      </c>
    </row>
    <row r="11829" customFormat="false" ht="15" hidden="false" customHeight="false" outlineLevel="0" collapsed="false">
      <c r="A11829" s="1" t="s">
        <v>1053</v>
      </c>
      <c r="B11829" s="0" t="s">
        <v>75</v>
      </c>
      <c r="C11829" s="8" t="n">
        <f aca="false">dps_27+Sens!G11799*roll_div_q/q_per_yr</f>
        <v>4.8895</v>
      </c>
    </row>
    <row r="11830" customFormat="false" ht="17.15" hidden="false" customHeight="false" outlineLevel="0" collapsed="false">
      <c r="A11830" s="0" t="s">
        <v>1054</v>
      </c>
      <c r="B11830" s="0" t="s">
        <v>75</v>
      </c>
      <c r="C11830" s="5" t="n">
        <f aca="false">Sens!$C$11828*(1+wacc)^t_roll-Sens!$C$11829</f>
        <v>355.543974863565</v>
      </c>
    </row>
    <row r="11831" customFormat="false" ht="17.15" hidden="false" customHeight="false" outlineLevel="0" collapsed="false">
      <c r="A11831" s="1" t="s">
        <v>1055</v>
      </c>
      <c r="B11831" s="0" t="s">
        <v>129</v>
      </c>
      <c r="F11831" s="7" t="n">
        <f aca="false">Sens!F11788/(Sens!F11733-Sens!F11689)</f>
        <v>0.0684307874075333</v>
      </c>
      <c r="G11831" s="7" t="n">
        <f aca="false">Sens!G11788/(Sens!G11733-Sens!G11689)</f>
        <v>0.0656456058503526</v>
      </c>
      <c r="H11831" s="7" t="n">
        <f aca="false">Sens!H11788/(Sens!H11733-Sens!H11689)</f>
        <v>0.0641950889132003</v>
      </c>
      <c r="I11831" s="7" t="n">
        <f aca="false">Sens!I11788/(Sens!I11733-Sens!I11689)</f>
        <v>0.063960269667854</v>
      </c>
      <c r="J11831" s="7" t="n">
        <f aca="false">Sens!J11788/(Sens!J11733-Sens!J11689)</f>
        <v>0.0646607917002597</v>
      </c>
      <c r="K11831" s="7" t="n">
        <f aca="false">Sens!K11788/(Sens!K11733-Sens!K11689)</f>
        <v>0.0659511546529383</v>
      </c>
    </row>
    <row r="11832" customFormat="false" ht="17.15" hidden="false" customHeight="false" outlineLevel="0" collapsed="false">
      <c r="A11832" s="0" t="s">
        <v>1056</v>
      </c>
      <c r="B11832" s="0" t="s">
        <v>98</v>
      </c>
      <c r="F11832" s="6" t="n">
        <f aca="false">Sens!F11718*(al_m365+Sens!F11831+sbc_r)</f>
        <v>83.9158372980923</v>
      </c>
      <c r="G11832" s="6" t="n">
        <f aca="false">Sens!G11718*(al_m365+Sens!G11831+sbc_r)</f>
        <v>96.3459139664276</v>
      </c>
      <c r="H11832" s="6" t="n">
        <f aca="false">Sens!H11718*(al_m365+Sens!H11831+sbc_r)</f>
        <v>108.939128787393</v>
      </c>
      <c r="I11832" s="6" t="n">
        <f aca="false">Sens!I11718*(al_m365+Sens!I11831+sbc_r)</f>
        <v>120.51456797186</v>
      </c>
      <c r="J11832" s="6" t="n">
        <f aca="false">Sens!J11718*(al_m365+Sens!J11831+sbc_r)</f>
        <v>130.883844402211</v>
      </c>
      <c r="K11832" s="6" t="n">
        <f aca="false">Sens!K11718*(al_m365+Sens!K11831+sbc_r)</f>
        <v>140.862269296832</v>
      </c>
      <c r="L11832" s="11" t="s">
        <v>1057</v>
      </c>
    </row>
    <row r="11833" customFormat="false" ht="17.15" hidden="false" customHeight="false" outlineLevel="0" collapsed="false">
      <c r="A11833" s="0" t="s">
        <v>1058</v>
      </c>
      <c r="B11833" s="0" t="s">
        <v>98</v>
      </c>
      <c r="F11833" s="6" t="n">
        <f aca="false">Sens!F11719*(al_lic+Sens!F11831+sbc_r)</f>
        <v>33.4384115342236</v>
      </c>
      <c r="G11833" s="6" t="n">
        <f aca="false">Sens!G11719*(al_lic+Sens!G11831+sbc_r)</f>
        <v>34.7409063621757</v>
      </c>
      <c r="H11833" s="6" t="n">
        <f aca="false">Sens!H11719*(al_lic+Sens!H11831+sbc_r)</f>
        <v>35.9566740351293</v>
      </c>
      <c r="I11833" s="6" t="n">
        <f aca="false">Sens!I11719*(al_lic+Sens!I11831+sbc_r)</f>
        <v>37.0672966580049</v>
      </c>
      <c r="J11833" s="6" t="n">
        <f aca="false">Sens!J11719*(al_lic+Sens!J11831+sbc_r)</f>
        <v>38.0469841498966</v>
      </c>
      <c r="K11833" s="6" t="n">
        <f aca="false">Sens!K11719*(al_lic+Sens!K11831+sbc_r)</f>
        <v>38.8666958490701</v>
      </c>
    </row>
    <row r="11834" customFormat="false" ht="17.15" hidden="false" customHeight="false" outlineLevel="0" collapsed="false">
      <c r="A11834" s="0" t="s">
        <v>1059</v>
      </c>
      <c r="B11834" s="0" t="s">
        <v>98</v>
      </c>
      <c r="F11834" s="6" t="n">
        <f aca="false">Sens!F11721*(al_ind+Sens!F11831+sbc_r)</f>
        <v>9.07285900381439</v>
      </c>
      <c r="G11834" s="6" t="n">
        <f aca="false">Sens!G11721*(al_ind+Sens!G11831+sbc_r)</f>
        <v>9.84969160470639</v>
      </c>
      <c r="H11834" s="6" t="n">
        <f aca="false">Sens!H11721*(al_ind+Sens!H11831+sbc_r)</f>
        <v>10.6714469126029</v>
      </c>
      <c r="I11834" s="6" t="n">
        <f aca="false">Sens!I11721*(al_ind+Sens!I11831+sbc_r)</f>
        <v>11.5350820765572</v>
      </c>
      <c r="J11834" s="6" t="n">
        <f aca="false">Sens!J11721*(al_ind+Sens!J11831+sbc_r)</f>
        <v>12.4308815351832</v>
      </c>
      <c r="K11834" s="6" t="n">
        <f aca="false">Sens!K11721*(al_ind+Sens!K11831+sbc_r)</f>
        <v>13.3437330974691</v>
      </c>
    </row>
    <row r="11835" customFormat="false" ht="17.15" hidden="false" customHeight="false" outlineLevel="0" collapsed="false">
      <c r="A11835" s="0" t="s">
        <v>1060</v>
      </c>
      <c r="B11835" s="0" t="s">
        <v>98</v>
      </c>
      <c r="F11835" s="6" t="n">
        <f aca="false">Sens!F11723*(al_fro+Sens!F11831+sbc_r)</f>
        <v>3.5711091569032</v>
      </c>
      <c r="G11835" s="6" t="n">
        <f aca="false">Sens!G11723*(al_fro+Sens!G11831+sbc_r)</f>
        <v>3.78169924595694</v>
      </c>
      <c r="H11835" s="6" t="n">
        <f aca="false">Sens!H11723*(al_fro+Sens!H11831+sbc_r)</f>
        <v>4.02136645419237</v>
      </c>
      <c r="I11835" s="6" t="n">
        <f aca="false">Sens!I11723*(al_fro+Sens!I11831+sbc_r)</f>
        <v>4.29288807676321</v>
      </c>
      <c r="J11835" s="6" t="n">
        <f aca="false">Sens!J11723*(al_fro+Sens!J11831+sbc_r)</f>
        <v>4.59741770960175</v>
      </c>
      <c r="K11835" s="6" t="n">
        <f aca="false">Sens!K11723*(al_fro+Sens!K11831+sbc_r)</f>
        <v>4.9350252981555</v>
      </c>
    </row>
    <row r="11836" customFormat="false" ht="17.15" hidden="false" customHeight="false" outlineLevel="0" collapsed="false">
      <c r="A11836" s="0" t="s">
        <v>1061</v>
      </c>
      <c r="B11836" s="0" t="s">
        <v>98</v>
      </c>
      <c r="F11836" s="6" t="n">
        <f aca="false">Sens!F11726*(al_srch+Sens!F11831+sbc_r)</f>
        <v>11.205111954849</v>
      </c>
      <c r="G11836" s="6" t="n">
        <f aca="false">Sens!G11726*(al_srch+Sens!G11831+sbc_r)</f>
        <v>12.2792883348957</v>
      </c>
      <c r="H11836" s="6" t="n">
        <f aca="false">Sens!H11726*(al_srch+Sens!H11831+sbc_r)</f>
        <v>13.3983888227975</v>
      </c>
      <c r="I11836" s="6" t="n">
        <f aca="false">Sens!I11726*(al_srch+Sens!I11831+sbc_r)</f>
        <v>14.5517695263616</v>
      </c>
      <c r="J11836" s="6" t="n">
        <f aca="false">Sens!J11726*(al_srch+Sens!J11831+sbc_r)</f>
        <v>15.7194284145253</v>
      </c>
      <c r="K11836" s="6" t="n">
        <f aca="false">Sens!K11726*(al_srch+Sens!K11831+sbc_r)</f>
        <v>16.87377171237</v>
      </c>
    </row>
    <row r="11837" customFormat="false" ht="17.15" hidden="false" customHeight="false" outlineLevel="0" collapsed="false">
      <c r="A11837" s="0" t="s">
        <v>1062</v>
      </c>
      <c r="B11837" s="0" t="s">
        <v>98</v>
      </c>
      <c r="F11837" s="6" t="n">
        <f aca="false">Sens!F11695-Sens!F11696+Sens!F11776</f>
        <v>52.6223286647412</v>
      </c>
      <c r="G11837" s="6" t="n">
        <f aca="false">Sens!G11695-Sens!G11696+Sens!G11776</f>
        <v>90.5440728275534</v>
      </c>
      <c r="H11837" s="6" t="n">
        <f aca="false">Sens!H11695-Sens!H11696+Sens!H11776</f>
        <v>131.164750996567</v>
      </c>
      <c r="I11837" s="6" t="n">
        <f aca="false">Sens!I11695-Sens!I11696+Sens!I11776</f>
        <v>167.82858142968</v>
      </c>
      <c r="J11837" s="6" t="n">
        <f aca="false">Sens!J11695-Sens!J11696+Sens!J11776</f>
        <v>193.681955071191</v>
      </c>
      <c r="K11837" s="6" t="n">
        <f aca="false">Sens!K11695-Sens!K11696+Sens!K11776</f>
        <v>209.608852071854</v>
      </c>
    </row>
    <row r="11838" customFormat="false" ht="17.15" hidden="false" customHeight="false" outlineLevel="0" collapsed="false">
      <c r="A11838" s="0" t="s">
        <v>1063</v>
      </c>
      <c r="B11838" s="0" t="s">
        <v>98</v>
      </c>
      <c r="F11838" s="6" t="n">
        <f aca="false">Sens!F11755+Sens!F11776+Sens!F11706+Sens!F11831*(Sens!F11725-Sens!F11689)+sbc_r*Sens!F11725</f>
        <v>249.220210150979</v>
      </c>
      <c r="G11838" s="6" t="n">
        <f aca="false">Sens!G11755+Sens!G11776+Sens!G11706+Sens!G11831*(Sens!G11725-Sens!G11689)+sbc_r*Sens!G11725</f>
        <v>315.0067367651</v>
      </c>
      <c r="H11838" s="6" t="n">
        <f aca="false">Sens!H11755+Sens!H11776+Sens!H11706+Sens!H11831*(Sens!H11725-Sens!H11689)+sbc_r*Sens!H11725</f>
        <v>384.00874232647</v>
      </c>
      <c r="I11838" s="6" t="n">
        <f aca="false">Sens!I11755+Sens!I11776+Sens!I11706+Sens!I11831*(Sens!I11725-Sens!I11689)+sbc_r*Sens!I11725</f>
        <v>447.640573524811</v>
      </c>
      <c r="J11838" s="6" t="n">
        <f aca="false">Sens!J11755+Sens!J11776+Sens!J11706+Sens!J11831*(Sens!J11725-Sens!J11689)+sbc_r*Sens!J11725</f>
        <v>497.951781726046</v>
      </c>
      <c r="K11838" s="6" t="n">
        <f aca="false">Sens!K11755+Sens!K11776+Sens!K11706+Sens!K11831*(Sens!K11725-Sens!K11689)+sbc_r*Sens!K11725</f>
        <v>535.898291450421</v>
      </c>
    </row>
    <row r="11839" customFormat="false" ht="17.15" hidden="false" customHeight="false" outlineLevel="0" collapsed="false">
      <c r="A11839" s="0" t="s">
        <v>1064</v>
      </c>
      <c r="B11839" s="0" t="s">
        <v>98</v>
      </c>
      <c r="F11839" s="6" t="n">
        <f aca="false">Sens!F11838-Sens!F11832-Sens!F11833-Sens!F11834-Sens!F11835-Sens!F11837</f>
        <v>66.5996644932045</v>
      </c>
      <c r="G11839" s="6" t="n">
        <f aca="false">Sens!G11838-Sens!G11832-Sens!G11833-Sens!G11834-Sens!G11835-Sens!G11837</f>
        <v>79.7444527582803</v>
      </c>
      <c r="H11839" s="6" t="n">
        <f aca="false">Sens!H11838-Sens!H11832-Sens!H11833-Sens!H11834-Sens!H11835-Sens!H11837</f>
        <v>93.2553751405847</v>
      </c>
      <c r="I11839" s="6" t="n">
        <f aca="false">Sens!I11838-Sens!I11832-Sens!I11833-Sens!I11834-Sens!I11835-Sens!I11837</f>
        <v>106.402157311946</v>
      </c>
      <c r="J11839" s="6" t="n">
        <f aca="false">Sens!J11838-Sens!J11832-Sens!J11833-Sens!J11834-Sens!J11835-Sens!J11837</f>
        <v>118.310698857962</v>
      </c>
      <c r="K11839" s="6" t="n">
        <f aca="false">Sens!K11838-Sens!K11832-Sens!K11833-Sens!K11834-Sens!K11835-Sens!K11837</f>
        <v>128.281715837039</v>
      </c>
    </row>
    <row r="11840" customFormat="false" ht="17.15" hidden="false" customHeight="false" outlineLevel="0" collapsed="false">
      <c r="A11840" s="0" t="s">
        <v>1065</v>
      </c>
      <c r="B11840" s="0" t="s">
        <v>98</v>
      </c>
      <c r="F11840" s="6" t="n">
        <f aca="false">Sens!F11757+Sens!F11831*Sens!F11732+sbc_r*Sens!F11732</f>
        <v>27.4911333828239</v>
      </c>
      <c r="G11840" s="6" t="n">
        <f aca="false">Sens!G11757+Sens!G11831*Sens!G11732+sbc_r*Sens!G11732</f>
        <v>28.1413764484779</v>
      </c>
      <c r="H11840" s="6" t="n">
        <f aca="false">Sens!H11757+Sens!H11831*Sens!H11732+sbc_r*Sens!H11732</f>
        <v>29.0681879776986</v>
      </c>
      <c r="I11840" s="6" t="n">
        <f aca="false">Sens!I11757+Sens!I11831*Sens!I11732+sbc_r*Sens!I11732</f>
        <v>30.2404140925619</v>
      </c>
      <c r="J11840" s="6" t="n">
        <f aca="false">Sens!J11757+Sens!J11831*Sens!J11732+sbc_r*Sens!J11732</f>
        <v>31.6216436533447</v>
      </c>
      <c r="K11840" s="6" t="n">
        <f aca="false">Sens!K11757+Sens!K11831*Sens!K11732+sbc_r*Sens!K11732</f>
        <v>33.1737643752</v>
      </c>
    </row>
    <row r="11841" customFormat="false" ht="17.15" hidden="false" customHeight="false" outlineLevel="0" collapsed="false">
      <c r="A11841" s="0" t="s">
        <v>1066</v>
      </c>
      <c r="B11841" s="0" t="s">
        <v>98</v>
      </c>
      <c r="F11841" s="6" t="n">
        <f aca="false">(Sens!F11840-Sens!F11836)*Sens!F11728/(Sens!F11728+Sens!F11730)</f>
        <v>8.92783832326555</v>
      </c>
      <c r="G11841" s="6" t="n">
        <f aca="false">(Sens!G11840-Sens!G11836)*Sens!G11728/(Sens!G11728+Sens!G11730)</f>
        <v>8.54040302126714</v>
      </c>
      <c r="H11841" s="6" t="n">
        <f aca="false">(Sens!H11840-Sens!H11836)*Sens!H11728/(Sens!H11728+Sens!H11730)</f>
        <v>8.32290352218894</v>
      </c>
      <c r="I11841" s="6" t="n">
        <f aca="false">(Sens!I11840-Sens!I11836)*Sens!I11728/(Sens!I11728+Sens!I11730)</f>
        <v>8.25751682564818</v>
      </c>
      <c r="J11841" s="6" t="n">
        <f aca="false">(Sens!J11840-Sens!J11836)*Sens!J11728/(Sens!J11728+Sens!J11730)</f>
        <v>8.33207850854811</v>
      </c>
      <c r="K11841" s="6" t="n">
        <f aca="false">(Sens!K11840-Sens!K11836)*Sens!K11728/(Sens!K11728+Sens!K11730)</f>
        <v>8.54049681228817</v>
      </c>
    </row>
    <row r="11842" customFormat="false" ht="17.15" hidden="false" customHeight="false" outlineLevel="0" collapsed="false">
      <c r="A11842" s="0" t="s">
        <v>1067</v>
      </c>
      <c r="B11842" s="0" t="s">
        <v>98</v>
      </c>
      <c r="F11842" s="6" t="n">
        <f aca="false">Sens!F11840-Sens!F11836-Sens!F11841</f>
        <v>7.35818310470928</v>
      </c>
      <c r="G11842" s="6" t="n">
        <f aca="false">Sens!G11840-Sens!G11836-Sens!G11841</f>
        <v>7.321685092315</v>
      </c>
      <c r="H11842" s="6" t="n">
        <f aca="false">Sens!H11840-Sens!H11836-Sens!H11841</f>
        <v>7.3468956327122</v>
      </c>
      <c r="I11842" s="6" t="n">
        <f aca="false">Sens!I11840-Sens!I11836-Sens!I11841</f>
        <v>7.43112774055217</v>
      </c>
      <c r="J11842" s="6" t="n">
        <f aca="false">Sens!J11840-Sens!J11836-Sens!J11841</f>
        <v>7.5701367302713</v>
      </c>
      <c r="K11842" s="6" t="n">
        <f aca="false">Sens!K11840-Sens!K11836-Sens!K11841</f>
        <v>7.75949585054181</v>
      </c>
    </row>
    <row r="11843" customFormat="false" ht="17.15" hidden="false" customHeight="false" outlineLevel="0" collapsed="false">
      <c r="A11843" s="0" t="s">
        <v>1068</v>
      </c>
      <c r="B11843" s="0" t="s">
        <v>98</v>
      </c>
      <c r="F11843" s="6" t="n">
        <f aca="false">Sens!F11837-tax_f*(Sens!F11837-Sens!F11706)-Sens!F11703</f>
        <v>-119.574682747471</v>
      </c>
      <c r="G11843" s="6" t="n">
        <f aca="false">Sens!G11837-tax_f*(Sens!G11837-Sens!G11706)-Sens!G11703</f>
        <v>-99.0375755690894</v>
      </c>
      <c r="H11843" s="6" t="n">
        <f aca="false">Sens!H11837-tax_f*(Sens!H11837-Sens!H11706)-Sens!H11703</f>
        <v>-65.6000219145184</v>
      </c>
      <c r="I11843" s="6" t="n">
        <f aca="false">Sens!I11837-tax_f*(Sens!I11837-Sens!I11706)-Sens!I11703</f>
        <v>-7.04639601405714</v>
      </c>
      <c r="J11843" s="6" t="n">
        <f aca="false">Sens!J11837-tax_f*(Sens!J11837-Sens!J11706)-Sens!J11703</f>
        <v>56.2698295233955</v>
      </c>
      <c r="K11843" s="6" t="n">
        <f aca="false">Sens!K11837-tax_f*(Sens!K11837-Sens!K11706)-Sens!K11703</f>
        <v>80.657175376442</v>
      </c>
    </row>
    <row r="11844" customFormat="false" ht="17.15" hidden="false" customHeight="false" outlineLevel="0" collapsed="false">
      <c r="A11844" s="0" t="s">
        <v>1069</v>
      </c>
      <c r="B11844" s="0" t="s">
        <v>98</v>
      </c>
      <c r="F11844" s="6" t="n">
        <f aca="false">Sens!F11843*Sens!F11817</f>
        <v>-113.85822056345</v>
      </c>
      <c r="G11844" s="6" t="n">
        <f aca="false">Sens!G11843*Sens!G11817</f>
        <v>-85.5018407959122</v>
      </c>
      <c r="H11844" s="6" t="n">
        <f aca="false">Sens!H11843*Sens!H11817</f>
        <v>-51.3487361503658</v>
      </c>
      <c r="I11844" s="6" t="n">
        <f aca="false">Sens!I11843*Sens!I11817</f>
        <v>-5.00084197610769</v>
      </c>
      <c r="J11844" s="6" t="n">
        <f aca="false">Sens!J11843*Sens!J11817</f>
        <v>36.2077879454277</v>
      </c>
      <c r="K11844" s="6" t="n">
        <f aca="false">Sens!K11843*Sens!K11817</f>
        <v>47.056509810165</v>
      </c>
    </row>
    <row r="11845" customFormat="false" ht="17.15" hidden="false" customHeight="false" outlineLevel="0" collapsed="false">
      <c r="A11845" s="0" t="s">
        <v>1070</v>
      </c>
      <c r="B11845" s="0" t="s">
        <v>98</v>
      </c>
      <c r="C11845" s="6" t="n">
        <f aca="false">(Sens!K11837-Sens!K11706)*(1-tax_f)*(1+g_tv)*(1-g_tv/(wacc+ronic_prem))/(wacc-g_tv)/(1+wacc)^(Sens!K11816+mid_yr)</f>
        <v>311.118424285784</v>
      </c>
    </row>
    <row r="11846" customFormat="false" ht="17.15" hidden="false" customHeight="false" outlineLevel="0" collapsed="false">
      <c r="A11846" s="1" t="s">
        <v>1071</v>
      </c>
      <c r="B11846" s="0" t="s">
        <v>98</v>
      </c>
      <c r="C11846" s="6" t="n">
        <f aca="false">(SUM(Sens!F11844:K11844)+Sens!$C$11845)*(1+wacc)^t_roll</f>
        <v>157.911669334455</v>
      </c>
      <c r="L11846" s="11" t="s">
        <v>1072</v>
      </c>
    </row>
    <row r="11847" customFormat="false" ht="17.15" hidden="false" customHeight="false" outlineLevel="0" collapsed="false">
      <c r="A11847" s="1" t="s">
        <v>1073</v>
      </c>
      <c r="B11847" s="0" t="s">
        <v>98</v>
      </c>
      <c r="C11847" s="6" t="n">
        <f aca="false">(w_ntm28*Sens!G11695+(1-w_ntm28)*Sens!H11695)*m_ai</f>
        <v>454.922440830797</v>
      </c>
    </row>
    <row r="11848" customFormat="false" ht="17.15" hidden="false" customHeight="false" outlineLevel="0" collapsed="false">
      <c r="A11848" s="1" t="s">
        <v>1074</v>
      </c>
      <c r="B11848" s="0" t="s">
        <v>98</v>
      </c>
      <c r="C11848" s="6" t="n">
        <f aca="false">(w_ntm28*Sens!G11839+(1-w_ntm28)*Sens!H11839)*m_cloud</f>
        <v>1162.43291735003</v>
      </c>
    </row>
    <row r="11849" customFormat="false" ht="17.15" hidden="false" customHeight="false" outlineLevel="0" collapsed="false">
      <c r="A11849" s="1" t="s">
        <v>1075</v>
      </c>
      <c r="B11849" s="0" t="s">
        <v>98</v>
      </c>
      <c r="C11849" s="6" t="n">
        <f aca="false">(w_ntm28*Sens!G11832+(1-w_ntm28)*Sens!H11832)*m_sw</f>
        <v>1084.50516663972</v>
      </c>
    </row>
    <row r="11850" customFormat="false" ht="17.15" hidden="false" customHeight="false" outlineLevel="0" collapsed="false">
      <c r="A11850" s="1" t="s">
        <v>1076</v>
      </c>
      <c r="B11850" s="0" t="s">
        <v>98</v>
      </c>
      <c r="C11850" s="6" t="n">
        <f aca="false">(w_ntm28*Sens!G11833+(1-w_ntm28)*Sens!H11833)*m_sw</f>
        <v>379.446649868791</v>
      </c>
    </row>
    <row r="11851" customFormat="false" ht="17.15" hidden="false" customHeight="false" outlineLevel="0" collapsed="false">
      <c r="A11851" s="1" t="s">
        <v>1077</v>
      </c>
      <c r="B11851" s="0" t="s">
        <v>98</v>
      </c>
      <c r="C11851" s="6" t="n">
        <f aca="false">(w_ntm28*Sens!G11834+(1-w_ntm28)*Sens!H11834)*m_sw</f>
        <v>109.245833616811</v>
      </c>
    </row>
    <row r="11852" customFormat="false" ht="17.15" hidden="false" customHeight="false" outlineLevel="0" collapsed="false">
      <c r="A11852" s="1" t="s">
        <v>1078</v>
      </c>
      <c r="B11852" s="0" t="s">
        <v>98</v>
      </c>
      <c r="C11852" s="6" t="n">
        <f aca="false">(w_ntm28*Sens!G11835+(1-w_ntm28)*Sens!H11835)*m_sw</f>
        <v>41.6791515554452</v>
      </c>
    </row>
    <row r="11853" customFormat="false" ht="17.15" hidden="false" customHeight="false" outlineLevel="0" collapsed="false">
      <c r="A11853" s="1" t="s">
        <v>1079</v>
      </c>
      <c r="B11853" s="0" t="s">
        <v>98</v>
      </c>
      <c r="C11853" s="6" t="n">
        <f aca="false">(w_ntm28*Sens!G11836+(1-w_ntm28)*Sens!H11836)*m_ads</f>
        <v>115.160236299351</v>
      </c>
    </row>
    <row r="11854" customFormat="false" ht="17.15" hidden="false" customHeight="false" outlineLevel="0" collapsed="false">
      <c r="A11854" s="1" t="s">
        <v>1080</v>
      </c>
      <c r="B11854" s="0" t="s">
        <v>98</v>
      </c>
      <c r="C11854" s="6" t="n">
        <f aca="false">(w_ntm28*Sens!G11841+(1-w_ntm28)*Sens!H11841)*m_game</f>
        <v>106.977212888861</v>
      </c>
    </row>
    <row r="11855" customFormat="false" ht="17.15" hidden="false" customHeight="false" outlineLevel="0" collapsed="false">
      <c r="A11855" s="1" t="s">
        <v>1081</v>
      </c>
      <c r="B11855" s="0" t="s">
        <v>98</v>
      </c>
      <c r="C11855" s="6" t="n">
        <f aca="false">(w_ntm28*Sens!G11842+(1-w_ntm28)*Sens!H11842)*m_pc</f>
        <v>106.062717503076</v>
      </c>
    </row>
    <row r="11856" customFormat="false" ht="17.15" hidden="false" customHeight="false" outlineLevel="0" collapsed="false">
      <c r="A11856" s="1" t="s">
        <v>1082</v>
      </c>
      <c r="B11856" s="0" t="s">
        <v>98</v>
      </c>
      <c r="C11856" s="6" t="n">
        <f aca="false">Sens!$C$11846+Sens!$C$11848+Sens!$C$11849+Sens!$C$11850+Sens!$C$11851+Sens!$C$11852+Sens!$C$11853+Sens!$C$11854+Sens!$C$11855</f>
        <v>3263.42155505653</v>
      </c>
    </row>
    <row r="11857" customFormat="false" ht="17.15" hidden="false" customHeight="false" outlineLevel="0" collapsed="false">
      <c r="A11857" s="1" t="s">
        <v>1000</v>
      </c>
      <c r="B11857" s="0" t="s">
        <v>98</v>
      </c>
      <c r="C11857" s="6" t="n">
        <f aca="false">Sens!F11807+oai_v-Sens!F11796</f>
        <v>116.763485112912</v>
      </c>
      <c r="L11857" s="1" t="s">
        <v>1083</v>
      </c>
    </row>
    <row r="11858" customFormat="false" ht="15" hidden="false" customHeight="false" outlineLevel="0" collapsed="false">
      <c r="A11858" s="1" t="s">
        <v>1001</v>
      </c>
      <c r="B11858" s="0" t="s">
        <v>75</v>
      </c>
      <c r="C11858" s="5" t="n">
        <f aca="false">(Sens!$C$11856+Sens!$C$11857)/Sens!F11809</f>
        <v>452.380224862078</v>
      </c>
    </row>
    <row r="11859" customFormat="false" ht="17.15" hidden="false" customHeight="false" outlineLevel="0" collapsed="false">
      <c r="A11859" s="1" t="s">
        <v>1084</v>
      </c>
      <c r="B11859" s="0" t="s">
        <v>75</v>
      </c>
      <c r="C11859" s="5" t="n">
        <f aca="false">w_dcf*Sens!$C$11830+(1-w_dcf)*Sens!$C$11858</f>
        <v>403.962099862822</v>
      </c>
    </row>
    <row r="11860" customFormat="false" ht="17.15" hidden="false" customHeight="false" outlineLevel="0" collapsed="false">
      <c r="A11860" s="3" t="s">
        <v>1544</v>
      </c>
    </row>
    <row r="11861" customFormat="false" ht="15" hidden="false" customHeight="false" outlineLevel="0" collapsed="false">
      <c r="A11861" s="4" t="s">
        <v>43</v>
      </c>
      <c r="B11861" s="4" t="s">
        <v>65</v>
      </c>
      <c r="C11861" s="20" t="s">
        <v>788</v>
      </c>
      <c r="D11861" s="20" t="s">
        <v>789</v>
      </c>
      <c r="E11861" s="20" t="s">
        <v>790</v>
      </c>
      <c r="F11861" s="20" t="s">
        <v>791</v>
      </c>
      <c r="G11861" s="20" t="s">
        <v>792</v>
      </c>
      <c r="H11861" s="20" t="s">
        <v>793</v>
      </c>
      <c r="I11861" s="20" t="s">
        <v>794</v>
      </c>
      <c r="J11861" s="20" t="s">
        <v>795</v>
      </c>
      <c r="K11861" s="20" t="s">
        <v>796</v>
      </c>
      <c r="L11861" s="4" t="s">
        <v>47</v>
      </c>
    </row>
    <row r="11862" customFormat="false" ht="17.15" hidden="false" customHeight="false" outlineLevel="0" collapsed="false">
      <c r="A11862" s="1" t="s">
        <v>797</v>
      </c>
      <c r="B11862" s="1" t="s">
        <v>235</v>
      </c>
      <c r="C11862" s="28" t="n">
        <v>2024</v>
      </c>
      <c r="D11862" s="28" t="n">
        <v>2025</v>
      </c>
      <c r="E11862" s="28" t="n">
        <v>2026</v>
      </c>
      <c r="F11862" s="28" t="n">
        <v>2027</v>
      </c>
      <c r="G11862" s="28" t="n">
        <v>2028</v>
      </c>
      <c r="H11862" s="28" t="n">
        <v>2029</v>
      </c>
      <c r="I11862" s="28" t="n">
        <v>2030</v>
      </c>
      <c r="J11862" s="28" t="n">
        <v>2031</v>
      </c>
      <c r="K11862" s="28" t="n">
        <v>2032</v>
      </c>
    </row>
    <row r="11863" customFormat="false" ht="17.15" hidden="false" customHeight="false" outlineLevel="0" collapsed="false">
      <c r="A11863" s="1" t="s">
        <v>798</v>
      </c>
      <c r="B11863" s="0" t="s">
        <v>392</v>
      </c>
      <c r="F11863" s="29" t="n">
        <f aca="false">pace</f>
        <v>2527.2</v>
      </c>
      <c r="G11863" s="29" t="n">
        <f aca="false">pace</f>
        <v>2527.2</v>
      </c>
      <c r="H11863" s="29" t="n">
        <f aca="false">pace</f>
        <v>2527.2</v>
      </c>
      <c r="I11863" s="29" t="n">
        <f aca="false">pace+(g_tv*Sens!H11864-pace)*MIN(1,(Sens!I11862-pace_y0)/(pace_y1-pace_y0))</f>
        <v>1793.116</v>
      </c>
      <c r="J11863" s="29" t="n">
        <f aca="false">pace+(g_tv*Sens!H11864-pace)*MIN(1,(Sens!J11862-pace_y0)/(pace_y1-pace_y0))</f>
        <v>1059.032</v>
      </c>
      <c r="K11863" s="29" t="n">
        <f aca="false">pace+(g_tv*Sens!H11864-pace)*MIN(1,(Sens!K11862-pace_y0)/(pace_y1-pace_y0))</f>
        <v>324.948</v>
      </c>
      <c r="L11863" s="11" t="s">
        <v>799</v>
      </c>
    </row>
    <row r="11864" customFormat="false" ht="17.15" hidden="false" customHeight="false" outlineLevel="0" collapsed="false">
      <c r="A11864" s="1" t="s">
        <v>800</v>
      </c>
      <c r="B11864" s="0" t="s">
        <v>392</v>
      </c>
      <c r="C11864" s="29" t="n">
        <f aca="false">mw_ext_24</f>
        <v>640</v>
      </c>
      <c r="D11864" s="29" t="n">
        <f aca="false">mw_ext_25</f>
        <v>1630</v>
      </c>
      <c r="E11864" s="29" t="n">
        <f aca="false">mw_ext_26</f>
        <v>3250</v>
      </c>
      <c r="F11864" s="29" t="n">
        <f aca="false">Sens!E11864+Sens!F11863</f>
        <v>5777.2</v>
      </c>
      <c r="G11864" s="29" t="n">
        <f aca="false">Sens!F11864+Sens!G11863</f>
        <v>8304.4</v>
      </c>
      <c r="H11864" s="29" t="n">
        <f aca="false">Sens!G11864+Sens!H11863</f>
        <v>10831.6</v>
      </c>
      <c r="I11864" s="29" t="n">
        <f aca="false">Sens!H11864+Sens!I11863</f>
        <v>12624.716</v>
      </c>
      <c r="J11864" s="29" t="n">
        <f aca="false">Sens!I11864+Sens!J11863</f>
        <v>13683.748</v>
      </c>
      <c r="K11864" s="29" t="n">
        <f aca="false">Sens!J11864+Sens!K11863</f>
        <v>14008.696</v>
      </c>
      <c r="L11864" s="1" t="s">
        <v>801</v>
      </c>
    </row>
    <row r="11865" customFormat="false" ht="17.15" hidden="false" customHeight="false" outlineLevel="0" collapsed="false">
      <c r="A11865" s="1" t="s">
        <v>802</v>
      </c>
      <c r="B11865" s="0" t="s">
        <v>392</v>
      </c>
      <c r="C11865" s="29" t="n">
        <f aca="false">rent_ext_24</f>
        <v>150</v>
      </c>
      <c r="D11865" s="29" t="n">
        <f aca="false">rent_ext_25</f>
        <v>400</v>
      </c>
      <c r="E11865" s="29" t="n">
        <f aca="false">rent_ext_26</f>
        <v>550</v>
      </c>
      <c r="F11865" s="29" t="n">
        <f aca="false">rent_ext_f</f>
        <v>756</v>
      </c>
      <c r="G11865" s="29" t="n">
        <f aca="false">rent_ext_f</f>
        <v>756</v>
      </c>
      <c r="H11865" s="29" t="n">
        <f aca="false">rent_ext_f</f>
        <v>756</v>
      </c>
      <c r="I11865" s="29" t="n">
        <f aca="false">rent_ext_f</f>
        <v>756</v>
      </c>
      <c r="J11865" s="29" t="n">
        <f aca="false">rent_ext_f</f>
        <v>756</v>
      </c>
      <c r="K11865" s="29" t="n">
        <f aca="false">rent_ext_f</f>
        <v>756</v>
      </c>
      <c r="L11865" s="1" t="s">
        <v>803</v>
      </c>
    </row>
    <row r="11866" customFormat="false" ht="17.15" hidden="false" customHeight="false" outlineLevel="0" collapsed="false">
      <c r="A11866" s="1" t="s">
        <v>804</v>
      </c>
      <c r="B11866" s="0" t="s">
        <v>392</v>
      </c>
      <c r="C11866" s="29" t="n">
        <f aca="false">Sens!C11864-Sens!C11865</f>
        <v>490</v>
      </c>
      <c r="D11866" s="29" t="n">
        <f aca="false">Sens!D11864-Sens!D11865</f>
        <v>1230</v>
      </c>
      <c r="E11866" s="29" t="n">
        <f aca="false">Sens!E11864-Sens!E11865</f>
        <v>2700</v>
      </c>
      <c r="F11866" s="29" t="n">
        <f aca="false">Sens!F11864-Sens!F11865</f>
        <v>5021.2</v>
      </c>
      <c r="G11866" s="29" t="n">
        <f aca="false">Sens!G11864-Sens!G11865</f>
        <v>7548.4</v>
      </c>
      <c r="H11866" s="29" t="n">
        <f aca="false">Sens!H11864-Sens!H11865</f>
        <v>10075.6</v>
      </c>
      <c r="I11866" s="29" t="n">
        <f aca="false">Sens!I11864-Sens!I11865</f>
        <v>11868.716</v>
      </c>
      <c r="J11866" s="29" t="n">
        <f aca="false">Sens!J11864-Sens!J11865</f>
        <v>12927.748</v>
      </c>
      <c r="K11866" s="29" t="n">
        <f aca="false">Sens!K11864-Sens!K11865</f>
        <v>13252.696</v>
      </c>
    </row>
    <row r="11867" customFormat="false" ht="17.15" hidden="false" customHeight="false" outlineLevel="0" collapsed="false">
      <c r="A11867" s="1" t="s">
        <v>805</v>
      </c>
      <c r="B11867" s="0" t="s">
        <v>392</v>
      </c>
      <c r="C11867" s="29" t="n">
        <f aca="false">Sens!C11866/ext_sh</f>
        <v>816.666666666667</v>
      </c>
      <c r="D11867" s="29" t="n">
        <f aca="false">Sens!D11866/ext_sh</f>
        <v>2050</v>
      </c>
      <c r="E11867" s="29" t="n">
        <f aca="false">Sens!E11866/ext_sh</f>
        <v>4500</v>
      </c>
      <c r="F11867" s="29" t="n">
        <f aca="false">Sens!F11866/ext_sh</f>
        <v>8368.66666666667</v>
      </c>
      <c r="G11867" s="29" t="n">
        <f aca="false">Sens!G11866/ext_sh</f>
        <v>12580.6666666667</v>
      </c>
      <c r="H11867" s="29" t="n">
        <f aca="false">Sens!H11866/ext_sh</f>
        <v>16792.6666666667</v>
      </c>
      <c r="I11867" s="29" t="n">
        <f aca="false">Sens!I11866/ext_sh</f>
        <v>19781.1933333333</v>
      </c>
      <c r="J11867" s="29" t="n">
        <f aca="false">Sens!J11866/ext_sh</f>
        <v>21546.2466666667</v>
      </c>
      <c r="K11867" s="29" t="n">
        <f aca="false">Sens!K11866/ext_sh</f>
        <v>22087.8266666667</v>
      </c>
      <c r="L11867" s="1" t="s">
        <v>806</v>
      </c>
    </row>
    <row r="11868" customFormat="false" ht="17.15" hidden="false" customHeight="false" outlineLevel="0" collapsed="false">
      <c r="A11868" s="1" t="s">
        <v>807</v>
      </c>
      <c r="B11868" s="0" t="s">
        <v>392</v>
      </c>
      <c r="C11868" s="29" t="n">
        <f aca="false">Sens!C11867-Sens!C11866</f>
        <v>326.666666666667</v>
      </c>
      <c r="D11868" s="29" t="n">
        <f aca="false">Sens!D11867-Sens!D11866</f>
        <v>820</v>
      </c>
      <c r="E11868" s="29" t="n">
        <f aca="false">Sens!E11867-Sens!E11866</f>
        <v>1800</v>
      </c>
      <c r="F11868" s="29" t="n">
        <f aca="false">Sens!F11867-Sens!F11866</f>
        <v>3347.46666666667</v>
      </c>
      <c r="G11868" s="29" t="n">
        <f aca="false">Sens!G11867-Sens!G11866</f>
        <v>5032.26666666667</v>
      </c>
      <c r="H11868" s="29" t="n">
        <f aca="false">Sens!H11867-Sens!H11866</f>
        <v>6717.06666666667</v>
      </c>
      <c r="I11868" s="29" t="n">
        <f aca="false">Sens!I11867-Sens!I11866</f>
        <v>7912.47733333333</v>
      </c>
      <c r="J11868" s="29" t="n">
        <f aca="false">Sens!J11867-Sens!J11866</f>
        <v>8618.49866666667</v>
      </c>
      <c r="K11868" s="29" t="n">
        <f aca="false">Sens!K11867-Sens!K11866</f>
        <v>8835.13066666667</v>
      </c>
    </row>
    <row r="11869" customFormat="false" ht="17.15" hidden="false" customHeight="false" outlineLevel="0" collapsed="false">
      <c r="A11869" s="1" t="s">
        <v>808</v>
      </c>
      <c r="B11869" s="0" t="s">
        <v>392</v>
      </c>
      <c r="C11869" s="29" t="n">
        <f aca="false">Sens!C11867</f>
        <v>816.666666666667</v>
      </c>
      <c r="D11869" s="29" t="n">
        <f aca="false">Sens!D11867-Sens!C11867</f>
        <v>1233.33333333333</v>
      </c>
      <c r="E11869" s="29" t="n">
        <f aca="false">Sens!E11867-Sens!D11867</f>
        <v>2450</v>
      </c>
      <c r="F11869" s="29" t="n">
        <f aca="false">Sens!F11867-Sens!E11867</f>
        <v>3868.66666666667</v>
      </c>
      <c r="G11869" s="29" t="n">
        <f aca="false">Sens!G11867-Sens!F11867</f>
        <v>4212</v>
      </c>
      <c r="H11869" s="29" t="n">
        <f aca="false">Sens!H11867-Sens!G11867</f>
        <v>4212</v>
      </c>
      <c r="I11869" s="29" t="n">
        <f aca="false">Sens!I11867-Sens!H11867</f>
        <v>2988.52666666667</v>
      </c>
      <c r="J11869" s="29" t="n">
        <f aca="false">Sens!J11867-Sens!I11867</f>
        <v>1765.05333333333</v>
      </c>
      <c r="K11869" s="29" t="n">
        <f aca="false">Sens!K11867-Sens!J11867</f>
        <v>541.580000000002</v>
      </c>
    </row>
    <row r="11870" customFormat="false" ht="17.15" hidden="false" customHeight="false" outlineLevel="0" collapsed="false">
      <c r="A11870" s="1" t="s">
        <v>809</v>
      </c>
      <c r="B11870" s="0" t="s">
        <v>392</v>
      </c>
      <c r="D11870" s="29" t="n">
        <f aca="false">Sens!D11864-Sens!C11864</f>
        <v>990</v>
      </c>
      <c r="E11870" s="29" t="n">
        <f aca="false">Sens!E11864-Sens!D11864</f>
        <v>1620</v>
      </c>
      <c r="F11870" s="29" t="n">
        <f aca="false">Sens!F11864-Sens!E11864</f>
        <v>2527.2</v>
      </c>
      <c r="G11870" s="29" t="n">
        <f aca="false">Sens!G11864-Sens!F11864</f>
        <v>2527.2</v>
      </c>
      <c r="H11870" s="29" t="n">
        <f aca="false">Sens!H11864-Sens!G11864</f>
        <v>2527.2</v>
      </c>
      <c r="I11870" s="29" t="n">
        <f aca="false">Sens!I11864-Sens!H11864</f>
        <v>1793.116</v>
      </c>
      <c r="J11870" s="29" t="n">
        <f aca="false">Sens!J11864-Sens!I11864</f>
        <v>1059.032</v>
      </c>
      <c r="K11870" s="29" t="n">
        <f aca="false">Sens!K11864-Sens!J11864</f>
        <v>324.948</v>
      </c>
    </row>
    <row r="11871" customFormat="false" ht="17.15" hidden="false" customHeight="false" outlineLevel="0" collapsed="false">
      <c r="A11871" s="1" t="s">
        <v>810</v>
      </c>
      <c r="B11871" s="0" t="s">
        <v>392</v>
      </c>
      <c r="F11871" s="29" t="n">
        <f aca="false">Sens!F11888*ext_sh</f>
        <v>0</v>
      </c>
      <c r="G11871" s="29" t="n">
        <f aca="false">Sens!G11888*ext_sh</f>
        <v>0</v>
      </c>
      <c r="H11871" s="29" t="n">
        <f aca="false">Sens!H11888*ext_sh</f>
        <v>0</v>
      </c>
      <c r="I11871" s="29" t="n">
        <f aca="false">Sens!I11888*ext_sh</f>
        <v>490</v>
      </c>
      <c r="J11871" s="29" t="n">
        <f aca="false">Sens!J11888*ext_sh</f>
        <v>740</v>
      </c>
      <c r="K11871" s="29" t="n">
        <f aca="false">Sens!K11888*ext_sh</f>
        <v>1470</v>
      </c>
      <c r="L11871" s="1" t="s">
        <v>811</v>
      </c>
    </row>
    <row r="11872" customFormat="false" ht="17.15" hidden="false" customHeight="false" outlineLevel="0" collapsed="false">
      <c r="A11872" s="1" t="s">
        <v>812</v>
      </c>
      <c r="B11872" s="0" t="s">
        <v>392</v>
      </c>
      <c r="C11872" s="29" t="n">
        <f aca="false">mix_h*Sens!C11864</f>
        <v>128</v>
      </c>
      <c r="D11872" s="29" t="n">
        <f aca="false">mix_h*Sens!D11864</f>
        <v>326</v>
      </c>
      <c r="E11872" s="29" t="n">
        <f aca="false">mix_h*Sens!E11864</f>
        <v>650</v>
      </c>
      <c r="F11872" s="29" t="n">
        <f aca="false">Sens!E11872-Sens!F11871*mix_h</f>
        <v>650</v>
      </c>
      <c r="G11872" s="29" t="n">
        <f aca="false">Sens!F11872-Sens!G11871*mix_h</f>
        <v>650</v>
      </c>
      <c r="H11872" s="29" t="n">
        <f aca="false">Sens!G11872-Sens!H11871*mix_h</f>
        <v>650</v>
      </c>
      <c r="I11872" s="29" t="n">
        <f aca="false">Sens!H11872-Sens!I11871*mix_h</f>
        <v>552</v>
      </c>
      <c r="J11872" s="29" t="n">
        <f aca="false">Sens!I11872-Sens!J11871*mix_h</f>
        <v>404</v>
      </c>
      <c r="K11872" s="29" t="n">
        <f aca="false">Sens!J11872-Sens!K11871*mix_h</f>
        <v>110</v>
      </c>
    </row>
    <row r="11873" customFormat="false" ht="17.15" hidden="false" customHeight="false" outlineLevel="0" collapsed="false">
      <c r="A11873" s="1" t="s">
        <v>813</v>
      </c>
      <c r="B11873" s="0" t="s">
        <v>392</v>
      </c>
      <c r="C11873" s="29" t="n">
        <f aca="false">mix_g2*Sens!C11864</f>
        <v>288</v>
      </c>
      <c r="D11873" s="29" t="n">
        <f aca="false">mix_g2*Sens!D11864</f>
        <v>733.5</v>
      </c>
      <c r="E11873" s="29" t="n">
        <f aca="false">mix_g2*Sens!E11864</f>
        <v>1462.5</v>
      </c>
      <c r="F11873" s="29" t="n">
        <f aca="false">Sens!E11873-Sens!F11871*mix_g2</f>
        <v>1462.5</v>
      </c>
      <c r="G11873" s="29" t="n">
        <f aca="false">Sens!F11873-Sens!G11871*mix_g2</f>
        <v>1462.5</v>
      </c>
      <c r="H11873" s="29" t="n">
        <f aca="false">Sens!G11873-Sens!H11871*mix_g2</f>
        <v>1462.5</v>
      </c>
      <c r="I11873" s="29" t="n">
        <f aca="false">Sens!H11873-Sens!I11871*mix_g2</f>
        <v>1242</v>
      </c>
      <c r="J11873" s="29" t="n">
        <f aca="false">Sens!I11873-Sens!J11871*mix_g2</f>
        <v>909</v>
      </c>
      <c r="K11873" s="29" t="n">
        <f aca="false">Sens!J11873-Sens!K11871*mix_g2</f>
        <v>247.5</v>
      </c>
    </row>
    <row r="11874" customFormat="false" ht="17.15" hidden="false" customHeight="false" outlineLevel="0" collapsed="false">
      <c r="A11874" s="1" t="s">
        <v>814</v>
      </c>
      <c r="B11874" s="0" t="s">
        <v>392</v>
      </c>
      <c r="C11874" s="29" t="n">
        <f aca="false">mix_g3*Sens!C11864</f>
        <v>224</v>
      </c>
      <c r="D11874" s="29" t="n">
        <f aca="false">mix_g3*Sens!D11864</f>
        <v>570.5</v>
      </c>
      <c r="E11874" s="29" t="n">
        <f aca="false">mix_g3*Sens!E11864</f>
        <v>1137.5</v>
      </c>
      <c r="F11874" s="29" t="n">
        <f aca="false">Sens!E11874+(Sens!F11870+Sens!F11871)*a_g3_27-Sens!F11871*mix_g3</f>
        <v>2906.54</v>
      </c>
      <c r="G11874" s="29" t="n">
        <f aca="false">Sens!F11874+(Sens!G11870+Sens!G11871)*a_g3_28-Sens!G11871*mix_g3</f>
        <v>3664.7</v>
      </c>
      <c r="H11874" s="29" t="n">
        <f aca="false">Sens!G11874+(Sens!H11870+Sens!H11871)*a_g3_29-Sens!H11871*mix_g3</f>
        <v>3917.42</v>
      </c>
      <c r="I11874" s="29" t="n">
        <f aca="false">Sens!H11874+(Sens!I11870+Sens!I11871)*a_g3_29-Sens!I11871*mix_g3</f>
        <v>3974.2316</v>
      </c>
      <c r="J11874" s="29" t="n">
        <f aca="false">Sens!I11874+(Sens!J11870+Sens!J11871)*a_g3_29-Sens!J11871*mix_g3</f>
        <v>3895.1348</v>
      </c>
      <c r="K11874" s="29" t="n">
        <f aca="false">Sens!J11874+(Sens!K11870+Sens!K11871)*a_g3_29-Sens!K11871*mix_g3</f>
        <v>3560.1296</v>
      </c>
    </row>
    <row r="11875" customFormat="false" ht="17.15" hidden="false" customHeight="false" outlineLevel="0" collapsed="false">
      <c r="A11875" s="1" t="s">
        <v>815</v>
      </c>
      <c r="B11875" s="0" t="s">
        <v>392</v>
      </c>
      <c r="C11875" s="29" t="n">
        <v>0</v>
      </c>
      <c r="D11875" s="29" t="n">
        <v>0</v>
      </c>
      <c r="E11875" s="29" t="n">
        <v>0</v>
      </c>
      <c r="F11875" s="29" t="n">
        <f aca="false">Sens!E11875+(Sens!F11870+Sens!F11871)*(1-a_g3_27)</f>
        <v>758.16</v>
      </c>
      <c r="G11875" s="29" t="n">
        <f aca="false">Sens!F11875+(Sens!G11870+Sens!G11871)*(1-a_g3_28)</f>
        <v>2527.2</v>
      </c>
      <c r="H11875" s="29" t="n">
        <f aca="false">Sens!G11875+(Sens!H11870+Sens!H11871)*(1-a_g3_29)</f>
        <v>4801.68</v>
      </c>
      <c r="I11875" s="29" t="n">
        <f aca="false">Sens!H11875+(Sens!I11870+Sens!I11871)*(1-a_g3_29)</f>
        <v>6856.4844</v>
      </c>
      <c r="J11875" s="29" t="n">
        <f aca="false">Sens!I11875+(Sens!J11870+Sens!J11871)*(1-a_g3_29)</f>
        <v>8475.6132</v>
      </c>
      <c r="K11875" s="29" t="n">
        <f aca="false">Sens!J11875+(Sens!K11870+Sens!K11871)*(1-a_g3_29)</f>
        <v>10091.0664</v>
      </c>
    </row>
    <row r="11876" customFormat="false" ht="17.15" hidden="false" customHeight="false" outlineLevel="0" collapsed="false">
      <c r="A11876" s="1" t="s">
        <v>816</v>
      </c>
      <c r="B11876" s="0" t="s">
        <v>339</v>
      </c>
      <c r="C11876" s="14" t="n">
        <f aca="false">(Sens!C11872*tk_hold_h100+Sens!C11873*tk_hold_gb200+Sens!C11874*tk_hold_gb300+Sens!C11875*tk_hold_vr200)/Sens!C11864</f>
        <v>9.7235358126469</v>
      </c>
      <c r="D11876" s="14" t="n">
        <f aca="false">(Sens!D11872*tk_hold_h100+Sens!D11873*tk_hold_gb200+Sens!D11874*tk_hold_gb300+Sens!D11875*tk_hold_vr200)/Sens!D11864</f>
        <v>9.7235358126469</v>
      </c>
      <c r="E11876" s="14" t="n">
        <f aca="false">(Sens!E11872*tk_hold_h100+Sens!E11873*tk_hold_gb200+Sens!E11874*tk_hold_gb300+Sens!E11875*tk_hold_vr200)/Sens!E11864</f>
        <v>9.7235358126469</v>
      </c>
      <c r="F11876" s="14" t="n">
        <f aca="false">(Sens!F11872*tk_hold_h100+Sens!F11873*tk_hold_gb200+Sens!F11874*tk_hold_gb300+Sens!F11875*tk_hold_vr200)/Sens!F11864</f>
        <v>10.4079573161931</v>
      </c>
      <c r="G11876" s="14" t="n">
        <f aca="false">(Sens!G11872*tk_hold_h100+Sens!G11873*tk_hold_gb200+Sens!G11874*tk_hold_gb300+Sens!G11875*tk_hold_vr200)/Sens!G11864</f>
        <v>10.8388131109316</v>
      </c>
      <c r="H11876" s="14" t="n">
        <f aca="false">(Sens!H11872*tk_hold_h100+Sens!H11873*tk_hold_gb200+Sens!H11874*tk_hold_gb300+Sens!H11875*tk_hold_vr200)/Sens!H11864</f>
        <v>11.1311018388216</v>
      </c>
      <c r="I11876" s="14" t="n">
        <f aca="false">(Sens!I11872*tk_hold_h100+Sens!I11873*tk_hold_gb200+Sens!I11874*tk_hold_gb300+Sens!I11875*tk_hold_vr200)/Sens!I11864</f>
        <v>11.3594282560989</v>
      </c>
      <c r="J11876" s="14" t="n">
        <f aca="false">(Sens!J11872*tk_hold_h100+Sens!J11873*tk_hold_gb200+Sens!J11874*tk_hold_gb300+Sens!J11875*tk_hold_vr200)/Sens!J11864</f>
        <v>11.5441508808221</v>
      </c>
      <c r="K11876" s="14" t="n">
        <f aca="false">(Sens!K11872*tk_hold_h100+Sens!K11873*tk_hold_gb200+Sens!K11874*tk_hold_gb300+Sens!K11875*tk_hold_vr200)/Sens!K11864</f>
        <v>11.8053375063575</v>
      </c>
    </row>
    <row r="11877" customFormat="false" ht="17.15" hidden="false" customHeight="false" outlineLevel="0" collapsed="false">
      <c r="A11877" s="0" t="s">
        <v>817</v>
      </c>
      <c r="B11877" s="0" t="s">
        <v>185</v>
      </c>
      <c r="C11877" s="14" t="n">
        <f aca="false">k_B</f>
        <v>1.17213932619116</v>
      </c>
      <c r="D11877" s="14" t="n">
        <f aca="false">k_B</f>
        <v>1.17213932619116</v>
      </c>
      <c r="E11877" s="14" t="n">
        <f aca="false">k_B</f>
        <v>1.17213932619116</v>
      </c>
      <c r="F11877" s="14" t="n">
        <f aca="false">(k_B+((ls_C*k_long+(1-ls_C)*k_spot)-k_B)*MIN(1,(Sens!F11862-base_fy)/k_ramp))</f>
        <v>1.07843258004497</v>
      </c>
      <c r="G11877" s="14" t="n">
        <f aca="false">(k_B+((ls_C*k_long+(1-ls_C)*k_spot)-k_B)*MIN(1,(Sens!G11862-base_fy)/k_ramp))</f>
        <v>0.984725833898784</v>
      </c>
      <c r="H11877" s="14" t="n">
        <f aca="false">(k_B+((ls_C*k_long+(1-ls_C)*k_spot)-k_B)*MIN(1,(Sens!H11862-base_fy)/k_ramp))</f>
        <v>0.891019087752599</v>
      </c>
      <c r="I11877" s="14" t="n">
        <f aca="false">(k_B+((ls_C*k_long+(1-ls_C)*k_spot)-k_B)*MIN(1,(Sens!I11862-base_fy)/k_ramp))</f>
        <v>0.891019087752599</v>
      </c>
      <c r="J11877" s="14" t="n">
        <f aca="false">(k_B+((ls_C*k_long+(1-ls_C)*k_spot)-k_B)*MIN(1,(Sens!J11862-base_fy)/k_ramp))</f>
        <v>0.891019087752599</v>
      </c>
      <c r="K11877" s="14" t="n">
        <f aca="false">(k_B+((ls_C*k_long+(1-ls_C)*k_spot)-k_B)*MIN(1,(Sens!K11862-base_fy)/k_ramp))</f>
        <v>0.891019087752599</v>
      </c>
      <c r="L11877" s="1" t="s">
        <v>818</v>
      </c>
    </row>
    <row r="11878" customFormat="false" ht="17.15" hidden="false" customHeight="false" outlineLevel="0" collapsed="false">
      <c r="A11878" s="1" t="s">
        <v>819</v>
      </c>
      <c r="B11878" s="0" t="s">
        <v>339</v>
      </c>
      <c r="C11878" s="14" t="n">
        <f aca="false">Sens!C11876*Sens!C11877*chip_f</f>
        <v>11.3973387156315</v>
      </c>
      <c r="D11878" s="14" t="n">
        <f aca="false">Sens!D11876*Sens!D11877*chip_f</f>
        <v>11.3973387156315</v>
      </c>
      <c r="E11878" s="14" t="n">
        <f aca="false">Sens!E11876*Sens!E11877*chip_f</f>
        <v>11.3973387156315</v>
      </c>
      <c r="F11878" s="14" t="n">
        <f aca="false">Sens!F11876*Sens!F11877*chip_f</f>
        <v>11.2242802615</v>
      </c>
      <c r="G11878" s="14" t="n">
        <f aca="false">Sens!G11876*Sens!G11877*chip_f</f>
        <v>10.6732592791352</v>
      </c>
      <c r="H11878" s="14" t="n">
        <f aca="false">Sens!H11876*Sens!H11877*chip_f</f>
        <v>9.91802420610807</v>
      </c>
      <c r="I11878" s="14" t="n">
        <f aca="false">Sens!I11876*Sens!I11877*chip_f</f>
        <v>10.1214674021403</v>
      </c>
      <c r="J11878" s="14" t="n">
        <f aca="false">Sens!J11876*Sens!J11877*chip_f</f>
        <v>10.2860587867084</v>
      </c>
      <c r="K11878" s="14" t="n">
        <f aca="false">Sens!K11876*Sens!K11877*chip_f</f>
        <v>10.5187810555262</v>
      </c>
      <c r="L11878" s="1" t="s">
        <v>820</v>
      </c>
    </row>
    <row r="11879" customFormat="false" ht="17.15" hidden="false" customHeight="false" outlineLevel="0" collapsed="false">
      <c r="A11879" s="0" t="s">
        <v>821</v>
      </c>
      <c r="B11879" s="0" t="s">
        <v>98</v>
      </c>
      <c r="D11879" s="6" t="n">
        <f aca="false">(Sens!C11864+Sens!D11864)/2*Sens!D11878/1000</f>
        <v>12.9359794422418</v>
      </c>
      <c r="E11879" s="6" t="n">
        <f aca="false">(Sens!D11864+Sens!E11864)/2*Sens!E11878/1000</f>
        <v>27.8095064661409</v>
      </c>
      <c r="F11879" s="6" t="n">
        <f aca="false">(Sens!E11864+Sens!F11864)/2*Sens!F11878/1000</f>
        <v>50.6619113883066</v>
      </c>
      <c r="G11879" s="6" t="n">
        <f aca="false">(Sens!F11864+Sens!G11864)/2*Sens!G11878/1000</f>
        <v>75.1482839325348</v>
      </c>
      <c r="H11879" s="6" t="n">
        <f aca="false">(Sens!G11864+Sens!H11864)/2*Sens!H11878/1000</f>
        <v>94.895655604042</v>
      </c>
      <c r="I11879" s="6" t="n">
        <f aca="false">(Sens!H11864+Sens!I11864)/2*Sens!I11878/1000</f>
        <v>118.706168884151</v>
      </c>
      <c r="J11879" s="6" t="n">
        <f aca="false">(Sens!I11864+Sens!J11864)/2*Sens!J11878/1000</f>
        <v>135.305203646001</v>
      </c>
      <c r="K11879" s="6" t="n">
        <f aca="false">(Sens!J11864+Sens!K11864)/2*Sens!K11878/1000</f>
        <v>145.64537766421</v>
      </c>
      <c r="L11879" s="11" t="s">
        <v>822</v>
      </c>
    </row>
    <row r="11880" customFormat="false" ht="17.15" hidden="false" customHeight="false" outlineLevel="0" collapsed="false">
      <c r="A11880" s="1" t="s">
        <v>823</v>
      </c>
      <c r="B11880" s="0" t="s">
        <v>339</v>
      </c>
      <c r="C11880" s="14" t="n">
        <f aca="false">(Sens!C11872*tk_opex_h100+Sens!C11873*tk_opex_gb200+Sens!C11874*tk_opex_gb300+Sens!C11875*tk_opex_vr200)/Sens!C11864</f>
        <v>1.88636041306092</v>
      </c>
      <c r="D11880" s="14" t="n">
        <f aca="false">(Sens!D11872*tk_opex_h100+Sens!D11873*tk_opex_gb200+Sens!D11874*tk_opex_gb300+Sens!D11875*tk_opex_vr200)/Sens!D11864</f>
        <v>1.88636041306092</v>
      </c>
      <c r="E11880" s="14" t="n">
        <f aca="false">(Sens!E11872*tk_opex_h100+Sens!E11873*tk_opex_gb200+Sens!E11874*tk_opex_gb300+Sens!E11875*tk_opex_vr200)/Sens!E11864</f>
        <v>1.88636041306092</v>
      </c>
      <c r="F11880" s="14" t="n">
        <f aca="false">(Sens!F11872*tk_opex_h100+Sens!F11873*tk_opex_gb200+Sens!F11874*tk_opex_gb300+Sens!F11875*tk_opex_vr200)/Sens!F11864</f>
        <v>1.9430236476499</v>
      </c>
      <c r="G11880" s="14" t="n">
        <f aca="false">(Sens!G11872*tk_opex_h100+Sens!G11873*tk_opex_gb200+Sens!G11874*tk_opex_gb300+Sens!G11875*tk_opex_vr200)/Sens!G11864</f>
        <v>1.9786941852423</v>
      </c>
      <c r="H11880" s="14" t="n">
        <f aca="false">(Sens!H11872*tk_opex_h100+Sens!H11873*tk_opex_gb200+Sens!H11874*tk_opex_gb300+Sens!H11875*tk_opex_vr200)/Sens!H11864</f>
        <v>2.00289275976156</v>
      </c>
      <c r="I11880" s="14" t="n">
        <f aca="false">(Sens!I11872*tk_opex_h100+Sens!I11873*tk_opex_gb200+Sens!I11874*tk_opex_gb300+Sens!I11875*tk_opex_vr200)/Sens!I11864</f>
        <v>2.02179589661219</v>
      </c>
      <c r="J11880" s="14" t="n">
        <f aca="false">(Sens!J11872*tk_opex_h100+Sens!J11873*tk_opex_gb200+Sens!J11874*tk_opex_gb300+Sens!J11875*tk_opex_vr200)/Sens!J11864</f>
        <v>2.03708907685909</v>
      </c>
      <c r="K11880" s="14" t="n">
        <f aca="false">(Sens!K11872*tk_opex_h100+Sens!K11873*tk_opex_gb200+Sens!K11874*tk_opex_gb300+Sens!K11875*tk_opex_vr200)/Sens!K11864</f>
        <v>2.05871270931005</v>
      </c>
    </row>
    <row r="11881" customFormat="false" ht="17.15" hidden="false" customHeight="false" outlineLevel="0" collapsed="false">
      <c r="A11881" s="0" t="s">
        <v>824</v>
      </c>
      <c r="B11881" s="0" t="s">
        <v>98</v>
      </c>
      <c r="D11881" s="6" t="n">
        <f aca="false">(Sens!C11867+Sens!D11867)/2*Sens!D11880/1000</f>
        <v>2.70378325872065</v>
      </c>
      <c r="E11881" s="6" t="n">
        <f aca="false">(Sens!D11867+Sens!E11867)/2*Sens!E11880/1000</f>
        <v>6.17783035277451</v>
      </c>
      <c r="F11881" s="6" t="n">
        <f aca="false">(Sens!E11867+Sens!F11867)/2*Sens!F11880/1000</f>
        <v>12.5020618235287</v>
      </c>
      <c r="G11881" s="6" t="n">
        <f aca="false">(Sens!F11867+Sens!G11867)/2*Sens!G11880/1000</f>
        <v>20.7261620256847</v>
      </c>
      <c r="H11881" s="6" t="n">
        <f aca="false">(Sens!G11867+Sens!H11867)/2*Sens!H11880/1000</f>
        <v>29.4158183316982</v>
      </c>
      <c r="I11881" s="6" t="n">
        <f aca="false">(Sens!H11867+Sens!I11867)/2*Sens!I11880/1000</f>
        <v>36.9724400356344</v>
      </c>
      <c r="J11881" s="6" t="n">
        <f aca="false">(Sens!I11867+Sens!J11867)/2*Sens!J11880/1000</f>
        <v>42.0938382992747</v>
      </c>
      <c r="K11881" s="6" t="n">
        <f aca="false">(Sens!J11867+Sens!K11867)/2*Sens!K11880/1000</f>
        <v>44.9150106651501</v>
      </c>
    </row>
    <row r="11882" customFormat="false" ht="17.15" hidden="false" customHeight="false" outlineLevel="0" collapsed="false">
      <c r="A11882" s="0" t="s">
        <v>825</v>
      </c>
      <c r="B11882" s="0" t="s">
        <v>98</v>
      </c>
      <c r="D11882" s="6" t="n">
        <f aca="false">(Sens!C11865+Sens!D11865)/2*rent_mw/1000</f>
        <v>2.44475</v>
      </c>
      <c r="E11882" s="6" t="n">
        <f aca="false">(Sens!D11865+Sens!E11865)/2*rent_mw/1000</f>
        <v>4.22275</v>
      </c>
      <c r="F11882" s="6" t="n">
        <f aca="false">(Sens!E11865+Sens!F11865)/2*rent_mw/1000</f>
        <v>5.80517</v>
      </c>
      <c r="G11882" s="6" t="n">
        <f aca="false">(Sens!F11865+Sens!G11865)/2*rent_mw/1000</f>
        <v>6.72084</v>
      </c>
      <c r="H11882" s="6" t="n">
        <f aca="false">(Sens!G11865+Sens!H11865)/2*rent_mw/1000</f>
        <v>6.72084</v>
      </c>
      <c r="I11882" s="6" t="n">
        <f aca="false">(Sens!H11865+Sens!I11865)/2*rent_mw/1000</f>
        <v>6.72084</v>
      </c>
      <c r="J11882" s="6" t="n">
        <f aca="false">(Sens!I11865+Sens!J11865)/2*rent_mw/1000</f>
        <v>6.72084</v>
      </c>
      <c r="K11882" s="6" t="n">
        <f aca="false">(Sens!J11865+Sens!K11865)/2*rent_mw/1000</f>
        <v>6.72084</v>
      </c>
    </row>
    <row r="11883" customFormat="false" ht="17.15" hidden="false" customHeight="false" outlineLevel="0" collapsed="false">
      <c r="A11883" s="0" t="s">
        <v>826</v>
      </c>
      <c r="B11883" s="0" t="s">
        <v>98</v>
      </c>
      <c r="D11883" s="6" t="n">
        <f aca="false">(Sens!C11867+Sens!D11867)/2*(1-self_build)*fac_rent/1000</f>
        <v>0.853242375631075</v>
      </c>
      <c r="E11883" s="6" t="n">
        <f aca="false">(Sens!D11867+Sens!E11867)/2*(1-self_build)*fac_rent/1000</f>
        <v>1.94955961408728</v>
      </c>
      <c r="F11883" s="6" t="n">
        <f aca="false">(Sens!E11867+Sens!F11867)/2*(1-self_build)*fac_rent/1000</f>
        <v>3.83026455274573</v>
      </c>
      <c r="G11883" s="6" t="n">
        <f aca="false">(Sens!F11867+Sens!G11867)/2*(1-self_build)*fac_rent/1000</f>
        <v>6.23541590972812</v>
      </c>
      <c r="H11883" s="6" t="n">
        <f aca="false">(Sens!G11867+Sens!H11867)/2*(1-self_build)*fac_rent/1000</f>
        <v>8.74275792332679</v>
      </c>
      <c r="I11883" s="6" t="n">
        <f aca="false">(Sens!H11867+Sens!I11867)/2*(1-self_build)*fac_rent/1000</f>
        <v>10.8859420438599</v>
      </c>
      <c r="J11883" s="6" t="n">
        <f aca="false">(Sens!I11867+Sens!J11867)/2*(1-self_build)*fac_rent/1000</f>
        <v>12.3008103782619</v>
      </c>
      <c r="K11883" s="6" t="n">
        <f aca="false">(Sens!J11867+Sens!K11867)/2*(1-self_build)*fac_rent/1000</f>
        <v>12.9873629265328</v>
      </c>
      <c r="L11883" s="11" t="s">
        <v>827</v>
      </c>
    </row>
    <row r="11884" customFormat="false" ht="17.15" hidden="false" customHeight="false" outlineLevel="0" collapsed="false">
      <c r="A11884" s="1" t="s">
        <v>828</v>
      </c>
      <c r="B11884" s="0" t="s">
        <v>129</v>
      </c>
      <c r="D11884" s="7" t="n">
        <f aca="false">(Sens!C11866+Sens!D11866)/(Sens!C11867+Sens!D11867)</f>
        <v>0.6</v>
      </c>
      <c r="E11884" s="7" t="n">
        <f aca="false">(Sens!D11866+Sens!E11866)/(Sens!D11867+Sens!E11867)</f>
        <v>0.6</v>
      </c>
      <c r="F11884" s="7" t="n">
        <f aca="false">(Sens!E11866+Sens!F11866)/(Sens!E11867+Sens!F11867)</f>
        <v>0.6</v>
      </c>
      <c r="G11884" s="7" t="n">
        <f aca="false">(Sens!F11866+Sens!G11866)/(Sens!F11867+Sens!G11867)</f>
        <v>0.6</v>
      </c>
      <c r="H11884" s="7" t="n">
        <f aca="false">(Sens!G11866+Sens!H11866)/(Sens!G11867+Sens!H11867)</f>
        <v>0.6</v>
      </c>
      <c r="I11884" s="7" t="n">
        <f aca="false">(Sens!H11866+Sens!I11866)/(Sens!H11867+Sens!I11867)</f>
        <v>0.6</v>
      </c>
      <c r="J11884" s="7" t="n">
        <f aca="false">(Sens!I11866+Sens!J11866)/(Sens!I11867+Sens!J11867)</f>
        <v>0.6</v>
      </c>
      <c r="K11884" s="7" t="n">
        <f aca="false">(Sens!J11866+Sens!K11866)/(Sens!J11867+Sens!K11867)</f>
        <v>0.6</v>
      </c>
    </row>
    <row r="11885" customFormat="false" ht="17.15" hidden="false" customHeight="false" outlineLevel="0" collapsed="false">
      <c r="A11885" s="0" t="s">
        <v>829</v>
      </c>
      <c r="B11885" s="0" t="s">
        <v>98</v>
      </c>
      <c r="D11885" s="6" t="n">
        <f aca="false">Sens!D11879-Sens!D11884*(Sens!D11881+Sens!D11883)-Sens!D11882</f>
        <v>8.35701406163072</v>
      </c>
      <c r="E11885" s="6" t="n">
        <f aca="false">Sens!E11879-Sens!E11884*(Sens!E11881+Sens!E11883)-Sens!E11882</f>
        <v>18.7103224860238</v>
      </c>
      <c r="F11885" s="6" t="n">
        <f aca="false">Sens!F11879-Sens!F11884*(Sens!F11881+Sens!F11883)-Sens!F11882</f>
        <v>35.0573455625419</v>
      </c>
      <c r="G11885" s="6" t="n">
        <f aca="false">Sens!G11879-Sens!G11884*(Sens!G11881+Sens!G11883)-Sens!G11882</f>
        <v>52.2504971712871</v>
      </c>
      <c r="H11885" s="6" t="n">
        <f aca="false">Sens!H11879-Sens!H11884*(Sens!H11881+Sens!H11883)-Sens!H11882</f>
        <v>65.2796698510271</v>
      </c>
      <c r="I11885" s="6" t="n">
        <f aca="false">Sens!I11879-Sens!I11884*(Sens!I11881+Sens!I11883)-Sens!I11882</f>
        <v>83.2702996364549</v>
      </c>
      <c r="J11885" s="6" t="n">
        <f aca="false">Sens!J11879-Sens!J11884*(Sens!J11881+Sens!J11883)-Sens!J11882</f>
        <v>95.9475744394793</v>
      </c>
      <c r="K11885" s="6" t="n">
        <f aca="false">Sens!K11879-Sens!K11884*(Sens!K11881+Sens!K11883)-Sens!K11882</f>
        <v>104.1831135092</v>
      </c>
    </row>
    <row r="11886" customFormat="false" ht="17.15" hidden="false" customHeight="false" outlineLevel="0" collapsed="false">
      <c r="A11886" s="1" t="s">
        <v>830</v>
      </c>
      <c r="B11886" s="0" t="s">
        <v>98</v>
      </c>
      <c r="D11886" s="6" t="n">
        <f aca="false">(1-Sens!D11884)*(Sens!D11881+Sens!D11883)</f>
        <v>1.42281025374069</v>
      </c>
      <c r="E11886" s="6" t="n">
        <f aca="false">(1-Sens!E11884)*(Sens!E11881+Sens!E11883)</f>
        <v>3.25095598674472</v>
      </c>
      <c r="F11886" s="6" t="n">
        <f aca="false">(1-Sens!F11884)*(Sens!F11881+Sens!F11883)</f>
        <v>6.53293055050977</v>
      </c>
      <c r="G11886" s="6" t="n">
        <f aca="false">(1-Sens!G11884)*(Sens!G11881+Sens!G11883)</f>
        <v>10.7846311741651</v>
      </c>
      <c r="H11886" s="6" t="n">
        <f aca="false">(1-Sens!H11884)*(Sens!H11881+Sens!H11883)</f>
        <v>15.26343050201</v>
      </c>
      <c r="I11886" s="6" t="n">
        <f aca="false">(1-Sens!I11884)*(Sens!I11881+Sens!I11883)</f>
        <v>19.1433528317977</v>
      </c>
      <c r="J11886" s="6" t="n">
        <f aca="false">(1-Sens!J11884)*(Sens!J11881+Sens!J11883)</f>
        <v>21.7578594710146</v>
      </c>
      <c r="K11886" s="6" t="n">
        <f aca="false">(1-Sens!K11884)*(Sens!K11881+Sens!K11883)</f>
        <v>23.1609494366731</v>
      </c>
    </row>
    <row r="11887" customFormat="false" ht="17.15" hidden="false" customHeight="false" outlineLevel="0" collapsed="false">
      <c r="A11887" s="1" t="s">
        <v>831</v>
      </c>
      <c r="B11887" s="0" t="s">
        <v>350</v>
      </c>
      <c r="C11887" s="8" t="n">
        <f aca="false">cxit_open</f>
        <v>27.5918995</v>
      </c>
      <c r="D11887" s="8" t="n">
        <f aca="false">cxit_open</f>
        <v>27.5918995</v>
      </c>
      <c r="E11887" s="8" t="n">
        <f aca="false">cxit_open</f>
        <v>27.5918995</v>
      </c>
      <c r="F11887" s="8" t="n">
        <f aca="false">(a_g3_27*tk_cxit_gb300+(1-a_g3_27)*tk_cxit_vr200)</f>
        <v>33.8419624</v>
      </c>
      <c r="G11887" s="8" t="n">
        <f aca="false">(a_g3_28*tk_cxit_gb300+(1-a_g3_28)*tk_cxit_vr200)</f>
        <v>35.9816136</v>
      </c>
      <c r="H11887" s="8" t="n">
        <f aca="false">(a_g3_29*tk_cxit_gb300+(1-a_g3_29)*tk_cxit_vr200)</f>
        <v>37.0514392</v>
      </c>
      <c r="I11887" s="8" t="n">
        <f aca="false">(a_g3_29*tk_cxit_gb300+(1-a_g3_29)*tk_cxit_vr200)</f>
        <v>37.0514392</v>
      </c>
      <c r="J11887" s="8" t="n">
        <f aca="false">(a_g3_29*tk_cxit_gb300+(1-a_g3_29)*tk_cxit_vr200)</f>
        <v>37.0514392</v>
      </c>
      <c r="K11887" s="8" t="n">
        <f aca="false">(a_g3_29*tk_cxit_gb300+(1-a_g3_29)*tk_cxit_vr200)</f>
        <v>37.0514392</v>
      </c>
      <c r="L11887" s="11" t="s">
        <v>832</v>
      </c>
    </row>
    <row r="11888" customFormat="false" ht="17.15" hidden="false" customHeight="false" outlineLevel="0" collapsed="false">
      <c r="A11888" s="0" t="s">
        <v>833</v>
      </c>
      <c r="B11888" s="0" t="s">
        <v>392</v>
      </c>
      <c r="F11888" s="29" t="n">
        <f aca="false">Sens!C11869*IF(Sens!F11862-Sens!C11862=life_it,1,0)+Sens!D11869*IF(Sens!F11862-Sens!D11862=life_it,1,0)+Sens!E11869*IF(Sens!F11862-Sens!E11862=life_it,1,0)</f>
        <v>0</v>
      </c>
      <c r="G11888" s="29" t="n">
        <f aca="false">Sens!C11869*IF(Sens!G11862-Sens!C11862=life_it,1,0)+Sens!D11869*IF(Sens!G11862-Sens!D11862=life_it,1,0)+Sens!E11869*IF(Sens!G11862-Sens!E11862=life_it,1,0)+Sens!F11869*IF(Sens!G11862-Sens!F11862=life_it,1,0)</f>
        <v>0</v>
      </c>
      <c r="H11888" s="29" t="n">
        <f aca="false">Sens!C11869*IF(Sens!H11862-Sens!C11862=life_it,1,0)+Sens!D11869*IF(Sens!H11862-Sens!D11862=life_it,1,0)+Sens!E11869*IF(Sens!H11862-Sens!E11862=life_it,1,0)+Sens!F11869*IF(Sens!H11862-Sens!F11862=life_it,1,0)+Sens!G11869*IF(Sens!H11862-Sens!G11862=life_it,1,0)</f>
        <v>0</v>
      </c>
      <c r="I11888" s="29" t="n">
        <f aca="false">Sens!C11869*IF(Sens!I11862-Sens!C11862=life_it,1,0)+Sens!D11869*IF(Sens!I11862-Sens!D11862=life_it,1,0)+Sens!E11869*IF(Sens!I11862-Sens!E11862=life_it,1,0)+Sens!F11869*IF(Sens!I11862-Sens!F11862=life_it,1,0)+Sens!G11869*IF(Sens!I11862-Sens!G11862=life_it,1,0)+Sens!H11869*IF(Sens!I11862-Sens!H11862=life_it,1,0)</f>
        <v>816.666666666667</v>
      </c>
      <c r="J11888" s="29" t="n">
        <f aca="false">Sens!C11869*IF(Sens!J11862-Sens!C11862=life_it,1,0)+Sens!D11869*IF(Sens!J11862-Sens!D11862=life_it,1,0)+Sens!E11869*IF(Sens!J11862-Sens!E11862=life_it,1,0)+Sens!F11869*IF(Sens!J11862-Sens!F11862=life_it,1,0)+Sens!G11869*IF(Sens!J11862-Sens!G11862=life_it,1,0)+Sens!H11869*IF(Sens!J11862-Sens!H11862=life_it,1,0)+Sens!I11869*IF(Sens!J11862-Sens!I11862=life_it,1,0)</f>
        <v>1233.33333333333</v>
      </c>
      <c r="K11888" s="29" t="n">
        <f aca="false">Sens!C11869*IF(Sens!K11862-Sens!C11862=life_it,1,0)+Sens!D11869*IF(Sens!K11862-Sens!D11862=life_it,1,0)+Sens!E11869*IF(Sens!K11862-Sens!E11862=life_it,1,0)+Sens!F11869*IF(Sens!K11862-Sens!F11862=life_it,1,0)+Sens!G11869*IF(Sens!K11862-Sens!G11862=life_it,1,0)+Sens!H11869*IF(Sens!K11862-Sens!H11862=life_it,1,0)+Sens!I11869*IF(Sens!K11862-Sens!I11862=life_it,1,0)+Sens!J11869*IF(Sens!K11862-Sens!J11862=life_it,1,0)</f>
        <v>2450</v>
      </c>
      <c r="L11888" s="1" t="s">
        <v>834</v>
      </c>
    </row>
    <row r="11889" customFormat="false" ht="17.15" hidden="false" customHeight="false" outlineLevel="0" collapsed="false">
      <c r="A11889" s="0" t="s">
        <v>835</v>
      </c>
      <c r="B11889" s="0" t="s">
        <v>98</v>
      </c>
      <c r="C11889" s="6" t="n">
        <f aca="false">Sens!C11869*Sens!C11887/1000</f>
        <v>22.5333845916667</v>
      </c>
      <c r="D11889" s="6" t="n">
        <f aca="false">Sens!D11869*Sens!D11887/1000</f>
        <v>34.0300093833333</v>
      </c>
      <c r="E11889" s="6" t="n">
        <f aca="false">Sens!E11869*Sens!E11887/1000</f>
        <v>67.600153775</v>
      </c>
      <c r="F11889" s="6" t="n">
        <f aca="false">(Sens!F11869+Sens!F11888)*Sens!F11887/1000</f>
        <v>130.923271871467</v>
      </c>
      <c r="G11889" s="6" t="n">
        <f aca="false">(Sens!G11869+Sens!G11888)*Sens!G11887/1000</f>
        <v>151.5545564832</v>
      </c>
      <c r="H11889" s="6" t="n">
        <f aca="false">(Sens!H11869+Sens!H11888)*Sens!H11887/1000</f>
        <v>156.0606619104</v>
      </c>
      <c r="I11889" s="6" t="n">
        <f aca="false">(Sens!I11869+Sens!I11888)*Sens!I11887/1000</f>
        <v>140.987889434245</v>
      </c>
      <c r="J11889" s="6" t="n">
        <f aca="false">(Sens!J11869+Sens!J11888)*Sens!J11887/1000</f>
        <v>111.094541278091</v>
      </c>
      <c r="K11889" s="6" t="n">
        <f aca="false">(Sens!K11869+Sens!K11888)*Sens!K11887/1000</f>
        <v>110.842344481936</v>
      </c>
    </row>
    <row r="11890" customFormat="false" ht="17.15" hidden="false" customHeight="false" outlineLevel="0" collapsed="false">
      <c r="A11890" s="0" t="s">
        <v>836</v>
      </c>
      <c r="B11890" s="0" t="s">
        <v>98</v>
      </c>
      <c r="C11890" s="6" t="n">
        <f aca="false">Sens!C11869*self_build*tk_cxfac/1000</f>
        <v>6.2083</v>
      </c>
      <c r="D11890" s="6" t="n">
        <f aca="false">Sens!D11869*self_build*tk_cxfac/1000</f>
        <v>9.3758</v>
      </c>
      <c r="E11890" s="6" t="n">
        <f aca="false">Sens!E11869*self_build*tk_cxfac/1000</f>
        <v>18.6249</v>
      </c>
      <c r="F11890" s="6" t="n">
        <f aca="false">Sens!F11869*self_build*tk_cxfac/1000</f>
        <v>29.409604</v>
      </c>
      <c r="G11890" s="6" t="n">
        <f aca="false">Sens!G11869*self_build*tk_cxfac/1000</f>
        <v>32.019624</v>
      </c>
      <c r="H11890" s="6" t="n">
        <f aca="false">Sens!H11869*self_build*tk_cxfac/1000</f>
        <v>32.019624</v>
      </c>
      <c r="I11890" s="6" t="n">
        <f aca="false">Sens!I11869*self_build*tk_cxfac/1000</f>
        <v>22.71877972</v>
      </c>
      <c r="J11890" s="6" t="n">
        <f aca="false">Sens!J11869*self_build*tk_cxfac/1000</f>
        <v>13.41793544</v>
      </c>
      <c r="K11890" s="6" t="n">
        <f aca="false">Sens!K11869*self_build*tk_cxfac/1000</f>
        <v>4.11709116000001</v>
      </c>
    </row>
    <row r="11891" customFormat="false" ht="17.15" hidden="false" customHeight="false" outlineLevel="0" collapsed="false">
      <c r="A11891" s="0" t="s">
        <v>837</v>
      </c>
      <c r="B11891" s="0" t="s">
        <v>98</v>
      </c>
      <c r="F11891" s="6" t="n">
        <f aca="false">MAX(0,capex_floor27-Sens!F11889-Sens!F11890-Sens!F11984)</f>
        <v>8.43777689897088</v>
      </c>
      <c r="L11891" s="1" t="s">
        <v>838</v>
      </c>
    </row>
    <row r="11892" customFormat="false" ht="17.15" hidden="false" customHeight="false" outlineLevel="0" collapsed="false">
      <c r="A11892" s="0" t="s">
        <v>839</v>
      </c>
      <c r="B11892" s="0" t="s">
        <v>98</v>
      </c>
      <c r="C11892" s="6" t="n">
        <f aca="false">Sens!C11889</f>
        <v>22.5333845916667</v>
      </c>
      <c r="D11892" s="6" t="n">
        <f aca="false">Sens!D11889</f>
        <v>34.0300093833333</v>
      </c>
      <c r="E11892" s="6" t="n">
        <f aca="false">Sens!E11889</f>
        <v>67.600153775</v>
      </c>
      <c r="F11892" s="6" t="n">
        <f aca="false">Sens!F11889+Sens!F11891</f>
        <v>139.361048770438</v>
      </c>
      <c r="G11892" s="6" t="n">
        <f aca="false">Sens!G11889</f>
        <v>151.5545564832</v>
      </c>
      <c r="H11892" s="6" t="n">
        <f aca="false">Sens!H11889</f>
        <v>156.0606619104</v>
      </c>
      <c r="I11892" s="6" t="n">
        <f aca="false">Sens!I11889</f>
        <v>140.987889434245</v>
      </c>
      <c r="J11892" s="6" t="n">
        <f aca="false">Sens!J11889</f>
        <v>111.094541278091</v>
      </c>
      <c r="K11892" s="6" t="n">
        <f aca="false">Sens!K11889</f>
        <v>110.842344481936</v>
      </c>
    </row>
    <row r="11893" customFormat="false" ht="17.15" hidden="false" customHeight="false" outlineLevel="0" collapsed="false">
      <c r="A11893" s="0" t="s">
        <v>840</v>
      </c>
      <c r="B11893" s="0" t="s">
        <v>98</v>
      </c>
      <c r="C11893" s="6" t="n">
        <f aca="false">Sens!C11892+Sens!C11890</f>
        <v>28.7416845916667</v>
      </c>
      <c r="D11893" s="6" t="n">
        <f aca="false">Sens!D11892+Sens!D11890</f>
        <v>43.4058093833333</v>
      </c>
      <c r="E11893" s="6" t="n">
        <f aca="false">Sens!E11892+Sens!E11890</f>
        <v>86.225053775</v>
      </c>
      <c r="F11893" s="6" t="n">
        <f aca="false">Sens!F11892+Sens!F11890</f>
        <v>168.770652770438</v>
      </c>
      <c r="G11893" s="6" t="n">
        <f aca="false">Sens!G11892+Sens!G11890</f>
        <v>183.5741804832</v>
      </c>
      <c r="H11893" s="6" t="n">
        <f aca="false">Sens!H11892+Sens!H11890</f>
        <v>188.0802859104</v>
      </c>
      <c r="I11893" s="6" t="n">
        <f aca="false">Sens!I11892+Sens!I11890</f>
        <v>163.706669154245</v>
      </c>
      <c r="J11893" s="6" t="n">
        <f aca="false">Sens!J11892+Sens!J11890</f>
        <v>124.51247671809</v>
      </c>
      <c r="K11893" s="6" t="n">
        <f aca="false">Sens!K11892+Sens!K11890</f>
        <v>114.959435641936</v>
      </c>
      <c r="L11893" s="11" t="s">
        <v>841</v>
      </c>
    </row>
    <row r="11894" customFormat="false" ht="17.15" hidden="false" customHeight="false" outlineLevel="0" collapsed="false">
      <c r="A11894" s="0" t="s">
        <v>842</v>
      </c>
      <c r="B11894" s="0" t="s">
        <v>98</v>
      </c>
      <c r="E11894" s="6" t="n">
        <f aca="false">(Sens!C11892*IF(2&lt;life_it,1,IF(2=life_it,0.5,0))+Sens!D11892*IF(1&lt;life_it,1,IF(1=life_it,0.5,0))+Sens!E11892*0.5)/life_it</f>
        <v>15.0605784770833</v>
      </c>
      <c r="F11894" s="6" t="n">
        <f aca="false">(Sens!C11892*IF(3&lt;life_it,1,IF(3=life_it,0.5,0))+Sens!D11892*IF(2&lt;life_it,1,IF(2=life_it,0.5,0))+Sens!E11892*IF(1&lt;life_it,1,IF(1=life_it,0.5,0))+Sens!F11892*0.5)/life_it</f>
        <v>32.3073453558698</v>
      </c>
      <c r="G11894" s="6" t="n">
        <f aca="false">(Sens!C11892*IF(4&lt;life_it,1,IF(4=life_it,0.5,0))+Sens!D11892*IF(3&lt;life_it,1,IF(3=life_it,0.5,0))+Sens!E11892*IF(2&lt;life_it,1,IF(2=life_it,0.5,0))+Sens!F11892*IF(1&lt;life_it,1,IF(1=life_it,0.5,0))+Sens!G11892*0.5)/life_it</f>
        <v>56.5503124603396</v>
      </c>
      <c r="H11894" s="6" t="n">
        <f aca="false">(Sens!C11892*IF(5&lt;life_it,1,IF(5=life_it,0.5,0))+Sens!D11892*IF(4&lt;life_it,1,IF(4=life_it,0.5,0))+Sens!E11892*IF(3&lt;life_it,1,IF(3=life_it,0.5,0))+Sens!F11892*IF(2&lt;life_it,1,IF(2=life_it,0.5,0))+Sens!G11892*IF(1&lt;life_it,1,IF(1=life_it,0.5,0))+Sens!H11892*0.5)/life_it</f>
        <v>82.1849139931396</v>
      </c>
      <c r="I11894" s="6" t="n">
        <f aca="false">(Sens!C11892*IF(6&lt;life_it,1,IF(6=life_it,0.5,0))+Sens!D11892*IF(5&lt;life_it,1,IF(5=life_it,0.5,0))+Sens!E11892*IF(4&lt;life_it,1,IF(4=life_it,0.5,0))+Sens!F11892*IF(3&lt;life_it,1,IF(3=life_it,0.5,0))+Sens!G11892*IF(2&lt;life_it,1,IF(2=life_it,0.5,0))+Sens!H11892*IF(1&lt;life_it,1,IF(1=life_it,0.5,0))+Sens!I11892*0.5)/life_it</f>
        <v>105.061177889221</v>
      </c>
      <c r="J11894" s="6" t="n">
        <f aca="false">(Sens!C11892*IF(7&lt;life_it,1,IF(7=life_it,0.5,0))+Sens!D11892*IF(6&lt;life_it,1,IF(6=life_it,0.5,0))+Sens!E11892*IF(5&lt;life_it,1,IF(5=life_it,0.5,0))+Sens!F11892*IF(4&lt;life_it,1,IF(4=life_it,0.5,0))+Sens!G11892*IF(3&lt;life_it,1,IF(3=life_it,0.5,0))+Sens!H11892*IF(2&lt;life_it,1,IF(2=life_it,0.5,0))+Sens!I11892*IF(1&lt;life_it,1,IF(1=life_it,0.5,0))+Sens!J11892*0.5)/life_it</f>
        <v>121.354430950666</v>
      </c>
      <c r="K11894" s="6" t="n">
        <f aca="false">(Sens!C11892*IF(8&lt;life_it,1,IF(8=life_it,0.5,0))+Sens!D11892*IF(7&lt;life_it,1,IF(7=life_it,0.5,0))+Sens!E11892*IF(6&lt;life_it,1,IF(6=life_it,0.5,0))+Sens!F11892*IF(5&lt;life_it,1,IF(5=life_it,0.5,0))+Sens!G11892*IF(4&lt;life_it,1,IF(4=life_it,0.5,0))+Sens!H11892*IF(3&lt;life_it,1,IF(3=life_it,0.5,0))+Sens!I11892*IF(2&lt;life_it,1,IF(2=life_it,0.5,0))+Sens!J11892*IF(1&lt;life_it,1,IF(1=life_it,0.5,0))+Sens!K11892*0.5)/life_it</f>
        <v>131.379991167474</v>
      </c>
    </row>
    <row r="11895" customFormat="false" ht="17.15" hidden="false" customHeight="false" outlineLevel="0" collapsed="false">
      <c r="A11895" s="0" t="s">
        <v>843</v>
      </c>
      <c r="B11895" s="0" t="s">
        <v>98</v>
      </c>
      <c r="E11895" s="6" t="n">
        <f aca="false">(Sens!C11890*IF(2&lt;life_fac,1,IF(2=life_fac,0.5,0))+Sens!D11890*IF(1&lt;life_fac,1,IF(1=life_fac,0.5,0))+Sens!E11890*0.5)/life_fac</f>
        <v>1.2448275</v>
      </c>
      <c r="F11895" s="6" t="n">
        <f aca="false">(Sens!C11890*IF(3&lt;life_fac,1,IF(3=life_fac,0.5,0))+Sens!D11890*IF(2&lt;life_fac,1,IF(2=life_fac,0.5,0))+Sens!E11890*IF(1&lt;life_fac,1,IF(1=life_fac,0.5,0))+Sens!F11890*0.5)/life_fac</f>
        <v>2.4456901</v>
      </c>
      <c r="G11895" s="6" t="n">
        <f aca="false">(Sens!C11890*IF(4&lt;life_fac,1,IF(4=life_fac,0.5,0))+Sens!D11890*IF(3&lt;life_fac,1,IF(3=life_fac,0.5,0))+Sens!E11890*IF(2&lt;life_fac,1,IF(2=life_fac,0.5,0))+Sens!F11890*IF(1&lt;life_fac,1,IF(1=life_fac,0.5,0))+Sens!G11890*0.5)/life_fac</f>
        <v>3.9814208</v>
      </c>
      <c r="H11895" s="6" t="n">
        <f aca="false">(Sens!C11890*IF(5&lt;life_fac,1,IF(5=life_fac,0.5,0))+Sens!D11890*IF(4&lt;life_fac,1,IF(4=life_fac,0.5,0))+Sens!E11890*IF(3&lt;life_fac,1,IF(3=life_fac,0.5,0))+Sens!F11890*IF(2&lt;life_fac,1,IF(2=life_fac,0.5,0))+Sens!G11890*IF(1&lt;life_fac,1,IF(1=life_fac,0.5,0))+Sens!H11890*0.5)/life_fac</f>
        <v>5.582402</v>
      </c>
      <c r="I11895" s="6" t="n">
        <f aca="false">(Sens!C11890*IF(6&lt;life_fac,1,IF(6=life_fac,0.5,0))+Sens!D11890*IF(5&lt;life_fac,1,IF(5=life_fac,0.5,0))+Sens!E11890*IF(4&lt;life_fac,1,IF(4=life_fac,0.5,0))+Sens!F11890*IF(3&lt;life_fac,1,IF(3=life_fac,0.5,0))+Sens!G11890*IF(2&lt;life_fac,1,IF(2=life_fac,0.5,0))+Sens!H11890*IF(1&lt;life_fac,1,IF(1=life_fac,0.5,0))+Sens!I11890*0.5)/life_fac</f>
        <v>6.950862093</v>
      </c>
      <c r="J11895" s="6" t="n">
        <f aca="false">(Sens!C11890*IF(7&lt;life_fac,1,IF(7=life_fac,0.5,0))+Sens!D11890*IF(6&lt;life_fac,1,IF(6=life_fac,0.5,0))+Sens!E11890*IF(5&lt;life_fac,1,IF(5=life_fac,0.5,0))+Sens!F11890*IF(4&lt;life_fac,1,IF(4=life_fac,0.5,0))+Sens!G11890*IF(3&lt;life_fac,1,IF(3=life_fac,0.5,0))+Sens!H11890*IF(2&lt;life_fac,1,IF(2=life_fac,0.5,0))+Sens!I11890*IF(1&lt;life_fac,1,IF(1=life_fac,0.5,0))+Sens!J11890*0.5)/life_fac</f>
        <v>7.854279972</v>
      </c>
      <c r="K11895" s="6" t="n">
        <f aca="false">(Sens!C11890*IF(8&lt;life_fac,1,IF(8=life_fac,0.5,0))+Sens!D11890*IF(7&lt;life_fac,1,IF(7=life_fac,0.5,0))+Sens!E11890*IF(6&lt;life_fac,1,IF(6=life_fac,0.5,0))+Sens!F11890*IF(5&lt;life_fac,1,IF(5=life_fac,0.5,0))+Sens!G11890*IF(4&lt;life_fac,1,IF(4=life_fac,0.5,0))+Sens!H11890*IF(3&lt;life_fac,1,IF(3=life_fac,0.5,0))+Sens!I11890*IF(2&lt;life_fac,1,IF(2=life_fac,0.5,0))+Sens!J11890*IF(1&lt;life_fac,1,IF(1=life_fac,0.5,0))+Sens!K11890*0.5)/life_fac</f>
        <v>8.292655637</v>
      </c>
    </row>
    <row r="11896" customFormat="false" ht="17.15" hidden="false" customHeight="false" outlineLevel="0" collapsed="false">
      <c r="A11896" s="0" t="s">
        <v>844</v>
      </c>
      <c r="B11896" s="0" t="s">
        <v>98</v>
      </c>
      <c r="E11896" s="6" t="n">
        <f aca="false">Sens!E11894+Sens!E11895</f>
        <v>16.3054059770833</v>
      </c>
      <c r="F11896" s="6" t="n">
        <f aca="false">Sens!F11894+Sens!F11895</f>
        <v>34.7530354558698</v>
      </c>
      <c r="G11896" s="6" t="n">
        <f aca="false">Sens!G11894+Sens!G11895</f>
        <v>60.5317332603396</v>
      </c>
      <c r="H11896" s="6" t="n">
        <f aca="false">Sens!H11894+Sens!H11895</f>
        <v>87.7673159931396</v>
      </c>
      <c r="I11896" s="6" t="n">
        <f aca="false">Sens!I11894+Sens!I11895</f>
        <v>112.012039982221</v>
      </c>
      <c r="J11896" s="6" t="n">
        <f aca="false">Sens!J11894+Sens!J11895</f>
        <v>129.208710922666</v>
      </c>
      <c r="K11896" s="6" t="n">
        <f aca="false">Sens!K11894+Sens!K11895</f>
        <v>139.672646804474</v>
      </c>
    </row>
    <row r="11897" customFormat="false" ht="17.15" hidden="false" customHeight="false" outlineLevel="0" collapsed="false">
      <c r="A11897" s="0" t="s">
        <v>845</v>
      </c>
      <c r="B11897" s="0" t="s">
        <v>98</v>
      </c>
      <c r="E11897" s="6" t="n">
        <f aca="false">Sens!E11885-Sens!E11884*Sens!E11896</f>
        <v>8.92707889977379</v>
      </c>
      <c r="F11897" s="6" t="n">
        <f aca="false">Sens!F11885-Sens!F11884*Sens!F11896</f>
        <v>14.2055242890201</v>
      </c>
      <c r="G11897" s="6" t="n">
        <f aca="false">Sens!G11885-Sens!G11884*Sens!G11896</f>
        <v>15.9314572150833</v>
      </c>
      <c r="H11897" s="6" t="n">
        <f aca="false">Sens!H11885-Sens!H11884*Sens!H11896</f>
        <v>12.6192802551433</v>
      </c>
      <c r="I11897" s="6" t="n">
        <f aca="false">Sens!I11885-Sens!I11884*Sens!I11896</f>
        <v>16.0630756471222</v>
      </c>
      <c r="J11897" s="6" t="n">
        <f aca="false">Sens!J11885-Sens!J11884*Sens!J11896</f>
        <v>18.4223478858798</v>
      </c>
      <c r="K11897" s="6" t="n">
        <f aca="false">Sens!K11885-Sens!K11884*Sens!K11896</f>
        <v>20.3795254265162</v>
      </c>
    </row>
    <row r="11898" customFormat="false" ht="17.15" hidden="false" customHeight="false" outlineLevel="0" collapsed="false">
      <c r="A11898" s="3" t="s">
        <v>1545</v>
      </c>
    </row>
    <row r="11899" customFormat="false" ht="15" hidden="false" customHeight="false" outlineLevel="0" collapsed="false">
      <c r="A11899" s="4" t="s">
        <v>43</v>
      </c>
      <c r="B11899" s="4" t="s">
        <v>65</v>
      </c>
      <c r="C11899" s="20" t="s">
        <v>788</v>
      </c>
      <c r="D11899" s="20" t="s">
        <v>789</v>
      </c>
      <c r="E11899" s="20" t="s">
        <v>790</v>
      </c>
      <c r="F11899" s="20" t="s">
        <v>791</v>
      </c>
      <c r="G11899" s="20" t="s">
        <v>792</v>
      </c>
      <c r="H11899" s="20" t="s">
        <v>793</v>
      </c>
      <c r="I11899" s="20" t="s">
        <v>794</v>
      </c>
      <c r="J11899" s="20" t="s">
        <v>795</v>
      </c>
      <c r="K11899" s="20" t="s">
        <v>796</v>
      </c>
      <c r="L11899" s="4" t="s">
        <v>47</v>
      </c>
    </row>
    <row r="11900" customFormat="false" ht="17.15" hidden="false" customHeight="false" outlineLevel="0" collapsed="false">
      <c r="A11900" s="0" t="s">
        <v>864</v>
      </c>
      <c r="B11900" s="0" t="s">
        <v>98</v>
      </c>
      <c r="D11900" s="6" t="n">
        <f aca="false">Sens!D11879</f>
        <v>12.9359794422418</v>
      </c>
      <c r="E11900" s="6" t="n">
        <f aca="false">Sens!E11879</f>
        <v>27.8095064661409</v>
      </c>
      <c r="F11900" s="6" t="n">
        <f aca="false">Sens!F11879</f>
        <v>50.6619113883066</v>
      </c>
      <c r="G11900" s="6" t="n">
        <f aca="false">Sens!G11879</f>
        <v>75.1482839325348</v>
      </c>
      <c r="H11900" s="6" t="n">
        <f aca="false">Sens!H11879</f>
        <v>94.895655604042</v>
      </c>
      <c r="I11900" s="6" t="n">
        <f aca="false">Sens!I11879</f>
        <v>118.706168884151</v>
      </c>
      <c r="J11900" s="6" t="n">
        <f aca="false">Sens!J11879</f>
        <v>135.305203646001</v>
      </c>
      <c r="K11900" s="6" t="n">
        <f aca="false">Sens!K11879</f>
        <v>145.64537766421</v>
      </c>
    </row>
    <row r="11901" customFormat="false" ht="17.15" hidden="false" customHeight="false" outlineLevel="0" collapsed="false">
      <c r="A11901" s="0" t="s">
        <v>865</v>
      </c>
      <c r="B11901" s="0" t="s">
        <v>98</v>
      </c>
      <c r="D11901" s="6" t="n">
        <f aca="false">Q!L6-Sens!D11900</f>
        <v>59.6740205577583</v>
      </c>
      <c r="E11901" s="6" t="n">
        <f aca="false">Q!M6-Sens!E11900</f>
        <v>74.1284935338591</v>
      </c>
      <c r="F11901" s="6" t="n">
        <f aca="false">Sens!E11901*(1+Sens!F11902)</f>
        <v>90.0799497373663</v>
      </c>
      <c r="G11901" s="6" t="n">
        <f aca="false">Sens!F11901*(1+Sens!G11902)</f>
        <v>107.02842520331</v>
      </c>
      <c r="H11901" s="6" t="n">
        <f aca="false">Sens!G11901*(1+Sens!H11902)</f>
        <v>124.271982585636</v>
      </c>
      <c r="I11901" s="6" t="n">
        <f aca="false">Sens!H11901*(1+Sens!I11902)</f>
        <v>140.933702381855</v>
      </c>
      <c r="J11901" s="6" t="n">
        <f aca="false">Sens!I11901*(1+Sens!J11902)</f>
        <v>156.018867314332</v>
      </c>
      <c r="K11901" s="6" t="n">
        <f aca="false">Sens!J11901*(1+Sens!K11902)</f>
        <v>168.500376699478</v>
      </c>
    </row>
    <row r="11902" customFormat="false" ht="15" hidden="false" customHeight="false" outlineLevel="0" collapsed="false">
      <c r="A11902" s="1" t="s">
        <v>866</v>
      </c>
      <c r="B11902" s="0" t="s">
        <v>129</v>
      </c>
      <c r="E11902" s="7" t="n">
        <f aca="false">Sens!E11901/Sens!D11901-1</f>
        <v>0.242223883039864</v>
      </c>
      <c r="F11902" s="7" t="n">
        <f aca="false">Sens!$E$11902+(glt_azo-Sens!$E$11902)*MIN(1,(Sens!F11862-base_fy)/n_conv)</f>
        <v>0.215186569199887</v>
      </c>
      <c r="G11902" s="7" t="n">
        <f aca="false">Sens!$E$11902+(glt_azo-Sens!$E$11902)*MIN(1,(Sens!G11862-base_fy)/n_conv)</f>
        <v>0.18814925535991</v>
      </c>
      <c r="H11902" s="7" t="n">
        <f aca="false">Sens!$E$11902+(glt_azo-Sens!$E$11902)*MIN(1,(Sens!H11862-base_fy)/n_conv)</f>
        <v>0.161111941519932</v>
      </c>
      <c r="I11902" s="7" t="n">
        <f aca="false">Sens!$E$11902+(glt_azo-Sens!$E$11902)*MIN(1,(Sens!I11862-base_fy)/n_conv)</f>
        <v>0.134074627679955</v>
      </c>
      <c r="J11902" s="7" t="n">
        <f aca="false">Sens!$E$11902+(glt_azo-Sens!$E$11902)*MIN(1,(Sens!J11862-base_fy)/n_conv)</f>
        <v>0.107037313839977</v>
      </c>
      <c r="K11902" s="7" t="n">
        <f aca="false">Sens!$E$11902+(glt_azo-Sens!$E$11902)*MIN(1,(Sens!K11862-base_fy)/n_conv)</f>
        <v>0.08</v>
      </c>
    </row>
    <row r="11903" customFormat="false" ht="15" hidden="false" customHeight="false" outlineLevel="0" collapsed="false">
      <c r="A11903" s="0" t="s">
        <v>867</v>
      </c>
      <c r="B11903" s="0" t="s">
        <v>98</v>
      </c>
      <c r="D11903" s="6" t="n">
        <f aca="false">Sens!D11900+Sens!D11901</f>
        <v>72.61</v>
      </c>
      <c r="E11903" s="6" t="n">
        <f aca="false">Sens!E11900+Sens!E11901</f>
        <v>101.938</v>
      </c>
      <c r="F11903" s="6" t="n">
        <f aca="false">Sens!F11900+Sens!F11901</f>
        <v>140.741861125673</v>
      </c>
      <c r="G11903" s="6" t="n">
        <f aca="false">Sens!G11900+Sens!G11901</f>
        <v>182.176709135845</v>
      </c>
      <c r="H11903" s="6" t="n">
        <f aca="false">Sens!H11900+Sens!H11901</f>
        <v>219.167638189678</v>
      </c>
      <c r="I11903" s="6" t="n">
        <f aca="false">Sens!I11900+Sens!I11901</f>
        <v>259.639871266006</v>
      </c>
      <c r="J11903" s="6" t="n">
        <f aca="false">Sens!J11900+Sens!J11901</f>
        <v>291.324070960333</v>
      </c>
      <c r="K11903" s="6" t="n">
        <f aca="false">Sens!K11900+Sens!K11901</f>
        <v>314.145754363688</v>
      </c>
    </row>
    <row r="11904" customFormat="false" ht="17.15" hidden="false" customHeight="false" outlineLevel="0" collapsed="false">
      <c r="A11904" s="0" t="s">
        <v>868</v>
      </c>
      <c r="B11904" s="1" t="s">
        <v>521</v>
      </c>
      <c r="C11904" s="29" t="n">
        <f aca="false">cop_s24</f>
        <v>1</v>
      </c>
      <c r="D11904" s="29" t="n">
        <f aca="false">cop_s25</f>
        <v>5</v>
      </c>
      <c r="E11904" s="29" t="n">
        <f aca="false">cop_s26</f>
        <v>30</v>
      </c>
      <c r="F11904" s="29" t="n">
        <f aca="false">Sens!E11904+cop_add_C</f>
        <v>40</v>
      </c>
      <c r="G11904" s="29" t="n">
        <f aca="false">Sens!F11904+cop_add_C</f>
        <v>50</v>
      </c>
      <c r="H11904" s="29" t="n">
        <f aca="false">Sens!G11904+cop_add_C</f>
        <v>60</v>
      </c>
      <c r="I11904" s="29" t="n">
        <f aca="false">Sens!H11904+cop_add_C*cop_tail</f>
        <v>65</v>
      </c>
      <c r="J11904" s="29" t="n">
        <f aca="false">Sens!I11904+cop_add_C*cop_tail</f>
        <v>70</v>
      </c>
      <c r="K11904" s="29" t="n">
        <f aca="false">Sens!J11904+cop_add_C*cop_tail</f>
        <v>75</v>
      </c>
      <c r="L11904" s="11" t="s">
        <v>869</v>
      </c>
    </row>
    <row r="11905" customFormat="false" ht="17.15" hidden="false" customHeight="false" outlineLevel="0" collapsed="false">
      <c r="A11905" s="0" t="s">
        <v>870</v>
      </c>
      <c r="B11905" s="0" t="s">
        <v>98</v>
      </c>
      <c r="D11905" s="6" t="n">
        <f aca="false">(Sens!C11904+Sens!D11904)/2*cop_px*12/1000</f>
        <v>0.9</v>
      </c>
      <c r="E11905" s="6" t="n">
        <f aca="false">(Sens!D11904+Sens!E11904)/2*cop_px*12/1000</f>
        <v>5.25</v>
      </c>
      <c r="F11905" s="6" t="n">
        <f aca="false">(Sens!E11904+Sens!F11904)/2*cop_px*12/1000</f>
        <v>10.5</v>
      </c>
      <c r="G11905" s="6" t="n">
        <f aca="false">(Sens!F11904+Sens!G11904)/2*cop_px*12/1000</f>
        <v>13.5</v>
      </c>
      <c r="H11905" s="6" t="n">
        <f aca="false">(Sens!G11904+Sens!H11904)/2*cop_px*12/1000</f>
        <v>16.5</v>
      </c>
      <c r="I11905" s="6" t="n">
        <f aca="false">(Sens!H11904+Sens!I11904)/2*cop_px*12/1000</f>
        <v>18.75</v>
      </c>
      <c r="J11905" s="6" t="n">
        <f aca="false">(Sens!I11904+Sens!J11904)/2*cop_px*12/1000</f>
        <v>20.25</v>
      </c>
      <c r="K11905" s="6" t="n">
        <f aca="false">(Sens!J11904+Sens!K11904)/2*cop_px*12/1000</f>
        <v>21.75</v>
      </c>
      <c r="L11905" s="1" t="s">
        <v>871</v>
      </c>
    </row>
    <row r="11906" customFormat="false" ht="17.15" hidden="false" customHeight="false" outlineLevel="0" collapsed="false">
      <c r="A11906" s="0" t="s">
        <v>872</v>
      </c>
      <c r="B11906" s="0" t="s">
        <v>98</v>
      </c>
      <c r="D11906" s="6" t="n">
        <f aca="false">Q!L7-Sens!D11905</f>
        <v>83.705</v>
      </c>
      <c r="E11906" s="6" t="n">
        <f aca="false">Q!M7-Sens!E11905</f>
        <v>95.049</v>
      </c>
      <c r="F11906" s="6" t="n">
        <f aca="false">Sens!E11906*(1+Sens!F11907)</f>
        <v>106.89238776686</v>
      </c>
      <c r="G11906" s="6" t="n">
        <f aca="false">Sens!F11906*(1+Sens!G11907)</f>
        <v>119.044168448684</v>
      </c>
      <c r="H11906" s="6" t="n">
        <f aca="false">Sens!G11906*(1+Sens!H11907)</f>
        <v>131.277359388781</v>
      </c>
      <c r="I11906" s="6" t="n">
        <f aca="false">Sens!H11906*(1+Sens!I11907)</f>
        <v>143.334028071957</v>
      </c>
      <c r="J11906" s="6" t="n">
        <f aca="false">Sens!I11906*(1+Sens!J11907)</f>
        <v>154.932702785465</v>
      </c>
      <c r="K11906" s="6" t="n">
        <f aca="false">Sens!J11906*(1+Sens!K11907)</f>
        <v>165.777991980448</v>
      </c>
    </row>
    <row r="11907" customFormat="false" ht="15" hidden="false" customHeight="false" outlineLevel="0" collapsed="false">
      <c r="A11907" s="1" t="s">
        <v>866</v>
      </c>
      <c r="B11907" s="0" t="s">
        <v>129</v>
      </c>
      <c r="E11907" s="7" t="n">
        <f aca="false">Sens!E11906/Sens!D11906-1</f>
        <v>0.135523564900544</v>
      </c>
      <c r="F11907" s="7" t="n">
        <f aca="false">Sens!$E$11907+(glt_m365b-Sens!$E$11907)*MIN(1,(Sens!F11862-base_fy)/n_conv)</f>
        <v>0.124602970750453</v>
      </c>
      <c r="G11907" s="7" t="n">
        <f aca="false">Sens!$E$11907+(glt_m365b-Sens!$E$11907)*MIN(1,(Sens!G11862-base_fy)/n_conv)</f>
        <v>0.113682376600363</v>
      </c>
      <c r="H11907" s="7" t="n">
        <f aca="false">Sens!$E$11907+(glt_m365b-Sens!$E$11907)*MIN(1,(Sens!H11862-base_fy)/n_conv)</f>
        <v>0.102761782450272</v>
      </c>
      <c r="I11907" s="7" t="n">
        <f aca="false">Sens!$E$11907+(glt_m365b-Sens!$E$11907)*MIN(1,(Sens!I11862-base_fy)/n_conv)</f>
        <v>0.0918411883001813</v>
      </c>
      <c r="J11907" s="7" t="n">
        <f aca="false">Sens!$E$11907+(glt_m365b-Sens!$E$11907)*MIN(1,(Sens!J11862-base_fy)/n_conv)</f>
        <v>0.0809205941500906</v>
      </c>
      <c r="K11907" s="7" t="n">
        <f aca="false">Sens!$E$11907+(glt_m365b-Sens!$E$11907)*MIN(1,(Sens!K11862-base_fy)/n_conv)</f>
        <v>0.07</v>
      </c>
    </row>
    <row r="11908" customFormat="false" ht="15" hidden="false" customHeight="false" outlineLevel="0" collapsed="false">
      <c r="A11908" s="0" t="s">
        <v>873</v>
      </c>
      <c r="B11908" s="0" t="s">
        <v>98</v>
      </c>
      <c r="D11908" s="6" t="n">
        <f aca="false">Sens!D11906+Sens!D11905</f>
        <v>84.605</v>
      </c>
      <c r="E11908" s="6" t="n">
        <f aca="false">Sens!E11906+Sens!E11905</f>
        <v>100.299</v>
      </c>
      <c r="F11908" s="6" t="n">
        <f aca="false">Sens!F11906+Sens!F11905</f>
        <v>117.39238776686</v>
      </c>
      <c r="G11908" s="6" t="n">
        <f aca="false">Sens!G11906+Sens!G11905</f>
        <v>132.544168448684</v>
      </c>
      <c r="H11908" s="6" t="n">
        <f aca="false">Sens!H11906+Sens!H11905</f>
        <v>147.777359388781</v>
      </c>
      <c r="I11908" s="6" t="n">
        <f aca="false">Sens!I11906+Sens!I11905</f>
        <v>162.084028071957</v>
      </c>
      <c r="J11908" s="6" t="n">
        <f aca="false">Sens!J11906+Sens!J11905</f>
        <v>175.182702785465</v>
      </c>
      <c r="K11908" s="6" t="n">
        <f aca="false">Sens!K11906+Sens!K11905</f>
        <v>187.527991980448</v>
      </c>
    </row>
    <row r="11909" customFormat="false" ht="15" hidden="false" customHeight="false" outlineLevel="0" collapsed="false">
      <c r="A11909" s="0" t="s">
        <v>874</v>
      </c>
      <c r="B11909" s="0" t="s">
        <v>98</v>
      </c>
      <c r="D11909" s="6" t="n">
        <f aca="false">Q!L8</f>
        <v>35.391</v>
      </c>
      <c r="E11909" s="6" t="n">
        <f aca="false">Q!M8</f>
        <v>37.285</v>
      </c>
      <c r="F11909" s="6" t="n">
        <f aca="false">Sens!E11909*(1+Sens!F11910)</f>
        <v>39.0720834331704</v>
      </c>
      <c r="G11909" s="6" t="n">
        <f aca="false">Sens!F11909*(1+Sens!G11910)</f>
        <v>40.726562953769</v>
      </c>
      <c r="H11909" s="6" t="n">
        <f aca="false">Sens!G11909*(1+Sens!H11910)</f>
        <v>42.2235987259198</v>
      </c>
      <c r="I11909" s="6" t="n">
        <f aca="false">Sens!H11909*(1+Sens!I11910)</f>
        <v>43.5397988077414</v>
      </c>
      <c r="J11909" s="6" t="n">
        <f aca="false">Sens!I11909*(1+Sens!J11910)</f>
        <v>44.653811225693</v>
      </c>
      <c r="K11909" s="6" t="n">
        <f aca="false">Sens!J11909*(1+Sens!K11910)</f>
        <v>45.5468874502068</v>
      </c>
    </row>
    <row r="11910" customFormat="false" ht="15" hidden="false" customHeight="false" outlineLevel="0" collapsed="false">
      <c r="A11910" s="1" t="s">
        <v>866</v>
      </c>
      <c r="B11910" s="0" t="s">
        <v>129</v>
      </c>
      <c r="E11910" s="7" t="n">
        <f aca="false">Sens!E11909/Sens!D11909-1</f>
        <v>0.0535164307309768</v>
      </c>
      <c r="F11910" s="7" t="n">
        <f aca="false">Sens!$E$11910+(glt_lic-Sens!$E$11910)*MIN(1,(Sens!F11862-base_fy)/n_conv)</f>
        <v>0.0479303589424807</v>
      </c>
      <c r="G11910" s="7" t="n">
        <f aca="false">Sens!$E$11910+(glt_lic-Sens!$E$11910)*MIN(1,(Sens!G11862-base_fy)/n_conv)</f>
        <v>0.0423442871539845</v>
      </c>
      <c r="H11910" s="7" t="n">
        <f aca="false">Sens!$E$11910+(glt_lic-Sens!$E$11910)*MIN(1,(Sens!H11862-base_fy)/n_conv)</f>
        <v>0.0367582153654884</v>
      </c>
      <c r="I11910" s="7" t="n">
        <f aca="false">Sens!$E$11910+(glt_lic-Sens!$E$11910)*MIN(1,(Sens!I11862-base_fy)/n_conv)</f>
        <v>0.0311721435769923</v>
      </c>
      <c r="J11910" s="7" t="n">
        <f aca="false">Sens!$E$11910+(glt_lic-Sens!$E$11910)*MIN(1,(Sens!J11862-base_fy)/n_conv)</f>
        <v>0.0255860717884961</v>
      </c>
      <c r="K11910" s="7" t="n">
        <f aca="false">Sens!$E$11910+(glt_lic-Sens!$E$11910)*MIN(1,(Sens!K11862-base_fy)/n_conv)</f>
        <v>0.02</v>
      </c>
    </row>
    <row r="11911" customFormat="false" ht="15" hidden="false" customHeight="false" outlineLevel="0" collapsed="false">
      <c r="A11911" s="0" t="s">
        <v>875</v>
      </c>
      <c r="B11911" s="0" t="s">
        <v>98</v>
      </c>
      <c r="D11911" s="6" t="n">
        <f aca="false">Q!L9</f>
        <v>18.417</v>
      </c>
      <c r="E11911" s="6" t="n">
        <f aca="false">Q!M9</f>
        <v>20.345</v>
      </c>
      <c r="F11911" s="6" t="n">
        <f aca="false">Sens!E11911*(1+Sens!F11912)</f>
        <v>22.3572203267814</v>
      </c>
      <c r="G11911" s="6" t="n">
        <f aca="false">Sens!F11911*(1+Sens!G11912)</f>
        <v>24.4392124437232</v>
      </c>
      <c r="H11911" s="6" t="n">
        <f aca="false">Sens!G11911*(1+Sens!H11912)</f>
        <v>26.5738052080665</v>
      </c>
      <c r="I11911" s="6" t="n">
        <f aca="false">Sens!H11911*(1+Sens!I11912)</f>
        <v>28.7412169166967</v>
      </c>
      <c r="J11911" s="6" t="n">
        <f aca="false">Sens!I11911*(1+Sens!J11912)</f>
        <v>30.9192545395413</v>
      </c>
      <c r="K11911" s="6" t="n">
        <f aca="false">Sens!J11911*(1+Sens!K11912)</f>
        <v>33.0836023573092</v>
      </c>
    </row>
    <row r="11912" customFormat="false" ht="15" hidden="false" customHeight="false" outlineLevel="0" collapsed="false">
      <c r="A11912" s="1" t="s">
        <v>866</v>
      </c>
      <c r="B11912" s="0" t="s">
        <v>129</v>
      </c>
      <c r="E11912" s="7" t="n">
        <f aca="false">Sens!E11911/Sens!D11911-1</f>
        <v>0.104685888038225</v>
      </c>
      <c r="F11912" s="7" t="n">
        <f aca="false">Sens!$E$11912+(glt_ind-Sens!$E$11912)*MIN(1,(Sens!F11862-base_fy)/n_conv)</f>
        <v>0.0989049066985211</v>
      </c>
      <c r="G11912" s="7" t="n">
        <f aca="false">Sens!$E$11912+(glt_ind-Sens!$E$11912)*MIN(1,(Sens!G11862-base_fy)/n_conv)</f>
        <v>0.0931239253588169</v>
      </c>
      <c r="H11912" s="7" t="n">
        <f aca="false">Sens!$E$11912+(glt_ind-Sens!$E$11912)*MIN(1,(Sens!H11862-base_fy)/n_conv)</f>
        <v>0.0873429440191127</v>
      </c>
      <c r="I11912" s="7" t="n">
        <f aca="false">Sens!$E$11912+(glt_ind-Sens!$E$11912)*MIN(1,(Sens!I11862-base_fy)/n_conv)</f>
        <v>0.0815619626794085</v>
      </c>
      <c r="J11912" s="7" t="n">
        <f aca="false">Sens!$E$11912+(glt_ind-Sens!$E$11912)*MIN(1,(Sens!J11862-base_fy)/n_conv)</f>
        <v>0.0757809813397042</v>
      </c>
      <c r="K11912" s="7" t="n">
        <f aca="false">Sens!$E$11912+(glt_ind-Sens!$E$11912)*MIN(1,(Sens!K11862-base_fy)/n_conv)</f>
        <v>0.07</v>
      </c>
    </row>
    <row r="11913" customFormat="false" ht="15" hidden="false" customHeight="false" outlineLevel="0" collapsed="false">
      <c r="A11913" s="0" t="s">
        <v>876</v>
      </c>
      <c r="B11913" s="0" t="s">
        <v>98</v>
      </c>
      <c r="D11913" s="6" t="n">
        <f aca="false">Q!L10</f>
        <v>7.76</v>
      </c>
      <c r="E11913" s="6" t="n">
        <f aca="false">Q!M10</f>
        <v>8.26</v>
      </c>
      <c r="F11913" s="6" t="n">
        <f aca="false">Sens!E11913*(1+Sens!F11914)</f>
        <v>8.79988041237113</v>
      </c>
      <c r="G11913" s="6" t="n">
        <f aca="false">Sens!F11913*(1+Sens!G11914)</f>
        <v>9.38321269125306</v>
      </c>
      <c r="H11913" s="6" t="n">
        <f aca="false">Sens!G11913*(1+Sens!H11914)</f>
        <v>10.0139193587476</v>
      </c>
      <c r="I11913" s="6" t="n">
        <f aca="false">Sens!H11913*(1+Sens!I11914)</f>
        <v>10.6963111830911</v>
      </c>
      <c r="J11913" s="6" t="n">
        <f aca="false">Sens!I11913*(1+Sens!J11914)</f>
        <v>11.4351285534696</v>
      </c>
      <c r="K11913" s="6" t="n">
        <f aca="false">Sens!J11913*(1+Sens!K11914)</f>
        <v>12.2355875522124</v>
      </c>
    </row>
    <row r="11914" customFormat="false" ht="15" hidden="false" customHeight="false" outlineLevel="0" collapsed="false">
      <c r="A11914" s="1" t="s">
        <v>866</v>
      </c>
      <c r="B11914" s="0" t="s">
        <v>129</v>
      </c>
      <c r="E11914" s="7" t="n">
        <f aca="false">Sens!E11913/Sens!D11913-1</f>
        <v>0.0644329896907216</v>
      </c>
      <c r="F11914" s="7" t="n">
        <f aca="false">Sens!$E$11914+(glt_fro-Sens!$E$11914)*MIN(1,(Sens!F11862-base_fy)/n_conv)</f>
        <v>0.065360824742268</v>
      </c>
      <c r="G11914" s="7" t="n">
        <f aca="false">Sens!$E$11914+(glt_fro-Sens!$E$11914)*MIN(1,(Sens!G11862-base_fy)/n_conv)</f>
        <v>0.0662886597938144</v>
      </c>
      <c r="H11914" s="7" t="n">
        <f aca="false">Sens!$E$11914+(glt_fro-Sens!$E$11914)*MIN(1,(Sens!H11862-base_fy)/n_conv)</f>
        <v>0.0672164948453608</v>
      </c>
      <c r="I11914" s="7" t="n">
        <f aca="false">Sens!$E$11914+(glt_fro-Sens!$E$11914)*MIN(1,(Sens!I11862-base_fy)/n_conv)</f>
        <v>0.0681443298969072</v>
      </c>
      <c r="J11914" s="7" t="n">
        <f aca="false">Sens!$E$11914+(glt_fro-Sens!$E$11914)*MIN(1,(Sens!J11862-base_fy)/n_conv)</f>
        <v>0.0690721649484536</v>
      </c>
      <c r="K11914" s="7" t="n">
        <f aca="false">Sens!$E$11914+(glt_fro-Sens!$E$11914)*MIN(1,(Sens!K11862-base_fy)/n_conv)</f>
        <v>0.07</v>
      </c>
    </row>
    <row r="11915" customFormat="false" ht="15" hidden="false" customHeight="false" outlineLevel="0" collapsed="false">
      <c r="A11915" s="0" t="s">
        <v>704</v>
      </c>
      <c r="B11915" s="0" t="s">
        <v>98</v>
      </c>
      <c r="D11915" s="6" t="n">
        <f aca="false">Sens!D11903+Sens!D11908+Sens!D11909+Sens!D11911+Sens!D11913</f>
        <v>218.783</v>
      </c>
      <c r="E11915" s="6" t="n">
        <f aca="false">Sens!E11903+Sens!E11908+Sens!E11909+Sens!E11911+Sens!E11913</f>
        <v>268.127</v>
      </c>
      <c r="F11915" s="6" t="n">
        <f aca="false">Sens!F11903+Sens!F11908+Sens!F11909+Sens!F11911+Sens!F11913</f>
        <v>328.363433064856</v>
      </c>
      <c r="G11915" s="6" t="n">
        <f aca="false">Sens!G11903+Sens!G11908+Sens!G11909+Sens!G11911+Sens!G11913</f>
        <v>389.269865673274</v>
      </c>
      <c r="H11915" s="6" t="n">
        <f aca="false">Sens!H11903+Sens!H11908+Sens!H11909+Sens!H11911+Sens!H11913</f>
        <v>445.756320871193</v>
      </c>
      <c r="I11915" s="6" t="n">
        <f aca="false">Sens!I11903+Sens!I11908+Sens!I11909+Sens!I11911+Sens!I11913</f>
        <v>504.701226245492</v>
      </c>
      <c r="J11915" s="6" t="n">
        <f aca="false">Sens!J11903+Sens!J11908+Sens!J11909+Sens!J11911+Sens!J11913</f>
        <v>553.514968064502</v>
      </c>
      <c r="K11915" s="6" t="n">
        <f aca="false">Sens!K11903+Sens!K11908+Sens!K11909+Sens!K11911+Sens!K11913</f>
        <v>592.539823703865</v>
      </c>
    </row>
    <row r="11916" customFormat="false" ht="15" hidden="false" customHeight="false" outlineLevel="0" collapsed="false">
      <c r="A11916" s="0" t="s">
        <v>877</v>
      </c>
      <c r="B11916" s="0" t="s">
        <v>98</v>
      </c>
      <c r="D11916" s="6" t="n">
        <f aca="false">Q!L13</f>
        <v>22.171</v>
      </c>
      <c r="E11916" s="6" t="n">
        <f aca="false">Q!M13</f>
        <v>24.835</v>
      </c>
      <c r="F11916" s="6" t="n">
        <f aca="false">Sens!E11916*(1+Sens!F11917)</f>
        <v>27.6114901218559</v>
      </c>
      <c r="G11916" s="6" t="n">
        <f aca="false">Sens!F11916*(1+Sens!G11917)</f>
        <v>30.4675667338515</v>
      </c>
      <c r="H11916" s="6" t="n">
        <f aca="false">Sens!G11916*(1+Sens!H11917)</f>
        <v>33.3643766955789</v>
      </c>
      <c r="I11916" s="6" t="n">
        <f aca="false">Sens!H11916*(1+Sens!I11917)</f>
        <v>36.2577016533691</v>
      </c>
      <c r="J11916" s="6" t="n">
        <f aca="false">Sens!I11916*(1+Sens!J11917)</f>
        <v>39.0988367952171</v>
      </c>
      <c r="K11916" s="6" t="n">
        <f aca="false">Sens!J11916*(1+Sens!K11917)</f>
        <v>41.8357553708823</v>
      </c>
    </row>
    <row r="11917" customFormat="false" ht="15" hidden="false" customHeight="false" outlineLevel="0" collapsed="false">
      <c r="A11917" s="1" t="s">
        <v>866</v>
      </c>
      <c r="B11917" s="0" t="s">
        <v>129</v>
      </c>
      <c r="E11917" s="7" t="n">
        <f aca="false">Sens!E11916/Sens!D11916-1</f>
        <v>0.120156961796942</v>
      </c>
      <c r="F11917" s="7" t="n">
        <f aca="false">Sens!$E$11917+(glt_srch-Sens!$E$11917)*MIN(1,(Sens!F11862-base_fy)/n_conv)</f>
        <v>0.111797468164118</v>
      </c>
      <c r="G11917" s="7" t="n">
        <f aca="false">Sens!$E$11917+(glt_srch-Sens!$E$11917)*MIN(1,(Sens!G11862-base_fy)/n_conv)</f>
        <v>0.103437974531295</v>
      </c>
      <c r="H11917" s="7" t="n">
        <f aca="false">Sens!$E$11917+(glt_srch-Sens!$E$11917)*MIN(1,(Sens!H11862-base_fy)/n_conv)</f>
        <v>0.095078480898471</v>
      </c>
      <c r="I11917" s="7" t="n">
        <f aca="false">Sens!$E$11917+(glt_srch-Sens!$E$11917)*MIN(1,(Sens!I11862-base_fy)/n_conv)</f>
        <v>0.0867189872656474</v>
      </c>
      <c r="J11917" s="7" t="n">
        <f aca="false">Sens!$E$11917+(glt_srch-Sens!$E$11917)*MIN(1,(Sens!J11862-base_fy)/n_conv)</f>
        <v>0.0783594936328237</v>
      </c>
      <c r="K11917" s="7" t="n">
        <f aca="false">Sens!$E$11917+(glt_srch-Sens!$E$11917)*MIN(1,(Sens!K11862-base_fy)/n_conv)</f>
        <v>0.07</v>
      </c>
    </row>
    <row r="11918" customFormat="false" ht="15" hidden="false" customHeight="false" outlineLevel="0" collapsed="false">
      <c r="A11918" s="0" t="s">
        <v>878</v>
      </c>
      <c r="B11918" s="0" t="s">
        <v>98</v>
      </c>
      <c r="D11918" s="6" t="n">
        <f aca="false">Q!L14</f>
        <v>23.455</v>
      </c>
      <c r="E11918" s="6" t="n">
        <f aca="false">Q!M14</f>
        <v>21.79</v>
      </c>
      <c r="F11918" s="6" t="n">
        <f aca="false">Sens!E11918*(1+Sens!F11919)</f>
        <v>20.5736277908051</v>
      </c>
      <c r="G11918" s="6" t="n">
        <f aca="false">Sens!F11918*(1+Sens!G11919)</f>
        <v>19.7371452817919</v>
      </c>
      <c r="H11918" s="6" t="n">
        <f aca="false">Sens!G11918*(1+Sens!H11919)</f>
        <v>19.2339764043138</v>
      </c>
      <c r="I11918" s="6" t="n">
        <f aca="false">Sens!H11918*(1+Sens!I11919)</f>
        <v>19.0353086852681</v>
      </c>
      <c r="J11918" s="6" t="n">
        <f aca="false">Sens!I11918*(1+Sens!J11919)</f>
        <v>19.1273539319129</v>
      </c>
      <c r="K11918" s="6" t="n">
        <f aca="false">Sens!J11918*(1+Sens!K11919)</f>
        <v>19.5099010105511</v>
      </c>
    </row>
    <row r="11919" customFormat="false" ht="15" hidden="false" customHeight="false" outlineLevel="0" collapsed="false">
      <c r="A11919" s="1" t="s">
        <v>866</v>
      </c>
      <c r="B11919" s="0" t="s">
        <v>129</v>
      </c>
      <c r="E11919" s="7" t="n">
        <f aca="false">Sens!E11918/Sens!D11918-1</f>
        <v>-0.0709869963760392</v>
      </c>
      <c r="F11919" s="7" t="n">
        <f aca="false">Sens!$E$11919+(glt_xbox-Sens!$E$11919)*MIN(1,(Sens!F11862-base_fy)/n_conv)</f>
        <v>-0.0558224969800327</v>
      </c>
      <c r="G11919" s="7" t="n">
        <f aca="false">Sens!$E$11919+(glt_xbox-Sens!$E$11919)*MIN(1,(Sens!G11862-base_fy)/n_conv)</f>
        <v>-0.0406579975840262</v>
      </c>
      <c r="H11919" s="7" t="n">
        <f aca="false">Sens!$E$11919+(glt_xbox-Sens!$E$11919)*MIN(1,(Sens!H11862-base_fy)/n_conv)</f>
        <v>-0.0254934981880196</v>
      </c>
      <c r="I11919" s="7" t="n">
        <f aca="false">Sens!$E$11919+(glt_xbox-Sens!$E$11919)*MIN(1,(Sens!I11862-base_fy)/n_conv)</f>
        <v>-0.0103289987920131</v>
      </c>
      <c r="J11919" s="7" t="n">
        <f aca="false">Sens!$E$11919+(glt_xbox-Sens!$E$11919)*MIN(1,(Sens!J11862-base_fy)/n_conv)</f>
        <v>0.00483550060399347</v>
      </c>
      <c r="K11919" s="7" t="n">
        <f aca="false">Sens!$E$11919+(glt_xbox-Sens!$E$11919)*MIN(1,(Sens!K11862-base_fy)/n_conv)</f>
        <v>0.02</v>
      </c>
    </row>
    <row r="11920" customFormat="false" ht="15" hidden="false" customHeight="false" outlineLevel="0" collapsed="false">
      <c r="A11920" s="0" t="s">
        <v>879</v>
      </c>
      <c r="B11920" s="0" t="s">
        <v>98</v>
      </c>
      <c r="D11920" s="6" t="n">
        <f aca="false">Q!L15</f>
        <v>17.315</v>
      </c>
      <c r="E11920" s="6" t="n">
        <f aca="false">Q!M15</f>
        <v>17.087</v>
      </c>
      <c r="F11920" s="6" t="n">
        <f aca="false">Sens!E11920*(1+Sens!F11921)</f>
        <v>16.9564585436519</v>
      </c>
      <c r="G11920" s="6" t="n">
        <f aca="false">Sens!F11920*(1+Sens!G11921)</f>
        <v>16.9206490624268</v>
      </c>
      <c r="H11920" s="6" t="n">
        <f aca="false">Sens!G11920*(1+Sens!H11921)</f>
        <v>16.9784519149849</v>
      </c>
      <c r="I11920" s="6" t="n">
        <f aca="false">Sens!H11920*(1+Sens!I11921)</f>
        <v>17.1303084701817</v>
      </c>
      <c r="J11920" s="6" t="n">
        <f aca="false">Sens!I11920*(1+Sens!J11921)</f>
        <v>17.3782189407267</v>
      </c>
      <c r="K11920" s="6" t="n">
        <f aca="false">Sens!J11920*(1+Sens!K11921)</f>
        <v>17.7257833195413</v>
      </c>
    </row>
    <row r="11921" customFormat="false" ht="15" hidden="false" customHeight="false" outlineLevel="0" collapsed="false">
      <c r="A11921" s="1" t="s">
        <v>866</v>
      </c>
      <c r="B11921" s="0" t="s">
        <v>129</v>
      </c>
      <c r="E11921" s="7" t="n">
        <f aca="false">Sens!E11920/Sens!D11920-1</f>
        <v>-0.0131677736066995</v>
      </c>
      <c r="F11921" s="7" t="n">
        <f aca="false">Sens!$E$11921+(glt_win-Sens!$E$11921)*MIN(1,(Sens!F11862-base_fy)/n_conv)</f>
        <v>-0.00763981133891627</v>
      </c>
      <c r="G11921" s="7" t="n">
        <f aca="false">Sens!$E$11921+(glt_win-Sens!$E$11921)*MIN(1,(Sens!G11862-base_fy)/n_conv)</f>
        <v>-0.00211184907113301</v>
      </c>
      <c r="H11921" s="7" t="n">
        <f aca="false">Sens!$E$11921+(glt_win-Sens!$E$11921)*MIN(1,(Sens!H11862-base_fy)/n_conv)</f>
        <v>0.00341611319665024</v>
      </c>
      <c r="I11921" s="7" t="n">
        <f aca="false">Sens!$E$11921+(glt_win-Sens!$E$11921)*MIN(1,(Sens!I11862-base_fy)/n_conv)</f>
        <v>0.00894407546443349</v>
      </c>
      <c r="J11921" s="7" t="n">
        <f aca="false">Sens!$E$11921+(glt_win-Sens!$E$11921)*MIN(1,(Sens!J11862-base_fy)/n_conv)</f>
        <v>0.0144720377322168</v>
      </c>
      <c r="K11921" s="7" t="n">
        <f aca="false">Sens!$E$11921+(glt_win-Sens!$E$11921)*MIN(1,(Sens!K11862-base_fy)/n_conv)</f>
        <v>0.02</v>
      </c>
    </row>
    <row r="11922" customFormat="false" ht="15" hidden="false" customHeight="false" outlineLevel="0" collapsed="false">
      <c r="A11922" s="0" t="s">
        <v>718</v>
      </c>
      <c r="B11922" s="0" t="s">
        <v>98</v>
      </c>
      <c r="D11922" s="6" t="n">
        <f aca="false">Sens!D11916+Sens!D11918+Sens!D11920</f>
        <v>62.941</v>
      </c>
      <c r="E11922" s="6" t="n">
        <f aca="false">Sens!E11916+Sens!E11918+Sens!E11920</f>
        <v>63.712</v>
      </c>
      <c r="F11922" s="6" t="n">
        <f aca="false">Sens!F11916+Sens!F11918+Sens!F11920</f>
        <v>65.1415764563129</v>
      </c>
      <c r="G11922" s="6" t="n">
        <f aca="false">Sens!G11916+Sens!G11918+Sens!G11920</f>
        <v>67.1253610780702</v>
      </c>
      <c r="H11922" s="6" t="n">
        <f aca="false">Sens!H11916+Sens!H11918+Sens!H11920</f>
        <v>69.5768050148776</v>
      </c>
      <c r="I11922" s="6" t="n">
        <f aca="false">Sens!I11916+Sens!I11918+Sens!I11920</f>
        <v>72.4233188088189</v>
      </c>
      <c r="J11922" s="6" t="n">
        <f aca="false">Sens!J11916+Sens!J11918+Sens!J11920</f>
        <v>75.6044096678567</v>
      </c>
      <c r="K11922" s="6" t="n">
        <f aca="false">Sens!K11916+Sens!K11918+Sens!K11920</f>
        <v>79.0714397009747</v>
      </c>
    </row>
    <row r="11923" customFormat="false" ht="15" hidden="false" customHeight="false" outlineLevel="0" collapsed="false">
      <c r="A11923" s="1" t="s">
        <v>880</v>
      </c>
      <c r="B11923" s="0" t="s">
        <v>98</v>
      </c>
      <c r="D11923" s="6" t="n">
        <f aca="false">Sens!D11915+Sens!D11922</f>
        <v>281.724</v>
      </c>
      <c r="E11923" s="6" t="n">
        <f aca="false">Sens!E11915+Sens!E11922</f>
        <v>331.839</v>
      </c>
      <c r="F11923" s="6" t="n">
        <f aca="false">Sens!F11915+Sens!F11922</f>
        <v>393.505009521169</v>
      </c>
      <c r="G11923" s="6" t="n">
        <f aca="false">Sens!G11915+Sens!G11922</f>
        <v>456.395226751344</v>
      </c>
      <c r="H11923" s="6" t="n">
        <f aca="false">Sens!H11915+Sens!H11922</f>
        <v>515.333125886071</v>
      </c>
      <c r="I11923" s="6" t="n">
        <f aca="false">Sens!I11915+Sens!I11922</f>
        <v>577.124545054311</v>
      </c>
      <c r="J11923" s="6" t="n">
        <f aca="false">Sens!J11915+Sens!J11922</f>
        <v>629.119377732358</v>
      </c>
      <c r="K11923" s="6" t="n">
        <f aca="false">Sens!K11915+Sens!K11922</f>
        <v>671.611263404839</v>
      </c>
    </row>
    <row r="11924" customFormat="false" ht="15" hidden="false" customHeight="false" outlineLevel="0" collapsed="false">
      <c r="A11924" s="23" t="s">
        <v>881</v>
      </c>
      <c r="B11924" s="30" t="s">
        <v>98</v>
      </c>
      <c r="C11924" s="30"/>
      <c r="D11924" s="24" t="n">
        <f aca="false">(Sens!D11903+Sens!D11908+Sens!D11909+Sens!D11911+Sens!D11913-Sens!D11915)+(Sens!D11916+Sens!D11918+Sens!D11920-Sens!D11922)+(Sens!D11915-Q!L5)+(Sens!D11922-Q!L12)+(Sens!D11903-Q!L6)+(Sens!D11908-Q!L7)</f>
        <v>0</v>
      </c>
      <c r="E11924" s="24" t="n">
        <f aca="false">(Sens!E11903+Sens!E11908+Sens!E11909+Sens!E11911+Sens!E11913-Sens!E11915)+(Sens!E11916+Sens!E11918+Sens!E11920-Sens!E11922)+(Sens!E11915-Q!M5)+(Sens!E11922-Q!M12)+(Sens!E11903-Q!M6)+(Sens!E11908-Q!M7)</f>
        <v>0</v>
      </c>
      <c r="F11924" s="24" t="n">
        <f aca="false">(Sens!F11903+Sens!F11908+Sens!F11909+Sens!F11911+Sens!F11913-Sens!F11915)+(Sens!F11916+Sens!F11918+Sens!F11920-Sens!F11922)</f>
        <v>0</v>
      </c>
      <c r="G11924" s="24" t="n">
        <f aca="false">(Sens!G11903+Sens!G11908+Sens!G11909+Sens!G11911+Sens!G11913-Sens!G11915)+(Sens!G11916+Sens!G11918+Sens!G11920-Sens!G11922)</f>
        <v>0</v>
      </c>
      <c r="H11924" s="24" t="n">
        <f aca="false">(Sens!H11903+Sens!H11908+Sens!H11909+Sens!H11911+Sens!H11913-Sens!H11915)+(Sens!H11916+Sens!H11918+Sens!H11920-Sens!H11922)</f>
        <v>0</v>
      </c>
      <c r="I11924" s="24" t="n">
        <f aca="false">(Sens!I11903+Sens!I11908+Sens!I11909+Sens!I11911+Sens!I11913-Sens!I11915)+(Sens!I11916+Sens!I11918+Sens!I11920-Sens!I11922)</f>
        <v>0</v>
      </c>
      <c r="J11924" s="24" t="n">
        <f aca="false">(Sens!J11903+Sens!J11908+Sens!J11909+Sens!J11911+Sens!J11913-Sens!J11915)+(Sens!J11916+Sens!J11918+Sens!J11920-Sens!J11922)</f>
        <v>0</v>
      </c>
      <c r="K11924" s="24" t="n">
        <f aca="false">(Sens!K11903+Sens!K11908+Sens!K11909+Sens!K11911+Sens!K11913-Sens!K11915)+(Sens!K11916+Sens!K11918+Sens!K11920-Sens!K11922)</f>
        <v>0</v>
      </c>
    </row>
    <row r="11925" customFormat="false" ht="17.15" hidden="false" customHeight="false" outlineLevel="0" collapsed="false">
      <c r="A11925" s="3" t="s">
        <v>1546</v>
      </c>
    </row>
    <row r="11926" customFormat="false" ht="15" hidden="false" customHeight="false" outlineLevel="0" collapsed="false">
      <c r="A11926" s="4" t="s">
        <v>43</v>
      </c>
      <c r="B11926" s="4" t="s">
        <v>65</v>
      </c>
      <c r="C11926" s="20" t="s">
        <v>788</v>
      </c>
      <c r="D11926" s="20" t="s">
        <v>789</v>
      </c>
      <c r="E11926" s="20" t="s">
        <v>790</v>
      </c>
      <c r="F11926" s="20" t="s">
        <v>791</v>
      </c>
      <c r="G11926" s="20" t="s">
        <v>792</v>
      </c>
      <c r="H11926" s="20" t="s">
        <v>793</v>
      </c>
      <c r="I11926" s="20" t="s">
        <v>794</v>
      </c>
      <c r="J11926" s="20" t="s">
        <v>795</v>
      </c>
      <c r="K11926" s="20" t="s">
        <v>796</v>
      </c>
      <c r="L11926" s="4" t="s">
        <v>47</v>
      </c>
    </row>
    <row r="11927" customFormat="false" ht="15" hidden="false" customHeight="false" outlineLevel="0" collapsed="false">
      <c r="A11927" s="0" t="s">
        <v>867</v>
      </c>
      <c r="B11927" s="0" t="s">
        <v>98</v>
      </c>
      <c r="D11927" s="6" t="n">
        <f aca="false">Sens!D11903</f>
        <v>72.61</v>
      </c>
      <c r="E11927" s="6" t="n">
        <f aca="false">Sens!E11903</f>
        <v>101.938</v>
      </c>
      <c r="F11927" s="6" t="n">
        <f aca="false">Sens!F11903</f>
        <v>140.741861125673</v>
      </c>
      <c r="G11927" s="6" t="n">
        <f aca="false">Sens!G11903</f>
        <v>182.176709135845</v>
      </c>
      <c r="H11927" s="6" t="n">
        <f aca="false">Sens!H11903</f>
        <v>219.167638189678</v>
      </c>
      <c r="I11927" s="6" t="n">
        <f aca="false">Sens!I11903</f>
        <v>259.639871266006</v>
      </c>
      <c r="J11927" s="6" t="n">
        <f aca="false">Sens!J11903</f>
        <v>291.324070960333</v>
      </c>
      <c r="K11927" s="6" t="n">
        <f aca="false">Sens!K11903</f>
        <v>314.145754363688</v>
      </c>
    </row>
    <row r="11928" customFormat="false" ht="17.15" hidden="false" customHeight="false" outlineLevel="0" collapsed="false">
      <c r="A11928" s="0" t="s">
        <v>864</v>
      </c>
      <c r="B11928" s="0" t="s">
        <v>98</v>
      </c>
      <c r="D11928" s="6" t="n">
        <f aca="false">Sens!D11900</f>
        <v>12.9359794422418</v>
      </c>
      <c r="E11928" s="6" t="n">
        <f aca="false">Sens!E11900</f>
        <v>27.8095064661409</v>
      </c>
      <c r="F11928" s="6" t="n">
        <f aca="false">Sens!F11900</f>
        <v>50.6619113883066</v>
      </c>
      <c r="G11928" s="6" t="n">
        <f aca="false">Sens!G11900</f>
        <v>75.1482839325348</v>
      </c>
      <c r="H11928" s="6" t="n">
        <f aca="false">Sens!H11900</f>
        <v>94.895655604042</v>
      </c>
      <c r="I11928" s="6" t="n">
        <f aca="false">Sens!I11900</f>
        <v>118.706168884151</v>
      </c>
      <c r="J11928" s="6" t="n">
        <f aca="false">Sens!J11900</f>
        <v>135.305203646001</v>
      </c>
      <c r="K11928" s="6" t="n">
        <f aca="false">Sens!K11900</f>
        <v>145.64537766421</v>
      </c>
    </row>
    <row r="11929" customFormat="false" ht="17.15" hidden="false" customHeight="false" outlineLevel="0" collapsed="false">
      <c r="A11929" s="0" t="s">
        <v>892</v>
      </c>
      <c r="B11929" s="0" t="s">
        <v>98</v>
      </c>
      <c r="D11929" s="6" t="n">
        <f aca="false">Sens!D11901</f>
        <v>59.6740205577583</v>
      </c>
      <c r="E11929" s="6" t="n">
        <f aca="false">Sens!E11901</f>
        <v>74.1284935338591</v>
      </c>
      <c r="F11929" s="6" t="n">
        <f aca="false">Sens!F11901</f>
        <v>90.0799497373663</v>
      </c>
      <c r="G11929" s="6" t="n">
        <f aca="false">Sens!G11901</f>
        <v>107.02842520331</v>
      </c>
      <c r="H11929" s="6" t="n">
        <f aca="false">Sens!H11901</f>
        <v>124.271982585636</v>
      </c>
      <c r="I11929" s="6" t="n">
        <f aca="false">Sens!I11901</f>
        <v>140.933702381855</v>
      </c>
      <c r="J11929" s="6" t="n">
        <f aca="false">Sens!J11901</f>
        <v>156.018867314332</v>
      </c>
      <c r="K11929" s="6" t="n">
        <f aca="false">Sens!K11901</f>
        <v>168.500376699478</v>
      </c>
    </row>
    <row r="11930" customFormat="false" ht="15" hidden="false" customHeight="false" outlineLevel="0" collapsed="false">
      <c r="A11930" s="0" t="s">
        <v>873</v>
      </c>
      <c r="B11930" s="0" t="s">
        <v>98</v>
      </c>
      <c r="D11930" s="6" t="n">
        <f aca="false">Sens!D11908</f>
        <v>84.605</v>
      </c>
      <c r="E11930" s="6" t="n">
        <f aca="false">Sens!E11908</f>
        <v>100.299</v>
      </c>
      <c r="F11930" s="6" t="n">
        <f aca="false">Sens!F11908</f>
        <v>117.39238776686</v>
      </c>
      <c r="G11930" s="6" t="n">
        <f aca="false">Sens!G11908</f>
        <v>132.544168448684</v>
      </c>
      <c r="H11930" s="6" t="n">
        <f aca="false">Sens!H11908</f>
        <v>147.777359388781</v>
      </c>
      <c r="I11930" s="6" t="n">
        <f aca="false">Sens!I11908</f>
        <v>162.084028071957</v>
      </c>
      <c r="J11930" s="6" t="n">
        <f aca="false">Sens!J11908</f>
        <v>175.182702785465</v>
      </c>
      <c r="K11930" s="6" t="n">
        <f aca="false">Sens!K11908</f>
        <v>187.527991980448</v>
      </c>
    </row>
    <row r="11931" customFormat="false" ht="17.15" hidden="false" customHeight="false" outlineLevel="0" collapsed="false">
      <c r="A11931" s="0" t="s">
        <v>893</v>
      </c>
      <c r="B11931" s="0" t="s">
        <v>98</v>
      </c>
      <c r="D11931" s="6" t="n">
        <f aca="false">Sens!D11906</f>
        <v>83.705</v>
      </c>
      <c r="E11931" s="6" t="n">
        <f aca="false">Sens!E11906</f>
        <v>95.049</v>
      </c>
      <c r="F11931" s="6" t="n">
        <f aca="false">Sens!F11906</f>
        <v>106.89238776686</v>
      </c>
      <c r="G11931" s="6" t="n">
        <f aca="false">Sens!G11906</f>
        <v>119.044168448684</v>
      </c>
      <c r="H11931" s="6" t="n">
        <f aca="false">Sens!H11906</f>
        <v>131.277359388781</v>
      </c>
      <c r="I11931" s="6" t="n">
        <f aca="false">Sens!I11906</f>
        <v>143.334028071957</v>
      </c>
      <c r="J11931" s="6" t="n">
        <f aca="false">Sens!J11906</f>
        <v>154.932702785465</v>
      </c>
      <c r="K11931" s="6" t="n">
        <f aca="false">Sens!K11906</f>
        <v>165.777991980448</v>
      </c>
    </row>
    <row r="11932" customFormat="false" ht="17.15" hidden="false" customHeight="false" outlineLevel="0" collapsed="false">
      <c r="A11932" s="0" t="s">
        <v>894</v>
      </c>
      <c r="B11932" s="0" t="s">
        <v>98</v>
      </c>
      <c r="D11932" s="6" t="n">
        <f aca="false">Sens!D11905</f>
        <v>0.9</v>
      </c>
      <c r="E11932" s="6" t="n">
        <f aca="false">Sens!E11905</f>
        <v>5.25</v>
      </c>
      <c r="F11932" s="6" t="n">
        <f aca="false">Sens!F11905</f>
        <v>10.5</v>
      </c>
      <c r="G11932" s="6" t="n">
        <f aca="false">Sens!G11905</f>
        <v>13.5</v>
      </c>
      <c r="H11932" s="6" t="n">
        <f aca="false">Sens!H11905</f>
        <v>16.5</v>
      </c>
      <c r="I11932" s="6" t="n">
        <f aca="false">Sens!I11905</f>
        <v>18.75</v>
      </c>
      <c r="J11932" s="6" t="n">
        <f aca="false">Sens!J11905</f>
        <v>20.25</v>
      </c>
      <c r="K11932" s="6" t="n">
        <f aca="false">Sens!K11905</f>
        <v>21.75</v>
      </c>
    </row>
    <row r="11933" customFormat="false" ht="15" hidden="false" customHeight="false" outlineLevel="0" collapsed="false">
      <c r="A11933" s="0" t="s">
        <v>874</v>
      </c>
      <c r="B11933" s="0" t="s">
        <v>98</v>
      </c>
      <c r="D11933" s="6" t="n">
        <f aca="false">Sens!D11909</f>
        <v>35.391</v>
      </c>
      <c r="E11933" s="6" t="n">
        <f aca="false">Sens!E11909</f>
        <v>37.285</v>
      </c>
      <c r="F11933" s="6" t="n">
        <f aca="false">Sens!F11909</f>
        <v>39.0720834331704</v>
      </c>
      <c r="G11933" s="6" t="n">
        <f aca="false">Sens!G11909</f>
        <v>40.726562953769</v>
      </c>
      <c r="H11933" s="6" t="n">
        <f aca="false">Sens!H11909</f>
        <v>42.2235987259198</v>
      </c>
      <c r="I11933" s="6" t="n">
        <f aca="false">Sens!I11909</f>
        <v>43.5397988077414</v>
      </c>
      <c r="J11933" s="6" t="n">
        <f aca="false">Sens!J11909</f>
        <v>44.653811225693</v>
      </c>
      <c r="K11933" s="6" t="n">
        <f aca="false">Sens!K11909</f>
        <v>45.5468874502068</v>
      </c>
    </row>
    <row r="11934" customFormat="false" ht="15" hidden="false" customHeight="false" outlineLevel="0" collapsed="false">
      <c r="A11934" s="0" t="s">
        <v>875</v>
      </c>
      <c r="B11934" s="0" t="s">
        <v>98</v>
      </c>
      <c r="D11934" s="6" t="n">
        <f aca="false">Sens!D11911</f>
        <v>18.417</v>
      </c>
      <c r="E11934" s="6" t="n">
        <f aca="false">Sens!E11911</f>
        <v>20.345</v>
      </c>
      <c r="F11934" s="6" t="n">
        <f aca="false">Sens!F11911</f>
        <v>22.3572203267814</v>
      </c>
      <c r="G11934" s="6" t="n">
        <f aca="false">Sens!G11911</f>
        <v>24.4392124437232</v>
      </c>
      <c r="H11934" s="6" t="n">
        <f aca="false">Sens!H11911</f>
        <v>26.5738052080665</v>
      </c>
      <c r="I11934" s="6" t="n">
        <f aca="false">Sens!I11911</f>
        <v>28.7412169166967</v>
      </c>
      <c r="J11934" s="6" t="n">
        <f aca="false">Sens!J11911</f>
        <v>30.9192545395413</v>
      </c>
      <c r="K11934" s="6" t="n">
        <f aca="false">Sens!K11911</f>
        <v>33.0836023573092</v>
      </c>
    </row>
    <row r="11935" customFormat="false" ht="15" hidden="false" customHeight="false" outlineLevel="0" collapsed="false">
      <c r="A11935" s="0" t="s">
        <v>876</v>
      </c>
      <c r="B11935" s="0" t="s">
        <v>98</v>
      </c>
      <c r="D11935" s="6" t="n">
        <f aca="false">Sens!D11913</f>
        <v>7.76</v>
      </c>
      <c r="E11935" s="6" t="n">
        <f aca="false">Sens!E11913</f>
        <v>8.26</v>
      </c>
      <c r="F11935" s="6" t="n">
        <f aca="false">Sens!F11913</f>
        <v>8.79988041237113</v>
      </c>
      <c r="G11935" s="6" t="n">
        <f aca="false">Sens!G11913</f>
        <v>9.38321269125306</v>
      </c>
      <c r="H11935" s="6" t="n">
        <f aca="false">Sens!H11913</f>
        <v>10.0139193587476</v>
      </c>
      <c r="I11935" s="6" t="n">
        <f aca="false">Sens!I11913</f>
        <v>10.6963111830911</v>
      </c>
      <c r="J11935" s="6" t="n">
        <f aca="false">Sens!J11913</f>
        <v>11.4351285534696</v>
      </c>
      <c r="K11935" s="6" t="n">
        <f aca="false">Sens!K11913</f>
        <v>12.2355875522124</v>
      </c>
    </row>
    <row r="11936" customFormat="false" ht="15" hidden="false" customHeight="false" outlineLevel="0" collapsed="false">
      <c r="A11936" s="0" t="s">
        <v>704</v>
      </c>
      <c r="B11936" s="0" t="s">
        <v>98</v>
      </c>
      <c r="D11936" s="6" t="n">
        <f aca="false">Sens!D11915</f>
        <v>218.783</v>
      </c>
      <c r="E11936" s="6" t="n">
        <f aca="false">Sens!E11915</f>
        <v>268.127</v>
      </c>
      <c r="F11936" s="6" t="n">
        <f aca="false">Sens!F11915</f>
        <v>328.363433064856</v>
      </c>
      <c r="G11936" s="6" t="n">
        <f aca="false">Sens!G11915</f>
        <v>389.269865673274</v>
      </c>
      <c r="H11936" s="6" t="n">
        <f aca="false">Sens!H11915</f>
        <v>445.756320871193</v>
      </c>
      <c r="I11936" s="6" t="n">
        <f aca="false">Sens!I11915</f>
        <v>504.701226245492</v>
      </c>
      <c r="J11936" s="6" t="n">
        <f aca="false">Sens!J11915</f>
        <v>553.514968064502</v>
      </c>
      <c r="K11936" s="6" t="n">
        <f aca="false">Sens!K11915</f>
        <v>592.539823703865</v>
      </c>
    </row>
    <row r="11937" customFormat="false" ht="15" hidden="false" customHeight="false" outlineLevel="0" collapsed="false">
      <c r="A11937" s="0" t="s">
        <v>877</v>
      </c>
      <c r="B11937" s="0" t="s">
        <v>98</v>
      </c>
      <c r="D11937" s="6" t="n">
        <f aca="false">Sens!D11916</f>
        <v>22.171</v>
      </c>
      <c r="E11937" s="6" t="n">
        <f aca="false">Sens!E11916</f>
        <v>24.835</v>
      </c>
      <c r="F11937" s="6" t="n">
        <f aca="false">Sens!F11916</f>
        <v>27.6114901218559</v>
      </c>
      <c r="G11937" s="6" t="n">
        <f aca="false">Sens!G11916</f>
        <v>30.4675667338515</v>
      </c>
      <c r="H11937" s="6" t="n">
        <f aca="false">Sens!H11916</f>
        <v>33.3643766955789</v>
      </c>
      <c r="I11937" s="6" t="n">
        <f aca="false">Sens!I11916</f>
        <v>36.2577016533691</v>
      </c>
      <c r="J11937" s="6" t="n">
        <f aca="false">Sens!J11916</f>
        <v>39.0988367952171</v>
      </c>
      <c r="K11937" s="6" t="n">
        <f aca="false">Sens!K11916</f>
        <v>41.8357553708823</v>
      </c>
    </row>
    <row r="11938" customFormat="false" ht="15" hidden="false" customHeight="false" outlineLevel="0" collapsed="false">
      <c r="A11938" s="0" t="s">
        <v>878</v>
      </c>
      <c r="B11938" s="0" t="s">
        <v>98</v>
      </c>
      <c r="D11938" s="6" t="n">
        <f aca="false">Sens!D11918</f>
        <v>23.455</v>
      </c>
      <c r="E11938" s="6" t="n">
        <f aca="false">Sens!E11918</f>
        <v>21.79</v>
      </c>
      <c r="F11938" s="6" t="n">
        <f aca="false">Sens!F11918</f>
        <v>20.5736277908051</v>
      </c>
      <c r="G11938" s="6" t="n">
        <f aca="false">Sens!G11918</f>
        <v>19.7371452817919</v>
      </c>
      <c r="H11938" s="6" t="n">
        <f aca="false">Sens!H11918</f>
        <v>19.2339764043138</v>
      </c>
      <c r="I11938" s="6" t="n">
        <f aca="false">Sens!I11918</f>
        <v>19.0353086852681</v>
      </c>
      <c r="J11938" s="6" t="n">
        <f aca="false">Sens!J11918</f>
        <v>19.1273539319129</v>
      </c>
      <c r="K11938" s="6" t="n">
        <f aca="false">Sens!K11918</f>
        <v>19.5099010105511</v>
      </c>
    </row>
    <row r="11939" customFormat="false" ht="15" hidden="false" customHeight="false" outlineLevel="0" collapsed="false">
      <c r="A11939" s="0" t="s">
        <v>879</v>
      </c>
      <c r="B11939" s="0" t="s">
        <v>98</v>
      </c>
      <c r="D11939" s="6" t="n">
        <f aca="false">Sens!D11920</f>
        <v>17.315</v>
      </c>
      <c r="E11939" s="6" t="n">
        <f aca="false">Sens!E11920</f>
        <v>17.087</v>
      </c>
      <c r="F11939" s="6" t="n">
        <f aca="false">Sens!F11920</f>
        <v>16.9564585436519</v>
      </c>
      <c r="G11939" s="6" t="n">
        <f aca="false">Sens!G11920</f>
        <v>16.9206490624268</v>
      </c>
      <c r="H11939" s="6" t="n">
        <f aca="false">Sens!H11920</f>
        <v>16.9784519149849</v>
      </c>
      <c r="I11939" s="6" t="n">
        <f aca="false">Sens!I11920</f>
        <v>17.1303084701817</v>
      </c>
      <c r="J11939" s="6" t="n">
        <f aca="false">Sens!J11920</f>
        <v>17.3782189407267</v>
      </c>
      <c r="K11939" s="6" t="n">
        <f aca="false">Sens!K11920</f>
        <v>17.7257833195413</v>
      </c>
    </row>
    <row r="11940" customFormat="false" ht="15" hidden="false" customHeight="false" outlineLevel="0" collapsed="false">
      <c r="A11940" s="0" t="s">
        <v>718</v>
      </c>
      <c r="B11940" s="0" t="s">
        <v>98</v>
      </c>
      <c r="D11940" s="6" t="n">
        <f aca="false">Sens!D11922</f>
        <v>62.941</v>
      </c>
      <c r="E11940" s="6" t="n">
        <f aca="false">Sens!E11922</f>
        <v>63.712</v>
      </c>
      <c r="F11940" s="6" t="n">
        <f aca="false">Sens!F11922</f>
        <v>65.1415764563129</v>
      </c>
      <c r="G11940" s="6" t="n">
        <f aca="false">Sens!G11922</f>
        <v>67.1253610780702</v>
      </c>
      <c r="H11940" s="6" t="n">
        <f aca="false">Sens!H11922</f>
        <v>69.5768050148776</v>
      </c>
      <c r="I11940" s="6" t="n">
        <f aca="false">Sens!I11922</f>
        <v>72.4233188088189</v>
      </c>
      <c r="J11940" s="6" t="n">
        <f aca="false">Sens!J11922</f>
        <v>75.6044096678567</v>
      </c>
      <c r="K11940" s="6" t="n">
        <f aca="false">Sens!K11922</f>
        <v>79.0714397009747</v>
      </c>
    </row>
    <row r="11941" customFormat="false" ht="15" hidden="false" customHeight="false" outlineLevel="0" collapsed="false">
      <c r="A11941" s="1" t="s">
        <v>895</v>
      </c>
      <c r="B11941" s="0" t="s">
        <v>98</v>
      </c>
      <c r="D11941" s="6" t="n">
        <f aca="false">Sens!D11923</f>
        <v>281.724</v>
      </c>
      <c r="E11941" s="6" t="n">
        <f aca="false">Sens!E11923</f>
        <v>331.839</v>
      </c>
      <c r="F11941" s="6" t="n">
        <f aca="false">Sens!F11923</f>
        <v>393.505009521169</v>
      </c>
      <c r="G11941" s="6" t="n">
        <f aca="false">Sens!G11923</f>
        <v>456.395226751344</v>
      </c>
      <c r="H11941" s="6" t="n">
        <f aca="false">Sens!H11923</f>
        <v>515.333125886071</v>
      </c>
      <c r="I11941" s="6" t="n">
        <f aca="false">Sens!I11923</f>
        <v>577.124545054311</v>
      </c>
      <c r="J11941" s="6" t="n">
        <f aca="false">Sens!J11923</f>
        <v>629.119377732358</v>
      </c>
      <c r="K11941" s="6" t="n">
        <f aca="false">Sens!K11923</f>
        <v>671.611263404839</v>
      </c>
    </row>
    <row r="11942" customFormat="false" ht="15" hidden="false" customHeight="false" outlineLevel="0" collapsed="false">
      <c r="A11942" s="1" t="s">
        <v>896</v>
      </c>
      <c r="B11942" s="0" t="s">
        <v>129</v>
      </c>
      <c r="E11942" s="7" t="n">
        <f aca="false">Sens!E11941/Sens!D11941-1</f>
        <v>0.177886867998467</v>
      </c>
      <c r="F11942" s="7" t="n">
        <f aca="false">Sens!F11941/Sens!E11941-1</f>
        <v>0.185831109427067</v>
      </c>
      <c r="G11942" s="7" t="n">
        <f aca="false">Sens!G11941/Sens!F11941-1</f>
        <v>0.159820626697237</v>
      </c>
      <c r="H11942" s="7" t="n">
        <f aca="false">Sens!H11941/Sens!G11941-1</f>
        <v>0.129137851756801</v>
      </c>
      <c r="I11942" s="7" t="n">
        <f aca="false">Sens!I11941/Sens!H11941-1</f>
        <v>0.119905777572508</v>
      </c>
      <c r="J11942" s="7" t="n">
        <f aca="false">Sens!J11941/Sens!I11941-1</f>
        <v>0.090092915166438</v>
      </c>
      <c r="K11942" s="7" t="n">
        <f aca="false">Sens!K11941/Sens!J11941-1</f>
        <v>0.0675418484575083</v>
      </c>
    </row>
    <row r="11943" customFormat="false" ht="17.15" hidden="false" customHeight="false" outlineLevel="0" collapsed="false">
      <c r="A11943" s="23" t="s">
        <v>897</v>
      </c>
      <c r="B11943" s="30" t="s">
        <v>98</v>
      </c>
      <c r="C11943" s="30"/>
      <c r="D11943" s="24" t="n">
        <f aca="false">(Sens!D11936+Sens!D11940-Sens!D11941)+(Sens!D11928+Sens!D11929-Sens!D11927)+(Sens!D11931+Sens!D11932-Sens!D11930)+(Sens!D11941-Q!L18)</f>
        <v>0</v>
      </c>
      <c r="E11943" s="24" t="n">
        <f aca="false">(Sens!E11936+Sens!E11940-Sens!E11941)+(Sens!E11928+Sens!E11929-Sens!E11927)+(Sens!E11931+Sens!E11932-Sens!E11930)+(Sens!E11941-Q!M18)</f>
        <v>0</v>
      </c>
      <c r="F11943" s="24" t="n">
        <f aca="false">(Sens!F11936+Sens!F11940-Sens!F11941)+(Sens!F11928+Sens!F11929-Sens!F11927)+(Sens!F11931+Sens!F11932-Sens!F11930)</f>
        <v>0</v>
      </c>
      <c r="G11943" s="24" t="n">
        <f aca="false">(Sens!G11936+Sens!G11940-Sens!G11941)+(Sens!G11928+Sens!G11929-Sens!G11927)+(Sens!G11931+Sens!G11932-Sens!G11930)</f>
        <v>0</v>
      </c>
      <c r="H11943" s="24" t="n">
        <f aca="false">(Sens!H11936+Sens!H11940-Sens!H11941)+(Sens!H11928+Sens!H11929-Sens!H11927)+(Sens!H11931+Sens!H11932-Sens!H11930)</f>
        <v>0</v>
      </c>
      <c r="I11943" s="24" t="n">
        <f aca="false">(Sens!I11936+Sens!I11940-Sens!I11941)+(Sens!I11928+Sens!I11929-Sens!I11927)+(Sens!I11931+Sens!I11932-Sens!I11930)</f>
        <v>0</v>
      </c>
      <c r="J11943" s="24" t="n">
        <f aca="false">(Sens!J11936+Sens!J11940-Sens!J11941)+(Sens!J11928+Sens!J11929-Sens!J11927)+(Sens!J11931+Sens!J11932-Sens!J11930)</f>
        <v>0</v>
      </c>
      <c r="K11943" s="24" t="n">
        <f aca="false">(Sens!K11936+Sens!K11940-Sens!K11941)+(Sens!K11928+Sens!K11929-Sens!K11927)+(Sens!K11931+Sens!K11932-Sens!K11930)</f>
        <v>0</v>
      </c>
    </row>
    <row r="11944" customFormat="false" ht="17.15" hidden="false" customHeight="false" outlineLevel="0" collapsed="false">
      <c r="A11944" s="0" t="s">
        <v>898</v>
      </c>
      <c r="B11944" s="0" t="s">
        <v>129</v>
      </c>
      <c r="E11944" s="7" t="n">
        <f aca="false">(Q!M21+Sens!E11881+Sens!E11882+Sens!E11883+Sens!E11896-Sens!E11879)/(Q!M5-Sens!E11879)</f>
        <v>0.570957350878296</v>
      </c>
      <c r="F11944" s="7" t="n">
        <f aca="false">Sens!$E$11944+dm_seg_hi</f>
        <v>0.590957350878296</v>
      </c>
      <c r="G11944" s="7" t="n">
        <f aca="false">Sens!$E$11944+dm_seg_hi</f>
        <v>0.590957350878296</v>
      </c>
      <c r="H11944" s="7" t="n">
        <f aca="false">Sens!$E$11944+dm_seg_hi</f>
        <v>0.590957350878296</v>
      </c>
      <c r="I11944" s="7" t="n">
        <f aca="false">Sens!$E$11944+dm_seg_hi</f>
        <v>0.590957350878296</v>
      </c>
      <c r="J11944" s="7" t="n">
        <f aca="false">Sens!$E$11944+dm_seg_hi</f>
        <v>0.590957350878296</v>
      </c>
      <c r="K11944" s="7" t="n">
        <f aca="false">Sens!$E$11944+dm_seg_hi</f>
        <v>0.590957350878296</v>
      </c>
      <c r="L11944" s="11" t="s">
        <v>899</v>
      </c>
    </row>
    <row r="11945" customFormat="false" ht="17.15" hidden="false" customHeight="false" outlineLevel="0" collapsed="false">
      <c r="A11945" s="0" t="s">
        <v>732</v>
      </c>
      <c r="B11945" s="0" t="s">
        <v>98</v>
      </c>
      <c r="D11945" s="6" t="n">
        <f aca="false">Q!L21</f>
        <v>110.814</v>
      </c>
      <c r="E11945" s="6" t="n">
        <f aca="false">Q!M21</f>
        <v>136.365</v>
      </c>
      <c r="F11945" s="6" t="n">
        <f aca="false">Sens!F11944*(Sens!F11915-Sens!F11879)+Sens!F11879-(Sens!F11881+Sens!F11882+Sens!F11883)-Sens!F11896</f>
        <v>157.881135141008</v>
      </c>
      <c r="G11945" s="6" t="n">
        <f aca="false">Sens!G11944*(Sens!G11915-Sens!G11879)+Sens!G11879-(Sens!G11881+Sens!G11882+Sens!G11883)-Sens!G11896</f>
        <v>166.56659053599</v>
      </c>
      <c r="H11945" s="6" t="n">
        <f aca="false">Sens!H11944*(Sens!H11915-Sens!H11879)+Sens!H11879-(Sens!H11881+Sens!H11882+Sens!H11883)-Sens!H11896</f>
        <v>169.59261262955</v>
      </c>
      <c r="I11945" s="6" t="n">
        <f aca="false">Sens!I11944*(Sens!I11915-Sens!I11879)+Sens!I11879-(Sens!I11881+Sens!I11882+Sens!I11883)-Sens!I11896</f>
        <v>180.22152337281</v>
      </c>
      <c r="J11945" s="6" t="n">
        <f aca="false">Sens!J11944*(Sens!J11915-Sens!J11879)+Sens!J11879-(Sens!J11881+Sens!J11882+Sens!J11883)-Sens!J11896</f>
        <v>192.125138537992</v>
      </c>
      <c r="K11945" s="6" t="n">
        <f aca="false">Sens!K11944*(Sens!K11915-Sens!K11879)+Sens!K11879-(Sens!K11881+Sens!K11882+Sens!K11883)-Sens!K11896</f>
        <v>205.445075221872</v>
      </c>
      <c r="L11945" s="1" t="s">
        <v>900</v>
      </c>
    </row>
    <row r="11946" customFormat="false" ht="17.15" hidden="false" customHeight="false" outlineLevel="0" collapsed="false">
      <c r="A11946" s="0" t="s">
        <v>901</v>
      </c>
      <c r="B11946" s="0" t="s">
        <v>129</v>
      </c>
      <c r="E11946" s="7" t="n">
        <f aca="false">Q!M22/Q!M12</f>
        <v>0.296207935710698</v>
      </c>
      <c r="F11946" s="7" t="n">
        <f aca="false">Sens!$E$11946+dm_seg_hi</f>
        <v>0.316207935710698</v>
      </c>
      <c r="G11946" s="7" t="n">
        <f aca="false">Sens!$E$11946+dm_seg_hi</f>
        <v>0.316207935710698</v>
      </c>
      <c r="H11946" s="7" t="n">
        <f aca="false">Sens!$E$11946+dm_seg_hi</f>
        <v>0.316207935710698</v>
      </c>
      <c r="I11946" s="7" t="n">
        <f aca="false">Sens!$E$11946+dm_seg_hi</f>
        <v>0.316207935710698</v>
      </c>
      <c r="J11946" s="7" t="n">
        <f aca="false">Sens!$E$11946+dm_seg_hi</f>
        <v>0.316207935710698</v>
      </c>
      <c r="K11946" s="7" t="n">
        <f aca="false">Sens!$E$11946+dm_seg_hi</f>
        <v>0.316207935710698</v>
      </c>
      <c r="L11946" s="11" t="s">
        <v>902</v>
      </c>
    </row>
    <row r="11947" customFormat="false" ht="17.15" hidden="false" customHeight="false" outlineLevel="0" collapsed="false">
      <c r="A11947" s="0" t="s">
        <v>734</v>
      </c>
      <c r="B11947" s="0" t="s">
        <v>98</v>
      </c>
      <c r="D11947" s="6" t="n">
        <f aca="false">Q!L22</f>
        <v>17.714</v>
      </c>
      <c r="E11947" s="6" t="n">
        <f aca="false">Q!M22</f>
        <v>18.872</v>
      </c>
      <c r="F11947" s="6" t="n">
        <f aca="false">Sens!F11922*Sens!F11946</f>
        <v>20.5982834201913</v>
      </c>
      <c r="G11947" s="6" t="n">
        <f aca="false">Sens!G11922*Sens!G11946</f>
        <v>21.2255718603318</v>
      </c>
      <c r="H11947" s="6" t="n">
        <f aca="false">Sens!H11922*Sens!H11946</f>
        <v>22.0007378871002</v>
      </c>
      <c r="I11947" s="6" t="n">
        <f aca="false">Sens!I11922*Sens!I11946</f>
        <v>22.9008281378544</v>
      </c>
      <c r="J11947" s="6" t="n">
        <f aca="false">Sens!J11922*Sens!J11946</f>
        <v>23.9067143116989</v>
      </c>
      <c r="K11947" s="6" t="n">
        <f aca="false">Sens!K11922*Sens!K11946</f>
        <v>25.0030167215181</v>
      </c>
    </row>
    <row r="11948" customFormat="false" ht="15" hidden="false" customHeight="false" outlineLevel="0" collapsed="false">
      <c r="A11948" s="1" t="s">
        <v>903</v>
      </c>
      <c r="B11948" s="0" t="s">
        <v>98</v>
      </c>
      <c r="D11948" s="6" t="n">
        <f aca="false">Sens!D11945+Sens!D11947</f>
        <v>128.528</v>
      </c>
      <c r="E11948" s="6" t="n">
        <f aca="false">Sens!E11945+Sens!E11947</f>
        <v>155.237</v>
      </c>
      <c r="F11948" s="6" t="n">
        <f aca="false">Sens!F11945+Sens!F11947</f>
        <v>178.479418561199</v>
      </c>
      <c r="G11948" s="6" t="n">
        <f aca="false">Sens!G11945+Sens!G11947</f>
        <v>187.792162396322</v>
      </c>
      <c r="H11948" s="6" t="n">
        <f aca="false">Sens!H11945+Sens!H11947</f>
        <v>191.59335051665</v>
      </c>
      <c r="I11948" s="6" t="n">
        <f aca="false">Sens!I11945+Sens!I11947</f>
        <v>203.122351510664</v>
      </c>
      <c r="J11948" s="6" t="n">
        <f aca="false">Sens!J11945+Sens!J11947</f>
        <v>216.031852849691</v>
      </c>
      <c r="K11948" s="6" t="n">
        <f aca="false">Sens!K11945+Sens!K11947</f>
        <v>230.44809194339</v>
      </c>
    </row>
    <row r="11949" customFormat="false" ht="15" hidden="false" customHeight="false" outlineLevel="0" collapsed="false">
      <c r="A11949" s="23" t="s">
        <v>904</v>
      </c>
      <c r="B11949" s="30" t="s">
        <v>98</v>
      </c>
      <c r="C11949" s="30"/>
      <c r="D11949" s="24" t="n">
        <f aca="false">Sens!D11948-Q!L23</f>
        <v>0</v>
      </c>
      <c r="E11949" s="24" t="n">
        <f aca="false">Sens!E11948-Q!M23</f>
        <v>0</v>
      </c>
      <c r="F11949" s="30"/>
      <c r="G11949" s="30"/>
      <c r="H11949" s="30"/>
      <c r="I11949" s="30"/>
      <c r="J11949" s="30"/>
      <c r="K11949" s="30"/>
    </row>
    <row r="11950" customFormat="false" ht="15" hidden="false" customHeight="false" outlineLevel="0" collapsed="false">
      <c r="A11950" s="1" t="s">
        <v>905</v>
      </c>
      <c r="B11950" s="0" t="s">
        <v>129</v>
      </c>
      <c r="D11950" s="7" t="n">
        <f aca="false">Sens!D11948/Sens!D11941</f>
        <v>0.456219562408598</v>
      </c>
      <c r="E11950" s="7" t="n">
        <f aca="false">Sens!E11948/Sens!E11941</f>
        <v>0.467808184089272</v>
      </c>
      <c r="F11950" s="7" t="n">
        <f aca="false">Sens!F11948/Sens!F11941</f>
        <v>0.453563269190344</v>
      </c>
      <c r="G11950" s="7" t="n">
        <f aca="false">Sens!G11948/Sens!G11941</f>
        <v>0.411468287547704</v>
      </c>
      <c r="H11950" s="7" t="n">
        <f aca="false">Sens!H11948/Sens!H11941</f>
        <v>0.371785435270092</v>
      </c>
      <c r="I11950" s="7" t="n">
        <f aca="false">Sens!I11948/Sens!I11941</f>
        <v>0.351955835618721</v>
      </c>
      <c r="J11950" s="7" t="n">
        <f aca="false">Sens!J11948/Sens!J11941</f>
        <v>0.343387694762116</v>
      </c>
      <c r="K11950" s="7" t="n">
        <f aca="false">Sens!K11948/Sens!K11941</f>
        <v>0.343127199468182</v>
      </c>
    </row>
    <row r="11951" customFormat="false" ht="17.15" hidden="false" customHeight="false" outlineLevel="0" collapsed="false">
      <c r="A11951" s="1" t="s">
        <v>906</v>
      </c>
      <c r="B11951" s="0" t="s">
        <v>98</v>
      </c>
      <c r="F11951" s="6" t="n">
        <f aca="false">Sens!F11966</f>
        <v>20.5822544923746</v>
      </c>
      <c r="G11951" s="6" t="n">
        <f aca="false">Sens!G11966</f>
        <v>37.4352575228648</v>
      </c>
      <c r="H11951" s="6" t="n">
        <f aca="false">Sens!H11966</f>
        <v>55.6407166463052</v>
      </c>
      <c r="I11951" s="6" t="n">
        <f aca="false">Sens!I11966</f>
        <v>72.011177414753</v>
      </c>
      <c r="J11951" s="6" t="n">
        <f aca="false">Sens!J11966</f>
        <v>83.4511542203386</v>
      </c>
      <c r="K11951" s="6" t="n">
        <f aca="false">Sens!K11966</f>
        <v>90.1696701138278</v>
      </c>
      <c r="L11951" s="1" t="s">
        <v>907</v>
      </c>
    </row>
    <row r="11952" customFormat="false" ht="17.15" hidden="false" customHeight="false" outlineLevel="0" collapsed="false">
      <c r="A11952" s="1" t="s">
        <v>908</v>
      </c>
      <c r="B11952" s="0" t="s">
        <v>98</v>
      </c>
      <c r="D11952" s="6" t="n">
        <f aca="false">Sens!D11948</f>
        <v>128.528</v>
      </c>
      <c r="E11952" s="6" t="n">
        <f aca="false">Sens!E11948</f>
        <v>155.237</v>
      </c>
      <c r="F11952" s="6" t="n">
        <f aca="false">Sens!F11948+Sens!F11951</f>
        <v>199.061673053573</v>
      </c>
      <c r="G11952" s="6" t="n">
        <f aca="false">Sens!G11948+Sens!G11951</f>
        <v>225.227419919186</v>
      </c>
      <c r="H11952" s="6" t="n">
        <f aca="false">Sens!H11948+Sens!H11951</f>
        <v>247.234067162955</v>
      </c>
      <c r="I11952" s="6" t="n">
        <f aca="false">Sens!I11948+Sens!I11951</f>
        <v>275.133528925417</v>
      </c>
      <c r="J11952" s="6" t="n">
        <f aca="false">Sens!J11948+Sens!J11951</f>
        <v>299.48300707003</v>
      </c>
      <c r="K11952" s="6" t="n">
        <f aca="false">Sens!K11948+Sens!K11951</f>
        <v>320.617762057217</v>
      </c>
    </row>
    <row r="11953" customFormat="false" ht="17.15" hidden="false" customHeight="false" outlineLevel="0" collapsed="false">
      <c r="A11953" s="1" t="s">
        <v>909</v>
      </c>
      <c r="B11953" s="0" t="s">
        <v>98</v>
      </c>
      <c r="E11953" s="6" t="n">
        <f aca="false">Sens!E11896</f>
        <v>16.3054059770833</v>
      </c>
      <c r="F11953" s="6" t="n">
        <f aca="false">Sens!F11896</f>
        <v>34.7530354558698</v>
      </c>
      <c r="G11953" s="6" t="n">
        <f aca="false">Sens!G11896</f>
        <v>60.5317332603396</v>
      </c>
      <c r="H11953" s="6" t="n">
        <f aca="false">Sens!H11896</f>
        <v>87.7673159931396</v>
      </c>
      <c r="I11953" s="6" t="n">
        <f aca="false">Sens!I11896</f>
        <v>112.012039982221</v>
      </c>
      <c r="J11953" s="6" t="n">
        <f aca="false">Sens!J11896</f>
        <v>129.208710922666</v>
      </c>
      <c r="K11953" s="6" t="n">
        <f aca="false">Sens!K11896</f>
        <v>139.672646804474</v>
      </c>
    </row>
    <row r="11954" customFormat="false" ht="17.15" hidden="false" customHeight="false" outlineLevel="0" collapsed="false">
      <c r="A11954" s="1" t="s">
        <v>910</v>
      </c>
      <c r="B11954" s="0" t="s">
        <v>98</v>
      </c>
      <c r="E11954" s="6" t="n">
        <f aca="false">Sens!E11978</f>
        <v>22.2285940229167</v>
      </c>
      <c r="F11954" s="6" t="n">
        <f aca="false">Sens!F11978</f>
        <v>23.5486693435813</v>
      </c>
      <c r="G11954" s="6" t="n">
        <f aca="false">Sens!G11978</f>
        <v>25.264091766262</v>
      </c>
      <c r="H11954" s="6" t="n">
        <f aca="false">Sens!H11978</f>
        <v>27.3438339540448</v>
      </c>
      <c r="I11954" s="6" t="n">
        <f aca="false">Sens!I11978</f>
        <v>29.7317905898047</v>
      </c>
      <c r="J11954" s="6" t="n">
        <f aca="false">Sens!J11978</f>
        <v>32.3542028558616</v>
      </c>
      <c r="K11954" s="6" t="n">
        <f aca="false">Sens!K11978</f>
        <v>35.1281528444749</v>
      </c>
    </row>
    <row r="11955" customFormat="false" ht="17.15" hidden="false" customHeight="false" outlineLevel="0" collapsed="false">
      <c r="A11955" s="1" t="s">
        <v>911</v>
      </c>
      <c r="B11955" s="0" t="s">
        <v>98</v>
      </c>
      <c r="D11955" s="6" t="n">
        <f aca="false">Q!L27</f>
        <v>-4.901</v>
      </c>
      <c r="E11955" s="6" t="n">
        <f aca="false">Q!M27</f>
        <v>10.697</v>
      </c>
      <c r="F11955" s="6" t="n">
        <f aca="false">oie_f</f>
        <v>-0.4</v>
      </c>
      <c r="G11955" s="6" t="n">
        <f aca="false">oie_f</f>
        <v>-0.4</v>
      </c>
      <c r="H11955" s="6" t="n">
        <f aca="false">oie_f</f>
        <v>-0.4</v>
      </c>
      <c r="I11955" s="6" t="n">
        <f aca="false">oie_f</f>
        <v>-0.4</v>
      </c>
      <c r="J11955" s="6" t="n">
        <f aca="false">oie_f</f>
        <v>-0.4</v>
      </c>
      <c r="K11955" s="6" t="n">
        <f aca="false">oie_f</f>
        <v>-0.4</v>
      </c>
      <c r="L11955" s="11" t="s">
        <v>912</v>
      </c>
    </row>
    <row r="11956" customFormat="false" ht="15" hidden="false" customHeight="false" outlineLevel="0" collapsed="false">
      <c r="A11956" s="1" t="s">
        <v>913</v>
      </c>
      <c r="B11956" s="0" t="s">
        <v>98</v>
      </c>
      <c r="D11956" s="6" t="n">
        <f aca="false">Sens!D11948+Sens!D11955</f>
        <v>123.627</v>
      </c>
      <c r="E11956" s="6" t="n">
        <f aca="false">Sens!E11948+Sens!E11955</f>
        <v>165.934</v>
      </c>
      <c r="F11956" s="6" t="n">
        <f aca="false">Sens!F11948+Sens!F11955</f>
        <v>178.079418561199</v>
      </c>
      <c r="G11956" s="6" t="n">
        <f aca="false">Sens!G11948+Sens!G11955</f>
        <v>187.392162396322</v>
      </c>
      <c r="H11956" s="6" t="n">
        <f aca="false">Sens!H11948+Sens!H11955</f>
        <v>191.19335051665</v>
      </c>
      <c r="I11956" s="6" t="n">
        <f aca="false">Sens!I11948+Sens!I11955</f>
        <v>202.722351510664</v>
      </c>
      <c r="J11956" s="6" t="n">
        <f aca="false">Sens!J11948+Sens!J11955</f>
        <v>215.631852849691</v>
      </c>
      <c r="K11956" s="6" t="n">
        <f aca="false">Sens!K11948+Sens!K11955</f>
        <v>230.04809194339</v>
      </c>
    </row>
    <row r="11957" customFormat="false" ht="15" hidden="false" customHeight="false" outlineLevel="0" collapsed="false">
      <c r="A11957" s="1" t="s">
        <v>914</v>
      </c>
      <c r="B11957" s="0" t="s">
        <v>98</v>
      </c>
      <c r="D11957" s="6" t="n">
        <f aca="false">Q!L29</f>
        <v>21.795</v>
      </c>
      <c r="E11957" s="6" t="n">
        <f aca="false">Q!M29</f>
        <v>32.185</v>
      </c>
      <c r="F11957" s="6" t="n">
        <f aca="false">Sens!F11956*tax_f</f>
        <v>35.6158837122398</v>
      </c>
      <c r="G11957" s="6" t="n">
        <f aca="false">Sens!G11956*tax_f</f>
        <v>37.4784324792643</v>
      </c>
      <c r="H11957" s="6" t="n">
        <f aca="false">Sens!H11956*tax_f</f>
        <v>38.23867010333</v>
      </c>
      <c r="I11957" s="6" t="n">
        <f aca="false">Sens!I11956*tax_f</f>
        <v>40.5444703021329</v>
      </c>
      <c r="J11957" s="6" t="n">
        <f aca="false">Sens!J11956*tax_f</f>
        <v>43.1263705699382</v>
      </c>
      <c r="K11957" s="6" t="n">
        <f aca="false">Sens!K11956*tax_f</f>
        <v>46.0096183886779</v>
      </c>
    </row>
    <row r="11958" customFormat="false" ht="15" hidden="false" customHeight="false" outlineLevel="0" collapsed="false">
      <c r="A11958" s="1" t="s">
        <v>915</v>
      </c>
      <c r="B11958" s="0" t="s">
        <v>98</v>
      </c>
      <c r="D11958" s="6" t="n">
        <f aca="false">Sens!D11956-Sens!D11957</f>
        <v>101.832</v>
      </c>
      <c r="E11958" s="6" t="n">
        <f aca="false">Sens!E11956-Sens!E11957</f>
        <v>133.749</v>
      </c>
      <c r="F11958" s="6" t="n">
        <f aca="false">Sens!F11956-Sens!F11957</f>
        <v>142.463534848959</v>
      </c>
      <c r="G11958" s="6" t="n">
        <f aca="false">Sens!G11956-Sens!G11957</f>
        <v>149.913729917057</v>
      </c>
      <c r="H11958" s="6" t="n">
        <f aca="false">Sens!H11956-Sens!H11957</f>
        <v>152.95468041332</v>
      </c>
      <c r="I11958" s="6" t="n">
        <f aca="false">Sens!I11956-Sens!I11957</f>
        <v>162.177881208531</v>
      </c>
      <c r="J11958" s="6" t="n">
        <f aca="false">Sens!J11956-Sens!J11957</f>
        <v>172.505482279753</v>
      </c>
      <c r="K11958" s="6" t="n">
        <f aca="false">Sens!K11956-Sens!K11957</f>
        <v>184.038473554712</v>
      </c>
    </row>
    <row r="11959" customFormat="false" ht="17.15" hidden="false" customHeight="false" outlineLevel="0" collapsed="false">
      <c r="A11959" s="1" t="s">
        <v>916</v>
      </c>
      <c r="B11959" s="1" t="s">
        <v>81</v>
      </c>
      <c r="D11959" s="14" t="n">
        <f aca="false">Q!L31</f>
        <v>7.465</v>
      </c>
      <c r="E11959" s="14" t="n">
        <f aca="false">Q!M31</f>
        <v>7.453</v>
      </c>
      <c r="F11959" s="14" t="n">
        <f aca="false">Sens!F12000</f>
        <v>7.4735</v>
      </c>
      <c r="G11959" s="14" t="n">
        <f aca="false">Sens!G12000</f>
        <v>7.5185</v>
      </c>
      <c r="H11959" s="14" t="n">
        <f aca="false">Sens!H12000</f>
        <v>7.55314306426176</v>
      </c>
      <c r="I11959" s="14" t="n">
        <f aca="false">Sens!I12000</f>
        <v>7.57181537468089</v>
      </c>
      <c r="J11959" s="14" t="n">
        <f aca="false">Sens!J12000</f>
        <v>7.58605688579877</v>
      </c>
      <c r="K11959" s="14" t="n">
        <f aca="false">Sens!K12000</f>
        <v>7.60257680350052</v>
      </c>
    </row>
    <row r="11960" customFormat="false" ht="17.15" hidden="false" customHeight="false" outlineLevel="0" collapsed="false">
      <c r="A11960" s="0" t="s">
        <v>917</v>
      </c>
      <c r="B11960" s="0" t="s">
        <v>75</v>
      </c>
      <c r="D11960" s="8" t="n">
        <f aca="false">Sens!D11958/Sens!D11959</f>
        <v>13.641259209645</v>
      </c>
      <c r="E11960" s="8" t="n">
        <f aca="false">Sens!E11958/Sens!E11959</f>
        <v>17.9456594659869</v>
      </c>
      <c r="F11960" s="8" t="n">
        <f aca="false">Sens!F11958/Sens!F11959</f>
        <v>19.0624921186805</v>
      </c>
      <c r="G11960" s="8" t="n">
        <f aca="false">Sens!G11958/Sens!G11959</f>
        <v>19.939313681859</v>
      </c>
      <c r="H11960" s="8" t="n">
        <f aca="false">Sens!H11958/Sens!H11959</f>
        <v>20.2504678002242</v>
      </c>
      <c r="I11960" s="8" t="n">
        <f aca="false">Sens!I11958/Sens!I11959</f>
        <v>21.4186259415189</v>
      </c>
      <c r="J11960" s="8" t="n">
        <f aca="false">Sens!J11958/Sens!J11959</f>
        <v>22.7398086880532</v>
      </c>
      <c r="K11960" s="8" t="n">
        <f aca="false">Sens!K11958/Sens!K11959</f>
        <v>24.2073810382255</v>
      </c>
      <c r="L11960" s="1" t="s">
        <v>918</v>
      </c>
    </row>
    <row r="11961" customFormat="false" ht="17.15" hidden="false" customHeight="false" outlineLevel="0" collapsed="false">
      <c r="A11961" s="1" t="s">
        <v>919</v>
      </c>
      <c r="B11961" s="0" t="s">
        <v>98</v>
      </c>
      <c r="D11961" s="6" t="n">
        <f aca="false">Sens!D11958</f>
        <v>101.832</v>
      </c>
      <c r="E11961" s="6" t="n">
        <f aca="false">Sens!E11958</f>
        <v>133.749</v>
      </c>
      <c r="F11961" s="6" t="n">
        <f aca="false">Sens!F11958+Sens!F11951*(1-tax_f)</f>
        <v>158.929338442859</v>
      </c>
      <c r="G11961" s="6" t="n">
        <f aca="false">Sens!G11958+Sens!G11951*(1-tax_f)</f>
        <v>179.861935935349</v>
      </c>
      <c r="H11961" s="6" t="n">
        <f aca="false">Sens!H11958+Sens!H11951*(1-tax_f)</f>
        <v>197.467253730364</v>
      </c>
      <c r="I11961" s="6" t="n">
        <f aca="false">Sens!I11958+Sens!I11951*(1-tax_f)</f>
        <v>219.786823140334</v>
      </c>
      <c r="J11961" s="6" t="n">
        <f aca="false">Sens!J11958+Sens!J11951*(1-tax_f)</f>
        <v>239.266405656024</v>
      </c>
      <c r="K11961" s="6" t="n">
        <f aca="false">Sens!K11958+Sens!K11951*(1-tax_f)</f>
        <v>256.174209645774</v>
      </c>
    </row>
    <row r="11962" customFormat="false" ht="17.15" hidden="false" customHeight="false" outlineLevel="0" collapsed="false">
      <c r="A11962" s="0" t="s">
        <v>920</v>
      </c>
      <c r="B11962" s="0" t="s">
        <v>75</v>
      </c>
      <c r="D11962" s="8" t="n">
        <f aca="false">Sens!D11961/Sens!D11959</f>
        <v>13.641259209645</v>
      </c>
      <c r="E11962" s="8" t="n">
        <f aca="false">Sens!E11961/Sens!E11959</f>
        <v>17.9456594659869</v>
      </c>
      <c r="F11962" s="8" t="n">
        <f aca="false">Sens!F11961/Sens!F11959</f>
        <v>21.2657173269363</v>
      </c>
      <c r="G11962" s="8" t="n">
        <f aca="false">Sens!G11961/Sens!G11959</f>
        <v>23.9225824214071</v>
      </c>
      <c r="H11962" s="8" t="n">
        <f aca="false">Sens!H11961/Sens!H11959</f>
        <v>26.1437195152167</v>
      </c>
      <c r="I11962" s="8" t="n">
        <f aca="false">Sens!I11961/Sens!I11959</f>
        <v>29.0269654322622</v>
      </c>
      <c r="J11962" s="8" t="n">
        <f aca="false">Sens!J11961/Sens!J11959</f>
        <v>31.5402862459329</v>
      </c>
      <c r="K11962" s="8" t="n">
        <f aca="false">Sens!K11961/Sens!K11959</f>
        <v>33.6957082140652</v>
      </c>
      <c r="L11962" s="1" t="s">
        <v>921</v>
      </c>
    </row>
    <row r="11963" customFormat="false" ht="17.15" hidden="false" customHeight="false" outlineLevel="0" collapsed="false">
      <c r="A11963" s="0" t="s">
        <v>922</v>
      </c>
      <c r="B11963" s="0" t="s">
        <v>129</v>
      </c>
      <c r="E11963" s="7" t="n">
        <f aca="false">Sens!E11962/Sens!D11962-1</f>
        <v>0.315542736208578</v>
      </c>
      <c r="F11963" s="7" t="n">
        <f aca="false">Sens!F11962/Sens!E11962-1</f>
        <v>0.185006177523993</v>
      </c>
      <c r="G11963" s="7" t="n">
        <f aca="false">Sens!G11962/Sens!F11962-1</f>
        <v>0.124936537697009</v>
      </c>
      <c r="H11963" s="7" t="n">
        <f aca="false">Sens!H11962/Sens!G11962-1</f>
        <v>0.0928468780954883</v>
      </c>
      <c r="I11963" s="7" t="n">
        <f aca="false">Sens!I11962/Sens!H11962-1</f>
        <v>0.11028445724287</v>
      </c>
      <c r="J11963" s="7" t="n">
        <f aca="false">Sens!J11962/Sens!I11962-1</f>
        <v>0.0865857238689252</v>
      </c>
      <c r="K11963" s="7" t="n">
        <f aca="false">Sens!K11962/Sens!J11962-1</f>
        <v>0.0683386939270478</v>
      </c>
    </row>
    <row r="11964" customFormat="false" ht="17.15" hidden="false" customHeight="false" outlineLevel="0" collapsed="false">
      <c r="A11964" s="0" t="s">
        <v>846</v>
      </c>
      <c r="B11964" s="0" t="s">
        <v>98</v>
      </c>
      <c r="E11964" s="6" t="n">
        <f aca="false">Sens!E11905</f>
        <v>5.25</v>
      </c>
      <c r="F11964" s="6" t="n">
        <f aca="false">Sens!F11905</f>
        <v>10.5</v>
      </c>
      <c r="G11964" s="6" t="n">
        <f aca="false">Sens!G11905</f>
        <v>13.5</v>
      </c>
      <c r="H11964" s="6" t="n">
        <f aca="false">Sens!H11905</f>
        <v>16.5</v>
      </c>
      <c r="I11964" s="6" t="n">
        <f aca="false">Sens!I11905</f>
        <v>18.75</v>
      </c>
      <c r="J11964" s="6" t="n">
        <f aca="false">Sens!J11905</f>
        <v>20.25</v>
      </c>
      <c r="K11964" s="6" t="n">
        <f aca="false">Sens!K11905</f>
        <v>21.75</v>
      </c>
    </row>
    <row r="11965" customFormat="false" ht="17.15" hidden="false" customHeight="false" outlineLevel="0" collapsed="false">
      <c r="A11965" s="1" t="s">
        <v>847</v>
      </c>
      <c r="B11965" s="0" t="s">
        <v>98</v>
      </c>
      <c r="F11965" s="6" t="n">
        <f aca="false">MAX(0,(Sens!E11868+Sens!F11868)/2*Sens!F11876/1000-Sens!F11964*Sens!F11944)</f>
        <v>20.5822544923746</v>
      </c>
      <c r="G11965" s="6" t="n">
        <f aca="false">MAX(0,(Sens!F11868+Sens!G11868)/2*Sens!G11876/1000-Sens!G11964*Sens!G11944)</f>
        <v>37.4352575228648</v>
      </c>
      <c r="H11965" s="6" t="n">
        <f aca="false">MAX(0,(Sens!G11868+Sens!H11868)/2*Sens!H11876/1000-Sens!H11964*Sens!H11944)</f>
        <v>55.6407166463052</v>
      </c>
      <c r="I11965" s="6" t="n">
        <f aca="false">MAX(0,(Sens!H11868+Sens!I11868)/2*Sens!I11876/1000-Sens!I11964*Sens!I11944)</f>
        <v>72.011177414753</v>
      </c>
      <c r="J11965" s="6" t="n">
        <f aca="false">MAX(0,(Sens!I11868+Sens!J11868)/2*Sens!J11876/1000-Sens!J11964*Sens!J11944)</f>
        <v>83.4511542203386</v>
      </c>
      <c r="K11965" s="6" t="n">
        <f aca="false">MAX(0,(Sens!J11868+Sens!K11868)/2*Sens!K11876/1000-Sens!K11964*Sens!K11944)</f>
        <v>90.1696701138278</v>
      </c>
      <c r="L11965" s="1" t="s">
        <v>848</v>
      </c>
    </row>
    <row r="11966" customFormat="false" ht="17.15" hidden="false" customHeight="false" outlineLevel="0" collapsed="false">
      <c r="A11966" s="1" t="s">
        <v>849</v>
      </c>
      <c r="B11966" s="0" t="s">
        <v>98</v>
      </c>
      <c r="F11966" s="6" t="n">
        <f aca="false">IF(internal_ai_reading=2,1,0)*Sens!F11965</f>
        <v>20.5822544923746</v>
      </c>
      <c r="G11966" s="6" t="n">
        <f aca="false">IF(internal_ai_reading=2,1,0)*Sens!G11965</f>
        <v>37.4352575228648</v>
      </c>
      <c r="H11966" s="6" t="n">
        <f aca="false">IF(internal_ai_reading=2,1,0)*Sens!H11965</f>
        <v>55.6407166463052</v>
      </c>
      <c r="I11966" s="6" t="n">
        <f aca="false">IF(internal_ai_reading=2,1,0)*Sens!I11965</f>
        <v>72.011177414753</v>
      </c>
      <c r="J11966" s="6" t="n">
        <f aca="false">IF(internal_ai_reading=2,1,0)*Sens!J11965</f>
        <v>83.4511542203386</v>
      </c>
      <c r="K11966" s="6" t="n">
        <f aca="false">IF(internal_ai_reading=2,1,0)*Sens!K11965</f>
        <v>90.1696701138278</v>
      </c>
    </row>
    <row r="11967" customFormat="false" ht="17.15" hidden="false" customHeight="false" outlineLevel="0" collapsed="false">
      <c r="A11967" s="0" t="s">
        <v>850</v>
      </c>
      <c r="B11967" s="0" t="s">
        <v>98</v>
      </c>
      <c r="F11967" s="6" t="n">
        <f aca="false">Sens!F11885+Sens!F11964*Sens!F11944+Sens!F11966-Sens!F11886-Sens!F11896</f>
        <v>20.5586862327591</v>
      </c>
      <c r="G11967" s="6" t="n">
        <f aca="false">Sens!G11885+Sens!G11964*Sens!G11944+Sens!G11966-Sens!G11886-Sens!G11896</f>
        <v>26.3473144965041</v>
      </c>
      <c r="H11967" s="6" t="n">
        <f aca="false">Sens!H11885+Sens!H11964*Sens!H11944+Sens!H11966-Sens!H11886-Sens!H11896</f>
        <v>27.6404362916746</v>
      </c>
      <c r="I11967" s="6" t="n">
        <f aca="false">Sens!I11885+Sens!I11964*Sens!I11944+Sens!I11966-Sens!I11886-Sens!I11896</f>
        <v>35.206534566157</v>
      </c>
      <c r="J11967" s="6" t="n">
        <f aca="false">Sens!J11885+Sens!J11964*Sens!J11944+Sens!J11966-Sens!J11886-Sens!J11896</f>
        <v>40.399044621423</v>
      </c>
      <c r="K11967" s="6" t="n">
        <f aca="false">Sens!K11885+Sens!K11964*Sens!K11944+Sens!K11966-Sens!K11886-Sens!K11896</f>
        <v>44.3725097634843</v>
      </c>
    </row>
    <row r="11968" customFormat="false" ht="17.15" hidden="false" customHeight="false" outlineLevel="0" collapsed="false">
      <c r="A11968" s="0" t="s">
        <v>851</v>
      </c>
      <c r="B11968" s="0" t="s">
        <v>98</v>
      </c>
      <c r="E11968" s="6" t="n">
        <f aca="false">Sens!E11867*(cxit_open+self_build*tk_cxfac)/1000*ai_net_open</f>
        <v>126.6980382</v>
      </c>
      <c r="F11968" s="6" t="n">
        <f aca="false">Sens!E11968+Sens!F11893-Sens!F11896</f>
        <v>260.715655514568</v>
      </c>
      <c r="G11968" s="6" t="n">
        <f aca="false">Sens!F11968+Sens!G11893-Sens!G11896</f>
        <v>383.758102737428</v>
      </c>
      <c r="H11968" s="6" t="n">
        <f aca="false">Sens!G11968+Sens!H11893-Sens!H11896</f>
        <v>484.071072654689</v>
      </c>
      <c r="I11968" s="6" t="n">
        <f aca="false">Sens!H11968+Sens!I11893-Sens!I11896</f>
        <v>535.765701826713</v>
      </c>
      <c r="J11968" s="6" t="n">
        <f aca="false">Sens!I11968+Sens!J11893-Sens!J11896</f>
        <v>531.069467622138</v>
      </c>
      <c r="K11968" s="6" t="n">
        <f aca="false">Sens!J11968+Sens!K11893-Sens!K11896</f>
        <v>506.3562564596</v>
      </c>
      <c r="L11968" s="1" t="s">
        <v>852</v>
      </c>
    </row>
    <row r="11969" customFormat="false" ht="17.15" hidden="false" customHeight="false" outlineLevel="0" collapsed="false">
      <c r="A11969" s="0" t="s">
        <v>853</v>
      </c>
      <c r="B11969" s="0" t="s">
        <v>129</v>
      </c>
      <c r="F11969" s="7" t="n">
        <f aca="false">Sens!F11967*(1-tax_f)/((Sens!E11968+Sens!F11968)/2)</f>
        <v>0.0849063894903249</v>
      </c>
      <c r="G11969" s="7" t="n">
        <f aca="false">Sens!G11967*(1-tax_f)/((Sens!F11968+Sens!G11968)/2)</f>
        <v>0.0654110468496738</v>
      </c>
      <c r="H11969" s="7" t="n">
        <f aca="false">Sens!H11967*(1-tax_f)/((Sens!G11968+Sens!H11968)/2)</f>
        <v>0.0509601420656284</v>
      </c>
      <c r="I11969" s="7" t="n">
        <f aca="false">Sens!I11967*(1-tax_f)/((Sens!H11968+Sens!I11968)/2)</f>
        <v>0.0552347755203238</v>
      </c>
      <c r="J11969" s="7" t="n">
        <f aca="false">Sens!J11967*(1-tax_f)/((Sens!I11968+Sens!J11968)/2)</f>
        <v>0.0605889956062007</v>
      </c>
      <c r="K11969" s="7" t="n">
        <f aca="false">Sens!K11967*(1-tax_f)/((Sens!J11968+Sens!K11968)/2)</f>
        <v>0.068434793907213</v>
      </c>
    </row>
    <row r="11970" customFormat="false" ht="17.15" hidden="false" customHeight="false" outlineLevel="0" collapsed="false">
      <c r="A11970" s="1" t="s">
        <v>854</v>
      </c>
      <c r="B11970" s="0" t="s">
        <v>129</v>
      </c>
      <c r="F11970" s="7" t="n">
        <f aca="false">(Sens!F11967-Sens!F11966)*(1-tax_f)/((Sens!E11968+Sens!F11968)/2)</f>
        <v>-9.7335783418692E-005</v>
      </c>
      <c r="G11970" s="7" t="n">
        <f aca="false">(Sens!G11967-Sens!G11966)*(1-tax_f)/((Sens!F11968+Sens!G11968)/2)</f>
        <v>-0.0275274339955983</v>
      </c>
      <c r="H11970" s="7" t="n">
        <f aca="false">(Sens!H11967-Sens!H11966)*(1-tax_f)/((Sens!G11968+Sens!H11968)/2)</f>
        <v>-0.0516235796603249</v>
      </c>
      <c r="I11970" s="7" t="n">
        <f aca="false">(Sens!I11967-Sens!I11966)*(1-tax_f)/((Sens!H11968+Sens!I11968)/2)</f>
        <v>-0.057742013262562</v>
      </c>
      <c r="J11970" s="7" t="n">
        <f aca="false">(Sens!J11967-Sens!J11966)*(1-tax_f)/((Sens!I11968+Sens!J11968)/2)</f>
        <v>-0.0645679645093175</v>
      </c>
      <c r="K11970" s="7" t="n">
        <f aca="false">(Sens!K11967-Sens!K11966)*(1-tax_f)/((Sens!J11968+Sens!K11968)/2)</f>
        <v>-0.0706320027155758</v>
      </c>
    </row>
    <row r="11971" customFormat="false" ht="17.15" hidden="false" customHeight="false" outlineLevel="0" collapsed="false">
      <c r="A11971" s="1" t="s">
        <v>855</v>
      </c>
      <c r="B11971" s="0" t="s">
        <v>129</v>
      </c>
      <c r="F11971" s="7" t="n">
        <f aca="false">(Sens!F11967-Sens!F11966+Sens!F11965)*(1-tax_f)/((Sens!E11968+Sens!F11968)/2)</f>
        <v>0.0849063894903249</v>
      </c>
      <c r="G11971" s="7" t="n">
        <f aca="false">(Sens!G11967-Sens!G11966+Sens!G11965)*(1-tax_f)/((Sens!F11968+Sens!G11968)/2)</f>
        <v>0.0654110468496738</v>
      </c>
      <c r="H11971" s="7" t="n">
        <f aca="false">(Sens!H11967-Sens!H11966+Sens!H11965)*(1-tax_f)/((Sens!G11968+Sens!H11968)/2)</f>
        <v>0.0509601420656284</v>
      </c>
      <c r="I11971" s="7" t="n">
        <f aca="false">(Sens!I11967-Sens!I11966+Sens!I11965)*(1-tax_f)/((Sens!H11968+Sens!I11968)/2)</f>
        <v>0.0552347755203238</v>
      </c>
      <c r="J11971" s="7" t="n">
        <f aca="false">(Sens!J11967-Sens!J11966+Sens!J11965)*(1-tax_f)/((Sens!I11968+Sens!J11968)/2)</f>
        <v>0.0605889956062007</v>
      </c>
      <c r="K11971" s="7" t="n">
        <f aca="false">(Sens!K11967-Sens!K11966+Sens!K11965)*(1-tax_f)/((Sens!J11968+Sens!K11968)/2)</f>
        <v>0.068434793907213</v>
      </c>
    </row>
    <row r="11972" customFormat="false" ht="17.15" hidden="false" customHeight="false" outlineLevel="0" collapsed="false">
      <c r="A11972" s="1" t="s">
        <v>856</v>
      </c>
      <c r="B11972" s="0" t="s">
        <v>129</v>
      </c>
      <c r="F11972" s="7" t="n">
        <f aca="false">Sens!F11897*(1-tax_f)/(Sens!F11884*(Sens!E11968+Sens!F11968)/2)</f>
        <v>0.0977802249085266</v>
      </c>
      <c r="G11972" s="7" t="n">
        <f aca="false">Sens!G11897*(1-tax_f)/(Sens!G11884*(Sens!F11968+Sens!G11968)/2)</f>
        <v>0.0659202727231561</v>
      </c>
      <c r="H11972" s="7" t="n">
        <f aca="false">Sens!H11897*(1-tax_f)/(Sens!H11884*(Sens!G11968+Sens!H11968)/2)</f>
        <v>0.0387765414760463</v>
      </c>
      <c r="I11972" s="7" t="n">
        <f aca="false">Sens!I11897*(1-tax_f)/(Sens!I11884*(Sens!H11968+Sens!I11968)/2)</f>
        <v>0.0420016903333455</v>
      </c>
      <c r="J11972" s="7" t="n">
        <f aca="false">Sens!J11897*(1-tax_f)/(Sens!J11884*(Sens!I11968+Sens!J11968)/2)</f>
        <v>0.0460485953555435</v>
      </c>
      <c r="K11972" s="7" t="n">
        <f aca="false">Sens!K11897*(1-tax_f)/(Sens!K11884*(Sens!J11968+Sens!K11968)/2)</f>
        <v>0.0523848598274153</v>
      </c>
    </row>
    <row r="11973" customFormat="false" ht="17.15" hidden="false" customHeight="false" outlineLevel="0" collapsed="false">
      <c r="A11973" s="0" t="s">
        <v>857</v>
      </c>
      <c r="B11973" s="0" t="s">
        <v>209</v>
      </c>
      <c r="F11973" s="7" t="n">
        <f aca="false">Sens!F11969-wacc</f>
        <v>-0.0180280306025508</v>
      </c>
      <c r="G11973" s="7" t="n">
        <f aca="false">Sens!G11969-wacc</f>
        <v>-0.037523373243202</v>
      </c>
      <c r="H11973" s="7" t="n">
        <f aca="false">Sens!H11969-wacc</f>
        <v>-0.0519742780272474</v>
      </c>
      <c r="I11973" s="7" t="n">
        <f aca="false">Sens!I11969-wacc</f>
        <v>-0.047699644572552</v>
      </c>
      <c r="J11973" s="7" t="n">
        <f aca="false">Sens!J11969-wacc</f>
        <v>-0.042345424486675</v>
      </c>
      <c r="K11973" s="7" t="n">
        <f aca="false">Sens!K11969-wacc</f>
        <v>-0.0344996261856627</v>
      </c>
    </row>
    <row r="11974" customFormat="false" ht="17.15" hidden="false" customHeight="false" outlineLevel="0" collapsed="false">
      <c r="A11974" s="0" t="s">
        <v>858</v>
      </c>
      <c r="B11974" s="0" t="s">
        <v>98</v>
      </c>
      <c r="F11974" s="6" t="n">
        <f aca="false">Sens!F11967*(1-tax_f)-wacc*(Sens!E11968+Sens!F11968)/2</f>
        <v>-3.49215296306674</v>
      </c>
      <c r="G11974" s="6" t="n">
        <f aca="false">Sens!G11967*(1-tax_f)-wacc*(Sens!F11968+Sens!G11968)/2</f>
        <v>-12.0914146881694</v>
      </c>
      <c r="H11974" s="6" t="n">
        <f aca="false">Sens!H11967*(1-tax_f)-wacc*(Sens!G11968+Sens!H11968)/2</f>
        <v>-22.5523974209934</v>
      </c>
      <c r="I11974" s="6" t="n">
        <f aca="false">Sens!I11967*(1-tax_f)-wacc*(Sens!H11968+Sens!I11968)/2</f>
        <v>-24.3229258323903</v>
      </c>
      <c r="J11974" s="6" t="n">
        <f aca="false">Sens!J11967*(1-tax_f)-wacc*(Sens!I11968+Sens!J11968)/2</f>
        <v>-22.5877940538127</v>
      </c>
      <c r="K11974" s="6" t="n">
        <f aca="false">Sens!K11967*(1-tax_f)-wacc*(Sens!J11968+Sens!K11968)/2</f>
        <v>-17.8953998381052</v>
      </c>
    </row>
    <row r="11975" customFormat="false" ht="17.15" hidden="false" customHeight="false" outlineLevel="0" collapsed="false">
      <c r="A11975" s="3" t="s">
        <v>1547</v>
      </c>
    </row>
    <row r="11976" customFormat="false" ht="15" hidden="false" customHeight="false" outlineLevel="0" collapsed="false">
      <c r="A11976" s="4" t="s">
        <v>43</v>
      </c>
      <c r="B11976" s="4" t="s">
        <v>65</v>
      </c>
      <c r="C11976" s="20" t="s">
        <v>788</v>
      </c>
      <c r="D11976" s="20" t="s">
        <v>789</v>
      </c>
      <c r="E11976" s="20" t="s">
        <v>790</v>
      </c>
      <c r="F11976" s="20" t="s">
        <v>791</v>
      </c>
      <c r="G11976" s="20" t="s">
        <v>792</v>
      </c>
      <c r="H11976" s="20" t="s">
        <v>793</v>
      </c>
      <c r="I11976" s="20" t="s">
        <v>794</v>
      </c>
      <c r="J11976" s="20" t="s">
        <v>795</v>
      </c>
      <c r="K11976" s="20" t="s">
        <v>796</v>
      </c>
      <c r="L11976" s="4" t="s">
        <v>47</v>
      </c>
    </row>
    <row r="11977" customFormat="false" ht="15" hidden="false" customHeight="false" outlineLevel="0" collapsed="false">
      <c r="A11977" s="1" t="s">
        <v>915</v>
      </c>
      <c r="B11977" s="0" t="s">
        <v>98</v>
      </c>
      <c r="F11977" s="6" t="n">
        <f aca="false">Sens!F11958</f>
        <v>142.463534848959</v>
      </c>
      <c r="G11977" s="6" t="n">
        <f aca="false">Sens!G11958</f>
        <v>149.913729917057</v>
      </c>
      <c r="H11977" s="6" t="n">
        <f aca="false">Sens!H11958</f>
        <v>152.95468041332</v>
      </c>
      <c r="I11977" s="6" t="n">
        <f aca="false">Sens!I11958</f>
        <v>162.177881208531</v>
      </c>
      <c r="J11977" s="6" t="n">
        <f aca="false">Sens!J11958</f>
        <v>172.505482279753</v>
      </c>
      <c r="K11977" s="6" t="n">
        <f aca="false">Sens!K11958</f>
        <v>184.038473554712</v>
      </c>
    </row>
    <row r="11978" customFormat="false" ht="17.15" hidden="false" customHeight="false" outlineLevel="0" collapsed="false">
      <c r="A11978" s="1" t="s">
        <v>937</v>
      </c>
      <c r="B11978" s="0" t="s">
        <v>98</v>
      </c>
      <c r="E11978" s="6" t="n">
        <f aca="false">Q!M38-Sens!E11896</f>
        <v>22.2285940229167</v>
      </c>
      <c r="F11978" s="6" t="n">
        <f aca="false">Sens!E11978*(1-1/life_nonai)+Sens!F11984/life_nonai</f>
        <v>23.5486693435813</v>
      </c>
      <c r="G11978" s="6" t="n">
        <f aca="false">Sens!F11978*(1-1/life_nonai)+Sens!G11984/life_nonai</f>
        <v>25.264091766262</v>
      </c>
      <c r="H11978" s="6" t="n">
        <f aca="false">Sens!G11978*(1-1/life_nonai)+Sens!H11984/life_nonai</f>
        <v>27.3438339540448</v>
      </c>
      <c r="I11978" s="6" t="n">
        <f aca="false">Sens!H11978*(1-1/life_nonai)+Sens!I11984/life_nonai</f>
        <v>29.7317905898047</v>
      </c>
      <c r="J11978" s="6" t="n">
        <f aca="false">Sens!I11978*(1-1/life_nonai)+Sens!J11984/life_nonai</f>
        <v>32.3542028558616</v>
      </c>
      <c r="K11978" s="6" t="n">
        <f aca="false">Sens!J11978*(1-1/life_nonai)+Sens!K11984/life_nonai</f>
        <v>35.1281528444749</v>
      </c>
      <c r="L11978" s="11" t="s">
        <v>938</v>
      </c>
    </row>
    <row r="11979" customFormat="false" ht="17.15" hidden="false" customHeight="false" outlineLevel="0" collapsed="false">
      <c r="A11979" s="1" t="s">
        <v>939</v>
      </c>
      <c r="B11979" s="0" t="s">
        <v>98</v>
      </c>
      <c r="E11979" s="6" t="n">
        <f aca="false">Sens!E11896+Sens!E11978</f>
        <v>38.534</v>
      </c>
      <c r="F11979" s="6" t="n">
        <f aca="false">Sens!F11896+Sens!F11978</f>
        <v>58.301704799451</v>
      </c>
      <c r="G11979" s="6" t="n">
        <f aca="false">Sens!G11896+Sens!G11978</f>
        <v>85.7958250266017</v>
      </c>
      <c r="H11979" s="6" t="n">
        <f aca="false">Sens!H11896+Sens!H11978</f>
        <v>115.111149947184</v>
      </c>
      <c r="I11979" s="6" t="n">
        <f aca="false">Sens!I11896+Sens!I11978</f>
        <v>141.743830572026</v>
      </c>
      <c r="J11979" s="6" t="n">
        <f aca="false">Sens!J11896+Sens!J11978</f>
        <v>161.562913778527</v>
      </c>
      <c r="K11979" s="6" t="n">
        <f aca="false">Sens!K11896+Sens!K11978</f>
        <v>174.800799648948</v>
      </c>
    </row>
    <row r="11980" customFormat="false" ht="17.15" hidden="false" customHeight="false" outlineLevel="0" collapsed="false">
      <c r="A11980" s="1" t="s">
        <v>940</v>
      </c>
      <c r="B11980" s="0" t="s">
        <v>98</v>
      </c>
      <c r="F11980" s="6" t="n">
        <f aca="false">Sens!F11923*sbc_r</f>
        <v>14.7102349124428</v>
      </c>
      <c r="G11980" s="6" t="n">
        <f aca="false">Sens!G11923*sbc_r</f>
        <v>17.061233875013</v>
      </c>
      <c r="H11980" s="6" t="n">
        <f aca="false">Sens!H11923*sbc_r</f>
        <v>19.2644849659525</v>
      </c>
      <c r="I11980" s="6" t="n">
        <f aca="false">Sens!I11923*sbc_r</f>
        <v>21.5744080153289</v>
      </c>
      <c r="J11980" s="6" t="n">
        <f aca="false">Sens!J11923*sbc_r</f>
        <v>23.5181093264201</v>
      </c>
      <c r="K11980" s="6" t="n">
        <f aca="false">Sens!K11923*sbc_r</f>
        <v>25.1065659025522</v>
      </c>
    </row>
    <row r="11981" customFormat="false" ht="17.15" hidden="false" customHeight="false" outlineLevel="0" collapsed="false">
      <c r="A11981" s="1" t="s">
        <v>941</v>
      </c>
      <c r="B11981" s="0" t="s">
        <v>98</v>
      </c>
      <c r="F11981" s="6" t="n">
        <f aca="false">wc27</f>
        <v>-4.895</v>
      </c>
      <c r="G11981" s="6" t="n">
        <f aca="false">wc_f</f>
        <v>0</v>
      </c>
      <c r="H11981" s="6" t="n">
        <f aca="false">wc_f</f>
        <v>0</v>
      </c>
      <c r="I11981" s="6" t="n">
        <f aca="false">wc_f</f>
        <v>0</v>
      </c>
      <c r="J11981" s="6" t="n">
        <f aca="false">wc_f</f>
        <v>0</v>
      </c>
      <c r="K11981" s="6" t="n">
        <f aca="false">wc_f</f>
        <v>0</v>
      </c>
      <c r="L11981" s="11" t="s">
        <v>942</v>
      </c>
    </row>
    <row r="11982" customFormat="false" ht="15" hidden="false" customHeight="false" outlineLevel="0" collapsed="false">
      <c r="A11982" s="1" t="s">
        <v>756</v>
      </c>
      <c r="B11982" s="0" t="s">
        <v>98</v>
      </c>
      <c r="E11982" s="6" t="n">
        <f aca="false">Q!M35</f>
        <v>182.935</v>
      </c>
      <c r="F11982" s="6" t="n">
        <f aca="false">Sens!F11977+Sens!F11979+Sens!F11980+Sens!F11981</f>
        <v>210.580474560853</v>
      </c>
      <c r="G11982" s="6" t="n">
        <f aca="false">Sens!G11977+Sens!G11979+Sens!G11980+Sens!G11981</f>
        <v>252.770788818672</v>
      </c>
      <c r="H11982" s="6" t="n">
        <f aca="false">Sens!H11977+Sens!H11979+Sens!H11980+Sens!H11981</f>
        <v>287.330315326457</v>
      </c>
      <c r="I11982" s="6" t="n">
        <f aca="false">Sens!I11977+Sens!I11979+Sens!I11980+Sens!I11981</f>
        <v>325.496119795886</v>
      </c>
      <c r="J11982" s="6" t="n">
        <f aca="false">Sens!J11977+Sens!J11979+Sens!J11980+Sens!J11981</f>
        <v>357.5865053847</v>
      </c>
      <c r="K11982" s="6" t="n">
        <f aca="false">Sens!K11977+Sens!K11979+Sens!K11980+Sens!K11981</f>
        <v>383.945839106212</v>
      </c>
    </row>
    <row r="11983" customFormat="false" ht="17.15" hidden="false" customHeight="false" outlineLevel="0" collapsed="false">
      <c r="A11983" s="0" t="s">
        <v>943</v>
      </c>
      <c r="B11983" s="0" t="s">
        <v>98</v>
      </c>
      <c r="F11983" s="6" t="n">
        <f aca="false">Sens!F11893</f>
        <v>168.770652770438</v>
      </c>
      <c r="G11983" s="6" t="n">
        <f aca="false">Sens!G11893</f>
        <v>183.5741804832</v>
      </c>
      <c r="H11983" s="6" t="n">
        <f aca="false">Sens!H11893</f>
        <v>188.0802859104</v>
      </c>
      <c r="I11983" s="6" t="n">
        <f aca="false">Sens!I11893</f>
        <v>163.706669154245</v>
      </c>
      <c r="J11983" s="6" t="n">
        <f aca="false">Sens!J11893</f>
        <v>124.51247671809</v>
      </c>
      <c r="K11983" s="6" t="n">
        <f aca="false">Sens!K11893</f>
        <v>114.959435641936</v>
      </c>
    </row>
    <row r="11984" customFormat="false" ht="17.15" hidden="false" customHeight="false" outlineLevel="0" collapsed="false">
      <c r="A11984" s="1" t="s">
        <v>944</v>
      </c>
      <c r="B11984" s="0" t="s">
        <v>98</v>
      </c>
      <c r="E11984" s="6" t="n">
        <f aca="false">Sens!E11901*cx_azo+Sens!E11908*cx_m365+Sens!E11909*cx_lic+(Sens!E11911+Sens!E11913)*cx_ind+Sens!E11916*cx_srch+(Sens!E11918+Sens!E11920)*cx_dev</f>
        <v>30.1846587067718</v>
      </c>
      <c r="F11984" s="6" t="n">
        <f aca="false">Sens!F11901*cx_azo+Sens!F11908*cx_m365+Sens!F11909*cx_lic+(Sens!F11911+Sens!F11913)*cx_ind+Sens!F11916*cx_srch+(Sens!F11918+Sens!F11920)*cx_dev</f>
        <v>35.4293472295625</v>
      </c>
      <c r="G11984" s="6" t="n">
        <f aca="false">Sens!G11901*cx_azo+Sens!G11908*cx_m365+Sens!G11909*cx_lic+(Sens!G11911+Sens!G11913)*cx_ind+Sens!G11916*cx_srch+(Sens!G11918+Sens!G11920)*cx_dev</f>
        <v>40.7028935703892</v>
      </c>
      <c r="H11984" s="6" t="n">
        <f aca="false">Sens!H11901*cx_azo+Sens!H11908*cx_m365+Sens!H11909*cx_lic+(Sens!H11911+Sens!H11913)*cx_ind+Sens!H11916*cx_srch+(Sens!H11918+Sens!H11920)*cx_dev</f>
        <v>46.0615136440897</v>
      </c>
      <c r="I11984" s="6" t="n">
        <f aca="false">Sens!I11901*cx_azo+Sens!I11908*cx_m365+Sens!I11909*cx_lic+(Sens!I11911+Sens!I11913)*cx_ind+Sens!I11916*cx_srch+(Sens!I11918+Sens!I11920)*cx_dev</f>
        <v>51.2234003116439</v>
      </c>
      <c r="J11984" s="6" t="n">
        <f aca="false">Sens!J11901*cx_azo+Sens!J11908*cx_m365+Sens!J11909*cx_lic+(Sens!J11911+Sens!J11913)*cx_ind+Sens!J11916*cx_srch+(Sens!J11918+Sens!J11920)*cx_dev</f>
        <v>55.9559132503738</v>
      </c>
      <c r="K11984" s="6" t="n">
        <f aca="false">Sens!K11901*cx_azo+Sens!K11908*cx_m365+Sens!K11909*cx_lic+(Sens!K11911+Sens!K11913)*cx_ind+Sens!K11916*cx_srch+(Sens!K11918+Sens!K11920)*cx_dev</f>
        <v>60.093702741994</v>
      </c>
    </row>
    <row r="11985" customFormat="false" ht="17.15" hidden="false" customHeight="false" outlineLevel="0" collapsed="false">
      <c r="A11985" s="1" t="s">
        <v>945</v>
      </c>
      <c r="B11985" s="0" t="s">
        <v>98</v>
      </c>
      <c r="E11985" s="6" t="n">
        <f aca="false">Q!M42</f>
        <v>145.3</v>
      </c>
      <c r="F11985" s="6" t="n">
        <f aca="false">Sens!F11983+Sens!F11984</f>
        <v>204.2</v>
      </c>
      <c r="G11985" s="6" t="n">
        <f aca="false">Sens!G11983+Sens!G11984</f>
        <v>224.277074053589</v>
      </c>
      <c r="H11985" s="6" t="n">
        <f aca="false">Sens!H11983+Sens!H11984</f>
        <v>234.14179955449</v>
      </c>
      <c r="I11985" s="6" t="n">
        <f aca="false">Sens!I11983+Sens!I11984</f>
        <v>214.930069465889</v>
      </c>
      <c r="J11985" s="6" t="n">
        <f aca="false">Sens!J11983+Sens!J11984</f>
        <v>180.468389968464</v>
      </c>
      <c r="K11985" s="6" t="n">
        <f aca="false">Sens!K11983+Sens!K11984</f>
        <v>175.05313838393</v>
      </c>
      <c r="L11985" s="1" t="s">
        <v>946</v>
      </c>
    </row>
    <row r="11986" customFormat="false" ht="15" hidden="false" customHeight="false" outlineLevel="0" collapsed="false">
      <c r="A11986" s="1" t="s">
        <v>947</v>
      </c>
      <c r="B11986" s="0" t="s">
        <v>98</v>
      </c>
      <c r="E11986" s="6" t="n">
        <f aca="false">fl_liab</f>
        <v>66.594</v>
      </c>
      <c r="F11986" s="6" t="n">
        <f aca="false">Sens!E11986-Sens!F11987</f>
        <v>62.46973</v>
      </c>
      <c r="G11986" s="6" t="n">
        <f aca="false">Sens!F11986-Sens!G11987</f>
        <v>57.98686785</v>
      </c>
      <c r="H11986" s="6" t="n">
        <f aca="false">Sens!G11986-Sens!H11987</f>
        <v>53.92827690325</v>
      </c>
      <c r="I11986" s="6" t="n">
        <f aca="false">Sens!H11986-Sens!I11987</f>
        <v>49.7850493638962</v>
      </c>
      <c r="J11986" s="6" t="n">
        <f aca="false">Sens!I11986-Sens!J11987</f>
        <v>45.4823765852716</v>
      </c>
      <c r="K11986" s="6" t="n">
        <f aca="false">Sens!J11986-Sens!K11987</f>
        <v>40.9860835316088</v>
      </c>
    </row>
    <row r="11987" customFormat="false" ht="15" hidden="false" customHeight="false" outlineLevel="0" collapsed="false">
      <c r="A11987" s="1" t="s">
        <v>948</v>
      </c>
      <c r="B11987" s="0" t="s">
        <v>98</v>
      </c>
      <c r="F11987" s="6" t="n">
        <f aca="false">fl_pay_27-Sens!E11986*fl_rate</f>
        <v>4.12427</v>
      </c>
      <c r="G11987" s="6" t="n">
        <f aca="false">fl_pay_28-Sens!F11986*fl_rate</f>
        <v>4.48286215</v>
      </c>
      <c r="H11987" s="6" t="n">
        <f aca="false">fl_pay_29-Sens!G11986*fl_rate</f>
        <v>4.05859094675</v>
      </c>
      <c r="I11987" s="6" t="n">
        <f aca="false">fl_pay_30-Sens!H11986*fl_rate</f>
        <v>4.14322753935375</v>
      </c>
      <c r="J11987" s="6" t="n">
        <f aca="false">fl_pay_31-Sens!I11986*fl_rate</f>
        <v>4.30267277862467</v>
      </c>
      <c r="K11987" s="6" t="n">
        <f aca="false">fl_pay_32-Sens!J11986*fl_rate</f>
        <v>4.49629305366278</v>
      </c>
    </row>
    <row r="11988" customFormat="false" ht="17.15" hidden="false" customHeight="false" outlineLevel="0" collapsed="false">
      <c r="A11988" s="1" t="s">
        <v>949</v>
      </c>
      <c r="B11988" s="0" t="s">
        <v>98</v>
      </c>
      <c r="E11988" s="6" t="n">
        <f aca="false">Q!M35-Q!M36-Q!M43</f>
        <v>63.886</v>
      </c>
      <c r="F11988" s="6" t="n">
        <f aca="false">Sens!F11982-Sens!F11985-Sens!F11987</f>
        <v>2.25620456085283</v>
      </c>
      <c r="G11988" s="6" t="n">
        <f aca="false">Sens!G11982-Sens!G11985-Sens!G11987</f>
        <v>24.0108526150826</v>
      </c>
      <c r="H11988" s="6" t="n">
        <f aca="false">Sens!H11982-Sens!H11985-Sens!H11987</f>
        <v>49.1299248252172</v>
      </c>
      <c r="I11988" s="6" t="n">
        <f aca="false">Sens!I11982-Sens!I11985-Sens!I11987</f>
        <v>106.422822790643</v>
      </c>
      <c r="J11988" s="6" t="n">
        <f aca="false">Sens!J11982-Sens!J11985-Sens!J11987</f>
        <v>172.815442637611</v>
      </c>
      <c r="K11988" s="6" t="n">
        <f aca="false">Sens!K11982-Sens!K11985-Sens!K11987</f>
        <v>204.39640766862</v>
      </c>
      <c r="L11988" s="11" t="s">
        <v>950</v>
      </c>
    </row>
    <row r="11989" customFormat="false" ht="15" hidden="false" customHeight="false" outlineLevel="0" collapsed="false">
      <c r="A11989" s="1" t="s">
        <v>951</v>
      </c>
      <c r="B11989" s="0" t="s">
        <v>75</v>
      </c>
      <c r="F11989" s="8" t="n">
        <f aca="false">dps_27</f>
        <v>3.85</v>
      </c>
      <c r="G11989" s="8" t="n">
        <f aca="false">Sens!F11989*(1+dps_g)</f>
        <v>4.158</v>
      </c>
      <c r="H11989" s="8" t="n">
        <f aca="false">Sens!G11989*(1+dps_g)</f>
        <v>4.49064</v>
      </c>
      <c r="I11989" s="8" t="n">
        <f aca="false">Sens!H11989*(1+dps_g)</f>
        <v>4.8498912</v>
      </c>
      <c r="J11989" s="8" t="n">
        <f aca="false">Sens!I11989*(1+dps_g)</f>
        <v>5.237882496</v>
      </c>
      <c r="K11989" s="8" t="n">
        <f aca="false">Sens!J11989*(1+dps_g)</f>
        <v>5.65691309568</v>
      </c>
    </row>
    <row r="11990" customFormat="false" ht="17.15" hidden="false" customHeight="false" outlineLevel="0" collapsed="false">
      <c r="A11990" s="1" t="s">
        <v>952</v>
      </c>
      <c r="B11990" s="0" t="s">
        <v>98</v>
      </c>
      <c r="E11990" s="6" t="n">
        <f aca="false">Q!M41</f>
        <v>26.445</v>
      </c>
      <c r="F11990" s="6" t="n">
        <f aca="false">Sens!F11989*Sens!E11999</f>
        <v>28.59395</v>
      </c>
      <c r="G11990" s="6" t="n">
        <f aca="false">Sens!G11989*Sens!F11999</f>
        <v>31.068576</v>
      </c>
      <c r="H11990" s="6" t="n">
        <f aca="false">Sens!H11989*Sens!G11999</f>
        <v>33.75614088</v>
      </c>
      <c r="I11990" s="6" t="n">
        <f aca="false">Sens!I11989*Sens!H11999</f>
        <v>36.5744172314083</v>
      </c>
      <c r="J11990" s="6" t="n">
        <f aca="false">Sens!J11989*Sens!I11999</f>
        <v>39.5687694582405</v>
      </c>
      <c r="K11990" s="6" t="n">
        <f aca="false">Sens!K11989*Sens!J11999</f>
        <v>42.8215262402047</v>
      </c>
      <c r="L11990" s="1" t="s">
        <v>953</v>
      </c>
    </row>
    <row r="11991" customFormat="false" ht="15" hidden="false" customHeight="false" outlineLevel="0" collapsed="false">
      <c r="A11991" s="1" t="s">
        <v>954</v>
      </c>
      <c r="B11991" s="0" t="s">
        <v>98</v>
      </c>
      <c r="E11991" s="6" t="n">
        <f aca="false">Sens!E11988-Sens!E11990</f>
        <v>37.441</v>
      </c>
      <c r="F11991" s="6" t="n">
        <f aca="false">Sens!F11988-Sens!F11990</f>
        <v>-26.3377454391472</v>
      </c>
      <c r="G11991" s="6" t="n">
        <f aca="false">Sens!G11988-Sens!G11990</f>
        <v>-7.05772338491744</v>
      </c>
      <c r="H11991" s="6" t="n">
        <f aca="false">Sens!H11988-Sens!H11990</f>
        <v>15.3737839452172</v>
      </c>
      <c r="I11991" s="6" t="n">
        <f aca="false">Sens!I11988-Sens!I11990</f>
        <v>69.8484055592348</v>
      </c>
      <c r="J11991" s="6" t="n">
        <f aca="false">Sens!J11988-Sens!J11990</f>
        <v>133.246673179371</v>
      </c>
      <c r="K11991" s="6" t="n">
        <f aca="false">Sens!K11988-Sens!K11990</f>
        <v>161.574881428415</v>
      </c>
    </row>
    <row r="11992" customFormat="false" ht="15" hidden="false" customHeight="false" outlineLevel="0" collapsed="false">
      <c r="A11992" s="1" t="s">
        <v>955</v>
      </c>
      <c r="B11992" s="0" t="s">
        <v>98</v>
      </c>
      <c r="F11992" s="6" t="n">
        <f aca="false">debt_mat_27</f>
        <v>9.25</v>
      </c>
      <c r="G11992" s="6" t="n">
        <f aca="false">debt_mat_28</f>
        <v>0</v>
      </c>
      <c r="H11992" s="6" t="n">
        <f aca="false">debt_mat_29</f>
        <v>2.001</v>
      </c>
      <c r="I11992" s="6" t="n">
        <f aca="false">debt_mat_30</f>
        <v>0</v>
      </c>
      <c r="J11992" s="6" t="n">
        <f aca="false">debt_mat_31</f>
        <v>0.5</v>
      </c>
      <c r="K11992" s="6" t="n">
        <f aca="false">debt_mat_32</f>
        <v>0</v>
      </c>
    </row>
    <row r="11993" customFormat="false" ht="15" hidden="false" customHeight="false" outlineLevel="0" collapsed="false">
      <c r="A11993" s="1" t="s">
        <v>956</v>
      </c>
      <c r="B11993" s="0" t="s">
        <v>98</v>
      </c>
      <c r="E11993" s="6" t="n">
        <f aca="false">Q!M40</f>
        <v>22.271</v>
      </c>
      <c r="F11993" s="6" t="n">
        <f aca="false">MAX(0,MIN(bb_target,Sens!E11995+Sens!F11991-Sens!F11992-min_cash))</f>
        <v>0</v>
      </c>
      <c r="G11993" s="6" t="n">
        <f aca="false">MAX(0,MIN(bb_target,Sens!F11995+Sens!G11991-Sens!G11992-min_cash))</f>
        <v>0</v>
      </c>
      <c r="H11993" s="6" t="n">
        <f aca="false">MAX(0,MIN(bb_target,Sens!G11995+Sens!H11991-Sens!H11992-min_cash))</f>
        <v>13.3727839452172</v>
      </c>
      <c r="I11993" s="6" t="n">
        <f aca="false">MAX(0,MIN(bb_target,Sens!H11995+Sens!I11991-Sens!I11992-min_cash))</f>
        <v>22.271</v>
      </c>
      <c r="J11993" s="6" t="n">
        <f aca="false">MAX(0,MIN(bb_target,Sens!I11995+Sens!J11991-Sens!J11992-min_cash))</f>
        <v>22.271</v>
      </c>
      <c r="K11993" s="6" t="n">
        <f aca="false">MAX(0,MIN(bb_target,Sens!J11995+Sens!K11991-Sens!K11992-min_cash))</f>
        <v>22.271</v>
      </c>
    </row>
    <row r="11994" customFormat="false" ht="15" hidden="false" customHeight="false" outlineLevel="0" collapsed="false">
      <c r="A11994" s="1" t="s">
        <v>957</v>
      </c>
      <c r="B11994" s="0" t="s">
        <v>98</v>
      </c>
      <c r="F11994" s="6" t="n">
        <f aca="false">MAX(0,min_cash-(Sens!E11995+Sens!F11991-Sens!F11992-Sens!F11993))</f>
        <v>8.74474543914717</v>
      </c>
      <c r="G11994" s="6" t="n">
        <f aca="false">MAX(0,min_cash-(Sens!F11995+Sens!G11991-Sens!G11992-Sens!G11993))</f>
        <v>7.05772338491744</v>
      </c>
      <c r="H11994" s="6" t="n">
        <f aca="false">MAX(0,min_cash-(Sens!G11995+Sens!H11991-Sens!H11992-Sens!H11993))</f>
        <v>0</v>
      </c>
      <c r="I11994" s="6" t="n">
        <f aca="false">MAX(0,min_cash-(Sens!H11995+Sens!I11991-Sens!I11992-Sens!I11993))</f>
        <v>0</v>
      </c>
      <c r="J11994" s="6" t="n">
        <f aca="false">MAX(0,min_cash-(Sens!I11995+Sens!J11991-Sens!J11992-Sens!J11993))</f>
        <v>0</v>
      </c>
      <c r="K11994" s="6" t="n">
        <f aca="false">MAX(0,min_cash-(Sens!J11995+Sens!K11991-Sens!K11992-Sens!K11993))</f>
        <v>0</v>
      </c>
    </row>
    <row r="11995" customFormat="false" ht="15" hidden="false" customHeight="false" outlineLevel="0" collapsed="false">
      <c r="A11995" s="1" t="s">
        <v>958</v>
      </c>
      <c r="B11995" s="0" t="s">
        <v>98</v>
      </c>
      <c r="E11995" s="6" t="n">
        <f aca="false">cash_open</f>
        <v>76.843</v>
      </c>
      <c r="F11995" s="6" t="n">
        <f aca="false">Sens!E11995+Sens!F11991-Sens!F11992-Sens!F11993+Sens!F11994</f>
        <v>50</v>
      </c>
      <c r="G11995" s="6" t="n">
        <f aca="false">Sens!F11995+Sens!G11991-Sens!G11992-Sens!G11993+Sens!G11994</f>
        <v>50</v>
      </c>
      <c r="H11995" s="6" t="n">
        <f aca="false">Sens!G11995+Sens!H11991-Sens!H11992-Sens!H11993+Sens!H11994</f>
        <v>50</v>
      </c>
      <c r="I11995" s="6" t="n">
        <f aca="false">Sens!H11995+Sens!I11991-Sens!I11992-Sens!I11993+Sens!I11994</f>
        <v>97.5774055592348</v>
      </c>
      <c r="J11995" s="6" t="n">
        <f aca="false">Sens!I11995+Sens!J11991-Sens!J11992-Sens!J11993+Sens!J11994</f>
        <v>208.053078738606</v>
      </c>
      <c r="K11995" s="6" t="n">
        <f aca="false">Sens!J11995+Sens!K11991-Sens!K11992-Sens!K11993+Sens!K11994</f>
        <v>347.356960167021</v>
      </c>
    </row>
    <row r="11996" customFormat="false" ht="15" hidden="false" customHeight="false" outlineLevel="0" collapsed="false">
      <c r="A11996" s="1" t="s">
        <v>959</v>
      </c>
      <c r="B11996" s="0" t="s">
        <v>98</v>
      </c>
      <c r="E11996" s="6" t="n">
        <f aca="false">debt_face</f>
        <v>46.136</v>
      </c>
      <c r="F11996" s="6" t="n">
        <f aca="false">Sens!E11996-Sens!F11992+Sens!F11994</f>
        <v>45.6307454391472</v>
      </c>
      <c r="G11996" s="6" t="n">
        <f aca="false">Sens!F11996-Sens!G11992+Sens!G11994</f>
        <v>52.6884688240646</v>
      </c>
      <c r="H11996" s="6" t="n">
        <f aca="false">Sens!G11996-Sens!H11992+Sens!H11994</f>
        <v>50.6874688240646</v>
      </c>
      <c r="I11996" s="6" t="n">
        <f aca="false">Sens!H11996-Sens!I11992+Sens!I11994</f>
        <v>50.6874688240646</v>
      </c>
      <c r="J11996" s="6" t="n">
        <f aca="false">Sens!I11996-Sens!J11992+Sens!J11994</f>
        <v>50.1874688240646</v>
      </c>
      <c r="K11996" s="6" t="n">
        <f aca="false">Sens!J11996-Sens!K11992+Sens!K11994</f>
        <v>50.1874688240646</v>
      </c>
    </row>
    <row r="11997" customFormat="false" ht="15" hidden="false" customHeight="false" outlineLevel="0" collapsed="false">
      <c r="A11997" s="1" t="s">
        <v>960</v>
      </c>
      <c r="B11997" s="0" t="s">
        <v>98</v>
      </c>
      <c r="E11997" s="6" t="n">
        <f aca="false">Sens!E11995-Sens!E11996</f>
        <v>30.707</v>
      </c>
      <c r="F11997" s="6" t="n">
        <f aca="false">Sens!F11995-Sens!F11996</f>
        <v>4.36925456085283</v>
      </c>
      <c r="G11997" s="6" t="n">
        <f aca="false">Sens!G11995-Sens!G11996</f>
        <v>-2.68846882406461</v>
      </c>
      <c r="H11997" s="6" t="n">
        <f aca="false">Sens!H11995-Sens!H11996</f>
        <v>-0.687468824064609</v>
      </c>
      <c r="I11997" s="6" t="n">
        <f aca="false">Sens!I11995-Sens!I11996</f>
        <v>46.8899367351702</v>
      </c>
      <c r="J11997" s="6" t="n">
        <f aca="false">Sens!J11995-Sens!J11996</f>
        <v>157.865609914541</v>
      </c>
      <c r="K11997" s="6" t="n">
        <f aca="false">Sens!K11995-Sens!K11996</f>
        <v>297.169491342956</v>
      </c>
    </row>
    <row r="11998" customFormat="false" ht="15" hidden="false" customHeight="false" outlineLevel="0" collapsed="false">
      <c r="A11998" s="1" t="s">
        <v>961</v>
      </c>
      <c r="B11998" s="0" t="s">
        <v>75</v>
      </c>
      <c r="F11998" s="29" t="n">
        <f aca="false">px*(1+bb_g)^(Sens!F11862-base_fy-mid_yr)</f>
        <v>553.494156066711</v>
      </c>
      <c r="G11998" s="29" t="n">
        <f aca="false">px*(1+bb_g)^(Sens!G11862-base_fy-mid_yr)</f>
        <v>597.773688552047</v>
      </c>
      <c r="H11998" s="29" t="n">
        <f aca="false">px*(1+bb_g)^(Sens!H11862-base_fy-mid_yr)</f>
        <v>645.595583636211</v>
      </c>
      <c r="I11998" s="29" t="n">
        <f aca="false">px*(1+bb_g)^(Sens!I11862-base_fy-mid_yr)</f>
        <v>697.243230327108</v>
      </c>
      <c r="J11998" s="29" t="n">
        <f aca="false">px*(1+bb_g)^(Sens!J11862-base_fy-mid_yr)</f>
        <v>753.022688753277</v>
      </c>
      <c r="K11998" s="29" t="n">
        <f aca="false">px*(1+bb_g)^(Sens!K11862-base_fy-mid_yr)</f>
        <v>813.264503853539</v>
      </c>
    </row>
    <row r="11999" customFormat="false" ht="15" hidden="false" customHeight="false" outlineLevel="0" collapsed="false">
      <c r="A11999" s="1" t="s">
        <v>962</v>
      </c>
      <c r="B11999" s="1" t="s">
        <v>81</v>
      </c>
      <c r="E11999" s="14" t="n">
        <f aca="false">sh_out26</f>
        <v>7.427</v>
      </c>
      <c r="F11999" s="14" t="n">
        <f aca="false">Sens!E11999+sh_iss-Sens!F11993/Sens!F11998</f>
        <v>7.472</v>
      </c>
      <c r="G11999" s="14" t="n">
        <f aca="false">Sens!F11999+sh_iss-Sens!G11993/Sens!G11998</f>
        <v>7.517</v>
      </c>
      <c r="H11999" s="14" t="n">
        <f aca="false">Sens!G11999+sh_iss-Sens!H11993/Sens!H11998</f>
        <v>7.54128612852353</v>
      </c>
      <c r="I11999" s="14" t="n">
        <f aca="false">Sens!H11999+sh_iss-Sens!I11993/Sens!I11998</f>
        <v>7.55434462083825</v>
      </c>
      <c r="J11999" s="14" t="n">
        <f aca="false">Sens!I11999+sh_iss-Sens!J11993/Sens!J11998</f>
        <v>7.56976915075929</v>
      </c>
      <c r="K11999" s="14" t="n">
        <f aca="false">Sens!J11999+sh_iss-Sens!K11993/Sens!K11998</f>
        <v>7.58738445624174</v>
      </c>
    </row>
    <row r="12000" customFormat="false" ht="15" hidden="false" customHeight="false" outlineLevel="0" collapsed="false">
      <c r="A12000" s="1" t="s">
        <v>963</v>
      </c>
      <c r="B12000" s="1" t="s">
        <v>81</v>
      </c>
      <c r="E12000" s="14" t="n">
        <f aca="false">sh_dil26</f>
        <v>7.453</v>
      </c>
      <c r="F12000" s="14" t="n">
        <f aca="false">(Sens!E11999+Sens!F11999)/2+dil_gap</f>
        <v>7.4735</v>
      </c>
      <c r="G12000" s="14" t="n">
        <f aca="false">(Sens!F11999+Sens!G11999)/2+dil_gap</f>
        <v>7.5185</v>
      </c>
      <c r="H12000" s="14" t="n">
        <f aca="false">(Sens!G11999+Sens!H11999)/2+dil_gap</f>
        <v>7.55314306426176</v>
      </c>
      <c r="I12000" s="14" t="n">
        <f aca="false">(Sens!H11999+Sens!I11999)/2+dil_gap</f>
        <v>7.57181537468089</v>
      </c>
      <c r="J12000" s="14" t="n">
        <f aca="false">(Sens!I11999+Sens!J11999)/2+dil_gap</f>
        <v>7.58605688579877</v>
      </c>
      <c r="K12000" s="14" t="n">
        <f aca="false">(Sens!J11999+Sens!K11999)/2+dil_gap</f>
        <v>7.60257680350052</v>
      </c>
    </row>
    <row r="12001" customFormat="false" ht="17.15" hidden="false" customHeight="false" outlineLevel="0" collapsed="false">
      <c r="A12001" s="1" t="s">
        <v>964</v>
      </c>
      <c r="B12001" s="0" t="s">
        <v>98</v>
      </c>
      <c r="C12001" s="6" t="n">
        <f aca="false">SUM(Sens!F11991:J11991)</f>
        <v>185.073393859758</v>
      </c>
    </row>
    <row r="12002" customFormat="false" ht="15" hidden="false" customHeight="false" outlineLevel="0" collapsed="false">
      <c r="A12002" s="23" t="s">
        <v>935</v>
      </c>
      <c r="B12002" s="30" t="s">
        <v>98</v>
      </c>
      <c r="C12002" s="24" t="n">
        <f aca="false">Sens!$C$12001-(Sens!F11991+Sens!G11991+Sens!H11991+Sens!I11991+Sens!J11991)</f>
        <v>0</v>
      </c>
      <c r="D12002" s="30"/>
      <c r="E12002" s="30"/>
      <c r="F12002" s="30"/>
      <c r="G12002" s="30"/>
      <c r="H12002" s="30"/>
      <c r="I12002" s="30"/>
      <c r="J12002" s="30"/>
      <c r="K12002" s="30"/>
    </row>
    <row r="12003" customFormat="false" ht="17.15" hidden="false" customHeight="false" outlineLevel="0" collapsed="false">
      <c r="A12003" s="1" t="s">
        <v>929</v>
      </c>
      <c r="B12003" s="1" t="s">
        <v>965</v>
      </c>
      <c r="C12003" s="32" t="str">
        <f aca="false">IF(SUM(Sens!F11994:J11994)&gt;0.05,"需要舉債 "&amp;TEXT(SUM(Sens!F11994:J11994),"0.0")&amp;" 十億美元","不需舉債")&amp;"；"&amp;IF(SUM(Sens!F11993:J11993)&lt;COUNT(Sens!F11993:J11993)*bb_target-0.05,"回購較每年 "&amp;TEXT(bb_target,"0.0")&amp;" 的目標少 "&amp;TEXT(COUNT(Sens!F11993:J11993)*bb_target-SUM(Sens!F11993:J11993),"0.0")&amp;" 十億美元（"&amp;TEXT(COUNTIF(Sens!F11993:J11993,"&lt;"&amp;(bb_target-0.05)),"0")&amp;" 年減少）","回購不減")</f>
        <v>需要舉債 15.8 十億美元；回購較每年 22.3 的目標少 53.4 十億美元（3 年減少）</v>
      </c>
    </row>
    <row r="12004" customFormat="false" ht="17.15" hidden="false" customHeight="false" outlineLevel="0" collapsed="false">
      <c r="A12004" s="3" t="s">
        <v>1548</v>
      </c>
    </row>
    <row r="12005" customFormat="false" ht="15" hidden="false" customHeight="false" outlineLevel="0" collapsed="false">
      <c r="A12005" s="4" t="s">
        <v>43</v>
      </c>
      <c r="B12005" s="4" t="s">
        <v>65</v>
      </c>
      <c r="C12005" s="20" t="s">
        <v>788</v>
      </c>
      <c r="D12005" s="20" t="s">
        <v>789</v>
      </c>
      <c r="E12005" s="20" t="s">
        <v>790</v>
      </c>
      <c r="F12005" s="20" t="s">
        <v>791</v>
      </c>
      <c r="G12005" s="20" t="s">
        <v>792</v>
      </c>
      <c r="H12005" s="20" t="s">
        <v>793</v>
      </c>
      <c r="I12005" s="20" t="s">
        <v>794</v>
      </c>
      <c r="J12005" s="20" t="s">
        <v>795</v>
      </c>
      <c r="K12005" s="20" t="s">
        <v>796</v>
      </c>
      <c r="L12005" s="4" t="s">
        <v>47</v>
      </c>
    </row>
    <row r="12006" customFormat="false" ht="15" hidden="false" customHeight="false" outlineLevel="0" collapsed="false">
      <c r="A12006" s="1" t="s">
        <v>1042</v>
      </c>
      <c r="B12006" s="1" t="s">
        <v>235</v>
      </c>
      <c r="F12006" s="36" t="n">
        <f aca="false">Sens!F11862-base_fy-mid_yr</f>
        <v>0.5</v>
      </c>
      <c r="G12006" s="36" t="n">
        <f aca="false">Sens!G11862-base_fy-mid_yr</f>
        <v>1.5</v>
      </c>
      <c r="H12006" s="36" t="n">
        <f aca="false">Sens!H11862-base_fy-mid_yr</f>
        <v>2.5</v>
      </c>
      <c r="I12006" s="36" t="n">
        <f aca="false">Sens!I11862-base_fy-mid_yr</f>
        <v>3.5</v>
      </c>
      <c r="J12006" s="36" t="n">
        <f aca="false">Sens!J11862-base_fy-mid_yr</f>
        <v>4.5</v>
      </c>
      <c r="K12006" s="36" t="n">
        <f aca="false">Sens!K11862-base_fy-mid_yr</f>
        <v>5.5</v>
      </c>
    </row>
    <row r="12007" customFormat="false" ht="15" hidden="false" customHeight="false" outlineLevel="0" collapsed="false">
      <c r="A12007" s="1" t="s">
        <v>1043</v>
      </c>
      <c r="B12007" s="0" t="s">
        <v>185</v>
      </c>
      <c r="F12007" s="14" t="n">
        <f aca="false">1/(1+wacc)^Sens!F12006</f>
        <v>0.952193373608246</v>
      </c>
      <c r="G12007" s="14" t="n">
        <f aca="false">1/(1+wacc)^Sens!G12006</f>
        <v>0.863327280626589</v>
      </c>
      <c r="H12007" s="14" t="n">
        <f aca="false">1/(1+wacc)^Sens!H12006</f>
        <v>0.782754862754115</v>
      </c>
      <c r="I12007" s="14" t="n">
        <f aca="false">1/(1+wacc)^Sens!I12006</f>
        <v>0.709702089711011</v>
      </c>
      <c r="J12007" s="14" t="n">
        <f aca="false">1/(1+wacc)^Sens!J12006</f>
        <v>0.643467169744551</v>
      </c>
      <c r="K12007" s="14" t="n">
        <f aca="false">1/(1+wacc)^Sens!K12006</f>
        <v>0.583413807767797</v>
      </c>
    </row>
    <row r="12008" customFormat="false" ht="17.15" hidden="false" customHeight="false" outlineLevel="0" collapsed="false">
      <c r="A12008" s="1" t="s">
        <v>1044</v>
      </c>
      <c r="B12008" s="0" t="s">
        <v>98</v>
      </c>
      <c r="F12008" s="6" t="n">
        <f aca="false">Sens!F11982-Sens!F11980-Sens!F11985+Sens!F11966*(1-tax_f)</f>
        <v>8.13604324230976</v>
      </c>
      <c r="G12008" s="6" t="n">
        <f aca="false">Sens!G11982-Sens!G11980-Sens!G11985+Sens!G11966*(1-tax_f)</f>
        <v>41.3806869083614</v>
      </c>
      <c r="H12008" s="6" t="n">
        <f aca="false">Sens!H11982-Sens!H11980-Sens!H11985+Sens!H11966*(1-tax_f)</f>
        <v>78.4366041230589</v>
      </c>
      <c r="I12008" s="6" t="n">
        <f aca="false">Sens!I11982-Sens!I11980-Sens!I11985+Sens!I11966*(1-tax_f)</f>
        <v>146.60058424647</v>
      </c>
      <c r="J12008" s="6" t="n">
        <f aca="false">Sens!J11982-Sens!J11980-Sens!J11985+Sens!J11966*(1-tax_f)</f>
        <v>220.360929466087</v>
      </c>
      <c r="K12008" s="6" t="n">
        <f aca="false">Sens!K11982-Sens!K11980-Sens!K11985+Sens!K11966*(1-tax_f)</f>
        <v>255.921870910792</v>
      </c>
      <c r="L12008" s="1" t="s">
        <v>1045</v>
      </c>
    </row>
    <row r="12009" customFormat="false" ht="15" hidden="false" customHeight="false" outlineLevel="0" collapsed="false">
      <c r="A12009" s="1" t="s">
        <v>1046</v>
      </c>
      <c r="B12009" s="0" t="s">
        <v>98</v>
      </c>
      <c r="F12009" s="6" t="n">
        <f aca="false">Sens!F12008*Sens!F12007</f>
        <v>7.7470864627175</v>
      </c>
      <c r="G12009" s="6" t="n">
        <f aca="false">Sens!G12008*Sens!G12007</f>
        <v>35.7250758990559</v>
      </c>
      <c r="H12009" s="6" t="n">
        <f aca="false">Sens!H12008*Sens!H12007</f>
        <v>61.3966332952439</v>
      </c>
      <c r="I12009" s="6" t="n">
        <f aca="false">Sens!I12008*Sens!I12007</f>
        <v>104.042740992575</v>
      </c>
      <c r="J12009" s="6" t="n">
        <f aca="false">Sens!J12008*Sens!J12007</f>
        <v>141.795023605822</v>
      </c>
      <c r="K12009" s="6" t="n">
        <f aca="false">Sens!K12008*Sens!K12007</f>
        <v>149.308353199124</v>
      </c>
    </row>
    <row r="12010" customFormat="false" ht="17.15" hidden="false" customHeight="false" outlineLevel="0" collapsed="false">
      <c r="A12010" s="1" t="s">
        <v>1047</v>
      </c>
      <c r="B12010" s="0" t="s">
        <v>98</v>
      </c>
      <c r="C12010" s="6" t="n">
        <f aca="false">SUM(Sens!F12009:K12009)</f>
        <v>500.014913454538</v>
      </c>
    </row>
    <row r="12011" customFormat="false" ht="17.15" hidden="false" customHeight="false" outlineLevel="0" collapsed="false">
      <c r="A12011" s="1" t="s">
        <v>1048</v>
      </c>
      <c r="B12011" s="0" t="s">
        <v>98</v>
      </c>
      <c r="C12011" s="6" t="n">
        <f aca="false">Sens!K11952*(1+g_tv)*(1-tax_f)</f>
        <v>264.189035935147</v>
      </c>
    </row>
    <row r="12012" customFormat="false" ht="17.15" hidden="false" customHeight="false" outlineLevel="0" collapsed="false">
      <c r="A12012" s="1" t="s">
        <v>1049</v>
      </c>
      <c r="B12012" s="0" t="s">
        <v>98</v>
      </c>
      <c r="C12012" s="6" t="n">
        <f aca="false">Sens!$C$12011*(1-g_tv/(wacc+ronic_prem))</f>
        <v>187.191749013015</v>
      </c>
    </row>
    <row r="12013" customFormat="false" ht="17.15" hidden="false" customHeight="false" outlineLevel="0" collapsed="false">
      <c r="A12013" s="1" t="s">
        <v>1050</v>
      </c>
      <c r="B12013" s="0" t="s">
        <v>98</v>
      </c>
      <c r="C12013" s="6" t="n">
        <f aca="false">Sens!$C$12012/(wacc-g_tv)</f>
        <v>2566.57623073773</v>
      </c>
    </row>
    <row r="12014" customFormat="false" ht="15" hidden="false" customHeight="false" outlineLevel="0" collapsed="false">
      <c r="A12014" s="1" t="s">
        <v>1051</v>
      </c>
      <c r="B12014" s="0" t="s">
        <v>98</v>
      </c>
      <c r="C12014" s="6" t="n">
        <f aca="false">Sens!$C$12013/(1+wacc)^(Sens!K12006+mid_yr)</f>
        <v>1425.79151614165</v>
      </c>
    </row>
    <row r="12015" customFormat="false" ht="17.15" hidden="false" customHeight="false" outlineLevel="0" collapsed="false">
      <c r="A12015" s="0" t="s">
        <v>972</v>
      </c>
      <c r="B12015" s="0" t="s">
        <v>98</v>
      </c>
      <c r="C12015" s="6" t="n">
        <f aca="false">Sens!$C$12010+Sens!$C$12014</f>
        <v>1925.80642959619</v>
      </c>
    </row>
    <row r="12016" customFormat="false" ht="15" hidden="false" customHeight="false" outlineLevel="0" collapsed="false">
      <c r="A12016" s="1" t="s">
        <v>973</v>
      </c>
      <c r="B12016" s="0" t="s">
        <v>129</v>
      </c>
      <c r="C12016" s="7" t="n">
        <f aca="false">Sens!$C$12014/Sens!$C$12015</f>
        <v>0.740360762239545</v>
      </c>
    </row>
    <row r="12017" customFormat="false" ht="17.15" hidden="false" customHeight="false" outlineLevel="0" collapsed="false">
      <c r="A12017" s="1" t="s">
        <v>1052</v>
      </c>
      <c r="B12017" s="0" t="s">
        <v>98</v>
      </c>
      <c r="C12017" s="6" t="n">
        <f aca="false">Sens!$C$12015+Sens!E11997-Sens!E11986+oai_v</f>
        <v>2060.31942959619</v>
      </c>
    </row>
    <row r="12018" customFormat="false" ht="17.15" hidden="false" customHeight="false" outlineLevel="0" collapsed="false">
      <c r="A12018" s="0" t="s">
        <v>980</v>
      </c>
      <c r="B12018" s="0" t="s">
        <v>75</v>
      </c>
      <c r="C12018" s="5" t="n">
        <f aca="false">Sens!$C$12017/sh_dil26</f>
        <v>276.441624794873</v>
      </c>
    </row>
    <row r="12019" customFormat="false" ht="15" hidden="false" customHeight="false" outlineLevel="0" collapsed="false">
      <c r="A12019" s="1" t="s">
        <v>1053</v>
      </c>
      <c r="B12019" s="0" t="s">
        <v>75</v>
      </c>
      <c r="C12019" s="8" t="n">
        <f aca="false">dps_27+Sens!G11989*roll_div_q/q_per_yr</f>
        <v>4.8895</v>
      </c>
    </row>
    <row r="12020" customFormat="false" ht="17.15" hidden="false" customHeight="false" outlineLevel="0" collapsed="false">
      <c r="A12020" s="0" t="s">
        <v>1054</v>
      </c>
      <c r="B12020" s="0" t="s">
        <v>75</v>
      </c>
      <c r="C12020" s="5" t="n">
        <f aca="false">Sens!$C$12018*(1+wacc)^t_roll-Sens!$C$12019</f>
        <v>309.90380840867</v>
      </c>
    </row>
    <row r="12021" customFormat="false" ht="17.15" hidden="false" customHeight="false" outlineLevel="0" collapsed="false">
      <c r="A12021" s="1" t="s">
        <v>1055</v>
      </c>
      <c r="B12021" s="0" t="s">
        <v>129</v>
      </c>
      <c r="F12021" s="7" t="n">
        <f aca="false">Sens!F11978/(Sens!F11923-Sens!F11879)</f>
        <v>0.0686864325746334</v>
      </c>
      <c r="G12021" s="7" t="n">
        <f aca="false">Sens!G11978/(Sens!G11923-Sens!G11879)</f>
        <v>0.066267001590801</v>
      </c>
      <c r="H12021" s="7" t="n">
        <f aca="false">Sens!H11978/(Sens!H11923-Sens!H11879)</f>
        <v>0.0650366246750144</v>
      </c>
      <c r="I12021" s="7" t="n">
        <f aca="false">Sens!I11978/(Sens!I11923-Sens!I11879)</f>
        <v>0.0648573271390164</v>
      </c>
      <c r="J12021" s="7" t="n">
        <f aca="false">Sens!J11978/(Sens!J11923-Sens!J11879)</f>
        <v>0.0655189837669657</v>
      </c>
      <c r="K12021" s="7" t="n">
        <f aca="false">Sens!K11978/(Sens!K11923-Sens!K11879)</f>
        <v>0.0667878921367872</v>
      </c>
    </row>
    <row r="12022" customFormat="false" ht="17.15" hidden="false" customHeight="false" outlineLevel="0" collapsed="false">
      <c r="A12022" s="0" t="s">
        <v>1056</v>
      </c>
      <c r="B12022" s="0" t="s">
        <v>98</v>
      </c>
      <c r="F12022" s="6" t="n">
        <f aca="false">Sens!F11908*(al_m365+Sens!F12021+sbc_r)</f>
        <v>82.8871280343675</v>
      </c>
      <c r="G12022" s="6" t="n">
        <f aca="false">Sens!G11908*(al_m365+Sens!G12021+sbc_r)</f>
        <v>93.2646494841949</v>
      </c>
      <c r="H12022" s="6" t="n">
        <f aca="false">Sens!H11908*(al_m365+Sens!H12021+sbc_r)</f>
        <v>103.801656157254</v>
      </c>
      <c r="I12022" s="6" t="n">
        <f aca="false">Sens!I11908*(al_m365+Sens!I12021+sbc_r)</f>
        <v>113.821873816133</v>
      </c>
      <c r="J12022" s="6" t="n">
        <f aca="false">Sens!J11908*(al_m365+Sens!J12021+sbc_r)</f>
        <v>123.136196807334</v>
      </c>
      <c r="K12022" s="6" t="n">
        <f aca="false">Sens!K11908*(al_m365+Sens!K12021+sbc_r)</f>
        <v>132.051675801964</v>
      </c>
      <c r="L12022" s="11" t="s">
        <v>1057</v>
      </c>
    </row>
    <row r="12023" customFormat="false" ht="17.15" hidden="false" customHeight="false" outlineLevel="0" collapsed="false">
      <c r="A12023" s="0" t="s">
        <v>1058</v>
      </c>
      <c r="B12023" s="0" t="s">
        <v>98</v>
      </c>
      <c r="F12023" s="6" t="n">
        <f aca="false">Sens!F11909*(al_lic+Sens!F12021+sbc_r)</f>
        <v>33.4484001235218</v>
      </c>
      <c r="G12023" s="6" t="n">
        <f aca="false">Sens!G11909*(al_lic+Sens!G12021+sbc_r)</f>
        <v>34.7662136749183</v>
      </c>
      <c r="H12023" s="6" t="n">
        <f aca="false">Sens!H11909*(al_lic+Sens!H12021+sbc_r)</f>
        <v>35.9922067034497</v>
      </c>
      <c r="I12023" s="6" t="n">
        <f aca="false">Sens!I11909*(al_lic+Sens!I12021+sbc_r)</f>
        <v>37.1063543598183</v>
      </c>
      <c r="J12023" s="6" t="n">
        <f aca="false">Sens!J11909*(al_lic+Sens!J12021+sbc_r)</f>
        <v>38.0853056964387</v>
      </c>
      <c r="K12023" s="6" t="n">
        <f aca="false">Sens!K11909*(al_lic+Sens!K12021+sbc_r)</f>
        <v>38.9048066370724</v>
      </c>
    </row>
    <row r="12024" customFormat="false" ht="17.15" hidden="false" customHeight="false" outlineLevel="0" collapsed="false">
      <c r="A12024" s="0" t="s">
        <v>1059</v>
      </c>
      <c r="B12024" s="0" t="s">
        <v>98</v>
      </c>
      <c r="F12024" s="6" t="n">
        <f aca="false">Sens!F11911*(al_ind+Sens!F12021+sbc_r)</f>
        <v>9.07857451914073</v>
      </c>
      <c r="G12024" s="6" t="n">
        <f aca="false">Sens!G11911*(al_ind+Sens!G12021+sbc_r)</f>
        <v>9.86487802721884</v>
      </c>
      <c r="H12024" s="6" t="n">
        <f aca="false">Sens!H11911*(al_ind+Sens!H12021+sbc_r)</f>
        <v>10.693809720013</v>
      </c>
      <c r="I12024" s="6" t="n">
        <f aca="false">Sens!I11911*(al_ind+Sens!I12021+sbc_r)</f>
        <v>11.5608645999226</v>
      </c>
      <c r="J12024" s="6" t="n">
        <f aca="false">Sens!J11911*(al_ind+Sens!J12021+sbc_r)</f>
        <v>12.4574161941375</v>
      </c>
      <c r="K12024" s="6" t="n">
        <f aca="false">Sens!K11911*(al_ind+Sens!K12021+sbc_r)</f>
        <v>13.3714153876622</v>
      </c>
    </row>
    <row r="12025" customFormat="false" ht="17.15" hidden="false" customHeight="false" outlineLevel="0" collapsed="false">
      <c r="A12025" s="0" t="s">
        <v>1060</v>
      </c>
      <c r="B12025" s="0" t="s">
        <v>98</v>
      </c>
      <c r="F12025" s="6" t="n">
        <f aca="false">Sens!F11913*(al_fro+Sens!F12021+sbc_r)</f>
        <v>3.57335880380168</v>
      </c>
      <c r="G12025" s="6" t="n">
        <f aca="false">Sens!G11913*(al_fro+Sens!G12021+sbc_r)</f>
        <v>3.78752993435501</v>
      </c>
      <c r="H12025" s="6" t="n">
        <f aca="false">Sens!H11913*(al_fro+Sens!H12021+sbc_r)</f>
        <v>4.02979352544868</v>
      </c>
      <c r="I12025" s="6" t="n">
        <f aca="false">Sens!I11913*(al_fro+Sens!I12021+sbc_r)</f>
        <v>4.30248328262388</v>
      </c>
      <c r="J12025" s="6" t="n">
        <f aca="false">Sens!J11913*(al_fro+Sens!J12021+sbc_r)</f>
        <v>4.6072312462081</v>
      </c>
      <c r="K12025" s="6" t="n">
        <f aca="false">Sens!K11913*(al_fro+Sens!K12021+sbc_r)</f>
        <v>4.94526327289735</v>
      </c>
    </row>
    <row r="12026" customFormat="false" ht="17.15" hidden="false" customHeight="false" outlineLevel="0" collapsed="false">
      <c r="A12026" s="0" t="s">
        <v>1061</v>
      </c>
      <c r="B12026" s="0" t="s">
        <v>98</v>
      </c>
      <c r="F12026" s="6" t="n">
        <f aca="false">Sens!F11916*(al_srch+Sens!F12021+sbc_r)</f>
        <v>11.2121706988551</v>
      </c>
      <c r="G12026" s="6" t="n">
        <f aca="false">Sens!G11916*(al_srch+Sens!G12021+sbc_r)</f>
        <v>12.298220751086</v>
      </c>
      <c r="H12026" s="6" t="n">
        <f aca="false">Sens!H11916*(al_srch+Sens!H12021+sbc_r)</f>
        <v>13.4264661389574</v>
      </c>
      <c r="I12026" s="6" t="n">
        <f aca="false">Sens!I11916*(al_srch+Sens!I12021+sbc_r)</f>
        <v>14.5842947685169</v>
      </c>
      <c r="J12026" s="6" t="n">
        <f aca="false">Sens!J11916*(al_srch+Sens!J12021+sbc_r)</f>
        <v>15.7529827260804</v>
      </c>
      <c r="K12026" s="6" t="n">
        <f aca="false">Sens!K11916*(al_srch+Sens!K12021+sbc_r)</f>
        <v>16.908777257054</v>
      </c>
    </row>
    <row r="12027" customFormat="false" ht="17.15" hidden="false" customHeight="false" outlineLevel="0" collapsed="false">
      <c r="A12027" s="0" t="s">
        <v>1062</v>
      </c>
      <c r="B12027" s="0" t="s">
        <v>98</v>
      </c>
      <c r="F12027" s="6" t="n">
        <f aca="false">Sens!F11885-Sens!F11886+Sens!F11966</f>
        <v>49.1066695044068</v>
      </c>
      <c r="G12027" s="6" t="n">
        <f aca="false">Sens!G11885-Sens!G11886+Sens!G11966</f>
        <v>78.9011235199867</v>
      </c>
      <c r="H12027" s="6" t="n">
        <f aca="false">Sens!H11885-Sens!H11886+Sens!H11966</f>
        <v>105.656955995322</v>
      </c>
      <c r="I12027" s="6" t="n">
        <f aca="false">Sens!I11885-Sens!I11886+Sens!I11966</f>
        <v>136.13812421941</v>
      </c>
      <c r="J12027" s="6" t="n">
        <f aca="false">Sens!J11885-Sens!J11886+Sens!J11966</f>
        <v>157.640869188803</v>
      </c>
      <c r="K12027" s="6" t="n">
        <f aca="false">Sens!K11885-Sens!K11886+Sens!K11966</f>
        <v>171.191834186355</v>
      </c>
    </row>
    <row r="12028" customFormat="false" ht="17.15" hidden="false" customHeight="false" outlineLevel="0" collapsed="false">
      <c r="A12028" s="0" t="s">
        <v>1063</v>
      </c>
      <c r="B12028" s="0" t="s">
        <v>98</v>
      </c>
      <c r="F12028" s="6" t="n">
        <f aca="false">Sens!F11945+Sens!F11966+Sens!F11896+Sens!F12021*(Sens!F11915-Sens!F11879)+sbc_r*Sens!F11915</f>
        <v>244.565826253445</v>
      </c>
      <c r="G12028" s="6" t="n">
        <f aca="false">Sens!G11945+Sens!G11966+Sens!G11896+Sens!G12021*(Sens!G11915-Sens!G11879)+sbc_r*Sens!G11915</f>
        <v>299.901390958873</v>
      </c>
      <c r="H12028" s="6" t="n">
        <f aca="false">Sens!H11945+Sens!H11966+Sens!H11896+Sens!H12021*(Sens!H11915-Sens!H11879)+sbc_r*Sens!H11915</f>
        <v>352.482962728781</v>
      </c>
      <c r="I12028" s="6" t="n">
        <f aca="false">Sens!I11945+Sens!I11966+Sens!I11896+Sens!I12021*(Sens!I11915-Sens!I11879)+sbc_r*Sens!I11915</f>
        <v>408.146385540986</v>
      </c>
      <c r="J12028" s="6" t="n">
        <f aca="false">Sens!J11945+Sens!J11966+Sens!J11896+Sens!J12021*(Sens!J11915-Sens!J11879)+sbc_r*Sens!J11915</f>
        <v>452.877503417048</v>
      </c>
      <c r="K12028" s="6" t="n">
        <f aca="false">Sens!K11945+Sens!K11966+Sens!K11896+Sens!K12021*(Sens!K11915-Sens!K11879)+sbc_r*Sens!K11915</f>
        <v>487.285201196018</v>
      </c>
    </row>
    <row r="12029" customFormat="false" ht="17.15" hidden="false" customHeight="false" outlineLevel="0" collapsed="false">
      <c r="A12029" s="0" t="s">
        <v>1064</v>
      </c>
      <c r="B12029" s="0" t="s">
        <v>98</v>
      </c>
      <c r="F12029" s="6" t="n">
        <f aca="false">Sens!F12028-Sens!F12022-Sens!F12023-Sens!F12024-Sens!F12025-Sens!F12027</f>
        <v>66.4716952682065</v>
      </c>
      <c r="G12029" s="6" t="n">
        <f aca="false">Sens!G12028-Sens!G12022-Sens!G12023-Sens!G12024-Sens!G12025-Sens!G12027</f>
        <v>79.3169963181992</v>
      </c>
      <c r="H12029" s="6" t="n">
        <f aca="false">Sens!H12028-Sens!H12022-Sens!H12023-Sens!H12024-Sens!H12025-Sens!H12027</f>
        <v>92.3085406272929</v>
      </c>
      <c r="I12029" s="6" t="n">
        <f aca="false">Sens!I12028-Sens!I12022-Sens!I12023-Sens!I12024-Sens!I12025-Sens!I12027</f>
        <v>105.216685263078</v>
      </c>
      <c r="J12029" s="6" t="n">
        <f aca="false">Sens!J12028-Sens!J12022-Sens!J12023-Sens!J12024-Sens!J12025-Sens!J12027</f>
        <v>116.950484284126</v>
      </c>
      <c r="K12029" s="6" t="n">
        <f aca="false">Sens!K12028-Sens!K12022-Sens!K12023-Sens!K12024-Sens!K12025-Sens!K12027</f>
        <v>126.820205910067</v>
      </c>
    </row>
    <row r="12030" customFormat="false" ht="17.15" hidden="false" customHeight="false" outlineLevel="0" collapsed="false">
      <c r="A12030" s="0" t="s">
        <v>1065</v>
      </c>
      <c r="B12030" s="0" t="s">
        <v>98</v>
      </c>
      <c r="F12030" s="6" t="n">
        <f aca="false">Sens!F11947+Sens!F12021*Sens!F11922+sbc_r*Sens!F11922</f>
        <v>27.5077865120222</v>
      </c>
      <c r="G12030" s="6" t="n">
        <f aca="false">Sens!G11947+Sens!G12021*Sens!G11922+sbc_r*Sens!G11922</f>
        <v>28.1830878619278</v>
      </c>
      <c r="H12030" s="6" t="n">
        <f aca="false">Sens!H11947+Sens!H12021*Sens!H11922+sbc_r*Sens!H11922</f>
        <v>29.1267393473114</v>
      </c>
      <c r="I12030" s="6" t="n">
        <f aca="false">Sens!I11947+Sens!I12021*Sens!I11922+sbc_r*Sens!I11922</f>
        <v>30.3053819717858</v>
      </c>
      <c r="J12030" s="6" t="n">
        <f aca="false">Sens!J11947+Sens!J12021*Sens!J11922+sbc_r*Sens!J11922</f>
        <v>31.6865267579297</v>
      </c>
      <c r="K12030" s="6" t="n">
        <f aca="false">Sens!K11947+Sens!K12021*Sens!K11922+sbc_r*Sens!K11922</f>
        <v>33.2399264126997</v>
      </c>
    </row>
    <row r="12031" customFormat="false" ht="17.15" hidden="false" customHeight="false" outlineLevel="0" collapsed="false">
      <c r="A12031" s="0" t="s">
        <v>1066</v>
      </c>
      <c r="B12031" s="0" t="s">
        <v>98</v>
      </c>
      <c r="F12031" s="6" t="n">
        <f aca="false">(Sens!F12030-Sens!F12026)*Sens!F11918/(Sens!F11918+Sens!F11920)</f>
        <v>8.93309787177998</v>
      </c>
      <c r="G12031" s="6" t="n">
        <f aca="false">(Sens!G12030-Sens!G12026)*Sens!G11918/(Sens!G11918+Sens!G11920)</f>
        <v>8.55266759927386</v>
      </c>
      <c r="H12031" s="6" t="n">
        <f aca="false">(Sens!H12030-Sens!H12026)*Sens!H11918/(Sens!H11918+Sens!H11920)</f>
        <v>8.33908960117506</v>
      </c>
      <c r="I12031" s="6" t="n">
        <f aca="false">(Sens!I12030-Sens!I12026)*Sens!I11918/(Sens!I11918+Sens!I11920)</f>
        <v>8.27459259152019</v>
      </c>
      <c r="J12031" s="6" t="n">
        <f aca="false">(Sens!J12030-Sens!J12026)*Sens!J11918/(Sens!J11918+Sens!J11920)</f>
        <v>8.34849345194956</v>
      </c>
      <c r="K12031" s="6" t="n">
        <f aca="false">(Sens!K12030-Sens!K12026)*Sens!K11918/(Sens!K11918+Sens!K11920)</f>
        <v>8.55682147776988</v>
      </c>
    </row>
    <row r="12032" customFormat="false" ht="17.15" hidden="false" customHeight="false" outlineLevel="0" collapsed="false">
      <c r="A12032" s="0" t="s">
        <v>1067</v>
      </c>
      <c r="B12032" s="0" t="s">
        <v>98</v>
      </c>
      <c r="F12032" s="6" t="n">
        <f aca="false">Sens!F12030-Sens!F12026-Sens!F12031</f>
        <v>7.3625179413871</v>
      </c>
      <c r="G12032" s="6" t="n">
        <f aca="false">Sens!G12030-Sens!G12026-Sens!G12031</f>
        <v>7.33219951156802</v>
      </c>
      <c r="H12032" s="6" t="n">
        <f aca="false">Sens!H12030-Sens!H12026-Sens!H12031</f>
        <v>7.36118360717891</v>
      </c>
      <c r="I12032" s="6" t="n">
        <f aca="false">Sens!I12030-Sens!I12026-Sens!I12031</f>
        <v>7.44649461174867</v>
      </c>
      <c r="J12032" s="6" t="n">
        <f aca="false">Sens!J12030-Sens!J12026-Sens!J12031</f>
        <v>7.58505057989971</v>
      </c>
      <c r="K12032" s="6" t="n">
        <f aca="false">Sens!K12030-Sens!K12026-Sens!K12031</f>
        <v>7.77432767787585</v>
      </c>
    </row>
    <row r="12033" customFormat="false" ht="17.15" hidden="false" customHeight="false" outlineLevel="0" collapsed="false">
      <c r="A12033" s="0" t="s">
        <v>1068</v>
      </c>
      <c r="B12033" s="0" t="s">
        <v>98</v>
      </c>
      <c r="F12033" s="6" t="n">
        <f aca="false">Sens!F12027-tax_f*(Sens!F12027-Sens!F11896)-Sens!F11893</f>
        <v>-122.534710075738</v>
      </c>
      <c r="G12033" s="6" t="n">
        <f aca="false">Sens!G12027-tax_f*(Sens!G12027-Sens!G11896)-Sens!G11893</f>
        <v>-108.346935015143</v>
      </c>
      <c r="H12033" s="6" t="n">
        <f aca="false">Sens!H12027-tax_f*(Sens!H12027-Sens!H11896)-Sens!H11893</f>
        <v>-86.0012579155142</v>
      </c>
      <c r="I12033" s="6" t="n">
        <f aca="false">Sens!I12027-tax_f*(Sens!I12027-Sens!I11896)-Sens!I11893</f>
        <v>-32.3937617822731</v>
      </c>
      <c r="J12033" s="6" t="n">
        <f aca="false">Sens!J12027-tax_f*(Sens!J12027-Sens!J11896)-Sens!J11893</f>
        <v>27.4419608174853</v>
      </c>
      <c r="K12033" s="6" t="n">
        <f aca="false">Sens!K12027-tax_f*(Sens!K12027-Sens!K11896)-Sens!K11893</f>
        <v>49.9285610680426</v>
      </c>
    </row>
    <row r="12034" customFormat="false" ht="17.15" hidden="false" customHeight="false" outlineLevel="0" collapsed="false">
      <c r="A12034" s="0" t="s">
        <v>1069</v>
      </c>
      <c r="B12034" s="0" t="s">
        <v>98</v>
      </c>
      <c r="F12034" s="6" t="n">
        <f aca="false">Sens!F12033*Sens!F12007</f>
        <v>-116.676738971125</v>
      </c>
      <c r="G12034" s="6" t="n">
        <f aca="false">Sens!G12033*Sens!G12007</f>
        <v>-93.5388647708489</v>
      </c>
      <c r="H12034" s="6" t="n">
        <f aca="false">Sens!H12033*Sens!H12007</f>
        <v>-67.3179028363396</v>
      </c>
      <c r="I12034" s="6" t="n">
        <f aca="false">Sens!I12033*Sens!I12007</f>
        <v>-22.9899204304799</v>
      </c>
      <c r="J12034" s="6" t="n">
        <f aca="false">Sens!J12033*Sens!J12007</f>
        <v>17.6580008594682</v>
      </c>
      <c r="K12034" s="6" t="n">
        <f aca="false">Sens!K12033*Sens!K12007</f>
        <v>29.1290119290737</v>
      </c>
    </row>
    <row r="12035" customFormat="false" ht="17.15" hidden="false" customHeight="false" outlineLevel="0" collapsed="false">
      <c r="A12035" s="0" t="s">
        <v>1070</v>
      </c>
      <c r="B12035" s="0" t="s">
        <v>98</v>
      </c>
      <c r="C12035" s="6" t="n">
        <f aca="false">(Sens!K12027-Sens!K11896)*(1-tax_f)*(1+g_tv)*(1-g_tv/(wacc+ronic_prem))/(wacc-g_tv)/(1+wacc)^(Sens!K12006+mid_yr)</f>
        <v>140.166251789711</v>
      </c>
    </row>
    <row r="12036" customFormat="false" ht="17.15" hidden="false" customHeight="false" outlineLevel="0" collapsed="false">
      <c r="A12036" s="1" t="s">
        <v>1071</v>
      </c>
      <c r="B12036" s="0" t="s">
        <v>98</v>
      </c>
      <c r="C12036" s="6" t="n">
        <f aca="false">(SUM(Sens!F12034:K12034)+Sens!$C$12035)*(1+wacc)^t_roll</f>
        <v>-129.326136013519</v>
      </c>
      <c r="L12036" s="11" t="s">
        <v>1072</v>
      </c>
    </row>
    <row r="12037" customFormat="false" ht="17.15" hidden="false" customHeight="false" outlineLevel="0" collapsed="false">
      <c r="A12037" s="1" t="s">
        <v>1073</v>
      </c>
      <c r="B12037" s="0" t="s">
        <v>98</v>
      </c>
      <c r="C12037" s="6" t="n">
        <f aca="false">(w_ntm28*Sens!G11885+(1-w_ntm28)*Sens!H11885)*m_ai</f>
        <v>338.776008390068</v>
      </c>
    </row>
    <row r="12038" customFormat="false" ht="17.15" hidden="false" customHeight="false" outlineLevel="0" collapsed="false">
      <c r="A12038" s="1" t="s">
        <v>1074</v>
      </c>
      <c r="B12038" s="0" t="s">
        <v>98</v>
      </c>
      <c r="C12038" s="6" t="n">
        <f aca="false">(w_ntm28*Sens!G12029+(1-w_ntm28)*Sens!H12029)*m_cloud</f>
        <v>1154.20497349422</v>
      </c>
    </row>
    <row r="12039" customFormat="false" ht="17.15" hidden="false" customHeight="false" outlineLevel="0" collapsed="false">
      <c r="A12039" s="1" t="s">
        <v>1075</v>
      </c>
      <c r="B12039" s="0" t="s">
        <v>98</v>
      </c>
      <c r="C12039" s="6" t="n">
        <f aca="false">(w_ntm28*Sens!G12022+(1-w_ntm28)*Sens!H12022)*m_sw</f>
        <v>1044.04824539957</v>
      </c>
    </row>
    <row r="12040" customFormat="false" ht="17.15" hidden="false" customHeight="false" outlineLevel="0" collapsed="false">
      <c r="A12040" s="1" t="s">
        <v>1076</v>
      </c>
      <c r="B12040" s="0" t="s">
        <v>98</v>
      </c>
      <c r="C12040" s="6" t="n">
        <f aca="false">(w_ntm28*Sens!G12023+(1-w_ntm28)*Sens!H12023)*m_sw</f>
        <v>379.755670745447</v>
      </c>
    </row>
    <row r="12041" customFormat="false" ht="17.15" hidden="false" customHeight="false" outlineLevel="0" collapsed="false">
      <c r="A12041" s="1" t="s">
        <v>1077</v>
      </c>
      <c r="B12041" s="0" t="s">
        <v>98</v>
      </c>
      <c r="C12041" s="6" t="n">
        <f aca="false">(w_ntm28*Sens!G12024+(1-w_ntm28)*Sens!H12024)*m_sw</f>
        <v>109.434903376969</v>
      </c>
    </row>
    <row r="12042" customFormat="false" ht="17.15" hidden="false" customHeight="false" outlineLevel="0" collapsed="false">
      <c r="A12042" s="1" t="s">
        <v>1078</v>
      </c>
      <c r="B12042" s="0" t="s">
        <v>98</v>
      </c>
      <c r="C12042" s="6" t="n">
        <f aca="false">(w_ntm28*Sens!G12025+(1-w_ntm28)*Sens!H12025)*m_sw</f>
        <v>41.7511882786773</v>
      </c>
    </row>
    <row r="12043" customFormat="false" ht="17.15" hidden="false" customHeight="false" outlineLevel="0" collapsed="false">
      <c r="A12043" s="1" t="s">
        <v>1079</v>
      </c>
      <c r="B12043" s="0" t="s">
        <v>98</v>
      </c>
      <c r="C12043" s="6" t="n">
        <f aca="false">(w_ntm28*Sens!G12026+(1-w_ntm28)*Sens!H12026)*m_ads</f>
        <v>115.359643719254</v>
      </c>
    </row>
    <row r="12044" customFormat="false" ht="17.15" hidden="false" customHeight="false" outlineLevel="0" collapsed="false">
      <c r="A12044" s="1" t="s">
        <v>1080</v>
      </c>
      <c r="B12044" s="0" t="s">
        <v>98</v>
      </c>
      <c r="C12044" s="6" t="n">
        <f aca="false">(w_ntm28*Sens!G12031+(1-w_ntm28)*Sens!H12031)*m_game</f>
        <v>107.148126481057</v>
      </c>
    </row>
    <row r="12045" customFormat="false" ht="17.15" hidden="false" customHeight="false" outlineLevel="0" collapsed="false">
      <c r="A12045" s="1" t="s">
        <v>1081</v>
      </c>
      <c r="B12045" s="0" t="s">
        <v>98</v>
      </c>
      <c r="C12045" s="6" t="n">
        <f aca="false">(w_ntm28*Sens!G12032+(1-w_ntm28)*Sens!H12032)*m_pc</f>
        <v>106.232513737572</v>
      </c>
    </row>
    <row r="12046" customFormat="false" ht="17.15" hidden="false" customHeight="false" outlineLevel="0" collapsed="false">
      <c r="A12046" s="1" t="s">
        <v>1082</v>
      </c>
      <c r="B12046" s="0" t="s">
        <v>98</v>
      </c>
      <c r="C12046" s="6" t="n">
        <f aca="false">Sens!$C$12036+Sens!$C$12038+Sens!$C$12039+Sens!$C$12040+Sens!$C$12041+Sens!$C$12042+Sens!$C$12043+Sens!$C$12044+Sens!$C$12045</f>
        <v>2928.60912921925</v>
      </c>
    </row>
    <row r="12047" customFormat="false" ht="17.15" hidden="false" customHeight="false" outlineLevel="0" collapsed="false">
      <c r="A12047" s="1" t="s">
        <v>1000</v>
      </c>
      <c r="B12047" s="0" t="s">
        <v>98</v>
      </c>
      <c r="C12047" s="6" t="n">
        <f aca="false">Sens!F11997+oai_v-Sens!F11986</f>
        <v>112.299524560853</v>
      </c>
      <c r="L12047" s="1" t="s">
        <v>1083</v>
      </c>
    </row>
    <row r="12048" customFormat="false" ht="15" hidden="false" customHeight="false" outlineLevel="0" collapsed="false">
      <c r="A12048" s="1" t="s">
        <v>1001</v>
      </c>
      <c r="B12048" s="0" t="s">
        <v>75</v>
      </c>
      <c r="C12048" s="5" t="n">
        <f aca="false">(Sens!$C$12046+Sens!$C$12047)/Sens!F11999</f>
        <v>406.973856233953</v>
      </c>
    </row>
    <row r="12049" customFormat="false" ht="17.15" hidden="false" customHeight="false" outlineLevel="0" collapsed="false">
      <c r="A12049" s="1" t="s">
        <v>1084</v>
      </c>
      <c r="B12049" s="0" t="s">
        <v>75</v>
      </c>
      <c r="C12049" s="5" t="n">
        <f aca="false">w_dcf*Sens!$C$12020+(1-w_dcf)*Sens!$C$12048</f>
        <v>358.438832321312</v>
      </c>
    </row>
    <row r="12050" customFormat="false" ht="17.15" hidden="false" customHeight="false" outlineLevel="0" collapsed="false">
      <c r="A12050" s="3" t="s">
        <v>1549</v>
      </c>
    </row>
    <row r="12051" customFormat="false" ht="15" hidden="false" customHeight="false" outlineLevel="0" collapsed="false">
      <c r="A12051" s="4" t="s">
        <v>43</v>
      </c>
      <c r="B12051" s="4" t="s">
        <v>65</v>
      </c>
      <c r="C12051" s="20" t="s">
        <v>788</v>
      </c>
      <c r="D12051" s="20" t="s">
        <v>789</v>
      </c>
      <c r="E12051" s="20" t="s">
        <v>790</v>
      </c>
      <c r="F12051" s="20" t="s">
        <v>791</v>
      </c>
      <c r="G12051" s="20" t="s">
        <v>792</v>
      </c>
      <c r="H12051" s="20" t="s">
        <v>793</v>
      </c>
      <c r="I12051" s="20" t="s">
        <v>794</v>
      </c>
      <c r="J12051" s="20" t="s">
        <v>795</v>
      </c>
      <c r="K12051" s="20" t="s">
        <v>796</v>
      </c>
      <c r="L12051" s="4" t="s">
        <v>47</v>
      </c>
    </row>
    <row r="12052" customFormat="false" ht="15" hidden="false" customHeight="false" outlineLevel="0" collapsed="false">
      <c r="A12052" s="1" t="s">
        <v>1042</v>
      </c>
      <c r="B12052" s="1" t="s">
        <v>235</v>
      </c>
      <c r="F12052" s="36" t="n">
        <f aca="false">Thesis!F6-base_fy-mid_yr</f>
        <v>0.5</v>
      </c>
      <c r="G12052" s="36" t="n">
        <f aca="false">Thesis!G6-base_fy-mid_yr</f>
        <v>1.5</v>
      </c>
      <c r="H12052" s="36" t="n">
        <f aca="false">Thesis!H6-base_fy-mid_yr</f>
        <v>2.5</v>
      </c>
      <c r="I12052" s="36" t="n">
        <f aca="false">Thesis!I6-base_fy-mid_yr</f>
        <v>3.5</v>
      </c>
      <c r="J12052" s="36" t="n">
        <f aca="false">Thesis!J6-base_fy-mid_yr</f>
        <v>4.5</v>
      </c>
      <c r="K12052" s="36" t="n">
        <f aca="false">Thesis!K6-base_fy-mid_yr</f>
        <v>5.5</v>
      </c>
    </row>
    <row r="12053" customFormat="false" ht="15" hidden="false" customHeight="false" outlineLevel="0" collapsed="false">
      <c r="A12053" s="1" t="s">
        <v>1043</v>
      </c>
      <c r="B12053" s="0" t="s">
        <v>185</v>
      </c>
      <c r="F12053" s="14" t="n">
        <f aca="false">1/(1+(wacc-0.01))^Sens!F12052</f>
        <v>0.956539586874594</v>
      </c>
      <c r="G12053" s="14" t="n">
        <f aca="false">1/(1+(wacc-0.01))^Sens!G12052</f>
        <v>0.875203094796217</v>
      </c>
      <c r="H12053" s="14" t="n">
        <f aca="false">1/(1+(wacc-0.01))^Sens!H12052</f>
        <v>0.80078280883664</v>
      </c>
      <c r="I12053" s="14" t="n">
        <f aca="false">1/(1+(wacc-0.01))^Sens!I12052</f>
        <v>0.732690630027546</v>
      </c>
      <c r="J12053" s="14" t="n">
        <f aca="false">1/(1+(wacc-0.01))^Sens!J12052</f>
        <v>0.670388466643116</v>
      </c>
      <c r="K12053" s="14" t="n">
        <f aca="false">1/(1+(wacc-0.01))^Sens!K12052</f>
        <v>0.613383981983244</v>
      </c>
    </row>
    <row r="12054" customFormat="false" ht="17.15" hidden="false" customHeight="false" outlineLevel="0" collapsed="false">
      <c r="A12054" s="1" t="s">
        <v>1044</v>
      </c>
      <c r="B12054" s="0" t="s">
        <v>98</v>
      </c>
      <c r="F12054" s="6" t="n">
        <f aca="false">CF!F21-CF!F19-CF!F24+Thesis!F44*(1-tax_f)</f>
        <v>9.29995994594013</v>
      </c>
      <c r="G12054" s="6" t="n">
        <f aca="false">CF!G21-CF!G19-CF!G24+Thesis!G44*(1-tax_f)</f>
        <v>55.6803799901549</v>
      </c>
      <c r="H12054" s="6" t="n">
        <f aca="false">CF!H21-CF!H19-CF!H24+Thesis!H44*(1-tax_f)</f>
        <v>114.6308681267</v>
      </c>
      <c r="I12054" s="6" t="n">
        <f aca="false">CF!I21-CF!I19-CF!I24+Thesis!I44*(1-tax_f)</f>
        <v>192.960687587037</v>
      </c>
      <c r="J12054" s="6" t="n">
        <f aca="false">CF!J21-CF!J19-CF!J24+Thesis!J44*(1-tax_f)</f>
        <v>273.742251264366</v>
      </c>
      <c r="K12054" s="6" t="n">
        <f aca="false">CF!K21-CF!K19-CF!K24+Thesis!K44*(1-tax_f)</f>
        <v>313.491842465765</v>
      </c>
      <c r="L12054" s="1" t="s">
        <v>1045</v>
      </c>
    </row>
    <row r="12055" customFormat="false" ht="15" hidden="false" customHeight="false" outlineLevel="0" collapsed="false">
      <c r="A12055" s="1" t="s">
        <v>1046</v>
      </c>
      <c r="B12055" s="0" t="s">
        <v>98</v>
      </c>
      <c r="F12055" s="6" t="n">
        <f aca="false">Sens!F12054*Sens!F12053</f>
        <v>8.89577984463984</v>
      </c>
      <c r="G12055" s="6" t="n">
        <f aca="false">Sens!G12054*Sens!G12053</f>
        <v>48.731640886813</v>
      </c>
      <c r="H12055" s="6" t="n">
        <f aca="false">Sens!H12054*Sens!H12053</f>
        <v>91.7944285578812</v>
      </c>
      <c r="I12055" s="6" t="n">
        <f aca="false">Sens!I12054*Sens!I12053</f>
        <v>141.380487758694</v>
      </c>
      <c r="J12055" s="6" t="n">
        <f aca="false">Sens!J12054*Sens!J12053</f>
        <v>183.513648080553</v>
      </c>
      <c r="K12055" s="6" t="n">
        <f aca="false">Sens!K12054*Sens!K12053</f>
        <v>192.290874650915</v>
      </c>
    </row>
    <row r="12056" customFormat="false" ht="17.15" hidden="false" customHeight="false" outlineLevel="0" collapsed="false">
      <c r="A12056" s="1" t="s">
        <v>1047</v>
      </c>
      <c r="B12056" s="0" t="s">
        <v>98</v>
      </c>
      <c r="C12056" s="6" t="n">
        <f aca="false">SUM(Sens!F12055:K12055)</f>
        <v>666.606859779496</v>
      </c>
    </row>
    <row r="12057" customFormat="false" ht="17.15" hidden="false" customHeight="false" outlineLevel="0" collapsed="false">
      <c r="A12057" s="1" t="s">
        <v>1048</v>
      </c>
      <c r="B12057" s="0" t="s">
        <v>98</v>
      </c>
      <c r="C12057" s="6" t="n">
        <f aca="false">PL!K39*(1+g_tv)*(1-tax_f)</f>
        <v>325.338496025769</v>
      </c>
    </row>
    <row r="12058" customFormat="false" ht="17.15" hidden="false" customHeight="false" outlineLevel="0" collapsed="false">
      <c r="A12058" s="1" t="s">
        <v>1049</v>
      </c>
      <c r="B12058" s="0" t="s">
        <v>98</v>
      </c>
      <c r="C12058" s="6" t="n">
        <f aca="false">Sens!$C$12057*(1-g_tv/((wacc-0.01)+ronic_prem))</f>
        <v>220.316536766551</v>
      </c>
    </row>
    <row r="12059" customFormat="false" ht="17.15" hidden="false" customHeight="false" outlineLevel="0" collapsed="false">
      <c r="A12059" s="1" t="s">
        <v>1050</v>
      </c>
      <c r="B12059" s="0" t="s">
        <v>98</v>
      </c>
      <c r="C12059" s="6" t="n">
        <f aca="false">Sens!$C$12058/((wacc-0.01)-g_tv)</f>
        <v>3500.73197530728</v>
      </c>
    </row>
    <row r="12060" customFormat="false" ht="15" hidden="false" customHeight="false" outlineLevel="0" collapsed="false">
      <c r="A12060" s="1" t="s">
        <v>1051</v>
      </c>
      <c r="B12060" s="0" t="s">
        <v>98</v>
      </c>
      <c r="C12060" s="6" t="n">
        <f aca="false">Sens!$C$12059/(1+(wacc-0.01))^(Sens!K12052+mid_yr)</f>
        <v>2053.97068151469</v>
      </c>
    </row>
    <row r="12061" customFormat="false" ht="17.15" hidden="false" customHeight="false" outlineLevel="0" collapsed="false">
      <c r="A12061" s="0" t="s">
        <v>972</v>
      </c>
      <c r="B12061" s="0" t="s">
        <v>98</v>
      </c>
      <c r="C12061" s="6" t="n">
        <f aca="false">Sens!$C$12056+Sens!$C$12060</f>
        <v>2720.57754129419</v>
      </c>
    </row>
    <row r="12062" customFormat="false" ht="15" hidden="false" customHeight="false" outlineLevel="0" collapsed="false">
      <c r="A12062" s="1" t="s">
        <v>973</v>
      </c>
      <c r="B12062" s="0" t="s">
        <v>129</v>
      </c>
      <c r="C12062" s="7" t="n">
        <f aca="false">Sens!$C$12060/Sens!$C$12061</f>
        <v>0.754975974894511</v>
      </c>
    </row>
    <row r="12063" customFormat="false" ht="17.15" hidden="false" customHeight="false" outlineLevel="0" collapsed="false">
      <c r="A12063" s="1" t="s">
        <v>1052</v>
      </c>
      <c r="B12063" s="0" t="s">
        <v>98</v>
      </c>
      <c r="C12063" s="6" t="n">
        <f aca="false">Sens!$C$12061+CF!E36-CF!E25+oai_v</f>
        <v>2855.09054129419</v>
      </c>
    </row>
    <row r="12064" customFormat="false" ht="17.15" hidden="false" customHeight="false" outlineLevel="0" collapsed="false">
      <c r="A12064" s="0" t="s">
        <v>980</v>
      </c>
      <c r="B12064" s="0" t="s">
        <v>75</v>
      </c>
      <c r="C12064" s="5" t="n">
        <f aca="false">Sens!$C$12063/sh_dil26</f>
        <v>383.079369555104</v>
      </c>
    </row>
    <row r="12065" customFormat="false" ht="15" hidden="false" customHeight="false" outlineLevel="0" collapsed="false">
      <c r="A12065" s="1" t="s">
        <v>1053</v>
      </c>
      <c r="B12065" s="0" t="s">
        <v>75</v>
      </c>
      <c r="C12065" s="8" t="n">
        <f aca="false">dps_27+CF!G28*roll_div_q/q_per_yr</f>
        <v>4.8895</v>
      </c>
    </row>
    <row r="12066" customFormat="false" ht="17.15" hidden="false" customHeight="false" outlineLevel="0" collapsed="false">
      <c r="A12066" s="0" t="s">
        <v>1054</v>
      </c>
      <c r="B12066" s="0" t="s">
        <v>75</v>
      </c>
      <c r="C12066" s="5" t="n">
        <f aca="false">Sens!$C$12064*(1+(wacc-0.01))^t_roll-Sens!$C$12065</f>
        <v>426.098921181076</v>
      </c>
    </row>
    <row r="12067" customFormat="false" ht="17.15" hidden="false" customHeight="false" outlineLevel="0" collapsed="false">
      <c r="A12067" s="1" t="s">
        <v>1055</v>
      </c>
      <c r="B12067" s="0" t="s">
        <v>129</v>
      </c>
      <c r="F12067" s="7" t="n">
        <f aca="false">CF!F17/(Seg!F29-Thesis!F23)</f>
        <v>0.0681773598226415</v>
      </c>
      <c r="G12067" s="7" t="n">
        <f aca="false">CF!G17/(Seg!G29-Thesis!G23)</f>
        <v>0.0650385409375172</v>
      </c>
      <c r="H12067" s="7" t="n">
        <f aca="false">CF!H17/(Seg!H29-Thesis!H23)</f>
        <v>0.063382542471986</v>
      </c>
      <c r="I12067" s="7" t="n">
        <f aca="false">CF!I17/(Seg!I29-Thesis!I23)</f>
        <v>0.0630998138876076</v>
      </c>
      <c r="J12067" s="7" t="n">
        <f aca="false">CF!J17/(Seg!J29-Thesis!J23)</f>
        <v>0.0638399980286975</v>
      </c>
      <c r="K12067" s="7" t="n">
        <f aca="false">CF!K17/(Seg!K29-Thesis!K23)</f>
        <v>0.0651531082402687</v>
      </c>
    </row>
    <row r="12068" customFormat="false" ht="17.15" hidden="false" customHeight="false" outlineLevel="0" collapsed="false">
      <c r="A12068" s="0" t="s">
        <v>1056</v>
      </c>
      <c r="B12068" s="0" t="s">
        <v>98</v>
      </c>
      <c r="F12068" s="6" t="n">
        <f aca="false">Seg!F14*(al_m365+Sens!F12067+sbc_r)</f>
        <v>84.944046606333</v>
      </c>
      <c r="G12068" s="6" t="n">
        <f aca="false">Seg!G14*(al_m365+Sens!G12067+sbc_r)</f>
        <v>99.4236143320739</v>
      </c>
      <c r="H12068" s="6" t="n">
        <f aca="false">Seg!H14*(al_m365+Sens!H12067+sbc_r)</f>
        <v>114.068697186163</v>
      </c>
      <c r="I12068" s="6" t="n">
        <f aca="false">Seg!I14*(al_m365+Sens!I12067+sbc_r)</f>
        <v>127.196415789369</v>
      </c>
      <c r="J12068" s="6" t="n">
        <f aca="false">Seg!J14*(al_m365+Sens!J12067+sbc_r)</f>
        <v>138.619575691419</v>
      </c>
      <c r="K12068" s="6" t="n">
        <f aca="false">Seg!K14*(al_m365+Sens!K12067+sbc_r)</f>
        <v>149.659768267063</v>
      </c>
      <c r="L12068" s="11" t="s">
        <v>1057</v>
      </c>
    </row>
    <row r="12069" customFormat="false" ht="17.15" hidden="false" customHeight="false" outlineLevel="0" collapsed="false">
      <c r="A12069" s="0" t="s">
        <v>1058</v>
      </c>
      <c r="B12069" s="0" t="s">
        <v>98</v>
      </c>
      <c r="F12069" s="6" t="n">
        <f aca="false">Seg!F15*(al_lic+Sens!F12067+sbc_r)</f>
        <v>33.4285095904825</v>
      </c>
      <c r="G12069" s="6" t="n">
        <f aca="false">Seg!G15*(al_lic+Sens!G12067+sbc_r)</f>
        <v>34.7161826947861</v>
      </c>
      <c r="H12069" s="6" t="n">
        <f aca="false">Seg!H15*(al_lic+Sens!H12067+sbc_r)</f>
        <v>35.9223654002493</v>
      </c>
      <c r="I12069" s="6" t="n">
        <f aca="false">Seg!I15*(al_lic+Sens!I12067+sbc_r)</f>
        <v>37.0298325864501</v>
      </c>
      <c r="J12069" s="6" t="n">
        <f aca="false">Seg!J15*(al_lic+Sens!J12067+sbc_r)</f>
        <v>38.0103325842314</v>
      </c>
      <c r="K12069" s="6" t="n">
        <f aca="false">Seg!K15*(al_lic+Sens!K12067+sbc_r)</f>
        <v>38.8303473189322</v>
      </c>
    </row>
    <row r="12070" customFormat="false" ht="17.15" hidden="false" customHeight="false" outlineLevel="0" collapsed="false">
      <c r="A12070" s="0" t="s">
        <v>1059</v>
      </c>
      <c r="B12070" s="0" t="s">
        <v>98</v>
      </c>
      <c r="F12070" s="6" t="n">
        <f aca="false">Seg!F17*(al_ind+Sens!F12067+sbc_r)</f>
        <v>9.06719306746208</v>
      </c>
      <c r="G12070" s="6" t="n">
        <f aca="false">Seg!G17*(al_ind+Sens!G12067+sbc_r)</f>
        <v>9.83485541633448</v>
      </c>
      <c r="H12070" s="6" t="n">
        <f aca="false">Seg!H17*(al_ind+Sens!H12067+sbc_r)</f>
        <v>10.6498544617516</v>
      </c>
      <c r="I12070" s="6" t="n">
        <f aca="false">Seg!I17*(al_ind+Sens!I12067+sbc_r)</f>
        <v>11.5103515303299</v>
      </c>
      <c r="J12070" s="6" t="n">
        <f aca="false">Seg!J17*(al_ind+Sens!J12067+sbc_r)</f>
        <v>12.4055032067278</v>
      </c>
      <c r="K12070" s="6" t="n">
        <f aca="false">Seg!K17*(al_ind+Sens!K12067+sbc_r)</f>
        <v>13.3173308472897</v>
      </c>
    </row>
    <row r="12071" customFormat="false" ht="17.15" hidden="false" customHeight="false" outlineLevel="0" collapsed="false">
      <c r="A12071" s="0" t="s">
        <v>1060</v>
      </c>
      <c r="B12071" s="0" t="s">
        <v>98</v>
      </c>
      <c r="F12071" s="6" t="n">
        <f aca="false">Seg!F19*(al_fro+Sens!F12067+sbc_r)</f>
        <v>3.56887902446295</v>
      </c>
      <c r="G12071" s="6" t="n">
        <f aca="false">Seg!G19*(al_fro+Sens!G12067+sbc_r)</f>
        <v>3.77600302676241</v>
      </c>
      <c r="H12071" s="6" t="n">
        <f aca="false">Seg!H19*(al_fro+Sens!H12067+sbc_r)</f>
        <v>4.01322967965482</v>
      </c>
      <c r="I12071" s="6" t="n">
        <f aca="false">Seg!I19*(al_fro+Sens!I12067+sbc_r)</f>
        <v>4.28368437397841</v>
      </c>
      <c r="J12071" s="6" t="n">
        <f aca="false">Seg!J19*(al_fro+Sens!J12067+sbc_r)</f>
        <v>4.58803182845156</v>
      </c>
      <c r="K12071" s="6" t="n">
        <f aca="false">Seg!K19*(al_fro+Sens!K12067+sbc_r)</f>
        <v>4.92526073140255</v>
      </c>
    </row>
    <row r="12072" customFormat="false" ht="17.15" hidden="false" customHeight="false" outlineLevel="0" collapsed="false">
      <c r="A12072" s="0" t="s">
        <v>1061</v>
      </c>
      <c r="B12072" s="0" t="s">
        <v>98</v>
      </c>
      <c r="F12072" s="6" t="n">
        <f aca="false">Seg!F22*(al_srch+Sens!F12067+sbc_r)</f>
        <v>11.1981144415922</v>
      </c>
      <c r="G12072" s="6" t="n">
        <f aca="false">Seg!G22*(al_srch+Sens!G12067+sbc_r)</f>
        <v>12.2607925441521</v>
      </c>
      <c r="H12072" s="6" t="n">
        <f aca="false">Seg!H22*(al_srch+Sens!H12067+sbc_r)</f>
        <v>13.3712787172501</v>
      </c>
      <c r="I12072" s="6" t="n">
        <f aca="false">Seg!I22*(al_srch+Sens!I12067+sbc_r)</f>
        <v>14.5205713773955</v>
      </c>
      <c r="J12072" s="6" t="n">
        <f aca="false">Seg!J22*(al_srch+Sens!J12067+sbc_r)</f>
        <v>15.6873363367184</v>
      </c>
      <c r="K12072" s="6" t="n">
        <f aca="false">Seg!K22*(al_srch+Sens!K12067+sbc_r)</f>
        <v>16.8403848378749</v>
      </c>
    </row>
    <row r="12073" customFormat="false" ht="17.15" hidden="false" customHeight="false" outlineLevel="0" collapsed="false">
      <c r="A12073" s="0" t="s">
        <v>1062</v>
      </c>
      <c r="B12073" s="0" t="s">
        <v>98</v>
      </c>
      <c r="F12073" s="6" t="n">
        <f aca="false">Thesis!F29-Thesis!F30+Thesis!F44</f>
        <v>55.6743052939671</v>
      </c>
      <c r="G12073" s="6" t="n">
        <f aca="false">Thesis!G29-Thesis!G30+Thesis!G44</f>
        <v>100.2533125707</v>
      </c>
      <c r="H12073" s="6" t="n">
        <f aca="false">Thesis!H29-Thesis!H30+Thesis!H44</f>
        <v>152.31255014234</v>
      </c>
      <c r="I12073" s="6" t="n">
        <f aca="false">Thesis!I29-Thesis!I30+Thesis!I44</f>
        <v>194.041990076394</v>
      </c>
      <c r="J12073" s="6" t="n">
        <f aca="false">Thesis!J29-Thesis!J30+Thesis!J44</f>
        <v>223.463148273617</v>
      </c>
      <c r="K12073" s="6" t="n">
        <f aca="false">Thesis!K29-Thesis!K30+Thesis!K44</f>
        <v>241.312249272487</v>
      </c>
    </row>
    <row r="12074" customFormat="false" ht="17.15" hidden="false" customHeight="false" outlineLevel="0" collapsed="false">
      <c r="A12074" s="0" t="s">
        <v>1063</v>
      </c>
      <c r="B12074" s="0" t="s">
        <v>98</v>
      </c>
      <c r="F12074" s="6" t="n">
        <f aca="false">PL!F32+Thesis!F44+Thesis!F40+Sens!F12067*(Seg!F21-Thesis!F23)+sbc_r*Seg!F21</f>
        <v>247.769309676659</v>
      </c>
      <c r="G12074" s="6" t="n">
        <f aca="false">PL!G32+Thesis!G44+Thesis!G40+Sens!G12067*(Seg!G21-Thesis!G23)+sbc_r*Seg!G21</f>
        <v>321.625870182006</v>
      </c>
      <c r="H12074" s="6" t="n">
        <f aca="false">PL!H32+Thesis!H44+Thesis!H40+Sens!H12067*(Seg!H21-Thesis!H23)+sbc_r*Seg!H21</f>
        <v>403.668756829163</v>
      </c>
      <c r="I12074" s="6" t="n">
        <f aca="false">PL!I32+Thesis!I44+Thesis!I40+Sens!I12067*(Seg!I21-Thesis!I23)+sbc_r*Seg!I21</f>
        <v>473.311817063846</v>
      </c>
      <c r="J12074" s="6" t="n">
        <f aca="false">PL!J32+Thesis!J44+Thesis!J40+Sens!J12067*(Seg!J21-Thesis!J23)+sbc_r*Seg!J21</f>
        <v>527.683171494685</v>
      </c>
      <c r="K12074" s="6" t="n">
        <f aca="false">PL!K32+Thesis!K44+Thesis!K40+Sens!K12067*(Seg!K21-Thesis!K23)+sbc_r*Seg!K21</f>
        <v>568.060513693045</v>
      </c>
    </row>
    <row r="12075" customFormat="false" ht="17.15" hidden="false" customHeight="false" outlineLevel="0" collapsed="false">
      <c r="A12075" s="0" t="s">
        <v>1064</v>
      </c>
      <c r="B12075" s="0" t="s">
        <v>98</v>
      </c>
      <c r="F12075" s="6" t="n">
        <f aca="false">Sens!F12074-Sens!F12068-Sens!F12069-Sens!F12070-Sens!F12071-Sens!F12073</f>
        <v>61.0863760939514</v>
      </c>
      <c r="G12075" s="6" t="n">
        <f aca="false">Sens!G12074-Sens!G12068-Sens!G12069-Sens!G12070-Sens!G12071-Sens!G12073</f>
        <v>73.6219021413484</v>
      </c>
      <c r="H12075" s="6" t="n">
        <f aca="false">Sens!H12074-Sens!H12068-Sens!H12069-Sens!H12070-Sens!H12071-Sens!H12073</f>
        <v>86.7020599590046</v>
      </c>
      <c r="I12075" s="6" t="n">
        <f aca="false">Sens!I12074-Sens!I12068-Sens!I12069-Sens!I12070-Sens!I12071-Sens!I12073</f>
        <v>99.2495427073239</v>
      </c>
      <c r="J12075" s="6" t="n">
        <f aca="false">Sens!J12074-Sens!J12068-Sens!J12069-Sens!J12070-Sens!J12071-Sens!J12073</f>
        <v>110.596579910238</v>
      </c>
      <c r="K12075" s="6" t="n">
        <f aca="false">Sens!K12074-Sens!K12068-Sens!K12069-Sens!K12070-Sens!K12071-Sens!K12073</f>
        <v>120.01555725587</v>
      </c>
    </row>
    <row r="12076" customFormat="false" ht="17.15" hidden="false" customHeight="false" outlineLevel="0" collapsed="false">
      <c r="A12076" s="0" t="s">
        <v>1065</v>
      </c>
      <c r="B12076" s="0" t="s">
        <v>98</v>
      </c>
      <c r="F12076" s="6" t="n">
        <f aca="false">PL!F34+Sens!F12067*Seg!F28+sbc_r*Seg!F28</f>
        <v>26.1717931813002</v>
      </c>
      <c r="G12076" s="6" t="n">
        <f aca="false">PL!G34+Sens!G12067*Seg!G28+sbc_r*Seg!G28</f>
        <v>26.7581197754446</v>
      </c>
      <c r="H12076" s="6" t="n">
        <f aca="false">PL!H34+Sens!H12067*Seg!H28+sbc_r*Seg!H28</f>
        <v>27.6201174920951</v>
      </c>
      <c r="I12076" s="6" t="n">
        <f aca="false">PL!I34+Sens!I12067*Seg!I28+sbc_r*Seg!I28</f>
        <v>28.7296306530919</v>
      </c>
      <c r="J12076" s="6" t="n">
        <f aca="false">PL!J34+Sens!J12067*Seg!J28+sbc_r*Seg!J28</f>
        <v>30.04749983899</v>
      </c>
      <c r="K12076" s="6" t="n">
        <f aca="false">PL!K34+Sens!K12067*Seg!K28+sbc_r*Seg!K28</f>
        <v>31.5292329023825</v>
      </c>
    </row>
    <row r="12077" customFormat="false" ht="17.15" hidden="false" customHeight="false" outlineLevel="0" collapsed="false">
      <c r="A12077" s="0" t="s">
        <v>1066</v>
      </c>
      <c r="B12077" s="0" t="s">
        <v>98</v>
      </c>
      <c r="F12077" s="6" t="n">
        <f aca="false">(Sens!F12076-Sens!F12072)*Seg!F24/(Seg!F24+Seg!F26)</f>
        <v>8.20842484359027</v>
      </c>
      <c r="G12077" s="6" t="n">
        <f aca="false">(Sens!G12076-Sens!G12072)*Seg!G24/(Seg!G24+Seg!G26)</f>
        <v>7.80559384110416</v>
      </c>
      <c r="H12077" s="6" t="n">
        <f aca="false">(Sens!H12076-Sens!H12072)*Seg!H24/(Seg!H24+Seg!H26)</f>
        <v>7.56817041839156</v>
      </c>
      <c r="I12077" s="6" t="n">
        <f aca="false">(Sens!I12076-Sens!I12072)*Seg!I24/(Seg!I24+Seg!I26)</f>
        <v>7.47875608696462</v>
      </c>
      <c r="J12077" s="6" t="n">
        <f aca="false">(Sens!J12076-Sens!J12072)*Seg!J24/(Seg!J24+Seg!J26)</f>
        <v>7.52410955955578</v>
      </c>
      <c r="K12077" s="6" t="n">
        <f aca="false">(Sens!K12076-Sens!K12072)*Seg!K24/(Seg!K24+Seg!K26)</f>
        <v>7.6963261681206</v>
      </c>
    </row>
    <row r="12078" customFormat="false" ht="17.15" hidden="false" customHeight="false" outlineLevel="0" collapsed="false">
      <c r="A12078" s="0" t="s">
        <v>1067</v>
      </c>
      <c r="B12078" s="0" t="s">
        <v>98</v>
      </c>
      <c r="F12078" s="6" t="n">
        <f aca="false">Sens!F12076-Sens!F12072-Sens!F12077</f>
        <v>6.76525389611778</v>
      </c>
      <c r="G12078" s="6" t="n">
        <f aca="false">Sens!G12076-Sens!G12072-Sens!G12077</f>
        <v>6.69173339018827</v>
      </c>
      <c r="H12078" s="6" t="n">
        <f aca="false">Sens!H12076-Sens!H12072-Sens!H12077</f>
        <v>6.68066835645346</v>
      </c>
      <c r="I12078" s="6" t="n">
        <f aca="false">Sens!I12076-Sens!I12072-Sens!I12077</f>
        <v>6.73030318873177</v>
      </c>
      <c r="J12078" s="6" t="n">
        <f aca="false">Sens!J12076-Sens!J12072-Sens!J12077</f>
        <v>6.83605394271588</v>
      </c>
      <c r="K12078" s="6" t="n">
        <f aca="false">Sens!K12076-Sens!K12072-Sens!K12077</f>
        <v>6.99252189638696</v>
      </c>
    </row>
    <row r="12079" customFormat="false" ht="17.15" hidden="false" customHeight="false" outlineLevel="0" collapsed="false">
      <c r="A12079" s="0" t="s">
        <v>1068</v>
      </c>
      <c r="B12079" s="0" t="s">
        <v>98</v>
      </c>
      <c r="F12079" s="6" t="n">
        <f aca="false">Sens!F12073-tax_f*(Sens!F12073-Thesis!F40)-Thesis!F37</f>
        <v>-116.98560144409</v>
      </c>
      <c r="G12079" s="6" t="n">
        <f aca="false">Sens!G12073-tax_f*(Sens!G12073-Thesis!G40)-Thesis!G37</f>
        <v>-91.2751837745719</v>
      </c>
      <c r="H12079" s="6" t="n">
        <f aca="false">Sens!H12073-tax_f*(Sens!H12073-Thesis!H40)-Thesis!H37</f>
        <v>-48.6867825979003</v>
      </c>
      <c r="I12079" s="6" t="n">
        <f aca="false">Sens!I12073-tax_f*(Sens!I12073-Thesis!I40)-Thesis!I37</f>
        <v>13.9193309033143</v>
      </c>
      <c r="J12079" s="6" t="n">
        <f aca="false">Sens!J12073-tax_f*(Sens!J12073-Thesis!J40)-Thesis!J37</f>
        <v>80.0897840853365</v>
      </c>
      <c r="K12079" s="6" t="n">
        <f aca="false">Sens!K12073-tax_f*(Sens!K12073-Thesis!K40)-Thesis!K37</f>
        <v>106.014893136948</v>
      </c>
    </row>
    <row r="12080" customFormat="false" ht="17.15" hidden="false" customHeight="false" outlineLevel="0" collapsed="false">
      <c r="A12080" s="0" t="s">
        <v>1069</v>
      </c>
      <c r="B12080" s="0" t="s">
        <v>98</v>
      </c>
      <c r="F12080" s="6" t="n">
        <f aca="false">Sens!F12079*Sens!F12053</f>
        <v>-111.901358875606</v>
      </c>
      <c r="G12080" s="6" t="n">
        <f aca="false">Sens!G12079*Sens!G12053</f>
        <v>-79.8843233175988</v>
      </c>
      <c r="H12080" s="6" t="n">
        <f aca="false">Sens!H12079*Sens!H12053</f>
        <v>-38.9875385219654</v>
      </c>
      <c r="I12080" s="6" t="n">
        <f aca="false">Sens!I12079*Sens!I12053</f>
        <v>10.1985633291113</v>
      </c>
      <c r="J12080" s="6" t="n">
        <f aca="false">Sens!J12079*Sens!J12053</f>
        <v>53.691267546747</v>
      </c>
      <c r="K12080" s="6" t="n">
        <f aca="false">Sens!K12079*Sens!K12053</f>
        <v>65.0278373018695</v>
      </c>
    </row>
    <row r="12081" customFormat="false" ht="17.15" hidden="false" customHeight="false" outlineLevel="0" collapsed="false">
      <c r="A12081" s="0" t="s">
        <v>1070</v>
      </c>
      <c r="B12081" s="0" t="s">
        <v>98</v>
      </c>
      <c r="C12081" s="6" t="n">
        <f aca="false">(Sens!K12073-Thesis!K40)*(1-tax_f)*(1+g_tv)*(1-g_tv/((wacc-0.01)+ronic_prem))/((wacc-0.01)-g_tv)/(1+(wacc-0.01))^(Sens!K12052+mid_yr)</f>
        <v>529.00837392368</v>
      </c>
    </row>
    <row r="12082" customFormat="false" ht="17.15" hidden="false" customHeight="false" outlineLevel="0" collapsed="false">
      <c r="A12082" s="1" t="s">
        <v>1071</v>
      </c>
      <c r="B12082" s="0" t="s">
        <v>98</v>
      </c>
      <c r="C12082" s="6" t="n">
        <f aca="false">(SUM(Sens!F12080:K12080)+Sens!$C$12081)*(1+(wacc-0.01))^t_roll</f>
        <v>480.573830707987</v>
      </c>
      <c r="L12082" s="11" t="s">
        <v>1072</v>
      </c>
    </row>
    <row r="12083" customFormat="false" ht="17.15" hidden="false" customHeight="false" outlineLevel="0" collapsed="false">
      <c r="A12083" s="1" t="s">
        <v>1073</v>
      </c>
      <c r="B12083" s="0" t="s">
        <v>98</v>
      </c>
      <c r="C12083" s="6" t="n">
        <f aca="false">(w_ntm28*Thesis!G29+(1-w_ntm28)*Thesis!H29)*m_ai</f>
        <v>551.711134531404</v>
      </c>
    </row>
    <row r="12084" customFormat="false" ht="17.15" hidden="false" customHeight="false" outlineLevel="0" collapsed="false">
      <c r="A12084" s="1" t="s">
        <v>1074</v>
      </c>
      <c r="B12084" s="0" t="s">
        <v>98</v>
      </c>
      <c r="C12084" s="6" t="n">
        <f aca="false">(w_ntm28*Sens!G12075+(1-w_ntm28)*Sens!H12075)*m_cloud</f>
        <v>1075.89468255979</v>
      </c>
    </row>
    <row r="12085" customFormat="false" ht="17.15" hidden="false" customHeight="false" outlineLevel="0" collapsed="false">
      <c r="A12085" s="1" t="s">
        <v>1075</v>
      </c>
      <c r="B12085" s="0" t="s">
        <v>98</v>
      </c>
      <c r="C12085" s="6" t="n">
        <f aca="false">(w_ntm28*Sens!G12068+(1-w_ntm28)*Sens!H12068)*m_sw</f>
        <v>1124.90844188024</v>
      </c>
    </row>
    <row r="12086" customFormat="false" ht="17.15" hidden="false" customHeight="false" outlineLevel="0" collapsed="false">
      <c r="A12086" s="1" t="s">
        <v>1076</v>
      </c>
      <c r="B12086" s="0" t="s">
        <v>98</v>
      </c>
      <c r="C12086" s="6" t="n">
        <f aca="false">(w_ntm28*Sens!G12069+(1-w_ntm28)*Sens!H12069)*m_sw</f>
        <v>379.14616828134</v>
      </c>
    </row>
    <row r="12087" customFormat="false" ht="17.15" hidden="false" customHeight="false" outlineLevel="0" collapsed="false">
      <c r="A12087" s="1" t="s">
        <v>1077</v>
      </c>
      <c r="B12087" s="0" t="s">
        <v>98</v>
      </c>
      <c r="C12087" s="6" t="n">
        <f aca="false">(w_ntm28*Sens!G12070+(1-w_ntm28)*Sens!H12070)*m_sw</f>
        <v>109.062013245671</v>
      </c>
    </row>
    <row r="12088" customFormat="false" ht="17.15" hidden="false" customHeight="false" outlineLevel="0" collapsed="false">
      <c r="A12088" s="1" t="s">
        <v>1078</v>
      </c>
      <c r="B12088" s="0" t="s">
        <v>98</v>
      </c>
      <c r="C12088" s="6" t="n">
        <f aca="false">(w_ntm28*Sens!G12071+(1-w_ntm28)*Sens!H12071)*m_sw</f>
        <v>41.609111172448</v>
      </c>
    </row>
    <row r="12089" customFormat="false" ht="17.15" hidden="false" customHeight="false" outlineLevel="0" collapsed="false">
      <c r="A12089" s="1" t="s">
        <v>1079</v>
      </c>
      <c r="B12089" s="0" t="s">
        <v>98</v>
      </c>
      <c r="C12089" s="6" t="n">
        <f aca="false">(w_ntm28*Sens!G12072+(1-w_ntm28)*Sens!H12072)*m_ads</f>
        <v>114.966369190532</v>
      </c>
    </row>
    <row r="12090" customFormat="false" ht="17.15" hidden="false" customHeight="false" outlineLevel="0" collapsed="false">
      <c r="A12090" s="1" t="s">
        <v>1080</v>
      </c>
      <c r="B12090" s="0" t="s">
        <v>98</v>
      </c>
      <c r="C12090" s="6" t="n">
        <f aca="false">(w_ntm28*Sens!G12077+(1-w_ntm28)*Sens!H12077)*m_game</f>
        <v>97.6152211068291</v>
      </c>
    </row>
    <row r="12091" customFormat="false" ht="17.15" hidden="false" customHeight="false" outlineLevel="0" collapsed="false">
      <c r="A12091" s="1" t="s">
        <v>1081</v>
      </c>
      <c r="B12091" s="0" t="s">
        <v>98</v>
      </c>
      <c r="C12091" s="6" t="n">
        <f aca="false">(w_ntm28*Sens!G12078+(1-w_ntm28)*Sens!H12078)*m_pc</f>
        <v>96.7776202313644</v>
      </c>
    </row>
    <row r="12092" customFormat="false" ht="17.15" hidden="false" customHeight="false" outlineLevel="0" collapsed="false">
      <c r="A12092" s="1" t="s">
        <v>1082</v>
      </c>
      <c r="B12092" s="0" t="s">
        <v>98</v>
      </c>
      <c r="C12092" s="6" t="n">
        <f aca="false">Sens!$C$12082+Sens!$C$12084+Sens!$C$12085+Sens!$C$12086+Sens!$C$12087+Sens!$C$12088+Sens!$C$12089+Sens!$C$12090+Sens!$C$12091</f>
        <v>3520.5534583762</v>
      </c>
    </row>
    <row r="12093" customFormat="false" ht="17.15" hidden="false" customHeight="false" outlineLevel="0" collapsed="false">
      <c r="A12093" s="1" t="s">
        <v>1000</v>
      </c>
      <c r="B12093" s="0" t="s">
        <v>98</v>
      </c>
      <c r="C12093" s="6" t="n">
        <f aca="false">CF!F36+oai_v-CF!F25</f>
        <v>115.079583119545</v>
      </c>
      <c r="L12093" s="1" t="s">
        <v>1083</v>
      </c>
    </row>
    <row r="12094" customFormat="false" ht="15" hidden="false" customHeight="false" outlineLevel="0" collapsed="false">
      <c r="A12094" s="1" t="s">
        <v>1001</v>
      </c>
      <c r="B12094" s="0" t="s">
        <v>75</v>
      </c>
      <c r="C12094" s="5" t="n">
        <f aca="false">(Sens!$C$12092+Sens!$C$12093)/CF!F38</f>
        <v>486.567591206604</v>
      </c>
    </row>
    <row r="12095" customFormat="false" ht="17.15" hidden="false" customHeight="false" outlineLevel="0" collapsed="false">
      <c r="A12095" s="1" t="s">
        <v>1084</v>
      </c>
      <c r="B12095" s="0" t="s">
        <v>75</v>
      </c>
      <c r="C12095" s="5" t="n">
        <f aca="false">w_dcf*Sens!$C$12066+(1-w_dcf)*Sens!$C$12094</f>
        <v>456.33325619384</v>
      </c>
    </row>
    <row r="12096" customFormat="false" ht="17.15" hidden="false" customHeight="false" outlineLevel="0" collapsed="false">
      <c r="A12096" s="3" t="s">
        <v>1550</v>
      </c>
    </row>
    <row r="12097" customFormat="false" ht="15" hidden="false" customHeight="false" outlineLevel="0" collapsed="false">
      <c r="A12097" s="4" t="s">
        <v>43</v>
      </c>
      <c r="B12097" s="4" t="s">
        <v>65</v>
      </c>
      <c r="C12097" s="20" t="s">
        <v>788</v>
      </c>
      <c r="D12097" s="20" t="s">
        <v>789</v>
      </c>
      <c r="E12097" s="20" t="s">
        <v>790</v>
      </c>
      <c r="F12097" s="20" t="s">
        <v>791</v>
      </c>
      <c r="G12097" s="20" t="s">
        <v>792</v>
      </c>
      <c r="H12097" s="20" t="s">
        <v>793</v>
      </c>
      <c r="I12097" s="20" t="s">
        <v>794</v>
      </c>
      <c r="J12097" s="20" t="s">
        <v>795</v>
      </c>
      <c r="K12097" s="20" t="s">
        <v>796</v>
      </c>
      <c r="L12097" s="4" t="s">
        <v>47</v>
      </c>
    </row>
    <row r="12098" customFormat="false" ht="15" hidden="false" customHeight="false" outlineLevel="0" collapsed="false">
      <c r="A12098" s="1" t="s">
        <v>1042</v>
      </c>
      <c r="B12098" s="1" t="s">
        <v>235</v>
      </c>
      <c r="F12098" s="36" t="n">
        <f aca="false">Thesis!F55-base_fy-mid_yr</f>
        <v>0.5</v>
      </c>
      <c r="G12098" s="36" t="n">
        <f aca="false">Thesis!G55-base_fy-mid_yr</f>
        <v>1.5</v>
      </c>
      <c r="H12098" s="36" t="n">
        <f aca="false">Thesis!H55-base_fy-mid_yr</f>
        <v>2.5</v>
      </c>
      <c r="I12098" s="36" t="n">
        <f aca="false">Thesis!I55-base_fy-mid_yr</f>
        <v>3.5</v>
      </c>
      <c r="J12098" s="36" t="n">
        <f aca="false">Thesis!J55-base_fy-mid_yr</f>
        <v>4.5</v>
      </c>
      <c r="K12098" s="36" t="n">
        <f aca="false">Thesis!K55-base_fy-mid_yr</f>
        <v>5.5</v>
      </c>
    </row>
    <row r="12099" customFormat="false" ht="15" hidden="false" customHeight="false" outlineLevel="0" collapsed="false">
      <c r="A12099" s="1" t="s">
        <v>1043</v>
      </c>
      <c r="B12099" s="0" t="s">
        <v>185</v>
      </c>
      <c r="F12099" s="14" t="n">
        <f aca="false">1/(1+(wacc-0.01))^Sens!F12098</f>
        <v>0.956539586874594</v>
      </c>
      <c r="G12099" s="14" t="n">
        <f aca="false">1/(1+(wacc-0.01))^Sens!G12098</f>
        <v>0.875203094796217</v>
      </c>
      <c r="H12099" s="14" t="n">
        <f aca="false">1/(1+(wacc-0.01))^Sens!H12098</f>
        <v>0.80078280883664</v>
      </c>
      <c r="I12099" s="14" t="n">
        <f aca="false">1/(1+(wacc-0.01))^Sens!I12098</f>
        <v>0.732690630027546</v>
      </c>
      <c r="J12099" s="14" t="n">
        <f aca="false">1/(1+(wacc-0.01))^Sens!J12098</f>
        <v>0.670388466643116</v>
      </c>
      <c r="K12099" s="14" t="n">
        <f aca="false">1/(1+(wacc-0.01))^Sens!K12098</f>
        <v>0.613383981983244</v>
      </c>
    </row>
    <row r="12100" customFormat="false" ht="17.15" hidden="false" customHeight="false" outlineLevel="0" collapsed="false">
      <c r="A12100" s="1" t="s">
        <v>1044</v>
      </c>
      <c r="B12100" s="0" t="s">
        <v>98</v>
      </c>
      <c r="F12100" s="6" t="n">
        <f aca="false">CF!F50-CF!F48-CF!F53+Thesis!F93*(1-tax_f)</f>
        <v>6.35272982150552</v>
      </c>
      <c r="G12100" s="6" t="n">
        <f aca="false">CF!G50-CF!G48-CF!G53+Thesis!G93*(1-tax_f)</f>
        <v>46.5420417324757</v>
      </c>
      <c r="H12100" s="6" t="n">
        <f aca="false">CF!H50-CF!H48-CF!H53+Thesis!H93*(1-tax_f)</f>
        <v>95.2982347048119</v>
      </c>
      <c r="I12100" s="6" t="n">
        <f aca="false">CF!I50-CF!I48-CF!I53+Thesis!I93*(1-tax_f)</f>
        <v>168.760108332815</v>
      </c>
      <c r="J12100" s="6" t="n">
        <f aca="false">CF!J50-CF!J48-CF!J53+Thesis!J93*(1-tax_f)</f>
        <v>246.10903404452</v>
      </c>
      <c r="K12100" s="6" t="n">
        <f aca="false">CF!K50-CF!K48-CF!K53+Thesis!K93*(1-tax_f)</f>
        <v>283.7365778763</v>
      </c>
      <c r="L12100" s="1" t="s">
        <v>1045</v>
      </c>
    </row>
    <row r="12101" customFormat="false" ht="15" hidden="false" customHeight="false" outlineLevel="0" collapsed="false">
      <c r="A12101" s="1" t="s">
        <v>1046</v>
      </c>
      <c r="B12101" s="0" t="s">
        <v>98</v>
      </c>
      <c r="F12101" s="6" t="n">
        <f aca="false">Sens!F12100*Sens!F12099</f>
        <v>6.0766375589888</v>
      </c>
      <c r="G12101" s="6" t="n">
        <f aca="false">Sens!G12100*Sens!G12099</f>
        <v>40.7337389623974</v>
      </c>
      <c r="H12101" s="6" t="n">
        <f aca="false">Sens!H12100*Sens!H12099</f>
        <v>76.3131880640926</v>
      </c>
      <c r="I12101" s="6" t="n">
        <f aca="false">Sens!I12100*Sens!I12099</f>
        <v>123.648950097887</v>
      </c>
      <c r="J12101" s="6" t="n">
        <f aca="false">Sens!J12100*Sens!J12099</f>
        <v>164.988657960124</v>
      </c>
      <c r="K12101" s="6" t="n">
        <f aca="false">Sens!K12100*Sens!K12099</f>
        <v>174.039471972064</v>
      </c>
    </row>
    <row r="12102" customFormat="false" ht="17.15" hidden="false" customHeight="false" outlineLevel="0" collapsed="false">
      <c r="A12102" s="1" t="s">
        <v>1047</v>
      </c>
      <c r="B12102" s="0" t="s">
        <v>98</v>
      </c>
      <c r="C12102" s="6" t="n">
        <f aca="false">SUM(Sens!F12101:K12101)</f>
        <v>585.800644615554</v>
      </c>
    </row>
    <row r="12103" customFormat="false" ht="17.15" hidden="false" customHeight="false" outlineLevel="0" collapsed="false">
      <c r="A12103" s="1" t="s">
        <v>1048</v>
      </c>
      <c r="B12103" s="0" t="s">
        <v>98</v>
      </c>
      <c r="C12103" s="6" t="n">
        <f aca="false">PL!K78*(1+g_tv)*(1-tax_f)</f>
        <v>293.76437880412</v>
      </c>
    </row>
    <row r="12104" customFormat="false" ht="17.15" hidden="false" customHeight="false" outlineLevel="0" collapsed="false">
      <c r="A12104" s="1" t="s">
        <v>1049</v>
      </c>
      <c r="B12104" s="0" t="s">
        <v>98</v>
      </c>
      <c r="C12104" s="6" t="n">
        <f aca="false">Sens!$C$12103*(1-g_tv/((wacc-0.01)+ronic_prem))</f>
        <v>198.934805914805</v>
      </c>
    </row>
    <row r="12105" customFormat="false" ht="17.15" hidden="false" customHeight="false" outlineLevel="0" collapsed="false">
      <c r="A12105" s="1" t="s">
        <v>1050</v>
      </c>
      <c r="B12105" s="0" t="s">
        <v>98</v>
      </c>
      <c r="C12105" s="6" t="n">
        <f aca="false">Sens!$C$12104/((wacc-0.01)-g_tv)</f>
        <v>3160.98576297718</v>
      </c>
    </row>
    <row r="12106" customFormat="false" ht="15" hidden="false" customHeight="false" outlineLevel="0" collapsed="false">
      <c r="A12106" s="1" t="s">
        <v>1051</v>
      </c>
      <c r="B12106" s="0" t="s">
        <v>98</v>
      </c>
      <c r="C12106" s="6" t="n">
        <f aca="false">Sens!$C$12105/(1+(wacc-0.01))^(Sens!K12098+mid_yr)</f>
        <v>1854.63272470912</v>
      </c>
    </row>
    <row r="12107" customFormat="false" ht="17.15" hidden="false" customHeight="false" outlineLevel="0" collapsed="false">
      <c r="A12107" s="0" t="s">
        <v>972</v>
      </c>
      <c r="B12107" s="0" t="s">
        <v>98</v>
      </c>
      <c r="C12107" s="6" t="n">
        <f aca="false">Sens!$C$12102+Sens!$C$12106</f>
        <v>2440.43336932467</v>
      </c>
    </row>
    <row r="12108" customFormat="false" ht="15" hidden="false" customHeight="false" outlineLevel="0" collapsed="false">
      <c r="A12108" s="1" t="s">
        <v>973</v>
      </c>
      <c r="B12108" s="0" t="s">
        <v>129</v>
      </c>
      <c r="C12108" s="7" t="n">
        <f aca="false">Sens!$C$12106/Sens!$C$12107</f>
        <v>0.759960402124128</v>
      </c>
    </row>
    <row r="12109" customFormat="false" ht="17.15" hidden="false" customHeight="false" outlineLevel="0" collapsed="false">
      <c r="A12109" s="1" t="s">
        <v>1052</v>
      </c>
      <c r="B12109" s="0" t="s">
        <v>98</v>
      </c>
      <c r="C12109" s="6" t="n">
        <f aca="false">Sens!$C$12107+CF!E65-CF!E54+oai_v</f>
        <v>2574.94636932467</v>
      </c>
    </row>
    <row r="12110" customFormat="false" ht="17.15" hidden="false" customHeight="false" outlineLevel="0" collapsed="false">
      <c r="A12110" s="0" t="s">
        <v>980</v>
      </c>
      <c r="B12110" s="0" t="s">
        <v>75</v>
      </c>
      <c r="C12110" s="5" t="n">
        <f aca="false">Sens!$C$12109/sh_dil26</f>
        <v>345.491261146474</v>
      </c>
    </row>
    <row r="12111" customFormat="false" ht="15" hidden="false" customHeight="false" outlineLevel="0" collapsed="false">
      <c r="A12111" s="1" t="s">
        <v>1053</v>
      </c>
      <c r="B12111" s="0" t="s">
        <v>75</v>
      </c>
      <c r="C12111" s="8" t="n">
        <f aca="false">dps_27+CF!G57*roll_div_q/q_per_yr</f>
        <v>4.8895</v>
      </c>
    </row>
    <row r="12112" customFormat="false" ht="17.15" hidden="false" customHeight="false" outlineLevel="0" collapsed="false">
      <c r="A12112" s="0" t="s">
        <v>1054</v>
      </c>
      <c r="B12112" s="0" t="s">
        <v>75</v>
      </c>
      <c r="C12112" s="5" t="n">
        <f aca="false">Sens!$C$12110*(1+(wacc-0.01))^t_roll-Sens!$C$12111</f>
        <v>383.809931520702</v>
      </c>
    </row>
    <row r="12113" customFormat="false" ht="17.15" hidden="false" customHeight="false" outlineLevel="0" collapsed="false">
      <c r="A12113" s="1" t="s">
        <v>1055</v>
      </c>
      <c r="B12113" s="0" t="s">
        <v>129</v>
      </c>
      <c r="F12113" s="7" t="n">
        <f aca="false">CF!F46/(Seg!F56-Thesis!F72)</f>
        <v>0.0684307874075333</v>
      </c>
      <c r="G12113" s="7" t="n">
        <f aca="false">CF!G46/(Seg!G56-Thesis!G72)</f>
        <v>0.0656456058503526</v>
      </c>
      <c r="H12113" s="7" t="n">
        <f aca="false">CF!H46/(Seg!H56-Thesis!H72)</f>
        <v>0.0641950889132003</v>
      </c>
      <c r="I12113" s="7" t="n">
        <f aca="false">CF!I46/(Seg!I56-Thesis!I72)</f>
        <v>0.063960269667854</v>
      </c>
      <c r="J12113" s="7" t="n">
        <f aca="false">CF!J46/(Seg!J56-Thesis!J72)</f>
        <v>0.0646607917002597</v>
      </c>
      <c r="K12113" s="7" t="n">
        <f aca="false">CF!K46/(Seg!K56-Thesis!K72)</f>
        <v>0.0659511546529383</v>
      </c>
    </row>
    <row r="12114" customFormat="false" ht="17.15" hidden="false" customHeight="false" outlineLevel="0" collapsed="false">
      <c r="A12114" s="0" t="s">
        <v>1056</v>
      </c>
      <c r="B12114" s="0" t="s">
        <v>98</v>
      </c>
      <c r="F12114" s="6" t="n">
        <f aca="false">Seg!F41*(al_m365+Sens!F12113+sbc_r)</f>
        <v>83.9158372980923</v>
      </c>
      <c r="G12114" s="6" t="n">
        <f aca="false">Seg!G41*(al_m365+Sens!G12113+sbc_r)</f>
        <v>96.3459139664276</v>
      </c>
      <c r="H12114" s="6" t="n">
        <f aca="false">Seg!H41*(al_m365+Sens!H12113+sbc_r)</f>
        <v>108.939128787393</v>
      </c>
      <c r="I12114" s="6" t="n">
        <f aca="false">Seg!I41*(al_m365+Sens!I12113+sbc_r)</f>
        <v>120.51456797186</v>
      </c>
      <c r="J12114" s="6" t="n">
        <f aca="false">Seg!J41*(al_m365+Sens!J12113+sbc_r)</f>
        <v>130.883844402211</v>
      </c>
      <c r="K12114" s="6" t="n">
        <f aca="false">Seg!K41*(al_m365+Sens!K12113+sbc_r)</f>
        <v>140.862269296832</v>
      </c>
      <c r="L12114" s="11" t="s">
        <v>1057</v>
      </c>
    </row>
    <row r="12115" customFormat="false" ht="17.15" hidden="false" customHeight="false" outlineLevel="0" collapsed="false">
      <c r="A12115" s="0" t="s">
        <v>1058</v>
      </c>
      <c r="B12115" s="0" t="s">
        <v>98</v>
      </c>
      <c r="F12115" s="6" t="n">
        <f aca="false">Seg!F42*(al_lic+Sens!F12113+sbc_r)</f>
        <v>33.4384115342236</v>
      </c>
      <c r="G12115" s="6" t="n">
        <f aca="false">Seg!G42*(al_lic+Sens!G12113+sbc_r)</f>
        <v>34.7409063621757</v>
      </c>
      <c r="H12115" s="6" t="n">
        <f aca="false">Seg!H42*(al_lic+Sens!H12113+sbc_r)</f>
        <v>35.9566740351293</v>
      </c>
      <c r="I12115" s="6" t="n">
        <f aca="false">Seg!I42*(al_lic+Sens!I12113+sbc_r)</f>
        <v>37.0672966580049</v>
      </c>
      <c r="J12115" s="6" t="n">
        <f aca="false">Seg!J42*(al_lic+Sens!J12113+sbc_r)</f>
        <v>38.0469841498966</v>
      </c>
      <c r="K12115" s="6" t="n">
        <f aca="false">Seg!K42*(al_lic+Sens!K12113+sbc_r)</f>
        <v>38.8666958490701</v>
      </c>
    </row>
    <row r="12116" customFormat="false" ht="17.15" hidden="false" customHeight="false" outlineLevel="0" collapsed="false">
      <c r="A12116" s="0" t="s">
        <v>1059</v>
      </c>
      <c r="B12116" s="0" t="s">
        <v>98</v>
      </c>
      <c r="F12116" s="6" t="n">
        <f aca="false">Seg!F44*(al_ind+Sens!F12113+sbc_r)</f>
        <v>9.07285900381439</v>
      </c>
      <c r="G12116" s="6" t="n">
        <f aca="false">Seg!G44*(al_ind+Sens!G12113+sbc_r)</f>
        <v>9.84969160470639</v>
      </c>
      <c r="H12116" s="6" t="n">
        <f aca="false">Seg!H44*(al_ind+Sens!H12113+sbc_r)</f>
        <v>10.6714469126029</v>
      </c>
      <c r="I12116" s="6" t="n">
        <f aca="false">Seg!I44*(al_ind+Sens!I12113+sbc_r)</f>
        <v>11.5350820765572</v>
      </c>
      <c r="J12116" s="6" t="n">
        <f aca="false">Seg!J44*(al_ind+Sens!J12113+sbc_r)</f>
        <v>12.4308815351832</v>
      </c>
      <c r="K12116" s="6" t="n">
        <f aca="false">Seg!K44*(al_ind+Sens!K12113+sbc_r)</f>
        <v>13.3437330974691</v>
      </c>
    </row>
    <row r="12117" customFormat="false" ht="17.15" hidden="false" customHeight="false" outlineLevel="0" collapsed="false">
      <c r="A12117" s="0" t="s">
        <v>1060</v>
      </c>
      <c r="B12117" s="0" t="s">
        <v>98</v>
      </c>
      <c r="F12117" s="6" t="n">
        <f aca="false">Seg!F46*(al_fro+Sens!F12113+sbc_r)</f>
        <v>3.5711091569032</v>
      </c>
      <c r="G12117" s="6" t="n">
        <f aca="false">Seg!G46*(al_fro+Sens!G12113+sbc_r)</f>
        <v>3.78169924595694</v>
      </c>
      <c r="H12117" s="6" t="n">
        <f aca="false">Seg!H46*(al_fro+Sens!H12113+sbc_r)</f>
        <v>4.02136645419237</v>
      </c>
      <c r="I12117" s="6" t="n">
        <f aca="false">Seg!I46*(al_fro+Sens!I12113+sbc_r)</f>
        <v>4.29288807676321</v>
      </c>
      <c r="J12117" s="6" t="n">
        <f aca="false">Seg!J46*(al_fro+Sens!J12113+sbc_r)</f>
        <v>4.59741770960175</v>
      </c>
      <c r="K12117" s="6" t="n">
        <f aca="false">Seg!K46*(al_fro+Sens!K12113+sbc_r)</f>
        <v>4.9350252981555</v>
      </c>
    </row>
    <row r="12118" customFormat="false" ht="17.15" hidden="false" customHeight="false" outlineLevel="0" collapsed="false">
      <c r="A12118" s="0" t="s">
        <v>1061</v>
      </c>
      <c r="B12118" s="0" t="s">
        <v>98</v>
      </c>
      <c r="F12118" s="6" t="n">
        <f aca="false">Seg!F49*(al_srch+Sens!F12113+sbc_r)</f>
        <v>11.205111954849</v>
      </c>
      <c r="G12118" s="6" t="n">
        <f aca="false">Seg!G49*(al_srch+Sens!G12113+sbc_r)</f>
        <v>12.2792883348957</v>
      </c>
      <c r="H12118" s="6" t="n">
        <f aca="false">Seg!H49*(al_srch+Sens!H12113+sbc_r)</f>
        <v>13.3983888227975</v>
      </c>
      <c r="I12118" s="6" t="n">
        <f aca="false">Seg!I49*(al_srch+Sens!I12113+sbc_r)</f>
        <v>14.5517695263616</v>
      </c>
      <c r="J12118" s="6" t="n">
        <f aca="false">Seg!J49*(al_srch+Sens!J12113+sbc_r)</f>
        <v>15.7194284145253</v>
      </c>
      <c r="K12118" s="6" t="n">
        <f aca="false">Seg!K49*(al_srch+Sens!K12113+sbc_r)</f>
        <v>16.87377171237</v>
      </c>
    </row>
    <row r="12119" customFormat="false" ht="17.15" hidden="false" customHeight="false" outlineLevel="0" collapsed="false">
      <c r="A12119" s="0" t="s">
        <v>1062</v>
      </c>
      <c r="B12119" s="0" t="s">
        <v>98</v>
      </c>
      <c r="F12119" s="6" t="n">
        <f aca="false">Thesis!F78-Thesis!F79+Thesis!F93</f>
        <v>52.8623286647412</v>
      </c>
      <c r="G12119" s="6" t="n">
        <f aca="false">Thesis!G78-Thesis!G79+Thesis!G93</f>
        <v>90.9040728275534</v>
      </c>
      <c r="H12119" s="6" t="n">
        <f aca="false">Thesis!H78-Thesis!H79+Thesis!H93</f>
        <v>131.644750996567</v>
      </c>
      <c r="I12119" s="6" t="n">
        <f aca="false">Thesis!I78-Thesis!I79+Thesis!I93</f>
        <v>168.39858142968</v>
      </c>
      <c r="J12119" s="6" t="n">
        <f aca="false">Thesis!J78-Thesis!J79+Thesis!J93</f>
        <v>194.311955071191</v>
      </c>
      <c r="K12119" s="6" t="n">
        <f aca="false">Thesis!K78-Thesis!K79+Thesis!K93</f>
        <v>210.298852071854</v>
      </c>
    </row>
    <row r="12120" customFormat="false" ht="17.15" hidden="false" customHeight="false" outlineLevel="0" collapsed="false">
      <c r="A12120" s="0" t="s">
        <v>1063</v>
      </c>
      <c r="B12120" s="0" t="s">
        <v>98</v>
      </c>
      <c r="F12120" s="6" t="n">
        <f aca="false">PL!F71+Thesis!F93+Thesis!F89+Sens!F12113*(Seg!F48-Thesis!F72)+sbc_r*Seg!F48</f>
        <v>243.876179717448</v>
      </c>
      <c r="G12120" s="6" t="n">
        <f aca="false">PL!G71+Thesis!G93+Thesis!G89+Sens!G12113*(Seg!G48-Thesis!G72)+sbc_r*Seg!G48</f>
        <v>308.994305130286</v>
      </c>
      <c r="H12120" s="6" t="n">
        <f aca="false">PL!H71+Thesis!H93+Thesis!H89+Sens!H12113*(Seg!H48-Thesis!H72)+sbc_r*Seg!H48</f>
        <v>377.321529021127</v>
      </c>
      <c r="I12120" s="6" t="n">
        <f aca="false">PL!I71+Thesis!I93+Thesis!I89+Sens!I12113*(Seg!I48-Thesis!I72)+sbc_r*Seg!I48</f>
        <v>440.295672377585</v>
      </c>
      <c r="J12120" s="6" t="n">
        <f aca="false">PL!J71+Thesis!J93+Thesis!J89+Sens!J12113*(Seg!J48-Thesis!J72)+sbc_r*Seg!J48</f>
        <v>489.992586437676</v>
      </c>
      <c r="K12120" s="6" t="n">
        <f aca="false">PL!K71+Thesis!K93+Thesis!K89+Sens!K12113*(Seg!K48-Thesis!K72)+sbc_r*Seg!K48</f>
        <v>527.395402529627</v>
      </c>
    </row>
    <row r="12121" customFormat="false" ht="17.15" hidden="false" customHeight="false" outlineLevel="0" collapsed="false">
      <c r="A12121" s="0" t="s">
        <v>1064</v>
      </c>
      <c r="B12121" s="0" t="s">
        <v>98</v>
      </c>
      <c r="F12121" s="6" t="n">
        <f aca="false">Sens!F12120-Sens!F12114-Sens!F12115-Sens!F12116-Sens!F12117-Sens!F12119</f>
        <v>61.0156340596736</v>
      </c>
      <c r="G12121" s="6" t="n">
        <f aca="false">Sens!G12120-Sens!G12114-Sens!G12115-Sens!G12116-Sens!G12117-Sens!G12119</f>
        <v>73.3720211234655</v>
      </c>
      <c r="H12121" s="6" t="n">
        <f aca="false">Sens!H12120-Sens!H12114-Sens!H12115-Sens!H12116-Sens!H12117-Sens!H12119</f>
        <v>86.0881618352416</v>
      </c>
      <c r="I12121" s="6" t="n">
        <f aca="false">Sens!I12120-Sens!I12114-Sens!I12115-Sens!I12116-Sens!I12117-Sens!I12119</f>
        <v>98.4872561647193</v>
      </c>
      <c r="J12121" s="6" t="n">
        <f aca="false">Sens!J12120-Sens!J12114-Sens!J12115-Sens!J12116-Sens!J12117-Sens!J12119</f>
        <v>109.721503569592</v>
      </c>
      <c r="K12121" s="6" t="n">
        <f aca="false">Sens!K12120-Sens!K12114-Sens!K12115-Sens!K12116-Sens!K12117-Sens!K12119</f>
        <v>119.088826916246</v>
      </c>
    </row>
    <row r="12122" customFormat="false" ht="17.15" hidden="false" customHeight="false" outlineLevel="0" collapsed="false">
      <c r="A12122" s="0" t="s">
        <v>1065</v>
      </c>
      <c r="B12122" s="0" t="s">
        <v>98</v>
      </c>
      <c r="F12122" s="6" t="n">
        <f aca="false">PL!F73+Sens!F12113*Seg!F55+sbc_r*Seg!F55</f>
        <v>26.1883018536976</v>
      </c>
      <c r="G12122" s="6" t="n">
        <f aca="false">PL!G73+Sens!G12113*Seg!G55+sbc_r*Seg!G55</f>
        <v>26.7988692269165</v>
      </c>
      <c r="H12122" s="6" t="n">
        <f aca="false">PL!H73+Sens!H12113*Seg!H55+sbc_r*Seg!H55</f>
        <v>27.676651877401</v>
      </c>
      <c r="I12122" s="6" t="n">
        <f aca="false">PL!I73+Sens!I12113*Seg!I55+sbc_r*Seg!I55</f>
        <v>28.7919477163856</v>
      </c>
      <c r="J12122" s="6" t="n">
        <f aca="false">PL!J73+Sens!J12113*Seg!J55+sbc_r*Seg!J55</f>
        <v>30.1095554599876</v>
      </c>
      <c r="K12122" s="6" t="n">
        <f aca="false">PL!K73+Sens!K12113*Seg!K55+sbc_r*Seg!K55</f>
        <v>31.5923355811805</v>
      </c>
    </row>
    <row r="12123" customFormat="false" ht="17.15" hidden="false" customHeight="false" outlineLevel="0" collapsed="false">
      <c r="A12123" s="0" t="s">
        <v>1066</v>
      </c>
      <c r="B12123" s="0" t="s">
        <v>98</v>
      </c>
      <c r="F12123" s="6" t="n">
        <f aca="false">(Sens!F12122-Sens!F12118)*Seg!F51/(Seg!F51+Seg!F53)</f>
        <v>8.21363876839376</v>
      </c>
      <c r="G12123" s="6" t="n">
        <f aca="false">(Sens!G12122-Sens!G12118)*Seg!G51/(Seg!G51+Seg!G53)</f>
        <v>7.81757556948427</v>
      </c>
      <c r="H12123" s="6" t="n">
        <f aca="false">(Sens!H12122-Sens!H12118)*Seg!H51/(Seg!H51+Seg!H53)</f>
        <v>7.58379891746928</v>
      </c>
      <c r="I12123" s="6" t="n">
        <f aca="false">(Sens!I12122-Sens!I12118)*Seg!I51/(Seg!I51+Seg!I53)</f>
        <v>7.49513512835163</v>
      </c>
      <c r="J12123" s="6" t="n">
        <f aca="false">(Sens!J12122-Sens!J12118)*Seg!J51/(Seg!J51+Seg!J53)</f>
        <v>7.53980917061682</v>
      </c>
      <c r="K12123" s="6" t="n">
        <f aca="false">(Sens!K12122-Sens!K12118)*Seg!K51/(Seg!K51+Seg!K53)</f>
        <v>7.71189597463361</v>
      </c>
    </row>
    <row r="12124" customFormat="false" ht="17.15" hidden="false" customHeight="false" outlineLevel="0" collapsed="false">
      <c r="A12124" s="0" t="s">
        <v>1067</v>
      </c>
      <c r="B12124" s="0" t="s">
        <v>98</v>
      </c>
      <c r="F12124" s="6" t="n">
        <f aca="false">Sens!F12122-Sens!F12118-Sens!F12123</f>
        <v>6.76955113045481</v>
      </c>
      <c r="G12124" s="6" t="n">
        <f aca="false">Sens!G12122-Sens!G12118-Sens!G12123</f>
        <v>6.70200532253647</v>
      </c>
      <c r="H12124" s="6" t="n">
        <f aca="false">Sens!H12122-Sens!H12118-Sens!H12123</f>
        <v>6.69446413713431</v>
      </c>
      <c r="I12124" s="6" t="n">
        <f aca="false">Sens!I12122-Sens!I12118-Sens!I12123</f>
        <v>6.74504306167234</v>
      </c>
      <c r="J12124" s="6" t="n">
        <f aca="false">Sens!J12122-Sens!J12118-Sens!J12123</f>
        <v>6.85031787484545</v>
      </c>
      <c r="K12124" s="6" t="n">
        <f aca="false">Sens!K12122-Sens!K12118-Sens!K12123</f>
        <v>7.00666789417688</v>
      </c>
    </row>
    <row r="12125" customFormat="false" ht="17.15" hidden="false" customHeight="false" outlineLevel="0" collapsed="false">
      <c r="A12125" s="0" t="s">
        <v>1068</v>
      </c>
      <c r="B12125" s="0" t="s">
        <v>98</v>
      </c>
      <c r="F12125" s="6" t="n">
        <f aca="false">Sens!F12119-tax_f*(Sens!F12119-Thesis!F89)-Thesis!F86</f>
        <v>-119.382682747471</v>
      </c>
      <c r="G12125" s="6" t="n">
        <f aca="false">Sens!G12119-tax_f*(Sens!G12119-Thesis!G89)-Thesis!G86</f>
        <v>-98.7495755690893</v>
      </c>
      <c r="H12125" s="6" t="n">
        <f aca="false">Sens!H12119-tax_f*(Sens!H12119-Thesis!H89)-Thesis!H86</f>
        <v>-65.2160219145184</v>
      </c>
      <c r="I12125" s="6" t="n">
        <f aca="false">Sens!I12119-tax_f*(Sens!I12119-Thesis!I89)-Thesis!I86</f>
        <v>-6.59039601405712</v>
      </c>
      <c r="J12125" s="6" t="n">
        <f aca="false">Sens!J12119-tax_f*(Sens!J12119-Thesis!J89)-Thesis!J86</f>
        <v>56.7738295233955</v>
      </c>
      <c r="K12125" s="6" t="n">
        <f aca="false">Sens!K12119-tax_f*(Sens!K12119-Thesis!K89)-Thesis!K86</f>
        <v>81.209175376442</v>
      </c>
    </row>
    <row r="12126" customFormat="false" ht="17.15" hidden="false" customHeight="false" outlineLevel="0" collapsed="false">
      <c r="A12126" s="0" t="s">
        <v>1069</v>
      </c>
      <c r="B12126" s="0" t="s">
        <v>98</v>
      </c>
      <c r="F12126" s="6" t="n">
        <f aca="false">Sens!F12125*Sens!F12099</f>
        <v>-114.194262035246</v>
      </c>
      <c r="G12126" s="6" t="n">
        <f aca="false">Sens!G12125*Sens!G12099</f>
        <v>-86.4259341478799</v>
      </c>
      <c r="H12126" s="6" t="n">
        <f aca="false">Sens!H12125*Sens!H12099</f>
        <v>-52.2238692098599</v>
      </c>
      <c r="I12126" s="6" t="n">
        <f aca="false">Sens!I12125*Sens!I12099</f>
        <v>-4.82872140767054</v>
      </c>
      <c r="J12126" s="6" t="n">
        <f aca="false">Sens!J12125*Sens!J12099</f>
        <v>38.0605205196468</v>
      </c>
      <c r="K12126" s="6" t="n">
        <f aca="false">Sens!K12125*Sens!K12099</f>
        <v>49.8124073659776</v>
      </c>
    </row>
    <row r="12127" customFormat="false" ht="17.15" hidden="false" customHeight="false" outlineLevel="0" collapsed="false">
      <c r="A12127" s="0" t="s">
        <v>1070</v>
      </c>
      <c r="B12127" s="0" t="s">
        <v>98</v>
      </c>
      <c r="C12127" s="6" t="n">
        <f aca="false">(Sens!K12119-Thesis!K89)*(1-tax_f)*(1+g_tv)*(1-g_tv/((wacc-0.01)+ronic_prem))/((wacc-0.01)-g_tv)/(1+(wacc-0.01))^(Sens!K12098+mid_yr)</f>
        <v>367.540813486821</v>
      </c>
    </row>
    <row r="12128" customFormat="false" ht="17.15" hidden="false" customHeight="false" outlineLevel="0" collapsed="false">
      <c r="A12128" s="1" t="s">
        <v>1071</v>
      </c>
      <c r="B12128" s="0" t="s">
        <v>98</v>
      </c>
      <c r="C12128" s="6" t="n">
        <f aca="false">(SUM(Sens!F12126:K12126)+Sens!$C$12127)*(1+(wacc-0.01))^t_roll</f>
        <v>222.471029731282</v>
      </c>
      <c r="L12128" s="11" t="s">
        <v>1072</v>
      </c>
    </row>
    <row r="12129" customFormat="false" ht="17.15" hidden="false" customHeight="false" outlineLevel="0" collapsed="false">
      <c r="A12129" s="1" t="s">
        <v>1073</v>
      </c>
      <c r="B12129" s="0" t="s">
        <v>98</v>
      </c>
      <c r="C12129" s="6" t="n">
        <f aca="false">(w_ntm28*Thesis!G78+(1-w_ntm28)*Thesis!H78)*m_ai</f>
        <v>454.922440830797</v>
      </c>
    </row>
    <row r="12130" customFormat="false" ht="17.15" hidden="false" customHeight="false" outlineLevel="0" collapsed="false">
      <c r="A12130" s="1" t="s">
        <v>1074</v>
      </c>
      <c r="B12130" s="0" t="s">
        <v>98</v>
      </c>
      <c r="C12130" s="6" t="n">
        <f aca="false">(w_ntm28*Sens!G12121+(1-w_ntm28)*Sens!H12121)*m_cloud</f>
        <v>1070.81495830201</v>
      </c>
    </row>
    <row r="12131" customFormat="false" ht="17.15" hidden="false" customHeight="false" outlineLevel="0" collapsed="false">
      <c r="A12131" s="1" t="s">
        <v>1075</v>
      </c>
      <c r="B12131" s="0" t="s">
        <v>98</v>
      </c>
      <c r="C12131" s="6" t="n">
        <f aca="false">(w_ntm28*Sens!G12114+(1-w_ntm28)*Sens!H12114)*m_sw</f>
        <v>1084.50516663972</v>
      </c>
    </row>
    <row r="12132" customFormat="false" ht="17.15" hidden="false" customHeight="false" outlineLevel="0" collapsed="false">
      <c r="A12132" s="1" t="s">
        <v>1076</v>
      </c>
      <c r="B12132" s="0" t="s">
        <v>98</v>
      </c>
      <c r="C12132" s="6" t="n">
        <f aca="false">(w_ntm28*Sens!G12115+(1-w_ntm28)*Sens!H12115)*m_sw</f>
        <v>379.446649868791</v>
      </c>
    </row>
    <row r="12133" customFormat="false" ht="17.15" hidden="false" customHeight="false" outlineLevel="0" collapsed="false">
      <c r="A12133" s="1" t="s">
        <v>1077</v>
      </c>
      <c r="B12133" s="0" t="s">
        <v>98</v>
      </c>
      <c r="C12133" s="6" t="n">
        <f aca="false">(w_ntm28*Sens!G12116+(1-w_ntm28)*Sens!H12116)*m_sw</f>
        <v>109.245833616811</v>
      </c>
    </row>
    <row r="12134" customFormat="false" ht="17.15" hidden="false" customHeight="false" outlineLevel="0" collapsed="false">
      <c r="A12134" s="1" t="s">
        <v>1078</v>
      </c>
      <c r="B12134" s="0" t="s">
        <v>98</v>
      </c>
      <c r="C12134" s="6" t="n">
        <f aca="false">(w_ntm28*Sens!G12117+(1-w_ntm28)*Sens!H12117)*m_sw</f>
        <v>41.6791515554452</v>
      </c>
    </row>
    <row r="12135" customFormat="false" ht="17.15" hidden="false" customHeight="false" outlineLevel="0" collapsed="false">
      <c r="A12135" s="1" t="s">
        <v>1079</v>
      </c>
      <c r="B12135" s="0" t="s">
        <v>98</v>
      </c>
      <c r="C12135" s="6" t="n">
        <f aca="false">(w_ntm28*Sens!G12118+(1-w_ntm28)*Sens!H12118)*m_ads</f>
        <v>115.160236299351</v>
      </c>
    </row>
    <row r="12136" customFormat="false" ht="17.15" hidden="false" customHeight="false" outlineLevel="0" collapsed="false">
      <c r="A12136" s="1" t="s">
        <v>1080</v>
      </c>
      <c r="B12136" s="0" t="s">
        <v>98</v>
      </c>
      <c r="C12136" s="6" t="n">
        <f aca="false">(w_ntm28*Sens!G12123+(1-w_ntm28)*Sens!H12123)*m_game</f>
        <v>97.7814405506301</v>
      </c>
    </row>
    <row r="12137" customFormat="false" ht="17.15" hidden="false" customHeight="false" outlineLevel="0" collapsed="false">
      <c r="A12137" s="1" t="s">
        <v>1081</v>
      </c>
      <c r="B12137" s="0" t="s">
        <v>98</v>
      </c>
      <c r="C12137" s="6" t="n">
        <f aca="false">(w_ntm28*Sens!G12124+(1-w_ntm28)*Sens!H12124)*m_pc</f>
        <v>96.9427395583992</v>
      </c>
    </row>
    <row r="12138" customFormat="false" ht="17.15" hidden="false" customHeight="false" outlineLevel="0" collapsed="false">
      <c r="A12138" s="1" t="s">
        <v>1082</v>
      </c>
      <c r="B12138" s="0" t="s">
        <v>98</v>
      </c>
      <c r="C12138" s="6" t="n">
        <f aca="false">Sens!$C$12128+Sens!$C$12130+Sens!$C$12131+Sens!$C$12132+Sens!$C$12133+Sens!$C$12134+Sens!$C$12135+Sens!$C$12136+Sens!$C$12137</f>
        <v>3218.04720612243</v>
      </c>
    </row>
    <row r="12139" customFormat="false" ht="17.15" hidden="false" customHeight="false" outlineLevel="0" collapsed="false">
      <c r="A12139" s="1" t="s">
        <v>1000</v>
      </c>
      <c r="B12139" s="0" t="s">
        <v>98</v>
      </c>
      <c r="C12139" s="6" t="n">
        <f aca="false">CF!F65+oai_v-CF!F54</f>
        <v>111.253995542787</v>
      </c>
      <c r="L12139" s="1" t="s">
        <v>1083</v>
      </c>
    </row>
    <row r="12140" customFormat="false" ht="15" hidden="false" customHeight="false" outlineLevel="0" collapsed="false">
      <c r="A12140" s="1" t="s">
        <v>1001</v>
      </c>
      <c r="B12140" s="0" t="s">
        <v>75</v>
      </c>
      <c r="C12140" s="5" t="n">
        <f aca="false">(Sens!$C$12138+Sens!$C$12139)/CF!F67</f>
        <v>445.57028930209</v>
      </c>
    </row>
    <row r="12141" customFormat="false" ht="17.15" hidden="false" customHeight="false" outlineLevel="0" collapsed="false">
      <c r="A12141" s="1" t="s">
        <v>1084</v>
      </c>
      <c r="B12141" s="0" t="s">
        <v>75</v>
      </c>
      <c r="C12141" s="5" t="n">
        <f aca="false">w_dcf*Sens!$C$12112+(1-w_dcf)*Sens!$C$12140</f>
        <v>414.690110411396</v>
      </c>
    </row>
    <row r="12142" customFormat="false" ht="17.15" hidden="false" customHeight="false" outlineLevel="0" collapsed="false">
      <c r="A12142" s="3" t="s">
        <v>1551</v>
      </c>
    </row>
    <row r="12143" customFormat="false" ht="15" hidden="false" customHeight="false" outlineLevel="0" collapsed="false">
      <c r="A12143" s="4" t="s">
        <v>43</v>
      </c>
      <c r="B12143" s="4" t="s">
        <v>65</v>
      </c>
      <c r="C12143" s="20" t="s">
        <v>788</v>
      </c>
      <c r="D12143" s="20" t="s">
        <v>789</v>
      </c>
      <c r="E12143" s="20" t="s">
        <v>790</v>
      </c>
      <c r="F12143" s="20" t="s">
        <v>791</v>
      </c>
      <c r="G12143" s="20" t="s">
        <v>792</v>
      </c>
      <c r="H12143" s="20" t="s">
        <v>793</v>
      </c>
      <c r="I12143" s="20" t="s">
        <v>794</v>
      </c>
      <c r="J12143" s="20" t="s">
        <v>795</v>
      </c>
      <c r="K12143" s="20" t="s">
        <v>796</v>
      </c>
      <c r="L12143" s="4" t="s">
        <v>47</v>
      </c>
    </row>
    <row r="12144" customFormat="false" ht="15" hidden="false" customHeight="false" outlineLevel="0" collapsed="false">
      <c r="A12144" s="1" t="s">
        <v>1042</v>
      </c>
      <c r="B12144" s="1" t="s">
        <v>235</v>
      </c>
      <c r="F12144" s="36" t="n">
        <f aca="false">Thesis!F104-base_fy-mid_yr</f>
        <v>0.5</v>
      </c>
      <c r="G12144" s="36" t="n">
        <f aca="false">Thesis!G104-base_fy-mid_yr</f>
        <v>1.5</v>
      </c>
      <c r="H12144" s="36" t="n">
        <f aca="false">Thesis!H104-base_fy-mid_yr</f>
        <v>2.5</v>
      </c>
      <c r="I12144" s="36" t="n">
        <f aca="false">Thesis!I104-base_fy-mid_yr</f>
        <v>3.5</v>
      </c>
      <c r="J12144" s="36" t="n">
        <f aca="false">Thesis!J104-base_fy-mid_yr</f>
        <v>4.5</v>
      </c>
      <c r="K12144" s="36" t="n">
        <f aca="false">Thesis!K104-base_fy-mid_yr</f>
        <v>5.5</v>
      </c>
    </row>
    <row r="12145" customFormat="false" ht="15" hidden="false" customHeight="false" outlineLevel="0" collapsed="false">
      <c r="A12145" s="1" t="s">
        <v>1043</v>
      </c>
      <c r="B12145" s="0" t="s">
        <v>185</v>
      </c>
      <c r="F12145" s="14" t="n">
        <f aca="false">1/(1+(wacc-0.01))^Sens!F12144</f>
        <v>0.956539586874594</v>
      </c>
      <c r="G12145" s="14" t="n">
        <f aca="false">1/(1+(wacc-0.01))^Sens!G12144</f>
        <v>0.875203094796217</v>
      </c>
      <c r="H12145" s="14" t="n">
        <f aca="false">1/(1+(wacc-0.01))^Sens!H12144</f>
        <v>0.80078280883664</v>
      </c>
      <c r="I12145" s="14" t="n">
        <f aca="false">1/(1+(wacc-0.01))^Sens!I12144</f>
        <v>0.732690630027546</v>
      </c>
      <c r="J12145" s="14" t="n">
        <f aca="false">1/(1+(wacc-0.01))^Sens!J12144</f>
        <v>0.670388466643116</v>
      </c>
      <c r="K12145" s="14" t="n">
        <f aca="false">1/(1+(wacc-0.01))^Sens!K12144</f>
        <v>0.613383981983244</v>
      </c>
    </row>
    <row r="12146" customFormat="false" ht="17.15" hidden="false" customHeight="false" outlineLevel="0" collapsed="false">
      <c r="A12146" s="1" t="s">
        <v>1044</v>
      </c>
      <c r="B12146" s="0" t="s">
        <v>98</v>
      </c>
      <c r="F12146" s="6" t="n">
        <f aca="false">CF!F79-CF!F77-CF!F82+Thesis!F142*(1-tax_f)</f>
        <v>2.81855367218396</v>
      </c>
      <c r="G12146" s="6" t="n">
        <f aca="false">CF!G79-CF!G77-CF!G82+Thesis!G142*(1-tax_f)</f>
        <v>35.4967358232605</v>
      </c>
      <c r="H12146" s="6" t="n">
        <f aca="false">CF!H79-CF!H77-CF!H82+Thesis!H142*(1-tax_f)</f>
        <v>71.9736045985465</v>
      </c>
      <c r="I12146" s="6" t="n">
        <f aca="false">CF!I79-CF!I77-CF!I82+Thesis!I142*(1-tax_f)</f>
        <v>139.565890227748</v>
      </c>
      <c r="J12146" s="6" t="n">
        <f aca="false">CF!J79-CF!J77-CF!J82+Thesis!J142*(1-tax_f)</f>
        <v>212.783902680705</v>
      </c>
      <c r="K12146" s="6" t="n">
        <f aca="false">CF!K79-CF!K77-CF!K82+Thesis!K142*(1-tax_f)</f>
        <v>247.854416738942</v>
      </c>
      <c r="L12146" s="1" t="s">
        <v>1045</v>
      </c>
    </row>
    <row r="12147" customFormat="false" ht="15" hidden="false" customHeight="false" outlineLevel="0" collapsed="false">
      <c r="A12147" s="1" t="s">
        <v>1046</v>
      </c>
      <c r="B12147" s="0" t="s">
        <v>98</v>
      </c>
      <c r="F12147" s="6" t="n">
        <f aca="false">Sens!F12146*Sens!F12145</f>
        <v>2.69605816517472</v>
      </c>
      <c r="G12147" s="6" t="n">
        <f aca="false">Sens!G12146*Sens!G12145</f>
        <v>31.0668530476813</v>
      </c>
      <c r="H12147" s="6" t="n">
        <f aca="false">Sens!H12146*Sens!H12145</f>
        <v>57.6352252525217</v>
      </c>
      <c r="I12147" s="6" t="n">
        <f aca="false">Sens!I12146*Sens!I12145</f>
        <v>102.258620041324</v>
      </c>
      <c r="J12147" s="6" t="n">
        <f aca="false">Sens!J12146*Sens!J12145</f>
        <v>142.647874244456</v>
      </c>
      <c r="K12147" s="6" t="n">
        <f aca="false">Sens!K12146*Sens!K12145</f>
        <v>152.029929091467</v>
      </c>
    </row>
    <row r="12148" customFormat="false" ht="17.15" hidden="false" customHeight="false" outlineLevel="0" collapsed="false">
      <c r="A12148" s="1" t="s">
        <v>1047</v>
      </c>
      <c r="B12148" s="0" t="s">
        <v>98</v>
      </c>
      <c r="C12148" s="6" t="n">
        <f aca="false">SUM(Sens!F12147:K12147)</f>
        <v>488.334559842624</v>
      </c>
    </row>
    <row r="12149" customFormat="false" ht="17.15" hidden="false" customHeight="false" outlineLevel="0" collapsed="false">
      <c r="A12149" s="1" t="s">
        <v>1048</v>
      </c>
      <c r="B12149" s="0" t="s">
        <v>98</v>
      </c>
      <c r="C12149" s="6" t="n">
        <f aca="false">PL!K117*(1+g_tv)*(1-tax_f)</f>
        <v>255.879558138142</v>
      </c>
    </row>
    <row r="12150" customFormat="false" ht="17.15" hidden="false" customHeight="false" outlineLevel="0" collapsed="false">
      <c r="A12150" s="1" t="s">
        <v>1049</v>
      </c>
      <c r="B12150" s="0" t="s">
        <v>98</v>
      </c>
      <c r="C12150" s="6" t="n">
        <f aca="false">Sens!$C$12149*(1-g_tv/((wacc-0.01)+ronic_prem))</f>
        <v>173.27951892261</v>
      </c>
    </row>
    <row r="12151" customFormat="false" ht="17.15" hidden="false" customHeight="false" outlineLevel="0" collapsed="false">
      <c r="A12151" s="1" t="s">
        <v>1050</v>
      </c>
      <c r="B12151" s="0" t="s">
        <v>98</v>
      </c>
      <c r="C12151" s="6" t="n">
        <f aca="false">Sens!$C$12150/((wacc-0.01)-g_tv)</f>
        <v>2753.33464051773</v>
      </c>
    </row>
    <row r="12152" customFormat="false" ht="15" hidden="false" customHeight="false" outlineLevel="0" collapsed="false">
      <c r="A12152" s="1" t="s">
        <v>1051</v>
      </c>
      <c r="B12152" s="0" t="s">
        <v>98</v>
      </c>
      <c r="C12152" s="6" t="n">
        <f aca="false">Sens!$C$12151/(1+(wacc-0.01))^(Sens!K12144+mid_yr)</f>
        <v>1615.45318747969</v>
      </c>
    </row>
    <row r="12153" customFormat="false" ht="17.15" hidden="false" customHeight="false" outlineLevel="0" collapsed="false">
      <c r="A12153" s="0" t="s">
        <v>972</v>
      </c>
      <c r="B12153" s="0" t="s">
        <v>98</v>
      </c>
      <c r="C12153" s="6" t="n">
        <f aca="false">Sens!$C$12148+Sens!$C$12152</f>
        <v>2103.78774732231</v>
      </c>
    </row>
    <row r="12154" customFormat="false" ht="15" hidden="false" customHeight="false" outlineLevel="0" collapsed="false">
      <c r="A12154" s="1" t="s">
        <v>973</v>
      </c>
      <c r="B12154" s="0" t="s">
        <v>129</v>
      </c>
      <c r="C12154" s="7" t="n">
        <f aca="false">Sens!$C$12152/Sens!$C$12153</f>
        <v>0.767878408615996</v>
      </c>
    </row>
    <row r="12155" customFormat="false" ht="17.15" hidden="false" customHeight="false" outlineLevel="0" collapsed="false">
      <c r="A12155" s="1" t="s">
        <v>1052</v>
      </c>
      <c r="B12155" s="0" t="s">
        <v>98</v>
      </c>
      <c r="C12155" s="6" t="n">
        <f aca="false">Sens!$C$12153+CF!E94-CF!E83+oai_v</f>
        <v>2238.30074732231</v>
      </c>
    </row>
    <row r="12156" customFormat="false" ht="17.15" hidden="false" customHeight="false" outlineLevel="0" collapsed="false">
      <c r="A12156" s="0" t="s">
        <v>980</v>
      </c>
      <c r="B12156" s="0" t="s">
        <v>75</v>
      </c>
      <c r="C12156" s="5" t="n">
        <f aca="false">Sens!$C$12155/sh_dil26</f>
        <v>300.32211825068</v>
      </c>
    </row>
    <row r="12157" customFormat="false" ht="15" hidden="false" customHeight="false" outlineLevel="0" collapsed="false">
      <c r="A12157" s="1" t="s">
        <v>1053</v>
      </c>
      <c r="B12157" s="0" t="s">
        <v>75</v>
      </c>
      <c r="C12157" s="8" t="n">
        <f aca="false">dps_27+CF!G86*roll_div_q/q_per_yr</f>
        <v>4.8895</v>
      </c>
    </row>
    <row r="12158" customFormat="false" ht="17.15" hidden="false" customHeight="false" outlineLevel="0" collapsed="false">
      <c r="A12158" s="0" t="s">
        <v>1054</v>
      </c>
      <c r="B12158" s="0" t="s">
        <v>75</v>
      </c>
      <c r="C12158" s="5" t="n">
        <f aca="false">Sens!$C$12156*(1+(wacc-0.01))^t_roll-Sens!$C$12157</f>
        <v>332.991800527718</v>
      </c>
    </row>
    <row r="12159" customFormat="false" ht="17.15" hidden="false" customHeight="false" outlineLevel="0" collapsed="false">
      <c r="A12159" s="1" t="s">
        <v>1055</v>
      </c>
      <c r="B12159" s="0" t="s">
        <v>129</v>
      </c>
      <c r="F12159" s="7" t="n">
        <f aca="false">CF!F75/(Seg!F83-Thesis!F121)</f>
        <v>0.0686864325746334</v>
      </c>
      <c r="G12159" s="7" t="n">
        <f aca="false">CF!G75/(Seg!G83-Thesis!G121)</f>
        <v>0.066267001590801</v>
      </c>
      <c r="H12159" s="7" t="n">
        <f aca="false">CF!H75/(Seg!H83-Thesis!H121)</f>
        <v>0.0650366246750144</v>
      </c>
      <c r="I12159" s="7" t="n">
        <f aca="false">CF!I75/(Seg!I83-Thesis!I121)</f>
        <v>0.0648573271390164</v>
      </c>
      <c r="J12159" s="7" t="n">
        <f aca="false">CF!J75/(Seg!J83-Thesis!J121)</f>
        <v>0.0655189837669657</v>
      </c>
      <c r="K12159" s="7" t="n">
        <f aca="false">CF!K75/(Seg!K83-Thesis!K121)</f>
        <v>0.0667878921367872</v>
      </c>
    </row>
    <row r="12160" customFormat="false" ht="17.15" hidden="false" customHeight="false" outlineLevel="0" collapsed="false">
      <c r="A12160" s="0" t="s">
        <v>1056</v>
      </c>
      <c r="B12160" s="0" t="s">
        <v>98</v>
      </c>
      <c r="F12160" s="6" t="n">
        <f aca="false">Seg!F68*(al_m365+Sens!F12159+sbc_r)</f>
        <v>82.8871280343675</v>
      </c>
      <c r="G12160" s="6" t="n">
        <f aca="false">Seg!G68*(al_m365+Sens!G12159+sbc_r)</f>
        <v>93.2646494841949</v>
      </c>
      <c r="H12160" s="6" t="n">
        <f aca="false">Seg!H68*(al_m365+Sens!H12159+sbc_r)</f>
        <v>103.801656157254</v>
      </c>
      <c r="I12160" s="6" t="n">
        <f aca="false">Seg!I68*(al_m365+Sens!I12159+sbc_r)</f>
        <v>113.821873816133</v>
      </c>
      <c r="J12160" s="6" t="n">
        <f aca="false">Seg!J68*(al_m365+Sens!J12159+sbc_r)</f>
        <v>123.136196807334</v>
      </c>
      <c r="K12160" s="6" t="n">
        <f aca="false">Seg!K68*(al_m365+Sens!K12159+sbc_r)</f>
        <v>132.051675801964</v>
      </c>
      <c r="L12160" s="11" t="s">
        <v>1057</v>
      </c>
    </row>
    <row r="12161" customFormat="false" ht="17.15" hidden="false" customHeight="false" outlineLevel="0" collapsed="false">
      <c r="A12161" s="0" t="s">
        <v>1058</v>
      </c>
      <c r="B12161" s="0" t="s">
        <v>98</v>
      </c>
      <c r="F12161" s="6" t="n">
        <f aca="false">Seg!F69*(al_lic+Sens!F12159+sbc_r)</f>
        <v>33.4484001235218</v>
      </c>
      <c r="G12161" s="6" t="n">
        <f aca="false">Seg!G69*(al_lic+Sens!G12159+sbc_r)</f>
        <v>34.7662136749183</v>
      </c>
      <c r="H12161" s="6" t="n">
        <f aca="false">Seg!H69*(al_lic+Sens!H12159+sbc_r)</f>
        <v>35.9922067034497</v>
      </c>
      <c r="I12161" s="6" t="n">
        <f aca="false">Seg!I69*(al_lic+Sens!I12159+sbc_r)</f>
        <v>37.1063543598183</v>
      </c>
      <c r="J12161" s="6" t="n">
        <f aca="false">Seg!J69*(al_lic+Sens!J12159+sbc_r)</f>
        <v>38.0853056964387</v>
      </c>
      <c r="K12161" s="6" t="n">
        <f aca="false">Seg!K69*(al_lic+Sens!K12159+sbc_r)</f>
        <v>38.9048066370724</v>
      </c>
    </row>
    <row r="12162" customFormat="false" ht="17.15" hidden="false" customHeight="false" outlineLevel="0" collapsed="false">
      <c r="A12162" s="0" t="s">
        <v>1059</v>
      </c>
      <c r="B12162" s="0" t="s">
        <v>98</v>
      </c>
      <c r="F12162" s="6" t="n">
        <f aca="false">Seg!F71*(al_ind+Sens!F12159+sbc_r)</f>
        <v>9.07857451914073</v>
      </c>
      <c r="G12162" s="6" t="n">
        <f aca="false">Seg!G71*(al_ind+Sens!G12159+sbc_r)</f>
        <v>9.86487802721884</v>
      </c>
      <c r="H12162" s="6" t="n">
        <f aca="false">Seg!H71*(al_ind+Sens!H12159+sbc_r)</f>
        <v>10.693809720013</v>
      </c>
      <c r="I12162" s="6" t="n">
        <f aca="false">Seg!I71*(al_ind+Sens!I12159+sbc_r)</f>
        <v>11.5608645999226</v>
      </c>
      <c r="J12162" s="6" t="n">
        <f aca="false">Seg!J71*(al_ind+Sens!J12159+sbc_r)</f>
        <v>12.4574161941375</v>
      </c>
      <c r="K12162" s="6" t="n">
        <f aca="false">Seg!K71*(al_ind+Sens!K12159+sbc_r)</f>
        <v>13.3714153876622</v>
      </c>
    </row>
    <row r="12163" customFormat="false" ht="17.15" hidden="false" customHeight="false" outlineLevel="0" collapsed="false">
      <c r="A12163" s="0" t="s">
        <v>1060</v>
      </c>
      <c r="B12163" s="0" t="s">
        <v>98</v>
      </c>
      <c r="F12163" s="6" t="n">
        <f aca="false">Seg!F73*(al_fro+Sens!F12159+sbc_r)</f>
        <v>3.57335880380168</v>
      </c>
      <c r="G12163" s="6" t="n">
        <f aca="false">Seg!G73*(al_fro+Sens!G12159+sbc_r)</f>
        <v>3.78752993435501</v>
      </c>
      <c r="H12163" s="6" t="n">
        <f aca="false">Seg!H73*(al_fro+Sens!H12159+sbc_r)</f>
        <v>4.02979352544868</v>
      </c>
      <c r="I12163" s="6" t="n">
        <f aca="false">Seg!I73*(al_fro+Sens!I12159+sbc_r)</f>
        <v>4.30248328262388</v>
      </c>
      <c r="J12163" s="6" t="n">
        <f aca="false">Seg!J73*(al_fro+Sens!J12159+sbc_r)</f>
        <v>4.6072312462081</v>
      </c>
      <c r="K12163" s="6" t="n">
        <f aca="false">Seg!K73*(al_fro+Sens!K12159+sbc_r)</f>
        <v>4.94526327289735</v>
      </c>
    </row>
    <row r="12164" customFormat="false" ht="17.15" hidden="false" customHeight="false" outlineLevel="0" collapsed="false">
      <c r="A12164" s="0" t="s">
        <v>1061</v>
      </c>
      <c r="B12164" s="0" t="s">
        <v>98</v>
      </c>
      <c r="F12164" s="6" t="n">
        <f aca="false">Seg!F76*(al_srch+Sens!F12159+sbc_r)</f>
        <v>11.2121706988551</v>
      </c>
      <c r="G12164" s="6" t="n">
        <f aca="false">Seg!G76*(al_srch+Sens!G12159+sbc_r)</f>
        <v>12.298220751086</v>
      </c>
      <c r="H12164" s="6" t="n">
        <f aca="false">Seg!H76*(al_srch+Sens!H12159+sbc_r)</f>
        <v>13.4264661389574</v>
      </c>
      <c r="I12164" s="6" t="n">
        <f aca="false">Seg!I76*(al_srch+Sens!I12159+sbc_r)</f>
        <v>14.5842947685169</v>
      </c>
      <c r="J12164" s="6" t="n">
        <f aca="false">Seg!J76*(al_srch+Sens!J12159+sbc_r)</f>
        <v>15.7529827260804</v>
      </c>
      <c r="K12164" s="6" t="n">
        <f aca="false">Seg!K76*(al_srch+Sens!K12159+sbc_r)</f>
        <v>16.908777257054</v>
      </c>
    </row>
    <row r="12165" customFormat="false" ht="17.15" hidden="false" customHeight="false" outlineLevel="0" collapsed="false">
      <c r="A12165" s="0" t="s">
        <v>1062</v>
      </c>
      <c r="B12165" s="0" t="s">
        <v>98</v>
      </c>
      <c r="F12165" s="6" t="n">
        <f aca="false">Thesis!F127-Thesis!F128+Thesis!F142</f>
        <v>49.3166695044068</v>
      </c>
      <c r="G12165" s="6" t="n">
        <f aca="false">Thesis!G127-Thesis!G128+Thesis!G142</f>
        <v>79.1711235199867</v>
      </c>
      <c r="H12165" s="6" t="n">
        <f aca="false">Thesis!H127-Thesis!H128+Thesis!H142</f>
        <v>105.986955995322</v>
      </c>
      <c r="I12165" s="6" t="n">
        <f aca="false">Thesis!I127-Thesis!I128+Thesis!I142</f>
        <v>136.51312421941</v>
      </c>
      <c r="J12165" s="6" t="n">
        <f aca="false">Thesis!J127-Thesis!J128+Thesis!J142</f>
        <v>158.045869188803</v>
      </c>
      <c r="K12165" s="6" t="n">
        <f aca="false">Thesis!K127-Thesis!K128+Thesis!K142</f>
        <v>171.626834186355</v>
      </c>
    </row>
    <row r="12166" customFormat="false" ht="17.15" hidden="false" customHeight="false" outlineLevel="0" collapsed="false">
      <c r="A12166" s="0" t="s">
        <v>1063</v>
      </c>
      <c r="B12166" s="0" t="s">
        <v>98</v>
      </c>
      <c r="F12166" s="6" t="n">
        <f aca="false">PL!F110+Thesis!F142+Thesis!F138+Sens!F12159*(Seg!F75-Thesis!F121)+sbc_r*Seg!F75</f>
        <v>239.221795819914</v>
      </c>
      <c r="G12166" s="6" t="n">
        <f aca="false">PL!G110+Thesis!G142+Thesis!G138+Sens!G12159*(Seg!G75-Thesis!G121)+sbc_r*Seg!G75</f>
        <v>293.888959324058</v>
      </c>
      <c r="H12166" s="6" t="n">
        <f aca="false">PL!H110+Thesis!H142+Thesis!H138+Sens!H12159*(Seg!H75-Thesis!H121)+sbc_r*Seg!H75</f>
        <v>345.795749423438</v>
      </c>
      <c r="I12166" s="6" t="n">
        <f aca="false">PL!I110+Thesis!I142+Thesis!I138+Sens!I12159*(Seg!I75-Thesis!I121)+sbc_r*Seg!I75</f>
        <v>400.80148439376</v>
      </c>
      <c r="J12166" s="6" t="n">
        <f aca="false">PL!J110+Thesis!J142+Thesis!J138+Sens!J12159*(Seg!J75-Thesis!J121)+sbc_r*Seg!J75</f>
        <v>444.918308128678</v>
      </c>
      <c r="K12166" s="6" t="n">
        <f aca="false">PL!K110+Thesis!K142+Thesis!K138+Sens!K12159*(Seg!K75-Thesis!K121)+sbc_r*Seg!K75</f>
        <v>478.782312275225</v>
      </c>
    </row>
    <row r="12167" customFormat="false" ht="17.15" hidden="false" customHeight="false" outlineLevel="0" collapsed="false">
      <c r="A12167" s="0" t="s">
        <v>1064</v>
      </c>
      <c r="B12167" s="0" t="s">
        <v>98</v>
      </c>
      <c r="F12167" s="6" t="n">
        <f aca="false">Sens!F12166-Sens!F12160-Sens!F12161-Sens!F12162-Sens!F12163-Sens!F12165</f>
        <v>60.9176648346756</v>
      </c>
      <c r="G12167" s="6" t="n">
        <f aca="false">Sens!G12166-Sens!G12160-Sens!G12161-Sens!G12162-Sens!G12163-Sens!G12165</f>
        <v>73.0345646833845</v>
      </c>
      <c r="H12167" s="6" t="n">
        <f aca="false">Sens!H12166-Sens!H12160-Sens!H12161-Sens!H12162-Sens!H12163-Sens!H12165</f>
        <v>85.2913273219498</v>
      </c>
      <c r="I12167" s="6" t="n">
        <f aca="false">Sens!I12166-Sens!I12160-Sens!I12161-Sens!I12162-Sens!I12163-Sens!I12165</f>
        <v>97.4967841158513</v>
      </c>
      <c r="J12167" s="6" t="n">
        <f aca="false">Sens!J12166-Sens!J12160-Sens!J12161-Sens!J12162-Sens!J12163-Sens!J12165</f>
        <v>108.586288995756</v>
      </c>
      <c r="K12167" s="6" t="n">
        <f aca="false">Sens!K12166-Sens!K12160-Sens!K12161-Sens!K12162-Sens!K12163-Sens!K12165</f>
        <v>117.882316989274</v>
      </c>
    </row>
    <row r="12168" customFormat="false" ht="17.15" hidden="false" customHeight="false" outlineLevel="0" collapsed="false">
      <c r="A12168" s="0" t="s">
        <v>1065</v>
      </c>
      <c r="B12168" s="0" t="s">
        <v>98</v>
      </c>
      <c r="F12168" s="6" t="n">
        <f aca="false">PL!F112+Sens!F12159*Seg!F82+sbc_r*Seg!F82</f>
        <v>26.2049549828959</v>
      </c>
      <c r="G12168" s="6" t="n">
        <f aca="false">PL!G112+Sens!G12159*Seg!G82+sbc_r*Seg!G82</f>
        <v>26.8405806403664</v>
      </c>
      <c r="H12168" s="6" t="n">
        <f aca="false">PL!H112+Sens!H12159*Seg!H82+sbc_r*Seg!H82</f>
        <v>27.7352032470138</v>
      </c>
      <c r="I12168" s="6" t="n">
        <f aca="false">PL!I112+Sens!I12159*Seg!I82+sbc_r*Seg!I82</f>
        <v>28.8569155956094</v>
      </c>
      <c r="J12168" s="6" t="n">
        <f aca="false">PL!J112+Sens!J12159*Seg!J82+sbc_r*Seg!J82</f>
        <v>30.1744385645725</v>
      </c>
      <c r="K12168" s="6" t="n">
        <f aca="false">PL!K112+Sens!K12159*Seg!K82+sbc_r*Seg!K82</f>
        <v>31.6584976186802</v>
      </c>
    </row>
    <row r="12169" customFormat="false" ht="17.15" hidden="false" customHeight="false" outlineLevel="0" collapsed="false">
      <c r="A12169" s="0" t="s">
        <v>1066</v>
      </c>
      <c r="B12169" s="0" t="s">
        <v>98</v>
      </c>
      <c r="F12169" s="6" t="n">
        <f aca="false">(Sens!F12168-Sens!F12164)*Seg!F78/(Seg!F78+Seg!F80)</f>
        <v>8.21889831690819</v>
      </c>
      <c r="G12169" s="6" t="n">
        <f aca="false">(Sens!G12168-Sens!G12164)*Seg!G78/(Seg!G78+Seg!G80)</f>
        <v>7.82984014749099</v>
      </c>
      <c r="H12169" s="6" t="n">
        <f aca="false">(Sens!H12168-Sens!H12164)*Seg!H78/(Seg!H78+Seg!H80)</f>
        <v>7.5999849964554</v>
      </c>
      <c r="I12169" s="6" t="n">
        <f aca="false">(Sens!I12168-Sens!I12164)*Seg!I78/(Seg!I78+Seg!I80)</f>
        <v>7.51221089422364</v>
      </c>
      <c r="J12169" s="6" t="n">
        <f aca="false">(Sens!J12168-Sens!J12164)*Seg!J78/(Seg!J78+Seg!J80)</f>
        <v>7.55622411401827</v>
      </c>
      <c r="K12169" s="6" t="n">
        <f aca="false">(Sens!K12168-Sens!K12164)*Seg!K78/(Seg!K78+Seg!K80)</f>
        <v>7.72822064011532</v>
      </c>
    </row>
    <row r="12170" customFormat="false" ht="17.15" hidden="false" customHeight="false" outlineLevel="0" collapsed="false">
      <c r="A12170" s="0" t="s">
        <v>1067</v>
      </c>
      <c r="B12170" s="0" t="s">
        <v>98</v>
      </c>
      <c r="F12170" s="6" t="n">
        <f aca="false">Sens!F12168-Sens!F12164-Sens!F12169</f>
        <v>6.77388596713263</v>
      </c>
      <c r="G12170" s="6" t="n">
        <f aca="false">Sens!G12168-Sens!G12164-Sens!G12169</f>
        <v>6.71251974178949</v>
      </c>
      <c r="H12170" s="6" t="n">
        <f aca="false">Sens!H12168-Sens!H12164-Sens!H12169</f>
        <v>6.70875211160101</v>
      </c>
      <c r="I12170" s="6" t="n">
        <f aca="false">Sens!I12168-Sens!I12164-Sens!I12169</f>
        <v>6.76040993286883</v>
      </c>
      <c r="J12170" s="6" t="n">
        <f aca="false">Sens!J12168-Sens!J12164-Sens!J12169</f>
        <v>6.86523172447386</v>
      </c>
      <c r="K12170" s="6" t="n">
        <f aca="false">Sens!K12168-Sens!K12164-Sens!K12169</f>
        <v>7.02149972151092</v>
      </c>
    </row>
    <row r="12171" customFormat="false" ht="17.15" hidden="false" customHeight="false" outlineLevel="0" collapsed="false">
      <c r="A12171" s="0" t="s">
        <v>1068</v>
      </c>
      <c r="B12171" s="0" t="s">
        <v>98</v>
      </c>
      <c r="F12171" s="6" t="n">
        <f aca="false">Sens!F12165-tax_f*(Sens!F12165-Thesis!F138)-Thesis!F135</f>
        <v>-122.366710075738</v>
      </c>
      <c r="G12171" s="6" t="n">
        <f aca="false">Sens!G12165-tax_f*(Sens!G12165-Thesis!G138)-Thesis!G135</f>
        <v>-108.130935015143</v>
      </c>
      <c r="H12171" s="6" t="n">
        <f aca="false">Sens!H12165-tax_f*(Sens!H12165-Thesis!H138)-Thesis!H135</f>
        <v>-85.7372579155142</v>
      </c>
      <c r="I12171" s="6" t="n">
        <f aca="false">Sens!I12165-tax_f*(Sens!I12165-Thesis!I138)-Thesis!I135</f>
        <v>-32.0937617822731</v>
      </c>
      <c r="J12171" s="6" t="n">
        <f aca="false">Sens!J12165-tax_f*(Sens!J12165-Thesis!J138)-Thesis!J135</f>
        <v>27.7659608174853</v>
      </c>
      <c r="K12171" s="6" t="n">
        <f aca="false">Sens!K12165-tax_f*(Sens!K12165-Thesis!K138)-Thesis!K135</f>
        <v>50.2765610680426</v>
      </c>
    </row>
    <row r="12172" customFormat="false" ht="17.15" hidden="false" customHeight="false" outlineLevel="0" collapsed="false">
      <c r="A12172" s="0" t="s">
        <v>1069</v>
      </c>
      <c r="B12172" s="0" t="s">
        <v>98</v>
      </c>
      <c r="F12172" s="6" t="n">
        <f aca="false">Sens!F12171*Sens!F12145</f>
        <v>-117.04860230305</v>
      </c>
      <c r="G12172" s="6" t="n">
        <f aca="false">Sens!G12171*Sens!G12145</f>
        <v>-94.6365289684615</v>
      </c>
      <c r="H12172" s="6" t="n">
        <f aca="false">Sens!H12171*Sens!H12145</f>
        <v>-68.6569222155369</v>
      </c>
      <c r="I12172" s="6" t="n">
        <f aca="false">Sens!I12171*Sens!I12145</f>
        <v>-23.5147985402076</v>
      </c>
      <c r="J12172" s="6" t="n">
        <f aca="false">Sens!J12171*Sens!J12145</f>
        <v>18.6139798973068</v>
      </c>
      <c r="K12172" s="6" t="n">
        <f aca="false">Sens!K12171*Sens!K12145</f>
        <v>30.8388372283398</v>
      </c>
    </row>
    <row r="12173" customFormat="false" ht="17.15" hidden="false" customHeight="false" outlineLevel="0" collapsed="false">
      <c r="A12173" s="0" t="s">
        <v>1070</v>
      </c>
      <c r="B12173" s="0" t="s">
        <v>98</v>
      </c>
      <c r="C12173" s="6" t="n">
        <f aca="false">(Sens!K12165-Thesis!K138)*(1-tax_f)*(1+g_tv)*(1-g_tv/((wacc-0.01)+ronic_prem))/((wacc-0.01)-g_tv)/(1+(wacc-0.01))^(Sens!K12144+mid_yr)</f>
        <v>166.231672626106</v>
      </c>
    </row>
    <row r="12174" customFormat="false" ht="17.15" hidden="false" customHeight="false" outlineLevel="0" collapsed="false">
      <c r="A12174" s="1" t="s">
        <v>1071</v>
      </c>
      <c r="B12174" s="0" t="s">
        <v>98</v>
      </c>
      <c r="C12174" s="6" t="n">
        <f aca="false">(SUM(Sens!F12172:K12172)+Sens!$C$12173)*(1+(wacc-0.01))^t_roll</f>
        <v>-99.1994615973672</v>
      </c>
      <c r="L12174" s="11" t="s">
        <v>1072</v>
      </c>
    </row>
    <row r="12175" customFormat="false" ht="17.15" hidden="false" customHeight="false" outlineLevel="0" collapsed="false">
      <c r="A12175" s="1" t="s">
        <v>1073</v>
      </c>
      <c r="B12175" s="0" t="s">
        <v>98</v>
      </c>
      <c r="C12175" s="6" t="n">
        <f aca="false">(w_ntm28*Thesis!G127+(1-w_ntm28)*Thesis!H127)*m_ai</f>
        <v>338.776008390068</v>
      </c>
    </row>
    <row r="12176" customFormat="false" ht="17.15" hidden="false" customHeight="false" outlineLevel="0" collapsed="false">
      <c r="A12176" s="1" t="s">
        <v>1074</v>
      </c>
      <c r="B12176" s="0" t="s">
        <v>98</v>
      </c>
      <c r="C12176" s="6" t="n">
        <f aca="false">(w_ntm28*Sens!G12167+(1-w_ntm28)*Sens!H12167)*m_cloud</f>
        <v>1064.09888458319</v>
      </c>
    </row>
    <row r="12177" customFormat="false" ht="17.15" hidden="false" customHeight="false" outlineLevel="0" collapsed="false">
      <c r="A12177" s="1" t="s">
        <v>1075</v>
      </c>
      <c r="B12177" s="0" t="s">
        <v>98</v>
      </c>
      <c r="C12177" s="6" t="n">
        <f aca="false">(w_ntm28*Sens!G12160+(1-w_ntm28)*Sens!H12160)*m_sw</f>
        <v>1044.04824539957</v>
      </c>
    </row>
    <row r="12178" customFormat="false" ht="17.15" hidden="false" customHeight="false" outlineLevel="0" collapsed="false">
      <c r="A12178" s="1" t="s">
        <v>1076</v>
      </c>
      <c r="B12178" s="0" t="s">
        <v>98</v>
      </c>
      <c r="C12178" s="6" t="n">
        <f aca="false">(w_ntm28*Sens!G12161+(1-w_ntm28)*Sens!H12161)*m_sw</f>
        <v>379.755670745447</v>
      </c>
    </row>
    <row r="12179" customFormat="false" ht="17.15" hidden="false" customHeight="false" outlineLevel="0" collapsed="false">
      <c r="A12179" s="1" t="s">
        <v>1077</v>
      </c>
      <c r="B12179" s="0" t="s">
        <v>98</v>
      </c>
      <c r="C12179" s="6" t="n">
        <f aca="false">(w_ntm28*Sens!G12162+(1-w_ntm28)*Sens!H12162)*m_sw</f>
        <v>109.434903376969</v>
      </c>
    </row>
    <row r="12180" customFormat="false" ht="17.15" hidden="false" customHeight="false" outlineLevel="0" collapsed="false">
      <c r="A12180" s="1" t="s">
        <v>1078</v>
      </c>
      <c r="B12180" s="0" t="s">
        <v>98</v>
      </c>
      <c r="C12180" s="6" t="n">
        <f aca="false">(w_ntm28*Sens!G12163+(1-w_ntm28)*Sens!H12163)*m_sw</f>
        <v>41.7511882786773</v>
      </c>
    </row>
    <row r="12181" customFormat="false" ht="17.15" hidden="false" customHeight="false" outlineLevel="0" collapsed="false">
      <c r="A12181" s="1" t="s">
        <v>1079</v>
      </c>
      <c r="B12181" s="0" t="s">
        <v>98</v>
      </c>
      <c r="C12181" s="6" t="n">
        <f aca="false">(w_ntm28*Sens!G12164+(1-w_ntm28)*Sens!H12164)*m_ads</f>
        <v>115.359643719254</v>
      </c>
    </row>
    <row r="12182" customFormat="false" ht="17.15" hidden="false" customHeight="false" outlineLevel="0" collapsed="false">
      <c r="A12182" s="1" t="s">
        <v>1080</v>
      </c>
      <c r="B12182" s="0" t="s">
        <v>98</v>
      </c>
      <c r="C12182" s="6" t="n">
        <f aca="false">(w_ntm28*Sens!G12169+(1-w_ntm28)*Sens!H12169)*m_game</f>
        <v>97.9523541428266</v>
      </c>
    </row>
    <row r="12183" customFormat="false" ht="17.15" hidden="false" customHeight="false" outlineLevel="0" collapsed="false">
      <c r="A12183" s="1" t="s">
        <v>1081</v>
      </c>
      <c r="B12183" s="0" t="s">
        <v>98</v>
      </c>
      <c r="C12183" s="6" t="n">
        <f aca="false">(w_ntm28*Sens!G12170+(1-w_ntm28)*Sens!H12170)*m_pc</f>
        <v>97.1125357928949</v>
      </c>
    </row>
    <row r="12184" customFormat="false" ht="17.15" hidden="false" customHeight="false" outlineLevel="0" collapsed="false">
      <c r="A12184" s="1" t="s">
        <v>1082</v>
      </c>
      <c r="B12184" s="0" t="s">
        <v>98</v>
      </c>
      <c r="C12184" s="6" t="n">
        <f aca="false">Sens!$C$12174+Sens!$C$12176+Sens!$C$12177+Sens!$C$12178+Sens!$C$12179+Sens!$C$12180+Sens!$C$12181+Sens!$C$12182+Sens!$C$12183</f>
        <v>2850.31396444146</v>
      </c>
    </row>
    <row r="12185" customFormat="false" ht="17.15" hidden="false" customHeight="false" outlineLevel="0" collapsed="false">
      <c r="A12185" s="1" t="s">
        <v>1000</v>
      </c>
      <c r="B12185" s="0" t="s">
        <v>98</v>
      </c>
      <c r="C12185" s="6" t="n">
        <f aca="false">CF!F94+oai_v-CF!F83</f>
        <v>106.814034990727</v>
      </c>
      <c r="L12185" s="1" t="s">
        <v>1083</v>
      </c>
    </row>
    <row r="12186" customFormat="false" ht="15" hidden="false" customHeight="false" outlineLevel="0" collapsed="false">
      <c r="A12186" s="1" t="s">
        <v>1001</v>
      </c>
      <c r="B12186" s="0" t="s">
        <v>75</v>
      </c>
      <c r="C12186" s="5" t="n">
        <f aca="false">(Sens!$C$12184+Sens!$C$12185)/CF!F96</f>
        <v>395.761241894029</v>
      </c>
    </row>
    <row r="12187" customFormat="false" ht="17.15" hidden="false" customHeight="false" outlineLevel="0" collapsed="false">
      <c r="A12187" s="1" t="s">
        <v>1084</v>
      </c>
      <c r="B12187" s="0" t="s">
        <v>75</v>
      </c>
      <c r="C12187" s="5" t="n">
        <f aca="false">w_dcf*Sens!$C$12158+(1-w_dcf)*Sens!$C$12186</f>
        <v>364.376521210874</v>
      </c>
    </row>
    <row r="12188" customFormat="false" ht="17.15" hidden="false" customHeight="false" outlineLevel="0" collapsed="false">
      <c r="A12188" s="3" t="s">
        <v>1552</v>
      </c>
    </row>
    <row r="12189" customFormat="false" ht="15" hidden="false" customHeight="false" outlineLevel="0" collapsed="false">
      <c r="A12189" s="4" t="s">
        <v>43</v>
      </c>
      <c r="B12189" s="4" t="s">
        <v>65</v>
      </c>
      <c r="C12189" s="20" t="s">
        <v>788</v>
      </c>
      <c r="D12189" s="20" t="s">
        <v>789</v>
      </c>
      <c r="E12189" s="20" t="s">
        <v>790</v>
      </c>
      <c r="F12189" s="20" t="s">
        <v>791</v>
      </c>
      <c r="G12189" s="20" t="s">
        <v>792</v>
      </c>
      <c r="H12189" s="20" t="s">
        <v>793</v>
      </c>
      <c r="I12189" s="20" t="s">
        <v>794</v>
      </c>
      <c r="J12189" s="20" t="s">
        <v>795</v>
      </c>
      <c r="K12189" s="20" t="s">
        <v>796</v>
      </c>
      <c r="L12189" s="4" t="s">
        <v>47</v>
      </c>
    </row>
    <row r="12190" customFormat="false" ht="15" hidden="false" customHeight="false" outlineLevel="0" collapsed="false">
      <c r="A12190" s="1" t="s">
        <v>1042</v>
      </c>
      <c r="B12190" s="1" t="s">
        <v>235</v>
      </c>
      <c r="F12190" s="36" t="n">
        <f aca="false">Thesis!F6-base_fy-mid_yr</f>
        <v>0.5</v>
      </c>
      <c r="G12190" s="36" t="n">
        <f aca="false">Thesis!G6-base_fy-mid_yr</f>
        <v>1.5</v>
      </c>
      <c r="H12190" s="36" t="n">
        <f aca="false">Thesis!H6-base_fy-mid_yr</f>
        <v>2.5</v>
      </c>
      <c r="I12190" s="36" t="n">
        <f aca="false">Thesis!I6-base_fy-mid_yr</f>
        <v>3.5</v>
      </c>
      <c r="J12190" s="36" t="n">
        <f aca="false">Thesis!J6-base_fy-mid_yr</f>
        <v>4.5</v>
      </c>
      <c r="K12190" s="36" t="n">
        <f aca="false">Thesis!K6-base_fy-mid_yr</f>
        <v>5.5</v>
      </c>
    </row>
    <row r="12191" customFormat="false" ht="15" hidden="false" customHeight="false" outlineLevel="0" collapsed="false">
      <c r="A12191" s="1" t="s">
        <v>1043</v>
      </c>
      <c r="B12191" s="0" t="s">
        <v>185</v>
      </c>
      <c r="F12191" s="14" t="n">
        <f aca="false">1/(1+(wacc+0.01))^Sens!F12190</f>
        <v>0.947905870475805</v>
      </c>
      <c r="G12191" s="14" t="n">
        <f aca="false">1/(1+(wacc+0.01))^Sens!G12190</f>
        <v>0.851717633458314</v>
      </c>
      <c r="H12191" s="14" t="n">
        <f aca="false">1/(1+(wacc+0.01))^Sens!H12190</f>
        <v>0.76529004591954</v>
      </c>
      <c r="I12191" s="14" t="n">
        <f aca="false">1/(1+(wacc+0.01))^Sens!I12190</f>
        <v>0.687632651217379</v>
      </c>
      <c r="J12191" s="14" t="n">
        <f aca="false">1/(1+(wacc+0.01))^Sens!J12190</f>
        <v>0.617855498763346</v>
      </c>
      <c r="K12191" s="14" t="n">
        <f aca="false">1/(1+(wacc+0.01))^Sens!K12190</f>
        <v>0.555158945224989</v>
      </c>
    </row>
    <row r="12192" customFormat="false" ht="17.15" hidden="false" customHeight="false" outlineLevel="0" collapsed="false">
      <c r="A12192" s="1" t="s">
        <v>1044</v>
      </c>
      <c r="B12192" s="0" t="s">
        <v>98</v>
      </c>
      <c r="F12192" s="6" t="n">
        <f aca="false">CF!F21-CF!F19-CF!F24+Thesis!F44*(1-tax_f)</f>
        <v>9.29995994594013</v>
      </c>
      <c r="G12192" s="6" t="n">
        <f aca="false">CF!G21-CF!G19-CF!G24+Thesis!G44*(1-tax_f)</f>
        <v>55.6803799901549</v>
      </c>
      <c r="H12192" s="6" t="n">
        <f aca="false">CF!H21-CF!H19-CF!H24+Thesis!H44*(1-tax_f)</f>
        <v>114.6308681267</v>
      </c>
      <c r="I12192" s="6" t="n">
        <f aca="false">CF!I21-CF!I19-CF!I24+Thesis!I44*(1-tax_f)</f>
        <v>192.960687587037</v>
      </c>
      <c r="J12192" s="6" t="n">
        <f aca="false">CF!J21-CF!J19-CF!J24+Thesis!J44*(1-tax_f)</f>
        <v>273.742251264366</v>
      </c>
      <c r="K12192" s="6" t="n">
        <f aca="false">CF!K21-CF!K19-CF!K24+Thesis!K44*(1-tax_f)</f>
        <v>313.491842465765</v>
      </c>
      <c r="L12192" s="1" t="s">
        <v>1045</v>
      </c>
    </row>
    <row r="12193" customFormat="false" ht="15" hidden="false" customHeight="false" outlineLevel="0" collapsed="false">
      <c r="A12193" s="1" t="s">
        <v>1046</v>
      </c>
      <c r="B12193" s="0" t="s">
        <v>98</v>
      </c>
      <c r="F12193" s="6" t="n">
        <f aca="false">Sens!F12192*Sens!F12191</f>
        <v>8.8154866279465</v>
      </c>
      <c r="G12193" s="6" t="n">
        <f aca="false">Sens!G12192*Sens!G12191</f>
        <v>47.4239614752744</v>
      </c>
      <c r="H12193" s="6" t="n">
        <f aca="false">Sens!H12192*Sens!H12191</f>
        <v>87.7258623324789</v>
      </c>
      <c r="I12193" s="6" t="n">
        <f aca="false">Sens!I12192*Sens!I12191</f>
        <v>132.686069186202</v>
      </c>
      <c r="J12193" s="6" t="n">
        <f aca="false">Sens!J12192*Sens!J12191</f>
        <v>169.133155187546</v>
      </c>
      <c r="K12193" s="6" t="n">
        <f aca="false">Sens!K12192*Sens!K12191</f>
        <v>174.037800599933</v>
      </c>
    </row>
    <row r="12194" customFormat="false" ht="17.15" hidden="false" customHeight="false" outlineLevel="0" collapsed="false">
      <c r="A12194" s="1" t="s">
        <v>1047</v>
      </c>
      <c r="B12194" s="0" t="s">
        <v>98</v>
      </c>
      <c r="C12194" s="6" t="n">
        <f aca="false">SUM(Sens!F12193:K12193)</f>
        <v>619.822335409381</v>
      </c>
    </row>
    <row r="12195" customFormat="false" ht="17.15" hidden="false" customHeight="false" outlineLevel="0" collapsed="false">
      <c r="A12195" s="1" t="s">
        <v>1048</v>
      </c>
      <c r="B12195" s="0" t="s">
        <v>98</v>
      </c>
      <c r="C12195" s="6" t="n">
        <f aca="false">PL!K39*(1+g_tv)*(1-tax_f)</f>
        <v>325.338496025769</v>
      </c>
    </row>
    <row r="12196" customFormat="false" ht="17.15" hidden="false" customHeight="false" outlineLevel="0" collapsed="false">
      <c r="A12196" s="1" t="s">
        <v>1049</v>
      </c>
      <c r="B12196" s="0" t="s">
        <v>98</v>
      </c>
      <c r="C12196" s="6" t="n">
        <f aca="false">Sens!$C$12195*(1-g_tv/((wacc+0.01)+ronic_prem))</f>
        <v>238.915288001622</v>
      </c>
    </row>
    <row r="12197" customFormat="false" ht="17.15" hidden="false" customHeight="false" outlineLevel="0" collapsed="false">
      <c r="A12197" s="1" t="s">
        <v>1050</v>
      </c>
      <c r="B12197" s="0" t="s">
        <v>98</v>
      </c>
      <c r="C12197" s="6" t="n">
        <f aca="false">Sens!$C$12196/((wacc+0.01)-g_tv)</f>
        <v>2880.77360080492</v>
      </c>
    </row>
    <row r="12198" customFormat="false" ht="15" hidden="false" customHeight="false" outlineLevel="0" collapsed="false">
      <c r="A12198" s="1" t="s">
        <v>1051</v>
      </c>
      <c r="B12198" s="0" t="s">
        <v>98</v>
      </c>
      <c r="C12198" s="6" t="n">
        <f aca="false">Sens!$C$12197/(1+(wacc+0.01))^(Sens!K12190+mid_yr)</f>
        <v>1515.97375735845</v>
      </c>
    </row>
    <row r="12199" customFormat="false" ht="17.15" hidden="false" customHeight="false" outlineLevel="0" collapsed="false">
      <c r="A12199" s="0" t="s">
        <v>972</v>
      </c>
      <c r="B12199" s="0" t="s">
        <v>98</v>
      </c>
      <c r="C12199" s="6" t="n">
        <f aca="false">Sens!$C$12194+Sens!$C$12198</f>
        <v>2135.79609276783</v>
      </c>
    </row>
    <row r="12200" customFormat="false" ht="15" hidden="false" customHeight="false" outlineLevel="0" collapsed="false">
      <c r="A12200" s="1" t="s">
        <v>973</v>
      </c>
      <c r="B12200" s="0" t="s">
        <v>129</v>
      </c>
      <c r="C12200" s="7" t="n">
        <f aca="false">Sens!$C$12198/Sens!$C$12199</f>
        <v>0.709793300255485</v>
      </c>
    </row>
    <row r="12201" customFormat="false" ht="17.15" hidden="false" customHeight="false" outlineLevel="0" collapsed="false">
      <c r="A12201" s="1" t="s">
        <v>1052</v>
      </c>
      <c r="B12201" s="0" t="s">
        <v>98</v>
      </c>
      <c r="C12201" s="6" t="n">
        <f aca="false">Sens!$C$12199+CF!E36-CF!E25+oai_v</f>
        <v>2270.30909276783</v>
      </c>
    </row>
    <row r="12202" customFormat="false" ht="17.15" hidden="false" customHeight="false" outlineLevel="0" collapsed="false">
      <c r="A12202" s="0" t="s">
        <v>980</v>
      </c>
      <c r="B12202" s="0" t="s">
        <v>75</v>
      </c>
      <c r="C12202" s="5" t="n">
        <f aca="false">Sens!$C$12201/sh_dil26</f>
        <v>304.616811051634</v>
      </c>
    </row>
    <row r="12203" customFormat="false" ht="15" hidden="false" customHeight="false" outlineLevel="0" collapsed="false">
      <c r="A12203" s="1" t="s">
        <v>1053</v>
      </c>
      <c r="B12203" s="0" t="s">
        <v>75</v>
      </c>
      <c r="C12203" s="8" t="n">
        <f aca="false">dps_27+CF!G28*roll_div_q/q_per_yr</f>
        <v>4.8895</v>
      </c>
    </row>
    <row r="12204" customFormat="false" ht="17.15" hidden="false" customHeight="false" outlineLevel="0" collapsed="false">
      <c r="A12204" s="0" t="s">
        <v>1054</v>
      </c>
      <c r="B12204" s="0" t="s">
        <v>75</v>
      </c>
      <c r="C12204" s="5" t="n">
        <f aca="false">Sens!$C$12202*(1+(wacc+0.01))^t_roll-Sens!$C$12203</f>
        <v>346.164394882174</v>
      </c>
    </row>
    <row r="12205" customFormat="false" ht="17.15" hidden="false" customHeight="false" outlineLevel="0" collapsed="false">
      <c r="A12205" s="1" t="s">
        <v>1055</v>
      </c>
      <c r="B12205" s="0" t="s">
        <v>129</v>
      </c>
      <c r="F12205" s="7" t="n">
        <f aca="false">CF!F17/(Seg!F29-Thesis!F23)</f>
        <v>0.0681773598226415</v>
      </c>
      <c r="G12205" s="7" t="n">
        <f aca="false">CF!G17/(Seg!G29-Thesis!G23)</f>
        <v>0.0650385409375172</v>
      </c>
      <c r="H12205" s="7" t="n">
        <f aca="false">CF!H17/(Seg!H29-Thesis!H23)</f>
        <v>0.063382542471986</v>
      </c>
      <c r="I12205" s="7" t="n">
        <f aca="false">CF!I17/(Seg!I29-Thesis!I23)</f>
        <v>0.0630998138876076</v>
      </c>
      <c r="J12205" s="7" t="n">
        <f aca="false">CF!J17/(Seg!J29-Thesis!J23)</f>
        <v>0.0638399980286975</v>
      </c>
      <c r="K12205" s="7" t="n">
        <f aca="false">CF!K17/(Seg!K29-Thesis!K23)</f>
        <v>0.0651531082402687</v>
      </c>
    </row>
    <row r="12206" customFormat="false" ht="17.15" hidden="false" customHeight="false" outlineLevel="0" collapsed="false">
      <c r="A12206" s="0" t="s">
        <v>1056</v>
      </c>
      <c r="B12206" s="0" t="s">
        <v>98</v>
      </c>
      <c r="F12206" s="6" t="n">
        <f aca="false">Seg!F14*(al_m365+Sens!F12205+sbc_r)</f>
        <v>84.944046606333</v>
      </c>
      <c r="G12206" s="6" t="n">
        <f aca="false">Seg!G14*(al_m365+Sens!G12205+sbc_r)</f>
        <v>99.4236143320739</v>
      </c>
      <c r="H12206" s="6" t="n">
        <f aca="false">Seg!H14*(al_m365+Sens!H12205+sbc_r)</f>
        <v>114.068697186163</v>
      </c>
      <c r="I12206" s="6" t="n">
        <f aca="false">Seg!I14*(al_m365+Sens!I12205+sbc_r)</f>
        <v>127.196415789369</v>
      </c>
      <c r="J12206" s="6" t="n">
        <f aca="false">Seg!J14*(al_m365+Sens!J12205+sbc_r)</f>
        <v>138.619575691419</v>
      </c>
      <c r="K12206" s="6" t="n">
        <f aca="false">Seg!K14*(al_m365+Sens!K12205+sbc_r)</f>
        <v>149.659768267063</v>
      </c>
      <c r="L12206" s="11" t="s">
        <v>1057</v>
      </c>
    </row>
    <row r="12207" customFormat="false" ht="17.15" hidden="false" customHeight="false" outlineLevel="0" collapsed="false">
      <c r="A12207" s="0" t="s">
        <v>1058</v>
      </c>
      <c r="B12207" s="0" t="s">
        <v>98</v>
      </c>
      <c r="F12207" s="6" t="n">
        <f aca="false">Seg!F15*(al_lic+Sens!F12205+sbc_r)</f>
        <v>33.4285095904825</v>
      </c>
      <c r="G12207" s="6" t="n">
        <f aca="false">Seg!G15*(al_lic+Sens!G12205+sbc_r)</f>
        <v>34.7161826947861</v>
      </c>
      <c r="H12207" s="6" t="n">
        <f aca="false">Seg!H15*(al_lic+Sens!H12205+sbc_r)</f>
        <v>35.9223654002493</v>
      </c>
      <c r="I12207" s="6" t="n">
        <f aca="false">Seg!I15*(al_lic+Sens!I12205+sbc_r)</f>
        <v>37.0298325864501</v>
      </c>
      <c r="J12207" s="6" t="n">
        <f aca="false">Seg!J15*(al_lic+Sens!J12205+sbc_r)</f>
        <v>38.0103325842314</v>
      </c>
      <c r="K12207" s="6" t="n">
        <f aca="false">Seg!K15*(al_lic+Sens!K12205+sbc_r)</f>
        <v>38.8303473189322</v>
      </c>
    </row>
    <row r="12208" customFormat="false" ht="17.15" hidden="false" customHeight="false" outlineLevel="0" collapsed="false">
      <c r="A12208" s="0" t="s">
        <v>1059</v>
      </c>
      <c r="B12208" s="0" t="s">
        <v>98</v>
      </c>
      <c r="F12208" s="6" t="n">
        <f aca="false">Seg!F17*(al_ind+Sens!F12205+sbc_r)</f>
        <v>9.06719306746208</v>
      </c>
      <c r="G12208" s="6" t="n">
        <f aca="false">Seg!G17*(al_ind+Sens!G12205+sbc_r)</f>
        <v>9.83485541633448</v>
      </c>
      <c r="H12208" s="6" t="n">
        <f aca="false">Seg!H17*(al_ind+Sens!H12205+sbc_r)</f>
        <v>10.6498544617516</v>
      </c>
      <c r="I12208" s="6" t="n">
        <f aca="false">Seg!I17*(al_ind+Sens!I12205+sbc_r)</f>
        <v>11.5103515303299</v>
      </c>
      <c r="J12208" s="6" t="n">
        <f aca="false">Seg!J17*(al_ind+Sens!J12205+sbc_r)</f>
        <v>12.4055032067278</v>
      </c>
      <c r="K12208" s="6" t="n">
        <f aca="false">Seg!K17*(al_ind+Sens!K12205+sbc_r)</f>
        <v>13.3173308472897</v>
      </c>
    </row>
    <row r="12209" customFormat="false" ht="17.15" hidden="false" customHeight="false" outlineLevel="0" collapsed="false">
      <c r="A12209" s="0" t="s">
        <v>1060</v>
      </c>
      <c r="B12209" s="0" t="s">
        <v>98</v>
      </c>
      <c r="F12209" s="6" t="n">
        <f aca="false">Seg!F19*(al_fro+Sens!F12205+sbc_r)</f>
        <v>3.56887902446295</v>
      </c>
      <c r="G12209" s="6" t="n">
        <f aca="false">Seg!G19*(al_fro+Sens!G12205+sbc_r)</f>
        <v>3.77600302676241</v>
      </c>
      <c r="H12209" s="6" t="n">
        <f aca="false">Seg!H19*(al_fro+Sens!H12205+sbc_r)</f>
        <v>4.01322967965482</v>
      </c>
      <c r="I12209" s="6" t="n">
        <f aca="false">Seg!I19*(al_fro+Sens!I12205+sbc_r)</f>
        <v>4.28368437397841</v>
      </c>
      <c r="J12209" s="6" t="n">
        <f aca="false">Seg!J19*(al_fro+Sens!J12205+sbc_r)</f>
        <v>4.58803182845156</v>
      </c>
      <c r="K12209" s="6" t="n">
        <f aca="false">Seg!K19*(al_fro+Sens!K12205+sbc_r)</f>
        <v>4.92526073140255</v>
      </c>
    </row>
    <row r="12210" customFormat="false" ht="17.15" hidden="false" customHeight="false" outlineLevel="0" collapsed="false">
      <c r="A12210" s="0" t="s">
        <v>1061</v>
      </c>
      <c r="B12210" s="0" t="s">
        <v>98</v>
      </c>
      <c r="F12210" s="6" t="n">
        <f aca="false">Seg!F22*(al_srch+Sens!F12205+sbc_r)</f>
        <v>11.1981144415922</v>
      </c>
      <c r="G12210" s="6" t="n">
        <f aca="false">Seg!G22*(al_srch+Sens!G12205+sbc_r)</f>
        <v>12.2607925441521</v>
      </c>
      <c r="H12210" s="6" t="n">
        <f aca="false">Seg!H22*(al_srch+Sens!H12205+sbc_r)</f>
        <v>13.3712787172501</v>
      </c>
      <c r="I12210" s="6" t="n">
        <f aca="false">Seg!I22*(al_srch+Sens!I12205+sbc_r)</f>
        <v>14.5205713773955</v>
      </c>
      <c r="J12210" s="6" t="n">
        <f aca="false">Seg!J22*(al_srch+Sens!J12205+sbc_r)</f>
        <v>15.6873363367184</v>
      </c>
      <c r="K12210" s="6" t="n">
        <f aca="false">Seg!K22*(al_srch+Sens!K12205+sbc_r)</f>
        <v>16.8403848378749</v>
      </c>
    </row>
    <row r="12211" customFormat="false" ht="17.15" hidden="false" customHeight="false" outlineLevel="0" collapsed="false">
      <c r="A12211" s="0" t="s">
        <v>1062</v>
      </c>
      <c r="B12211" s="0" t="s">
        <v>98</v>
      </c>
      <c r="F12211" s="6" t="n">
        <f aca="false">Thesis!F29-Thesis!F30+Thesis!F44</f>
        <v>55.6743052939671</v>
      </c>
      <c r="G12211" s="6" t="n">
        <f aca="false">Thesis!G29-Thesis!G30+Thesis!G44</f>
        <v>100.2533125707</v>
      </c>
      <c r="H12211" s="6" t="n">
        <f aca="false">Thesis!H29-Thesis!H30+Thesis!H44</f>
        <v>152.31255014234</v>
      </c>
      <c r="I12211" s="6" t="n">
        <f aca="false">Thesis!I29-Thesis!I30+Thesis!I44</f>
        <v>194.041990076394</v>
      </c>
      <c r="J12211" s="6" t="n">
        <f aca="false">Thesis!J29-Thesis!J30+Thesis!J44</f>
        <v>223.463148273617</v>
      </c>
      <c r="K12211" s="6" t="n">
        <f aca="false">Thesis!K29-Thesis!K30+Thesis!K44</f>
        <v>241.312249272487</v>
      </c>
    </row>
    <row r="12212" customFormat="false" ht="17.15" hidden="false" customHeight="false" outlineLevel="0" collapsed="false">
      <c r="A12212" s="0" t="s">
        <v>1063</v>
      </c>
      <c r="B12212" s="0" t="s">
        <v>98</v>
      </c>
      <c r="F12212" s="6" t="n">
        <f aca="false">PL!F32+Thesis!F44+Thesis!F40+Sens!F12205*(Seg!F21-Thesis!F23)+sbc_r*Seg!F21</f>
        <v>247.769309676659</v>
      </c>
      <c r="G12212" s="6" t="n">
        <f aca="false">PL!G32+Thesis!G44+Thesis!G40+Sens!G12205*(Seg!G21-Thesis!G23)+sbc_r*Seg!G21</f>
        <v>321.625870182006</v>
      </c>
      <c r="H12212" s="6" t="n">
        <f aca="false">PL!H32+Thesis!H44+Thesis!H40+Sens!H12205*(Seg!H21-Thesis!H23)+sbc_r*Seg!H21</f>
        <v>403.668756829163</v>
      </c>
      <c r="I12212" s="6" t="n">
        <f aca="false">PL!I32+Thesis!I44+Thesis!I40+Sens!I12205*(Seg!I21-Thesis!I23)+sbc_r*Seg!I21</f>
        <v>473.311817063846</v>
      </c>
      <c r="J12212" s="6" t="n">
        <f aca="false">PL!J32+Thesis!J44+Thesis!J40+Sens!J12205*(Seg!J21-Thesis!J23)+sbc_r*Seg!J21</f>
        <v>527.683171494685</v>
      </c>
      <c r="K12212" s="6" t="n">
        <f aca="false">PL!K32+Thesis!K44+Thesis!K40+Sens!K12205*(Seg!K21-Thesis!K23)+sbc_r*Seg!K21</f>
        <v>568.060513693045</v>
      </c>
    </row>
    <row r="12213" customFormat="false" ht="17.15" hidden="false" customHeight="false" outlineLevel="0" collapsed="false">
      <c r="A12213" s="0" t="s">
        <v>1064</v>
      </c>
      <c r="B12213" s="0" t="s">
        <v>98</v>
      </c>
      <c r="F12213" s="6" t="n">
        <f aca="false">Sens!F12212-Sens!F12206-Sens!F12207-Sens!F12208-Sens!F12209-Sens!F12211</f>
        <v>61.0863760939514</v>
      </c>
      <c r="G12213" s="6" t="n">
        <f aca="false">Sens!G12212-Sens!G12206-Sens!G12207-Sens!G12208-Sens!G12209-Sens!G12211</f>
        <v>73.6219021413484</v>
      </c>
      <c r="H12213" s="6" t="n">
        <f aca="false">Sens!H12212-Sens!H12206-Sens!H12207-Sens!H12208-Sens!H12209-Sens!H12211</f>
        <v>86.7020599590046</v>
      </c>
      <c r="I12213" s="6" t="n">
        <f aca="false">Sens!I12212-Sens!I12206-Sens!I12207-Sens!I12208-Sens!I12209-Sens!I12211</f>
        <v>99.2495427073239</v>
      </c>
      <c r="J12213" s="6" t="n">
        <f aca="false">Sens!J12212-Sens!J12206-Sens!J12207-Sens!J12208-Sens!J12209-Sens!J12211</f>
        <v>110.596579910238</v>
      </c>
      <c r="K12213" s="6" t="n">
        <f aca="false">Sens!K12212-Sens!K12206-Sens!K12207-Sens!K12208-Sens!K12209-Sens!K12211</f>
        <v>120.01555725587</v>
      </c>
    </row>
    <row r="12214" customFormat="false" ht="17.15" hidden="false" customHeight="false" outlineLevel="0" collapsed="false">
      <c r="A12214" s="0" t="s">
        <v>1065</v>
      </c>
      <c r="B12214" s="0" t="s">
        <v>98</v>
      </c>
      <c r="F12214" s="6" t="n">
        <f aca="false">PL!F34+Sens!F12205*Seg!F28+sbc_r*Seg!F28</f>
        <v>26.1717931813002</v>
      </c>
      <c r="G12214" s="6" t="n">
        <f aca="false">PL!G34+Sens!G12205*Seg!G28+sbc_r*Seg!G28</f>
        <v>26.7581197754446</v>
      </c>
      <c r="H12214" s="6" t="n">
        <f aca="false">PL!H34+Sens!H12205*Seg!H28+sbc_r*Seg!H28</f>
        <v>27.6201174920951</v>
      </c>
      <c r="I12214" s="6" t="n">
        <f aca="false">PL!I34+Sens!I12205*Seg!I28+sbc_r*Seg!I28</f>
        <v>28.7296306530919</v>
      </c>
      <c r="J12214" s="6" t="n">
        <f aca="false">PL!J34+Sens!J12205*Seg!J28+sbc_r*Seg!J28</f>
        <v>30.04749983899</v>
      </c>
      <c r="K12214" s="6" t="n">
        <f aca="false">PL!K34+Sens!K12205*Seg!K28+sbc_r*Seg!K28</f>
        <v>31.5292329023825</v>
      </c>
    </row>
    <row r="12215" customFormat="false" ht="17.15" hidden="false" customHeight="false" outlineLevel="0" collapsed="false">
      <c r="A12215" s="0" t="s">
        <v>1066</v>
      </c>
      <c r="B12215" s="0" t="s">
        <v>98</v>
      </c>
      <c r="F12215" s="6" t="n">
        <f aca="false">(Sens!F12214-Sens!F12210)*Seg!F24/(Seg!F24+Seg!F26)</f>
        <v>8.20842484359027</v>
      </c>
      <c r="G12215" s="6" t="n">
        <f aca="false">(Sens!G12214-Sens!G12210)*Seg!G24/(Seg!G24+Seg!G26)</f>
        <v>7.80559384110416</v>
      </c>
      <c r="H12215" s="6" t="n">
        <f aca="false">(Sens!H12214-Sens!H12210)*Seg!H24/(Seg!H24+Seg!H26)</f>
        <v>7.56817041839156</v>
      </c>
      <c r="I12215" s="6" t="n">
        <f aca="false">(Sens!I12214-Sens!I12210)*Seg!I24/(Seg!I24+Seg!I26)</f>
        <v>7.47875608696462</v>
      </c>
      <c r="J12215" s="6" t="n">
        <f aca="false">(Sens!J12214-Sens!J12210)*Seg!J24/(Seg!J24+Seg!J26)</f>
        <v>7.52410955955578</v>
      </c>
      <c r="K12215" s="6" t="n">
        <f aca="false">(Sens!K12214-Sens!K12210)*Seg!K24/(Seg!K24+Seg!K26)</f>
        <v>7.6963261681206</v>
      </c>
    </row>
    <row r="12216" customFormat="false" ht="17.15" hidden="false" customHeight="false" outlineLevel="0" collapsed="false">
      <c r="A12216" s="0" t="s">
        <v>1067</v>
      </c>
      <c r="B12216" s="0" t="s">
        <v>98</v>
      </c>
      <c r="F12216" s="6" t="n">
        <f aca="false">Sens!F12214-Sens!F12210-Sens!F12215</f>
        <v>6.76525389611778</v>
      </c>
      <c r="G12216" s="6" t="n">
        <f aca="false">Sens!G12214-Sens!G12210-Sens!G12215</f>
        <v>6.69173339018827</v>
      </c>
      <c r="H12216" s="6" t="n">
        <f aca="false">Sens!H12214-Sens!H12210-Sens!H12215</f>
        <v>6.68066835645346</v>
      </c>
      <c r="I12216" s="6" t="n">
        <f aca="false">Sens!I12214-Sens!I12210-Sens!I12215</f>
        <v>6.73030318873177</v>
      </c>
      <c r="J12216" s="6" t="n">
        <f aca="false">Sens!J12214-Sens!J12210-Sens!J12215</f>
        <v>6.83605394271588</v>
      </c>
      <c r="K12216" s="6" t="n">
        <f aca="false">Sens!K12214-Sens!K12210-Sens!K12215</f>
        <v>6.99252189638696</v>
      </c>
    </row>
    <row r="12217" customFormat="false" ht="17.15" hidden="false" customHeight="false" outlineLevel="0" collapsed="false">
      <c r="A12217" s="0" t="s">
        <v>1068</v>
      </c>
      <c r="B12217" s="0" t="s">
        <v>98</v>
      </c>
      <c r="F12217" s="6" t="n">
        <f aca="false">Sens!F12211-tax_f*(Sens!F12211-Thesis!F40)-Thesis!F37</f>
        <v>-116.98560144409</v>
      </c>
      <c r="G12217" s="6" t="n">
        <f aca="false">Sens!G12211-tax_f*(Sens!G12211-Thesis!G40)-Thesis!G37</f>
        <v>-91.2751837745719</v>
      </c>
      <c r="H12217" s="6" t="n">
        <f aca="false">Sens!H12211-tax_f*(Sens!H12211-Thesis!H40)-Thesis!H37</f>
        <v>-48.6867825979003</v>
      </c>
      <c r="I12217" s="6" t="n">
        <f aca="false">Sens!I12211-tax_f*(Sens!I12211-Thesis!I40)-Thesis!I37</f>
        <v>13.9193309033143</v>
      </c>
      <c r="J12217" s="6" t="n">
        <f aca="false">Sens!J12211-tax_f*(Sens!J12211-Thesis!J40)-Thesis!J37</f>
        <v>80.0897840853365</v>
      </c>
      <c r="K12217" s="6" t="n">
        <f aca="false">Sens!K12211-tax_f*(Sens!K12211-Thesis!K40)-Thesis!K37</f>
        <v>106.014893136948</v>
      </c>
    </row>
    <row r="12218" customFormat="false" ht="17.15" hidden="false" customHeight="false" outlineLevel="0" collapsed="false">
      <c r="A12218" s="0" t="s">
        <v>1069</v>
      </c>
      <c r="B12218" s="0" t="s">
        <v>98</v>
      </c>
      <c r="F12218" s="6" t="n">
        <f aca="false">Sens!F12217*Sens!F12191</f>
        <v>-110.891338369996</v>
      </c>
      <c r="G12218" s="6" t="n">
        <f aca="false">Sens!G12217*Sens!G12191</f>
        <v>-77.740683517951</v>
      </c>
      <c r="H12218" s="6" t="n">
        <f aca="false">Sens!H12217*Sens!H12191</f>
        <v>-37.2595100900218</v>
      </c>
      <c r="I12218" s="6" t="n">
        <f aca="false">Sens!I12217*Sens!I12191</f>
        <v>9.57138641221804</v>
      </c>
      <c r="J12218" s="6" t="n">
        <f aca="false">Sens!J12217*Sens!J12191</f>
        <v>49.4839134918943</v>
      </c>
      <c r="K12218" s="6" t="n">
        <f aca="false">Sens!K12217*Sens!K12191</f>
        <v>58.8551162520482</v>
      </c>
    </row>
    <row r="12219" customFormat="false" ht="17.15" hidden="false" customHeight="false" outlineLevel="0" collapsed="false">
      <c r="A12219" s="0" t="s">
        <v>1070</v>
      </c>
      <c r="B12219" s="0" t="s">
        <v>98</v>
      </c>
      <c r="C12219" s="6" t="n">
        <f aca="false">(Sens!K12211-Thesis!K40)*(1-tax_f)*(1+g_tv)*(1-g_tv/((wacc+0.01)+ronic_prem))/((wacc+0.01)-g_tv)/(1+(wacc+0.01))^(Sens!K12190+mid_yr)</f>
        <v>390.445111757758</v>
      </c>
    </row>
    <row r="12220" customFormat="false" ht="17.15" hidden="false" customHeight="false" outlineLevel="0" collapsed="false">
      <c r="A12220" s="1" t="s">
        <v>1071</v>
      </c>
      <c r="B12220" s="0" t="s">
        <v>98</v>
      </c>
      <c r="C12220" s="6" t="n">
        <f aca="false">(SUM(Sens!F12218:K12218)+Sens!$C$12219)*(1+(wacc+0.01))^t_roll</f>
        <v>325.524010296627</v>
      </c>
      <c r="L12220" s="11" t="s">
        <v>1072</v>
      </c>
    </row>
    <row r="12221" customFormat="false" ht="17.15" hidden="false" customHeight="false" outlineLevel="0" collapsed="false">
      <c r="A12221" s="1" t="s">
        <v>1073</v>
      </c>
      <c r="B12221" s="0" t="s">
        <v>98</v>
      </c>
      <c r="C12221" s="6" t="n">
        <f aca="false">(w_ntm28*Thesis!G29+(1-w_ntm28)*Thesis!H29)*m_ai</f>
        <v>551.711134531404</v>
      </c>
    </row>
    <row r="12222" customFormat="false" ht="17.15" hidden="false" customHeight="false" outlineLevel="0" collapsed="false">
      <c r="A12222" s="1" t="s">
        <v>1074</v>
      </c>
      <c r="B12222" s="0" t="s">
        <v>98</v>
      </c>
      <c r="C12222" s="6" t="n">
        <f aca="false">(w_ntm28*Sens!G12213+(1-w_ntm28)*Sens!H12213)*m_cloud</f>
        <v>1075.89468255979</v>
      </c>
    </row>
    <row r="12223" customFormat="false" ht="17.15" hidden="false" customHeight="false" outlineLevel="0" collapsed="false">
      <c r="A12223" s="1" t="s">
        <v>1075</v>
      </c>
      <c r="B12223" s="0" t="s">
        <v>98</v>
      </c>
      <c r="C12223" s="6" t="n">
        <f aca="false">(w_ntm28*Sens!G12206+(1-w_ntm28)*Sens!H12206)*m_sw</f>
        <v>1124.90844188024</v>
      </c>
    </row>
    <row r="12224" customFormat="false" ht="17.15" hidden="false" customHeight="false" outlineLevel="0" collapsed="false">
      <c r="A12224" s="1" t="s">
        <v>1076</v>
      </c>
      <c r="B12224" s="0" t="s">
        <v>98</v>
      </c>
      <c r="C12224" s="6" t="n">
        <f aca="false">(w_ntm28*Sens!G12207+(1-w_ntm28)*Sens!H12207)*m_sw</f>
        <v>379.14616828134</v>
      </c>
    </row>
    <row r="12225" customFormat="false" ht="17.15" hidden="false" customHeight="false" outlineLevel="0" collapsed="false">
      <c r="A12225" s="1" t="s">
        <v>1077</v>
      </c>
      <c r="B12225" s="0" t="s">
        <v>98</v>
      </c>
      <c r="C12225" s="6" t="n">
        <f aca="false">(w_ntm28*Sens!G12208+(1-w_ntm28)*Sens!H12208)*m_sw</f>
        <v>109.062013245671</v>
      </c>
    </row>
    <row r="12226" customFormat="false" ht="17.15" hidden="false" customHeight="false" outlineLevel="0" collapsed="false">
      <c r="A12226" s="1" t="s">
        <v>1078</v>
      </c>
      <c r="B12226" s="0" t="s">
        <v>98</v>
      </c>
      <c r="C12226" s="6" t="n">
        <f aca="false">(w_ntm28*Sens!G12209+(1-w_ntm28)*Sens!H12209)*m_sw</f>
        <v>41.609111172448</v>
      </c>
    </row>
    <row r="12227" customFormat="false" ht="17.15" hidden="false" customHeight="false" outlineLevel="0" collapsed="false">
      <c r="A12227" s="1" t="s">
        <v>1079</v>
      </c>
      <c r="B12227" s="0" t="s">
        <v>98</v>
      </c>
      <c r="C12227" s="6" t="n">
        <f aca="false">(w_ntm28*Sens!G12210+(1-w_ntm28)*Sens!H12210)*m_ads</f>
        <v>114.966369190532</v>
      </c>
    </row>
    <row r="12228" customFormat="false" ht="17.15" hidden="false" customHeight="false" outlineLevel="0" collapsed="false">
      <c r="A12228" s="1" t="s">
        <v>1080</v>
      </c>
      <c r="B12228" s="0" t="s">
        <v>98</v>
      </c>
      <c r="C12228" s="6" t="n">
        <f aca="false">(w_ntm28*Sens!G12215+(1-w_ntm28)*Sens!H12215)*m_game</f>
        <v>97.6152211068291</v>
      </c>
    </row>
    <row r="12229" customFormat="false" ht="17.15" hidden="false" customHeight="false" outlineLevel="0" collapsed="false">
      <c r="A12229" s="1" t="s">
        <v>1081</v>
      </c>
      <c r="B12229" s="0" t="s">
        <v>98</v>
      </c>
      <c r="C12229" s="6" t="n">
        <f aca="false">(w_ntm28*Sens!G12216+(1-w_ntm28)*Sens!H12216)*m_pc</f>
        <v>96.7776202313644</v>
      </c>
    </row>
    <row r="12230" customFormat="false" ht="17.15" hidden="false" customHeight="false" outlineLevel="0" collapsed="false">
      <c r="A12230" s="1" t="s">
        <v>1082</v>
      </c>
      <c r="B12230" s="0" t="s">
        <v>98</v>
      </c>
      <c r="C12230" s="6" t="n">
        <f aca="false">Sens!$C$12220+Sens!$C$12222+Sens!$C$12223+Sens!$C$12224+Sens!$C$12225+Sens!$C$12226+Sens!$C$12227+Sens!$C$12228+Sens!$C$12229</f>
        <v>3365.50363796484</v>
      </c>
    </row>
    <row r="12231" customFormat="false" ht="17.15" hidden="false" customHeight="false" outlineLevel="0" collapsed="false">
      <c r="A12231" s="1" t="s">
        <v>1000</v>
      </c>
      <c r="B12231" s="0" t="s">
        <v>98</v>
      </c>
      <c r="C12231" s="6" t="n">
        <f aca="false">CF!F36+oai_v-CF!F25</f>
        <v>115.079583119545</v>
      </c>
      <c r="L12231" s="1" t="s">
        <v>1083</v>
      </c>
    </row>
    <row r="12232" customFormat="false" ht="15" hidden="false" customHeight="false" outlineLevel="0" collapsed="false">
      <c r="A12232" s="1" t="s">
        <v>1001</v>
      </c>
      <c r="B12232" s="0" t="s">
        <v>75</v>
      </c>
      <c r="C12232" s="5" t="n">
        <f aca="false">(Sens!$C$12230+Sens!$C$12231)/CF!F38</f>
        <v>465.816812243628</v>
      </c>
    </row>
    <row r="12233" customFormat="false" ht="17.15" hidden="false" customHeight="false" outlineLevel="0" collapsed="false">
      <c r="A12233" s="1" t="s">
        <v>1084</v>
      </c>
      <c r="B12233" s="0" t="s">
        <v>75</v>
      </c>
      <c r="C12233" s="5" t="n">
        <f aca="false">w_dcf*Sens!$C$12204+(1-w_dcf)*Sens!$C$12232</f>
        <v>405.990603562901</v>
      </c>
    </row>
    <row r="12234" customFormat="false" ht="17.15" hidden="false" customHeight="false" outlineLevel="0" collapsed="false">
      <c r="A12234" s="3" t="s">
        <v>1553</v>
      </c>
    </row>
    <row r="12235" customFormat="false" ht="15" hidden="false" customHeight="false" outlineLevel="0" collapsed="false">
      <c r="A12235" s="4" t="s">
        <v>43</v>
      </c>
      <c r="B12235" s="4" t="s">
        <v>65</v>
      </c>
      <c r="C12235" s="20" t="s">
        <v>788</v>
      </c>
      <c r="D12235" s="20" t="s">
        <v>789</v>
      </c>
      <c r="E12235" s="20" t="s">
        <v>790</v>
      </c>
      <c r="F12235" s="20" t="s">
        <v>791</v>
      </c>
      <c r="G12235" s="20" t="s">
        <v>792</v>
      </c>
      <c r="H12235" s="20" t="s">
        <v>793</v>
      </c>
      <c r="I12235" s="20" t="s">
        <v>794</v>
      </c>
      <c r="J12235" s="20" t="s">
        <v>795</v>
      </c>
      <c r="K12235" s="20" t="s">
        <v>796</v>
      </c>
      <c r="L12235" s="4" t="s">
        <v>47</v>
      </c>
    </row>
    <row r="12236" customFormat="false" ht="15" hidden="false" customHeight="false" outlineLevel="0" collapsed="false">
      <c r="A12236" s="1" t="s">
        <v>1042</v>
      </c>
      <c r="B12236" s="1" t="s">
        <v>235</v>
      </c>
      <c r="F12236" s="36" t="n">
        <f aca="false">Thesis!F55-base_fy-mid_yr</f>
        <v>0.5</v>
      </c>
      <c r="G12236" s="36" t="n">
        <f aca="false">Thesis!G55-base_fy-mid_yr</f>
        <v>1.5</v>
      </c>
      <c r="H12236" s="36" t="n">
        <f aca="false">Thesis!H55-base_fy-mid_yr</f>
        <v>2.5</v>
      </c>
      <c r="I12236" s="36" t="n">
        <f aca="false">Thesis!I55-base_fy-mid_yr</f>
        <v>3.5</v>
      </c>
      <c r="J12236" s="36" t="n">
        <f aca="false">Thesis!J55-base_fy-mid_yr</f>
        <v>4.5</v>
      </c>
      <c r="K12236" s="36" t="n">
        <f aca="false">Thesis!K55-base_fy-mid_yr</f>
        <v>5.5</v>
      </c>
    </row>
    <row r="12237" customFormat="false" ht="15" hidden="false" customHeight="false" outlineLevel="0" collapsed="false">
      <c r="A12237" s="1" t="s">
        <v>1043</v>
      </c>
      <c r="B12237" s="0" t="s">
        <v>185</v>
      </c>
      <c r="F12237" s="14" t="n">
        <f aca="false">1/(1+(wacc+0.01))^Sens!F12236</f>
        <v>0.947905870475805</v>
      </c>
      <c r="G12237" s="14" t="n">
        <f aca="false">1/(1+(wacc+0.01))^Sens!G12236</f>
        <v>0.851717633458314</v>
      </c>
      <c r="H12237" s="14" t="n">
        <f aca="false">1/(1+(wacc+0.01))^Sens!H12236</f>
        <v>0.76529004591954</v>
      </c>
      <c r="I12237" s="14" t="n">
        <f aca="false">1/(1+(wacc+0.01))^Sens!I12236</f>
        <v>0.687632651217379</v>
      </c>
      <c r="J12237" s="14" t="n">
        <f aca="false">1/(1+(wacc+0.01))^Sens!J12236</f>
        <v>0.617855498763346</v>
      </c>
      <c r="K12237" s="14" t="n">
        <f aca="false">1/(1+(wacc+0.01))^Sens!K12236</f>
        <v>0.555158945224989</v>
      </c>
    </row>
    <row r="12238" customFormat="false" ht="17.15" hidden="false" customHeight="false" outlineLevel="0" collapsed="false">
      <c r="A12238" s="1" t="s">
        <v>1044</v>
      </c>
      <c r="B12238" s="0" t="s">
        <v>98</v>
      </c>
      <c r="F12238" s="6" t="n">
        <f aca="false">CF!F50-CF!F48-CF!F53+Thesis!F93*(1-tax_f)</f>
        <v>6.35272982150552</v>
      </c>
      <c r="G12238" s="6" t="n">
        <f aca="false">CF!G50-CF!G48-CF!G53+Thesis!G93*(1-tax_f)</f>
        <v>46.5420417324757</v>
      </c>
      <c r="H12238" s="6" t="n">
        <f aca="false">CF!H50-CF!H48-CF!H53+Thesis!H93*(1-tax_f)</f>
        <v>95.2982347048119</v>
      </c>
      <c r="I12238" s="6" t="n">
        <f aca="false">CF!I50-CF!I48-CF!I53+Thesis!I93*(1-tax_f)</f>
        <v>168.760108332815</v>
      </c>
      <c r="J12238" s="6" t="n">
        <f aca="false">CF!J50-CF!J48-CF!J53+Thesis!J93*(1-tax_f)</f>
        <v>246.10903404452</v>
      </c>
      <c r="K12238" s="6" t="n">
        <f aca="false">CF!K50-CF!K48-CF!K53+Thesis!K93*(1-tax_f)</f>
        <v>283.7365778763</v>
      </c>
      <c r="L12238" s="1" t="s">
        <v>1045</v>
      </c>
    </row>
    <row r="12239" customFormat="false" ht="15" hidden="false" customHeight="false" outlineLevel="0" collapsed="false">
      <c r="A12239" s="1" t="s">
        <v>1046</v>
      </c>
      <c r="B12239" s="0" t="s">
        <v>98</v>
      </c>
      <c r="F12239" s="6" t="n">
        <f aca="false">Sens!F12238*Sens!F12237</f>
        <v>6.02178989135179</v>
      </c>
      <c r="G12239" s="6" t="n">
        <f aca="false">Sens!G12238*Sens!G12237</f>
        <v>39.6406776407023</v>
      </c>
      <c r="H12239" s="6" t="n">
        <f aca="false">Sens!H12238*Sens!H12237</f>
        <v>72.9307904132966</v>
      </c>
      <c r="I12239" s="6" t="n">
        <f aca="false">Sens!I12238*Sens!I12237</f>
        <v>116.044960712625</v>
      </c>
      <c r="J12239" s="6" t="n">
        <f aca="false">Sens!J12238*Sens!J12237</f>
        <v>152.059819979742</v>
      </c>
      <c r="K12239" s="6" t="n">
        <f aca="false">Sens!K12238*Sens!K12237</f>
        <v>157.518899295555</v>
      </c>
    </row>
    <row r="12240" customFormat="false" ht="17.15" hidden="false" customHeight="false" outlineLevel="0" collapsed="false">
      <c r="A12240" s="1" t="s">
        <v>1047</v>
      </c>
      <c r="B12240" s="0" t="s">
        <v>98</v>
      </c>
      <c r="C12240" s="6" t="n">
        <f aca="false">SUM(Sens!F12239:K12239)</f>
        <v>544.216937933273</v>
      </c>
    </row>
    <row r="12241" customFormat="false" ht="17.15" hidden="false" customHeight="false" outlineLevel="0" collapsed="false">
      <c r="A12241" s="1" t="s">
        <v>1048</v>
      </c>
      <c r="B12241" s="0" t="s">
        <v>98</v>
      </c>
      <c r="C12241" s="6" t="n">
        <f aca="false">PL!K78*(1+g_tv)*(1-tax_f)</f>
        <v>293.76437880412</v>
      </c>
    </row>
    <row r="12242" customFormat="false" ht="17.15" hidden="false" customHeight="false" outlineLevel="0" collapsed="false">
      <c r="A12242" s="1" t="s">
        <v>1049</v>
      </c>
      <c r="B12242" s="0" t="s">
        <v>98</v>
      </c>
      <c r="C12242" s="6" t="n">
        <f aca="false">Sens!$C$12241*(1-g_tv/((wacc+0.01)+ronic_prem))</f>
        <v>215.728547417409</v>
      </c>
    </row>
    <row r="12243" customFormat="false" ht="17.15" hidden="false" customHeight="false" outlineLevel="0" collapsed="false">
      <c r="A12243" s="1" t="s">
        <v>1050</v>
      </c>
      <c r="B12243" s="0" t="s">
        <v>98</v>
      </c>
      <c r="C12243" s="6" t="n">
        <f aca="false">Sens!$C$12242/((wacc+0.01)-g_tv)</f>
        <v>2601.19437955702</v>
      </c>
    </row>
    <row r="12244" customFormat="false" ht="15" hidden="false" customHeight="false" outlineLevel="0" collapsed="false">
      <c r="A12244" s="1" t="s">
        <v>1051</v>
      </c>
      <c r="B12244" s="0" t="s">
        <v>98</v>
      </c>
      <c r="C12244" s="6" t="n">
        <f aca="false">Sens!$C$12243/(1+(wacc+0.01))^(Sens!K12236+mid_yr)</f>
        <v>1368.84842880222</v>
      </c>
    </row>
    <row r="12245" customFormat="false" ht="17.15" hidden="false" customHeight="false" outlineLevel="0" collapsed="false">
      <c r="A12245" s="0" t="s">
        <v>972</v>
      </c>
      <c r="B12245" s="0" t="s">
        <v>98</v>
      </c>
      <c r="C12245" s="6" t="n">
        <f aca="false">Sens!$C$12240+Sens!$C$12244</f>
        <v>1913.06536673549</v>
      </c>
    </row>
    <row r="12246" customFormat="false" ht="15" hidden="false" customHeight="false" outlineLevel="0" collapsed="false">
      <c r="A12246" s="1" t="s">
        <v>973</v>
      </c>
      <c r="B12246" s="0" t="s">
        <v>129</v>
      </c>
      <c r="C12246" s="7" t="n">
        <f aca="false">Sens!$C$12244/Sens!$C$12245</f>
        <v>0.715526219126564</v>
      </c>
    </row>
    <row r="12247" customFormat="false" ht="17.15" hidden="false" customHeight="false" outlineLevel="0" collapsed="false">
      <c r="A12247" s="1" t="s">
        <v>1052</v>
      </c>
      <c r="B12247" s="0" t="s">
        <v>98</v>
      </c>
      <c r="C12247" s="6" t="n">
        <f aca="false">Sens!$C$12245+CF!E65-CF!E54+oai_v</f>
        <v>2047.57836673549</v>
      </c>
    </row>
    <row r="12248" customFormat="false" ht="17.15" hidden="false" customHeight="false" outlineLevel="0" collapsed="false">
      <c r="A12248" s="0" t="s">
        <v>980</v>
      </c>
      <c r="B12248" s="0" t="s">
        <v>75</v>
      </c>
      <c r="C12248" s="5" t="n">
        <f aca="false">Sens!$C$12247/sh_dil26</f>
        <v>274.732103412786</v>
      </c>
    </row>
    <row r="12249" customFormat="false" ht="15" hidden="false" customHeight="false" outlineLevel="0" collapsed="false">
      <c r="A12249" s="1" t="s">
        <v>1053</v>
      </c>
      <c r="B12249" s="0" t="s">
        <v>75</v>
      </c>
      <c r="C12249" s="8" t="n">
        <f aca="false">dps_27+CF!G57*roll_div_q/q_per_yr</f>
        <v>4.8895</v>
      </c>
    </row>
    <row r="12250" customFormat="false" ht="17.15" hidden="false" customHeight="false" outlineLevel="0" collapsed="false">
      <c r="A12250" s="0" t="s">
        <v>1054</v>
      </c>
      <c r="B12250" s="0" t="s">
        <v>75</v>
      </c>
      <c r="C12250" s="5" t="n">
        <f aca="false">Sens!$C$12248*(1+(wacc+0.01))^t_roll-Sens!$C$12249</f>
        <v>311.723935152411</v>
      </c>
    </row>
    <row r="12251" customFormat="false" ht="17.15" hidden="false" customHeight="false" outlineLevel="0" collapsed="false">
      <c r="A12251" s="1" t="s">
        <v>1055</v>
      </c>
      <c r="B12251" s="0" t="s">
        <v>129</v>
      </c>
      <c r="F12251" s="7" t="n">
        <f aca="false">CF!F46/(Seg!F56-Thesis!F72)</f>
        <v>0.0684307874075333</v>
      </c>
      <c r="G12251" s="7" t="n">
        <f aca="false">CF!G46/(Seg!G56-Thesis!G72)</f>
        <v>0.0656456058503526</v>
      </c>
      <c r="H12251" s="7" t="n">
        <f aca="false">CF!H46/(Seg!H56-Thesis!H72)</f>
        <v>0.0641950889132003</v>
      </c>
      <c r="I12251" s="7" t="n">
        <f aca="false">CF!I46/(Seg!I56-Thesis!I72)</f>
        <v>0.063960269667854</v>
      </c>
      <c r="J12251" s="7" t="n">
        <f aca="false">CF!J46/(Seg!J56-Thesis!J72)</f>
        <v>0.0646607917002597</v>
      </c>
      <c r="K12251" s="7" t="n">
        <f aca="false">CF!K46/(Seg!K56-Thesis!K72)</f>
        <v>0.0659511546529383</v>
      </c>
    </row>
    <row r="12252" customFormat="false" ht="17.15" hidden="false" customHeight="false" outlineLevel="0" collapsed="false">
      <c r="A12252" s="0" t="s">
        <v>1056</v>
      </c>
      <c r="B12252" s="0" t="s">
        <v>98</v>
      </c>
      <c r="F12252" s="6" t="n">
        <f aca="false">Seg!F41*(al_m365+Sens!F12251+sbc_r)</f>
        <v>83.9158372980923</v>
      </c>
      <c r="G12252" s="6" t="n">
        <f aca="false">Seg!G41*(al_m365+Sens!G12251+sbc_r)</f>
        <v>96.3459139664276</v>
      </c>
      <c r="H12252" s="6" t="n">
        <f aca="false">Seg!H41*(al_m365+Sens!H12251+sbc_r)</f>
        <v>108.939128787393</v>
      </c>
      <c r="I12252" s="6" t="n">
        <f aca="false">Seg!I41*(al_m365+Sens!I12251+sbc_r)</f>
        <v>120.51456797186</v>
      </c>
      <c r="J12252" s="6" t="n">
        <f aca="false">Seg!J41*(al_m365+Sens!J12251+sbc_r)</f>
        <v>130.883844402211</v>
      </c>
      <c r="K12252" s="6" t="n">
        <f aca="false">Seg!K41*(al_m365+Sens!K12251+sbc_r)</f>
        <v>140.862269296832</v>
      </c>
      <c r="L12252" s="11" t="s">
        <v>1057</v>
      </c>
    </row>
    <row r="12253" customFormat="false" ht="17.15" hidden="false" customHeight="false" outlineLevel="0" collapsed="false">
      <c r="A12253" s="0" t="s">
        <v>1058</v>
      </c>
      <c r="B12253" s="0" t="s">
        <v>98</v>
      </c>
      <c r="F12253" s="6" t="n">
        <f aca="false">Seg!F42*(al_lic+Sens!F12251+sbc_r)</f>
        <v>33.4384115342236</v>
      </c>
      <c r="G12253" s="6" t="n">
        <f aca="false">Seg!G42*(al_lic+Sens!G12251+sbc_r)</f>
        <v>34.7409063621757</v>
      </c>
      <c r="H12253" s="6" t="n">
        <f aca="false">Seg!H42*(al_lic+Sens!H12251+sbc_r)</f>
        <v>35.9566740351293</v>
      </c>
      <c r="I12253" s="6" t="n">
        <f aca="false">Seg!I42*(al_lic+Sens!I12251+sbc_r)</f>
        <v>37.0672966580049</v>
      </c>
      <c r="J12253" s="6" t="n">
        <f aca="false">Seg!J42*(al_lic+Sens!J12251+sbc_r)</f>
        <v>38.0469841498966</v>
      </c>
      <c r="K12253" s="6" t="n">
        <f aca="false">Seg!K42*(al_lic+Sens!K12251+sbc_r)</f>
        <v>38.8666958490701</v>
      </c>
    </row>
    <row r="12254" customFormat="false" ht="17.15" hidden="false" customHeight="false" outlineLevel="0" collapsed="false">
      <c r="A12254" s="0" t="s">
        <v>1059</v>
      </c>
      <c r="B12254" s="0" t="s">
        <v>98</v>
      </c>
      <c r="F12254" s="6" t="n">
        <f aca="false">Seg!F44*(al_ind+Sens!F12251+sbc_r)</f>
        <v>9.07285900381439</v>
      </c>
      <c r="G12254" s="6" t="n">
        <f aca="false">Seg!G44*(al_ind+Sens!G12251+sbc_r)</f>
        <v>9.84969160470639</v>
      </c>
      <c r="H12254" s="6" t="n">
        <f aca="false">Seg!H44*(al_ind+Sens!H12251+sbc_r)</f>
        <v>10.6714469126029</v>
      </c>
      <c r="I12254" s="6" t="n">
        <f aca="false">Seg!I44*(al_ind+Sens!I12251+sbc_r)</f>
        <v>11.5350820765572</v>
      </c>
      <c r="J12254" s="6" t="n">
        <f aca="false">Seg!J44*(al_ind+Sens!J12251+sbc_r)</f>
        <v>12.4308815351832</v>
      </c>
      <c r="K12254" s="6" t="n">
        <f aca="false">Seg!K44*(al_ind+Sens!K12251+sbc_r)</f>
        <v>13.3437330974691</v>
      </c>
    </row>
    <row r="12255" customFormat="false" ht="17.15" hidden="false" customHeight="false" outlineLevel="0" collapsed="false">
      <c r="A12255" s="0" t="s">
        <v>1060</v>
      </c>
      <c r="B12255" s="0" t="s">
        <v>98</v>
      </c>
      <c r="F12255" s="6" t="n">
        <f aca="false">Seg!F46*(al_fro+Sens!F12251+sbc_r)</f>
        <v>3.5711091569032</v>
      </c>
      <c r="G12255" s="6" t="n">
        <f aca="false">Seg!G46*(al_fro+Sens!G12251+sbc_r)</f>
        <v>3.78169924595694</v>
      </c>
      <c r="H12255" s="6" t="n">
        <f aca="false">Seg!H46*(al_fro+Sens!H12251+sbc_r)</f>
        <v>4.02136645419237</v>
      </c>
      <c r="I12255" s="6" t="n">
        <f aca="false">Seg!I46*(al_fro+Sens!I12251+sbc_r)</f>
        <v>4.29288807676321</v>
      </c>
      <c r="J12255" s="6" t="n">
        <f aca="false">Seg!J46*(al_fro+Sens!J12251+sbc_r)</f>
        <v>4.59741770960175</v>
      </c>
      <c r="K12255" s="6" t="n">
        <f aca="false">Seg!K46*(al_fro+Sens!K12251+sbc_r)</f>
        <v>4.9350252981555</v>
      </c>
    </row>
    <row r="12256" customFormat="false" ht="17.15" hidden="false" customHeight="false" outlineLevel="0" collapsed="false">
      <c r="A12256" s="0" t="s">
        <v>1061</v>
      </c>
      <c r="B12256" s="0" t="s">
        <v>98</v>
      </c>
      <c r="F12256" s="6" t="n">
        <f aca="false">Seg!F49*(al_srch+Sens!F12251+sbc_r)</f>
        <v>11.205111954849</v>
      </c>
      <c r="G12256" s="6" t="n">
        <f aca="false">Seg!G49*(al_srch+Sens!G12251+sbc_r)</f>
        <v>12.2792883348957</v>
      </c>
      <c r="H12256" s="6" t="n">
        <f aca="false">Seg!H49*(al_srch+Sens!H12251+sbc_r)</f>
        <v>13.3983888227975</v>
      </c>
      <c r="I12256" s="6" t="n">
        <f aca="false">Seg!I49*(al_srch+Sens!I12251+sbc_r)</f>
        <v>14.5517695263616</v>
      </c>
      <c r="J12256" s="6" t="n">
        <f aca="false">Seg!J49*(al_srch+Sens!J12251+sbc_r)</f>
        <v>15.7194284145253</v>
      </c>
      <c r="K12256" s="6" t="n">
        <f aca="false">Seg!K49*(al_srch+Sens!K12251+sbc_r)</f>
        <v>16.87377171237</v>
      </c>
    </row>
    <row r="12257" customFormat="false" ht="17.15" hidden="false" customHeight="false" outlineLevel="0" collapsed="false">
      <c r="A12257" s="0" t="s">
        <v>1062</v>
      </c>
      <c r="B12257" s="0" t="s">
        <v>98</v>
      </c>
      <c r="F12257" s="6" t="n">
        <f aca="false">Thesis!F78-Thesis!F79+Thesis!F93</f>
        <v>52.8623286647412</v>
      </c>
      <c r="G12257" s="6" t="n">
        <f aca="false">Thesis!G78-Thesis!G79+Thesis!G93</f>
        <v>90.9040728275534</v>
      </c>
      <c r="H12257" s="6" t="n">
        <f aca="false">Thesis!H78-Thesis!H79+Thesis!H93</f>
        <v>131.644750996567</v>
      </c>
      <c r="I12257" s="6" t="n">
        <f aca="false">Thesis!I78-Thesis!I79+Thesis!I93</f>
        <v>168.39858142968</v>
      </c>
      <c r="J12257" s="6" t="n">
        <f aca="false">Thesis!J78-Thesis!J79+Thesis!J93</f>
        <v>194.311955071191</v>
      </c>
      <c r="K12257" s="6" t="n">
        <f aca="false">Thesis!K78-Thesis!K79+Thesis!K93</f>
        <v>210.298852071854</v>
      </c>
    </row>
    <row r="12258" customFormat="false" ht="17.15" hidden="false" customHeight="false" outlineLevel="0" collapsed="false">
      <c r="A12258" s="0" t="s">
        <v>1063</v>
      </c>
      <c r="B12258" s="0" t="s">
        <v>98</v>
      </c>
      <c r="F12258" s="6" t="n">
        <f aca="false">PL!F71+Thesis!F93+Thesis!F89+Sens!F12251*(Seg!F48-Thesis!F72)+sbc_r*Seg!F48</f>
        <v>243.876179717448</v>
      </c>
      <c r="G12258" s="6" t="n">
        <f aca="false">PL!G71+Thesis!G93+Thesis!G89+Sens!G12251*(Seg!G48-Thesis!G72)+sbc_r*Seg!G48</f>
        <v>308.994305130286</v>
      </c>
      <c r="H12258" s="6" t="n">
        <f aca="false">PL!H71+Thesis!H93+Thesis!H89+Sens!H12251*(Seg!H48-Thesis!H72)+sbc_r*Seg!H48</f>
        <v>377.321529021127</v>
      </c>
      <c r="I12258" s="6" t="n">
        <f aca="false">PL!I71+Thesis!I93+Thesis!I89+Sens!I12251*(Seg!I48-Thesis!I72)+sbc_r*Seg!I48</f>
        <v>440.295672377585</v>
      </c>
      <c r="J12258" s="6" t="n">
        <f aca="false">PL!J71+Thesis!J93+Thesis!J89+Sens!J12251*(Seg!J48-Thesis!J72)+sbc_r*Seg!J48</f>
        <v>489.992586437676</v>
      </c>
      <c r="K12258" s="6" t="n">
        <f aca="false">PL!K71+Thesis!K93+Thesis!K89+Sens!K12251*(Seg!K48-Thesis!K72)+sbc_r*Seg!K48</f>
        <v>527.395402529627</v>
      </c>
    </row>
    <row r="12259" customFormat="false" ht="17.15" hidden="false" customHeight="false" outlineLevel="0" collapsed="false">
      <c r="A12259" s="0" t="s">
        <v>1064</v>
      </c>
      <c r="B12259" s="0" t="s">
        <v>98</v>
      </c>
      <c r="F12259" s="6" t="n">
        <f aca="false">Sens!F12258-Sens!F12252-Sens!F12253-Sens!F12254-Sens!F12255-Sens!F12257</f>
        <v>61.0156340596736</v>
      </c>
      <c r="G12259" s="6" t="n">
        <f aca="false">Sens!G12258-Sens!G12252-Sens!G12253-Sens!G12254-Sens!G12255-Sens!G12257</f>
        <v>73.3720211234655</v>
      </c>
      <c r="H12259" s="6" t="n">
        <f aca="false">Sens!H12258-Sens!H12252-Sens!H12253-Sens!H12254-Sens!H12255-Sens!H12257</f>
        <v>86.0881618352416</v>
      </c>
      <c r="I12259" s="6" t="n">
        <f aca="false">Sens!I12258-Sens!I12252-Sens!I12253-Sens!I12254-Sens!I12255-Sens!I12257</f>
        <v>98.4872561647193</v>
      </c>
      <c r="J12259" s="6" t="n">
        <f aca="false">Sens!J12258-Sens!J12252-Sens!J12253-Sens!J12254-Sens!J12255-Sens!J12257</f>
        <v>109.721503569592</v>
      </c>
      <c r="K12259" s="6" t="n">
        <f aca="false">Sens!K12258-Sens!K12252-Sens!K12253-Sens!K12254-Sens!K12255-Sens!K12257</f>
        <v>119.088826916246</v>
      </c>
    </row>
    <row r="12260" customFormat="false" ht="17.15" hidden="false" customHeight="false" outlineLevel="0" collapsed="false">
      <c r="A12260" s="0" t="s">
        <v>1065</v>
      </c>
      <c r="B12260" s="0" t="s">
        <v>98</v>
      </c>
      <c r="F12260" s="6" t="n">
        <f aca="false">PL!F73+Sens!F12251*Seg!F55+sbc_r*Seg!F55</f>
        <v>26.1883018536976</v>
      </c>
      <c r="G12260" s="6" t="n">
        <f aca="false">PL!G73+Sens!G12251*Seg!G55+sbc_r*Seg!G55</f>
        <v>26.7988692269165</v>
      </c>
      <c r="H12260" s="6" t="n">
        <f aca="false">PL!H73+Sens!H12251*Seg!H55+sbc_r*Seg!H55</f>
        <v>27.676651877401</v>
      </c>
      <c r="I12260" s="6" t="n">
        <f aca="false">PL!I73+Sens!I12251*Seg!I55+sbc_r*Seg!I55</f>
        <v>28.7919477163856</v>
      </c>
      <c r="J12260" s="6" t="n">
        <f aca="false">PL!J73+Sens!J12251*Seg!J55+sbc_r*Seg!J55</f>
        <v>30.1095554599876</v>
      </c>
      <c r="K12260" s="6" t="n">
        <f aca="false">PL!K73+Sens!K12251*Seg!K55+sbc_r*Seg!K55</f>
        <v>31.5923355811805</v>
      </c>
    </row>
    <row r="12261" customFormat="false" ht="17.15" hidden="false" customHeight="false" outlineLevel="0" collapsed="false">
      <c r="A12261" s="0" t="s">
        <v>1066</v>
      </c>
      <c r="B12261" s="0" t="s">
        <v>98</v>
      </c>
      <c r="F12261" s="6" t="n">
        <f aca="false">(Sens!F12260-Sens!F12256)*Seg!F51/(Seg!F51+Seg!F53)</f>
        <v>8.21363876839376</v>
      </c>
      <c r="G12261" s="6" t="n">
        <f aca="false">(Sens!G12260-Sens!G12256)*Seg!G51/(Seg!G51+Seg!G53)</f>
        <v>7.81757556948427</v>
      </c>
      <c r="H12261" s="6" t="n">
        <f aca="false">(Sens!H12260-Sens!H12256)*Seg!H51/(Seg!H51+Seg!H53)</f>
        <v>7.58379891746928</v>
      </c>
      <c r="I12261" s="6" t="n">
        <f aca="false">(Sens!I12260-Sens!I12256)*Seg!I51/(Seg!I51+Seg!I53)</f>
        <v>7.49513512835163</v>
      </c>
      <c r="J12261" s="6" t="n">
        <f aca="false">(Sens!J12260-Sens!J12256)*Seg!J51/(Seg!J51+Seg!J53)</f>
        <v>7.53980917061682</v>
      </c>
      <c r="K12261" s="6" t="n">
        <f aca="false">(Sens!K12260-Sens!K12256)*Seg!K51/(Seg!K51+Seg!K53)</f>
        <v>7.71189597463361</v>
      </c>
    </row>
    <row r="12262" customFormat="false" ht="17.15" hidden="false" customHeight="false" outlineLevel="0" collapsed="false">
      <c r="A12262" s="0" t="s">
        <v>1067</v>
      </c>
      <c r="B12262" s="0" t="s">
        <v>98</v>
      </c>
      <c r="F12262" s="6" t="n">
        <f aca="false">Sens!F12260-Sens!F12256-Sens!F12261</f>
        <v>6.76955113045481</v>
      </c>
      <c r="G12262" s="6" t="n">
        <f aca="false">Sens!G12260-Sens!G12256-Sens!G12261</f>
        <v>6.70200532253647</v>
      </c>
      <c r="H12262" s="6" t="n">
        <f aca="false">Sens!H12260-Sens!H12256-Sens!H12261</f>
        <v>6.69446413713431</v>
      </c>
      <c r="I12262" s="6" t="n">
        <f aca="false">Sens!I12260-Sens!I12256-Sens!I12261</f>
        <v>6.74504306167234</v>
      </c>
      <c r="J12262" s="6" t="n">
        <f aca="false">Sens!J12260-Sens!J12256-Sens!J12261</f>
        <v>6.85031787484545</v>
      </c>
      <c r="K12262" s="6" t="n">
        <f aca="false">Sens!K12260-Sens!K12256-Sens!K12261</f>
        <v>7.00666789417688</v>
      </c>
    </row>
    <row r="12263" customFormat="false" ht="17.15" hidden="false" customHeight="false" outlineLevel="0" collapsed="false">
      <c r="A12263" s="0" t="s">
        <v>1068</v>
      </c>
      <c r="B12263" s="0" t="s">
        <v>98</v>
      </c>
      <c r="F12263" s="6" t="n">
        <f aca="false">Sens!F12257-tax_f*(Sens!F12257-Thesis!F89)-Thesis!F86</f>
        <v>-119.382682747471</v>
      </c>
      <c r="G12263" s="6" t="n">
        <f aca="false">Sens!G12257-tax_f*(Sens!G12257-Thesis!G89)-Thesis!G86</f>
        <v>-98.7495755690893</v>
      </c>
      <c r="H12263" s="6" t="n">
        <f aca="false">Sens!H12257-tax_f*(Sens!H12257-Thesis!H89)-Thesis!H86</f>
        <v>-65.2160219145184</v>
      </c>
      <c r="I12263" s="6" t="n">
        <f aca="false">Sens!I12257-tax_f*(Sens!I12257-Thesis!I89)-Thesis!I86</f>
        <v>-6.59039601405712</v>
      </c>
      <c r="J12263" s="6" t="n">
        <f aca="false">Sens!J12257-tax_f*(Sens!J12257-Thesis!J89)-Thesis!J86</f>
        <v>56.7738295233955</v>
      </c>
      <c r="K12263" s="6" t="n">
        <f aca="false">Sens!K12257-tax_f*(Sens!K12257-Thesis!K89)-Thesis!K86</f>
        <v>81.209175376442</v>
      </c>
    </row>
    <row r="12264" customFormat="false" ht="17.15" hidden="false" customHeight="false" outlineLevel="0" collapsed="false">
      <c r="A12264" s="0" t="s">
        <v>1069</v>
      </c>
      <c r="B12264" s="0" t="s">
        <v>98</v>
      </c>
      <c r="F12264" s="6" t="n">
        <f aca="false">Sens!F12263*Sens!F12237</f>
        <v>-113.163545809478</v>
      </c>
      <c r="G12264" s="6" t="n">
        <f aca="false">Sens!G12263*Sens!G12237</f>
        <v>-84.1067548087177</v>
      </c>
      <c r="H12264" s="6" t="n">
        <f aca="false">Sens!H12263*Sens!H12237</f>
        <v>-49.9091724056515</v>
      </c>
      <c r="I12264" s="6" t="n">
        <f aca="false">Sens!I12263*Sens!I12237</f>
        <v>-4.53177148371854</v>
      </c>
      <c r="J12264" s="6" t="n">
        <f aca="false">Sens!J12263*Sens!J12237</f>
        <v>35.0780227568827</v>
      </c>
      <c r="K12264" s="6" t="n">
        <f aca="false">Sens!K12263*Sens!K12237</f>
        <v>45.0840001445767</v>
      </c>
    </row>
    <row r="12265" customFormat="false" ht="17.15" hidden="false" customHeight="false" outlineLevel="0" collapsed="false">
      <c r="A12265" s="0" t="s">
        <v>1070</v>
      </c>
      <c r="B12265" s="0" t="s">
        <v>98</v>
      </c>
      <c r="C12265" s="6" t="n">
        <f aca="false">(Sens!K12257-Thesis!K89)*(1-tax_f)*(1+g_tv)*(1-g_tv/((wacc+0.01)+ronic_prem))/((wacc+0.01)-g_tv)/(1+(wacc+0.01))^(Sens!K12236+mid_yr)</f>
        <v>271.270779577683</v>
      </c>
    </row>
    <row r="12266" customFormat="false" ht="17.15" hidden="false" customHeight="false" outlineLevel="0" collapsed="false">
      <c r="A12266" s="1" t="s">
        <v>1071</v>
      </c>
      <c r="B12266" s="0" t="s">
        <v>98</v>
      </c>
      <c r="C12266" s="6" t="n">
        <f aca="false">(SUM(Sens!F12264:K12264)+Sens!$C$12265)*(1+(wacc+0.01))^t_roll</f>
        <v>114.923536914404</v>
      </c>
      <c r="L12266" s="11" t="s">
        <v>1072</v>
      </c>
    </row>
    <row r="12267" customFormat="false" ht="17.15" hidden="false" customHeight="false" outlineLevel="0" collapsed="false">
      <c r="A12267" s="1" t="s">
        <v>1073</v>
      </c>
      <c r="B12267" s="0" t="s">
        <v>98</v>
      </c>
      <c r="C12267" s="6" t="n">
        <f aca="false">(w_ntm28*Thesis!G78+(1-w_ntm28)*Thesis!H78)*m_ai</f>
        <v>454.922440830797</v>
      </c>
    </row>
    <row r="12268" customFormat="false" ht="17.15" hidden="false" customHeight="false" outlineLevel="0" collapsed="false">
      <c r="A12268" s="1" t="s">
        <v>1074</v>
      </c>
      <c r="B12268" s="0" t="s">
        <v>98</v>
      </c>
      <c r="C12268" s="6" t="n">
        <f aca="false">(w_ntm28*Sens!G12259+(1-w_ntm28)*Sens!H12259)*m_cloud</f>
        <v>1070.81495830201</v>
      </c>
    </row>
    <row r="12269" customFormat="false" ht="17.15" hidden="false" customHeight="false" outlineLevel="0" collapsed="false">
      <c r="A12269" s="1" t="s">
        <v>1075</v>
      </c>
      <c r="B12269" s="0" t="s">
        <v>98</v>
      </c>
      <c r="C12269" s="6" t="n">
        <f aca="false">(w_ntm28*Sens!G12252+(1-w_ntm28)*Sens!H12252)*m_sw</f>
        <v>1084.50516663972</v>
      </c>
    </row>
    <row r="12270" customFormat="false" ht="17.15" hidden="false" customHeight="false" outlineLevel="0" collapsed="false">
      <c r="A12270" s="1" t="s">
        <v>1076</v>
      </c>
      <c r="B12270" s="0" t="s">
        <v>98</v>
      </c>
      <c r="C12270" s="6" t="n">
        <f aca="false">(w_ntm28*Sens!G12253+(1-w_ntm28)*Sens!H12253)*m_sw</f>
        <v>379.446649868791</v>
      </c>
    </row>
    <row r="12271" customFormat="false" ht="17.15" hidden="false" customHeight="false" outlineLevel="0" collapsed="false">
      <c r="A12271" s="1" t="s">
        <v>1077</v>
      </c>
      <c r="B12271" s="0" t="s">
        <v>98</v>
      </c>
      <c r="C12271" s="6" t="n">
        <f aca="false">(w_ntm28*Sens!G12254+(1-w_ntm28)*Sens!H12254)*m_sw</f>
        <v>109.245833616811</v>
      </c>
    </row>
    <row r="12272" customFormat="false" ht="17.15" hidden="false" customHeight="false" outlineLevel="0" collapsed="false">
      <c r="A12272" s="1" t="s">
        <v>1078</v>
      </c>
      <c r="B12272" s="0" t="s">
        <v>98</v>
      </c>
      <c r="C12272" s="6" t="n">
        <f aca="false">(w_ntm28*Sens!G12255+(1-w_ntm28)*Sens!H12255)*m_sw</f>
        <v>41.6791515554452</v>
      </c>
    </row>
    <row r="12273" customFormat="false" ht="17.15" hidden="false" customHeight="false" outlineLevel="0" collapsed="false">
      <c r="A12273" s="1" t="s">
        <v>1079</v>
      </c>
      <c r="B12273" s="0" t="s">
        <v>98</v>
      </c>
      <c r="C12273" s="6" t="n">
        <f aca="false">(w_ntm28*Sens!G12256+(1-w_ntm28)*Sens!H12256)*m_ads</f>
        <v>115.160236299351</v>
      </c>
    </row>
    <row r="12274" customFormat="false" ht="17.15" hidden="false" customHeight="false" outlineLevel="0" collapsed="false">
      <c r="A12274" s="1" t="s">
        <v>1080</v>
      </c>
      <c r="B12274" s="0" t="s">
        <v>98</v>
      </c>
      <c r="C12274" s="6" t="n">
        <f aca="false">(w_ntm28*Sens!G12261+(1-w_ntm28)*Sens!H12261)*m_game</f>
        <v>97.7814405506301</v>
      </c>
    </row>
    <row r="12275" customFormat="false" ht="17.15" hidden="false" customHeight="false" outlineLevel="0" collapsed="false">
      <c r="A12275" s="1" t="s">
        <v>1081</v>
      </c>
      <c r="B12275" s="0" t="s">
        <v>98</v>
      </c>
      <c r="C12275" s="6" t="n">
        <f aca="false">(w_ntm28*Sens!G12262+(1-w_ntm28)*Sens!H12262)*m_pc</f>
        <v>96.9427395583992</v>
      </c>
    </row>
    <row r="12276" customFormat="false" ht="17.15" hidden="false" customHeight="false" outlineLevel="0" collapsed="false">
      <c r="A12276" s="1" t="s">
        <v>1082</v>
      </c>
      <c r="B12276" s="0" t="s">
        <v>98</v>
      </c>
      <c r="C12276" s="6" t="n">
        <f aca="false">Sens!$C$12266+Sens!$C$12268+Sens!$C$12269+Sens!$C$12270+Sens!$C$12271+Sens!$C$12272+Sens!$C$12273+Sens!$C$12274+Sens!$C$12275</f>
        <v>3110.49971330556</v>
      </c>
    </row>
    <row r="12277" customFormat="false" ht="17.15" hidden="false" customHeight="false" outlineLevel="0" collapsed="false">
      <c r="A12277" s="1" t="s">
        <v>1000</v>
      </c>
      <c r="B12277" s="0" t="s">
        <v>98</v>
      </c>
      <c r="C12277" s="6" t="n">
        <f aca="false">CF!F65+oai_v-CF!F54</f>
        <v>111.253995542787</v>
      </c>
      <c r="L12277" s="1" t="s">
        <v>1083</v>
      </c>
    </row>
    <row r="12278" customFormat="false" ht="15" hidden="false" customHeight="false" outlineLevel="0" collapsed="false">
      <c r="A12278" s="1" t="s">
        <v>1001</v>
      </c>
      <c r="B12278" s="0" t="s">
        <v>75</v>
      </c>
      <c r="C12278" s="5" t="n">
        <f aca="false">(Sens!$C$12276+Sens!$C$12277)/CF!F67</f>
        <v>431.176888229168</v>
      </c>
    </row>
    <row r="12279" customFormat="false" ht="17.15" hidden="false" customHeight="false" outlineLevel="0" collapsed="false">
      <c r="A12279" s="1" t="s">
        <v>1084</v>
      </c>
      <c r="B12279" s="0" t="s">
        <v>75</v>
      </c>
      <c r="C12279" s="5" t="n">
        <f aca="false">w_dcf*Sens!$C$12250+(1-w_dcf)*Sens!$C$12278</f>
        <v>371.45041169079</v>
      </c>
    </row>
    <row r="12280" customFormat="false" ht="17.15" hidden="false" customHeight="false" outlineLevel="0" collapsed="false">
      <c r="A12280" s="3" t="s">
        <v>1554</v>
      </c>
    </row>
    <row r="12281" customFormat="false" ht="15" hidden="false" customHeight="false" outlineLevel="0" collapsed="false">
      <c r="A12281" s="4" t="s">
        <v>43</v>
      </c>
      <c r="B12281" s="4" t="s">
        <v>65</v>
      </c>
      <c r="C12281" s="20" t="s">
        <v>788</v>
      </c>
      <c r="D12281" s="20" t="s">
        <v>789</v>
      </c>
      <c r="E12281" s="20" t="s">
        <v>790</v>
      </c>
      <c r="F12281" s="20" t="s">
        <v>791</v>
      </c>
      <c r="G12281" s="20" t="s">
        <v>792</v>
      </c>
      <c r="H12281" s="20" t="s">
        <v>793</v>
      </c>
      <c r="I12281" s="20" t="s">
        <v>794</v>
      </c>
      <c r="J12281" s="20" t="s">
        <v>795</v>
      </c>
      <c r="K12281" s="20" t="s">
        <v>796</v>
      </c>
      <c r="L12281" s="4" t="s">
        <v>47</v>
      </c>
    </row>
    <row r="12282" customFormat="false" ht="15" hidden="false" customHeight="false" outlineLevel="0" collapsed="false">
      <c r="A12282" s="1" t="s">
        <v>1042</v>
      </c>
      <c r="B12282" s="1" t="s">
        <v>235</v>
      </c>
      <c r="F12282" s="36" t="n">
        <f aca="false">Thesis!F104-base_fy-mid_yr</f>
        <v>0.5</v>
      </c>
      <c r="G12282" s="36" t="n">
        <f aca="false">Thesis!G104-base_fy-mid_yr</f>
        <v>1.5</v>
      </c>
      <c r="H12282" s="36" t="n">
        <f aca="false">Thesis!H104-base_fy-mid_yr</f>
        <v>2.5</v>
      </c>
      <c r="I12282" s="36" t="n">
        <f aca="false">Thesis!I104-base_fy-mid_yr</f>
        <v>3.5</v>
      </c>
      <c r="J12282" s="36" t="n">
        <f aca="false">Thesis!J104-base_fy-mid_yr</f>
        <v>4.5</v>
      </c>
      <c r="K12282" s="36" t="n">
        <f aca="false">Thesis!K104-base_fy-mid_yr</f>
        <v>5.5</v>
      </c>
    </row>
    <row r="12283" customFormat="false" ht="15" hidden="false" customHeight="false" outlineLevel="0" collapsed="false">
      <c r="A12283" s="1" t="s">
        <v>1043</v>
      </c>
      <c r="B12283" s="0" t="s">
        <v>185</v>
      </c>
      <c r="F12283" s="14" t="n">
        <f aca="false">1/(1+(wacc+0.01))^Sens!F12282</f>
        <v>0.947905870475805</v>
      </c>
      <c r="G12283" s="14" t="n">
        <f aca="false">1/(1+(wacc+0.01))^Sens!G12282</f>
        <v>0.851717633458314</v>
      </c>
      <c r="H12283" s="14" t="n">
        <f aca="false">1/(1+(wacc+0.01))^Sens!H12282</f>
        <v>0.76529004591954</v>
      </c>
      <c r="I12283" s="14" t="n">
        <f aca="false">1/(1+(wacc+0.01))^Sens!I12282</f>
        <v>0.687632651217379</v>
      </c>
      <c r="J12283" s="14" t="n">
        <f aca="false">1/(1+(wacc+0.01))^Sens!J12282</f>
        <v>0.617855498763346</v>
      </c>
      <c r="K12283" s="14" t="n">
        <f aca="false">1/(1+(wacc+0.01))^Sens!K12282</f>
        <v>0.555158945224989</v>
      </c>
    </row>
    <row r="12284" customFormat="false" ht="17.15" hidden="false" customHeight="false" outlineLevel="0" collapsed="false">
      <c r="A12284" s="1" t="s">
        <v>1044</v>
      </c>
      <c r="B12284" s="0" t="s">
        <v>98</v>
      </c>
      <c r="F12284" s="6" t="n">
        <f aca="false">CF!F79-CF!F77-CF!F82+Thesis!F142*(1-tax_f)</f>
        <v>2.81855367218396</v>
      </c>
      <c r="G12284" s="6" t="n">
        <f aca="false">CF!G79-CF!G77-CF!G82+Thesis!G142*(1-tax_f)</f>
        <v>35.4967358232605</v>
      </c>
      <c r="H12284" s="6" t="n">
        <f aca="false">CF!H79-CF!H77-CF!H82+Thesis!H142*(1-tax_f)</f>
        <v>71.9736045985465</v>
      </c>
      <c r="I12284" s="6" t="n">
        <f aca="false">CF!I79-CF!I77-CF!I82+Thesis!I142*(1-tax_f)</f>
        <v>139.565890227748</v>
      </c>
      <c r="J12284" s="6" t="n">
        <f aca="false">CF!J79-CF!J77-CF!J82+Thesis!J142*(1-tax_f)</f>
        <v>212.783902680705</v>
      </c>
      <c r="K12284" s="6" t="n">
        <f aca="false">CF!K79-CF!K77-CF!K82+Thesis!K142*(1-tax_f)</f>
        <v>247.854416738942</v>
      </c>
      <c r="L12284" s="1" t="s">
        <v>1045</v>
      </c>
    </row>
    <row r="12285" customFormat="false" ht="15" hidden="false" customHeight="false" outlineLevel="0" collapsed="false">
      <c r="A12285" s="1" t="s">
        <v>1046</v>
      </c>
      <c r="B12285" s="0" t="s">
        <v>98</v>
      </c>
      <c r="F12285" s="6" t="n">
        <f aca="false">Sens!F12284*Sens!F12283</f>
        <v>2.67172357211432</v>
      </c>
      <c r="G12285" s="6" t="n">
        <f aca="false">Sens!G12284*Sens!G12283</f>
        <v>30.2331958308824</v>
      </c>
      <c r="H12285" s="6" t="n">
        <f aca="false">Sens!H12284*Sens!H12283</f>
        <v>55.0806831682165</v>
      </c>
      <c r="I12285" s="6" t="n">
        <f aca="false">Sens!I12284*Sens!I12283</f>
        <v>95.9700631168199</v>
      </c>
      <c r="J12285" s="6" t="n">
        <f aca="false">Sens!J12284*Sens!J12283</f>
        <v>131.469704319598</v>
      </c>
      <c r="K12285" s="6" t="n">
        <f aca="false">Sens!K12284*Sens!K12283</f>
        <v>137.598596566146</v>
      </c>
    </row>
    <row r="12286" customFormat="false" ht="17.15" hidden="false" customHeight="false" outlineLevel="0" collapsed="false">
      <c r="A12286" s="1" t="s">
        <v>1047</v>
      </c>
      <c r="B12286" s="0" t="s">
        <v>98</v>
      </c>
      <c r="C12286" s="6" t="n">
        <f aca="false">SUM(Sens!F12285:K12285)</f>
        <v>453.023966573777</v>
      </c>
    </row>
    <row r="12287" customFormat="false" ht="17.15" hidden="false" customHeight="false" outlineLevel="0" collapsed="false">
      <c r="A12287" s="1" t="s">
        <v>1048</v>
      </c>
      <c r="B12287" s="0" t="s">
        <v>98</v>
      </c>
      <c r="C12287" s="6" t="n">
        <f aca="false">PL!K117*(1+g_tv)*(1-tax_f)</f>
        <v>255.879558138142</v>
      </c>
    </row>
    <row r="12288" customFormat="false" ht="17.15" hidden="false" customHeight="false" outlineLevel="0" collapsed="false">
      <c r="A12288" s="1" t="s">
        <v>1049</v>
      </c>
      <c r="B12288" s="0" t="s">
        <v>98</v>
      </c>
      <c r="C12288" s="6" t="n">
        <f aca="false">Sens!$C$12287*(1-g_tv/((wacc+0.01)+ronic_prem))</f>
        <v>187.907484275883</v>
      </c>
    </row>
    <row r="12289" customFormat="false" ht="17.15" hidden="false" customHeight="false" outlineLevel="0" collapsed="false">
      <c r="A12289" s="1" t="s">
        <v>1050</v>
      </c>
      <c r="B12289" s="0" t="s">
        <v>98</v>
      </c>
      <c r="C12289" s="6" t="n">
        <f aca="false">Sens!$C$12288/((wacc+0.01)-g_tv)</f>
        <v>2265.73579540861</v>
      </c>
    </row>
    <row r="12290" customFormat="false" ht="15" hidden="false" customHeight="false" outlineLevel="0" collapsed="false">
      <c r="A12290" s="1" t="s">
        <v>1051</v>
      </c>
      <c r="B12290" s="0" t="s">
        <v>98</v>
      </c>
      <c r="C12290" s="6" t="n">
        <f aca="false">Sens!$C$12289/(1+(wacc+0.01))^(Sens!K12282+mid_yr)</f>
        <v>1192.31723242236</v>
      </c>
    </row>
    <row r="12291" customFormat="false" ht="17.15" hidden="false" customHeight="false" outlineLevel="0" collapsed="false">
      <c r="A12291" s="0" t="s">
        <v>972</v>
      </c>
      <c r="B12291" s="0" t="s">
        <v>98</v>
      </c>
      <c r="C12291" s="6" t="n">
        <f aca="false">Sens!$C$12286+Sens!$C$12290</f>
        <v>1645.34119899614</v>
      </c>
    </row>
    <row r="12292" customFormat="false" ht="15" hidden="false" customHeight="false" outlineLevel="0" collapsed="false">
      <c r="A12292" s="1" t="s">
        <v>973</v>
      </c>
      <c r="B12292" s="0" t="s">
        <v>129</v>
      </c>
      <c r="C12292" s="7" t="n">
        <f aca="false">Sens!$C$12290/Sens!$C$12291</f>
        <v>0.724662600772303</v>
      </c>
    </row>
    <row r="12293" customFormat="false" ht="17.15" hidden="false" customHeight="false" outlineLevel="0" collapsed="false">
      <c r="A12293" s="1" t="s">
        <v>1052</v>
      </c>
      <c r="B12293" s="0" t="s">
        <v>98</v>
      </c>
      <c r="C12293" s="6" t="n">
        <f aca="false">Sens!$C$12291+CF!E94-CF!E83+oai_v</f>
        <v>1779.85419899614</v>
      </c>
    </row>
    <row r="12294" customFormat="false" ht="17.15" hidden="false" customHeight="false" outlineLevel="0" collapsed="false">
      <c r="A12294" s="0" t="s">
        <v>980</v>
      </c>
      <c r="B12294" s="0" t="s">
        <v>75</v>
      </c>
      <c r="C12294" s="5" t="n">
        <f aca="false">Sens!$C$12293/sh_dil26</f>
        <v>238.810438614804</v>
      </c>
    </row>
    <row r="12295" customFormat="false" ht="15" hidden="false" customHeight="false" outlineLevel="0" collapsed="false">
      <c r="A12295" s="1" t="s">
        <v>1053</v>
      </c>
      <c r="B12295" s="0" t="s">
        <v>75</v>
      </c>
      <c r="C12295" s="8" t="n">
        <f aca="false">dps_27+CF!G86*roll_div_q/q_per_yr</f>
        <v>4.8895</v>
      </c>
    </row>
    <row r="12296" customFormat="false" ht="17.15" hidden="false" customHeight="false" outlineLevel="0" collapsed="false">
      <c r="A12296" s="0" t="s">
        <v>1054</v>
      </c>
      <c r="B12296" s="0" t="s">
        <v>75</v>
      </c>
      <c r="C12296" s="5" t="n">
        <f aca="false">Sens!$C$12294*(1+(wacc+0.01))^t_roll-Sens!$C$12295</f>
        <v>270.326218806921</v>
      </c>
    </row>
    <row r="12297" customFormat="false" ht="17.15" hidden="false" customHeight="false" outlineLevel="0" collapsed="false">
      <c r="A12297" s="1" t="s">
        <v>1055</v>
      </c>
      <c r="B12297" s="0" t="s">
        <v>129</v>
      </c>
      <c r="F12297" s="7" t="n">
        <f aca="false">CF!F75/(Seg!F83-Thesis!F121)</f>
        <v>0.0686864325746334</v>
      </c>
      <c r="G12297" s="7" t="n">
        <f aca="false">CF!G75/(Seg!G83-Thesis!G121)</f>
        <v>0.066267001590801</v>
      </c>
      <c r="H12297" s="7" t="n">
        <f aca="false">CF!H75/(Seg!H83-Thesis!H121)</f>
        <v>0.0650366246750144</v>
      </c>
      <c r="I12297" s="7" t="n">
        <f aca="false">CF!I75/(Seg!I83-Thesis!I121)</f>
        <v>0.0648573271390164</v>
      </c>
      <c r="J12297" s="7" t="n">
        <f aca="false">CF!J75/(Seg!J83-Thesis!J121)</f>
        <v>0.0655189837669657</v>
      </c>
      <c r="K12297" s="7" t="n">
        <f aca="false">CF!K75/(Seg!K83-Thesis!K121)</f>
        <v>0.0667878921367872</v>
      </c>
    </row>
    <row r="12298" customFormat="false" ht="17.15" hidden="false" customHeight="false" outlineLevel="0" collapsed="false">
      <c r="A12298" s="0" t="s">
        <v>1056</v>
      </c>
      <c r="B12298" s="0" t="s">
        <v>98</v>
      </c>
      <c r="F12298" s="6" t="n">
        <f aca="false">Seg!F68*(al_m365+Sens!F12297+sbc_r)</f>
        <v>82.8871280343675</v>
      </c>
      <c r="G12298" s="6" t="n">
        <f aca="false">Seg!G68*(al_m365+Sens!G12297+sbc_r)</f>
        <v>93.2646494841949</v>
      </c>
      <c r="H12298" s="6" t="n">
        <f aca="false">Seg!H68*(al_m365+Sens!H12297+sbc_r)</f>
        <v>103.801656157254</v>
      </c>
      <c r="I12298" s="6" t="n">
        <f aca="false">Seg!I68*(al_m365+Sens!I12297+sbc_r)</f>
        <v>113.821873816133</v>
      </c>
      <c r="J12298" s="6" t="n">
        <f aca="false">Seg!J68*(al_m365+Sens!J12297+sbc_r)</f>
        <v>123.136196807334</v>
      </c>
      <c r="K12298" s="6" t="n">
        <f aca="false">Seg!K68*(al_m365+Sens!K12297+sbc_r)</f>
        <v>132.051675801964</v>
      </c>
      <c r="L12298" s="11" t="s">
        <v>1057</v>
      </c>
    </row>
    <row r="12299" customFormat="false" ht="17.15" hidden="false" customHeight="false" outlineLevel="0" collapsed="false">
      <c r="A12299" s="0" t="s">
        <v>1058</v>
      </c>
      <c r="B12299" s="0" t="s">
        <v>98</v>
      </c>
      <c r="F12299" s="6" t="n">
        <f aca="false">Seg!F69*(al_lic+Sens!F12297+sbc_r)</f>
        <v>33.4484001235218</v>
      </c>
      <c r="G12299" s="6" t="n">
        <f aca="false">Seg!G69*(al_lic+Sens!G12297+sbc_r)</f>
        <v>34.7662136749183</v>
      </c>
      <c r="H12299" s="6" t="n">
        <f aca="false">Seg!H69*(al_lic+Sens!H12297+sbc_r)</f>
        <v>35.9922067034497</v>
      </c>
      <c r="I12299" s="6" t="n">
        <f aca="false">Seg!I69*(al_lic+Sens!I12297+sbc_r)</f>
        <v>37.1063543598183</v>
      </c>
      <c r="J12299" s="6" t="n">
        <f aca="false">Seg!J69*(al_lic+Sens!J12297+sbc_r)</f>
        <v>38.0853056964387</v>
      </c>
      <c r="K12299" s="6" t="n">
        <f aca="false">Seg!K69*(al_lic+Sens!K12297+sbc_r)</f>
        <v>38.9048066370724</v>
      </c>
    </row>
    <row r="12300" customFormat="false" ht="17.15" hidden="false" customHeight="false" outlineLevel="0" collapsed="false">
      <c r="A12300" s="0" t="s">
        <v>1059</v>
      </c>
      <c r="B12300" s="0" t="s">
        <v>98</v>
      </c>
      <c r="F12300" s="6" t="n">
        <f aca="false">Seg!F71*(al_ind+Sens!F12297+sbc_r)</f>
        <v>9.07857451914073</v>
      </c>
      <c r="G12300" s="6" t="n">
        <f aca="false">Seg!G71*(al_ind+Sens!G12297+sbc_r)</f>
        <v>9.86487802721884</v>
      </c>
      <c r="H12300" s="6" t="n">
        <f aca="false">Seg!H71*(al_ind+Sens!H12297+sbc_r)</f>
        <v>10.693809720013</v>
      </c>
      <c r="I12300" s="6" t="n">
        <f aca="false">Seg!I71*(al_ind+Sens!I12297+sbc_r)</f>
        <v>11.5608645999226</v>
      </c>
      <c r="J12300" s="6" t="n">
        <f aca="false">Seg!J71*(al_ind+Sens!J12297+sbc_r)</f>
        <v>12.4574161941375</v>
      </c>
      <c r="K12300" s="6" t="n">
        <f aca="false">Seg!K71*(al_ind+Sens!K12297+sbc_r)</f>
        <v>13.3714153876622</v>
      </c>
    </row>
    <row r="12301" customFormat="false" ht="17.15" hidden="false" customHeight="false" outlineLevel="0" collapsed="false">
      <c r="A12301" s="0" t="s">
        <v>1060</v>
      </c>
      <c r="B12301" s="0" t="s">
        <v>98</v>
      </c>
      <c r="F12301" s="6" t="n">
        <f aca="false">Seg!F73*(al_fro+Sens!F12297+sbc_r)</f>
        <v>3.57335880380168</v>
      </c>
      <c r="G12301" s="6" t="n">
        <f aca="false">Seg!G73*(al_fro+Sens!G12297+sbc_r)</f>
        <v>3.78752993435501</v>
      </c>
      <c r="H12301" s="6" t="n">
        <f aca="false">Seg!H73*(al_fro+Sens!H12297+sbc_r)</f>
        <v>4.02979352544868</v>
      </c>
      <c r="I12301" s="6" t="n">
        <f aca="false">Seg!I73*(al_fro+Sens!I12297+sbc_r)</f>
        <v>4.30248328262388</v>
      </c>
      <c r="J12301" s="6" t="n">
        <f aca="false">Seg!J73*(al_fro+Sens!J12297+sbc_r)</f>
        <v>4.6072312462081</v>
      </c>
      <c r="K12301" s="6" t="n">
        <f aca="false">Seg!K73*(al_fro+Sens!K12297+sbc_r)</f>
        <v>4.94526327289735</v>
      </c>
    </row>
    <row r="12302" customFormat="false" ht="17.15" hidden="false" customHeight="false" outlineLevel="0" collapsed="false">
      <c r="A12302" s="0" t="s">
        <v>1061</v>
      </c>
      <c r="B12302" s="0" t="s">
        <v>98</v>
      </c>
      <c r="F12302" s="6" t="n">
        <f aca="false">Seg!F76*(al_srch+Sens!F12297+sbc_r)</f>
        <v>11.2121706988551</v>
      </c>
      <c r="G12302" s="6" t="n">
        <f aca="false">Seg!G76*(al_srch+Sens!G12297+sbc_r)</f>
        <v>12.298220751086</v>
      </c>
      <c r="H12302" s="6" t="n">
        <f aca="false">Seg!H76*(al_srch+Sens!H12297+sbc_r)</f>
        <v>13.4264661389574</v>
      </c>
      <c r="I12302" s="6" t="n">
        <f aca="false">Seg!I76*(al_srch+Sens!I12297+sbc_r)</f>
        <v>14.5842947685169</v>
      </c>
      <c r="J12302" s="6" t="n">
        <f aca="false">Seg!J76*(al_srch+Sens!J12297+sbc_r)</f>
        <v>15.7529827260804</v>
      </c>
      <c r="K12302" s="6" t="n">
        <f aca="false">Seg!K76*(al_srch+Sens!K12297+sbc_r)</f>
        <v>16.908777257054</v>
      </c>
    </row>
    <row r="12303" customFormat="false" ht="17.15" hidden="false" customHeight="false" outlineLevel="0" collapsed="false">
      <c r="A12303" s="0" t="s">
        <v>1062</v>
      </c>
      <c r="B12303" s="0" t="s">
        <v>98</v>
      </c>
      <c r="F12303" s="6" t="n">
        <f aca="false">Thesis!F127-Thesis!F128+Thesis!F142</f>
        <v>49.3166695044068</v>
      </c>
      <c r="G12303" s="6" t="n">
        <f aca="false">Thesis!G127-Thesis!G128+Thesis!G142</f>
        <v>79.1711235199867</v>
      </c>
      <c r="H12303" s="6" t="n">
        <f aca="false">Thesis!H127-Thesis!H128+Thesis!H142</f>
        <v>105.986955995322</v>
      </c>
      <c r="I12303" s="6" t="n">
        <f aca="false">Thesis!I127-Thesis!I128+Thesis!I142</f>
        <v>136.51312421941</v>
      </c>
      <c r="J12303" s="6" t="n">
        <f aca="false">Thesis!J127-Thesis!J128+Thesis!J142</f>
        <v>158.045869188803</v>
      </c>
      <c r="K12303" s="6" t="n">
        <f aca="false">Thesis!K127-Thesis!K128+Thesis!K142</f>
        <v>171.626834186355</v>
      </c>
    </row>
    <row r="12304" customFormat="false" ht="17.15" hidden="false" customHeight="false" outlineLevel="0" collapsed="false">
      <c r="A12304" s="0" t="s">
        <v>1063</v>
      </c>
      <c r="B12304" s="0" t="s">
        <v>98</v>
      </c>
      <c r="F12304" s="6" t="n">
        <f aca="false">PL!F110+Thesis!F142+Thesis!F138+Sens!F12297*(Seg!F75-Thesis!F121)+sbc_r*Seg!F75</f>
        <v>239.221795819914</v>
      </c>
      <c r="G12304" s="6" t="n">
        <f aca="false">PL!G110+Thesis!G142+Thesis!G138+Sens!G12297*(Seg!G75-Thesis!G121)+sbc_r*Seg!G75</f>
        <v>293.888959324058</v>
      </c>
      <c r="H12304" s="6" t="n">
        <f aca="false">PL!H110+Thesis!H142+Thesis!H138+Sens!H12297*(Seg!H75-Thesis!H121)+sbc_r*Seg!H75</f>
        <v>345.795749423438</v>
      </c>
      <c r="I12304" s="6" t="n">
        <f aca="false">PL!I110+Thesis!I142+Thesis!I138+Sens!I12297*(Seg!I75-Thesis!I121)+sbc_r*Seg!I75</f>
        <v>400.80148439376</v>
      </c>
      <c r="J12304" s="6" t="n">
        <f aca="false">PL!J110+Thesis!J142+Thesis!J138+Sens!J12297*(Seg!J75-Thesis!J121)+sbc_r*Seg!J75</f>
        <v>444.918308128678</v>
      </c>
      <c r="K12304" s="6" t="n">
        <f aca="false">PL!K110+Thesis!K142+Thesis!K138+Sens!K12297*(Seg!K75-Thesis!K121)+sbc_r*Seg!K75</f>
        <v>478.782312275225</v>
      </c>
    </row>
    <row r="12305" customFormat="false" ht="17.15" hidden="false" customHeight="false" outlineLevel="0" collapsed="false">
      <c r="A12305" s="0" t="s">
        <v>1064</v>
      </c>
      <c r="B12305" s="0" t="s">
        <v>98</v>
      </c>
      <c r="F12305" s="6" t="n">
        <f aca="false">Sens!F12304-Sens!F12298-Sens!F12299-Sens!F12300-Sens!F12301-Sens!F12303</f>
        <v>60.9176648346756</v>
      </c>
      <c r="G12305" s="6" t="n">
        <f aca="false">Sens!G12304-Sens!G12298-Sens!G12299-Sens!G12300-Sens!G12301-Sens!G12303</f>
        <v>73.0345646833845</v>
      </c>
      <c r="H12305" s="6" t="n">
        <f aca="false">Sens!H12304-Sens!H12298-Sens!H12299-Sens!H12300-Sens!H12301-Sens!H12303</f>
        <v>85.2913273219498</v>
      </c>
      <c r="I12305" s="6" t="n">
        <f aca="false">Sens!I12304-Sens!I12298-Sens!I12299-Sens!I12300-Sens!I12301-Sens!I12303</f>
        <v>97.4967841158513</v>
      </c>
      <c r="J12305" s="6" t="n">
        <f aca="false">Sens!J12304-Sens!J12298-Sens!J12299-Sens!J12300-Sens!J12301-Sens!J12303</f>
        <v>108.586288995756</v>
      </c>
      <c r="K12305" s="6" t="n">
        <f aca="false">Sens!K12304-Sens!K12298-Sens!K12299-Sens!K12300-Sens!K12301-Sens!K12303</f>
        <v>117.882316989274</v>
      </c>
    </row>
    <row r="12306" customFormat="false" ht="17.15" hidden="false" customHeight="false" outlineLevel="0" collapsed="false">
      <c r="A12306" s="0" t="s">
        <v>1065</v>
      </c>
      <c r="B12306" s="0" t="s">
        <v>98</v>
      </c>
      <c r="F12306" s="6" t="n">
        <f aca="false">PL!F112+Sens!F12297*Seg!F82+sbc_r*Seg!F82</f>
        <v>26.2049549828959</v>
      </c>
      <c r="G12306" s="6" t="n">
        <f aca="false">PL!G112+Sens!G12297*Seg!G82+sbc_r*Seg!G82</f>
        <v>26.8405806403664</v>
      </c>
      <c r="H12306" s="6" t="n">
        <f aca="false">PL!H112+Sens!H12297*Seg!H82+sbc_r*Seg!H82</f>
        <v>27.7352032470138</v>
      </c>
      <c r="I12306" s="6" t="n">
        <f aca="false">PL!I112+Sens!I12297*Seg!I82+sbc_r*Seg!I82</f>
        <v>28.8569155956094</v>
      </c>
      <c r="J12306" s="6" t="n">
        <f aca="false">PL!J112+Sens!J12297*Seg!J82+sbc_r*Seg!J82</f>
        <v>30.1744385645725</v>
      </c>
      <c r="K12306" s="6" t="n">
        <f aca="false">PL!K112+Sens!K12297*Seg!K82+sbc_r*Seg!K82</f>
        <v>31.6584976186802</v>
      </c>
    </row>
    <row r="12307" customFormat="false" ht="17.15" hidden="false" customHeight="false" outlineLevel="0" collapsed="false">
      <c r="A12307" s="0" t="s">
        <v>1066</v>
      </c>
      <c r="B12307" s="0" t="s">
        <v>98</v>
      </c>
      <c r="F12307" s="6" t="n">
        <f aca="false">(Sens!F12306-Sens!F12302)*Seg!F78/(Seg!F78+Seg!F80)</f>
        <v>8.21889831690819</v>
      </c>
      <c r="G12307" s="6" t="n">
        <f aca="false">(Sens!G12306-Sens!G12302)*Seg!G78/(Seg!G78+Seg!G80)</f>
        <v>7.82984014749099</v>
      </c>
      <c r="H12307" s="6" t="n">
        <f aca="false">(Sens!H12306-Sens!H12302)*Seg!H78/(Seg!H78+Seg!H80)</f>
        <v>7.5999849964554</v>
      </c>
      <c r="I12307" s="6" t="n">
        <f aca="false">(Sens!I12306-Sens!I12302)*Seg!I78/(Seg!I78+Seg!I80)</f>
        <v>7.51221089422364</v>
      </c>
      <c r="J12307" s="6" t="n">
        <f aca="false">(Sens!J12306-Sens!J12302)*Seg!J78/(Seg!J78+Seg!J80)</f>
        <v>7.55622411401827</v>
      </c>
      <c r="K12307" s="6" t="n">
        <f aca="false">(Sens!K12306-Sens!K12302)*Seg!K78/(Seg!K78+Seg!K80)</f>
        <v>7.72822064011532</v>
      </c>
    </row>
    <row r="12308" customFormat="false" ht="17.15" hidden="false" customHeight="false" outlineLevel="0" collapsed="false">
      <c r="A12308" s="0" t="s">
        <v>1067</v>
      </c>
      <c r="B12308" s="0" t="s">
        <v>98</v>
      </c>
      <c r="F12308" s="6" t="n">
        <f aca="false">Sens!F12306-Sens!F12302-Sens!F12307</f>
        <v>6.77388596713263</v>
      </c>
      <c r="G12308" s="6" t="n">
        <f aca="false">Sens!G12306-Sens!G12302-Sens!G12307</f>
        <v>6.71251974178949</v>
      </c>
      <c r="H12308" s="6" t="n">
        <f aca="false">Sens!H12306-Sens!H12302-Sens!H12307</f>
        <v>6.70875211160101</v>
      </c>
      <c r="I12308" s="6" t="n">
        <f aca="false">Sens!I12306-Sens!I12302-Sens!I12307</f>
        <v>6.76040993286883</v>
      </c>
      <c r="J12308" s="6" t="n">
        <f aca="false">Sens!J12306-Sens!J12302-Sens!J12307</f>
        <v>6.86523172447386</v>
      </c>
      <c r="K12308" s="6" t="n">
        <f aca="false">Sens!K12306-Sens!K12302-Sens!K12307</f>
        <v>7.02149972151092</v>
      </c>
    </row>
    <row r="12309" customFormat="false" ht="17.15" hidden="false" customHeight="false" outlineLevel="0" collapsed="false">
      <c r="A12309" s="0" t="s">
        <v>1068</v>
      </c>
      <c r="B12309" s="0" t="s">
        <v>98</v>
      </c>
      <c r="F12309" s="6" t="n">
        <f aca="false">Sens!F12303-tax_f*(Sens!F12303-Thesis!F138)-Thesis!F135</f>
        <v>-122.366710075738</v>
      </c>
      <c r="G12309" s="6" t="n">
        <f aca="false">Sens!G12303-tax_f*(Sens!G12303-Thesis!G138)-Thesis!G135</f>
        <v>-108.130935015143</v>
      </c>
      <c r="H12309" s="6" t="n">
        <f aca="false">Sens!H12303-tax_f*(Sens!H12303-Thesis!H138)-Thesis!H135</f>
        <v>-85.7372579155142</v>
      </c>
      <c r="I12309" s="6" t="n">
        <f aca="false">Sens!I12303-tax_f*(Sens!I12303-Thesis!I138)-Thesis!I135</f>
        <v>-32.0937617822731</v>
      </c>
      <c r="J12309" s="6" t="n">
        <f aca="false">Sens!J12303-tax_f*(Sens!J12303-Thesis!J138)-Thesis!J135</f>
        <v>27.7659608174853</v>
      </c>
      <c r="K12309" s="6" t="n">
        <f aca="false">Sens!K12303-tax_f*(Sens!K12303-Thesis!K138)-Thesis!K135</f>
        <v>50.2765610680426</v>
      </c>
    </row>
    <row r="12310" customFormat="false" ht="17.15" hidden="false" customHeight="false" outlineLevel="0" collapsed="false">
      <c r="A12310" s="0" t="s">
        <v>1069</v>
      </c>
      <c r="B12310" s="0" t="s">
        <v>98</v>
      </c>
      <c r="F12310" s="6" t="n">
        <f aca="false">Sens!F12309*Sens!F12283</f>
        <v>-115.992122831603</v>
      </c>
      <c r="G12310" s="6" t="n">
        <f aca="false">Sens!G12309*Sens!G12283</f>
        <v>-92.097024074732</v>
      </c>
      <c r="H12310" s="6" t="n">
        <f aca="false">Sens!H12309*Sens!H12283</f>
        <v>-65.6138700471793</v>
      </c>
      <c r="I12310" s="6" t="n">
        <f aca="false">Sens!I12309*Sens!I12283</f>
        <v>-22.0687185018834</v>
      </c>
      <c r="J12310" s="6" t="n">
        <f aca="false">Sens!J12309*Sens!J12283</f>
        <v>17.1553515695309</v>
      </c>
      <c r="K12310" s="6" t="n">
        <f aca="false">Sens!K12309*Sens!K12283</f>
        <v>27.9114826120743</v>
      </c>
    </row>
    <row r="12311" customFormat="false" ht="17.15" hidden="false" customHeight="false" outlineLevel="0" collapsed="false">
      <c r="A12311" s="0" t="s">
        <v>1070</v>
      </c>
      <c r="B12311" s="0" t="s">
        <v>98</v>
      </c>
      <c r="C12311" s="6" t="n">
        <f aca="false">(Sens!K12303-Thesis!K138)*(1-tax_f)*(1+g_tv)*(1-g_tv/((wacc+0.01)+ronic_prem))/((wacc+0.01)-g_tv)/(1+(wacc+0.01))^(Sens!K12282+mid_yr)</f>
        <v>122.690579573968</v>
      </c>
    </row>
    <row r="12312" customFormat="false" ht="17.15" hidden="false" customHeight="false" outlineLevel="0" collapsed="false">
      <c r="A12312" s="1" t="s">
        <v>1071</v>
      </c>
      <c r="B12312" s="0" t="s">
        <v>98</v>
      </c>
      <c r="C12312" s="6" t="n">
        <f aca="false">(SUM(Sens!F12310:K12310)+Sens!$C$12311)*(1+(wacc+0.01))^t_roll</f>
        <v>-147.529370024839</v>
      </c>
      <c r="L12312" s="11" t="s">
        <v>1072</v>
      </c>
    </row>
    <row r="12313" customFormat="false" ht="17.15" hidden="false" customHeight="false" outlineLevel="0" collapsed="false">
      <c r="A12313" s="1" t="s">
        <v>1073</v>
      </c>
      <c r="B12313" s="0" t="s">
        <v>98</v>
      </c>
      <c r="C12313" s="6" t="n">
        <f aca="false">(w_ntm28*Thesis!G127+(1-w_ntm28)*Thesis!H127)*m_ai</f>
        <v>338.776008390068</v>
      </c>
    </row>
    <row r="12314" customFormat="false" ht="17.15" hidden="false" customHeight="false" outlineLevel="0" collapsed="false">
      <c r="A12314" s="1" t="s">
        <v>1074</v>
      </c>
      <c r="B12314" s="0" t="s">
        <v>98</v>
      </c>
      <c r="C12314" s="6" t="n">
        <f aca="false">(w_ntm28*Sens!G12305+(1-w_ntm28)*Sens!H12305)*m_cloud</f>
        <v>1064.09888458319</v>
      </c>
    </row>
    <row r="12315" customFormat="false" ht="17.15" hidden="false" customHeight="false" outlineLevel="0" collapsed="false">
      <c r="A12315" s="1" t="s">
        <v>1075</v>
      </c>
      <c r="B12315" s="0" t="s">
        <v>98</v>
      </c>
      <c r="C12315" s="6" t="n">
        <f aca="false">(w_ntm28*Sens!G12298+(1-w_ntm28)*Sens!H12298)*m_sw</f>
        <v>1044.04824539957</v>
      </c>
    </row>
    <row r="12316" customFormat="false" ht="17.15" hidden="false" customHeight="false" outlineLevel="0" collapsed="false">
      <c r="A12316" s="1" t="s">
        <v>1076</v>
      </c>
      <c r="B12316" s="0" t="s">
        <v>98</v>
      </c>
      <c r="C12316" s="6" t="n">
        <f aca="false">(w_ntm28*Sens!G12299+(1-w_ntm28)*Sens!H12299)*m_sw</f>
        <v>379.755670745447</v>
      </c>
    </row>
    <row r="12317" customFormat="false" ht="17.15" hidden="false" customHeight="false" outlineLevel="0" collapsed="false">
      <c r="A12317" s="1" t="s">
        <v>1077</v>
      </c>
      <c r="B12317" s="0" t="s">
        <v>98</v>
      </c>
      <c r="C12317" s="6" t="n">
        <f aca="false">(w_ntm28*Sens!G12300+(1-w_ntm28)*Sens!H12300)*m_sw</f>
        <v>109.434903376969</v>
      </c>
    </row>
    <row r="12318" customFormat="false" ht="17.15" hidden="false" customHeight="false" outlineLevel="0" collapsed="false">
      <c r="A12318" s="1" t="s">
        <v>1078</v>
      </c>
      <c r="B12318" s="0" t="s">
        <v>98</v>
      </c>
      <c r="C12318" s="6" t="n">
        <f aca="false">(w_ntm28*Sens!G12301+(1-w_ntm28)*Sens!H12301)*m_sw</f>
        <v>41.7511882786773</v>
      </c>
    </row>
    <row r="12319" customFormat="false" ht="17.15" hidden="false" customHeight="false" outlineLevel="0" collapsed="false">
      <c r="A12319" s="1" t="s">
        <v>1079</v>
      </c>
      <c r="B12319" s="0" t="s">
        <v>98</v>
      </c>
      <c r="C12319" s="6" t="n">
        <f aca="false">(w_ntm28*Sens!G12302+(1-w_ntm28)*Sens!H12302)*m_ads</f>
        <v>115.359643719254</v>
      </c>
    </row>
    <row r="12320" customFormat="false" ht="17.15" hidden="false" customHeight="false" outlineLevel="0" collapsed="false">
      <c r="A12320" s="1" t="s">
        <v>1080</v>
      </c>
      <c r="B12320" s="0" t="s">
        <v>98</v>
      </c>
      <c r="C12320" s="6" t="n">
        <f aca="false">(w_ntm28*Sens!G12307+(1-w_ntm28)*Sens!H12307)*m_game</f>
        <v>97.9523541428266</v>
      </c>
    </row>
    <row r="12321" customFormat="false" ht="17.15" hidden="false" customHeight="false" outlineLevel="0" collapsed="false">
      <c r="A12321" s="1" t="s">
        <v>1081</v>
      </c>
      <c r="B12321" s="0" t="s">
        <v>98</v>
      </c>
      <c r="C12321" s="6" t="n">
        <f aca="false">(w_ntm28*Sens!G12308+(1-w_ntm28)*Sens!H12308)*m_pc</f>
        <v>97.1125357928949</v>
      </c>
    </row>
    <row r="12322" customFormat="false" ht="17.15" hidden="false" customHeight="false" outlineLevel="0" collapsed="false">
      <c r="A12322" s="1" t="s">
        <v>1082</v>
      </c>
      <c r="B12322" s="0" t="s">
        <v>98</v>
      </c>
      <c r="C12322" s="6" t="n">
        <f aca="false">Sens!$C$12312+Sens!$C$12314+Sens!$C$12315+Sens!$C$12316+Sens!$C$12317+Sens!$C$12318+Sens!$C$12319+Sens!$C$12320+Sens!$C$12321</f>
        <v>2801.98405601399</v>
      </c>
    </row>
    <row r="12323" customFormat="false" ht="17.15" hidden="false" customHeight="false" outlineLevel="0" collapsed="false">
      <c r="A12323" s="1" t="s">
        <v>1000</v>
      </c>
      <c r="B12323" s="0" t="s">
        <v>98</v>
      </c>
      <c r="C12323" s="6" t="n">
        <f aca="false">CF!F94+oai_v-CF!F83</f>
        <v>106.814034990727</v>
      </c>
      <c r="L12323" s="1" t="s">
        <v>1083</v>
      </c>
    </row>
    <row r="12324" customFormat="false" ht="15" hidden="false" customHeight="false" outlineLevel="0" collapsed="false">
      <c r="A12324" s="1" t="s">
        <v>1001</v>
      </c>
      <c r="B12324" s="0" t="s">
        <v>75</v>
      </c>
      <c r="C12324" s="5" t="n">
        <f aca="false">(Sens!$C$12322+Sens!$C$12323)/CF!F96</f>
        <v>389.293106397847</v>
      </c>
    </row>
    <row r="12325" customFormat="false" ht="17.15" hidden="false" customHeight="false" outlineLevel="0" collapsed="false">
      <c r="A12325" s="1" t="s">
        <v>1084</v>
      </c>
      <c r="B12325" s="0" t="s">
        <v>75</v>
      </c>
      <c r="C12325" s="5" t="n">
        <f aca="false">w_dcf*Sens!$C$12296+(1-w_dcf)*Sens!$C$12324</f>
        <v>329.809662602384</v>
      </c>
    </row>
    <row r="12326" customFormat="false" ht="17.15" hidden="false" customHeight="false" outlineLevel="0" collapsed="false">
      <c r="A12326" s="3" t="s">
        <v>1555</v>
      </c>
    </row>
    <row r="12327" customFormat="false" ht="15" hidden="false" customHeight="false" outlineLevel="0" collapsed="false">
      <c r="A12327" s="4" t="s">
        <v>43</v>
      </c>
      <c r="B12327" s="4" t="s">
        <v>65</v>
      </c>
      <c r="C12327" s="20" t="s">
        <v>788</v>
      </c>
      <c r="D12327" s="20" t="s">
        <v>789</v>
      </c>
      <c r="E12327" s="20" t="s">
        <v>790</v>
      </c>
      <c r="F12327" s="20" t="s">
        <v>791</v>
      </c>
      <c r="G12327" s="20" t="s">
        <v>792</v>
      </c>
      <c r="H12327" s="20" t="s">
        <v>793</v>
      </c>
      <c r="I12327" s="20" t="s">
        <v>794</v>
      </c>
      <c r="J12327" s="20" t="s">
        <v>795</v>
      </c>
      <c r="K12327" s="20" t="s">
        <v>796</v>
      </c>
      <c r="L12327" s="4" t="s">
        <v>47</v>
      </c>
    </row>
    <row r="12328" customFormat="false" ht="15" hidden="false" customHeight="false" outlineLevel="0" collapsed="false">
      <c r="A12328" s="1" t="s">
        <v>1042</v>
      </c>
      <c r="B12328" s="1" t="s">
        <v>235</v>
      </c>
      <c r="F12328" s="36" t="n">
        <f aca="false">Thesis!F6-base_fy-mid_yr</f>
        <v>0.5</v>
      </c>
      <c r="G12328" s="36" t="n">
        <f aca="false">Thesis!G6-base_fy-mid_yr</f>
        <v>1.5</v>
      </c>
      <c r="H12328" s="36" t="n">
        <f aca="false">Thesis!H6-base_fy-mid_yr</f>
        <v>2.5</v>
      </c>
      <c r="I12328" s="36" t="n">
        <f aca="false">Thesis!I6-base_fy-mid_yr</f>
        <v>3.5</v>
      </c>
      <c r="J12328" s="36" t="n">
        <f aca="false">Thesis!J6-base_fy-mid_yr</f>
        <v>4.5</v>
      </c>
      <c r="K12328" s="36" t="n">
        <f aca="false">Thesis!K6-base_fy-mid_yr</f>
        <v>5.5</v>
      </c>
    </row>
    <row r="12329" customFormat="false" ht="15" hidden="false" customHeight="false" outlineLevel="0" collapsed="false">
      <c r="A12329" s="1" t="s">
        <v>1043</v>
      </c>
      <c r="B12329" s="0" t="s">
        <v>185</v>
      </c>
      <c r="F12329" s="14" t="n">
        <f aca="false">1/(1+wacc)^Sens!F12328</f>
        <v>0.952193373608246</v>
      </c>
      <c r="G12329" s="14" t="n">
        <f aca="false">1/(1+wacc)^Sens!G12328</f>
        <v>0.863327280626589</v>
      </c>
      <c r="H12329" s="14" t="n">
        <f aca="false">1/(1+wacc)^Sens!H12328</f>
        <v>0.782754862754115</v>
      </c>
      <c r="I12329" s="14" t="n">
        <f aca="false">1/(1+wacc)^Sens!I12328</f>
        <v>0.709702089711011</v>
      </c>
      <c r="J12329" s="14" t="n">
        <f aca="false">1/(1+wacc)^Sens!J12328</f>
        <v>0.643467169744551</v>
      </c>
      <c r="K12329" s="14" t="n">
        <f aca="false">1/(1+wacc)^Sens!K12328</f>
        <v>0.583413807767797</v>
      </c>
    </row>
    <row r="12330" customFormat="false" ht="17.15" hidden="false" customHeight="false" outlineLevel="0" collapsed="false">
      <c r="A12330" s="1" t="s">
        <v>1044</v>
      </c>
      <c r="B12330" s="0" t="s">
        <v>98</v>
      </c>
      <c r="F12330" s="6" t="n">
        <f aca="false">CF!F21-CF!F19-CF!F24+Thesis!F44*(1-tax_f)</f>
        <v>9.29995994594013</v>
      </c>
      <c r="G12330" s="6" t="n">
        <f aca="false">CF!G21-CF!G19-CF!G24+Thesis!G44*(1-tax_f)</f>
        <v>55.6803799901549</v>
      </c>
      <c r="H12330" s="6" t="n">
        <f aca="false">CF!H21-CF!H19-CF!H24+Thesis!H44*(1-tax_f)</f>
        <v>114.6308681267</v>
      </c>
      <c r="I12330" s="6" t="n">
        <f aca="false">CF!I21-CF!I19-CF!I24+Thesis!I44*(1-tax_f)</f>
        <v>192.960687587037</v>
      </c>
      <c r="J12330" s="6" t="n">
        <f aca="false">CF!J21-CF!J19-CF!J24+Thesis!J44*(1-tax_f)</f>
        <v>273.742251264366</v>
      </c>
      <c r="K12330" s="6" t="n">
        <f aca="false">CF!K21-CF!K19-CF!K24+Thesis!K44*(1-tax_f)</f>
        <v>313.491842465765</v>
      </c>
      <c r="L12330" s="1" t="s">
        <v>1045</v>
      </c>
    </row>
    <row r="12331" customFormat="false" ht="15" hidden="false" customHeight="false" outlineLevel="0" collapsed="false">
      <c r="A12331" s="1" t="s">
        <v>1046</v>
      </c>
      <c r="B12331" s="0" t="s">
        <v>98</v>
      </c>
      <c r="F12331" s="6" t="n">
        <f aca="false">Sens!F12330*Sens!F12329</f>
        <v>8.8553602353463</v>
      </c>
      <c r="G12331" s="6" t="n">
        <f aca="false">Sens!G12330*Sens!G12329</f>
        <v>48.0703910411556</v>
      </c>
      <c r="H12331" s="6" t="n">
        <f aca="false">Sens!H12330*Sens!H12329</f>
        <v>89.7278694479</v>
      </c>
      <c r="I12331" s="6" t="n">
        <f aca="false">Sens!I12330*Sens!I12329</f>
        <v>136.944603212593</v>
      </c>
      <c r="J12331" s="6" t="n">
        <f aca="false">Sens!J12330*Sens!J12329</f>
        <v>176.144151660583</v>
      </c>
      <c r="K12331" s="6" t="n">
        <f aca="false">Sens!K12330*Sens!K12329</f>
        <v>182.895469517094</v>
      </c>
    </row>
    <row r="12332" customFormat="false" ht="17.15" hidden="false" customHeight="false" outlineLevel="0" collapsed="false">
      <c r="A12332" s="1" t="s">
        <v>1047</v>
      </c>
      <c r="B12332" s="0" t="s">
        <v>98</v>
      </c>
      <c r="C12332" s="6" t="n">
        <f aca="false">SUM(Sens!F12331:K12331)</f>
        <v>642.637845114673</v>
      </c>
    </row>
    <row r="12333" customFormat="false" ht="17.15" hidden="false" customHeight="false" outlineLevel="0" collapsed="false">
      <c r="A12333" s="1" t="s">
        <v>1048</v>
      </c>
      <c r="B12333" s="0" t="s">
        <v>98</v>
      </c>
      <c r="C12333" s="6" t="n">
        <f aca="false">PL!K39*(1+g_tv_lo)*(1-tax_f)</f>
        <v>322.179869850762</v>
      </c>
    </row>
    <row r="12334" customFormat="false" ht="17.15" hidden="false" customHeight="false" outlineLevel="0" collapsed="false">
      <c r="A12334" s="1" t="s">
        <v>1049</v>
      </c>
      <c r="B12334" s="0" t="s">
        <v>98</v>
      </c>
      <c r="C12334" s="6" t="n">
        <f aca="false">Sens!$C$12333*(1-g_tv_lo/(wacc+ronic_prem))</f>
        <v>259.580815120563</v>
      </c>
    </row>
    <row r="12335" customFormat="false" ht="17.15" hidden="false" customHeight="false" outlineLevel="0" collapsed="false">
      <c r="A12335" s="1" t="s">
        <v>1050</v>
      </c>
      <c r="B12335" s="0" t="s">
        <v>98</v>
      </c>
      <c r="C12335" s="6" t="n">
        <f aca="false">Sens!$C$12334/(wacc-g_tv_lo)</f>
        <v>3129.95273650996</v>
      </c>
    </row>
    <row r="12336" customFormat="false" ht="15" hidden="false" customHeight="false" outlineLevel="0" collapsed="false">
      <c r="A12336" s="1" t="s">
        <v>1051</v>
      </c>
      <c r="B12336" s="0" t="s">
        <v>98</v>
      </c>
      <c r="C12336" s="6" t="n">
        <f aca="false">Sens!$C$12335/(1+wacc)^(Sens!K12328+mid_yr)</f>
        <v>1738.75998857728</v>
      </c>
    </row>
    <row r="12337" customFormat="false" ht="17.15" hidden="false" customHeight="false" outlineLevel="0" collapsed="false">
      <c r="A12337" s="0" t="s">
        <v>972</v>
      </c>
      <c r="B12337" s="0" t="s">
        <v>98</v>
      </c>
      <c r="C12337" s="6" t="n">
        <f aca="false">Sens!$C$12332+Sens!$C$12336</f>
        <v>2381.39783369195</v>
      </c>
    </row>
    <row r="12338" customFormat="false" ht="15" hidden="false" customHeight="false" outlineLevel="0" collapsed="false">
      <c r="A12338" s="1" t="s">
        <v>973</v>
      </c>
      <c r="B12338" s="0" t="s">
        <v>129</v>
      </c>
      <c r="C12338" s="7" t="n">
        <f aca="false">Sens!$C$12336/Sens!$C$12337</f>
        <v>0.730142592714812</v>
      </c>
    </row>
    <row r="12339" customFormat="false" ht="17.15" hidden="false" customHeight="false" outlineLevel="0" collapsed="false">
      <c r="A12339" s="1" t="s">
        <v>1052</v>
      </c>
      <c r="B12339" s="0" t="s">
        <v>98</v>
      </c>
      <c r="C12339" s="6" t="n">
        <f aca="false">Sens!$C$12337+CF!E36-CF!E25+oai_v</f>
        <v>2515.91083369195</v>
      </c>
    </row>
    <row r="12340" customFormat="false" ht="17.15" hidden="false" customHeight="false" outlineLevel="0" collapsed="false">
      <c r="A12340" s="0" t="s">
        <v>980</v>
      </c>
      <c r="B12340" s="0" t="s">
        <v>75</v>
      </c>
      <c r="C12340" s="5" t="n">
        <f aca="false">Sens!$C$12339/sh_dil26</f>
        <v>337.5702178575</v>
      </c>
    </row>
    <row r="12341" customFormat="false" ht="15" hidden="false" customHeight="false" outlineLevel="0" collapsed="false">
      <c r="A12341" s="1" t="s">
        <v>1053</v>
      </c>
      <c r="B12341" s="0" t="s">
        <v>75</v>
      </c>
      <c r="C12341" s="8" t="n">
        <f aca="false">dps_27+CF!G28*roll_div_q/q_per_yr</f>
        <v>4.8895</v>
      </c>
    </row>
    <row r="12342" customFormat="false" ht="17.15" hidden="false" customHeight="false" outlineLevel="0" collapsed="false">
      <c r="A12342" s="0" t="s">
        <v>1054</v>
      </c>
      <c r="B12342" s="0" t="s">
        <v>75</v>
      </c>
      <c r="C12342" s="5" t="n">
        <f aca="false">Sens!$C$12340*(1+wacc)^t_roll-Sens!$C$12341</f>
        <v>379.512978383815</v>
      </c>
    </row>
    <row r="12343" customFormat="false" ht="17.15" hidden="false" customHeight="false" outlineLevel="0" collapsed="false">
      <c r="A12343" s="1" t="s">
        <v>1055</v>
      </c>
      <c r="B12343" s="0" t="s">
        <v>129</v>
      </c>
      <c r="F12343" s="7" t="n">
        <f aca="false">CF!F17/(Seg!F29-Thesis!F23)</f>
        <v>0.0681773598226415</v>
      </c>
      <c r="G12343" s="7" t="n">
        <f aca="false">CF!G17/(Seg!G29-Thesis!G23)</f>
        <v>0.0650385409375172</v>
      </c>
      <c r="H12343" s="7" t="n">
        <f aca="false">CF!H17/(Seg!H29-Thesis!H23)</f>
        <v>0.063382542471986</v>
      </c>
      <c r="I12343" s="7" t="n">
        <f aca="false">CF!I17/(Seg!I29-Thesis!I23)</f>
        <v>0.0630998138876076</v>
      </c>
      <c r="J12343" s="7" t="n">
        <f aca="false">CF!J17/(Seg!J29-Thesis!J23)</f>
        <v>0.0638399980286975</v>
      </c>
      <c r="K12343" s="7" t="n">
        <f aca="false">CF!K17/(Seg!K29-Thesis!K23)</f>
        <v>0.0651531082402687</v>
      </c>
    </row>
    <row r="12344" customFormat="false" ht="17.15" hidden="false" customHeight="false" outlineLevel="0" collapsed="false">
      <c r="A12344" s="0" t="s">
        <v>1056</v>
      </c>
      <c r="B12344" s="0" t="s">
        <v>98</v>
      </c>
      <c r="F12344" s="6" t="n">
        <f aca="false">Seg!F14*(al_m365+Sens!F12343+sbc_r)</f>
        <v>84.944046606333</v>
      </c>
      <c r="G12344" s="6" t="n">
        <f aca="false">Seg!G14*(al_m365+Sens!G12343+sbc_r)</f>
        <v>99.4236143320739</v>
      </c>
      <c r="H12344" s="6" t="n">
        <f aca="false">Seg!H14*(al_m365+Sens!H12343+sbc_r)</f>
        <v>114.068697186163</v>
      </c>
      <c r="I12344" s="6" t="n">
        <f aca="false">Seg!I14*(al_m365+Sens!I12343+sbc_r)</f>
        <v>127.196415789369</v>
      </c>
      <c r="J12344" s="6" t="n">
        <f aca="false">Seg!J14*(al_m365+Sens!J12343+sbc_r)</f>
        <v>138.619575691419</v>
      </c>
      <c r="K12344" s="6" t="n">
        <f aca="false">Seg!K14*(al_m365+Sens!K12343+sbc_r)</f>
        <v>149.659768267063</v>
      </c>
      <c r="L12344" s="11" t="s">
        <v>1057</v>
      </c>
    </row>
    <row r="12345" customFormat="false" ht="17.15" hidden="false" customHeight="false" outlineLevel="0" collapsed="false">
      <c r="A12345" s="0" t="s">
        <v>1058</v>
      </c>
      <c r="B12345" s="0" t="s">
        <v>98</v>
      </c>
      <c r="F12345" s="6" t="n">
        <f aca="false">Seg!F15*(al_lic+Sens!F12343+sbc_r)</f>
        <v>33.4285095904825</v>
      </c>
      <c r="G12345" s="6" t="n">
        <f aca="false">Seg!G15*(al_lic+Sens!G12343+sbc_r)</f>
        <v>34.7161826947861</v>
      </c>
      <c r="H12345" s="6" t="n">
        <f aca="false">Seg!H15*(al_lic+Sens!H12343+sbc_r)</f>
        <v>35.9223654002493</v>
      </c>
      <c r="I12345" s="6" t="n">
        <f aca="false">Seg!I15*(al_lic+Sens!I12343+sbc_r)</f>
        <v>37.0298325864501</v>
      </c>
      <c r="J12345" s="6" t="n">
        <f aca="false">Seg!J15*(al_lic+Sens!J12343+sbc_r)</f>
        <v>38.0103325842314</v>
      </c>
      <c r="K12345" s="6" t="n">
        <f aca="false">Seg!K15*(al_lic+Sens!K12343+sbc_r)</f>
        <v>38.8303473189322</v>
      </c>
    </row>
    <row r="12346" customFormat="false" ht="17.15" hidden="false" customHeight="false" outlineLevel="0" collapsed="false">
      <c r="A12346" s="0" t="s">
        <v>1059</v>
      </c>
      <c r="B12346" s="0" t="s">
        <v>98</v>
      </c>
      <c r="F12346" s="6" t="n">
        <f aca="false">Seg!F17*(al_ind+Sens!F12343+sbc_r)</f>
        <v>9.06719306746208</v>
      </c>
      <c r="G12346" s="6" t="n">
        <f aca="false">Seg!G17*(al_ind+Sens!G12343+sbc_r)</f>
        <v>9.83485541633448</v>
      </c>
      <c r="H12346" s="6" t="n">
        <f aca="false">Seg!H17*(al_ind+Sens!H12343+sbc_r)</f>
        <v>10.6498544617516</v>
      </c>
      <c r="I12346" s="6" t="n">
        <f aca="false">Seg!I17*(al_ind+Sens!I12343+sbc_r)</f>
        <v>11.5103515303299</v>
      </c>
      <c r="J12346" s="6" t="n">
        <f aca="false">Seg!J17*(al_ind+Sens!J12343+sbc_r)</f>
        <v>12.4055032067278</v>
      </c>
      <c r="K12346" s="6" t="n">
        <f aca="false">Seg!K17*(al_ind+Sens!K12343+sbc_r)</f>
        <v>13.3173308472897</v>
      </c>
    </row>
    <row r="12347" customFormat="false" ht="17.15" hidden="false" customHeight="false" outlineLevel="0" collapsed="false">
      <c r="A12347" s="0" t="s">
        <v>1060</v>
      </c>
      <c r="B12347" s="0" t="s">
        <v>98</v>
      </c>
      <c r="F12347" s="6" t="n">
        <f aca="false">Seg!F19*(al_fro+Sens!F12343+sbc_r)</f>
        <v>3.56887902446295</v>
      </c>
      <c r="G12347" s="6" t="n">
        <f aca="false">Seg!G19*(al_fro+Sens!G12343+sbc_r)</f>
        <v>3.77600302676241</v>
      </c>
      <c r="H12347" s="6" t="n">
        <f aca="false">Seg!H19*(al_fro+Sens!H12343+sbc_r)</f>
        <v>4.01322967965482</v>
      </c>
      <c r="I12347" s="6" t="n">
        <f aca="false">Seg!I19*(al_fro+Sens!I12343+sbc_r)</f>
        <v>4.28368437397841</v>
      </c>
      <c r="J12347" s="6" t="n">
        <f aca="false">Seg!J19*(al_fro+Sens!J12343+sbc_r)</f>
        <v>4.58803182845156</v>
      </c>
      <c r="K12347" s="6" t="n">
        <f aca="false">Seg!K19*(al_fro+Sens!K12343+sbc_r)</f>
        <v>4.92526073140255</v>
      </c>
    </row>
    <row r="12348" customFormat="false" ht="17.15" hidden="false" customHeight="false" outlineLevel="0" collapsed="false">
      <c r="A12348" s="0" t="s">
        <v>1061</v>
      </c>
      <c r="B12348" s="0" t="s">
        <v>98</v>
      </c>
      <c r="F12348" s="6" t="n">
        <f aca="false">Seg!F22*(al_srch+Sens!F12343+sbc_r)</f>
        <v>11.1981144415922</v>
      </c>
      <c r="G12348" s="6" t="n">
        <f aca="false">Seg!G22*(al_srch+Sens!G12343+sbc_r)</f>
        <v>12.2607925441521</v>
      </c>
      <c r="H12348" s="6" t="n">
        <f aca="false">Seg!H22*(al_srch+Sens!H12343+sbc_r)</f>
        <v>13.3712787172501</v>
      </c>
      <c r="I12348" s="6" t="n">
        <f aca="false">Seg!I22*(al_srch+Sens!I12343+sbc_r)</f>
        <v>14.5205713773955</v>
      </c>
      <c r="J12348" s="6" t="n">
        <f aca="false">Seg!J22*(al_srch+Sens!J12343+sbc_r)</f>
        <v>15.6873363367184</v>
      </c>
      <c r="K12348" s="6" t="n">
        <f aca="false">Seg!K22*(al_srch+Sens!K12343+sbc_r)</f>
        <v>16.8403848378749</v>
      </c>
    </row>
    <row r="12349" customFormat="false" ht="17.15" hidden="false" customHeight="false" outlineLevel="0" collapsed="false">
      <c r="A12349" s="0" t="s">
        <v>1062</v>
      </c>
      <c r="B12349" s="0" t="s">
        <v>98</v>
      </c>
      <c r="F12349" s="6" t="n">
        <f aca="false">Thesis!F29-Thesis!F30+Thesis!F44</f>
        <v>55.6743052939671</v>
      </c>
      <c r="G12349" s="6" t="n">
        <f aca="false">Thesis!G29-Thesis!G30+Thesis!G44</f>
        <v>100.2533125707</v>
      </c>
      <c r="H12349" s="6" t="n">
        <f aca="false">Thesis!H29-Thesis!H30+Thesis!H44</f>
        <v>152.31255014234</v>
      </c>
      <c r="I12349" s="6" t="n">
        <f aca="false">Thesis!I29-Thesis!I30+Thesis!I44</f>
        <v>194.041990076394</v>
      </c>
      <c r="J12349" s="6" t="n">
        <f aca="false">Thesis!J29-Thesis!J30+Thesis!J44</f>
        <v>223.463148273617</v>
      </c>
      <c r="K12349" s="6" t="n">
        <f aca="false">Thesis!K29-Thesis!K30+Thesis!K44</f>
        <v>241.312249272487</v>
      </c>
    </row>
    <row r="12350" customFormat="false" ht="17.15" hidden="false" customHeight="false" outlineLevel="0" collapsed="false">
      <c r="A12350" s="0" t="s">
        <v>1063</v>
      </c>
      <c r="B12350" s="0" t="s">
        <v>98</v>
      </c>
      <c r="F12350" s="6" t="n">
        <f aca="false">PL!F32+Thesis!F44+Thesis!F40+Sens!F12343*(Seg!F21-Thesis!F23)+sbc_r*Seg!F21</f>
        <v>247.769309676659</v>
      </c>
      <c r="G12350" s="6" t="n">
        <f aca="false">PL!G32+Thesis!G44+Thesis!G40+Sens!G12343*(Seg!G21-Thesis!G23)+sbc_r*Seg!G21</f>
        <v>321.625870182006</v>
      </c>
      <c r="H12350" s="6" t="n">
        <f aca="false">PL!H32+Thesis!H44+Thesis!H40+Sens!H12343*(Seg!H21-Thesis!H23)+sbc_r*Seg!H21</f>
        <v>403.668756829163</v>
      </c>
      <c r="I12350" s="6" t="n">
        <f aca="false">PL!I32+Thesis!I44+Thesis!I40+Sens!I12343*(Seg!I21-Thesis!I23)+sbc_r*Seg!I21</f>
        <v>473.311817063846</v>
      </c>
      <c r="J12350" s="6" t="n">
        <f aca="false">PL!J32+Thesis!J44+Thesis!J40+Sens!J12343*(Seg!J21-Thesis!J23)+sbc_r*Seg!J21</f>
        <v>527.683171494685</v>
      </c>
      <c r="K12350" s="6" t="n">
        <f aca="false">PL!K32+Thesis!K44+Thesis!K40+Sens!K12343*(Seg!K21-Thesis!K23)+sbc_r*Seg!K21</f>
        <v>568.060513693045</v>
      </c>
    </row>
    <row r="12351" customFormat="false" ht="17.15" hidden="false" customHeight="false" outlineLevel="0" collapsed="false">
      <c r="A12351" s="0" t="s">
        <v>1064</v>
      </c>
      <c r="B12351" s="0" t="s">
        <v>98</v>
      </c>
      <c r="F12351" s="6" t="n">
        <f aca="false">Sens!F12350-Sens!F12344-Sens!F12345-Sens!F12346-Sens!F12347-Sens!F12349</f>
        <v>61.0863760939514</v>
      </c>
      <c r="G12351" s="6" t="n">
        <f aca="false">Sens!G12350-Sens!G12344-Sens!G12345-Sens!G12346-Sens!G12347-Sens!G12349</f>
        <v>73.6219021413484</v>
      </c>
      <c r="H12351" s="6" t="n">
        <f aca="false">Sens!H12350-Sens!H12344-Sens!H12345-Sens!H12346-Sens!H12347-Sens!H12349</f>
        <v>86.7020599590046</v>
      </c>
      <c r="I12351" s="6" t="n">
        <f aca="false">Sens!I12350-Sens!I12344-Sens!I12345-Sens!I12346-Sens!I12347-Sens!I12349</f>
        <v>99.2495427073239</v>
      </c>
      <c r="J12351" s="6" t="n">
        <f aca="false">Sens!J12350-Sens!J12344-Sens!J12345-Sens!J12346-Sens!J12347-Sens!J12349</f>
        <v>110.596579910238</v>
      </c>
      <c r="K12351" s="6" t="n">
        <f aca="false">Sens!K12350-Sens!K12344-Sens!K12345-Sens!K12346-Sens!K12347-Sens!K12349</f>
        <v>120.01555725587</v>
      </c>
    </row>
    <row r="12352" customFormat="false" ht="17.15" hidden="false" customHeight="false" outlineLevel="0" collapsed="false">
      <c r="A12352" s="0" t="s">
        <v>1065</v>
      </c>
      <c r="B12352" s="0" t="s">
        <v>98</v>
      </c>
      <c r="F12352" s="6" t="n">
        <f aca="false">PL!F34+Sens!F12343*Seg!F28+sbc_r*Seg!F28</f>
        <v>26.1717931813002</v>
      </c>
      <c r="G12352" s="6" t="n">
        <f aca="false">PL!G34+Sens!G12343*Seg!G28+sbc_r*Seg!G28</f>
        <v>26.7581197754446</v>
      </c>
      <c r="H12352" s="6" t="n">
        <f aca="false">PL!H34+Sens!H12343*Seg!H28+sbc_r*Seg!H28</f>
        <v>27.6201174920951</v>
      </c>
      <c r="I12352" s="6" t="n">
        <f aca="false">PL!I34+Sens!I12343*Seg!I28+sbc_r*Seg!I28</f>
        <v>28.7296306530919</v>
      </c>
      <c r="J12352" s="6" t="n">
        <f aca="false">PL!J34+Sens!J12343*Seg!J28+sbc_r*Seg!J28</f>
        <v>30.04749983899</v>
      </c>
      <c r="K12352" s="6" t="n">
        <f aca="false">PL!K34+Sens!K12343*Seg!K28+sbc_r*Seg!K28</f>
        <v>31.5292329023825</v>
      </c>
    </row>
    <row r="12353" customFormat="false" ht="17.15" hidden="false" customHeight="false" outlineLevel="0" collapsed="false">
      <c r="A12353" s="0" t="s">
        <v>1066</v>
      </c>
      <c r="B12353" s="0" t="s">
        <v>98</v>
      </c>
      <c r="F12353" s="6" t="n">
        <f aca="false">(Sens!F12352-Sens!F12348)*Seg!F24/(Seg!F24+Seg!F26)</f>
        <v>8.20842484359027</v>
      </c>
      <c r="G12353" s="6" t="n">
        <f aca="false">(Sens!G12352-Sens!G12348)*Seg!G24/(Seg!G24+Seg!G26)</f>
        <v>7.80559384110416</v>
      </c>
      <c r="H12353" s="6" t="n">
        <f aca="false">(Sens!H12352-Sens!H12348)*Seg!H24/(Seg!H24+Seg!H26)</f>
        <v>7.56817041839156</v>
      </c>
      <c r="I12353" s="6" t="n">
        <f aca="false">(Sens!I12352-Sens!I12348)*Seg!I24/(Seg!I24+Seg!I26)</f>
        <v>7.47875608696462</v>
      </c>
      <c r="J12353" s="6" t="n">
        <f aca="false">(Sens!J12352-Sens!J12348)*Seg!J24/(Seg!J24+Seg!J26)</f>
        <v>7.52410955955578</v>
      </c>
      <c r="K12353" s="6" t="n">
        <f aca="false">(Sens!K12352-Sens!K12348)*Seg!K24/(Seg!K24+Seg!K26)</f>
        <v>7.6963261681206</v>
      </c>
    </row>
    <row r="12354" customFormat="false" ht="17.15" hidden="false" customHeight="false" outlineLevel="0" collapsed="false">
      <c r="A12354" s="0" t="s">
        <v>1067</v>
      </c>
      <c r="B12354" s="0" t="s">
        <v>98</v>
      </c>
      <c r="F12354" s="6" t="n">
        <f aca="false">Sens!F12352-Sens!F12348-Sens!F12353</f>
        <v>6.76525389611778</v>
      </c>
      <c r="G12354" s="6" t="n">
        <f aca="false">Sens!G12352-Sens!G12348-Sens!G12353</f>
        <v>6.69173339018827</v>
      </c>
      <c r="H12354" s="6" t="n">
        <f aca="false">Sens!H12352-Sens!H12348-Sens!H12353</f>
        <v>6.68066835645346</v>
      </c>
      <c r="I12354" s="6" t="n">
        <f aca="false">Sens!I12352-Sens!I12348-Sens!I12353</f>
        <v>6.73030318873177</v>
      </c>
      <c r="J12354" s="6" t="n">
        <f aca="false">Sens!J12352-Sens!J12348-Sens!J12353</f>
        <v>6.83605394271588</v>
      </c>
      <c r="K12354" s="6" t="n">
        <f aca="false">Sens!K12352-Sens!K12348-Sens!K12353</f>
        <v>6.99252189638696</v>
      </c>
    </row>
    <row r="12355" customFormat="false" ht="17.15" hidden="false" customHeight="false" outlineLevel="0" collapsed="false">
      <c r="A12355" s="0" t="s">
        <v>1068</v>
      </c>
      <c r="B12355" s="0" t="s">
        <v>98</v>
      </c>
      <c r="F12355" s="6" t="n">
        <f aca="false">Sens!F12349-tax_f*(Sens!F12349-Thesis!F40)-Thesis!F37</f>
        <v>-116.98560144409</v>
      </c>
      <c r="G12355" s="6" t="n">
        <f aca="false">Sens!G12349-tax_f*(Sens!G12349-Thesis!G40)-Thesis!G37</f>
        <v>-91.2751837745719</v>
      </c>
      <c r="H12355" s="6" t="n">
        <f aca="false">Sens!H12349-tax_f*(Sens!H12349-Thesis!H40)-Thesis!H37</f>
        <v>-48.6867825979003</v>
      </c>
      <c r="I12355" s="6" t="n">
        <f aca="false">Sens!I12349-tax_f*(Sens!I12349-Thesis!I40)-Thesis!I37</f>
        <v>13.9193309033143</v>
      </c>
      <c r="J12355" s="6" t="n">
        <f aca="false">Sens!J12349-tax_f*(Sens!J12349-Thesis!J40)-Thesis!J37</f>
        <v>80.0897840853365</v>
      </c>
      <c r="K12355" s="6" t="n">
        <f aca="false">Sens!K12349-tax_f*(Sens!K12349-Thesis!K40)-Thesis!K37</f>
        <v>106.014893136948</v>
      </c>
    </row>
    <row r="12356" customFormat="false" ht="17.15" hidden="false" customHeight="false" outlineLevel="0" collapsed="false">
      <c r="A12356" s="0" t="s">
        <v>1069</v>
      </c>
      <c r="B12356" s="0" t="s">
        <v>98</v>
      </c>
      <c r="F12356" s="6" t="n">
        <f aca="false">Sens!F12355*Sens!F12329</f>
        <v>-111.392914502638</v>
      </c>
      <c r="G12356" s="6" t="n">
        <f aca="false">Sens!G12355*Sens!G12329</f>
        <v>-78.8003561967933</v>
      </c>
      <c r="H12356" s="6" t="n">
        <f aca="false">Sens!H12355*Sens!H12329</f>
        <v>-38.1098158303589</v>
      </c>
      <c r="I12356" s="6" t="n">
        <f aca="false">Sens!I12355*Sens!I12329</f>
        <v>9.87857822946124</v>
      </c>
      <c r="J12356" s="6" t="n">
        <f aca="false">Sens!J12355*Sens!J12329</f>
        <v>51.5351466908437</v>
      </c>
      <c r="K12356" s="6" t="n">
        <f aca="false">Sens!K12355*Sens!K12329</f>
        <v>61.8505524851231</v>
      </c>
    </row>
    <row r="12357" customFormat="false" ht="17.15" hidden="false" customHeight="false" outlineLevel="0" collapsed="false">
      <c r="A12357" s="0" t="s">
        <v>1070</v>
      </c>
      <c r="B12357" s="0" t="s">
        <v>98</v>
      </c>
      <c r="C12357" s="6" t="n">
        <f aca="false">(Sens!K12349-Thesis!K40)*(1-tax_f)*(1+g_tv_lo)*(1-g_tv_lo/(wacc+ronic_prem))/(wacc-g_tv_lo)/(1+wacc)^(Sens!K12328+mid_yr)</f>
        <v>447.824597731115</v>
      </c>
    </row>
    <row r="12358" customFormat="false" ht="17.15" hidden="false" customHeight="false" outlineLevel="0" collapsed="false">
      <c r="A12358" s="1" t="s">
        <v>1071</v>
      </c>
      <c r="B12358" s="0" t="s">
        <v>98</v>
      </c>
      <c r="C12358" s="6" t="n">
        <f aca="false">(SUM(Sens!F12356:K12356)+Sens!$C$12357)*(1+wacc)^t_roll</f>
        <v>390.341622941422</v>
      </c>
      <c r="L12358" s="11" t="s">
        <v>1072</v>
      </c>
    </row>
    <row r="12359" customFormat="false" ht="17.15" hidden="false" customHeight="false" outlineLevel="0" collapsed="false">
      <c r="A12359" s="1" t="s">
        <v>1073</v>
      </c>
      <c r="B12359" s="0" t="s">
        <v>98</v>
      </c>
      <c r="C12359" s="6" t="n">
        <f aca="false">(w_ntm28*Thesis!G29+(1-w_ntm28)*Thesis!H29)*m_ai</f>
        <v>551.711134531404</v>
      </c>
    </row>
    <row r="12360" customFormat="false" ht="17.15" hidden="false" customHeight="false" outlineLevel="0" collapsed="false">
      <c r="A12360" s="1" t="s">
        <v>1074</v>
      </c>
      <c r="B12360" s="0" t="s">
        <v>98</v>
      </c>
      <c r="C12360" s="6" t="n">
        <f aca="false">(w_ntm28*Sens!G12351+(1-w_ntm28)*Sens!H12351)*m_cloud</f>
        <v>1075.89468255979</v>
      </c>
    </row>
    <row r="12361" customFormat="false" ht="17.15" hidden="false" customHeight="false" outlineLevel="0" collapsed="false">
      <c r="A12361" s="1" t="s">
        <v>1075</v>
      </c>
      <c r="B12361" s="0" t="s">
        <v>98</v>
      </c>
      <c r="C12361" s="6" t="n">
        <f aca="false">(w_ntm28*Sens!G12344+(1-w_ntm28)*Sens!H12344)*m_sw</f>
        <v>1124.90844188024</v>
      </c>
    </row>
    <row r="12362" customFormat="false" ht="17.15" hidden="false" customHeight="false" outlineLevel="0" collapsed="false">
      <c r="A12362" s="1" t="s">
        <v>1076</v>
      </c>
      <c r="B12362" s="0" t="s">
        <v>98</v>
      </c>
      <c r="C12362" s="6" t="n">
        <f aca="false">(w_ntm28*Sens!G12345+(1-w_ntm28)*Sens!H12345)*m_sw</f>
        <v>379.14616828134</v>
      </c>
    </row>
    <row r="12363" customFormat="false" ht="17.15" hidden="false" customHeight="false" outlineLevel="0" collapsed="false">
      <c r="A12363" s="1" t="s">
        <v>1077</v>
      </c>
      <c r="B12363" s="0" t="s">
        <v>98</v>
      </c>
      <c r="C12363" s="6" t="n">
        <f aca="false">(w_ntm28*Sens!G12346+(1-w_ntm28)*Sens!H12346)*m_sw</f>
        <v>109.062013245671</v>
      </c>
    </row>
    <row r="12364" customFormat="false" ht="17.15" hidden="false" customHeight="false" outlineLevel="0" collapsed="false">
      <c r="A12364" s="1" t="s">
        <v>1078</v>
      </c>
      <c r="B12364" s="0" t="s">
        <v>98</v>
      </c>
      <c r="C12364" s="6" t="n">
        <f aca="false">(w_ntm28*Sens!G12347+(1-w_ntm28)*Sens!H12347)*m_sw</f>
        <v>41.609111172448</v>
      </c>
    </row>
    <row r="12365" customFormat="false" ht="17.15" hidden="false" customHeight="false" outlineLevel="0" collapsed="false">
      <c r="A12365" s="1" t="s">
        <v>1079</v>
      </c>
      <c r="B12365" s="0" t="s">
        <v>98</v>
      </c>
      <c r="C12365" s="6" t="n">
        <f aca="false">(w_ntm28*Sens!G12348+(1-w_ntm28)*Sens!H12348)*m_ads</f>
        <v>114.966369190532</v>
      </c>
    </row>
    <row r="12366" customFormat="false" ht="17.15" hidden="false" customHeight="false" outlineLevel="0" collapsed="false">
      <c r="A12366" s="1" t="s">
        <v>1080</v>
      </c>
      <c r="B12366" s="0" t="s">
        <v>98</v>
      </c>
      <c r="C12366" s="6" t="n">
        <f aca="false">(w_ntm28*Sens!G12353+(1-w_ntm28)*Sens!H12353)*m_game</f>
        <v>97.6152211068291</v>
      </c>
    </row>
    <row r="12367" customFormat="false" ht="17.15" hidden="false" customHeight="false" outlineLevel="0" collapsed="false">
      <c r="A12367" s="1" t="s">
        <v>1081</v>
      </c>
      <c r="B12367" s="0" t="s">
        <v>98</v>
      </c>
      <c r="C12367" s="6" t="n">
        <f aca="false">(w_ntm28*Sens!G12354+(1-w_ntm28)*Sens!H12354)*m_pc</f>
        <v>96.7776202313644</v>
      </c>
    </row>
    <row r="12368" customFormat="false" ht="17.15" hidden="false" customHeight="false" outlineLevel="0" collapsed="false">
      <c r="A12368" s="1" t="s">
        <v>1082</v>
      </c>
      <c r="B12368" s="0" t="s">
        <v>98</v>
      </c>
      <c r="C12368" s="6" t="n">
        <f aca="false">Sens!$C$12358+Sens!$C$12360+Sens!$C$12361+Sens!$C$12362+Sens!$C$12363+Sens!$C$12364+Sens!$C$12365+Sens!$C$12366+Sens!$C$12367</f>
        <v>3430.32125060964</v>
      </c>
    </row>
    <row r="12369" customFormat="false" ht="17.15" hidden="false" customHeight="false" outlineLevel="0" collapsed="false">
      <c r="A12369" s="1" t="s">
        <v>1000</v>
      </c>
      <c r="B12369" s="0" t="s">
        <v>98</v>
      </c>
      <c r="C12369" s="6" t="n">
        <f aca="false">CF!F36+oai_v-CF!F25</f>
        <v>115.079583119545</v>
      </c>
      <c r="L12369" s="1" t="s">
        <v>1083</v>
      </c>
    </row>
    <row r="12370" customFormat="false" ht="15" hidden="false" customHeight="false" outlineLevel="0" collapsed="false">
      <c r="A12370" s="1" t="s">
        <v>1001</v>
      </c>
      <c r="B12370" s="0" t="s">
        <v>75</v>
      </c>
      <c r="C12370" s="5" t="n">
        <f aca="false">(Sens!$C$12368+Sens!$C$12369)/CF!F38</f>
        <v>474.491546269966</v>
      </c>
    </row>
    <row r="12371" customFormat="false" ht="17.15" hidden="false" customHeight="false" outlineLevel="0" collapsed="false">
      <c r="A12371" s="1" t="s">
        <v>1084</v>
      </c>
      <c r="B12371" s="0" t="s">
        <v>75</v>
      </c>
      <c r="C12371" s="5" t="n">
        <f aca="false">w_dcf*Sens!$C$12342+(1-w_dcf)*Sens!$C$12370</f>
        <v>427.00226232689</v>
      </c>
    </row>
    <row r="12372" customFormat="false" ht="17.15" hidden="false" customHeight="false" outlineLevel="0" collapsed="false">
      <c r="A12372" s="3" t="s">
        <v>1556</v>
      </c>
    </row>
    <row r="12373" customFormat="false" ht="15" hidden="false" customHeight="false" outlineLevel="0" collapsed="false">
      <c r="A12373" s="4" t="s">
        <v>43</v>
      </c>
      <c r="B12373" s="4" t="s">
        <v>65</v>
      </c>
      <c r="C12373" s="20" t="s">
        <v>788</v>
      </c>
      <c r="D12373" s="20" t="s">
        <v>789</v>
      </c>
      <c r="E12373" s="20" t="s">
        <v>790</v>
      </c>
      <c r="F12373" s="20" t="s">
        <v>791</v>
      </c>
      <c r="G12373" s="20" t="s">
        <v>792</v>
      </c>
      <c r="H12373" s="20" t="s">
        <v>793</v>
      </c>
      <c r="I12373" s="20" t="s">
        <v>794</v>
      </c>
      <c r="J12373" s="20" t="s">
        <v>795</v>
      </c>
      <c r="K12373" s="20" t="s">
        <v>796</v>
      </c>
      <c r="L12373" s="4" t="s">
        <v>47</v>
      </c>
    </row>
    <row r="12374" customFormat="false" ht="15" hidden="false" customHeight="false" outlineLevel="0" collapsed="false">
      <c r="A12374" s="1" t="s">
        <v>1042</v>
      </c>
      <c r="B12374" s="1" t="s">
        <v>235</v>
      </c>
      <c r="F12374" s="36" t="n">
        <f aca="false">Thesis!F55-base_fy-mid_yr</f>
        <v>0.5</v>
      </c>
      <c r="G12374" s="36" t="n">
        <f aca="false">Thesis!G55-base_fy-mid_yr</f>
        <v>1.5</v>
      </c>
      <c r="H12374" s="36" t="n">
        <f aca="false">Thesis!H55-base_fy-mid_yr</f>
        <v>2.5</v>
      </c>
      <c r="I12374" s="36" t="n">
        <f aca="false">Thesis!I55-base_fy-mid_yr</f>
        <v>3.5</v>
      </c>
      <c r="J12374" s="36" t="n">
        <f aca="false">Thesis!J55-base_fy-mid_yr</f>
        <v>4.5</v>
      </c>
      <c r="K12374" s="36" t="n">
        <f aca="false">Thesis!K55-base_fy-mid_yr</f>
        <v>5.5</v>
      </c>
    </row>
    <row r="12375" customFormat="false" ht="15" hidden="false" customHeight="false" outlineLevel="0" collapsed="false">
      <c r="A12375" s="1" t="s">
        <v>1043</v>
      </c>
      <c r="B12375" s="0" t="s">
        <v>185</v>
      </c>
      <c r="F12375" s="14" t="n">
        <f aca="false">1/(1+wacc)^Sens!F12374</f>
        <v>0.952193373608246</v>
      </c>
      <c r="G12375" s="14" t="n">
        <f aca="false">1/(1+wacc)^Sens!G12374</f>
        <v>0.863327280626589</v>
      </c>
      <c r="H12375" s="14" t="n">
        <f aca="false">1/(1+wacc)^Sens!H12374</f>
        <v>0.782754862754115</v>
      </c>
      <c r="I12375" s="14" t="n">
        <f aca="false">1/(1+wacc)^Sens!I12374</f>
        <v>0.709702089711011</v>
      </c>
      <c r="J12375" s="14" t="n">
        <f aca="false">1/(1+wacc)^Sens!J12374</f>
        <v>0.643467169744551</v>
      </c>
      <c r="K12375" s="14" t="n">
        <f aca="false">1/(1+wacc)^Sens!K12374</f>
        <v>0.583413807767797</v>
      </c>
    </row>
    <row r="12376" customFormat="false" ht="17.15" hidden="false" customHeight="false" outlineLevel="0" collapsed="false">
      <c r="A12376" s="1" t="s">
        <v>1044</v>
      </c>
      <c r="B12376" s="0" t="s">
        <v>98</v>
      </c>
      <c r="F12376" s="6" t="n">
        <f aca="false">CF!F50-CF!F48-CF!F53+Thesis!F93*(1-tax_f)</f>
        <v>6.35272982150552</v>
      </c>
      <c r="G12376" s="6" t="n">
        <f aca="false">CF!G50-CF!G48-CF!G53+Thesis!G93*(1-tax_f)</f>
        <v>46.5420417324757</v>
      </c>
      <c r="H12376" s="6" t="n">
        <f aca="false">CF!H50-CF!H48-CF!H53+Thesis!H93*(1-tax_f)</f>
        <v>95.2982347048119</v>
      </c>
      <c r="I12376" s="6" t="n">
        <f aca="false">CF!I50-CF!I48-CF!I53+Thesis!I93*(1-tax_f)</f>
        <v>168.760108332815</v>
      </c>
      <c r="J12376" s="6" t="n">
        <f aca="false">CF!J50-CF!J48-CF!J53+Thesis!J93*(1-tax_f)</f>
        <v>246.10903404452</v>
      </c>
      <c r="K12376" s="6" t="n">
        <f aca="false">CF!K50-CF!K48-CF!K53+Thesis!K93*(1-tax_f)</f>
        <v>283.7365778763</v>
      </c>
      <c r="L12376" s="1" t="s">
        <v>1045</v>
      </c>
    </row>
    <row r="12377" customFormat="false" ht="15" hidden="false" customHeight="false" outlineLevel="0" collapsed="false">
      <c r="A12377" s="1" t="s">
        <v>1046</v>
      </c>
      <c r="B12377" s="0" t="s">
        <v>98</v>
      </c>
      <c r="F12377" s="6" t="n">
        <f aca="false">Sens!F12376*Sens!F12375</f>
        <v>6.04902724036105</v>
      </c>
      <c r="G12377" s="6" t="n">
        <f aca="false">Sens!G12376*Sens!G12375</f>
        <v>40.1810143237074</v>
      </c>
      <c r="H12377" s="6" t="n">
        <f aca="false">Sens!H12376*Sens!H12375</f>
        <v>74.5951566270745</v>
      </c>
      <c r="I12377" s="6" t="n">
        <f aca="false">Sens!I12376*Sens!I12375</f>
        <v>119.769401543655</v>
      </c>
      <c r="J12377" s="6" t="n">
        <f aca="false">Sens!J12376*Sens!J12375</f>
        <v>158.363083585193</v>
      </c>
      <c r="K12377" s="6" t="n">
        <f aca="false">Sens!K12376*Sens!K12375</f>
        <v>165.535837301816</v>
      </c>
    </row>
    <row r="12378" customFormat="false" ht="17.15" hidden="false" customHeight="false" outlineLevel="0" collapsed="false">
      <c r="A12378" s="1" t="s">
        <v>1047</v>
      </c>
      <c r="B12378" s="0" t="s">
        <v>98</v>
      </c>
      <c r="C12378" s="6" t="n">
        <f aca="false">SUM(Sens!F12377:K12377)</f>
        <v>564.493520621807</v>
      </c>
    </row>
    <row r="12379" customFormat="false" ht="17.15" hidden="false" customHeight="false" outlineLevel="0" collapsed="false">
      <c r="A12379" s="1" t="s">
        <v>1048</v>
      </c>
      <c r="B12379" s="0" t="s">
        <v>98</v>
      </c>
      <c r="C12379" s="6" t="n">
        <f aca="false">PL!K78*(1+g_tv_lo)*(1-tax_f)</f>
        <v>290.912297456507</v>
      </c>
    </row>
    <row r="12380" customFormat="false" ht="17.15" hidden="false" customHeight="false" outlineLevel="0" collapsed="false">
      <c r="A12380" s="1" t="s">
        <v>1049</v>
      </c>
      <c r="B12380" s="0" t="s">
        <v>98</v>
      </c>
      <c r="C12380" s="6" t="n">
        <f aca="false">Sens!$C$12379*(1-g_tv_lo/(wacc+ronic_prem))</f>
        <v>234.388484101553</v>
      </c>
    </row>
    <row r="12381" customFormat="false" ht="17.15" hidden="false" customHeight="false" outlineLevel="0" collapsed="false">
      <c r="A12381" s="1" t="s">
        <v>1050</v>
      </c>
      <c r="B12381" s="0" t="s">
        <v>98</v>
      </c>
      <c r="C12381" s="6" t="n">
        <f aca="false">Sens!$C$12380/(wacc-g_tv_lo)</f>
        <v>2826.19066774771</v>
      </c>
    </row>
    <row r="12382" customFormat="false" ht="15" hidden="false" customHeight="false" outlineLevel="0" collapsed="false">
      <c r="A12382" s="1" t="s">
        <v>1051</v>
      </c>
      <c r="B12382" s="0" t="s">
        <v>98</v>
      </c>
      <c r="C12382" s="6" t="n">
        <f aca="false">Sens!$C$12381/(1+wacc)^(Sens!K12374+mid_yr)</f>
        <v>1570.01324519987</v>
      </c>
    </row>
    <row r="12383" customFormat="false" ht="17.15" hidden="false" customHeight="false" outlineLevel="0" collapsed="false">
      <c r="A12383" s="0" t="s">
        <v>972</v>
      </c>
      <c r="B12383" s="0" t="s">
        <v>98</v>
      </c>
      <c r="C12383" s="6" t="n">
        <f aca="false">Sens!$C$12378+Sens!$C$12382</f>
        <v>2134.50676582168</v>
      </c>
    </row>
    <row r="12384" customFormat="false" ht="15" hidden="false" customHeight="false" outlineLevel="0" collapsed="false">
      <c r="A12384" s="1" t="s">
        <v>973</v>
      </c>
      <c r="B12384" s="0" t="s">
        <v>129</v>
      </c>
      <c r="C12384" s="7" t="n">
        <f aca="false">Sens!$C$12382/Sens!$C$12383</f>
        <v>0.735539127979992</v>
      </c>
    </row>
    <row r="12385" customFormat="false" ht="17.15" hidden="false" customHeight="false" outlineLevel="0" collapsed="false">
      <c r="A12385" s="1" t="s">
        <v>1052</v>
      </c>
      <c r="B12385" s="0" t="s">
        <v>98</v>
      </c>
      <c r="C12385" s="6" t="n">
        <f aca="false">Sens!$C$12383+CF!E65-CF!E54+oai_v</f>
        <v>2269.01976582168</v>
      </c>
    </row>
    <row r="12386" customFormat="false" ht="17.15" hidden="false" customHeight="false" outlineLevel="0" collapsed="false">
      <c r="A12386" s="0" t="s">
        <v>980</v>
      </c>
      <c r="B12386" s="0" t="s">
        <v>75</v>
      </c>
      <c r="C12386" s="5" t="n">
        <f aca="false">Sens!$C$12385/sh_dil26</f>
        <v>304.443816694174</v>
      </c>
    </row>
    <row r="12387" customFormat="false" ht="15" hidden="false" customHeight="false" outlineLevel="0" collapsed="false">
      <c r="A12387" s="1" t="s">
        <v>1053</v>
      </c>
      <c r="B12387" s="0" t="s">
        <v>75</v>
      </c>
      <c r="C12387" s="8" t="n">
        <f aca="false">dps_27+CF!G57*roll_div_q/q_per_yr</f>
        <v>4.8895</v>
      </c>
    </row>
    <row r="12388" customFormat="false" ht="17.15" hidden="false" customHeight="false" outlineLevel="0" collapsed="false">
      <c r="A12388" s="0" t="s">
        <v>1054</v>
      </c>
      <c r="B12388" s="0" t="s">
        <v>75</v>
      </c>
      <c r="C12388" s="5" t="n">
        <f aca="false">Sens!$C$12386*(1+wacc)^t_roll-Sens!$C$12387</f>
        <v>341.79083930431</v>
      </c>
    </row>
    <row r="12389" customFormat="false" ht="17.15" hidden="false" customHeight="false" outlineLevel="0" collapsed="false">
      <c r="A12389" s="1" t="s">
        <v>1055</v>
      </c>
      <c r="B12389" s="0" t="s">
        <v>129</v>
      </c>
      <c r="F12389" s="7" t="n">
        <f aca="false">CF!F46/(Seg!F56-Thesis!F72)</f>
        <v>0.0684307874075333</v>
      </c>
      <c r="G12389" s="7" t="n">
        <f aca="false">CF!G46/(Seg!G56-Thesis!G72)</f>
        <v>0.0656456058503526</v>
      </c>
      <c r="H12389" s="7" t="n">
        <f aca="false">CF!H46/(Seg!H56-Thesis!H72)</f>
        <v>0.0641950889132003</v>
      </c>
      <c r="I12389" s="7" t="n">
        <f aca="false">CF!I46/(Seg!I56-Thesis!I72)</f>
        <v>0.063960269667854</v>
      </c>
      <c r="J12389" s="7" t="n">
        <f aca="false">CF!J46/(Seg!J56-Thesis!J72)</f>
        <v>0.0646607917002597</v>
      </c>
      <c r="K12389" s="7" t="n">
        <f aca="false">CF!K46/(Seg!K56-Thesis!K72)</f>
        <v>0.0659511546529383</v>
      </c>
    </row>
    <row r="12390" customFormat="false" ht="17.15" hidden="false" customHeight="false" outlineLevel="0" collapsed="false">
      <c r="A12390" s="0" t="s">
        <v>1056</v>
      </c>
      <c r="B12390" s="0" t="s">
        <v>98</v>
      </c>
      <c r="F12390" s="6" t="n">
        <f aca="false">Seg!F41*(al_m365+Sens!F12389+sbc_r)</f>
        <v>83.9158372980923</v>
      </c>
      <c r="G12390" s="6" t="n">
        <f aca="false">Seg!G41*(al_m365+Sens!G12389+sbc_r)</f>
        <v>96.3459139664276</v>
      </c>
      <c r="H12390" s="6" t="n">
        <f aca="false">Seg!H41*(al_m365+Sens!H12389+sbc_r)</f>
        <v>108.939128787393</v>
      </c>
      <c r="I12390" s="6" t="n">
        <f aca="false">Seg!I41*(al_m365+Sens!I12389+sbc_r)</f>
        <v>120.51456797186</v>
      </c>
      <c r="J12390" s="6" t="n">
        <f aca="false">Seg!J41*(al_m365+Sens!J12389+sbc_r)</f>
        <v>130.883844402211</v>
      </c>
      <c r="K12390" s="6" t="n">
        <f aca="false">Seg!K41*(al_m365+Sens!K12389+sbc_r)</f>
        <v>140.862269296832</v>
      </c>
      <c r="L12390" s="11" t="s">
        <v>1057</v>
      </c>
    </row>
    <row r="12391" customFormat="false" ht="17.15" hidden="false" customHeight="false" outlineLevel="0" collapsed="false">
      <c r="A12391" s="0" t="s">
        <v>1058</v>
      </c>
      <c r="B12391" s="0" t="s">
        <v>98</v>
      </c>
      <c r="F12391" s="6" t="n">
        <f aca="false">Seg!F42*(al_lic+Sens!F12389+sbc_r)</f>
        <v>33.4384115342236</v>
      </c>
      <c r="G12391" s="6" t="n">
        <f aca="false">Seg!G42*(al_lic+Sens!G12389+sbc_r)</f>
        <v>34.7409063621757</v>
      </c>
      <c r="H12391" s="6" t="n">
        <f aca="false">Seg!H42*(al_lic+Sens!H12389+sbc_r)</f>
        <v>35.9566740351293</v>
      </c>
      <c r="I12391" s="6" t="n">
        <f aca="false">Seg!I42*(al_lic+Sens!I12389+sbc_r)</f>
        <v>37.0672966580049</v>
      </c>
      <c r="J12391" s="6" t="n">
        <f aca="false">Seg!J42*(al_lic+Sens!J12389+sbc_r)</f>
        <v>38.0469841498966</v>
      </c>
      <c r="K12391" s="6" t="n">
        <f aca="false">Seg!K42*(al_lic+Sens!K12389+sbc_r)</f>
        <v>38.8666958490701</v>
      </c>
    </row>
    <row r="12392" customFormat="false" ht="17.15" hidden="false" customHeight="false" outlineLevel="0" collapsed="false">
      <c r="A12392" s="0" t="s">
        <v>1059</v>
      </c>
      <c r="B12392" s="0" t="s">
        <v>98</v>
      </c>
      <c r="F12392" s="6" t="n">
        <f aca="false">Seg!F44*(al_ind+Sens!F12389+sbc_r)</f>
        <v>9.07285900381439</v>
      </c>
      <c r="G12392" s="6" t="n">
        <f aca="false">Seg!G44*(al_ind+Sens!G12389+sbc_r)</f>
        <v>9.84969160470639</v>
      </c>
      <c r="H12392" s="6" t="n">
        <f aca="false">Seg!H44*(al_ind+Sens!H12389+sbc_r)</f>
        <v>10.6714469126029</v>
      </c>
      <c r="I12392" s="6" t="n">
        <f aca="false">Seg!I44*(al_ind+Sens!I12389+sbc_r)</f>
        <v>11.5350820765572</v>
      </c>
      <c r="J12392" s="6" t="n">
        <f aca="false">Seg!J44*(al_ind+Sens!J12389+sbc_r)</f>
        <v>12.4308815351832</v>
      </c>
      <c r="K12392" s="6" t="n">
        <f aca="false">Seg!K44*(al_ind+Sens!K12389+sbc_r)</f>
        <v>13.3437330974691</v>
      </c>
    </row>
    <row r="12393" customFormat="false" ht="17.15" hidden="false" customHeight="false" outlineLevel="0" collapsed="false">
      <c r="A12393" s="0" t="s">
        <v>1060</v>
      </c>
      <c r="B12393" s="0" t="s">
        <v>98</v>
      </c>
      <c r="F12393" s="6" t="n">
        <f aca="false">Seg!F46*(al_fro+Sens!F12389+sbc_r)</f>
        <v>3.5711091569032</v>
      </c>
      <c r="G12393" s="6" t="n">
        <f aca="false">Seg!G46*(al_fro+Sens!G12389+sbc_r)</f>
        <v>3.78169924595694</v>
      </c>
      <c r="H12393" s="6" t="n">
        <f aca="false">Seg!H46*(al_fro+Sens!H12389+sbc_r)</f>
        <v>4.02136645419237</v>
      </c>
      <c r="I12393" s="6" t="n">
        <f aca="false">Seg!I46*(al_fro+Sens!I12389+sbc_r)</f>
        <v>4.29288807676321</v>
      </c>
      <c r="J12393" s="6" t="n">
        <f aca="false">Seg!J46*(al_fro+Sens!J12389+sbc_r)</f>
        <v>4.59741770960175</v>
      </c>
      <c r="K12393" s="6" t="n">
        <f aca="false">Seg!K46*(al_fro+Sens!K12389+sbc_r)</f>
        <v>4.9350252981555</v>
      </c>
    </row>
    <row r="12394" customFormat="false" ht="17.15" hidden="false" customHeight="false" outlineLevel="0" collapsed="false">
      <c r="A12394" s="0" t="s">
        <v>1061</v>
      </c>
      <c r="B12394" s="0" t="s">
        <v>98</v>
      </c>
      <c r="F12394" s="6" t="n">
        <f aca="false">Seg!F49*(al_srch+Sens!F12389+sbc_r)</f>
        <v>11.205111954849</v>
      </c>
      <c r="G12394" s="6" t="n">
        <f aca="false">Seg!G49*(al_srch+Sens!G12389+sbc_r)</f>
        <v>12.2792883348957</v>
      </c>
      <c r="H12394" s="6" t="n">
        <f aca="false">Seg!H49*(al_srch+Sens!H12389+sbc_r)</f>
        <v>13.3983888227975</v>
      </c>
      <c r="I12394" s="6" t="n">
        <f aca="false">Seg!I49*(al_srch+Sens!I12389+sbc_r)</f>
        <v>14.5517695263616</v>
      </c>
      <c r="J12394" s="6" t="n">
        <f aca="false">Seg!J49*(al_srch+Sens!J12389+sbc_r)</f>
        <v>15.7194284145253</v>
      </c>
      <c r="K12394" s="6" t="n">
        <f aca="false">Seg!K49*(al_srch+Sens!K12389+sbc_r)</f>
        <v>16.87377171237</v>
      </c>
    </row>
    <row r="12395" customFormat="false" ht="17.15" hidden="false" customHeight="false" outlineLevel="0" collapsed="false">
      <c r="A12395" s="0" t="s">
        <v>1062</v>
      </c>
      <c r="B12395" s="0" t="s">
        <v>98</v>
      </c>
      <c r="F12395" s="6" t="n">
        <f aca="false">Thesis!F78-Thesis!F79+Thesis!F93</f>
        <v>52.8623286647412</v>
      </c>
      <c r="G12395" s="6" t="n">
        <f aca="false">Thesis!G78-Thesis!G79+Thesis!G93</f>
        <v>90.9040728275534</v>
      </c>
      <c r="H12395" s="6" t="n">
        <f aca="false">Thesis!H78-Thesis!H79+Thesis!H93</f>
        <v>131.644750996567</v>
      </c>
      <c r="I12395" s="6" t="n">
        <f aca="false">Thesis!I78-Thesis!I79+Thesis!I93</f>
        <v>168.39858142968</v>
      </c>
      <c r="J12395" s="6" t="n">
        <f aca="false">Thesis!J78-Thesis!J79+Thesis!J93</f>
        <v>194.311955071191</v>
      </c>
      <c r="K12395" s="6" t="n">
        <f aca="false">Thesis!K78-Thesis!K79+Thesis!K93</f>
        <v>210.298852071854</v>
      </c>
    </row>
    <row r="12396" customFormat="false" ht="17.15" hidden="false" customHeight="false" outlineLevel="0" collapsed="false">
      <c r="A12396" s="0" t="s">
        <v>1063</v>
      </c>
      <c r="B12396" s="0" t="s">
        <v>98</v>
      </c>
      <c r="F12396" s="6" t="n">
        <f aca="false">PL!F71+Thesis!F93+Thesis!F89+Sens!F12389*(Seg!F48-Thesis!F72)+sbc_r*Seg!F48</f>
        <v>243.876179717448</v>
      </c>
      <c r="G12396" s="6" t="n">
        <f aca="false">PL!G71+Thesis!G93+Thesis!G89+Sens!G12389*(Seg!G48-Thesis!G72)+sbc_r*Seg!G48</f>
        <v>308.994305130286</v>
      </c>
      <c r="H12396" s="6" t="n">
        <f aca="false">PL!H71+Thesis!H93+Thesis!H89+Sens!H12389*(Seg!H48-Thesis!H72)+sbc_r*Seg!H48</f>
        <v>377.321529021127</v>
      </c>
      <c r="I12396" s="6" t="n">
        <f aca="false">PL!I71+Thesis!I93+Thesis!I89+Sens!I12389*(Seg!I48-Thesis!I72)+sbc_r*Seg!I48</f>
        <v>440.295672377585</v>
      </c>
      <c r="J12396" s="6" t="n">
        <f aca="false">PL!J71+Thesis!J93+Thesis!J89+Sens!J12389*(Seg!J48-Thesis!J72)+sbc_r*Seg!J48</f>
        <v>489.992586437676</v>
      </c>
      <c r="K12396" s="6" t="n">
        <f aca="false">PL!K71+Thesis!K93+Thesis!K89+Sens!K12389*(Seg!K48-Thesis!K72)+sbc_r*Seg!K48</f>
        <v>527.395402529627</v>
      </c>
    </row>
    <row r="12397" customFormat="false" ht="17.15" hidden="false" customHeight="false" outlineLevel="0" collapsed="false">
      <c r="A12397" s="0" t="s">
        <v>1064</v>
      </c>
      <c r="B12397" s="0" t="s">
        <v>98</v>
      </c>
      <c r="F12397" s="6" t="n">
        <f aca="false">Sens!F12396-Sens!F12390-Sens!F12391-Sens!F12392-Sens!F12393-Sens!F12395</f>
        <v>61.0156340596736</v>
      </c>
      <c r="G12397" s="6" t="n">
        <f aca="false">Sens!G12396-Sens!G12390-Sens!G12391-Sens!G12392-Sens!G12393-Sens!G12395</f>
        <v>73.3720211234655</v>
      </c>
      <c r="H12397" s="6" t="n">
        <f aca="false">Sens!H12396-Sens!H12390-Sens!H12391-Sens!H12392-Sens!H12393-Sens!H12395</f>
        <v>86.0881618352416</v>
      </c>
      <c r="I12397" s="6" t="n">
        <f aca="false">Sens!I12396-Sens!I12390-Sens!I12391-Sens!I12392-Sens!I12393-Sens!I12395</f>
        <v>98.4872561647193</v>
      </c>
      <c r="J12397" s="6" t="n">
        <f aca="false">Sens!J12396-Sens!J12390-Sens!J12391-Sens!J12392-Sens!J12393-Sens!J12395</f>
        <v>109.721503569592</v>
      </c>
      <c r="K12397" s="6" t="n">
        <f aca="false">Sens!K12396-Sens!K12390-Sens!K12391-Sens!K12392-Sens!K12393-Sens!K12395</f>
        <v>119.088826916246</v>
      </c>
    </row>
    <row r="12398" customFormat="false" ht="17.15" hidden="false" customHeight="false" outlineLevel="0" collapsed="false">
      <c r="A12398" s="0" t="s">
        <v>1065</v>
      </c>
      <c r="B12398" s="0" t="s">
        <v>98</v>
      </c>
      <c r="F12398" s="6" t="n">
        <f aca="false">PL!F73+Sens!F12389*Seg!F55+sbc_r*Seg!F55</f>
        <v>26.1883018536976</v>
      </c>
      <c r="G12398" s="6" t="n">
        <f aca="false">PL!G73+Sens!G12389*Seg!G55+sbc_r*Seg!G55</f>
        <v>26.7988692269165</v>
      </c>
      <c r="H12398" s="6" t="n">
        <f aca="false">PL!H73+Sens!H12389*Seg!H55+sbc_r*Seg!H55</f>
        <v>27.676651877401</v>
      </c>
      <c r="I12398" s="6" t="n">
        <f aca="false">PL!I73+Sens!I12389*Seg!I55+sbc_r*Seg!I55</f>
        <v>28.7919477163856</v>
      </c>
      <c r="J12398" s="6" t="n">
        <f aca="false">PL!J73+Sens!J12389*Seg!J55+sbc_r*Seg!J55</f>
        <v>30.1095554599876</v>
      </c>
      <c r="K12398" s="6" t="n">
        <f aca="false">PL!K73+Sens!K12389*Seg!K55+sbc_r*Seg!K55</f>
        <v>31.5923355811805</v>
      </c>
    </row>
    <row r="12399" customFormat="false" ht="17.15" hidden="false" customHeight="false" outlineLevel="0" collapsed="false">
      <c r="A12399" s="0" t="s">
        <v>1066</v>
      </c>
      <c r="B12399" s="0" t="s">
        <v>98</v>
      </c>
      <c r="F12399" s="6" t="n">
        <f aca="false">(Sens!F12398-Sens!F12394)*Seg!F51/(Seg!F51+Seg!F53)</f>
        <v>8.21363876839376</v>
      </c>
      <c r="G12399" s="6" t="n">
        <f aca="false">(Sens!G12398-Sens!G12394)*Seg!G51/(Seg!G51+Seg!G53)</f>
        <v>7.81757556948427</v>
      </c>
      <c r="H12399" s="6" t="n">
        <f aca="false">(Sens!H12398-Sens!H12394)*Seg!H51/(Seg!H51+Seg!H53)</f>
        <v>7.58379891746928</v>
      </c>
      <c r="I12399" s="6" t="n">
        <f aca="false">(Sens!I12398-Sens!I12394)*Seg!I51/(Seg!I51+Seg!I53)</f>
        <v>7.49513512835163</v>
      </c>
      <c r="J12399" s="6" t="n">
        <f aca="false">(Sens!J12398-Sens!J12394)*Seg!J51/(Seg!J51+Seg!J53)</f>
        <v>7.53980917061682</v>
      </c>
      <c r="K12399" s="6" t="n">
        <f aca="false">(Sens!K12398-Sens!K12394)*Seg!K51/(Seg!K51+Seg!K53)</f>
        <v>7.71189597463361</v>
      </c>
    </row>
    <row r="12400" customFormat="false" ht="17.15" hidden="false" customHeight="false" outlineLevel="0" collapsed="false">
      <c r="A12400" s="0" t="s">
        <v>1067</v>
      </c>
      <c r="B12400" s="0" t="s">
        <v>98</v>
      </c>
      <c r="F12400" s="6" t="n">
        <f aca="false">Sens!F12398-Sens!F12394-Sens!F12399</f>
        <v>6.76955113045481</v>
      </c>
      <c r="G12400" s="6" t="n">
        <f aca="false">Sens!G12398-Sens!G12394-Sens!G12399</f>
        <v>6.70200532253647</v>
      </c>
      <c r="H12400" s="6" t="n">
        <f aca="false">Sens!H12398-Sens!H12394-Sens!H12399</f>
        <v>6.69446413713431</v>
      </c>
      <c r="I12400" s="6" t="n">
        <f aca="false">Sens!I12398-Sens!I12394-Sens!I12399</f>
        <v>6.74504306167234</v>
      </c>
      <c r="J12400" s="6" t="n">
        <f aca="false">Sens!J12398-Sens!J12394-Sens!J12399</f>
        <v>6.85031787484545</v>
      </c>
      <c r="K12400" s="6" t="n">
        <f aca="false">Sens!K12398-Sens!K12394-Sens!K12399</f>
        <v>7.00666789417688</v>
      </c>
    </row>
    <row r="12401" customFormat="false" ht="17.15" hidden="false" customHeight="false" outlineLevel="0" collapsed="false">
      <c r="A12401" s="0" t="s">
        <v>1068</v>
      </c>
      <c r="B12401" s="0" t="s">
        <v>98</v>
      </c>
      <c r="F12401" s="6" t="n">
        <f aca="false">Sens!F12395-tax_f*(Sens!F12395-Thesis!F89)-Thesis!F86</f>
        <v>-119.382682747471</v>
      </c>
      <c r="G12401" s="6" t="n">
        <f aca="false">Sens!G12395-tax_f*(Sens!G12395-Thesis!G89)-Thesis!G86</f>
        <v>-98.7495755690893</v>
      </c>
      <c r="H12401" s="6" t="n">
        <f aca="false">Sens!H12395-tax_f*(Sens!H12395-Thesis!H89)-Thesis!H86</f>
        <v>-65.2160219145184</v>
      </c>
      <c r="I12401" s="6" t="n">
        <f aca="false">Sens!I12395-tax_f*(Sens!I12395-Thesis!I89)-Thesis!I86</f>
        <v>-6.59039601405712</v>
      </c>
      <c r="J12401" s="6" t="n">
        <f aca="false">Sens!J12395-tax_f*(Sens!J12395-Thesis!J89)-Thesis!J86</f>
        <v>56.7738295233955</v>
      </c>
      <c r="K12401" s="6" t="n">
        <f aca="false">Sens!K12395-tax_f*(Sens!K12395-Thesis!K89)-Thesis!K86</f>
        <v>81.209175376442</v>
      </c>
    </row>
    <row r="12402" customFormat="false" ht="17.15" hidden="false" customHeight="false" outlineLevel="0" collapsed="false">
      <c r="A12402" s="0" t="s">
        <v>1069</v>
      </c>
      <c r="B12402" s="0" t="s">
        <v>98</v>
      </c>
      <c r="F12402" s="6" t="n">
        <f aca="false">Sens!F12401*Sens!F12375</f>
        <v>-113.675399435717</v>
      </c>
      <c r="G12402" s="6" t="n">
        <f aca="false">Sens!G12401*Sens!G12375</f>
        <v>-85.2532025390917</v>
      </c>
      <c r="H12402" s="6" t="n">
        <f aca="false">Sens!H12401*Sens!H12375</f>
        <v>-51.0481582830682</v>
      </c>
      <c r="I12402" s="6" t="n">
        <f aca="false">Sens!I12401*Sens!I12375</f>
        <v>-4.67721782319945</v>
      </c>
      <c r="J12402" s="6" t="n">
        <f aca="false">Sens!J12401*Sens!J12375</f>
        <v>36.5320953989789</v>
      </c>
      <c r="K12402" s="6" t="n">
        <f aca="false">Sens!K12401*Sens!K12375</f>
        <v>47.3785542320528</v>
      </c>
    </row>
    <row r="12403" customFormat="false" ht="17.15" hidden="false" customHeight="false" outlineLevel="0" collapsed="false">
      <c r="A12403" s="0" t="s">
        <v>1070</v>
      </c>
      <c r="B12403" s="0" t="s">
        <v>98</v>
      </c>
      <c r="C12403" s="6" t="n">
        <f aca="false">(Sens!K12395-Thesis!K89)*(1-tax_f)*(1+g_tv_lo)*(1-g_tv_lo/(wacc+ronic_prem))/(wacc-g_tv_lo)/(1+wacc)^(Sens!K12374+mid_yr)</f>
        <v>311.136505701606</v>
      </c>
    </row>
    <row r="12404" customFormat="false" ht="17.15" hidden="false" customHeight="false" outlineLevel="0" collapsed="false">
      <c r="A12404" s="1" t="s">
        <v>1071</v>
      </c>
      <c r="B12404" s="0" t="s">
        <v>98</v>
      </c>
      <c r="C12404" s="6" t="n">
        <f aca="false">(SUM(Sens!F12402:K12402)+Sens!$C$12403)*(1+wacc)^t_roll</f>
        <v>159.870398597959</v>
      </c>
      <c r="L12404" s="11" t="s">
        <v>1072</v>
      </c>
    </row>
    <row r="12405" customFormat="false" ht="17.15" hidden="false" customHeight="false" outlineLevel="0" collapsed="false">
      <c r="A12405" s="1" t="s">
        <v>1073</v>
      </c>
      <c r="B12405" s="0" t="s">
        <v>98</v>
      </c>
      <c r="C12405" s="6" t="n">
        <f aca="false">(w_ntm28*Thesis!G78+(1-w_ntm28)*Thesis!H78)*m_ai</f>
        <v>454.922440830797</v>
      </c>
    </row>
    <row r="12406" customFormat="false" ht="17.15" hidden="false" customHeight="false" outlineLevel="0" collapsed="false">
      <c r="A12406" s="1" t="s">
        <v>1074</v>
      </c>
      <c r="B12406" s="0" t="s">
        <v>98</v>
      </c>
      <c r="C12406" s="6" t="n">
        <f aca="false">(w_ntm28*Sens!G12397+(1-w_ntm28)*Sens!H12397)*m_cloud</f>
        <v>1070.81495830201</v>
      </c>
    </row>
    <row r="12407" customFormat="false" ht="17.15" hidden="false" customHeight="false" outlineLevel="0" collapsed="false">
      <c r="A12407" s="1" t="s">
        <v>1075</v>
      </c>
      <c r="B12407" s="0" t="s">
        <v>98</v>
      </c>
      <c r="C12407" s="6" t="n">
        <f aca="false">(w_ntm28*Sens!G12390+(1-w_ntm28)*Sens!H12390)*m_sw</f>
        <v>1084.50516663972</v>
      </c>
    </row>
    <row r="12408" customFormat="false" ht="17.15" hidden="false" customHeight="false" outlineLevel="0" collapsed="false">
      <c r="A12408" s="1" t="s">
        <v>1076</v>
      </c>
      <c r="B12408" s="0" t="s">
        <v>98</v>
      </c>
      <c r="C12408" s="6" t="n">
        <f aca="false">(w_ntm28*Sens!G12391+(1-w_ntm28)*Sens!H12391)*m_sw</f>
        <v>379.446649868791</v>
      </c>
    </row>
    <row r="12409" customFormat="false" ht="17.15" hidden="false" customHeight="false" outlineLevel="0" collapsed="false">
      <c r="A12409" s="1" t="s">
        <v>1077</v>
      </c>
      <c r="B12409" s="0" t="s">
        <v>98</v>
      </c>
      <c r="C12409" s="6" t="n">
        <f aca="false">(w_ntm28*Sens!G12392+(1-w_ntm28)*Sens!H12392)*m_sw</f>
        <v>109.245833616811</v>
      </c>
    </row>
    <row r="12410" customFormat="false" ht="17.15" hidden="false" customHeight="false" outlineLevel="0" collapsed="false">
      <c r="A12410" s="1" t="s">
        <v>1078</v>
      </c>
      <c r="B12410" s="0" t="s">
        <v>98</v>
      </c>
      <c r="C12410" s="6" t="n">
        <f aca="false">(w_ntm28*Sens!G12393+(1-w_ntm28)*Sens!H12393)*m_sw</f>
        <v>41.6791515554452</v>
      </c>
    </row>
    <row r="12411" customFormat="false" ht="17.15" hidden="false" customHeight="false" outlineLevel="0" collapsed="false">
      <c r="A12411" s="1" t="s">
        <v>1079</v>
      </c>
      <c r="B12411" s="0" t="s">
        <v>98</v>
      </c>
      <c r="C12411" s="6" t="n">
        <f aca="false">(w_ntm28*Sens!G12394+(1-w_ntm28)*Sens!H12394)*m_ads</f>
        <v>115.160236299351</v>
      </c>
    </row>
    <row r="12412" customFormat="false" ht="17.15" hidden="false" customHeight="false" outlineLevel="0" collapsed="false">
      <c r="A12412" s="1" t="s">
        <v>1080</v>
      </c>
      <c r="B12412" s="0" t="s">
        <v>98</v>
      </c>
      <c r="C12412" s="6" t="n">
        <f aca="false">(w_ntm28*Sens!G12399+(1-w_ntm28)*Sens!H12399)*m_game</f>
        <v>97.7814405506301</v>
      </c>
    </row>
    <row r="12413" customFormat="false" ht="17.15" hidden="false" customHeight="false" outlineLevel="0" collapsed="false">
      <c r="A12413" s="1" t="s">
        <v>1081</v>
      </c>
      <c r="B12413" s="0" t="s">
        <v>98</v>
      </c>
      <c r="C12413" s="6" t="n">
        <f aca="false">(w_ntm28*Sens!G12400+(1-w_ntm28)*Sens!H12400)*m_pc</f>
        <v>96.9427395583992</v>
      </c>
    </row>
    <row r="12414" customFormat="false" ht="17.15" hidden="false" customHeight="false" outlineLevel="0" collapsed="false">
      <c r="A12414" s="1" t="s">
        <v>1082</v>
      </c>
      <c r="B12414" s="0" t="s">
        <v>98</v>
      </c>
      <c r="C12414" s="6" t="n">
        <f aca="false">Sens!$C$12404+Sens!$C$12406+Sens!$C$12407+Sens!$C$12408+Sens!$C$12409+Sens!$C$12410+Sens!$C$12411+Sens!$C$12412+Sens!$C$12413</f>
        <v>3155.44657498911</v>
      </c>
    </row>
    <row r="12415" customFormat="false" ht="17.15" hidden="false" customHeight="false" outlineLevel="0" collapsed="false">
      <c r="A12415" s="1" t="s">
        <v>1000</v>
      </c>
      <c r="B12415" s="0" t="s">
        <v>98</v>
      </c>
      <c r="C12415" s="6" t="n">
        <f aca="false">CF!F65+oai_v-CF!F54</f>
        <v>111.253995542787</v>
      </c>
      <c r="L12415" s="1" t="s">
        <v>1083</v>
      </c>
    </row>
    <row r="12416" customFormat="false" ht="15" hidden="false" customHeight="false" outlineLevel="0" collapsed="false">
      <c r="A12416" s="1" t="s">
        <v>1001</v>
      </c>
      <c r="B12416" s="0" t="s">
        <v>75</v>
      </c>
      <c r="C12416" s="5" t="n">
        <f aca="false">(Sens!$C$12414+Sens!$C$12415)/CF!F67</f>
        <v>437.192260510158</v>
      </c>
    </row>
    <row r="12417" customFormat="false" ht="17.15" hidden="false" customHeight="false" outlineLevel="0" collapsed="false">
      <c r="A12417" s="1" t="s">
        <v>1084</v>
      </c>
      <c r="B12417" s="0" t="s">
        <v>75</v>
      </c>
      <c r="C12417" s="5" t="n">
        <f aca="false">w_dcf*Sens!$C$12388+(1-w_dcf)*Sens!$C$12416</f>
        <v>389.491549907234</v>
      </c>
    </row>
    <row r="12418" customFormat="false" ht="17.15" hidden="false" customHeight="false" outlineLevel="0" collapsed="false">
      <c r="A12418" s="3" t="s">
        <v>1557</v>
      </c>
    </row>
    <row r="12419" customFormat="false" ht="15" hidden="false" customHeight="false" outlineLevel="0" collapsed="false">
      <c r="A12419" s="4" t="s">
        <v>43</v>
      </c>
      <c r="B12419" s="4" t="s">
        <v>65</v>
      </c>
      <c r="C12419" s="20" t="s">
        <v>788</v>
      </c>
      <c r="D12419" s="20" t="s">
        <v>789</v>
      </c>
      <c r="E12419" s="20" t="s">
        <v>790</v>
      </c>
      <c r="F12419" s="20" t="s">
        <v>791</v>
      </c>
      <c r="G12419" s="20" t="s">
        <v>792</v>
      </c>
      <c r="H12419" s="20" t="s">
        <v>793</v>
      </c>
      <c r="I12419" s="20" t="s">
        <v>794</v>
      </c>
      <c r="J12419" s="20" t="s">
        <v>795</v>
      </c>
      <c r="K12419" s="20" t="s">
        <v>796</v>
      </c>
      <c r="L12419" s="4" t="s">
        <v>47</v>
      </c>
    </row>
    <row r="12420" customFormat="false" ht="15" hidden="false" customHeight="false" outlineLevel="0" collapsed="false">
      <c r="A12420" s="1" t="s">
        <v>1042</v>
      </c>
      <c r="B12420" s="1" t="s">
        <v>235</v>
      </c>
      <c r="F12420" s="36" t="n">
        <f aca="false">Thesis!F104-base_fy-mid_yr</f>
        <v>0.5</v>
      </c>
      <c r="G12420" s="36" t="n">
        <f aca="false">Thesis!G104-base_fy-mid_yr</f>
        <v>1.5</v>
      </c>
      <c r="H12420" s="36" t="n">
        <f aca="false">Thesis!H104-base_fy-mid_yr</f>
        <v>2.5</v>
      </c>
      <c r="I12420" s="36" t="n">
        <f aca="false">Thesis!I104-base_fy-mid_yr</f>
        <v>3.5</v>
      </c>
      <c r="J12420" s="36" t="n">
        <f aca="false">Thesis!J104-base_fy-mid_yr</f>
        <v>4.5</v>
      </c>
      <c r="K12420" s="36" t="n">
        <f aca="false">Thesis!K104-base_fy-mid_yr</f>
        <v>5.5</v>
      </c>
    </row>
    <row r="12421" customFormat="false" ht="15" hidden="false" customHeight="false" outlineLevel="0" collapsed="false">
      <c r="A12421" s="1" t="s">
        <v>1043</v>
      </c>
      <c r="B12421" s="0" t="s">
        <v>185</v>
      </c>
      <c r="F12421" s="14" t="n">
        <f aca="false">1/(1+wacc)^Sens!F12420</f>
        <v>0.952193373608246</v>
      </c>
      <c r="G12421" s="14" t="n">
        <f aca="false">1/(1+wacc)^Sens!G12420</f>
        <v>0.863327280626589</v>
      </c>
      <c r="H12421" s="14" t="n">
        <f aca="false">1/(1+wacc)^Sens!H12420</f>
        <v>0.782754862754115</v>
      </c>
      <c r="I12421" s="14" t="n">
        <f aca="false">1/(1+wacc)^Sens!I12420</f>
        <v>0.709702089711011</v>
      </c>
      <c r="J12421" s="14" t="n">
        <f aca="false">1/(1+wacc)^Sens!J12420</f>
        <v>0.643467169744551</v>
      </c>
      <c r="K12421" s="14" t="n">
        <f aca="false">1/(1+wacc)^Sens!K12420</f>
        <v>0.583413807767797</v>
      </c>
    </row>
    <row r="12422" customFormat="false" ht="17.15" hidden="false" customHeight="false" outlineLevel="0" collapsed="false">
      <c r="A12422" s="1" t="s">
        <v>1044</v>
      </c>
      <c r="B12422" s="0" t="s">
        <v>98</v>
      </c>
      <c r="F12422" s="6" t="n">
        <f aca="false">CF!F79-CF!F77-CF!F82+Thesis!F142*(1-tax_f)</f>
        <v>2.81855367218396</v>
      </c>
      <c r="G12422" s="6" t="n">
        <f aca="false">CF!G79-CF!G77-CF!G82+Thesis!G142*(1-tax_f)</f>
        <v>35.4967358232605</v>
      </c>
      <c r="H12422" s="6" t="n">
        <f aca="false">CF!H79-CF!H77-CF!H82+Thesis!H142*(1-tax_f)</f>
        <v>71.9736045985465</v>
      </c>
      <c r="I12422" s="6" t="n">
        <f aca="false">CF!I79-CF!I77-CF!I82+Thesis!I142*(1-tax_f)</f>
        <v>139.565890227748</v>
      </c>
      <c r="J12422" s="6" t="n">
        <f aca="false">CF!J79-CF!J77-CF!J82+Thesis!J142*(1-tax_f)</f>
        <v>212.783902680705</v>
      </c>
      <c r="K12422" s="6" t="n">
        <f aca="false">CF!K79-CF!K77-CF!K82+Thesis!K142*(1-tax_f)</f>
        <v>247.854416738942</v>
      </c>
      <c r="L12422" s="1" t="s">
        <v>1045</v>
      </c>
    </row>
    <row r="12423" customFormat="false" ht="15" hidden="false" customHeight="false" outlineLevel="0" collapsed="false">
      <c r="A12423" s="1" t="s">
        <v>1046</v>
      </c>
      <c r="B12423" s="0" t="s">
        <v>98</v>
      </c>
      <c r="F12423" s="6" t="n">
        <f aca="false">Sens!F12422*Sens!F12421</f>
        <v>2.68380812981276</v>
      </c>
      <c r="G12423" s="6" t="n">
        <f aca="false">Sens!G12422*Sens!G12421</f>
        <v>30.6453004094159</v>
      </c>
      <c r="H12423" s="6" t="n">
        <f aca="false">Sens!H12422*Sens!H12421</f>
        <v>56.3376889894542</v>
      </c>
      <c r="I12423" s="6" t="n">
        <f aca="false">Sens!I12422*Sens!I12421</f>
        <v>99.0502039470101</v>
      </c>
      <c r="J12423" s="6" t="n">
        <f aca="false">Sens!J12422*Sens!J12421</f>
        <v>136.919455625153</v>
      </c>
      <c r="K12423" s="6" t="n">
        <f aca="false">Sens!K12422*Sens!K12421</f>
        <v>144.601689041733</v>
      </c>
    </row>
    <row r="12424" customFormat="false" ht="17.15" hidden="false" customHeight="false" outlineLevel="0" collapsed="false">
      <c r="A12424" s="1" t="s">
        <v>1047</v>
      </c>
      <c r="B12424" s="0" t="s">
        <v>98</v>
      </c>
      <c r="C12424" s="6" t="n">
        <f aca="false">SUM(Sens!F12423:K12423)</f>
        <v>470.238146142579</v>
      </c>
    </row>
    <row r="12425" customFormat="false" ht="17.15" hidden="false" customHeight="false" outlineLevel="0" collapsed="false">
      <c r="A12425" s="1" t="s">
        <v>1048</v>
      </c>
      <c r="B12425" s="0" t="s">
        <v>98</v>
      </c>
      <c r="C12425" s="6" t="n">
        <f aca="false">PL!K117*(1+g_tv_lo)*(1-tax_f)</f>
        <v>253.395290583402</v>
      </c>
    </row>
    <row r="12426" customFormat="false" ht="17.15" hidden="false" customHeight="false" outlineLevel="0" collapsed="false">
      <c r="A12426" s="1" t="s">
        <v>1049</v>
      </c>
      <c r="B12426" s="0" t="s">
        <v>98</v>
      </c>
      <c r="C12426" s="6" t="n">
        <f aca="false">Sens!$C$12425*(1-g_tv_lo/(wacc+ronic_prem))</f>
        <v>204.160974140998</v>
      </c>
    </row>
    <row r="12427" customFormat="false" ht="17.15" hidden="false" customHeight="false" outlineLevel="0" collapsed="false">
      <c r="A12427" s="1" t="s">
        <v>1050</v>
      </c>
      <c r="B12427" s="0" t="s">
        <v>98</v>
      </c>
      <c r="C12427" s="6" t="n">
        <f aca="false">Sens!$C$12426/(wacc-g_tv_lo)</f>
        <v>2461.71582212023</v>
      </c>
    </row>
    <row r="12428" customFormat="false" ht="15" hidden="false" customHeight="false" outlineLevel="0" collapsed="false">
      <c r="A12428" s="1" t="s">
        <v>1051</v>
      </c>
      <c r="B12428" s="0" t="s">
        <v>98</v>
      </c>
      <c r="C12428" s="6" t="n">
        <f aca="false">Sens!$C$12427/(1+wacc)^(Sens!K12420+mid_yr)</f>
        <v>1367.53917234004</v>
      </c>
    </row>
    <row r="12429" customFormat="false" ht="17.15" hidden="false" customHeight="false" outlineLevel="0" collapsed="false">
      <c r="A12429" s="0" t="s">
        <v>972</v>
      </c>
      <c r="B12429" s="0" t="s">
        <v>98</v>
      </c>
      <c r="C12429" s="6" t="n">
        <f aca="false">Sens!$C$12424+Sens!$C$12428</f>
        <v>1837.77731848262</v>
      </c>
    </row>
    <row r="12430" customFormat="false" ht="15" hidden="false" customHeight="false" outlineLevel="0" collapsed="false">
      <c r="A12430" s="1" t="s">
        <v>973</v>
      </c>
      <c r="B12430" s="0" t="s">
        <v>129</v>
      </c>
      <c r="C12430" s="7" t="n">
        <f aca="false">Sens!$C$12428/Sens!$C$12429</f>
        <v>0.744126700545615</v>
      </c>
    </row>
    <row r="12431" customFormat="false" ht="17.15" hidden="false" customHeight="false" outlineLevel="0" collapsed="false">
      <c r="A12431" s="1" t="s">
        <v>1052</v>
      </c>
      <c r="B12431" s="0" t="s">
        <v>98</v>
      </c>
      <c r="C12431" s="6" t="n">
        <f aca="false">Sens!$C$12429+CF!E94-CF!E83+oai_v</f>
        <v>1972.29031848262</v>
      </c>
    </row>
    <row r="12432" customFormat="false" ht="17.15" hidden="false" customHeight="false" outlineLevel="0" collapsed="false">
      <c r="A12432" s="0" t="s">
        <v>980</v>
      </c>
      <c r="B12432" s="0" t="s">
        <v>75</v>
      </c>
      <c r="C12432" s="5" t="n">
        <f aca="false">Sens!$C$12431/sh_dil26</f>
        <v>264.63039292669</v>
      </c>
    </row>
    <row r="12433" customFormat="false" ht="15" hidden="false" customHeight="false" outlineLevel="0" collapsed="false">
      <c r="A12433" s="1" t="s">
        <v>1053</v>
      </c>
      <c r="B12433" s="0" t="s">
        <v>75</v>
      </c>
      <c r="C12433" s="8" t="n">
        <f aca="false">dps_27+CF!G86*roll_div_q/q_per_yr</f>
        <v>4.8895</v>
      </c>
    </row>
    <row r="12434" customFormat="false" ht="17.15" hidden="false" customHeight="false" outlineLevel="0" collapsed="false">
      <c r="A12434" s="0" t="s">
        <v>1054</v>
      </c>
      <c r="B12434" s="0" t="s">
        <v>75</v>
      </c>
      <c r="C12434" s="5" t="n">
        <f aca="false">Sens!$C$12432*(1+wacc)^t_roll-Sens!$C$12433</f>
        <v>296.453964308939</v>
      </c>
    </row>
    <row r="12435" customFormat="false" ht="17.15" hidden="false" customHeight="false" outlineLevel="0" collapsed="false">
      <c r="A12435" s="1" t="s">
        <v>1055</v>
      </c>
      <c r="B12435" s="0" t="s">
        <v>129</v>
      </c>
      <c r="F12435" s="7" t="n">
        <f aca="false">CF!F75/(Seg!F83-Thesis!F121)</f>
        <v>0.0686864325746334</v>
      </c>
      <c r="G12435" s="7" t="n">
        <f aca="false">CF!G75/(Seg!G83-Thesis!G121)</f>
        <v>0.066267001590801</v>
      </c>
      <c r="H12435" s="7" t="n">
        <f aca="false">CF!H75/(Seg!H83-Thesis!H121)</f>
        <v>0.0650366246750144</v>
      </c>
      <c r="I12435" s="7" t="n">
        <f aca="false">CF!I75/(Seg!I83-Thesis!I121)</f>
        <v>0.0648573271390164</v>
      </c>
      <c r="J12435" s="7" t="n">
        <f aca="false">CF!J75/(Seg!J83-Thesis!J121)</f>
        <v>0.0655189837669657</v>
      </c>
      <c r="K12435" s="7" t="n">
        <f aca="false">CF!K75/(Seg!K83-Thesis!K121)</f>
        <v>0.0667878921367872</v>
      </c>
    </row>
    <row r="12436" customFormat="false" ht="17.15" hidden="false" customHeight="false" outlineLevel="0" collapsed="false">
      <c r="A12436" s="0" t="s">
        <v>1056</v>
      </c>
      <c r="B12436" s="0" t="s">
        <v>98</v>
      </c>
      <c r="F12436" s="6" t="n">
        <f aca="false">Seg!F68*(al_m365+Sens!F12435+sbc_r)</f>
        <v>82.8871280343675</v>
      </c>
      <c r="G12436" s="6" t="n">
        <f aca="false">Seg!G68*(al_m365+Sens!G12435+sbc_r)</f>
        <v>93.2646494841949</v>
      </c>
      <c r="H12436" s="6" t="n">
        <f aca="false">Seg!H68*(al_m365+Sens!H12435+sbc_r)</f>
        <v>103.801656157254</v>
      </c>
      <c r="I12436" s="6" t="n">
        <f aca="false">Seg!I68*(al_m365+Sens!I12435+sbc_r)</f>
        <v>113.821873816133</v>
      </c>
      <c r="J12436" s="6" t="n">
        <f aca="false">Seg!J68*(al_m365+Sens!J12435+sbc_r)</f>
        <v>123.136196807334</v>
      </c>
      <c r="K12436" s="6" t="n">
        <f aca="false">Seg!K68*(al_m365+Sens!K12435+sbc_r)</f>
        <v>132.051675801964</v>
      </c>
      <c r="L12436" s="11" t="s">
        <v>1057</v>
      </c>
    </row>
    <row r="12437" customFormat="false" ht="17.15" hidden="false" customHeight="false" outlineLevel="0" collapsed="false">
      <c r="A12437" s="0" t="s">
        <v>1058</v>
      </c>
      <c r="B12437" s="0" t="s">
        <v>98</v>
      </c>
      <c r="F12437" s="6" t="n">
        <f aca="false">Seg!F69*(al_lic+Sens!F12435+sbc_r)</f>
        <v>33.4484001235218</v>
      </c>
      <c r="G12437" s="6" t="n">
        <f aca="false">Seg!G69*(al_lic+Sens!G12435+sbc_r)</f>
        <v>34.7662136749183</v>
      </c>
      <c r="H12437" s="6" t="n">
        <f aca="false">Seg!H69*(al_lic+Sens!H12435+sbc_r)</f>
        <v>35.9922067034497</v>
      </c>
      <c r="I12437" s="6" t="n">
        <f aca="false">Seg!I69*(al_lic+Sens!I12435+sbc_r)</f>
        <v>37.1063543598183</v>
      </c>
      <c r="J12437" s="6" t="n">
        <f aca="false">Seg!J69*(al_lic+Sens!J12435+sbc_r)</f>
        <v>38.0853056964387</v>
      </c>
      <c r="K12437" s="6" t="n">
        <f aca="false">Seg!K69*(al_lic+Sens!K12435+sbc_r)</f>
        <v>38.9048066370724</v>
      </c>
    </row>
    <row r="12438" customFormat="false" ht="17.15" hidden="false" customHeight="false" outlineLevel="0" collapsed="false">
      <c r="A12438" s="0" t="s">
        <v>1059</v>
      </c>
      <c r="B12438" s="0" t="s">
        <v>98</v>
      </c>
      <c r="F12438" s="6" t="n">
        <f aca="false">Seg!F71*(al_ind+Sens!F12435+sbc_r)</f>
        <v>9.07857451914073</v>
      </c>
      <c r="G12438" s="6" t="n">
        <f aca="false">Seg!G71*(al_ind+Sens!G12435+sbc_r)</f>
        <v>9.86487802721884</v>
      </c>
      <c r="H12438" s="6" t="n">
        <f aca="false">Seg!H71*(al_ind+Sens!H12435+sbc_r)</f>
        <v>10.693809720013</v>
      </c>
      <c r="I12438" s="6" t="n">
        <f aca="false">Seg!I71*(al_ind+Sens!I12435+sbc_r)</f>
        <v>11.5608645999226</v>
      </c>
      <c r="J12438" s="6" t="n">
        <f aca="false">Seg!J71*(al_ind+Sens!J12435+sbc_r)</f>
        <v>12.4574161941375</v>
      </c>
      <c r="K12438" s="6" t="n">
        <f aca="false">Seg!K71*(al_ind+Sens!K12435+sbc_r)</f>
        <v>13.3714153876622</v>
      </c>
    </row>
    <row r="12439" customFormat="false" ht="17.15" hidden="false" customHeight="false" outlineLevel="0" collapsed="false">
      <c r="A12439" s="0" t="s">
        <v>1060</v>
      </c>
      <c r="B12439" s="0" t="s">
        <v>98</v>
      </c>
      <c r="F12439" s="6" t="n">
        <f aca="false">Seg!F73*(al_fro+Sens!F12435+sbc_r)</f>
        <v>3.57335880380168</v>
      </c>
      <c r="G12439" s="6" t="n">
        <f aca="false">Seg!G73*(al_fro+Sens!G12435+sbc_r)</f>
        <v>3.78752993435501</v>
      </c>
      <c r="H12439" s="6" t="n">
        <f aca="false">Seg!H73*(al_fro+Sens!H12435+sbc_r)</f>
        <v>4.02979352544868</v>
      </c>
      <c r="I12439" s="6" t="n">
        <f aca="false">Seg!I73*(al_fro+Sens!I12435+sbc_r)</f>
        <v>4.30248328262388</v>
      </c>
      <c r="J12439" s="6" t="n">
        <f aca="false">Seg!J73*(al_fro+Sens!J12435+sbc_r)</f>
        <v>4.6072312462081</v>
      </c>
      <c r="K12439" s="6" t="n">
        <f aca="false">Seg!K73*(al_fro+Sens!K12435+sbc_r)</f>
        <v>4.94526327289735</v>
      </c>
    </row>
    <row r="12440" customFormat="false" ht="17.15" hidden="false" customHeight="false" outlineLevel="0" collapsed="false">
      <c r="A12440" s="0" t="s">
        <v>1061</v>
      </c>
      <c r="B12440" s="0" t="s">
        <v>98</v>
      </c>
      <c r="F12440" s="6" t="n">
        <f aca="false">Seg!F76*(al_srch+Sens!F12435+sbc_r)</f>
        <v>11.2121706988551</v>
      </c>
      <c r="G12440" s="6" t="n">
        <f aca="false">Seg!G76*(al_srch+Sens!G12435+sbc_r)</f>
        <v>12.298220751086</v>
      </c>
      <c r="H12440" s="6" t="n">
        <f aca="false">Seg!H76*(al_srch+Sens!H12435+sbc_r)</f>
        <v>13.4264661389574</v>
      </c>
      <c r="I12440" s="6" t="n">
        <f aca="false">Seg!I76*(al_srch+Sens!I12435+sbc_r)</f>
        <v>14.5842947685169</v>
      </c>
      <c r="J12440" s="6" t="n">
        <f aca="false">Seg!J76*(al_srch+Sens!J12435+sbc_r)</f>
        <v>15.7529827260804</v>
      </c>
      <c r="K12440" s="6" t="n">
        <f aca="false">Seg!K76*(al_srch+Sens!K12435+sbc_r)</f>
        <v>16.908777257054</v>
      </c>
    </row>
    <row r="12441" customFormat="false" ht="17.15" hidden="false" customHeight="false" outlineLevel="0" collapsed="false">
      <c r="A12441" s="0" t="s">
        <v>1062</v>
      </c>
      <c r="B12441" s="0" t="s">
        <v>98</v>
      </c>
      <c r="F12441" s="6" t="n">
        <f aca="false">Thesis!F127-Thesis!F128+Thesis!F142</f>
        <v>49.3166695044068</v>
      </c>
      <c r="G12441" s="6" t="n">
        <f aca="false">Thesis!G127-Thesis!G128+Thesis!G142</f>
        <v>79.1711235199867</v>
      </c>
      <c r="H12441" s="6" t="n">
        <f aca="false">Thesis!H127-Thesis!H128+Thesis!H142</f>
        <v>105.986955995322</v>
      </c>
      <c r="I12441" s="6" t="n">
        <f aca="false">Thesis!I127-Thesis!I128+Thesis!I142</f>
        <v>136.51312421941</v>
      </c>
      <c r="J12441" s="6" t="n">
        <f aca="false">Thesis!J127-Thesis!J128+Thesis!J142</f>
        <v>158.045869188803</v>
      </c>
      <c r="K12441" s="6" t="n">
        <f aca="false">Thesis!K127-Thesis!K128+Thesis!K142</f>
        <v>171.626834186355</v>
      </c>
    </row>
    <row r="12442" customFormat="false" ht="17.15" hidden="false" customHeight="false" outlineLevel="0" collapsed="false">
      <c r="A12442" s="0" t="s">
        <v>1063</v>
      </c>
      <c r="B12442" s="0" t="s">
        <v>98</v>
      </c>
      <c r="F12442" s="6" t="n">
        <f aca="false">PL!F110+Thesis!F142+Thesis!F138+Sens!F12435*(Seg!F75-Thesis!F121)+sbc_r*Seg!F75</f>
        <v>239.221795819914</v>
      </c>
      <c r="G12442" s="6" t="n">
        <f aca="false">PL!G110+Thesis!G142+Thesis!G138+Sens!G12435*(Seg!G75-Thesis!G121)+sbc_r*Seg!G75</f>
        <v>293.888959324058</v>
      </c>
      <c r="H12442" s="6" t="n">
        <f aca="false">PL!H110+Thesis!H142+Thesis!H138+Sens!H12435*(Seg!H75-Thesis!H121)+sbc_r*Seg!H75</f>
        <v>345.795749423438</v>
      </c>
      <c r="I12442" s="6" t="n">
        <f aca="false">PL!I110+Thesis!I142+Thesis!I138+Sens!I12435*(Seg!I75-Thesis!I121)+sbc_r*Seg!I75</f>
        <v>400.80148439376</v>
      </c>
      <c r="J12442" s="6" t="n">
        <f aca="false">PL!J110+Thesis!J142+Thesis!J138+Sens!J12435*(Seg!J75-Thesis!J121)+sbc_r*Seg!J75</f>
        <v>444.918308128678</v>
      </c>
      <c r="K12442" s="6" t="n">
        <f aca="false">PL!K110+Thesis!K142+Thesis!K138+Sens!K12435*(Seg!K75-Thesis!K121)+sbc_r*Seg!K75</f>
        <v>478.782312275225</v>
      </c>
    </row>
    <row r="12443" customFormat="false" ht="17.15" hidden="false" customHeight="false" outlineLevel="0" collapsed="false">
      <c r="A12443" s="0" t="s">
        <v>1064</v>
      </c>
      <c r="B12443" s="0" t="s">
        <v>98</v>
      </c>
      <c r="F12443" s="6" t="n">
        <f aca="false">Sens!F12442-Sens!F12436-Sens!F12437-Sens!F12438-Sens!F12439-Sens!F12441</f>
        <v>60.9176648346756</v>
      </c>
      <c r="G12443" s="6" t="n">
        <f aca="false">Sens!G12442-Sens!G12436-Sens!G12437-Sens!G12438-Sens!G12439-Sens!G12441</f>
        <v>73.0345646833845</v>
      </c>
      <c r="H12443" s="6" t="n">
        <f aca="false">Sens!H12442-Sens!H12436-Sens!H12437-Sens!H12438-Sens!H12439-Sens!H12441</f>
        <v>85.2913273219498</v>
      </c>
      <c r="I12443" s="6" t="n">
        <f aca="false">Sens!I12442-Sens!I12436-Sens!I12437-Sens!I12438-Sens!I12439-Sens!I12441</f>
        <v>97.4967841158513</v>
      </c>
      <c r="J12443" s="6" t="n">
        <f aca="false">Sens!J12442-Sens!J12436-Sens!J12437-Sens!J12438-Sens!J12439-Sens!J12441</f>
        <v>108.586288995756</v>
      </c>
      <c r="K12443" s="6" t="n">
        <f aca="false">Sens!K12442-Sens!K12436-Sens!K12437-Sens!K12438-Sens!K12439-Sens!K12441</f>
        <v>117.882316989274</v>
      </c>
    </row>
    <row r="12444" customFormat="false" ht="17.15" hidden="false" customHeight="false" outlineLevel="0" collapsed="false">
      <c r="A12444" s="0" t="s">
        <v>1065</v>
      </c>
      <c r="B12444" s="0" t="s">
        <v>98</v>
      </c>
      <c r="F12444" s="6" t="n">
        <f aca="false">PL!F112+Sens!F12435*Seg!F82+sbc_r*Seg!F82</f>
        <v>26.2049549828959</v>
      </c>
      <c r="G12444" s="6" t="n">
        <f aca="false">PL!G112+Sens!G12435*Seg!G82+sbc_r*Seg!G82</f>
        <v>26.8405806403664</v>
      </c>
      <c r="H12444" s="6" t="n">
        <f aca="false">PL!H112+Sens!H12435*Seg!H82+sbc_r*Seg!H82</f>
        <v>27.7352032470138</v>
      </c>
      <c r="I12444" s="6" t="n">
        <f aca="false">PL!I112+Sens!I12435*Seg!I82+sbc_r*Seg!I82</f>
        <v>28.8569155956094</v>
      </c>
      <c r="J12444" s="6" t="n">
        <f aca="false">PL!J112+Sens!J12435*Seg!J82+sbc_r*Seg!J82</f>
        <v>30.1744385645725</v>
      </c>
      <c r="K12444" s="6" t="n">
        <f aca="false">PL!K112+Sens!K12435*Seg!K82+sbc_r*Seg!K82</f>
        <v>31.6584976186802</v>
      </c>
    </row>
    <row r="12445" customFormat="false" ht="17.15" hidden="false" customHeight="false" outlineLevel="0" collapsed="false">
      <c r="A12445" s="0" t="s">
        <v>1066</v>
      </c>
      <c r="B12445" s="0" t="s">
        <v>98</v>
      </c>
      <c r="F12445" s="6" t="n">
        <f aca="false">(Sens!F12444-Sens!F12440)*Seg!F78/(Seg!F78+Seg!F80)</f>
        <v>8.21889831690819</v>
      </c>
      <c r="G12445" s="6" t="n">
        <f aca="false">(Sens!G12444-Sens!G12440)*Seg!G78/(Seg!G78+Seg!G80)</f>
        <v>7.82984014749099</v>
      </c>
      <c r="H12445" s="6" t="n">
        <f aca="false">(Sens!H12444-Sens!H12440)*Seg!H78/(Seg!H78+Seg!H80)</f>
        <v>7.5999849964554</v>
      </c>
      <c r="I12445" s="6" t="n">
        <f aca="false">(Sens!I12444-Sens!I12440)*Seg!I78/(Seg!I78+Seg!I80)</f>
        <v>7.51221089422364</v>
      </c>
      <c r="J12445" s="6" t="n">
        <f aca="false">(Sens!J12444-Sens!J12440)*Seg!J78/(Seg!J78+Seg!J80)</f>
        <v>7.55622411401827</v>
      </c>
      <c r="K12445" s="6" t="n">
        <f aca="false">(Sens!K12444-Sens!K12440)*Seg!K78/(Seg!K78+Seg!K80)</f>
        <v>7.72822064011532</v>
      </c>
    </row>
    <row r="12446" customFormat="false" ht="17.15" hidden="false" customHeight="false" outlineLevel="0" collapsed="false">
      <c r="A12446" s="0" t="s">
        <v>1067</v>
      </c>
      <c r="B12446" s="0" t="s">
        <v>98</v>
      </c>
      <c r="F12446" s="6" t="n">
        <f aca="false">Sens!F12444-Sens!F12440-Sens!F12445</f>
        <v>6.77388596713263</v>
      </c>
      <c r="G12446" s="6" t="n">
        <f aca="false">Sens!G12444-Sens!G12440-Sens!G12445</f>
        <v>6.71251974178949</v>
      </c>
      <c r="H12446" s="6" t="n">
        <f aca="false">Sens!H12444-Sens!H12440-Sens!H12445</f>
        <v>6.70875211160101</v>
      </c>
      <c r="I12446" s="6" t="n">
        <f aca="false">Sens!I12444-Sens!I12440-Sens!I12445</f>
        <v>6.76040993286883</v>
      </c>
      <c r="J12446" s="6" t="n">
        <f aca="false">Sens!J12444-Sens!J12440-Sens!J12445</f>
        <v>6.86523172447386</v>
      </c>
      <c r="K12446" s="6" t="n">
        <f aca="false">Sens!K12444-Sens!K12440-Sens!K12445</f>
        <v>7.02149972151092</v>
      </c>
    </row>
    <row r="12447" customFormat="false" ht="17.15" hidden="false" customHeight="false" outlineLevel="0" collapsed="false">
      <c r="A12447" s="0" t="s">
        <v>1068</v>
      </c>
      <c r="B12447" s="0" t="s">
        <v>98</v>
      </c>
      <c r="F12447" s="6" t="n">
        <f aca="false">Sens!F12441-tax_f*(Sens!F12441-Thesis!F138)-Thesis!F135</f>
        <v>-122.366710075738</v>
      </c>
      <c r="G12447" s="6" t="n">
        <f aca="false">Sens!G12441-tax_f*(Sens!G12441-Thesis!G138)-Thesis!G135</f>
        <v>-108.130935015143</v>
      </c>
      <c r="H12447" s="6" t="n">
        <f aca="false">Sens!H12441-tax_f*(Sens!H12441-Thesis!H138)-Thesis!H135</f>
        <v>-85.7372579155142</v>
      </c>
      <c r="I12447" s="6" t="n">
        <f aca="false">Sens!I12441-tax_f*(Sens!I12441-Thesis!I138)-Thesis!I135</f>
        <v>-32.0937617822731</v>
      </c>
      <c r="J12447" s="6" t="n">
        <f aca="false">Sens!J12441-tax_f*(Sens!J12441-Thesis!J138)-Thesis!J135</f>
        <v>27.7659608174853</v>
      </c>
      <c r="K12447" s="6" t="n">
        <f aca="false">Sens!K12441-tax_f*(Sens!K12441-Thesis!K138)-Thesis!K135</f>
        <v>50.2765610680426</v>
      </c>
    </row>
    <row r="12448" customFormat="false" ht="17.15" hidden="false" customHeight="false" outlineLevel="0" collapsed="false">
      <c r="A12448" s="0" t="s">
        <v>1069</v>
      </c>
      <c r="B12448" s="0" t="s">
        <v>98</v>
      </c>
      <c r="F12448" s="6" t="n">
        <f aca="false">Sens!F12447*Sens!F12421</f>
        <v>-116.516770484359</v>
      </c>
      <c r="G12448" s="6" t="n">
        <f aca="false">Sens!G12447*Sens!G12421</f>
        <v>-93.3523860782335</v>
      </c>
      <c r="H12448" s="6" t="n">
        <f aca="false">Sens!H12447*Sens!H12421</f>
        <v>-67.1112555525725</v>
      </c>
      <c r="I12448" s="6" t="n">
        <f aca="false">Sens!I12447*Sens!I12421</f>
        <v>-22.7770098035666</v>
      </c>
      <c r="J12448" s="6" t="n">
        <f aca="false">Sens!J12447*Sens!J12421</f>
        <v>17.8664842224654</v>
      </c>
      <c r="K12448" s="6" t="n">
        <f aca="false">Sens!K12447*Sens!K12421</f>
        <v>29.3320399341769</v>
      </c>
    </row>
    <row r="12449" customFormat="false" ht="17.15" hidden="false" customHeight="false" outlineLevel="0" collapsed="false">
      <c r="A12449" s="0" t="s">
        <v>1070</v>
      </c>
      <c r="B12449" s="0" t="s">
        <v>98</v>
      </c>
      <c r="C12449" s="6" t="n">
        <f aca="false">(Sens!K12441-Thesis!K138)*(1-tax_f)*(1+g_tv_lo)*(1-g_tv_lo/(wacc+ronic_prem))/(wacc-g_tv_lo)/(1+wacc)^(Sens!K12420+mid_yr)</f>
        <v>140.721084189673</v>
      </c>
    </row>
    <row r="12450" customFormat="false" ht="17.15" hidden="false" customHeight="false" outlineLevel="0" collapsed="false">
      <c r="A12450" s="1" t="s">
        <v>1071</v>
      </c>
      <c r="B12450" s="0" t="s">
        <v>98</v>
      </c>
      <c r="C12450" s="6" t="n">
        <f aca="false">(SUM(Sens!F12448:K12448)+Sens!$C$12449)*(1+wacc)^t_roll</f>
        <v>-127.353452526466</v>
      </c>
      <c r="L12450" s="11" t="s">
        <v>1072</v>
      </c>
    </row>
    <row r="12451" customFormat="false" ht="17.15" hidden="false" customHeight="false" outlineLevel="0" collapsed="false">
      <c r="A12451" s="1" t="s">
        <v>1073</v>
      </c>
      <c r="B12451" s="0" t="s">
        <v>98</v>
      </c>
      <c r="C12451" s="6" t="n">
        <f aca="false">(w_ntm28*Thesis!G127+(1-w_ntm28)*Thesis!H127)*m_ai</f>
        <v>338.776008390068</v>
      </c>
    </row>
    <row r="12452" customFormat="false" ht="17.15" hidden="false" customHeight="false" outlineLevel="0" collapsed="false">
      <c r="A12452" s="1" t="s">
        <v>1074</v>
      </c>
      <c r="B12452" s="0" t="s">
        <v>98</v>
      </c>
      <c r="C12452" s="6" t="n">
        <f aca="false">(w_ntm28*Sens!G12443+(1-w_ntm28)*Sens!H12443)*m_cloud</f>
        <v>1064.09888458319</v>
      </c>
    </row>
    <row r="12453" customFormat="false" ht="17.15" hidden="false" customHeight="false" outlineLevel="0" collapsed="false">
      <c r="A12453" s="1" t="s">
        <v>1075</v>
      </c>
      <c r="B12453" s="0" t="s">
        <v>98</v>
      </c>
      <c r="C12453" s="6" t="n">
        <f aca="false">(w_ntm28*Sens!G12436+(1-w_ntm28)*Sens!H12436)*m_sw</f>
        <v>1044.04824539957</v>
      </c>
    </row>
    <row r="12454" customFormat="false" ht="17.15" hidden="false" customHeight="false" outlineLevel="0" collapsed="false">
      <c r="A12454" s="1" t="s">
        <v>1076</v>
      </c>
      <c r="B12454" s="0" t="s">
        <v>98</v>
      </c>
      <c r="C12454" s="6" t="n">
        <f aca="false">(w_ntm28*Sens!G12437+(1-w_ntm28)*Sens!H12437)*m_sw</f>
        <v>379.755670745447</v>
      </c>
    </row>
    <row r="12455" customFormat="false" ht="17.15" hidden="false" customHeight="false" outlineLevel="0" collapsed="false">
      <c r="A12455" s="1" t="s">
        <v>1077</v>
      </c>
      <c r="B12455" s="0" t="s">
        <v>98</v>
      </c>
      <c r="C12455" s="6" t="n">
        <f aca="false">(w_ntm28*Sens!G12438+(1-w_ntm28)*Sens!H12438)*m_sw</f>
        <v>109.434903376969</v>
      </c>
    </row>
    <row r="12456" customFormat="false" ht="17.15" hidden="false" customHeight="false" outlineLevel="0" collapsed="false">
      <c r="A12456" s="1" t="s">
        <v>1078</v>
      </c>
      <c r="B12456" s="0" t="s">
        <v>98</v>
      </c>
      <c r="C12456" s="6" t="n">
        <f aca="false">(w_ntm28*Sens!G12439+(1-w_ntm28)*Sens!H12439)*m_sw</f>
        <v>41.7511882786773</v>
      </c>
    </row>
    <row r="12457" customFormat="false" ht="17.15" hidden="false" customHeight="false" outlineLevel="0" collapsed="false">
      <c r="A12457" s="1" t="s">
        <v>1079</v>
      </c>
      <c r="B12457" s="0" t="s">
        <v>98</v>
      </c>
      <c r="C12457" s="6" t="n">
        <f aca="false">(w_ntm28*Sens!G12440+(1-w_ntm28)*Sens!H12440)*m_ads</f>
        <v>115.359643719254</v>
      </c>
    </row>
    <row r="12458" customFormat="false" ht="17.15" hidden="false" customHeight="false" outlineLevel="0" collapsed="false">
      <c r="A12458" s="1" t="s">
        <v>1080</v>
      </c>
      <c r="B12458" s="0" t="s">
        <v>98</v>
      </c>
      <c r="C12458" s="6" t="n">
        <f aca="false">(w_ntm28*Sens!G12445+(1-w_ntm28)*Sens!H12445)*m_game</f>
        <v>97.9523541428266</v>
      </c>
    </row>
    <row r="12459" customFormat="false" ht="17.15" hidden="false" customHeight="false" outlineLevel="0" collapsed="false">
      <c r="A12459" s="1" t="s">
        <v>1081</v>
      </c>
      <c r="B12459" s="0" t="s">
        <v>98</v>
      </c>
      <c r="C12459" s="6" t="n">
        <f aca="false">(w_ntm28*Sens!G12446+(1-w_ntm28)*Sens!H12446)*m_pc</f>
        <v>97.1125357928949</v>
      </c>
    </row>
    <row r="12460" customFormat="false" ht="17.15" hidden="false" customHeight="false" outlineLevel="0" collapsed="false">
      <c r="A12460" s="1" t="s">
        <v>1082</v>
      </c>
      <c r="B12460" s="0" t="s">
        <v>98</v>
      </c>
      <c r="C12460" s="6" t="n">
        <f aca="false">Sens!$C$12450+Sens!$C$12452+Sens!$C$12453+Sens!$C$12454+Sens!$C$12455+Sens!$C$12456+Sens!$C$12457+Sens!$C$12458+Sens!$C$12459</f>
        <v>2822.15997351236</v>
      </c>
    </row>
    <row r="12461" customFormat="false" ht="17.15" hidden="false" customHeight="false" outlineLevel="0" collapsed="false">
      <c r="A12461" s="1" t="s">
        <v>1000</v>
      </c>
      <c r="B12461" s="0" t="s">
        <v>98</v>
      </c>
      <c r="C12461" s="6" t="n">
        <f aca="false">CF!F94+oai_v-CF!F83</f>
        <v>106.814034990727</v>
      </c>
      <c r="L12461" s="1" t="s">
        <v>1083</v>
      </c>
    </row>
    <row r="12462" customFormat="false" ht="15" hidden="false" customHeight="false" outlineLevel="0" collapsed="false">
      <c r="A12462" s="1" t="s">
        <v>1001</v>
      </c>
      <c r="B12462" s="0" t="s">
        <v>75</v>
      </c>
      <c r="C12462" s="5" t="n">
        <f aca="false">(Sens!$C$12460+Sens!$C$12461)/CF!F96</f>
        <v>391.993309489171</v>
      </c>
    </row>
    <row r="12463" customFormat="false" ht="17.15" hidden="false" customHeight="false" outlineLevel="0" collapsed="false">
      <c r="A12463" s="1" t="s">
        <v>1084</v>
      </c>
      <c r="B12463" s="0" t="s">
        <v>75</v>
      </c>
      <c r="C12463" s="5" t="n">
        <f aca="false">w_dcf*Sens!$C$12434+(1-w_dcf)*Sens!$C$12462</f>
        <v>344.223636899055</v>
      </c>
    </row>
    <row r="12464" customFormat="false" ht="17.15" hidden="false" customHeight="false" outlineLevel="0" collapsed="false">
      <c r="A12464" s="3" t="s">
        <v>1558</v>
      </c>
    </row>
    <row r="12465" customFormat="false" ht="15" hidden="false" customHeight="false" outlineLevel="0" collapsed="false">
      <c r="A12465" s="4" t="s">
        <v>43</v>
      </c>
      <c r="B12465" s="4" t="s">
        <v>65</v>
      </c>
      <c r="C12465" s="20" t="s">
        <v>788</v>
      </c>
      <c r="D12465" s="20" t="s">
        <v>789</v>
      </c>
      <c r="E12465" s="20" t="s">
        <v>790</v>
      </c>
      <c r="F12465" s="20" t="s">
        <v>791</v>
      </c>
      <c r="G12465" s="20" t="s">
        <v>792</v>
      </c>
      <c r="H12465" s="20" t="s">
        <v>793</v>
      </c>
      <c r="I12465" s="20" t="s">
        <v>794</v>
      </c>
      <c r="J12465" s="20" t="s">
        <v>795</v>
      </c>
      <c r="K12465" s="20" t="s">
        <v>796</v>
      </c>
      <c r="L12465" s="4" t="s">
        <v>47</v>
      </c>
    </row>
    <row r="12466" customFormat="false" ht="15" hidden="false" customHeight="false" outlineLevel="0" collapsed="false">
      <c r="A12466" s="1" t="s">
        <v>1042</v>
      </c>
      <c r="B12466" s="1" t="s">
        <v>235</v>
      </c>
      <c r="F12466" s="36" t="n">
        <f aca="false">Thesis!F6-base_fy-mid_yr</f>
        <v>0.5</v>
      </c>
      <c r="G12466" s="36" t="n">
        <f aca="false">Thesis!G6-base_fy-mid_yr</f>
        <v>1.5</v>
      </c>
      <c r="H12466" s="36" t="n">
        <f aca="false">Thesis!H6-base_fy-mid_yr</f>
        <v>2.5</v>
      </c>
      <c r="I12466" s="36" t="n">
        <f aca="false">Thesis!I6-base_fy-mid_yr</f>
        <v>3.5</v>
      </c>
      <c r="J12466" s="36" t="n">
        <f aca="false">Thesis!J6-base_fy-mid_yr</f>
        <v>4.5</v>
      </c>
      <c r="K12466" s="36" t="n">
        <f aca="false">Thesis!K6-base_fy-mid_yr</f>
        <v>5.5</v>
      </c>
    </row>
    <row r="12467" customFormat="false" ht="15" hidden="false" customHeight="false" outlineLevel="0" collapsed="false">
      <c r="A12467" s="1" t="s">
        <v>1043</v>
      </c>
      <c r="B12467" s="0" t="s">
        <v>185</v>
      </c>
      <c r="F12467" s="14" t="n">
        <f aca="false">1/(1+wacc)^Sens!F12466</f>
        <v>0.952193373608246</v>
      </c>
      <c r="G12467" s="14" t="n">
        <f aca="false">1/(1+wacc)^Sens!G12466</f>
        <v>0.863327280626589</v>
      </c>
      <c r="H12467" s="14" t="n">
        <f aca="false">1/(1+wacc)^Sens!H12466</f>
        <v>0.782754862754115</v>
      </c>
      <c r="I12467" s="14" t="n">
        <f aca="false">1/(1+wacc)^Sens!I12466</f>
        <v>0.709702089711011</v>
      </c>
      <c r="J12467" s="14" t="n">
        <f aca="false">1/(1+wacc)^Sens!J12466</f>
        <v>0.643467169744551</v>
      </c>
      <c r="K12467" s="14" t="n">
        <f aca="false">1/(1+wacc)^Sens!K12466</f>
        <v>0.583413807767797</v>
      </c>
    </row>
    <row r="12468" customFormat="false" ht="17.15" hidden="false" customHeight="false" outlineLevel="0" collapsed="false">
      <c r="A12468" s="1" t="s">
        <v>1044</v>
      </c>
      <c r="B12468" s="0" t="s">
        <v>98</v>
      </c>
      <c r="F12468" s="6" t="n">
        <f aca="false">CF!F21-CF!F19-CF!F24+Thesis!F44*(1-tax_f)</f>
        <v>9.29995994594013</v>
      </c>
      <c r="G12468" s="6" t="n">
        <f aca="false">CF!G21-CF!G19-CF!G24+Thesis!G44*(1-tax_f)</f>
        <v>55.6803799901549</v>
      </c>
      <c r="H12468" s="6" t="n">
        <f aca="false">CF!H21-CF!H19-CF!H24+Thesis!H44*(1-tax_f)</f>
        <v>114.6308681267</v>
      </c>
      <c r="I12468" s="6" t="n">
        <f aca="false">CF!I21-CF!I19-CF!I24+Thesis!I44*(1-tax_f)</f>
        <v>192.960687587037</v>
      </c>
      <c r="J12468" s="6" t="n">
        <f aca="false">CF!J21-CF!J19-CF!J24+Thesis!J44*(1-tax_f)</f>
        <v>273.742251264366</v>
      </c>
      <c r="K12468" s="6" t="n">
        <f aca="false">CF!K21-CF!K19-CF!K24+Thesis!K44*(1-tax_f)</f>
        <v>313.491842465765</v>
      </c>
      <c r="L12468" s="1" t="s">
        <v>1045</v>
      </c>
    </row>
    <row r="12469" customFormat="false" ht="15" hidden="false" customHeight="false" outlineLevel="0" collapsed="false">
      <c r="A12469" s="1" t="s">
        <v>1046</v>
      </c>
      <c r="B12469" s="0" t="s">
        <v>98</v>
      </c>
      <c r="F12469" s="6" t="n">
        <f aca="false">Sens!F12468*Sens!F12467</f>
        <v>8.8553602353463</v>
      </c>
      <c r="G12469" s="6" t="n">
        <f aca="false">Sens!G12468*Sens!G12467</f>
        <v>48.0703910411556</v>
      </c>
      <c r="H12469" s="6" t="n">
        <f aca="false">Sens!H12468*Sens!H12467</f>
        <v>89.7278694479</v>
      </c>
      <c r="I12469" s="6" t="n">
        <f aca="false">Sens!I12468*Sens!I12467</f>
        <v>136.944603212593</v>
      </c>
      <c r="J12469" s="6" t="n">
        <f aca="false">Sens!J12468*Sens!J12467</f>
        <v>176.144151660583</v>
      </c>
      <c r="K12469" s="6" t="n">
        <f aca="false">Sens!K12468*Sens!K12467</f>
        <v>182.895469517094</v>
      </c>
    </row>
    <row r="12470" customFormat="false" ht="17.15" hidden="false" customHeight="false" outlineLevel="0" collapsed="false">
      <c r="A12470" s="1" t="s">
        <v>1047</v>
      </c>
      <c r="B12470" s="0" t="s">
        <v>98</v>
      </c>
      <c r="C12470" s="6" t="n">
        <f aca="false">SUM(Sens!F12469:K12469)</f>
        <v>642.637845114673</v>
      </c>
    </row>
    <row r="12471" customFormat="false" ht="17.15" hidden="false" customHeight="false" outlineLevel="0" collapsed="false">
      <c r="A12471" s="1" t="s">
        <v>1048</v>
      </c>
      <c r="B12471" s="0" t="s">
        <v>98</v>
      </c>
      <c r="C12471" s="6" t="n">
        <f aca="false">PL!K39*(1+g_tv_hi)*(1-tax_f)</f>
        <v>328.497122200777</v>
      </c>
    </row>
    <row r="12472" customFormat="false" ht="17.15" hidden="false" customHeight="false" outlineLevel="0" collapsed="false">
      <c r="A12472" s="1" t="s">
        <v>1049</v>
      </c>
      <c r="B12472" s="0" t="s">
        <v>98</v>
      </c>
      <c r="C12472" s="6" t="n">
        <f aca="false">Sens!$C$12471*(1-g_tv_hi/(wacc+ronic_prem))</f>
        <v>200.844147848998</v>
      </c>
    </row>
    <row r="12473" customFormat="false" ht="17.15" hidden="false" customHeight="false" outlineLevel="0" collapsed="false">
      <c r="A12473" s="1" t="s">
        <v>1050</v>
      </c>
      <c r="B12473" s="0" t="s">
        <v>98</v>
      </c>
      <c r="C12473" s="6" t="n">
        <f aca="false">Sens!$C$12472/(wacc-g_tv_hi)</f>
        <v>3191.32435879446</v>
      </c>
    </row>
    <row r="12474" customFormat="false" ht="15" hidden="false" customHeight="false" outlineLevel="0" collapsed="false">
      <c r="A12474" s="1" t="s">
        <v>1051</v>
      </c>
      <c r="B12474" s="0" t="s">
        <v>98</v>
      </c>
      <c r="C12474" s="6" t="n">
        <f aca="false">Sens!$C$12473/(1+wacc)^(Sens!K12466+mid_yr)</f>
        <v>1772.85332168664</v>
      </c>
    </row>
    <row r="12475" customFormat="false" ht="17.15" hidden="false" customHeight="false" outlineLevel="0" collapsed="false">
      <c r="A12475" s="0" t="s">
        <v>972</v>
      </c>
      <c r="B12475" s="0" t="s">
        <v>98</v>
      </c>
      <c r="C12475" s="6" t="n">
        <f aca="false">Sens!$C$12470+Sens!$C$12474</f>
        <v>2415.49116680131</v>
      </c>
    </row>
    <row r="12476" customFormat="false" ht="15" hidden="false" customHeight="false" outlineLevel="0" collapsed="false">
      <c r="A12476" s="1" t="s">
        <v>973</v>
      </c>
      <c r="B12476" s="0" t="s">
        <v>129</v>
      </c>
      <c r="C12476" s="7" t="n">
        <f aca="false">Sens!$C$12474/Sens!$C$12475</f>
        <v>0.733951482022731</v>
      </c>
    </row>
    <row r="12477" customFormat="false" ht="17.15" hidden="false" customHeight="false" outlineLevel="0" collapsed="false">
      <c r="A12477" s="1" t="s">
        <v>1052</v>
      </c>
      <c r="B12477" s="0" t="s">
        <v>98</v>
      </c>
      <c r="C12477" s="6" t="n">
        <f aca="false">Sens!$C$12475+CF!E36-CF!E25+oai_v</f>
        <v>2550.00416680131</v>
      </c>
    </row>
    <row r="12478" customFormat="false" ht="17.15" hidden="false" customHeight="false" outlineLevel="0" collapsed="false">
      <c r="A12478" s="0" t="s">
        <v>980</v>
      </c>
      <c r="B12478" s="0" t="s">
        <v>75</v>
      </c>
      <c r="C12478" s="5" t="n">
        <f aca="false">Sens!$C$12477/sh_dil26</f>
        <v>342.144662122811</v>
      </c>
    </row>
    <row r="12479" customFormat="false" ht="15" hidden="false" customHeight="false" outlineLevel="0" collapsed="false">
      <c r="A12479" s="1" t="s">
        <v>1053</v>
      </c>
      <c r="B12479" s="0" t="s">
        <v>75</v>
      </c>
      <c r="C12479" s="8" t="n">
        <f aca="false">dps_27+CF!G28*roll_div_q/q_per_yr</f>
        <v>4.8895</v>
      </c>
    </row>
    <row r="12480" customFormat="false" ht="17.15" hidden="false" customHeight="false" outlineLevel="0" collapsed="false">
      <c r="A12480" s="0" t="s">
        <v>1054</v>
      </c>
      <c r="B12480" s="0" t="s">
        <v>75</v>
      </c>
      <c r="C12480" s="5" t="n">
        <f aca="false">Sens!$C$12478*(1+wacc)^t_roll-Sens!$C$12479</f>
        <v>384.722050807248</v>
      </c>
    </row>
    <row r="12481" customFormat="false" ht="17.15" hidden="false" customHeight="false" outlineLevel="0" collapsed="false">
      <c r="A12481" s="1" t="s">
        <v>1055</v>
      </c>
      <c r="B12481" s="0" t="s">
        <v>129</v>
      </c>
      <c r="F12481" s="7" t="n">
        <f aca="false">CF!F17/(Seg!F29-Thesis!F23)</f>
        <v>0.0681773598226415</v>
      </c>
      <c r="G12481" s="7" t="n">
        <f aca="false">CF!G17/(Seg!G29-Thesis!G23)</f>
        <v>0.0650385409375172</v>
      </c>
      <c r="H12481" s="7" t="n">
        <f aca="false">CF!H17/(Seg!H29-Thesis!H23)</f>
        <v>0.063382542471986</v>
      </c>
      <c r="I12481" s="7" t="n">
        <f aca="false">CF!I17/(Seg!I29-Thesis!I23)</f>
        <v>0.0630998138876076</v>
      </c>
      <c r="J12481" s="7" t="n">
        <f aca="false">CF!J17/(Seg!J29-Thesis!J23)</f>
        <v>0.0638399980286975</v>
      </c>
      <c r="K12481" s="7" t="n">
        <f aca="false">CF!K17/(Seg!K29-Thesis!K23)</f>
        <v>0.0651531082402687</v>
      </c>
    </row>
    <row r="12482" customFormat="false" ht="17.15" hidden="false" customHeight="false" outlineLevel="0" collapsed="false">
      <c r="A12482" s="0" t="s">
        <v>1056</v>
      </c>
      <c r="B12482" s="0" t="s">
        <v>98</v>
      </c>
      <c r="F12482" s="6" t="n">
        <f aca="false">Seg!F14*(al_m365+Sens!F12481+sbc_r)</f>
        <v>84.944046606333</v>
      </c>
      <c r="G12482" s="6" t="n">
        <f aca="false">Seg!G14*(al_m365+Sens!G12481+sbc_r)</f>
        <v>99.4236143320739</v>
      </c>
      <c r="H12482" s="6" t="n">
        <f aca="false">Seg!H14*(al_m365+Sens!H12481+sbc_r)</f>
        <v>114.068697186163</v>
      </c>
      <c r="I12482" s="6" t="n">
        <f aca="false">Seg!I14*(al_m365+Sens!I12481+sbc_r)</f>
        <v>127.196415789369</v>
      </c>
      <c r="J12482" s="6" t="n">
        <f aca="false">Seg!J14*(al_m365+Sens!J12481+sbc_r)</f>
        <v>138.619575691419</v>
      </c>
      <c r="K12482" s="6" t="n">
        <f aca="false">Seg!K14*(al_m365+Sens!K12481+sbc_r)</f>
        <v>149.659768267063</v>
      </c>
      <c r="L12482" s="11" t="s">
        <v>1057</v>
      </c>
    </row>
    <row r="12483" customFormat="false" ht="17.15" hidden="false" customHeight="false" outlineLevel="0" collapsed="false">
      <c r="A12483" s="0" t="s">
        <v>1058</v>
      </c>
      <c r="B12483" s="0" t="s">
        <v>98</v>
      </c>
      <c r="F12483" s="6" t="n">
        <f aca="false">Seg!F15*(al_lic+Sens!F12481+sbc_r)</f>
        <v>33.4285095904825</v>
      </c>
      <c r="G12483" s="6" t="n">
        <f aca="false">Seg!G15*(al_lic+Sens!G12481+sbc_r)</f>
        <v>34.7161826947861</v>
      </c>
      <c r="H12483" s="6" t="n">
        <f aca="false">Seg!H15*(al_lic+Sens!H12481+sbc_r)</f>
        <v>35.9223654002493</v>
      </c>
      <c r="I12483" s="6" t="n">
        <f aca="false">Seg!I15*(al_lic+Sens!I12481+sbc_r)</f>
        <v>37.0298325864501</v>
      </c>
      <c r="J12483" s="6" t="n">
        <f aca="false">Seg!J15*(al_lic+Sens!J12481+sbc_r)</f>
        <v>38.0103325842314</v>
      </c>
      <c r="K12483" s="6" t="n">
        <f aca="false">Seg!K15*(al_lic+Sens!K12481+sbc_r)</f>
        <v>38.8303473189322</v>
      </c>
    </row>
    <row r="12484" customFormat="false" ht="17.15" hidden="false" customHeight="false" outlineLevel="0" collapsed="false">
      <c r="A12484" s="0" t="s">
        <v>1059</v>
      </c>
      <c r="B12484" s="0" t="s">
        <v>98</v>
      </c>
      <c r="F12484" s="6" t="n">
        <f aca="false">Seg!F17*(al_ind+Sens!F12481+sbc_r)</f>
        <v>9.06719306746208</v>
      </c>
      <c r="G12484" s="6" t="n">
        <f aca="false">Seg!G17*(al_ind+Sens!G12481+sbc_r)</f>
        <v>9.83485541633448</v>
      </c>
      <c r="H12484" s="6" t="n">
        <f aca="false">Seg!H17*(al_ind+Sens!H12481+sbc_r)</f>
        <v>10.6498544617516</v>
      </c>
      <c r="I12484" s="6" t="n">
        <f aca="false">Seg!I17*(al_ind+Sens!I12481+sbc_r)</f>
        <v>11.5103515303299</v>
      </c>
      <c r="J12484" s="6" t="n">
        <f aca="false">Seg!J17*(al_ind+Sens!J12481+sbc_r)</f>
        <v>12.4055032067278</v>
      </c>
      <c r="K12484" s="6" t="n">
        <f aca="false">Seg!K17*(al_ind+Sens!K12481+sbc_r)</f>
        <v>13.3173308472897</v>
      </c>
    </row>
    <row r="12485" customFormat="false" ht="17.15" hidden="false" customHeight="false" outlineLevel="0" collapsed="false">
      <c r="A12485" s="0" t="s">
        <v>1060</v>
      </c>
      <c r="B12485" s="0" t="s">
        <v>98</v>
      </c>
      <c r="F12485" s="6" t="n">
        <f aca="false">Seg!F19*(al_fro+Sens!F12481+sbc_r)</f>
        <v>3.56887902446295</v>
      </c>
      <c r="G12485" s="6" t="n">
        <f aca="false">Seg!G19*(al_fro+Sens!G12481+sbc_r)</f>
        <v>3.77600302676241</v>
      </c>
      <c r="H12485" s="6" t="n">
        <f aca="false">Seg!H19*(al_fro+Sens!H12481+sbc_r)</f>
        <v>4.01322967965482</v>
      </c>
      <c r="I12485" s="6" t="n">
        <f aca="false">Seg!I19*(al_fro+Sens!I12481+sbc_r)</f>
        <v>4.28368437397841</v>
      </c>
      <c r="J12485" s="6" t="n">
        <f aca="false">Seg!J19*(al_fro+Sens!J12481+sbc_r)</f>
        <v>4.58803182845156</v>
      </c>
      <c r="K12485" s="6" t="n">
        <f aca="false">Seg!K19*(al_fro+Sens!K12481+sbc_r)</f>
        <v>4.92526073140255</v>
      </c>
    </row>
    <row r="12486" customFormat="false" ht="17.15" hidden="false" customHeight="false" outlineLevel="0" collapsed="false">
      <c r="A12486" s="0" t="s">
        <v>1061</v>
      </c>
      <c r="B12486" s="0" t="s">
        <v>98</v>
      </c>
      <c r="F12486" s="6" t="n">
        <f aca="false">Seg!F22*(al_srch+Sens!F12481+sbc_r)</f>
        <v>11.1981144415922</v>
      </c>
      <c r="G12486" s="6" t="n">
        <f aca="false">Seg!G22*(al_srch+Sens!G12481+sbc_r)</f>
        <v>12.2607925441521</v>
      </c>
      <c r="H12486" s="6" t="n">
        <f aca="false">Seg!H22*(al_srch+Sens!H12481+sbc_r)</f>
        <v>13.3712787172501</v>
      </c>
      <c r="I12486" s="6" t="n">
        <f aca="false">Seg!I22*(al_srch+Sens!I12481+sbc_r)</f>
        <v>14.5205713773955</v>
      </c>
      <c r="J12486" s="6" t="n">
        <f aca="false">Seg!J22*(al_srch+Sens!J12481+sbc_r)</f>
        <v>15.6873363367184</v>
      </c>
      <c r="K12486" s="6" t="n">
        <f aca="false">Seg!K22*(al_srch+Sens!K12481+sbc_r)</f>
        <v>16.8403848378749</v>
      </c>
    </row>
    <row r="12487" customFormat="false" ht="17.15" hidden="false" customHeight="false" outlineLevel="0" collapsed="false">
      <c r="A12487" s="0" t="s">
        <v>1062</v>
      </c>
      <c r="B12487" s="0" t="s">
        <v>98</v>
      </c>
      <c r="F12487" s="6" t="n">
        <f aca="false">Thesis!F29-Thesis!F30+Thesis!F44</f>
        <v>55.6743052939671</v>
      </c>
      <c r="G12487" s="6" t="n">
        <f aca="false">Thesis!G29-Thesis!G30+Thesis!G44</f>
        <v>100.2533125707</v>
      </c>
      <c r="H12487" s="6" t="n">
        <f aca="false">Thesis!H29-Thesis!H30+Thesis!H44</f>
        <v>152.31255014234</v>
      </c>
      <c r="I12487" s="6" t="n">
        <f aca="false">Thesis!I29-Thesis!I30+Thesis!I44</f>
        <v>194.041990076394</v>
      </c>
      <c r="J12487" s="6" t="n">
        <f aca="false">Thesis!J29-Thesis!J30+Thesis!J44</f>
        <v>223.463148273617</v>
      </c>
      <c r="K12487" s="6" t="n">
        <f aca="false">Thesis!K29-Thesis!K30+Thesis!K44</f>
        <v>241.312249272487</v>
      </c>
    </row>
    <row r="12488" customFormat="false" ht="17.15" hidden="false" customHeight="false" outlineLevel="0" collapsed="false">
      <c r="A12488" s="0" t="s">
        <v>1063</v>
      </c>
      <c r="B12488" s="0" t="s">
        <v>98</v>
      </c>
      <c r="F12488" s="6" t="n">
        <f aca="false">PL!F32+Thesis!F44+Thesis!F40+Sens!F12481*(Seg!F21-Thesis!F23)+sbc_r*Seg!F21</f>
        <v>247.769309676659</v>
      </c>
      <c r="G12488" s="6" t="n">
        <f aca="false">PL!G32+Thesis!G44+Thesis!G40+Sens!G12481*(Seg!G21-Thesis!G23)+sbc_r*Seg!G21</f>
        <v>321.625870182006</v>
      </c>
      <c r="H12488" s="6" t="n">
        <f aca="false">PL!H32+Thesis!H44+Thesis!H40+Sens!H12481*(Seg!H21-Thesis!H23)+sbc_r*Seg!H21</f>
        <v>403.668756829163</v>
      </c>
      <c r="I12488" s="6" t="n">
        <f aca="false">PL!I32+Thesis!I44+Thesis!I40+Sens!I12481*(Seg!I21-Thesis!I23)+sbc_r*Seg!I21</f>
        <v>473.311817063846</v>
      </c>
      <c r="J12488" s="6" t="n">
        <f aca="false">PL!J32+Thesis!J44+Thesis!J40+Sens!J12481*(Seg!J21-Thesis!J23)+sbc_r*Seg!J21</f>
        <v>527.683171494685</v>
      </c>
      <c r="K12488" s="6" t="n">
        <f aca="false">PL!K32+Thesis!K44+Thesis!K40+Sens!K12481*(Seg!K21-Thesis!K23)+sbc_r*Seg!K21</f>
        <v>568.060513693045</v>
      </c>
    </row>
    <row r="12489" customFormat="false" ht="17.15" hidden="false" customHeight="false" outlineLevel="0" collapsed="false">
      <c r="A12489" s="0" t="s">
        <v>1064</v>
      </c>
      <c r="B12489" s="0" t="s">
        <v>98</v>
      </c>
      <c r="F12489" s="6" t="n">
        <f aca="false">Sens!F12488-Sens!F12482-Sens!F12483-Sens!F12484-Sens!F12485-Sens!F12487</f>
        <v>61.0863760939514</v>
      </c>
      <c r="G12489" s="6" t="n">
        <f aca="false">Sens!G12488-Sens!G12482-Sens!G12483-Sens!G12484-Sens!G12485-Sens!G12487</f>
        <v>73.6219021413484</v>
      </c>
      <c r="H12489" s="6" t="n">
        <f aca="false">Sens!H12488-Sens!H12482-Sens!H12483-Sens!H12484-Sens!H12485-Sens!H12487</f>
        <v>86.7020599590046</v>
      </c>
      <c r="I12489" s="6" t="n">
        <f aca="false">Sens!I12488-Sens!I12482-Sens!I12483-Sens!I12484-Sens!I12485-Sens!I12487</f>
        <v>99.2495427073239</v>
      </c>
      <c r="J12489" s="6" t="n">
        <f aca="false">Sens!J12488-Sens!J12482-Sens!J12483-Sens!J12484-Sens!J12485-Sens!J12487</f>
        <v>110.596579910238</v>
      </c>
      <c r="K12489" s="6" t="n">
        <f aca="false">Sens!K12488-Sens!K12482-Sens!K12483-Sens!K12484-Sens!K12485-Sens!K12487</f>
        <v>120.01555725587</v>
      </c>
    </row>
    <row r="12490" customFormat="false" ht="17.15" hidden="false" customHeight="false" outlineLevel="0" collapsed="false">
      <c r="A12490" s="0" t="s">
        <v>1065</v>
      </c>
      <c r="B12490" s="0" t="s">
        <v>98</v>
      </c>
      <c r="F12490" s="6" t="n">
        <f aca="false">PL!F34+Sens!F12481*Seg!F28+sbc_r*Seg!F28</f>
        <v>26.1717931813002</v>
      </c>
      <c r="G12490" s="6" t="n">
        <f aca="false">PL!G34+Sens!G12481*Seg!G28+sbc_r*Seg!G28</f>
        <v>26.7581197754446</v>
      </c>
      <c r="H12490" s="6" t="n">
        <f aca="false">PL!H34+Sens!H12481*Seg!H28+sbc_r*Seg!H28</f>
        <v>27.6201174920951</v>
      </c>
      <c r="I12490" s="6" t="n">
        <f aca="false">PL!I34+Sens!I12481*Seg!I28+sbc_r*Seg!I28</f>
        <v>28.7296306530919</v>
      </c>
      <c r="J12490" s="6" t="n">
        <f aca="false">PL!J34+Sens!J12481*Seg!J28+sbc_r*Seg!J28</f>
        <v>30.04749983899</v>
      </c>
      <c r="K12490" s="6" t="n">
        <f aca="false">PL!K34+Sens!K12481*Seg!K28+sbc_r*Seg!K28</f>
        <v>31.5292329023825</v>
      </c>
    </row>
    <row r="12491" customFormat="false" ht="17.15" hidden="false" customHeight="false" outlineLevel="0" collapsed="false">
      <c r="A12491" s="0" t="s">
        <v>1066</v>
      </c>
      <c r="B12491" s="0" t="s">
        <v>98</v>
      </c>
      <c r="F12491" s="6" t="n">
        <f aca="false">(Sens!F12490-Sens!F12486)*Seg!F24/(Seg!F24+Seg!F26)</f>
        <v>8.20842484359027</v>
      </c>
      <c r="G12491" s="6" t="n">
        <f aca="false">(Sens!G12490-Sens!G12486)*Seg!G24/(Seg!G24+Seg!G26)</f>
        <v>7.80559384110416</v>
      </c>
      <c r="H12491" s="6" t="n">
        <f aca="false">(Sens!H12490-Sens!H12486)*Seg!H24/(Seg!H24+Seg!H26)</f>
        <v>7.56817041839156</v>
      </c>
      <c r="I12491" s="6" t="n">
        <f aca="false">(Sens!I12490-Sens!I12486)*Seg!I24/(Seg!I24+Seg!I26)</f>
        <v>7.47875608696462</v>
      </c>
      <c r="J12491" s="6" t="n">
        <f aca="false">(Sens!J12490-Sens!J12486)*Seg!J24/(Seg!J24+Seg!J26)</f>
        <v>7.52410955955578</v>
      </c>
      <c r="K12491" s="6" t="n">
        <f aca="false">(Sens!K12490-Sens!K12486)*Seg!K24/(Seg!K24+Seg!K26)</f>
        <v>7.6963261681206</v>
      </c>
    </row>
    <row r="12492" customFormat="false" ht="17.15" hidden="false" customHeight="false" outlineLevel="0" collapsed="false">
      <c r="A12492" s="0" t="s">
        <v>1067</v>
      </c>
      <c r="B12492" s="0" t="s">
        <v>98</v>
      </c>
      <c r="F12492" s="6" t="n">
        <f aca="false">Sens!F12490-Sens!F12486-Sens!F12491</f>
        <v>6.76525389611778</v>
      </c>
      <c r="G12492" s="6" t="n">
        <f aca="false">Sens!G12490-Sens!G12486-Sens!G12491</f>
        <v>6.69173339018827</v>
      </c>
      <c r="H12492" s="6" t="n">
        <f aca="false">Sens!H12490-Sens!H12486-Sens!H12491</f>
        <v>6.68066835645346</v>
      </c>
      <c r="I12492" s="6" t="n">
        <f aca="false">Sens!I12490-Sens!I12486-Sens!I12491</f>
        <v>6.73030318873177</v>
      </c>
      <c r="J12492" s="6" t="n">
        <f aca="false">Sens!J12490-Sens!J12486-Sens!J12491</f>
        <v>6.83605394271588</v>
      </c>
      <c r="K12492" s="6" t="n">
        <f aca="false">Sens!K12490-Sens!K12486-Sens!K12491</f>
        <v>6.99252189638696</v>
      </c>
    </row>
    <row r="12493" customFormat="false" ht="17.15" hidden="false" customHeight="false" outlineLevel="0" collapsed="false">
      <c r="A12493" s="0" t="s">
        <v>1068</v>
      </c>
      <c r="B12493" s="0" t="s">
        <v>98</v>
      </c>
      <c r="F12493" s="6" t="n">
        <f aca="false">Sens!F12487-tax_f*(Sens!F12487-Thesis!F40)-Thesis!F37</f>
        <v>-116.98560144409</v>
      </c>
      <c r="G12493" s="6" t="n">
        <f aca="false">Sens!G12487-tax_f*(Sens!G12487-Thesis!G40)-Thesis!G37</f>
        <v>-91.2751837745719</v>
      </c>
      <c r="H12493" s="6" t="n">
        <f aca="false">Sens!H12487-tax_f*(Sens!H12487-Thesis!H40)-Thesis!H37</f>
        <v>-48.6867825979003</v>
      </c>
      <c r="I12493" s="6" t="n">
        <f aca="false">Sens!I12487-tax_f*(Sens!I12487-Thesis!I40)-Thesis!I37</f>
        <v>13.9193309033143</v>
      </c>
      <c r="J12493" s="6" t="n">
        <f aca="false">Sens!J12487-tax_f*(Sens!J12487-Thesis!J40)-Thesis!J37</f>
        <v>80.0897840853365</v>
      </c>
      <c r="K12493" s="6" t="n">
        <f aca="false">Sens!K12487-tax_f*(Sens!K12487-Thesis!K40)-Thesis!K37</f>
        <v>106.014893136948</v>
      </c>
    </row>
    <row r="12494" customFormat="false" ht="17.15" hidden="false" customHeight="false" outlineLevel="0" collapsed="false">
      <c r="A12494" s="0" t="s">
        <v>1069</v>
      </c>
      <c r="B12494" s="0" t="s">
        <v>98</v>
      </c>
      <c r="F12494" s="6" t="n">
        <f aca="false">Sens!F12493*Sens!F12467</f>
        <v>-111.392914502638</v>
      </c>
      <c r="G12494" s="6" t="n">
        <f aca="false">Sens!G12493*Sens!G12467</f>
        <v>-78.8003561967933</v>
      </c>
      <c r="H12494" s="6" t="n">
        <f aca="false">Sens!H12493*Sens!H12467</f>
        <v>-38.1098158303589</v>
      </c>
      <c r="I12494" s="6" t="n">
        <f aca="false">Sens!I12493*Sens!I12467</f>
        <v>9.87857822946124</v>
      </c>
      <c r="J12494" s="6" t="n">
        <f aca="false">Sens!J12493*Sens!J12467</f>
        <v>51.5351466908437</v>
      </c>
      <c r="K12494" s="6" t="n">
        <f aca="false">Sens!K12493*Sens!K12467</f>
        <v>61.8505524851231</v>
      </c>
    </row>
    <row r="12495" customFormat="false" ht="17.15" hidden="false" customHeight="false" outlineLevel="0" collapsed="false">
      <c r="A12495" s="0" t="s">
        <v>1070</v>
      </c>
      <c r="B12495" s="0" t="s">
        <v>98</v>
      </c>
      <c r="C12495" s="6" t="n">
        <f aca="false">(Sens!K12487-Thesis!K40)*(1-tax_f)*(1+g_tv_hi)*(1-g_tv_hi/(wacc+ronic_prem))/(wacc-g_tv_hi)/(1+wacc)^(Sens!K12466+mid_yr)</f>
        <v>456.605472196431</v>
      </c>
    </row>
    <row r="12496" customFormat="false" ht="17.15" hidden="false" customHeight="false" outlineLevel="0" collapsed="false">
      <c r="A12496" s="1" t="s">
        <v>1071</v>
      </c>
      <c r="B12496" s="0" t="s">
        <v>98</v>
      </c>
      <c r="C12496" s="6" t="n">
        <f aca="false">(SUM(Sens!F12494:K12494)+Sens!$C$12495)*(1+wacc)^t_roll</f>
        <v>400.340697884312</v>
      </c>
      <c r="L12496" s="11" t="s">
        <v>1072</v>
      </c>
    </row>
    <row r="12497" customFormat="false" ht="17.15" hidden="false" customHeight="false" outlineLevel="0" collapsed="false">
      <c r="A12497" s="1" t="s">
        <v>1073</v>
      </c>
      <c r="B12497" s="0" t="s">
        <v>98</v>
      </c>
      <c r="C12497" s="6" t="n">
        <f aca="false">(w_ntm28*Thesis!G29+(1-w_ntm28)*Thesis!H29)*m_ai</f>
        <v>551.711134531404</v>
      </c>
    </row>
    <row r="12498" customFormat="false" ht="17.15" hidden="false" customHeight="false" outlineLevel="0" collapsed="false">
      <c r="A12498" s="1" t="s">
        <v>1074</v>
      </c>
      <c r="B12498" s="0" t="s">
        <v>98</v>
      </c>
      <c r="C12498" s="6" t="n">
        <f aca="false">(w_ntm28*Sens!G12489+(1-w_ntm28)*Sens!H12489)*m_cloud</f>
        <v>1075.89468255979</v>
      </c>
    </row>
    <row r="12499" customFormat="false" ht="17.15" hidden="false" customHeight="false" outlineLevel="0" collapsed="false">
      <c r="A12499" s="1" t="s">
        <v>1075</v>
      </c>
      <c r="B12499" s="0" t="s">
        <v>98</v>
      </c>
      <c r="C12499" s="6" t="n">
        <f aca="false">(w_ntm28*Sens!G12482+(1-w_ntm28)*Sens!H12482)*m_sw</f>
        <v>1124.90844188024</v>
      </c>
    </row>
    <row r="12500" customFormat="false" ht="17.15" hidden="false" customHeight="false" outlineLevel="0" collapsed="false">
      <c r="A12500" s="1" t="s">
        <v>1076</v>
      </c>
      <c r="B12500" s="0" t="s">
        <v>98</v>
      </c>
      <c r="C12500" s="6" t="n">
        <f aca="false">(w_ntm28*Sens!G12483+(1-w_ntm28)*Sens!H12483)*m_sw</f>
        <v>379.14616828134</v>
      </c>
    </row>
    <row r="12501" customFormat="false" ht="17.15" hidden="false" customHeight="false" outlineLevel="0" collapsed="false">
      <c r="A12501" s="1" t="s">
        <v>1077</v>
      </c>
      <c r="B12501" s="0" t="s">
        <v>98</v>
      </c>
      <c r="C12501" s="6" t="n">
        <f aca="false">(w_ntm28*Sens!G12484+(1-w_ntm28)*Sens!H12484)*m_sw</f>
        <v>109.062013245671</v>
      </c>
    </row>
    <row r="12502" customFormat="false" ht="17.15" hidden="false" customHeight="false" outlineLevel="0" collapsed="false">
      <c r="A12502" s="1" t="s">
        <v>1078</v>
      </c>
      <c r="B12502" s="0" t="s">
        <v>98</v>
      </c>
      <c r="C12502" s="6" t="n">
        <f aca="false">(w_ntm28*Sens!G12485+(1-w_ntm28)*Sens!H12485)*m_sw</f>
        <v>41.609111172448</v>
      </c>
    </row>
    <row r="12503" customFormat="false" ht="17.15" hidden="false" customHeight="false" outlineLevel="0" collapsed="false">
      <c r="A12503" s="1" t="s">
        <v>1079</v>
      </c>
      <c r="B12503" s="0" t="s">
        <v>98</v>
      </c>
      <c r="C12503" s="6" t="n">
        <f aca="false">(w_ntm28*Sens!G12486+(1-w_ntm28)*Sens!H12486)*m_ads</f>
        <v>114.966369190532</v>
      </c>
    </row>
    <row r="12504" customFormat="false" ht="17.15" hidden="false" customHeight="false" outlineLevel="0" collapsed="false">
      <c r="A12504" s="1" t="s">
        <v>1080</v>
      </c>
      <c r="B12504" s="0" t="s">
        <v>98</v>
      </c>
      <c r="C12504" s="6" t="n">
        <f aca="false">(w_ntm28*Sens!G12491+(1-w_ntm28)*Sens!H12491)*m_game</f>
        <v>97.6152211068291</v>
      </c>
    </row>
    <row r="12505" customFormat="false" ht="17.15" hidden="false" customHeight="false" outlineLevel="0" collapsed="false">
      <c r="A12505" s="1" t="s">
        <v>1081</v>
      </c>
      <c r="B12505" s="0" t="s">
        <v>98</v>
      </c>
      <c r="C12505" s="6" t="n">
        <f aca="false">(w_ntm28*Sens!G12492+(1-w_ntm28)*Sens!H12492)*m_pc</f>
        <v>96.7776202313644</v>
      </c>
    </row>
    <row r="12506" customFormat="false" ht="17.15" hidden="false" customHeight="false" outlineLevel="0" collapsed="false">
      <c r="A12506" s="1" t="s">
        <v>1082</v>
      </c>
      <c r="B12506" s="0" t="s">
        <v>98</v>
      </c>
      <c r="C12506" s="6" t="n">
        <f aca="false">Sens!$C$12496+Sens!$C$12498+Sens!$C$12499+Sens!$C$12500+Sens!$C$12501+Sens!$C$12502+Sens!$C$12503+Sens!$C$12504+Sens!$C$12505</f>
        <v>3440.32032555253</v>
      </c>
    </row>
    <row r="12507" customFormat="false" ht="17.15" hidden="false" customHeight="false" outlineLevel="0" collapsed="false">
      <c r="A12507" s="1" t="s">
        <v>1000</v>
      </c>
      <c r="B12507" s="0" t="s">
        <v>98</v>
      </c>
      <c r="C12507" s="6" t="n">
        <f aca="false">CF!F36+oai_v-CF!F25</f>
        <v>115.079583119545</v>
      </c>
      <c r="L12507" s="1" t="s">
        <v>1083</v>
      </c>
    </row>
    <row r="12508" customFormat="false" ht="15" hidden="false" customHeight="false" outlineLevel="0" collapsed="false">
      <c r="A12508" s="1" t="s">
        <v>1001</v>
      </c>
      <c r="B12508" s="0" t="s">
        <v>75</v>
      </c>
      <c r="C12508" s="5" t="n">
        <f aca="false">(Sens!$C$12506+Sens!$C$12507)/CF!F38</f>
        <v>475.829752231273</v>
      </c>
    </row>
    <row r="12509" customFormat="false" ht="17.15" hidden="false" customHeight="false" outlineLevel="0" collapsed="false">
      <c r="A12509" s="1" t="s">
        <v>1084</v>
      </c>
      <c r="B12509" s="0" t="s">
        <v>75</v>
      </c>
      <c r="C12509" s="5" t="n">
        <f aca="false">w_dcf*Sens!$C$12480+(1-w_dcf)*Sens!$C$12508</f>
        <v>430.275901519261</v>
      </c>
    </row>
    <row r="12510" customFormat="false" ht="17.15" hidden="false" customHeight="false" outlineLevel="0" collapsed="false">
      <c r="A12510" s="3" t="s">
        <v>1559</v>
      </c>
    </row>
    <row r="12511" customFormat="false" ht="15" hidden="false" customHeight="false" outlineLevel="0" collapsed="false">
      <c r="A12511" s="4" t="s">
        <v>43</v>
      </c>
      <c r="B12511" s="4" t="s">
        <v>65</v>
      </c>
      <c r="C12511" s="20" t="s">
        <v>788</v>
      </c>
      <c r="D12511" s="20" t="s">
        <v>789</v>
      </c>
      <c r="E12511" s="20" t="s">
        <v>790</v>
      </c>
      <c r="F12511" s="20" t="s">
        <v>791</v>
      </c>
      <c r="G12511" s="20" t="s">
        <v>792</v>
      </c>
      <c r="H12511" s="20" t="s">
        <v>793</v>
      </c>
      <c r="I12511" s="20" t="s">
        <v>794</v>
      </c>
      <c r="J12511" s="20" t="s">
        <v>795</v>
      </c>
      <c r="K12511" s="20" t="s">
        <v>796</v>
      </c>
      <c r="L12511" s="4" t="s">
        <v>47</v>
      </c>
    </row>
    <row r="12512" customFormat="false" ht="15" hidden="false" customHeight="false" outlineLevel="0" collapsed="false">
      <c r="A12512" s="1" t="s">
        <v>1042</v>
      </c>
      <c r="B12512" s="1" t="s">
        <v>235</v>
      </c>
      <c r="F12512" s="36" t="n">
        <f aca="false">Thesis!F55-base_fy-mid_yr</f>
        <v>0.5</v>
      </c>
      <c r="G12512" s="36" t="n">
        <f aca="false">Thesis!G55-base_fy-mid_yr</f>
        <v>1.5</v>
      </c>
      <c r="H12512" s="36" t="n">
        <f aca="false">Thesis!H55-base_fy-mid_yr</f>
        <v>2.5</v>
      </c>
      <c r="I12512" s="36" t="n">
        <f aca="false">Thesis!I55-base_fy-mid_yr</f>
        <v>3.5</v>
      </c>
      <c r="J12512" s="36" t="n">
        <f aca="false">Thesis!J55-base_fy-mid_yr</f>
        <v>4.5</v>
      </c>
      <c r="K12512" s="36" t="n">
        <f aca="false">Thesis!K55-base_fy-mid_yr</f>
        <v>5.5</v>
      </c>
    </row>
    <row r="12513" customFormat="false" ht="15" hidden="false" customHeight="false" outlineLevel="0" collapsed="false">
      <c r="A12513" s="1" t="s">
        <v>1043</v>
      </c>
      <c r="B12513" s="0" t="s">
        <v>185</v>
      </c>
      <c r="F12513" s="14" t="n">
        <f aca="false">1/(1+wacc)^Sens!F12512</f>
        <v>0.952193373608246</v>
      </c>
      <c r="G12513" s="14" t="n">
        <f aca="false">1/(1+wacc)^Sens!G12512</f>
        <v>0.863327280626589</v>
      </c>
      <c r="H12513" s="14" t="n">
        <f aca="false">1/(1+wacc)^Sens!H12512</f>
        <v>0.782754862754115</v>
      </c>
      <c r="I12513" s="14" t="n">
        <f aca="false">1/(1+wacc)^Sens!I12512</f>
        <v>0.709702089711011</v>
      </c>
      <c r="J12513" s="14" t="n">
        <f aca="false">1/(1+wacc)^Sens!J12512</f>
        <v>0.643467169744551</v>
      </c>
      <c r="K12513" s="14" t="n">
        <f aca="false">1/(1+wacc)^Sens!K12512</f>
        <v>0.583413807767797</v>
      </c>
    </row>
    <row r="12514" customFormat="false" ht="17.15" hidden="false" customHeight="false" outlineLevel="0" collapsed="false">
      <c r="A12514" s="1" t="s">
        <v>1044</v>
      </c>
      <c r="B12514" s="0" t="s">
        <v>98</v>
      </c>
      <c r="F12514" s="6" t="n">
        <f aca="false">CF!F50-CF!F48-CF!F53+Thesis!F93*(1-tax_f)</f>
        <v>6.35272982150552</v>
      </c>
      <c r="G12514" s="6" t="n">
        <f aca="false">CF!G50-CF!G48-CF!G53+Thesis!G93*(1-tax_f)</f>
        <v>46.5420417324757</v>
      </c>
      <c r="H12514" s="6" t="n">
        <f aca="false">CF!H50-CF!H48-CF!H53+Thesis!H93*(1-tax_f)</f>
        <v>95.2982347048119</v>
      </c>
      <c r="I12514" s="6" t="n">
        <f aca="false">CF!I50-CF!I48-CF!I53+Thesis!I93*(1-tax_f)</f>
        <v>168.760108332815</v>
      </c>
      <c r="J12514" s="6" t="n">
        <f aca="false">CF!J50-CF!J48-CF!J53+Thesis!J93*(1-tax_f)</f>
        <v>246.10903404452</v>
      </c>
      <c r="K12514" s="6" t="n">
        <f aca="false">CF!K50-CF!K48-CF!K53+Thesis!K93*(1-tax_f)</f>
        <v>283.7365778763</v>
      </c>
      <c r="L12514" s="1" t="s">
        <v>1045</v>
      </c>
    </row>
    <row r="12515" customFormat="false" ht="15" hidden="false" customHeight="false" outlineLevel="0" collapsed="false">
      <c r="A12515" s="1" t="s">
        <v>1046</v>
      </c>
      <c r="B12515" s="0" t="s">
        <v>98</v>
      </c>
      <c r="F12515" s="6" t="n">
        <f aca="false">Sens!F12514*Sens!F12513</f>
        <v>6.04902724036105</v>
      </c>
      <c r="G12515" s="6" t="n">
        <f aca="false">Sens!G12514*Sens!G12513</f>
        <v>40.1810143237074</v>
      </c>
      <c r="H12515" s="6" t="n">
        <f aca="false">Sens!H12514*Sens!H12513</f>
        <v>74.5951566270745</v>
      </c>
      <c r="I12515" s="6" t="n">
        <f aca="false">Sens!I12514*Sens!I12513</f>
        <v>119.769401543655</v>
      </c>
      <c r="J12515" s="6" t="n">
        <f aca="false">Sens!J12514*Sens!J12513</f>
        <v>158.363083585193</v>
      </c>
      <c r="K12515" s="6" t="n">
        <f aca="false">Sens!K12514*Sens!K12513</f>
        <v>165.535837301816</v>
      </c>
    </row>
    <row r="12516" customFormat="false" ht="17.15" hidden="false" customHeight="false" outlineLevel="0" collapsed="false">
      <c r="A12516" s="1" t="s">
        <v>1047</v>
      </c>
      <c r="B12516" s="0" t="s">
        <v>98</v>
      </c>
      <c r="C12516" s="6" t="n">
        <f aca="false">SUM(Sens!F12515:K12515)</f>
        <v>564.493520621807</v>
      </c>
    </row>
    <row r="12517" customFormat="false" ht="17.15" hidden="false" customHeight="false" outlineLevel="0" collapsed="false">
      <c r="A12517" s="1" t="s">
        <v>1048</v>
      </c>
      <c r="B12517" s="0" t="s">
        <v>98</v>
      </c>
      <c r="C12517" s="6" t="n">
        <f aca="false">PL!K78*(1+g_tv_hi)*(1-tax_f)</f>
        <v>296.616460151733</v>
      </c>
    </row>
    <row r="12518" customFormat="false" ht="17.15" hidden="false" customHeight="false" outlineLevel="0" collapsed="false">
      <c r="A12518" s="1" t="s">
        <v>1049</v>
      </c>
      <c r="B12518" s="0" t="s">
        <v>98</v>
      </c>
      <c r="C12518" s="6" t="n">
        <f aca="false">Sens!$C$12517*(1-g_tv_hi/(wacc+ronic_prem))</f>
        <v>181.352213310258</v>
      </c>
    </row>
    <row r="12519" customFormat="false" ht="17.15" hidden="false" customHeight="false" outlineLevel="0" collapsed="false">
      <c r="A12519" s="1" t="s">
        <v>1050</v>
      </c>
      <c r="B12519" s="0" t="s">
        <v>98</v>
      </c>
      <c r="C12519" s="6" t="n">
        <f aca="false">Sens!$C$12518/(wacc-g_tv_hi)</f>
        <v>2881.60617103688</v>
      </c>
    </row>
    <row r="12520" customFormat="false" ht="15" hidden="false" customHeight="false" outlineLevel="0" collapsed="false">
      <c r="A12520" s="1" t="s">
        <v>1051</v>
      </c>
      <c r="B12520" s="0" t="s">
        <v>98</v>
      </c>
      <c r="C12520" s="6" t="n">
        <f aca="false">Sens!$C$12519/(1+wacc)^(Sens!K12512+mid_yr)</f>
        <v>1600.79781863516</v>
      </c>
    </row>
    <row r="12521" customFormat="false" ht="17.15" hidden="false" customHeight="false" outlineLevel="0" collapsed="false">
      <c r="A12521" s="0" t="s">
        <v>972</v>
      </c>
      <c r="B12521" s="0" t="s">
        <v>98</v>
      </c>
      <c r="C12521" s="6" t="n">
        <f aca="false">Sens!$C$12516+Sens!$C$12520</f>
        <v>2165.29133925697</v>
      </c>
    </row>
    <row r="12522" customFormat="false" ht="15" hidden="false" customHeight="false" outlineLevel="0" collapsed="false">
      <c r="A12522" s="1" t="s">
        <v>973</v>
      </c>
      <c r="B12522" s="0" t="s">
        <v>129</v>
      </c>
      <c r="C12522" s="7" t="n">
        <f aca="false">Sens!$C$12520/Sens!$C$12521</f>
        <v>0.739299044711685</v>
      </c>
    </row>
    <row r="12523" customFormat="false" ht="17.15" hidden="false" customHeight="false" outlineLevel="0" collapsed="false">
      <c r="A12523" s="1" t="s">
        <v>1052</v>
      </c>
      <c r="B12523" s="0" t="s">
        <v>98</v>
      </c>
      <c r="C12523" s="6" t="n">
        <f aca="false">Sens!$C$12521+CF!E65-CF!E54+oai_v</f>
        <v>2299.80433925697</v>
      </c>
    </row>
    <row r="12524" customFormat="false" ht="17.15" hidden="false" customHeight="false" outlineLevel="0" collapsed="false">
      <c r="A12524" s="0" t="s">
        <v>980</v>
      </c>
      <c r="B12524" s="0" t="s">
        <v>75</v>
      </c>
      <c r="C12524" s="5" t="n">
        <f aca="false">Sens!$C$12523/sh_dil26</f>
        <v>308.574310916003</v>
      </c>
    </row>
    <row r="12525" customFormat="false" ht="15" hidden="false" customHeight="false" outlineLevel="0" collapsed="false">
      <c r="A12525" s="1" t="s">
        <v>1053</v>
      </c>
      <c r="B12525" s="0" t="s">
        <v>75</v>
      </c>
      <c r="C12525" s="8" t="n">
        <f aca="false">dps_27+CF!G57*roll_div_q/q_per_yr</f>
        <v>4.8895</v>
      </c>
    </row>
    <row r="12526" customFormat="false" ht="17.15" hidden="false" customHeight="false" outlineLevel="0" collapsed="false">
      <c r="A12526" s="0" t="s">
        <v>1054</v>
      </c>
      <c r="B12526" s="0" t="s">
        <v>75</v>
      </c>
      <c r="C12526" s="5" t="n">
        <f aca="false">Sens!$C$12524*(1+wacc)^t_roll-Sens!$C$12525</f>
        <v>346.49437098995</v>
      </c>
    </row>
    <row r="12527" customFormat="false" ht="17.15" hidden="false" customHeight="false" outlineLevel="0" collapsed="false">
      <c r="A12527" s="1" t="s">
        <v>1055</v>
      </c>
      <c r="B12527" s="0" t="s">
        <v>129</v>
      </c>
      <c r="F12527" s="7" t="n">
        <f aca="false">CF!F46/(Seg!F56-Thesis!F72)</f>
        <v>0.0684307874075333</v>
      </c>
      <c r="G12527" s="7" t="n">
        <f aca="false">CF!G46/(Seg!G56-Thesis!G72)</f>
        <v>0.0656456058503526</v>
      </c>
      <c r="H12527" s="7" t="n">
        <f aca="false">CF!H46/(Seg!H56-Thesis!H72)</f>
        <v>0.0641950889132003</v>
      </c>
      <c r="I12527" s="7" t="n">
        <f aca="false">CF!I46/(Seg!I56-Thesis!I72)</f>
        <v>0.063960269667854</v>
      </c>
      <c r="J12527" s="7" t="n">
        <f aca="false">CF!J46/(Seg!J56-Thesis!J72)</f>
        <v>0.0646607917002597</v>
      </c>
      <c r="K12527" s="7" t="n">
        <f aca="false">CF!K46/(Seg!K56-Thesis!K72)</f>
        <v>0.0659511546529383</v>
      </c>
    </row>
    <row r="12528" customFormat="false" ht="17.15" hidden="false" customHeight="false" outlineLevel="0" collapsed="false">
      <c r="A12528" s="0" t="s">
        <v>1056</v>
      </c>
      <c r="B12528" s="0" t="s">
        <v>98</v>
      </c>
      <c r="F12528" s="6" t="n">
        <f aca="false">Seg!F41*(al_m365+Sens!F12527+sbc_r)</f>
        <v>83.9158372980923</v>
      </c>
      <c r="G12528" s="6" t="n">
        <f aca="false">Seg!G41*(al_m365+Sens!G12527+sbc_r)</f>
        <v>96.3459139664276</v>
      </c>
      <c r="H12528" s="6" t="n">
        <f aca="false">Seg!H41*(al_m365+Sens!H12527+sbc_r)</f>
        <v>108.939128787393</v>
      </c>
      <c r="I12528" s="6" t="n">
        <f aca="false">Seg!I41*(al_m365+Sens!I12527+sbc_r)</f>
        <v>120.51456797186</v>
      </c>
      <c r="J12528" s="6" t="n">
        <f aca="false">Seg!J41*(al_m365+Sens!J12527+sbc_r)</f>
        <v>130.883844402211</v>
      </c>
      <c r="K12528" s="6" t="n">
        <f aca="false">Seg!K41*(al_m365+Sens!K12527+sbc_r)</f>
        <v>140.862269296832</v>
      </c>
      <c r="L12528" s="11" t="s">
        <v>1057</v>
      </c>
    </row>
    <row r="12529" customFormat="false" ht="17.15" hidden="false" customHeight="false" outlineLevel="0" collapsed="false">
      <c r="A12529" s="0" t="s">
        <v>1058</v>
      </c>
      <c r="B12529" s="0" t="s">
        <v>98</v>
      </c>
      <c r="F12529" s="6" t="n">
        <f aca="false">Seg!F42*(al_lic+Sens!F12527+sbc_r)</f>
        <v>33.4384115342236</v>
      </c>
      <c r="G12529" s="6" t="n">
        <f aca="false">Seg!G42*(al_lic+Sens!G12527+sbc_r)</f>
        <v>34.7409063621757</v>
      </c>
      <c r="H12529" s="6" t="n">
        <f aca="false">Seg!H42*(al_lic+Sens!H12527+sbc_r)</f>
        <v>35.9566740351293</v>
      </c>
      <c r="I12529" s="6" t="n">
        <f aca="false">Seg!I42*(al_lic+Sens!I12527+sbc_r)</f>
        <v>37.0672966580049</v>
      </c>
      <c r="J12529" s="6" t="n">
        <f aca="false">Seg!J42*(al_lic+Sens!J12527+sbc_r)</f>
        <v>38.0469841498966</v>
      </c>
      <c r="K12529" s="6" t="n">
        <f aca="false">Seg!K42*(al_lic+Sens!K12527+sbc_r)</f>
        <v>38.8666958490701</v>
      </c>
    </row>
    <row r="12530" customFormat="false" ht="17.15" hidden="false" customHeight="false" outlineLevel="0" collapsed="false">
      <c r="A12530" s="0" t="s">
        <v>1059</v>
      </c>
      <c r="B12530" s="0" t="s">
        <v>98</v>
      </c>
      <c r="F12530" s="6" t="n">
        <f aca="false">Seg!F44*(al_ind+Sens!F12527+sbc_r)</f>
        <v>9.07285900381439</v>
      </c>
      <c r="G12530" s="6" t="n">
        <f aca="false">Seg!G44*(al_ind+Sens!G12527+sbc_r)</f>
        <v>9.84969160470639</v>
      </c>
      <c r="H12530" s="6" t="n">
        <f aca="false">Seg!H44*(al_ind+Sens!H12527+sbc_r)</f>
        <v>10.6714469126029</v>
      </c>
      <c r="I12530" s="6" t="n">
        <f aca="false">Seg!I44*(al_ind+Sens!I12527+sbc_r)</f>
        <v>11.5350820765572</v>
      </c>
      <c r="J12530" s="6" t="n">
        <f aca="false">Seg!J44*(al_ind+Sens!J12527+sbc_r)</f>
        <v>12.4308815351832</v>
      </c>
      <c r="K12530" s="6" t="n">
        <f aca="false">Seg!K44*(al_ind+Sens!K12527+sbc_r)</f>
        <v>13.3437330974691</v>
      </c>
    </row>
    <row r="12531" customFormat="false" ht="17.15" hidden="false" customHeight="false" outlineLevel="0" collapsed="false">
      <c r="A12531" s="0" t="s">
        <v>1060</v>
      </c>
      <c r="B12531" s="0" t="s">
        <v>98</v>
      </c>
      <c r="F12531" s="6" t="n">
        <f aca="false">Seg!F46*(al_fro+Sens!F12527+sbc_r)</f>
        <v>3.5711091569032</v>
      </c>
      <c r="G12531" s="6" t="n">
        <f aca="false">Seg!G46*(al_fro+Sens!G12527+sbc_r)</f>
        <v>3.78169924595694</v>
      </c>
      <c r="H12531" s="6" t="n">
        <f aca="false">Seg!H46*(al_fro+Sens!H12527+sbc_r)</f>
        <v>4.02136645419237</v>
      </c>
      <c r="I12531" s="6" t="n">
        <f aca="false">Seg!I46*(al_fro+Sens!I12527+sbc_r)</f>
        <v>4.29288807676321</v>
      </c>
      <c r="J12531" s="6" t="n">
        <f aca="false">Seg!J46*(al_fro+Sens!J12527+sbc_r)</f>
        <v>4.59741770960175</v>
      </c>
      <c r="K12531" s="6" t="n">
        <f aca="false">Seg!K46*(al_fro+Sens!K12527+sbc_r)</f>
        <v>4.9350252981555</v>
      </c>
    </row>
    <row r="12532" customFormat="false" ht="17.15" hidden="false" customHeight="false" outlineLevel="0" collapsed="false">
      <c r="A12532" s="0" t="s">
        <v>1061</v>
      </c>
      <c r="B12532" s="0" t="s">
        <v>98</v>
      </c>
      <c r="F12532" s="6" t="n">
        <f aca="false">Seg!F49*(al_srch+Sens!F12527+sbc_r)</f>
        <v>11.205111954849</v>
      </c>
      <c r="G12532" s="6" t="n">
        <f aca="false">Seg!G49*(al_srch+Sens!G12527+sbc_r)</f>
        <v>12.2792883348957</v>
      </c>
      <c r="H12532" s="6" t="n">
        <f aca="false">Seg!H49*(al_srch+Sens!H12527+sbc_r)</f>
        <v>13.3983888227975</v>
      </c>
      <c r="I12532" s="6" t="n">
        <f aca="false">Seg!I49*(al_srch+Sens!I12527+sbc_r)</f>
        <v>14.5517695263616</v>
      </c>
      <c r="J12532" s="6" t="n">
        <f aca="false">Seg!J49*(al_srch+Sens!J12527+sbc_r)</f>
        <v>15.7194284145253</v>
      </c>
      <c r="K12532" s="6" t="n">
        <f aca="false">Seg!K49*(al_srch+Sens!K12527+sbc_r)</f>
        <v>16.87377171237</v>
      </c>
    </row>
    <row r="12533" customFormat="false" ht="17.15" hidden="false" customHeight="false" outlineLevel="0" collapsed="false">
      <c r="A12533" s="0" t="s">
        <v>1062</v>
      </c>
      <c r="B12533" s="0" t="s">
        <v>98</v>
      </c>
      <c r="F12533" s="6" t="n">
        <f aca="false">Thesis!F78-Thesis!F79+Thesis!F93</f>
        <v>52.8623286647412</v>
      </c>
      <c r="G12533" s="6" t="n">
        <f aca="false">Thesis!G78-Thesis!G79+Thesis!G93</f>
        <v>90.9040728275534</v>
      </c>
      <c r="H12533" s="6" t="n">
        <f aca="false">Thesis!H78-Thesis!H79+Thesis!H93</f>
        <v>131.644750996567</v>
      </c>
      <c r="I12533" s="6" t="n">
        <f aca="false">Thesis!I78-Thesis!I79+Thesis!I93</f>
        <v>168.39858142968</v>
      </c>
      <c r="J12533" s="6" t="n">
        <f aca="false">Thesis!J78-Thesis!J79+Thesis!J93</f>
        <v>194.311955071191</v>
      </c>
      <c r="K12533" s="6" t="n">
        <f aca="false">Thesis!K78-Thesis!K79+Thesis!K93</f>
        <v>210.298852071854</v>
      </c>
    </row>
    <row r="12534" customFormat="false" ht="17.15" hidden="false" customHeight="false" outlineLevel="0" collapsed="false">
      <c r="A12534" s="0" t="s">
        <v>1063</v>
      </c>
      <c r="B12534" s="0" t="s">
        <v>98</v>
      </c>
      <c r="F12534" s="6" t="n">
        <f aca="false">PL!F71+Thesis!F93+Thesis!F89+Sens!F12527*(Seg!F48-Thesis!F72)+sbc_r*Seg!F48</f>
        <v>243.876179717448</v>
      </c>
      <c r="G12534" s="6" t="n">
        <f aca="false">PL!G71+Thesis!G93+Thesis!G89+Sens!G12527*(Seg!G48-Thesis!G72)+sbc_r*Seg!G48</f>
        <v>308.994305130286</v>
      </c>
      <c r="H12534" s="6" t="n">
        <f aca="false">PL!H71+Thesis!H93+Thesis!H89+Sens!H12527*(Seg!H48-Thesis!H72)+sbc_r*Seg!H48</f>
        <v>377.321529021127</v>
      </c>
      <c r="I12534" s="6" t="n">
        <f aca="false">PL!I71+Thesis!I93+Thesis!I89+Sens!I12527*(Seg!I48-Thesis!I72)+sbc_r*Seg!I48</f>
        <v>440.295672377585</v>
      </c>
      <c r="J12534" s="6" t="n">
        <f aca="false">PL!J71+Thesis!J93+Thesis!J89+Sens!J12527*(Seg!J48-Thesis!J72)+sbc_r*Seg!J48</f>
        <v>489.992586437676</v>
      </c>
      <c r="K12534" s="6" t="n">
        <f aca="false">PL!K71+Thesis!K93+Thesis!K89+Sens!K12527*(Seg!K48-Thesis!K72)+sbc_r*Seg!K48</f>
        <v>527.395402529627</v>
      </c>
    </row>
    <row r="12535" customFormat="false" ht="17.15" hidden="false" customHeight="false" outlineLevel="0" collapsed="false">
      <c r="A12535" s="0" t="s">
        <v>1064</v>
      </c>
      <c r="B12535" s="0" t="s">
        <v>98</v>
      </c>
      <c r="F12535" s="6" t="n">
        <f aca="false">Sens!F12534-Sens!F12528-Sens!F12529-Sens!F12530-Sens!F12531-Sens!F12533</f>
        <v>61.0156340596736</v>
      </c>
      <c r="G12535" s="6" t="n">
        <f aca="false">Sens!G12534-Sens!G12528-Sens!G12529-Sens!G12530-Sens!G12531-Sens!G12533</f>
        <v>73.3720211234655</v>
      </c>
      <c r="H12535" s="6" t="n">
        <f aca="false">Sens!H12534-Sens!H12528-Sens!H12529-Sens!H12530-Sens!H12531-Sens!H12533</f>
        <v>86.0881618352416</v>
      </c>
      <c r="I12535" s="6" t="n">
        <f aca="false">Sens!I12534-Sens!I12528-Sens!I12529-Sens!I12530-Sens!I12531-Sens!I12533</f>
        <v>98.4872561647193</v>
      </c>
      <c r="J12535" s="6" t="n">
        <f aca="false">Sens!J12534-Sens!J12528-Sens!J12529-Sens!J12530-Sens!J12531-Sens!J12533</f>
        <v>109.721503569592</v>
      </c>
      <c r="K12535" s="6" t="n">
        <f aca="false">Sens!K12534-Sens!K12528-Sens!K12529-Sens!K12530-Sens!K12531-Sens!K12533</f>
        <v>119.088826916246</v>
      </c>
    </row>
    <row r="12536" customFormat="false" ht="17.15" hidden="false" customHeight="false" outlineLevel="0" collapsed="false">
      <c r="A12536" s="0" t="s">
        <v>1065</v>
      </c>
      <c r="B12536" s="0" t="s">
        <v>98</v>
      </c>
      <c r="F12536" s="6" t="n">
        <f aca="false">PL!F73+Sens!F12527*Seg!F55+sbc_r*Seg!F55</f>
        <v>26.1883018536976</v>
      </c>
      <c r="G12536" s="6" t="n">
        <f aca="false">PL!G73+Sens!G12527*Seg!G55+sbc_r*Seg!G55</f>
        <v>26.7988692269165</v>
      </c>
      <c r="H12536" s="6" t="n">
        <f aca="false">PL!H73+Sens!H12527*Seg!H55+sbc_r*Seg!H55</f>
        <v>27.676651877401</v>
      </c>
      <c r="I12536" s="6" t="n">
        <f aca="false">PL!I73+Sens!I12527*Seg!I55+sbc_r*Seg!I55</f>
        <v>28.7919477163856</v>
      </c>
      <c r="J12536" s="6" t="n">
        <f aca="false">PL!J73+Sens!J12527*Seg!J55+sbc_r*Seg!J55</f>
        <v>30.1095554599876</v>
      </c>
      <c r="K12536" s="6" t="n">
        <f aca="false">PL!K73+Sens!K12527*Seg!K55+sbc_r*Seg!K55</f>
        <v>31.5923355811805</v>
      </c>
    </row>
    <row r="12537" customFormat="false" ht="17.15" hidden="false" customHeight="false" outlineLevel="0" collapsed="false">
      <c r="A12537" s="0" t="s">
        <v>1066</v>
      </c>
      <c r="B12537" s="0" t="s">
        <v>98</v>
      </c>
      <c r="F12537" s="6" t="n">
        <f aca="false">(Sens!F12536-Sens!F12532)*Seg!F51/(Seg!F51+Seg!F53)</f>
        <v>8.21363876839376</v>
      </c>
      <c r="G12537" s="6" t="n">
        <f aca="false">(Sens!G12536-Sens!G12532)*Seg!G51/(Seg!G51+Seg!G53)</f>
        <v>7.81757556948427</v>
      </c>
      <c r="H12537" s="6" t="n">
        <f aca="false">(Sens!H12536-Sens!H12532)*Seg!H51/(Seg!H51+Seg!H53)</f>
        <v>7.58379891746928</v>
      </c>
      <c r="I12537" s="6" t="n">
        <f aca="false">(Sens!I12536-Sens!I12532)*Seg!I51/(Seg!I51+Seg!I53)</f>
        <v>7.49513512835163</v>
      </c>
      <c r="J12537" s="6" t="n">
        <f aca="false">(Sens!J12536-Sens!J12532)*Seg!J51/(Seg!J51+Seg!J53)</f>
        <v>7.53980917061682</v>
      </c>
      <c r="K12537" s="6" t="n">
        <f aca="false">(Sens!K12536-Sens!K12532)*Seg!K51/(Seg!K51+Seg!K53)</f>
        <v>7.71189597463361</v>
      </c>
    </row>
    <row r="12538" customFormat="false" ht="17.15" hidden="false" customHeight="false" outlineLevel="0" collapsed="false">
      <c r="A12538" s="0" t="s">
        <v>1067</v>
      </c>
      <c r="B12538" s="0" t="s">
        <v>98</v>
      </c>
      <c r="F12538" s="6" t="n">
        <f aca="false">Sens!F12536-Sens!F12532-Sens!F12537</f>
        <v>6.76955113045481</v>
      </c>
      <c r="G12538" s="6" t="n">
        <f aca="false">Sens!G12536-Sens!G12532-Sens!G12537</f>
        <v>6.70200532253647</v>
      </c>
      <c r="H12538" s="6" t="n">
        <f aca="false">Sens!H12536-Sens!H12532-Sens!H12537</f>
        <v>6.69446413713431</v>
      </c>
      <c r="I12538" s="6" t="n">
        <f aca="false">Sens!I12536-Sens!I12532-Sens!I12537</f>
        <v>6.74504306167234</v>
      </c>
      <c r="J12538" s="6" t="n">
        <f aca="false">Sens!J12536-Sens!J12532-Sens!J12537</f>
        <v>6.85031787484545</v>
      </c>
      <c r="K12538" s="6" t="n">
        <f aca="false">Sens!K12536-Sens!K12532-Sens!K12537</f>
        <v>7.00666789417688</v>
      </c>
    </row>
    <row r="12539" customFormat="false" ht="17.15" hidden="false" customHeight="false" outlineLevel="0" collapsed="false">
      <c r="A12539" s="0" t="s">
        <v>1068</v>
      </c>
      <c r="B12539" s="0" t="s">
        <v>98</v>
      </c>
      <c r="F12539" s="6" t="n">
        <f aca="false">Sens!F12533-tax_f*(Sens!F12533-Thesis!F89)-Thesis!F86</f>
        <v>-119.382682747471</v>
      </c>
      <c r="G12539" s="6" t="n">
        <f aca="false">Sens!G12533-tax_f*(Sens!G12533-Thesis!G89)-Thesis!G86</f>
        <v>-98.7495755690893</v>
      </c>
      <c r="H12539" s="6" t="n">
        <f aca="false">Sens!H12533-tax_f*(Sens!H12533-Thesis!H89)-Thesis!H86</f>
        <v>-65.2160219145184</v>
      </c>
      <c r="I12539" s="6" t="n">
        <f aca="false">Sens!I12533-tax_f*(Sens!I12533-Thesis!I89)-Thesis!I86</f>
        <v>-6.59039601405712</v>
      </c>
      <c r="J12539" s="6" t="n">
        <f aca="false">Sens!J12533-tax_f*(Sens!J12533-Thesis!J89)-Thesis!J86</f>
        <v>56.7738295233955</v>
      </c>
      <c r="K12539" s="6" t="n">
        <f aca="false">Sens!K12533-tax_f*(Sens!K12533-Thesis!K89)-Thesis!K86</f>
        <v>81.209175376442</v>
      </c>
    </row>
    <row r="12540" customFormat="false" ht="17.15" hidden="false" customHeight="false" outlineLevel="0" collapsed="false">
      <c r="A12540" s="0" t="s">
        <v>1069</v>
      </c>
      <c r="B12540" s="0" t="s">
        <v>98</v>
      </c>
      <c r="F12540" s="6" t="n">
        <f aca="false">Sens!F12539*Sens!F12513</f>
        <v>-113.675399435717</v>
      </c>
      <c r="G12540" s="6" t="n">
        <f aca="false">Sens!G12539*Sens!G12513</f>
        <v>-85.2532025390917</v>
      </c>
      <c r="H12540" s="6" t="n">
        <f aca="false">Sens!H12539*Sens!H12513</f>
        <v>-51.0481582830682</v>
      </c>
      <c r="I12540" s="6" t="n">
        <f aca="false">Sens!I12539*Sens!I12513</f>
        <v>-4.67721782319945</v>
      </c>
      <c r="J12540" s="6" t="n">
        <f aca="false">Sens!J12539*Sens!J12513</f>
        <v>36.5320953989789</v>
      </c>
      <c r="K12540" s="6" t="n">
        <f aca="false">Sens!K12539*Sens!K12513</f>
        <v>47.3785542320528</v>
      </c>
    </row>
    <row r="12541" customFormat="false" ht="17.15" hidden="false" customHeight="false" outlineLevel="0" collapsed="false">
      <c r="A12541" s="0" t="s">
        <v>1070</v>
      </c>
      <c r="B12541" s="0" t="s">
        <v>98</v>
      </c>
      <c r="C12541" s="6" t="n">
        <f aca="false">(Sens!K12533-Thesis!K89)*(1-tax_f)*(1+g_tv_hi)*(1-g_tv_hi/(wacc+ronic_prem))/(wacc-g_tv_hi)/(1+wacc)^(Sens!K12512+mid_yr)</f>
        <v>317.237221499677</v>
      </c>
    </row>
    <row r="12542" customFormat="false" ht="17.15" hidden="false" customHeight="false" outlineLevel="0" collapsed="false">
      <c r="A12542" s="1" t="s">
        <v>1071</v>
      </c>
      <c r="B12542" s="0" t="s">
        <v>98</v>
      </c>
      <c r="C12542" s="6" t="n">
        <f aca="false">(SUM(Sens!F12540:K12540)+Sens!$C$12541)*(1+wacc)^t_roll</f>
        <v>166.817487377229</v>
      </c>
      <c r="L12542" s="11" t="s">
        <v>1072</v>
      </c>
    </row>
    <row r="12543" customFormat="false" ht="17.15" hidden="false" customHeight="false" outlineLevel="0" collapsed="false">
      <c r="A12543" s="1" t="s">
        <v>1073</v>
      </c>
      <c r="B12543" s="0" t="s">
        <v>98</v>
      </c>
      <c r="C12543" s="6" t="n">
        <f aca="false">(w_ntm28*Thesis!G78+(1-w_ntm28)*Thesis!H78)*m_ai</f>
        <v>454.922440830797</v>
      </c>
    </row>
    <row r="12544" customFormat="false" ht="17.15" hidden="false" customHeight="false" outlineLevel="0" collapsed="false">
      <c r="A12544" s="1" t="s">
        <v>1074</v>
      </c>
      <c r="B12544" s="0" t="s">
        <v>98</v>
      </c>
      <c r="C12544" s="6" t="n">
        <f aca="false">(w_ntm28*Sens!G12535+(1-w_ntm28)*Sens!H12535)*m_cloud</f>
        <v>1070.81495830201</v>
      </c>
    </row>
    <row r="12545" customFormat="false" ht="17.15" hidden="false" customHeight="false" outlineLevel="0" collapsed="false">
      <c r="A12545" s="1" t="s">
        <v>1075</v>
      </c>
      <c r="B12545" s="0" t="s">
        <v>98</v>
      </c>
      <c r="C12545" s="6" t="n">
        <f aca="false">(w_ntm28*Sens!G12528+(1-w_ntm28)*Sens!H12528)*m_sw</f>
        <v>1084.50516663972</v>
      </c>
    </row>
    <row r="12546" customFormat="false" ht="17.15" hidden="false" customHeight="false" outlineLevel="0" collapsed="false">
      <c r="A12546" s="1" t="s">
        <v>1076</v>
      </c>
      <c r="B12546" s="0" t="s">
        <v>98</v>
      </c>
      <c r="C12546" s="6" t="n">
        <f aca="false">(w_ntm28*Sens!G12529+(1-w_ntm28)*Sens!H12529)*m_sw</f>
        <v>379.446649868791</v>
      </c>
    </row>
    <row r="12547" customFormat="false" ht="17.15" hidden="false" customHeight="false" outlineLevel="0" collapsed="false">
      <c r="A12547" s="1" t="s">
        <v>1077</v>
      </c>
      <c r="B12547" s="0" t="s">
        <v>98</v>
      </c>
      <c r="C12547" s="6" t="n">
        <f aca="false">(w_ntm28*Sens!G12530+(1-w_ntm28)*Sens!H12530)*m_sw</f>
        <v>109.245833616811</v>
      </c>
    </row>
    <row r="12548" customFormat="false" ht="17.15" hidden="false" customHeight="false" outlineLevel="0" collapsed="false">
      <c r="A12548" s="1" t="s">
        <v>1078</v>
      </c>
      <c r="B12548" s="0" t="s">
        <v>98</v>
      </c>
      <c r="C12548" s="6" t="n">
        <f aca="false">(w_ntm28*Sens!G12531+(1-w_ntm28)*Sens!H12531)*m_sw</f>
        <v>41.6791515554452</v>
      </c>
    </row>
    <row r="12549" customFormat="false" ht="17.15" hidden="false" customHeight="false" outlineLevel="0" collapsed="false">
      <c r="A12549" s="1" t="s">
        <v>1079</v>
      </c>
      <c r="B12549" s="0" t="s">
        <v>98</v>
      </c>
      <c r="C12549" s="6" t="n">
        <f aca="false">(w_ntm28*Sens!G12532+(1-w_ntm28)*Sens!H12532)*m_ads</f>
        <v>115.160236299351</v>
      </c>
    </row>
    <row r="12550" customFormat="false" ht="17.15" hidden="false" customHeight="false" outlineLevel="0" collapsed="false">
      <c r="A12550" s="1" t="s">
        <v>1080</v>
      </c>
      <c r="B12550" s="0" t="s">
        <v>98</v>
      </c>
      <c r="C12550" s="6" t="n">
        <f aca="false">(w_ntm28*Sens!G12537+(1-w_ntm28)*Sens!H12537)*m_game</f>
        <v>97.7814405506301</v>
      </c>
    </row>
    <row r="12551" customFormat="false" ht="17.15" hidden="false" customHeight="false" outlineLevel="0" collapsed="false">
      <c r="A12551" s="1" t="s">
        <v>1081</v>
      </c>
      <c r="B12551" s="0" t="s">
        <v>98</v>
      </c>
      <c r="C12551" s="6" t="n">
        <f aca="false">(w_ntm28*Sens!G12538+(1-w_ntm28)*Sens!H12538)*m_pc</f>
        <v>96.9427395583992</v>
      </c>
    </row>
    <row r="12552" customFormat="false" ht="17.15" hidden="false" customHeight="false" outlineLevel="0" collapsed="false">
      <c r="A12552" s="1" t="s">
        <v>1082</v>
      </c>
      <c r="B12552" s="0" t="s">
        <v>98</v>
      </c>
      <c r="C12552" s="6" t="n">
        <f aca="false">Sens!$C$12542+Sens!$C$12544+Sens!$C$12545+Sens!$C$12546+Sens!$C$12547+Sens!$C$12548+Sens!$C$12549+Sens!$C$12550+Sens!$C$12551</f>
        <v>3162.39366376838</v>
      </c>
    </row>
    <row r="12553" customFormat="false" ht="17.15" hidden="false" customHeight="false" outlineLevel="0" collapsed="false">
      <c r="A12553" s="1" t="s">
        <v>1000</v>
      </c>
      <c r="B12553" s="0" t="s">
        <v>98</v>
      </c>
      <c r="C12553" s="6" t="n">
        <f aca="false">CF!F65+oai_v-CF!F54</f>
        <v>111.253995542787</v>
      </c>
      <c r="L12553" s="1" t="s">
        <v>1083</v>
      </c>
    </row>
    <row r="12554" customFormat="false" ht="15" hidden="false" customHeight="false" outlineLevel="0" collapsed="false">
      <c r="A12554" s="1" t="s">
        <v>1001</v>
      </c>
      <c r="B12554" s="0" t="s">
        <v>75</v>
      </c>
      <c r="C12554" s="5" t="n">
        <f aca="false">(Sens!$C$12552+Sens!$C$12553)/CF!F67</f>
        <v>438.122010079118</v>
      </c>
    </row>
    <row r="12555" customFormat="false" ht="17.15" hidden="false" customHeight="false" outlineLevel="0" collapsed="false">
      <c r="A12555" s="1" t="s">
        <v>1084</v>
      </c>
      <c r="B12555" s="0" t="s">
        <v>75</v>
      </c>
      <c r="C12555" s="5" t="n">
        <f aca="false">w_dcf*Sens!$C$12526+(1-w_dcf)*Sens!$C$12554</f>
        <v>392.308190534534</v>
      </c>
    </row>
    <row r="12556" customFormat="false" ht="17.15" hidden="false" customHeight="false" outlineLevel="0" collapsed="false">
      <c r="A12556" s="3" t="s">
        <v>1560</v>
      </c>
    </row>
    <row r="12557" customFormat="false" ht="15" hidden="false" customHeight="false" outlineLevel="0" collapsed="false">
      <c r="A12557" s="4" t="s">
        <v>43</v>
      </c>
      <c r="B12557" s="4" t="s">
        <v>65</v>
      </c>
      <c r="C12557" s="20" t="s">
        <v>788</v>
      </c>
      <c r="D12557" s="20" t="s">
        <v>789</v>
      </c>
      <c r="E12557" s="20" t="s">
        <v>790</v>
      </c>
      <c r="F12557" s="20" t="s">
        <v>791</v>
      </c>
      <c r="G12557" s="20" t="s">
        <v>792</v>
      </c>
      <c r="H12557" s="20" t="s">
        <v>793</v>
      </c>
      <c r="I12557" s="20" t="s">
        <v>794</v>
      </c>
      <c r="J12557" s="20" t="s">
        <v>795</v>
      </c>
      <c r="K12557" s="20" t="s">
        <v>796</v>
      </c>
      <c r="L12557" s="4" t="s">
        <v>47</v>
      </c>
    </row>
    <row r="12558" customFormat="false" ht="15" hidden="false" customHeight="false" outlineLevel="0" collapsed="false">
      <c r="A12558" s="1" t="s">
        <v>1042</v>
      </c>
      <c r="B12558" s="1" t="s">
        <v>235</v>
      </c>
      <c r="F12558" s="36" t="n">
        <f aca="false">Thesis!F104-base_fy-mid_yr</f>
        <v>0.5</v>
      </c>
      <c r="G12558" s="36" t="n">
        <f aca="false">Thesis!G104-base_fy-mid_yr</f>
        <v>1.5</v>
      </c>
      <c r="H12558" s="36" t="n">
        <f aca="false">Thesis!H104-base_fy-mid_yr</f>
        <v>2.5</v>
      </c>
      <c r="I12558" s="36" t="n">
        <f aca="false">Thesis!I104-base_fy-mid_yr</f>
        <v>3.5</v>
      </c>
      <c r="J12558" s="36" t="n">
        <f aca="false">Thesis!J104-base_fy-mid_yr</f>
        <v>4.5</v>
      </c>
      <c r="K12558" s="36" t="n">
        <f aca="false">Thesis!K104-base_fy-mid_yr</f>
        <v>5.5</v>
      </c>
    </row>
    <row r="12559" customFormat="false" ht="15" hidden="false" customHeight="false" outlineLevel="0" collapsed="false">
      <c r="A12559" s="1" t="s">
        <v>1043</v>
      </c>
      <c r="B12559" s="0" t="s">
        <v>185</v>
      </c>
      <c r="F12559" s="14" t="n">
        <f aca="false">1/(1+wacc)^Sens!F12558</f>
        <v>0.952193373608246</v>
      </c>
      <c r="G12559" s="14" t="n">
        <f aca="false">1/(1+wacc)^Sens!G12558</f>
        <v>0.863327280626589</v>
      </c>
      <c r="H12559" s="14" t="n">
        <f aca="false">1/(1+wacc)^Sens!H12558</f>
        <v>0.782754862754115</v>
      </c>
      <c r="I12559" s="14" t="n">
        <f aca="false">1/(1+wacc)^Sens!I12558</f>
        <v>0.709702089711011</v>
      </c>
      <c r="J12559" s="14" t="n">
        <f aca="false">1/(1+wacc)^Sens!J12558</f>
        <v>0.643467169744551</v>
      </c>
      <c r="K12559" s="14" t="n">
        <f aca="false">1/(1+wacc)^Sens!K12558</f>
        <v>0.583413807767797</v>
      </c>
    </row>
    <row r="12560" customFormat="false" ht="17.15" hidden="false" customHeight="false" outlineLevel="0" collapsed="false">
      <c r="A12560" s="1" t="s">
        <v>1044</v>
      </c>
      <c r="B12560" s="0" t="s">
        <v>98</v>
      </c>
      <c r="F12560" s="6" t="n">
        <f aca="false">CF!F79-CF!F77-CF!F82+Thesis!F142*(1-tax_f)</f>
        <v>2.81855367218396</v>
      </c>
      <c r="G12560" s="6" t="n">
        <f aca="false">CF!G79-CF!G77-CF!G82+Thesis!G142*(1-tax_f)</f>
        <v>35.4967358232605</v>
      </c>
      <c r="H12560" s="6" t="n">
        <f aca="false">CF!H79-CF!H77-CF!H82+Thesis!H142*(1-tax_f)</f>
        <v>71.9736045985465</v>
      </c>
      <c r="I12560" s="6" t="n">
        <f aca="false">CF!I79-CF!I77-CF!I82+Thesis!I142*(1-tax_f)</f>
        <v>139.565890227748</v>
      </c>
      <c r="J12560" s="6" t="n">
        <f aca="false">CF!J79-CF!J77-CF!J82+Thesis!J142*(1-tax_f)</f>
        <v>212.783902680705</v>
      </c>
      <c r="K12560" s="6" t="n">
        <f aca="false">CF!K79-CF!K77-CF!K82+Thesis!K142*(1-tax_f)</f>
        <v>247.854416738942</v>
      </c>
      <c r="L12560" s="1" t="s">
        <v>1045</v>
      </c>
    </row>
    <row r="12561" customFormat="false" ht="15" hidden="false" customHeight="false" outlineLevel="0" collapsed="false">
      <c r="A12561" s="1" t="s">
        <v>1046</v>
      </c>
      <c r="B12561" s="0" t="s">
        <v>98</v>
      </c>
      <c r="F12561" s="6" t="n">
        <f aca="false">Sens!F12560*Sens!F12559</f>
        <v>2.68380812981276</v>
      </c>
      <c r="G12561" s="6" t="n">
        <f aca="false">Sens!G12560*Sens!G12559</f>
        <v>30.6453004094159</v>
      </c>
      <c r="H12561" s="6" t="n">
        <f aca="false">Sens!H12560*Sens!H12559</f>
        <v>56.3376889894542</v>
      </c>
      <c r="I12561" s="6" t="n">
        <f aca="false">Sens!I12560*Sens!I12559</f>
        <v>99.0502039470101</v>
      </c>
      <c r="J12561" s="6" t="n">
        <f aca="false">Sens!J12560*Sens!J12559</f>
        <v>136.919455625153</v>
      </c>
      <c r="K12561" s="6" t="n">
        <f aca="false">Sens!K12560*Sens!K12559</f>
        <v>144.601689041733</v>
      </c>
    </row>
    <row r="12562" customFormat="false" ht="17.15" hidden="false" customHeight="false" outlineLevel="0" collapsed="false">
      <c r="A12562" s="1" t="s">
        <v>1047</v>
      </c>
      <c r="B12562" s="0" t="s">
        <v>98</v>
      </c>
      <c r="C12562" s="6" t="n">
        <f aca="false">SUM(Sens!F12561:K12561)</f>
        <v>470.238146142579</v>
      </c>
    </row>
    <row r="12563" customFormat="false" ht="17.15" hidden="false" customHeight="false" outlineLevel="0" collapsed="false">
      <c r="A12563" s="1" t="s">
        <v>1048</v>
      </c>
      <c r="B12563" s="0" t="s">
        <v>98</v>
      </c>
      <c r="C12563" s="6" t="n">
        <f aca="false">PL!K117*(1+g_tv_hi)*(1-tax_f)</f>
        <v>258.363825692881</v>
      </c>
    </row>
    <row r="12564" customFormat="false" ht="17.15" hidden="false" customHeight="false" outlineLevel="0" collapsed="false">
      <c r="A12564" s="1" t="s">
        <v>1049</v>
      </c>
      <c r="B12564" s="0" t="s">
        <v>98</v>
      </c>
      <c r="C12564" s="6" t="n">
        <f aca="false">Sens!$C$12563*(1-g_tv_hi/(wacc+ronic_prem))</f>
        <v>157.964435300526</v>
      </c>
    </row>
    <row r="12565" customFormat="false" ht="17.15" hidden="false" customHeight="false" outlineLevel="0" collapsed="false">
      <c r="A12565" s="1" t="s">
        <v>1050</v>
      </c>
      <c r="B12565" s="0" t="s">
        <v>98</v>
      </c>
      <c r="C12565" s="6" t="n">
        <f aca="false">Sens!$C$12564/(wacc-g_tv_hi)</f>
        <v>2509.98475980886</v>
      </c>
    </row>
    <row r="12566" customFormat="false" ht="15" hidden="false" customHeight="false" outlineLevel="0" collapsed="false">
      <c r="A12566" s="1" t="s">
        <v>1051</v>
      </c>
      <c r="B12566" s="0" t="s">
        <v>98</v>
      </c>
      <c r="C12566" s="6" t="n">
        <f aca="false">Sens!$C$12565/(1+wacc)^(Sens!K12558+mid_yr)</f>
        <v>1394.35366591533</v>
      </c>
    </row>
    <row r="12567" customFormat="false" ht="17.15" hidden="false" customHeight="false" outlineLevel="0" collapsed="false">
      <c r="A12567" s="0" t="s">
        <v>972</v>
      </c>
      <c r="B12567" s="0" t="s">
        <v>98</v>
      </c>
      <c r="C12567" s="6" t="n">
        <f aca="false">Sens!$C$12562+Sens!$C$12566</f>
        <v>1864.59181205791</v>
      </c>
    </row>
    <row r="12568" customFormat="false" ht="15" hidden="false" customHeight="false" outlineLevel="0" collapsed="false">
      <c r="A12568" s="1" t="s">
        <v>973</v>
      </c>
      <c r="B12568" s="0" t="s">
        <v>129</v>
      </c>
      <c r="C12568" s="7" t="n">
        <f aca="false">Sens!$C$12566/Sens!$C$12567</f>
        <v>0.747806386844751</v>
      </c>
    </row>
    <row r="12569" customFormat="false" ht="17.15" hidden="false" customHeight="false" outlineLevel="0" collapsed="false">
      <c r="A12569" s="1" t="s">
        <v>1052</v>
      </c>
      <c r="B12569" s="0" t="s">
        <v>98</v>
      </c>
      <c r="C12569" s="6" t="n">
        <f aca="false">Sens!$C$12567+CF!E94-CF!E83+oai_v</f>
        <v>1999.10481205791</v>
      </c>
    </row>
    <row r="12570" customFormat="false" ht="17.15" hidden="false" customHeight="false" outlineLevel="0" collapsed="false">
      <c r="A12570" s="0" t="s">
        <v>980</v>
      </c>
      <c r="B12570" s="0" t="s">
        <v>75</v>
      </c>
      <c r="C12570" s="5" t="n">
        <f aca="false">Sens!$C$12569/sh_dil26</f>
        <v>268.228205025884</v>
      </c>
    </row>
    <row r="12571" customFormat="false" ht="15" hidden="false" customHeight="false" outlineLevel="0" collapsed="false">
      <c r="A12571" s="1" t="s">
        <v>1053</v>
      </c>
      <c r="B12571" s="0" t="s">
        <v>75</v>
      </c>
      <c r="C12571" s="8" t="n">
        <f aca="false">dps_27+CF!G86*roll_div_q/q_per_yr</f>
        <v>4.8895</v>
      </c>
    </row>
    <row r="12572" customFormat="false" ht="17.15" hidden="false" customHeight="false" outlineLevel="0" collapsed="false">
      <c r="A12572" s="0" t="s">
        <v>1054</v>
      </c>
      <c r="B12572" s="0" t="s">
        <v>75</v>
      </c>
      <c r="C12572" s="5" t="n">
        <f aca="false">Sens!$C$12570*(1+wacc)^t_roll-Sens!$C$12571</f>
        <v>300.550913075531</v>
      </c>
    </row>
    <row r="12573" customFormat="false" ht="17.15" hidden="false" customHeight="false" outlineLevel="0" collapsed="false">
      <c r="A12573" s="1" t="s">
        <v>1055</v>
      </c>
      <c r="B12573" s="0" t="s">
        <v>129</v>
      </c>
      <c r="F12573" s="7" t="n">
        <f aca="false">CF!F75/(Seg!F83-Thesis!F121)</f>
        <v>0.0686864325746334</v>
      </c>
      <c r="G12573" s="7" t="n">
        <f aca="false">CF!G75/(Seg!G83-Thesis!G121)</f>
        <v>0.066267001590801</v>
      </c>
      <c r="H12573" s="7" t="n">
        <f aca="false">CF!H75/(Seg!H83-Thesis!H121)</f>
        <v>0.0650366246750144</v>
      </c>
      <c r="I12573" s="7" t="n">
        <f aca="false">CF!I75/(Seg!I83-Thesis!I121)</f>
        <v>0.0648573271390164</v>
      </c>
      <c r="J12573" s="7" t="n">
        <f aca="false">CF!J75/(Seg!J83-Thesis!J121)</f>
        <v>0.0655189837669657</v>
      </c>
      <c r="K12573" s="7" t="n">
        <f aca="false">CF!K75/(Seg!K83-Thesis!K121)</f>
        <v>0.0667878921367872</v>
      </c>
    </row>
    <row r="12574" customFormat="false" ht="17.15" hidden="false" customHeight="false" outlineLevel="0" collapsed="false">
      <c r="A12574" s="0" t="s">
        <v>1056</v>
      </c>
      <c r="B12574" s="0" t="s">
        <v>98</v>
      </c>
      <c r="F12574" s="6" t="n">
        <f aca="false">Seg!F68*(al_m365+Sens!F12573+sbc_r)</f>
        <v>82.8871280343675</v>
      </c>
      <c r="G12574" s="6" t="n">
        <f aca="false">Seg!G68*(al_m365+Sens!G12573+sbc_r)</f>
        <v>93.2646494841949</v>
      </c>
      <c r="H12574" s="6" t="n">
        <f aca="false">Seg!H68*(al_m365+Sens!H12573+sbc_r)</f>
        <v>103.801656157254</v>
      </c>
      <c r="I12574" s="6" t="n">
        <f aca="false">Seg!I68*(al_m365+Sens!I12573+sbc_r)</f>
        <v>113.821873816133</v>
      </c>
      <c r="J12574" s="6" t="n">
        <f aca="false">Seg!J68*(al_m365+Sens!J12573+sbc_r)</f>
        <v>123.136196807334</v>
      </c>
      <c r="K12574" s="6" t="n">
        <f aca="false">Seg!K68*(al_m365+Sens!K12573+sbc_r)</f>
        <v>132.051675801964</v>
      </c>
      <c r="L12574" s="11" t="s">
        <v>1057</v>
      </c>
    </row>
    <row r="12575" customFormat="false" ht="17.15" hidden="false" customHeight="false" outlineLevel="0" collapsed="false">
      <c r="A12575" s="0" t="s">
        <v>1058</v>
      </c>
      <c r="B12575" s="0" t="s">
        <v>98</v>
      </c>
      <c r="F12575" s="6" t="n">
        <f aca="false">Seg!F69*(al_lic+Sens!F12573+sbc_r)</f>
        <v>33.4484001235218</v>
      </c>
      <c r="G12575" s="6" t="n">
        <f aca="false">Seg!G69*(al_lic+Sens!G12573+sbc_r)</f>
        <v>34.7662136749183</v>
      </c>
      <c r="H12575" s="6" t="n">
        <f aca="false">Seg!H69*(al_lic+Sens!H12573+sbc_r)</f>
        <v>35.9922067034497</v>
      </c>
      <c r="I12575" s="6" t="n">
        <f aca="false">Seg!I69*(al_lic+Sens!I12573+sbc_r)</f>
        <v>37.1063543598183</v>
      </c>
      <c r="J12575" s="6" t="n">
        <f aca="false">Seg!J69*(al_lic+Sens!J12573+sbc_r)</f>
        <v>38.0853056964387</v>
      </c>
      <c r="K12575" s="6" t="n">
        <f aca="false">Seg!K69*(al_lic+Sens!K12573+sbc_r)</f>
        <v>38.9048066370724</v>
      </c>
    </row>
    <row r="12576" customFormat="false" ht="17.15" hidden="false" customHeight="false" outlineLevel="0" collapsed="false">
      <c r="A12576" s="0" t="s">
        <v>1059</v>
      </c>
      <c r="B12576" s="0" t="s">
        <v>98</v>
      </c>
      <c r="F12576" s="6" t="n">
        <f aca="false">Seg!F71*(al_ind+Sens!F12573+sbc_r)</f>
        <v>9.07857451914073</v>
      </c>
      <c r="G12576" s="6" t="n">
        <f aca="false">Seg!G71*(al_ind+Sens!G12573+sbc_r)</f>
        <v>9.86487802721884</v>
      </c>
      <c r="H12576" s="6" t="n">
        <f aca="false">Seg!H71*(al_ind+Sens!H12573+sbc_r)</f>
        <v>10.693809720013</v>
      </c>
      <c r="I12576" s="6" t="n">
        <f aca="false">Seg!I71*(al_ind+Sens!I12573+sbc_r)</f>
        <v>11.5608645999226</v>
      </c>
      <c r="J12576" s="6" t="n">
        <f aca="false">Seg!J71*(al_ind+Sens!J12573+sbc_r)</f>
        <v>12.4574161941375</v>
      </c>
      <c r="K12576" s="6" t="n">
        <f aca="false">Seg!K71*(al_ind+Sens!K12573+sbc_r)</f>
        <v>13.3714153876622</v>
      </c>
    </row>
    <row r="12577" customFormat="false" ht="17.15" hidden="false" customHeight="false" outlineLevel="0" collapsed="false">
      <c r="A12577" s="0" t="s">
        <v>1060</v>
      </c>
      <c r="B12577" s="0" t="s">
        <v>98</v>
      </c>
      <c r="F12577" s="6" t="n">
        <f aca="false">Seg!F73*(al_fro+Sens!F12573+sbc_r)</f>
        <v>3.57335880380168</v>
      </c>
      <c r="G12577" s="6" t="n">
        <f aca="false">Seg!G73*(al_fro+Sens!G12573+sbc_r)</f>
        <v>3.78752993435501</v>
      </c>
      <c r="H12577" s="6" t="n">
        <f aca="false">Seg!H73*(al_fro+Sens!H12573+sbc_r)</f>
        <v>4.02979352544868</v>
      </c>
      <c r="I12577" s="6" t="n">
        <f aca="false">Seg!I73*(al_fro+Sens!I12573+sbc_r)</f>
        <v>4.30248328262388</v>
      </c>
      <c r="J12577" s="6" t="n">
        <f aca="false">Seg!J73*(al_fro+Sens!J12573+sbc_r)</f>
        <v>4.6072312462081</v>
      </c>
      <c r="K12577" s="6" t="n">
        <f aca="false">Seg!K73*(al_fro+Sens!K12573+sbc_r)</f>
        <v>4.94526327289735</v>
      </c>
    </row>
    <row r="12578" customFormat="false" ht="17.15" hidden="false" customHeight="false" outlineLevel="0" collapsed="false">
      <c r="A12578" s="0" t="s">
        <v>1061</v>
      </c>
      <c r="B12578" s="0" t="s">
        <v>98</v>
      </c>
      <c r="F12578" s="6" t="n">
        <f aca="false">Seg!F76*(al_srch+Sens!F12573+sbc_r)</f>
        <v>11.2121706988551</v>
      </c>
      <c r="G12578" s="6" t="n">
        <f aca="false">Seg!G76*(al_srch+Sens!G12573+sbc_r)</f>
        <v>12.298220751086</v>
      </c>
      <c r="H12578" s="6" t="n">
        <f aca="false">Seg!H76*(al_srch+Sens!H12573+sbc_r)</f>
        <v>13.4264661389574</v>
      </c>
      <c r="I12578" s="6" t="n">
        <f aca="false">Seg!I76*(al_srch+Sens!I12573+sbc_r)</f>
        <v>14.5842947685169</v>
      </c>
      <c r="J12578" s="6" t="n">
        <f aca="false">Seg!J76*(al_srch+Sens!J12573+sbc_r)</f>
        <v>15.7529827260804</v>
      </c>
      <c r="K12578" s="6" t="n">
        <f aca="false">Seg!K76*(al_srch+Sens!K12573+sbc_r)</f>
        <v>16.908777257054</v>
      </c>
    </row>
    <row r="12579" customFormat="false" ht="17.15" hidden="false" customHeight="false" outlineLevel="0" collapsed="false">
      <c r="A12579" s="0" t="s">
        <v>1062</v>
      </c>
      <c r="B12579" s="0" t="s">
        <v>98</v>
      </c>
      <c r="F12579" s="6" t="n">
        <f aca="false">Thesis!F127-Thesis!F128+Thesis!F142</f>
        <v>49.3166695044068</v>
      </c>
      <c r="G12579" s="6" t="n">
        <f aca="false">Thesis!G127-Thesis!G128+Thesis!G142</f>
        <v>79.1711235199867</v>
      </c>
      <c r="H12579" s="6" t="n">
        <f aca="false">Thesis!H127-Thesis!H128+Thesis!H142</f>
        <v>105.986955995322</v>
      </c>
      <c r="I12579" s="6" t="n">
        <f aca="false">Thesis!I127-Thesis!I128+Thesis!I142</f>
        <v>136.51312421941</v>
      </c>
      <c r="J12579" s="6" t="n">
        <f aca="false">Thesis!J127-Thesis!J128+Thesis!J142</f>
        <v>158.045869188803</v>
      </c>
      <c r="K12579" s="6" t="n">
        <f aca="false">Thesis!K127-Thesis!K128+Thesis!K142</f>
        <v>171.626834186355</v>
      </c>
    </row>
    <row r="12580" customFormat="false" ht="17.15" hidden="false" customHeight="false" outlineLevel="0" collapsed="false">
      <c r="A12580" s="0" t="s">
        <v>1063</v>
      </c>
      <c r="B12580" s="0" t="s">
        <v>98</v>
      </c>
      <c r="F12580" s="6" t="n">
        <f aca="false">PL!F110+Thesis!F142+Thesis!F138+Sens!F12573*(Seg!F75-Thesis!F121)+sbc_r*Seg!F75</f>
        <v>239.221795819914</v>
      </c>
      <c r="G12580" s="6" t="n">
        <f aca="false">PL!G110+Thesis!G142+Thesis!G138+Sens!G12573*(Seg!G75-Thesis!G121)+sbc_r*Seg!G75</f>
        <v>293.888959324058</v>
      </c>
      <c r="H12580" s="6" t="n">
        <f aca="false">PL!H110+Thesis!H142+Thesis!H138+Sens!H12573*(Seg!H75-Thesis!H121)+sbc_r*Seg!H75</f>
        <v>345.795749423438</v>
      </c>
      <c r="I12580" s="6" t="n">
        <f aca="false">PL!I110+Thesis!I142+Thesis!I138+Sens!I12573*(Seg!I75-Thesis!I121)+sbc_r*Seg!I75</f>
        <v>400.80148439376</v>
      </c>
      <c r="J12580" s="6" t="n">
        <f aca="false">PL!J110+Thesis!J142+Thesis!J138+Sens!J12573*(Seg!J75-Thesis!J121)+sbc_r*Seg!J75</f>
        <v>444.918308128678</v>
      </c>
      <c r="K12580" s="6" t="n">
        <f aca="false">PL!K110+Thesis!K142+Thesis!K138+Sens!K12573*(Seg!K75-Thesis!K121)+sbc_r*Seg!K75</f>
        <v>478.782312275225</v>
      </c>
    </row>
    <row r="12581" customFormat="false" ht="17.15" hidden="false" customHeight="false" outlineLevel="0" collapsed="false">
      <c r="A12581" s="0" t="s">
        <v>1064</v>
      </c>
      <c r="B12581" s="0" t="s">
        <v>98</v>
      </c>
      <c r="F12581" s="6" t="n">
        <f aca="false">Sens!F12580-Sens!F12574-Sens!F12575-Sens!F12576-Sens!F12577-Sens!F12579</f>
        <v>60.9176648346756</v>
      </c>
      <c r="G12581" s="6" t="n">
        <f aca="false">Sens!G12580-Sens!G12574-Sens!G12575-Sens!G12576-Sens!G12577-Sens!G12579</f>
        <v>73.0345646833845</v>
      </c>
      <c r="H12581" s="6" t="n">
        <f aca="false">Sens!H12580-Sens!H12574-Sens!H12575-Sens!H12576-Sens!H12577-Sens!H12579</f>
        <v>85.2913273219498</v>
      </c>
      <c r="I12581" s="6" t="n">
        <f aca="false">Sens!I12580-Sens!I12574-Sens!I12575-Sens!I12576-Sens!I12577-Sens!I12579</f>
        <v>97.4967841158513</v>
      </c>
      <c r="J12581" s="6" t="n">
        <f aca="false">Sens!J12580-Sens!J12574-Sens!J12575-Sens!J12576-Sens!J12577-Sens!J12579</f>
        <v>108.586288995756</v>
      </c>
      <c r="K12581" s="6" t="n">
        <f aca="false">Sens!K12580-Sens!K12574-Sens!K12575-Sens!K12576-Sens!K12577-Sens!K12579</f>
        <v>117.882316989274</v>
      </c>
    </row>
    <row r="12582" customFormat="false" ht="17.15" hidden="false" customHeight="false" outlineLevel="0" collapsed="false">
      <c r="A12582" s="0" t="s">
        <v>1065</v>
      </c>
      <c r="B12582" s="0" t="s">
        <v>98</v>
      </c>
      <c r="F12582" s="6" t="n">
        <f aca="false">PL!F112+Sens!F12573*Seg!F82+sbc_r*Seg!F82</f>
        <v>26.2049549828959</v>
      </c>
      <c r="G12582" s="6" t="n">
        <f aca="false">PL!G112+Sens!G12573*Seg!G82+sbc_r*Seg!G82</f>
        <v>26.8405806403664</v>
      </c>
      <c r="H12582" s="6" t="n">
        <f aca="false">PL!H112+Sens!H12573*Seg!H82+sbc_r*Seg!H82</f>
        <v>27.7352032470138</v>
      </c>
      <c r="I12582" s="6" t="n">
        <f aca="false">PL!I112+Sens!I12573*Seg!I82+sbc_r*Seg!I82</f>
        <v>28.8569155956094</v>
      </c>
      <c r="J12582" s="6" t="n">
        <f aca="false">PL!J112+Sens!J12573*Seg!J82+sbc_r*Seg!J82</f>
        <v>30.1744385645725</v>
      </c>
      <c r="K12582" s="6" t="n">
        <f aca="false">PL!K112+Sens!K12573*Seg!K82+sbc_r*Seg!K82</f>
        <v>31.6584976186802</v>
      </c>
    </row>
    <row r="12583" customFormat="false" ht="17.15" hidden="false" customHeight="false" outlineLevel="0" collapsed="false">
      <c r="A12583" s="0" t="s">
        <v>1066</v>
      </c>
      <c r="B12583" s="0" t="s">
        <v>98</v>
      </c>
      <c r="F12583" s="6" t="n">
        <f aca="false">(Sens!F12582-Sens!F12578)*Seg!F78/(Seg!F78+Seg!F80)</f>
        <v>8.21889831690819</v>
      </c>
      <c r="G12583" s="6" t="n">
        <f aca="false">(Sens!G12582-Sens!G12578)*Seg!G78/(Seg!G78+Seg!G80)</f>
        <v>7.82984014749099</v>
      </c>
      <c r="H12583" s="6" t="n">
        <f aca="false">(Sens!H12582-Sens!H12578)*Seg!H78/(Seg!H78+Seg!H80)</f>
        <v>7.5999849964554</v>
      </c>
      <c r="I12583" s="6" t="n">
        <f aca="false">(Sens!I12582-Sens!I12578)*Seg!I78/(Seg!I78+Seg!I80)</f>
        <v>7.51221089422364</v>
      </c>
      <c r="J12583" s="6" t="n">
        <f aca="false">(Sens!J12582-Sens!J12578)*Seg!J78/(Seg!J78+Seg!J80)</f>
        <v>7.55622411401827</v>
      </c>
      <c r="K12583" s="6" t="n">
        <f aca="false">(Sens!K12582-Sens!K12578)*Seg!K78/(Seg!K78+Seg!K80)</f>
        <v>7.72822064011532</v>
      </c>
    </row>
    <row r="12584" customFormat="false" ht="17.15" hidden="false" customHeight="false" outlineLevel="0" collapsed="false">
      <c r="A12584" s="0" t="s">
        <v>1067</v>
      </c>
      <c r="B12584" s="0" t="s">
        <v>98</v>
      </c>
      <c r="F12584" s="6" t="n">
        <f aca="false">Sens!F12582-Sens!F12578-Sens!F12583</f>
        <v>6.77388596713263</v>
      </c>
      <c r="G12584" s="6" t="n">
        <f aca="false">Sens!G12582-Sens!G12578-Sens!G12583</f>
        <v>6.71251974178949</v>
      </c>
      <c r="H12584" s="6" t="n">
        <f aca="false">Sens!H12582-Sens!H12578-Sens!H12583</f>
        <v>6.70875211160101</v>
      </c>
      <c r="I12584" s="6" t="n">
        <f aca="false">Sens!I12582-Sens!I12578-Sens!I12583</f>
        <v>6.76040993286883</v>
      </c>
      <c r="J12584" s="6" t="n">
        <f aca="false">Sens!J12582-Sens!J12578-Sens!J12583</f>
        <v>6.86523172447386</v>
      </c>
      <c r="K12584" s="6" t="n">
        <f aca="false">Sens!K12582-Sens!K12578-Sens!K12583</f>
        <v>7.02149972151092</v>
      </c>
    </row>
    <row r="12585" customFormat="false" ht="17.15" hidden="false" customHeight="false" outlineLevel="0" collapsed="false">
      <c r="A12585" s="0" t="s">
        <v>1068</v>
      </c>
      <c r="B12585" s="0" t="s">
        <v>98</v>
      </c>
      <c r="F12585" s="6" t="n">
        <f aca="false">Sens!F12579-tax_f*(Sens!F12579-Thesis!F138)-Thesis!F135</f>
        <v>-122.366710075738</v>
      </c>
      <c r="G12585" s="6" t="n">
        <f aca="false">Sens!G12579-tax_f*(Sens!G12579-Thesis!G138)-Thesis!G135</f>
        <v>-108.130935015143</v>
      </c>
      <c r="H12585" s="6" t="n">
        <f aca="false">Sens!H12579-tax_f*(Sens!H12579-Thesis!H138)-Thesis!H135</f>
        <v>-85.7372579155142</v>
      </c>
      <c r="I12585" s="6" t="n">
        <f aca="false">Sens!I12579-tax_f*(Sens!I12579-Thesis!I138)-Thesis!I135</f>
        <v>-32.0937617822731</v>
      </c>
      <c r="J12585" s="6" t="n">
        <f aca="false">Sens!J12579-tax_f*(Sens!J12579-Thesis!J138)-Thesis!J135</f>
        <v>27.7659608174853</v>
      </c>
      <c r="K12585" s="6" t="n">
        <f aca="false">Sens!K12579-tax_f*(Sens!K12579-Thesis!K138)-Thesis!K135</f>
        <v>50.2765610680426</v>
      </c>
    </row>
    <row r="12586" customFormat="false" ht="17.15" hidden="false" customHeight="false" outlineLevel="0" collapsed="false">
      <c r="A12586" s="0" t="s">
        <v>1069</v>
      </c>
      <c r="B12586" s="0" t="s">
        <v>98</v>
      </c>
      <c r="F12586" s="6" t="n">
        <f aca="false">Sens!F12585*Sens!F12559</f>
        <v>-116.516770484359</v>
      </c>
      <c r="G12586" s="6" t="n">
        <f aca="false">Sens!G12585*Sens!G12559</f>
        <v>-93.3523860782335</v>
      </c>
      <c r="H12586" s="6" t="n">
        <f aca="false">Sens!H12585*Sens!H12559</f>
        <v>-67.1112555525725</v>
      </c>
      <c r="I12586" s="6" t="n">
        <f aca="false">Sens!I12585*Sens!I12559</f>
        <v>-22.7770098035666</v>
      </c>
      <c r="J12586" s="6" t="n">
        <f aca="false">Sens!J12585*Sens!J12559</f>
        <v>17.8664842224654</v>
      </c>
      <c r="K12586" s="6" t="n">
        <f aca="false">Sens!K12585*Sens!K12559</f>
        <v>29.3320399341769</v>
      </c>
    </row>
    <row r="12587" customFormat="false" ht="17.15" hidden="false" customHeight="false" outlineLevel="0" collapsed="false">
      <c r="A12587" s="0" t="s">
        <v>1070</v>
      </c>
      <c r="B12587" s="0" t="s">
        <v>98</v>
      </c>
      <c r="C12587" s="6" t="n">
        <f aca="false">(Sens!K12579-Thesis!K138)*(1-tax_f)*(1+g_tv_hi)*(1-g_tv_hi/(wacc+ronic_prem))/(wacc-g_tv_hi)/(1+wacc)^(Sens!K12558+mid_yr)</f>
        <v>143.480321134568</v>
      </c>
    </row>
    <row r="12588" customFormat="false" ht="17.15" hidden="false" customHeight="false" outlineLevel="0" collapsed="false">
      <c r="A12588" s="1" t="s">
        <v>1071</v>
      </c>
      <c r="B12588" s="0" t="s">
        <v>98</v>
      </c>
      <c r="C12588" s="6" t="n">
        <f aca="false">(SUM(Sens!F12586:K12586)+Sens!$C$12587)*(1+wacc)^t_roll</f>
        <v>-124.211417287701</v>
      </c>
      <c r="L12588" s="11" t="s">
        <v>1072</v>
      </c>
    </row>
    <row r="12589" customFormat="false" ht="17.15" hidden="false" customHeight="false" outlineLevel="0" collapsed="false">
      <c r="A12589" s="1" t="s">
        <v>1073</v>
      </c>
      <c r="B12589" s="0" t="s">
        <v>98</v>
      </c>
      <c r="C12589" s="6" t="n">
        <f aca="false">(w_ntm28*Thesis!G127+(1-w_ntm28)*Thesis!H127)*m_ai</f>
        <v>338.776008390068</v>
      </c>
    </row>
    <row r="12590" customFormat="false" ht="17.15" hidden="false" customHeight="false" outlineLevel="0" collapsed="false">
      <c r="A12590" s="1" t="s">
        <v>1074</v>
      </c>
      <c r="B12590" s="0" t="s">
        <v>98</v>
      </c>
      <c r="C12590" s="6" t="n">
        <f aca="false">(w_ntm28*Sens!G12581+(1-w_ntm28)*Sens!H12581)*m_cloud</f>
        <v>1064.09888458319</v>
      </c>
    </row>
    <row r="12591" customFormat="false" ht="17.15" hidden="false" customHeight="false" outlineLevel="0" collapsed="false">
      <c r="A12591" s="1" t="s">
        <v>1075</v>
      </c>
      <c r="B12591" s="0" t="s">
        <v>98</v>
      </c>
      <c r="C12591" s="6" t="n">
        <f aca="false">(w_ntm28*Sens!G12574+(1-w_ntm28)*Sens!H12574)*m_sw</f>
        <v>1044.04824539957</v>
      </c>
    </row>
    <row r="12592" customFormat="false" ht="17.15" hidden="false" customHeight="false" outlineLevel="0" collapsed="false">
      <c r="A12592" s="1" t="s">
        <v>1076</v>
      </c>
      <c r="B12592" s="0" t="s">
        <v>98</v>
      </c>
      <c r="C12592" s="6" t="n">
        <f aca="false">(w_ntm28*Sens!G12575+(1-w_ntm28)*Sens!H12575)*m_sw</f>
        <v>379.755670745447</v>
      </c>
    </row>
    <row r="12593" customFormat="false" ht="17.15" hidden="false" customHeight="false" outlineLevel="0" collapsed="false">
      <c r="A12593" s="1" t="s">
        <v>1077</v>
      </c>
      <c r="B12593" s="0" t="s">
        <v>98</v>
      </c>
      <c r="C12593" s="6" t="n">
        <f aca="false">(w_ntm28*Sens!G12576+(1-w_ntm28)*Sens!H12576)*m_sw</f>
        <v>109.434903376969</v>
      </c>
    </row>
    <row r="12594" customFormat="false" ht="17.15" hidden="false" customHeight="false" outlineLevel="0" collapsed="false">
      <c r="A12594" s="1" t="s">
        <v>1078</v>
      </c>
      <c r="B12594" s="0" t="s">
        <v>98</v>
      </c>
      <c r="C12594" s="6" t="n">
        <f aca="false">(w_ntm28*Sens!G12577+(1-w_ntm28)*Sens!H12577)*m_sw</f>
        <v>41.7511882786773</v>
      </c>
    </row>
    <row r="12595" customFormat="false" ht="17.15" hidden="false" customHeight="false" outlineLevel="0" collapsed="false">
      <c r="A12595" s="1" t="s">
        <v>1079</v>
      </c>
      <c r="B12595" s="0" t="s">
        <v>98</v>
      </c>
      <c r="C12595" s="6" t="n">
        <f aca="false">(w_ntm28*Sens!G12578+(1-w_ntm28)*Sens!H12578)*m_ads</f>
        <v>115.359643719254</v>
      </c>
    </row>
    <row r="12596" customFormat="false" ht="17.15" hidden="false" customHeight="false" outlineLevel="0" collapsed="false">
      <c r="A12596" s="1" t="s">
        <v>1080</v>
      </c>
      <c r="B12596" s="0" t="s">
        <v>98</v>
      </c>
      <c r="C12596" s="6" t="n">
        <f aca="false">(w_ntm28*Sens!G12583+(1-w_ntm28)*Sens!H12583)*m_game</f>
        <v>97.9523541428266</v>
      </c>
    </row>
    <row r="12597" customFormat="false" ht="17.15" hidden="false" customHeight="false" outlineLevel="0" collapsed="false">
      <c r="A12597" s="1" t="s">
        <v>1081</v>
      </c>
      <c r="B12597" s="0" t="s">
        <v>98</v>
      </c>
      <c r="C12597" s="6" t="n">
        <f aca="false">(w_ntm28*Sens!G12584+(1-w_ntm28)*Sens!H12584)*m_pc</f>
        <v>97.1125357928949</v>
      </c>
    </row>
    <row r="12598" customFormat="false" ht="17.15" hidden="false" customHeight="false" outlineLevel="0" collapsed="false">
      <c r="A12598" s="1" t="s">
        <v>1082</v>
      </c>
      <c r="B12598" s="0" t="s">
        <v>98</v>
      </c>
      <c r="C12598" s="6" t="n">
        <f aca="false">Sens!$C$12588+Sens!$C$12590+Sens!$C$12591+Sens!$C$12592+Sens!$C$12593+Sens!$C$12594+Sens!$C$12595+Sens!$C$12596+Sens!$C$12597</f>
        <v>2825.30200875112</v>
      </c>
    </row>
    <row r="12599" customFormat="false" ht="17.15" hidden="false" customHeight="false" outlineLevel="0" collapsed="false">
      <c r="A12599" s="1" t="s">
        <v>1000</v>
      </c>
      <c r="B12599" s="0" t="s">
        <v>98</v>
      </c>
      <c r="C12599" s="6" t="n">
        <f aca="false">CF!F94+oai_v-CF!F83</f>
        <v>106.814034990727</v>
      </c>
      <c r="L12599" s="1" t="s">
        <v>1083</v>
      </c>
    </row>
    <row r="12600" customFormat="false" ht="15" hidden="false" customHeight="false" outlineLevel="0" collapsed="false">
      <c r="A12600" s="1" t="s">
        <v>1001</v>
      </c>
      <c r="B12600" s="0" t="s">
        <v>75</v>
      </c>
      <c r="C12600" s="5" t="n">
        <f aca="false">(Sens!$C$12598+Sens!$C$12599)/CF!F96</f>
        <v>392.413817417271</v>
      </c>
    </row>
    <row r="12601" customFormat="false" ht="17.15" hidden="false" customHeight="false" outlineLevel="0" collapsed="false">
      <c r="A12601" s="1" t="s">
        <v>1084</v>
      </c>
      <c r="B12601" s="0" t="s">
        <v>75</v>
      </c>
      <c r="C12601" s="5" t="n">
        <f aca="false">w_dcf*Sens!$C$12572+(1-w_dcf)*Sens!$C$12600</f>
        <v>346.482365246401</v>
      </c>
    </row>
    <row r="12602" customFormat="false" ht="17.15" hidden="false" customHeight="false" outlineLevel="0" collapsed="false">
      <c r="A12602" s="3" t="s">
        <v>1561</v>
      </c>
    </row>
    <row r="12603" customFormat="false" ht="15" hidden="false" customHeight="false" outlineLevel="0" collapsed="false">
      <c r="A12603" s="4" t="s">
        <v>43</v>
      </c>
      <c r="B12603" s="4" t="s">
        <v>65</v>
      </c>
      <c r="C12603" s="20" t="s">
        <v>788</v>
      </c>
      <c r="D12603" s="20" t="s">
        <v>789</v>
      </c>
      <c r="E12603" s="20" t="s">
        <v>790</v>
      </c>
      <c r="F12603" s="20" t="s">
        <v>791</v>
      </c>
      <c r="G12603" s="20" t="s">
        <v>792</v>
      </c>
      <c r="H12603" s="20" t="s">
        <v>793</v>
      </c>
      <c r="I12603" s="20" t="s">
        <v>794</v>
      </c>
      <c r="J12603" s="20" t="s">
        <v>795</v>
      </c>
      <c r="K12603" s="20" t="s">
        <v>796</v>
      </c>
      <c r="L12603" s="4" t="s">
        <v>47</v>
      </c>
    </row>
    <row r="12604" customFormat="false" ht="15" hidden="false" customHeight="false" outlineLevel="0" collapsed="false">
      <c r="A12604" s="1" t="s">
        <v>1042</v>
      </c>
      <c r="B12604" s="1" t="s">
        <v>235</v>
      </c>
      <c r="F12604" s="36" t="n">
        <f aca="false">Thesis!F6-base_fy-mid_yr</f>
        <v>0.5</v>
      </c>
      <c r="G12604" s="36" t="n">
        <f aca="false">Thesis!G6-base_fy-mid_yr</f>
        <v>1.5</v>
      </c>
      <c r="H12604" s="36" t="n">
        <f aca="false">Thesis!H6-base_fy-mid_yr</f>
        <v>2.5</v>
      </c>
      <c r="I12604" s="36" t="n">
        <f aca="false">Thesis!I6-base_fy-mid_yr</f>
        <v>3.5</v>
      </c>
      <c r="J12604" s="36" t="n">
        <f aca="false">Thesis!J6-base_fy-mid_yr</f>
        <v>4.5</v>
      </c>
      <c r="K12604" s="36" t="n">
        <f aca="false">Thesis!K6-base_fy-mid_yr</f>
        <v>5.5</v>
      </c>
    </row>
    <row r="12605" customFormat="false" ht="15" hidden="false" customHeight="false" outlineLevel="0" collapsed="false">
      <c r="A12605" s="1" t="s">
        <v>1043</v>
      </c>
      <c r="B12605" s="0" t="s">
        <v>185</v>
      </c>
      <c r="F12605" s="14" t="n">
        <f aca="false">1/(1+wacc)^Sens!F12604</f>
        <v>0.952193373608246</v>
      </c>
      <c r="G12605" s="14" t="n">
        <f aca="false">1/(1+wacc)^Sens!G12604</f>
        <v>0.863327280626589</v>
      </c>
      <c r="H12605" s="14" t="n">
        <f aca="false">1/(1+wacc)^Sens!H12604</f>
        <v>0.782754862754115</v>
      </c>
      <c r="I12605" s="14" t="n">
        <f aca="false">1/(1+wacc)^Sens!I12604</f>
        <v>0.709702089711011</v>
      </c>
      <c r="J12605" s="14" t="n">
        <f aca="false">1/(1+wacc)^Sens!J12604</f>
        <v>0.643467169744551</v>
      </c>
      <c r="K12605" s="14" t="n">
        <f aca="false">1/(1+wacc)^Sens!K12604</f>
        <v>0.583413807767797</v>
      </c>
    </row>
    <row r="12606" customFormat="false" ht="17.15" hidden="false" customHeight="false" outlineLevel="0" collapsed="false">
      <c r="A12606" s="1" t="s">
        <v>1044</v>
      </c>
      <c r="B12606" s="0" t="s">
        <v>98</v>
      </c>
      <c r="F12606" s="6" t="n">
        <f aca="false">CF!F21-CF!F19-CF!F24+Thesis!F44*(1-tax_f)</f>
        <v>9.29995994594013</v>
      </c>
      <c r="G12606" s="6" t="n">
        <f aca="false">CF!G21-CF!G19-CF!G24+Thesis!G44*(1-tax_f)</f>
        <v>55.6803799901549</v>
      </c>
      <c r="H12606" s="6" t="n">
        <f aca="false">CF!H21-CF!H19-CF!H24+Thesis!H44*(1-tax_f)</f>
        <v>114.6308681267</v>
      </c>
      <c r="I12606" s="6" t="n">
        <f aca="false">CF!I21-CF!I19-CF!I24+Thesis!I44*(1-tax_f)</f>
        <v>192.960687587037</v>
      </c>
      <c r="J12606" s="6" t="n">
        <f aca="false">CF!J21-CF!J19-CF!J24+Thesis!J44*(1-tax_f)</f>
        <v>273.742251264366</v>
      </c>
      <c r="K12606" s="6" t="n">
        <f aca="false">CF!K21-CF!K19-CF!K24+Thesis!K44*(1-tax_f)</f>
        <v>313.491842465765</v>
      </c>
      <c r="L12606" s="1" t="s">
        <v>1045</v>
      </c>
    </row>
    <row r="12607" customFormat="false" ht="15" hidden="false" customHeight="false" outlineLevel="0" collapsed="false">
      <c r="A12607" s="1" t="s">
        <v>1046</v>
      </c>
      <c r="B12607" s="0" t="s">
        <v>98</v>
      </c>
      <c r="F12607" s="6" t="n">
        <f aca="false">Sens!F12606*Sens!F12605</f>
        <v>8.8553602353463</v>
      </c>
      <c r="G12607" s="6" t="n">
        <f aca="false">Sens!G12606*Sens!G12605</f>
        <v>48.0703910411556</v>
      </c>
      <c r="H12607" s="6" t="n">
        <f aca="false">Sens!H12606*Sens!H12605</f>
        <v>89.7278694479</v>
      </c>
      <c r="I12607" s="6" t="n">
        <f aca="false">Sens!I12606*Sens!I12605</f>
        <v>136.944603212593</v>
      </c>
      <c r="J12607" s="6" t="n">
        <f aca="false">Sens!J12606*Sens!J12605</f>
        <v>176.144151660583</v>
      </c>
      <c r="K12607" s="6" t="n">
        <f aca="false">Sens!K12606*Sens!K12605</f>
        <v>182.895469517094</v>
      </c>
    </row>
    <row r="12608" customFormat="false" ht="17.15" hidden="false" customHeight="false" outlineLevel="0" collapsed="false">
      <c r="A12608" s="1" t="s">
        <v>1047</v>
      </c>
      <c r="B12608" s="0" t="s">
        <v>98</v>
      </c>
      <c r="C12608" s="6" t="n">
        <f aca="false">SUM(Sens!F12607:K12607)</f>
        <v>642.637845114673</v>
      </c>
    </row>
    <row r="12609" customFormat="false" ht="17.15" hidden="false" customHeight="false" outlineLevel="0" collapsed="false">
      <c r="A12609" s="1" t="s">
        <v>1048</v>
      </c>
      <c r="B12609" s="0" t="s">
        <v>98</v>
      </c>
      <c r="C12609" s="6" t="n">
        <f aca="false">PL!K39*(1+g_tv)*(1-tax_f)</f>
        <v>325.338496025769</v>
      </c>
    </row>
    <row r="12610" customFormat="false" ht="17.15" hidden="false" customHeight="false" outlineLevel="0" collapsed="false">
      <c r="A12610" s="1" t="s">
        <v>1049</v>
      </c>
      <c r="B12610" s="0" t="s">
        <v>98</v>
      </c>
      <c r="C12610" s="6" t="n">
        <f aca="false">Sens!$C$12609*(1-g_tv/(wacc+ronic_prem_hi))</f>
        <v>261.51927943054</v>
      </c>
    </row>
    <row r="12611" customFormat="false" ht="17.15" hidden="false" customHeight="false" outlineLevel="0" collapsed="false">
      <c r="A12611" s="1" t="s">
        <v>1050</v>
      </c>
      <c r="B12611" s="0" t="s">
        <v>98</v>
      </c>
      <c r="C12611" s="6" t="n">
        <f aca="false">Sens!$C$12610/(wacc-g_tv)</f>
        <v>3585.67709316832</v>
      </c>
    </row>
    <row r="12612" customFormat="false" ht="15" hidden="false" customHeight="false" outlineLevel="0" collapsed="false">
      <c r="A12612" s="1" t="s">
        <v>1051</v>
      </c>
      <c r="B12612" s="0" t="s">
        <v>98</v>
      </c>
      <c r="C12612" s="6" t="n">
        <f aca="false">Sens!$C$12611/(1+wacc)^(Sens!K12604+mid_yr)</f>
        <v>1991.92524182044</v>
      </c>
    </row>
    <row r="12613" customFormat="false" ht="17.15" hidden="false" customHeight="false" outlineLevel="0" collapsed="false">
      <c r="A12613" s="0" t="s">
        <v>972</v>
      </c>
      <c r="B12613" s="0" t="s">
        <v>98</v>
      </c>
      <c r="C12613" s="6" t="n">
        <f aca="false">Sens!$C$12608+Sens!$C$12612</f>
        <v>2634.56308693511</v>
      </c>
    </row>
    <row r="12614" customFormat="false" ht="15" hidden="false" customHeight="false" outlineLevel="0" collapsed="false">
      <c r="A12614" s="1" t="s">
        <v>973</v>
      </c>
      <c r="B12614" s="0" t="s">
        <v>129</v>
      </c>
      <c r="C12614" s="7" t="n">
        <f aca="false">Sens!$C$12612/Sens!$C$12613</f>
        <v>0.75607422410891</v>
      </c>
    </row>
    <row r="12615" customFormat="false" ht="17.15" hidden="false" customHeight="false" outlineLevel="0" collapsed="false">
      <c r="A12615" s="1" t="s">
        <v>1052</v>
      </c>
      <c r="B12615" s="0" t="s">
        <v>98</v>
      </c>
      <c r="C12615" s="6" t="n">
        <f aca="false">Sens!$C$12613+CF!E36-CF!E25+oai_v</f>
        <v>2769.07608693511</v>
      </c>
    </row>
    <row r="12616" customFormat="false" ht="17.15" hidden="false" customHeight="false" outlineLevel="0" collapsed="false">
      <c r="A12616" s="0" t="s">
        <v>980</v>
      </c>
      <c r="B12616" s="0" t="s">
        <v>75</v>
      </c>
      <c r="C12616" s="5" t="n">
        <f aca="false">Sens!$C$12615/sh_dil26</f>
        <v>371.538452560729</v>
      </c>
    </row>
    <row r="12617" customFormat="false" ht="15" hidden="false" customHeight="false" outlineLevel="0" collapsed="false">
      <c r="A12617" s="1" t="s">
        <v>1053</v>
      </c>
      <c r="B12617" s="0" t="s">
        <v>75</v>
      </c>
      <c r="C12617" s="8" t="n">
        <f aca="false">dps_27+CF!G28*roll_div_q/q_per_yr</f>
        <v>4.8895</v>
      </c>
    </row>
    <row r="12618" customFormat="false" ht="17.15" hidden="false" customHeight="false" outlineLevel="0" collapsed="false">
      <c r="A12618" s="0" t="s">
        <v>1054</v>
      </c>
      <c r="B12618" s="0" t="s">
        <v>75</v>
      </c>
      <c r="C12618" s="5" t="n">
        <f aca="false">Sens!$C$12616*(1+wacc)^t_roll-Sens!$C$12617</f>
        <v>418.193741423628</v>
      </c>
    </row>
    <row r="12619" customFormat="false" ht="17.15" hidden="false" customHeight="false" outlineLevel="0" collapsed="false">
      <c r="A12619" s="1" t="s">
        <v>1055</v>
      </c>
      <c r="B12619" s="0" t="s">
        <v>129</v>
      </c>
      <c r="F12619" s="7" t="n">
        <f aca="false">CF!F17/(Seg!F29-Thesis!F23)</f>
        <v>0.0681773598226415</v>
      </c>
      <c r="G12619" s="7" t="n">
        <f aca="false">CF!G17/(Seg!G29-Thesis!G23)</f>
        <v>0.0650385409375172</v>
      </c>
      <c r="H12619" s="7" t="n">
        <f aca="false">CF!H17/(Seg!H29-Thesis!H23)</f>
        <v>0.063382542471986</v>
      </c>
      <c r="I12619" s="7" t="n">
        <f aca="false">CF!I17/(Seg!I29-Thesis!I23)</f>
        <v>0.0630998138876076</v>
      </c>
      <c r="J12619" s="7" t="n">
        <f aca="false">CF!J17/(Seg!J29-Thesis!J23)</f>
        <v>0.0638399980286975</v>
      </c>
      <c r="K12619" s="7" t="n">
        <f aca="false">CF!K17/(Seg!K29-Thesis!K23)</f>
        <v>0.0651531082402687</v>
      </c>
    </row>
    <row r="12620" customFormat="false" ht="17.15" hidden="false" customHeight="false" outlineLevel="0" collapsed="false">
      <c r="A12620" s="0" t="s">
        <v>1056</v>
      </c>
      <c r="B12620" s="0" t="s">
        <v>98</v>
      </c>
      <c r="F12620" s="6" t="n">
        <f aca="false">Seg!F14*(al_m365+Sens!F12619+sbc_r)</f>
        <v>84.944046606333</v>
      </c>
      <c r="G12620" s="6" t="n">
        <f aca="false">Seg!G14*(al_m365+Sens!G12619+sbc_r)</f>
        <v>99.4236143320739</v>
      </c>
      <c r="H12620" s="6" t="n">
        <f aca="false">Seg!H14*(al_m365+Sens!H12619+sbc_r)</f>
        <v>114.068697186163</v>
      </c>
      <c r="I12620" s="6" t="n">
        <f aca="false">Seg!I14*(al_m365+Sens!I12619+sbc_r)</f>
        <v>127.196415789369</v>
      </c>
      <c r="J12620" s="6" t="n">
        <f aca="false">Seg!J14*(al_m365+Sens!J12619+sbc_r)</f>
        <v>138.619575691419</v>
      </c>
      <c r="K12620" s="6" t="n">
        <f aca="false">Seg!K14*(al_m365+Sens!K12619+sbc_r)</f>
        <v>149.659768267063</v>
      </c>
      <c r="L12620" s="11" t="s">
        <v>1057</v>
      </c>
    </row>
    <row r="12621" customFormat="false" ht="17.15" hidden="false" customHeight="false" outlineLevel="0" collapsed="false">
      <c r="A12621" s="0" t="s">
        <v>1058</v>
      </c>
      <c r="B12621" s="0" t="s">
        <v>98</v>
      </c>
      <c r="F12621" s="6" t="n">
        <f aca="false">Seg!F15*(al_lic+Sens!F12619+sbc_r)</f>
        <v>33.4285095904825</v>
      </c>
      <c r="G12621" s="6" t="n">
        <f aca="false">Seg!G15*(al_lic+Sens!G12619+sbc_r)</f>
        <v>34.7161826947861</v>
      </c>
      <c r="H12621" s="6" t="n">
        <f aca="false">Seg!H15*(al_lic+Sens!H12619+sbc_r)</f>
        <v>35.9223654002493</v>
      </c>
      <c r="I12621" s="6" t="n">
        <f aca="false">Seg!I15*(al_lic+Sens!I12619+sbc_r)</f>
        <v>37.0298325864501</v>
      </c>
      <c r="J12621" s="6" t="n">
        <f aca="false">Seg!J15*(al_lic+Sens!J12619+sbc_r)</f>
        <v>38.0103325842314</v>
      </c>
      <c r="K12621" s="6" t="n">
        <f aca="false">Seg!K15*(al_lic+Sens!K12619+sbc_r)</f>
        <v>38.8303473189322</v>
      </c>
    </row>
    <row r="12622" customFormat="false" ht="17.15" hidden="false" customHeight="false" outlineLevel="0" collapsed="false">
      <c r="A12622" s="0" t="s">
        <v>1059</v>
      </c>
      <c r="B12622" s="0" t="s">
        <v>98</v>
      </c>
      <c r="F12622" s="6" t="n">
        <f aca="false">Seg!F17*(al_ind+Sens!F12619+sbc_r)</f>
        <v>9.06719306746208</v>
      </c>
      <c r="G12622" s="6" t="n">
        <f aca="false">Seg!G17*(al_ind+Sens!G12619+sbc_r)</f>
        <v>9.83485541633448</v>
      </c>
      <c r="H12622" s="6" t="n">
        <f aca="false">Seg!H17*(al_ind+Sens!H12619+sbc_r)</f>
        <v>10.6498544617516</v>
      </c>
      <c r="I12622" s="6" t="n">
        <f aca="false">Seg!I17*(al_ind+Sens!I12619+sbc_r)</f>
        <v>11.5103515303299</v>
      </c>
      <c r="J12622" s="6" t="n">
        <f aca="false">Seg!J17*(al_ind+Sens!J12619+sbc_r)</f>
        <v>12.4055032067278</v>
      </c>
      <c r="K12622" s="6" t="n">
        <f aca="false">Seg!K17*(al_ind+Sens!K12619+sbc_r)</f>
        <v>13.3173308472897</v>
      </c>
    </row>
    <row r="12623" customFormat="false" ht="17.15" hidden="false" customHeight="false" outlineLevel="0" collapsed="false">
      <c r="A12623" s="0" t="s">
        <v>1060</v>
      </c>
      <c r="B12623" s="0" t="s">
        <v>98</v>
      </c>
      <c r="F12623" s="6" t="n">
        <f aca="false">Seg!F19*(al_fro+Sens!F12619+sbc_r)</f>
        <v>3.56887902446295</v>
      </c>
      <c r="G12623" s="6" t="n">
        <f aca="false">Seg!G19*(al_fro+Sens!G12619+sbc_r)</f>
        <v>3.77600302676241</v>
      </c>
      <c r="H12623" s="6" t="n">
        <f aca="false">Seg!H19*(al_fro+Sens!H12619+sbc_r)</f>
        <v>4.01322967965482</v>
      </c>
      <c r="I12623" s="6" t="n">
        <f aca="false">Seg!I19*(al_fro+Sens!I12619+sbc_r)</f>
        <v>4.28368437397841</v>
      </c>
      <c r="J12623" s="6" t="n">
        <f aca="false">Seg!J19*(al_fro+Sens!J12619+sbc_r)</f>
        <v>4.58803182845156</v>
      </c>
      <c r="K12623" s="6" t="n">
        <f aca="false">Seg!K19*(al_fro+Sens!K12619+sbc_r)</f>
        <v>4.92526073140255</v>
      </c>
    </row>
    <row r="12624" customFormat="false" ht="17.15" hidden="false" customHeight="false" outlineLevel="0" collapsed="false">
      <c r="A12624" s="0" t="s">
        <v>1061</v>
      </c>
      <c r="B12624" s="0" t="s">
        <v>98</v>
      </c>
      <c r="F12624" s="6" t="n">
        <f aca="false">Seg!F22*(al_srch+Sens!F12619+sbc_r)</f>
        <v>11.1981144415922</v>
      </c>
      <c r="G12624" s="6" t="n">
        <f aca="false">Seg!G22*(al_srch+Sens!G12619+sbc_r)</f>
        <v>12.2607925441521</v>
      </c>
      <c r="H12624" s="6" t="n">
        <f aca="false">Seg!H22*(al_srch+Sens!H12619+sbc_r)</f>
        <v>13.3712787172501</v>
      </c>
      <c r="I12624" s="6" t="n">
        <f aca="false">Seg!I22*(al_srch+Sens!I12619+sbc_r)</f>
        <v>14.5205713773955</v>
      </c>
      <c r="J12624" s="6" t="n">
        <f aca="false">Seg!J22*(al_srch+Sens!J12619+sbc_r)</f>
        <v>15.6873363367184</v>
      </c>
      <c r="K12624" s="6" t="n">
        <f aca="false">Seg!K22*(al_srch+Sens!K12619+sbc_r)</f>
        <v>16.8403848378749</v>
      </c>
    </row>
    <row r="12625" customFormat="false" ht="17.15" hidden="false" customHeight="false" outlineLevel="0" collapsed="false">
      <c r="A12625" s="0" t="s">
        <v>1062</v>
      </c>
      <c r="B12625" s="0" t="s">
        <v>98</v>
      </c>
      <c r="F12625" s="6" t="n">
        <f aca="false">Thesis!F29-Thesis!F30+Thesis!F44</f>
        <v>55.6743052939671</v>
      </c>
      <c r="G12625" s="6" t="n">
        <f aca="false">Thesis!G29-Thesis!G30+Thesis!G44</f>
        <v>100.2533125707</v>
      </c>
      <c r="H12625" s="6" t="n">
        <f aca="false">Thesis!H29-Thesis!H30+Thesis!H44</f>
        <v>152.31255014234</v>
      </c>
      <c r="I12625" s="6" t="n">
        <f aca="false">Thesis!I29-Thesis!I30+Thesis!I44</f>
        <v>194.041990076394</v>
      </c>
      <c r="J12625" s="6" t="n">
        <f aca="false">Thesis!J29-Thesis!J30+Thesis!J44</f>
        <v>223.463148273617</v>
      </c>
      <c r="K12625" s="6" t="n">
        <f aca="false">Thesis!K29-Thesis!K30+Thesis!K44</f>
        <v>241.312249272487</v>
      </c>
    </row>
    <row r="12626" customFormat="false" ht="17.15" hidden="false" customHeight="false" outlineLevel="0" collapsed="false">
      <c r="A12626" s="0" t="s">
        <v>1063</v>
      </c>
      <c r="B12626" s="0" t="s">
        <v>98</v>
      </c>
      <c r="F12626" s="6" t="n">
        <f aca="false">PL!F32+Thesis!F44+Thesis!F40+Sens!F12619*(Seg!F21-Thesis!F23)+sbc_r*Seg!F21</f>
        <v>247.769309676659</v>
      </c>
      <c r="G12626" s="6" t="n">
        <f aca="false">PL!G32+Thesis!G44+Thesis!G40+Sens!G12619*(Seg!G21-Thesis!G23)+sbc_r*Seg!G21</f>
        <v>321.625870182006</v>
      </c>
      <c r="H12626" s="6" t="n">
        <f aca="false">PL!H32+Thesis!H44+Thesis!H40+Sens!H12619*(Seg!H21-Thesis!H23)+sbc_r*Seg!H21</f>
        <v>403.668756829163</v>
      </c>
      <c r="I12626" s="6" t="n">
        <f aca="false">PL!I32+Thesis!I44+Thesis!I40+Sens!I12619*(Seg!I21-Thesis!I23)+sbc_r*Seg!I21</f>
        <v>473.311817063846</v>
      </c>
      <c r="J12626" s="6" t="n">
        <f aca="false">PL!J32+Thesis!J44+Thesis!J40+Sens!J12619*(Seg!J21-Thesis!J23)+sbc_r*Seg!J21</f>
        <v>527.683171494685</v>
      </c>
      <c r="K12626" s="6" t="n">
        <f aca="false">PL!K32+Thesis!K44+Thesis!K40+Sens!K12619*(Seg!K21-Thesis!K23)+sbc_r*Seg!K21</f>
        <v>568.060513693045</v>
      </c>
    </row>
    <row r="12627" customFormat="false" ht="17.15" hidden="false" customHeight="false" outlineLevel="0" collapsed="false">
      <c r="A12627" s="0" t="s">
        <v>1064</v>
      </c>
      <c r="B12627" s="0" t="s">
        <v>98</v>
      </c>
      <c r="F12627" s="6" t="n">
        <f aca="false">Sens!F12626-Sens!F12620-Sens!F12621-Sens!F12622-Sens!F12623-Sens!F12625</f>
        <v>61.0863760939514</v>
      </c>
      <c r="G12627" s="6" t="n">
        <f aca="false">Sens!G12626-Sens!G12620-Sens!G12621-Sens!G12622-Sens!G12623-Sens!G12625</f>
        <v>73.6219021413484</v>
      </c>
      <c r="H12627" s="6" t="n">
        <f aca="false">Sens!H12626-Sens!H12620-Sens!H12621-Sens!H12622-Sens!H12623-Sens!H12625</f>
        <v>86.7020599590046</v>
      </c>
      <c r="I12627" s="6" t="n">
        <f aca="false">Sens!I12626-Sens!I12620-Sens!I12621-Sens!I12622-Sens!I12623-Sens!I12625</f>
        <v>99.2495427073239</v>
      </c>
      <c r="J12627" s="6" t="n">
        <f aca="false">Sens!J12626-Sens!J12620-Sens!J12621-Sens!J12622-Sens!J12623-Sens!J12625</f>
        <v>110.596579910238</v>
      </c>
      <c r="K12627" s="6" t="n">
        <f aca="false">Sens!K12626-Sens!K12620-Sens!K12621-Sens!K12622-Sens!K12623-Sens!K12625</f>
        <v>120.01555725587</v>
      </c>
    </row>
    <row r="12628" customFormat="false" ht="17.15" hidden="false" customHeight="false" outlineLevel="0" collapsed="false">
      <c r="A12628" s="0" t="s">
        <v>1065</v>
      </c>
      <c r="B12628" s="0" t="s">
        <v>98</v>
      </c>
      <c r="F12628" s="6" t="n">
        <f aca="false">PL!F34+Sens!F12619*Seg!F28+sbc_r*Seg!F28</f>
        <v>26.1717931813002</v>
      </c>
      <c r="G12628" s="6" t="n">
        <f aca="false">PL!G34+Sens!G12619*Seg!G28+sbc_r*Seg!G28</f>
        <v>26.7581197754446</v>
      </c>
      <c r="H12628" s="6" t="n">
        <f aca="false">PL!H34+Sens!H12619*Seg!H28+sbc_r*Seg!H28</f>
        <v>27.6201174920951</v>
      </c>
      <c r="I12628" s="6" t="n">
        <f aca="false">PL!I34+Sens!I12619*Seg!I28+sbc_r*Seg!I28</f>
        <v>28.7296306530919</v>
      </c>
      <c r="J12628" s="6" t="n">
        <f aca="false">PL!J34+Sens!J12619*Seg!J28+sbc_r*Seg!J28</f>
        <v>30.04749983899</v>
      </c>
      <c r="K12628" s="6" t="n">
        <f aca="false">PL!K34+Sens!K12619*Seg!K28+sbc_r*Seg!K28</f>
        <v>31.5292329023825</v>
      </c>
    </row>
    <row r="12629" customFormat="false" ht="17.15" hidden="false" customHeight="false" outlineLevel="0" collapsed="false">
      <c r="A12629" s="0" t="s">
        <v>1066</v>
      </c>
      <c r="B12629" s="0" t="s">
        <v>98</v>
      </c>
      <c r="F12629" s="6" t="n">
        <f aca="false">(Sens!F12628-Sens!F12624)*Seg!F24/(Seg!F24+Seg!F26)</f>
        <v>8.20842484359027</v>
      </c>
      <c r="G12629" s="6" t="n">
        <f aca="false">(Sens!G12628-Sens!G12624)*Seg!G24/(Seg!G24+Seg!G26)</f>
        <v>7.80559384110416</v>
      </c>
      <c r="H12629" s="6" t="n">
        <f aca="false">(Sens!H12628-Sens!H12624)*Seg!H24/(Seg!H24+Seg!H26)</f>
        <v>7.56817041839156</v>
      </c>
      <c r="I12629" s="6" t="n">
        <f aca="false">(Sens!I12628-Sens!I12624)*Seg!I24/(Seg!I24+Seg!I26)</f>
        <v>7.47875608696462</v>
      </c>
      <c r="J12629" s="6" t="n">
        <f aca="false">(Sens!J12628-Sens!J12624)*Seg!J24/(Seg!J24+Seg!J26)</f>
        <v>7.52410955955578</v>
      </c>
      <c r="K12629" s="6" t="n">
        <f aca="false">(Sens!K12628-Sens!K12624)*Seg!K24/(Seg!K24+Seg!K26)</f>
        <v>7.6963261681206</v>
      </c>
    </row>
    <row r="12630" customFormat="false" ht="17.15" hidden="false" customHeight="false" outlineLevel="0" collapsed="false">
      <c r="A12630" s="0" t="s">
        <v>1067</v>
      </c>
      <c r="B12630" s="0" t="s">
        <v>98</v>
      </c>
      <c r="F12630" s="6" t="n">
        <f aca="false">Sens!F12628-Sens!F12624-Sens!F12629</f>
        <v>6.76525389611778</v>
      </c>
      <c r="G12630" s="6" t="n">
        <f aca="false">Sens!G12628-Sens!G12624-Sens!G12629</f>
        <v>6.69173339018827</v>
      </c>
      <c r="H12630" s="6" t="n">
        <f aca="false">Sens!H12628-Sens!H12624-Sens!H12629</f>
        <v>6.68066835645346</v>
      </c>
      <c r="I12630" s="6" t="n">
        <f aca="false">Sens!I12628-Sens!I12624-Sens!I12629</f>
        <v>6.73030318873177</v>
      </c>
      <c r="J12630" s="6" t="n">
        <f aca="false">Sens!J12628-Sens!J12624-Sens!J12629</f>
        <v>6.83605394271588</v>
      </c>
      <c r="K12630" s="6" t="n">
        <f aca="false">Sens!K12628-Sens!K12624-Sens!K12629</f>
        <v>6.99252189638696</v>
      </c>
    </row>
    <row r="12631" customFormat="false" ht="17.15" hidden="false" customHeight="false" outlineLevel="0" collapsed="false">
      <c r="A12631" s="0" t="s">
        <v>1068</v>
      </c>
      <c r="B12631" s="0" t="s">
        <v>98</v>
      </c>
      <c r="F12631" s="6" t="n">
        <f aca="false">Sens!F12625-tax_f*(Sens!F12625-Thesis!F40)-Thesis!F37</f>
        <v>-116.98560144409</v>
      </c>
      <c r="G12631" s="6" t="n">
        <f aca="false">Sens!G12625-tax_f*(Sens!G12625-Thesis!G40)-Thesis!G37</f>
        <v>-91.2751837745719</v>
      </c>
      <c r="H12631" s="6" t="n">
        <f aca="false">Sens!H12625-tax_f*(Sens!H12625-Thesis!H40)-Thesis!H37</f>
        <v>-48.6867825979003</v>
      </c>
      <c r="I12631" s="6" t="n">
        <f aca="false">Sens!I12625-tax_f*(Sens!I12625-Thesis!I40)-Thesis!I37</f>
        <v>13.9193309033143</v>
      </c>
      <c r="J12631" s="6" t="n">
        <f aca="false">Sens!J12625-tax_f*(Sens!J12625-Thesis!J40)-Thesis!J37</f>
        <v>80.0897840853365</v>
      </c>
      <c r="K12631" s="6" t="n">
        <f aca="false">Sens!K12625-tax_f*(Sens!K12625-Thesis!K40)-Thesis!K37</f>
        <v>106.014893136948</v>
      </c>
    </row>
    <row r="12632" customFormat="false" ht="17.15" hidden="false" customHeight="false" outlineLevel="0" collapsed="false">
      <c r="A12632" s="0" t="s">
        <v>1069</v>
      </c>
      <c r="B12632" s="0" t="s">
        <v>98</v>
      </c>
      <c r="F12632" s="6" t="n">
        <f aca="false">Sens!F12631*Sens!F12605</f>
        <v>-111.392914502638</v>
      </c>
      <c r="G12632" s="6" t="n">
        <f aca="false">Sens!G12631*Sens!G12605</f>
        <v>-78.8003561967933</v>
      </c>
      <c r="H12632" s="6" t="n">
        <f aca="false">Sens!H12631*Sens!H12605</f>
        <v>-38.1098158303589</v>
      </c>
      <c r="I12632" s="6" t="n">
        <f aca="false">Sens!I12631*Sens!I12605</f>
        <v>9.87857822946124</v>
      </c>
      <c r="J12632" s="6" t="n">
        <f aca="false">Sens!J12631*Sens!J12605</f>
        <v>51.5351466908437</v>
      </c>
      <c r="K12632" s="6" t="n">
        <f aca="false">Sens!K12631*Sens!K12605</f>
        <v>61.8505524851231</v>
      </c>
    </row>
    <row r="12633" customFormat="false" ht="17.15" hidden="false" customHeight="false" outlineLevel="0" collapsed="false">
      <c r="A12633" s="0" t="s">
        <v>1070</v>
      </c>
      <c r="B12633" s="0" t="s">
        <v>98</v>
      </c>
      <c r="C12633" s="6" t="n">
        <f aca="false">(Sens!K12625-Thesis!K40)*(1-tax_f)*(1+g_tv)*(1-g_tv/(wacc+ronic_prem_hi))/(wacc-g_tv)/(1+wacc)^(Sens!K12604+mid_yr)</f>
        <v>513.028322476289</v>
      </c>
    </row>
    <row r="12634" customFormat="false" ht="17.15" hidden="false" customHeight="false" outlineLevel="0" collapsed="false">
      <c r="A12634" s="1" t="s">
        <v>1071</v>
      </c>
      <c r="B12634" s="0" t="s">
        <v>98</v>
      </c>
      <c r="C12634" s="6" t="n">
        <f aca="false">(SUM(Sens!F12632:K12632)+Sens!$C$12633)*(1+wacc)^t_roll</f>
        <v>464.591281430199</v>
      </c>
      <c r="L12634" s="11" t="s">
        <v>1072</v>
      </c>
    </row>
    <row r="12635" customFormat="false" ht="17.15" hidden="false" customHeight="false" outlineLevel="0" collapsed="false">
      <c r="A12635" s="1" t="s">
        <v>1073</v>
      </c>
      <c r="B12635" s="0" t="s">
        <v>98</v>
      </c>
      <c r="C12635" s="6" t="n">
        <f aca="false">(w_ntm28*Thesis!G29+(1-w_ntm28)*Thesis!H29)*m_ai</f>
        <v>551.711134531404</v>
      </c>
    </row>
    <row r="12636" customFormat="false" ht="17.15" hidden="false" customHeight="false" outlineLevel="0" collapsed="false">
      <c r="A12636" s="1" t="s">
        <v>1074</v>
      </c>
      <c r="B12636" s="0" t="s">
        <v>98</v>
      </c>
      <c r="C12636" s="6" t="n">
        <f aca="false">(w_ntm28*Sens!G12627+(1-w_ntm28)*Sens!H12627)*m_cloud</f>
        <v>1075.89468255979</v>
      </c>
    </row>
    <row r="12637" customFormat="false" ht="17.15" hidden="false" customHeight="false" outlineLevel="0" collapsed="false">
      <c r="A12637" s="1" t="s">
        <v>1075</v>
      </c>
      <c r="B12637" s="0" t="s">
        <v>98</v>
      </c>
      <c r="C12637" s="6" t="n">
        <f aca="false">(w_ntm28*Sens!G12620+(1-w_ntm28)*Sens!H12620)*m_sw</f>
        <v>1124.90844188024</v>
      </c>
    </row>
    <row r="12638" customFormat="false" ht="17.15" hidden="false" customHeight="false" outlineLevel="0" collapsed="false">
      <c r="A12638" s="1" t="s">
        <v>1076</v>
      </c>
      <c r="B12638" s="0" t="s">
        <v>98</v>
      </c>
      <c r="C12638" s="6" t="n">
        <f aca="false">(w_ntm28*Sens!G12621+(1-w_ntm28)*Sens!H12621)*m_sw</f>
        <v>379.14616828134</v>
      </c>
    </row>
    <row r="12639" customFormat="false" ht="17.15" hidden="false" customHeight="false" outlineLevel="0" collapsed="false">
      <c r="A12639" s="1" t="s">
        <v>1077</v>
      </c>
      <c r="B12639" s="0" t="s">
        <v>98</v>
      </c>
      <c r="C12639" s="6" t="n">
        <f aca="false">(w_ntm28*Sens!G12622+(1-w_ntm28)*Sens!H12622)*m_sw</f>
        <v>109.062013245671</v>
      </c>
    </row>
    <row r="12640" customFormat="false" ht="17.15" hidden="false" customHeight="false" outlineLevel="0" collapsed="false">
      <c r="A12640" s="1" t="s">
        <v>1078</v>
      </c>
      <c r="B12640" s="0" t="s">
        <v>98</v>
      </c>
      <c r="C12640" s="6" t="n">
        <f aca="false">(w_ntm28*Sens!G12623+(1-w_ntm28)*Sens!H12623)*m_sw</f>
        <v>41.609111172448</v>
      </c>
    </row>
    <row r="12641" customFormat="false" ht="17.15" hidden="false" customHeight="false" outlineLevel="0" collapsed="false">
      <c r="A12641" s="1" t="s">
        <v>1079</v>
      </c>
      <c r="B12641" s="0" t="s">
        <v>98</v>
      </c>
      <c r="C12641" s="6" t="n">
        <f aca="false">(w_ntm28*Sens!G12624+(1-w_ntm28)*Sens!H12624)*m_ads</f>
        <v>114.966369190532</v>
      </c>
    </row>
    <row r="12642" customFormat="false" ht="17.15" hidden="false" customHeight="false" outlineLevel="0" collapsed="false">
      <c r="A12642" s="1" t="s">
        <v>1080</v>
      </c>
      <c r="B12642" s="0" t="s">
        <v>98</v>
      </c>
      <c r="C12642" s="6" t="n">
        <f aca="false">(w_ntm28*Sens!G12629+(1-w_ntm28)*Sens!H12629)*m_game</f>
        <v>97.6152211068291</v>
      </c>
    </row>
    <row r="12643" customFormat="false" ht="17.15" hidden="false" customHeight="false" outlineLevel="0" collapsed="false">
      <c r="A12643" s="1" t="s">
        <v>1081</v>
      </c>
      <c r="B12643" s="0" t="s">
        <v>98</v>
      </c>
      <c r="C12643" s="6" t="n">
        <f aca="false">(w_ntm28*Sens!G12630+(1-w_ntm28)*Sens!H12630)*m_pc</f>
        <v>96.7776202313644</v>
      </c>
    </row>
    <row r="12644" customFormat="false" ht="17.15" hidden="false" customHeight="false" outlineLevel="0" collapsed="false">
      <c r="A12644" s="1" t="s">
        <v>1082</v>
      </c>
      <c r="B12644" s="0" t="s">
        <v>98</v>
      </c>
      <c r="C12644" s="6" t="n">
        <f aca="false">Sens!$C$12634+Sens!$C$12636+Sens!$C$12637+Sens!$C$12638+Sens!$C$12639+Sens!$C$12640+Sens!$C$12641+Sens!$C$12642+Sens!$C$12643</f>
        <v>3504.57090909842</v>
      </c>
    </row>
    <row r="12645" customFormat="false" ht="17.15" hidden="false" customHeight="false" outlineLevel="0" collapsed="false">
      <c r="A12645" s="1" t="s">
        <v>1000</v>
      </c>
      <c r="B12645" s="0" t="s">
        <v>98</v>
      </c>
      <c r="C12645" s="6" t="n">
        <f aca="false">CF!F36+oai_v-CF!F25</f>
        <v>115.079583119545</v>
      </c>
      <c r="L12645" s="1" t="s">
        <v>1083</v>
      </c>
    </row>
    <row r="12646" customFormat="false" ht="15" hidden="false" customHeight="false" outlineLevel="0" collapsed="false">
      <c r="A12646" s="1" t="s">
        <v>1001</v>
      </c>
      <c r="B12646" s="0" t="s">
        <v>75</v>
      </c>
      <c r="C12646" s="5" t="n">
        <f aca="false">(Sens!$C$12644+Sens!$C$12645)/CF!F38</f>
        <v>484.428599065573</v>
      </c>
    </row>
    <row r="12647" customFormat="false" ht="17.15" hidden="false" customHeight="false" outlineLevel="0" collapsed="false">
      <c r="A12647" s="1" t="s">
        <v>1084</v>
      </c>
      <c r="B12647" s="0" t="s">
        <v>75</v>
      </c>
      <c r="C12647" s="5" t="n">
        <f aca="false">w_dcf*Sens!$C$12618+(1-w_dcf)*Sens!$C$12646</f>
        <v>451.311170244601</v>
      </c>
    </row>
    <row r="12648" customFormat="false" ht="17.15" hidden="false" customHeight="false" outlineLevel="0" collapsed="false">
      <c r="A12648" s="3" t="s">
        <v>1562</v>
      </c>
    </row>
    <row r="12649" customFormat="false" ht="15" hidden="false" customHeight="false" outlineLevel="0" collapsed="false">
      <c r="A12649" s="4" t="s">
        <v>43</v>
      </c>
      <c r="B12649" s="4" t="s">
        <v>65</v>
      </c>
      <c r="C12649" s="20" t="s">
        <v>788</v>
      </c>
      <c r="D12649" s="20" t="s">
        <v>789</v>
      </c>
      <c r="E12649" s="20" t="s">
        <v>790</v>
      </c>
      <c r="F12649" s="20" t="s">
        <v>791</v>
      </c>
      <c r="G12649" s="20" t="s">
        <v>792</v>
      </c>
      <c r="H12649" s="20" t="s">
        <v>793</v>
      </c>
      <c r="I12649" s="20" t="s">
        <v>794</v>
      </c>
      <c r="J12649" s="20" t="s">
        <v>795</v>
      </c>
      <c r="K12649" s="20" t="s">
        <v>796</v>
      </c>
      <c r="L12649" s="4" t="s">
        <v>47</v>
      </c>
    </row>
    <row r="12650" customFormat="false" ht="15" hidden="false" customHeight="false" outlineLevel="0" collapsed="false">
      <c r="A12650" s="1" t="s">
        <v>1042</v>
      </c>
      <c r="B12650" s="1" t="s">
        <v>235</v>
      </c>
      <c r="F12650" s="36" t="n">
        <f aca="false">Thesis!F55-base_fy-mid_yr</f>
        <v>0.5</v>
      </c>
      <c r="G12650" s="36" t="n">
        <f aca="false">Thesis!G55-base_fy-mid_yr</f>
        <v>1.5</v>
      </c>
      <c r="H12650" s="36" t="n">
        <f aca="false">Thesis!H55-base_fy-mid_yr</f>
        <v>2.5</v>
      </c>
      <c r="I12650" s="36" t="n">
        <f aca="false">Thesis!I55-base_fy-mid_yr</f>
        <v>3.5</v>
      </c>
      <c r="J12650" s="36" t="n">
        <f aca="false">Thesis!J55-base_fy-mid_yr</f>
        <v>4.5</v>
      </c>
      <c r="K12650" s="36" t="n">
        <f aca="false">Thesis!K55-base_fy-mid_yr</f>
        <v>5.5</v>
      </c>
    </row>
    <row r="12651" customFormat="false" ht="15" hidden="false" customHeight="false" outlineLevel="0" collapsed="false">
      <c r="A12651" s="1" t="s">
        <v>1043</v>
      </c>
      <c r="B12651" s="0" t="s">
        <v>185</v>
      </c>
      <c r="F12651" s="14" t="n">
        <f aca="false">1/(1+wacc)^Sens!F12650</f>
        <v>0.952193373608246</v>
      </c>
      <c r="G12651" s="14" t="n">
        <f aca="false">1/(1+wacc)^Sens!G12650</f>
        <v>0.863327280626589</v>
      </c>
      <c r="H12651" s="14" t="n">
        <f aca="false">1/(1+wacc)^Sens!H12650</f>
        <v>0.782754862754115</v>
      </c>
      <c r="I12651" s="14" t="n">
        <f aca="false">1/(1+wacc)^Sens!I12650</f>
        <v>0.709702089711011</v>
      </c>
      <c r="J12651" s="14" t="n">
        <f aca="false">1/(1+wacc)^Sens!J12650</f>
        <v>0.643467169744551</v>
      </c>
      <c r="K12651" s="14" t="n">
        <f aca="false">1/(1+wacc)^Sens!K12650</f>
        <v>0.583413807767797</v>
      </c>
    </row>
    <row r="12652" customFormat="false" ht="17.15" hidden="false" customHeight="false" outlineLevel="0" collapsed="false">
      <c r="A12652" s="1" t="s">
        <v>1044</v>
      </c>
      <c r="B12652" s="0" t="s">
        <v>98</v>
      </c>
      <c r="F12652" s="6" t="n">
        <f aca="false">CF!F50-CF!F48-CF!F53+Thesis!F93*(1-tax_f)</f>
        <v>6.35272982150552</v>
      </c>
      <c r="G12652" s="6" t="n">
        <f aca="false">CF!G50-CF!G48-CF!G53+Thesis!G93*(1-tax_f)</f>
        <v>46.5420417324757</v>
      </c>
      <c r="H12652" s="6" t="n">
        <f aca="false">CF!H50-CF!H48-CF!H53+Thesis!H93*(1-tax_f)</f>
        <v>95.2982347048119</v>
      </c>
      <c r="I12652" s="6" t="n">
        <f aca="false">CF!I50-CF!I48-CF!I53+Thesis!I93*(1-tax_f)</f>
        <v>168.760108332815</v>
      </c>
      <c r="J12652" s="6" t="n">
        <f aca="false">CF!J50-CF!J48-CF!J53+Thesis!J93*(1-tax_f)</f>
        <v>246.10903404452</v>
      </c>
      <c r="K12652" s="6" t="n">
        <f aca="false">CF!K50-CF!K48-CF!K53+Thesis!K93*(1-tax_f)</f>
        <v>283.7365778763</v>
      </c>
      <c r="L12652" s="1" t="s">
        <v>1045</v>
      </c>
    </row>
    <row r="12653" customFormat="false" ht="15" hidden="false" customHeight="false" outlineLevel="0" collapsed="false">
      <c r="A12653" s="1" t="s">
        <v>1046</v>
      </c>
      <c r="B12653" s="0" t="s">
        <v>98</v>
      </c>
      <c r="F12653" s="6" t="n">
        <f aca="false">Sens!F12652*Sens!F12651</f>
        <v>6.04902724036105</v>
      </c>
      <c r="G12653" s="6" t="n">
        <f aca="false">Sens!G12652*Sens!G12651</f>
        <v>40.1810143237074</v>
      </c>
      <c r="H12653" s="6" t="n">
        <f aca="false">Sens!H12652*Sens!H12651</f>
        <v>74.5951566270745</v>
      </c>
      <c r="I12653" s="6" t="n">
        <f aca="false">Sens!I12652*Sens!I12651</f>
        <v>119.769401543655</v>
      </c>
      <c r="J12653" s="6" t="n">
        <f aca="false">Sens!J12652*Sens!J12651</f>
        <v>158.363083585193</v>
      </c>
      <c r="K12653" s="6" t="n">
        <f aca="false">Sens!K12652*Sens!K12651</f>
        <v>165.535837301816</v>
      </c>
    </row>
    <row r="12654" customFormat="false" ht="17.15" hidden="false" customHeight="false" outlineLevel="0" collapsed="false">
      <c r="A12654" s="1" t="s">
        <v>1047</v>
      </c>
      <c r="B12654" s="0" t="s">
        <v>98</v>
      </c>
      <c r="C12654" s="6" t="n">
        <f aca="false">SUM(Sens!F12653:K12653)</f>
        <v>564.493520621807</v>
      </c>
    </row>
    <row r="12655" customFormat="false" ht="17.15" hidden="false" customHeight="false" outlineLevel="0" collapsed="false">
      <c r="A12655" s="1" t="s">
        <v>1048</v>
      </c>
      <c r="B12655" s="0" t="s">
        <v>98</v>
      </c>
      <c r="C12655" s="6" t="n">
        <f aca="false">PL!K78*(1+g_tv)*(1-tax_f)</f>
        <v>293.76437880412</v>
      </c>
    </row>
    <row r="12656" customFormat="false" ht="17.15" hidden="false" customHeight="false" outlineLevel="0" collapsed="false">
      <c r="A12656" s="1" t="s">
        <v>1049</v>
      </c>
      <c r="B12656" s="0" t="s">
        <v>98</v>
      </c>
      <c r="C12656" s="6" t="n">
        <f aca="false">Sens!$C$12655*(1-g_tv/(wacc+ronic_prem_hi))</f>
        <v>236.138820353828</v>
      </c>
    </row>
    <row r="12657" customFormat="false" ht="17.15" hidden="false" customHeight="false" outlineLevel="0" collapsed="false">
      <c r="A12657" s="1" t="s">
        <v>1050</v>
      </c>
      <c r="B12657" s="0" t="s">
        <v>98</v>
      </c>
      <c r="C12657" s="6" t="n">
        <f aca="false">Sens!$C$12656/(wacc-g_tv)</f>
        <v>3237.68695292463</v>
      </c>
    </row>
    <row r="12658" customFormat="false" ht="15" hidden="false" customHeight="false" outlineLevel="0" collapsed="false">
      <c r="A12658" s="1" t="s">
        <v>1051</v>
      </c>
      <c r="B12658" s="0" t="s">
        <v>98</v>
      </c>
      <c r="C12658" s="6" t="n">
        <f aca="false">Sens!$C$12657/(1+wacc)^(Sens!K12650+mid_yr)</f>
        <v>1798.60879802334</v>
      </c>
    </row>
    <row r="12659" customFormat="false" ht="17.15" hidden="false" customHeight="false" outlineLevel="0" collapsed="false">
      <c r="A12659" s="0" t="s">
        <v>972</v>
      </c>
      <c r="B12659" s="0" t="s">
        <v>98</v>
      </c>
      <c r="C12659" s="6" t="n">
        <f aca="false">Sens!$C$12654+Sens!$C$12658</f>
        <v>2363.10231864514</v>
      </c>
    </row>
    <row r="12660" customFormat="false" ht="15" hidden="false" customHeight="false" outlineLevel="0" collapsed="false">
      <c r="A12660" s="1" t="s">
        <v>973</v>
      </c>
      <c r="B12660" s="0" t="s">
        <v>129</v>
      </c>
      <c r="C12660" s="7" t="n">
        <f aca="false">Sens!$C$12658/Sens!$C$12659</f>
        <v>0.761121845563821</v>
      </c>
    </row>
    <row r="12661" customFormat="false" ht="17.15" hidden="false" customHeight="false" outlineLevel="0" collapsed="false">
      <c r="A12661" s="1" t="s">
        <v>1052</v>
      </c>
      <c r="B12661" s="0" t="s">
        <v>98</v>
      </c>
      <c r="C12661" s="6" t="n">
        <f aca="false">Sens!$C$12659+CF!E65-CF!E54+oai_v</f>
        <v>2497.61531864514</v>
      </c>
    </row>
    <row r="12662" customFormat="false" ht="17.15" hidden="false" customHeight="false" outlineLevel="0" collapsed="false">
      <c r="A12662" s="0" t="s">
        <v>980</v>
      </c>
      <c r="B12662" s="0" t="s">
        <v>75</v>
      </c>
      <c r="C12662" s="5" t="n">
        <f aca="false">Sens!$C$12661/sh_dil26</f>
        <v>335.115432529873</v>
      </c>
    </row>
    <row r="12663" customFormat="false" ht="15" hidden="false" customHeight="false" outlineLevel="0" collapsed="false">
      <c r="A12663" s="1" t="s">
        <v>1053</v>
      </c>
      <c r="B12663" s="0" t="s">
        <v>75</v>
      </c>
      <c r="C12663" s="8" t="n">
        <f aca="false">dps_27+CF!G57*roll_div_q/q_per_yr</f>
        <v>4.8895</v>
      </c>
    </row>
    <row r="12664" customFormat="false" ht="17.15" hidden="false" customHeight="false" outlineLevel="0" collapsed="false">
      <c r="A12664" s="0" t="s">
        <v>1054</v>
      </c>
      <c r="B12664" s="0" t="s">
        <v>75</v>
      </c>
      <c r="C12664" s="5" t="n">
        <f aca="false">Sens!$C$12662*(1+wacc)^t_roll-Sens!$C$12663</f>
        <v>376.717632367128</v>
      </c>
    </row>
    <row r="12665" customFormat="false" ht="17.15" hidden="false" customHeight="false" outlineLevel="0" collapsed="false">
      <c r="A12665" s="1" t="s">
        <v>1055</v>
      </c>
      <c r="B12665" s="0" t="s">
        <v>129</v>
      </c>
      <c r="F12665" s="7" t="n">
        <f aca="false">CF!F46/(Seg!F56-Thesis!F72)</f>
        <v>0.0684307874075333</v>
      </c>
      <c r="G12665" s="7" t="n">
        <f aca="false">CF!G46/(Seg!G56-Thesis!G72)</f>
        <v>0.0656456058503526</v>
      </c>
      <c r="H12665" s="7" t="n">
        <f aca="false">CF!H46/(Seg!H56-Thesis!H72)</f>
        <v>0.0641950889132003</v>
      </c>
      <c r="I12665" s="7" t="n">
        <f aca="false">CF!I46/(Seg!I56-Thesis!I72)</f>
        <v>0.063960269667854</v>
      </c>
      <c r="J12665" s="7" t="n">
        <f aca="false">CF!J46/(Seg!J56-Thesis!J72)</f>
        <v>0.0646607917002597</v>
      </c>
      <c r="K12665" s="7" t="n">
        <f aca="false">CF!K46/(Seg!K56-Thesis!K72)</f>
        <v>0.0659511546529383</v>
      </c>
    </row>
    <row r="12666" customFormat="false" ht="17.15" hidden="false" customHeight="false" outlineLevel="0" collapsed="false">
      <c r="A12666" s="0" t="s">
        <v>1056</v>
      </c>
      <c r="B12666" s="0" t="s">
        <v>98</v>
      </c>
      <c r="F12666" s="6" t="n">
        <f aca="false">Seg!F41*(al_m365+Sens!F12665+sbc_r)</f>
        <v>83.9158372980923</v>
      </c>
      <c r="G12666" s="6" t="n">
        <f aca="false">Seg!G41*(al_m365+Sens!G12665+sbc_r)</f>
        <v>96.3459139664276</v>
      </c>
      <c r="H12666" s="6" t="n">
        <f aca="false">Seg!H41*(al_m365+Sens!H12665+sbc_r)</f>
        <v>108.939128787393</v>
      </c>
      <c r="I12666" s="6" t="n">
        <f aca="false">Seg!I41*(al_m365+Sens!I12665+sbc_r)</f>
        <v>120.51456797186</v>
      </c>
      <c r="J12666" s="6" t="n">
        <f aca="false">Seg!J41*(al_m365+Sens!J12665+sbc_r)</f>
        <v>130.883844402211</v>
      </c>
      <c r="K12666" s="6" t="n">
        <f aca="false">Seg!K41*(al_m365+Sens!K12665+sbc_r)</f>
        <v>140.862269296832</v>
      </c>
      <c r="L12666" s="11" t="s">
        <v>1057</v>
      </c>
    </row>
    <row r="12667" customFormat="false" ht="17.15" hidden="false" customHeight="false" outlineLevel="0" collapsed="false">
      <c r="A12667" s="0" t="s">
        <v>1058</v>
      </c>
      <c r="B12667" s="0" t="s">
        <v>98</v>
      </c>
      <c r="F12667" s="6" t="n">
        <f aca="false">Seg!F42*(al_lic+Sens!F12665+sbc_r)</f>
        <v>33.4384115342236</v>
      </c>
      <c r="G12667" s="6" t="n">
        <f aca="false">Seg!G42*(al_lic+Sens!G12665+sbc_r)</f>
        <v>34.7409063621757</v>
      </c>
      <c r="H12667" s="6" t="n">
        <f aca="false">Seg!H42*(al_lic+Sens!H12665+sbc_r)</f>
        <v>35.9566740351293</v>
      </c>
      <c r="I12667" s="6" t="n">
        <f aca="false">Seg!I42*(al_lic+Sens!I12665+sbc_r)</f>
        <v>37.0672966580049</v>
      </c>
      <c r="J12667" s="6" t="n">
        <f aca="false">Seg!J42*(al_lic+Sens!J12665+sbc_r)</f>
        <v>38.0469841498966</v>
      </c>
      <c r="K12667" s="6" t="n">
        <f aca="false">Seg!K42*(al_lic+Sens!K12665+sbc_r)</f>
        <v>38.8666958490701</v>
      </c>
    </row>
    <row r="12668" customFormat="false" ht="17.15" hidden="false" customHeight="false" outlineLevel="0" collapsed="false">
      <c r="A12668" s="0" t="s">
        <v>1059</v>
      </c>
      <c r="B12668" s="0" t="s">
        <v>98</v>
      </c>
      <c r="F12668" s="6" t="n">
        <f aca="false">Seg!F44*(al_ind+Sens!F12665+sbc_r)</f>
        <v>9.07285900381439</v>
      </c>
      <c r="G12668" s="6" t="n">
        <f aca="false">Seg!G44*(al_ind+Sens!G12665+sbc_r)</f>
        <v>9.84969160470639</v>
      </c>
      <c r="H12668" s="6" t="n">
        <f aca="false">Seg!H44*(al_ind+Sens!H12665+sbc_r)</f>
        <v>10.6714469126029</v>
      </c>
      <c r="I12668" s="6" t="n">
        <f aca="false">Seg!I44*(al_ind+Sens!I12665+sbc_r)</f>
        <v>11.5350820765572</v>
      </c>
      <c r="J12668" s="6" t="n">
        <f aca="false">Seg!J44*(al_ind+Sens!J12665+sbc_r)</f>
        <v>12.4308815351832</v>
      </c>
      <c r="K12668" s="6" t="n">
        <f aca="false">Seg!K44*(al_ind+Sens!K12665+sbc_r)</f>
        <v>13.3437330974691</v>
      </c>
    </row>
    <row r="12669" customFormat="false" ht="17.15" hidden="false" customHeight="false" outlineLevel="0" collapsed="false">
      <c r="A12669" s="0" t="s">
        <v>1060</v>
      </c>
      <c r="B12669" s="0" t="s">
        <v>98</v>
      </c>
      <c r="F12669" s="6" t="n">
        <f aca="false">Seg!F46*(al_fro+Sens!F12665+sbc_r)</f>
        <v>3.5711091569032</v>
      </c>
      <c r="G12669" s="6" t="n">
        <f aca="false">Seg!G46*(al_fro+Sens!G12665+sbc_r)</f>
        <v>3.78169924595694</v>
      </c>
      <c r="H12669" s="6" t="n">
        <f aca="false">Seg!H46*(al_fro+Sens!H12665+sbc_r)</f>
        <v>4.02136645419237</v>
      </c>
      <c r="I12669" s="6" t="n">
        <f aca="false">Seg!I46*(al_fro+Sens!I12665+sbc_r)</f>
        <v>4.29288807676321</v>
      </c>
      <c r="J12669" s="6" t="n">
        <f aca="false">Seg!J46*(al_fro+Sens!J12665+sbc_r)</f>
        <v>4.59741770960175</v>
      </c>
      <c r="K12669" s="6" t="n">
        <f aca="false">Seg!K46*(al_fro+Sens!K12665+sbc_r)</f>
        <v>4.9350252981555</v>
      </c>
    </row>
    <row r="12670" customFormat="false" ht="17.15" hidden="false" customHeight="false" outlineLevel="0" collapsed="false">
      <c r="A12670" s="0" t="s">
        <v>1061</v>
      </c>
      <c r="B12670" s="0" t="s">
        <v>98</v>
      </c>
      <c r="F12670" s="6" t="n">
        <f aca="false">Seg!F49*(al_srch+Sens!F12665+sbc_r)</f>
        <v>11.205111954849</v>
      </c>
      <c r="G12670" s="6" t="n">
        <f aca="false">Seg!G49*(al_srch+Sens!G12665+sbc_r)</f>
        <v>12.2792883348957</v>
      </c>
      <c r="H12670" s="6" t="n">
        <f aca="false">Seg!H49*(al_srch+Sens!H12665+sbc_r)</f>
        <v>13.3983888227975</v>
      </c>
      <c r="I12670" s="6" t="n">
        <f aca="false">Seg!I49*(al_srch+Sens!I12665+sbc_r)</f>
        <v>14.5517695263616</v>
      </c>
      <c r="J12670" s="6" t="n">
        <f aca="false">Seg!J49*(al_srch+Sens!J12665+sbc_r)</f>
        <v>15.7194284145253</v>
      </c>
      <c r="K12670" s="6" t="n">
        <f aca="false">Seg!K49*(al_srch+Sens!K12665+sbc_r)</f>
        <v>16.87377171237</v>
      </c>
    </row>
    <row r="12671" customFormat="false" ht="17.15" hidden="false" customHeight="false" outlineLevel="0" collapsed="false">
      <c r="A12671" s="0" t="s">
        <v>1062</v>
      </c>
      <c r="B12671" s="0" t="s">
        <v>98</v>
      </c>
      <c r="F12671" s="6" t="n">
        <f aca="false">Thesis!F78-Thesis!F79+Thesis!F93</f>
        <v>52.8623286647412</v>
      </c>
      <c r="G12671" s="6" t="n">
        <f aca="false">Thesis!G78-Thesis!G79+Thesis!G93</f>
        <v>90.9040728275534</v>
      </c>
      <c r="H12671" s="6" t="n">
        <f aca="false">Thesis!H78-Thesis!H79+Thesis!H93</f>
        <v>131.644750996567</v>
      </c>
      <c r="I12671" s="6" t="n">
        <f aca="false">Thesis!I78-Thesis!I79+Thesis!I93</f>
        <v>168.39858142968</v>
      </c>
      <c r="J12671" s="6" t="n">
        <f aca="false">Thesis!J78-Thesis!J79+Thesis!J93</f>
        <v>194.311955071191</v>
      </c>
      <c r="K12671" s="6" t="n">
        <f aca="false">Thesis!K78-Thesis!K79+Thesis!K93</f>
        <v>210.298852071854</v>
      </c>
    </row>
    <row r="12672" customFormat="false" ht="17.15" hidden="false" customHeight="false" outlineLevel="0" collapsed="false">
      <c r="A12672" s="0" t="s">
        <v>1063</v>
      </c>
      <c r="B12672" s="0" t="s">
        <v>98</v>
      </c>
      <c r="F12672" s="6" t="n">
        <f aca="false">PL!F71+Thesis!F93+Thesis!F89+Sens!F12665*(Seg!F48-Thesis!F72)+sbc_r*Seg!F48</f>
        <v>243.876179717448</v>
      </c>
      <c r="G12672" s="6" t="n">
        <f aca="false">PL!G71+Thesis!G93+Thesis!G89+Sens!G12665*(Seg!G48-Thesis!G72)+sbc_r*Seg!G48</f>
        <v>308.994305130286</v>
      </c>
      <c r="H12672" s="6" t="n">
        <f aca="false">PL!H71+Thesis!H93+Thesis!H89+Sens!H12665*(Seg!H48-Thesis!H72)+sbc_r*Seg!H48</f>
        <v>377.321529021127</v>
      </c>
      <c r="I12672" s="6" t="n">
        <f aca="false">PL!I71+Thesis!I93+Thesis!I89+Sens!I12665*(Seg!I48-Thesis!I72)+sbc_r*Seg!I48</f>
        <v>440.295672377585</v>
      </c>
      <c r="J12672" s="6" t="n">
        <f aca="false">PL!J71+Thesis!J93+Thesis!J89+Sens!J12665*(Seg!J48-Thesis!J72)+sbc_r*Seg!J48</f>
        <v>489.992586437676</v>
      </c>
      <c r="K12672" s="6" t="n">
        <f aca="false">PL!K71+Thesis!K93+Thesis!K89+Sens!K12665*(Seg!K48-Thesis!K72)+sbc_r*Seg!K48</f>
        <v>527.395402529627</v>
      </c>
    </row>
    <row r="12673" customFormat="false" ht="17.15" hidden="false" customHeight="false" outlineLevel="0" collapsed="false">
      <c r="A12673" s="0" t="s">
        <v>1064</v>
      </c>
      <c r="B12673" s="0" t="s">
        <v>98</v>
      </c>
      <c r="F12673" s="6" t="n">
        <f aca="false">Sens!F12672-Sens!F12666-Sens!F12667-Sens!F12668-Sens!F12669-Sens!F12671</f>
        <v>61.0156340596736</v>
      </c>
      <c r="G12673" s="6" t="n">
        <f aca="false">Sens!G12672-Sens!G12666-Sens!G12667-Sens!G12668-Sens!G12669-Sens!G12671</f>
        <v>73.3720211234655</v>
      </c>
      <c r="H12673" s="6" t="n">
        <f aca="false">Sens!H12672-Sens!H12666-Sens!H12667-Sens!H12668-Sens!H12669-Sens!H12671</f>
        <v>86.0881618352416</v>
      </c>
      <c r="I12673" s="6" t="n">
        <f aca="false">Sens!I12672-Sens!I12666-Sens!I12667-Sens!I12668-Sens!I12669-Sens!I12671</f>
        <v>98.4872561647193</v>
      </c>
      <c r="J12673" s="6" t="n">
        <f aca="false">Sens!J12672-Sens!J12666-Sens!J12667-Sens!J12668-Sens!J12669-Sens!J12671</f>
        <v>109.721503569592</v>
      </c>
      <c r="K12673" s="6" t="n">
        <f aca="false">Sens!K12672-Sens!K12666-Sens!K12667-Sens!K12668-Sens!K12669-Sens!K12671</f>
        <v>119.088826916246</v>
      </c>
    </row>
    <row r="12674" customFormat="false" ht="17.15" hidden="false" customHeight="false" outlineLevel="0" collapsed="false">
      <c r="A12674" s="0" t="s">
        <v>1065</v>
      </c>
      <c r="B12674" s="0" t="s">
        <v>98</v>
      </c>
      <c r="F12674" s="6" t="n">
        <f aca="false">PL!F73+Sens!F12665*Seg!F55+sbc_r*Seg!F55</f>
        <v>26.1883018536976</v>
      </c>
      <c r="G12674" s="6" t="n">
        <f aca="false">PL!G73+Sens!G12665*Seg!G55+sbc_r*Seg!G55</f>
        <v>26.7988692269165</v>
      </c>
      <c r="H12674" s="6" t="n">
        <f aca="false">PL!H73+Sens!H12665*Seg!H55+sbc_r*Seg!H55</f>
        <v>27.676651877401</v>
      </c>
      <c r="I12674" s="6" t="n">
        <f aca="false">PL!I73+Sens!I12665*Seg!I55+sbc_r*Seg!I55</f>
        <v>28.7919477163856</v>
      </c>
      <c r="J12674" s="6" t="n">
        <f aca="false">PL!J73+Sens!J12665*Seg!J55+sbc_r*Seg!J55</f>
        <v>30.1095554599876</v>
      </c>
      <c r="K12674" s="6" t="n">
        <f aca="false">PL!K73+Sens!K12665*Seg!K55+sbc_r*Seg!K55</f>
        <v>31.5923355811805</v>
      </c>
    </row>
    <row r="12675" customFormat="false" ht="17.15" hidden="false" customHeight="false" outlineLevel="0" collapsed="false">
      <c r="A12675" s="0" t="s">
        <v>1066</v>
      </c>
      <c r="B12675" s="0" t="s">
        <v>98</v>
      </c>
      <c r="F12675" s="6" t="n">
        <f aca="false">(Sens!F12674-Sens!F12670)*Seg!F51/(Seg!F51+Seg!F53)</f>
        <v>8.21363876839376</v>
      </c>
      <c r="G12675" s="6" t="n">
        <f aca="false">(Sens!G12674-Sens!G12670)*Seg!G51/(Seg!G51+Seg!G53)</f>
        <v>7.81757556948427</v>
      </c>
      <c r="H12675" s="6" t="n">
        <f aca="false">(Sens!H12674-Sens!H12670)*Seg!H51/(Seg!H51+Seg!H53)</f>
        <v>7.58379891746928</v>
      </c>
      <c r="I12675" s="6" t="n">
        <f aca="false">(Sens!I12674-Sens!I12670)*Seg!I51/(Seg!I51+Seg!I53)</f>
        <v>7.49513512835163</v>
      </c>
      <c r="J12675" s="6" t="n">
        <f aca="false">(Sens!J12674-Sens!J12670)*Seg!J51/(Seg!J51+Seg!J53)</f>
        <v>7.53980917061682</v>
      </c>
      <c r="K12675" s="6" t="n">
        <f aca="false">(Sens!K12674-Sens!K12670)*Seg!K51/(Seg!K51+Seg!K53)</f>
        <v>7.71189597463361</v>
      </c>
    </row>
    <row r="12676" customFormat="false" ht="17.15" hidden="false" customHeight="false" outlineLevel="0" collapsed="false">
      <c r="A12676" s="0" t="s">
        <v>1067</v>
      </c>
      <c r="B12676" s="0" t="s">
        <v>98</v>
      </c>
      <c r="F12676" s="6" t="n">
        <f aca="false">Sens!F12674-Sens!F12670-Sens!F12675</f>
        <v>6.76955113045481</v>
      </c>
      <c r="G12676" s="6" t="n">
        <f aca="false">Sens!G12674-Sens!G12670-Sens!G12675</f>
        <v>6.70200532253647</v>
      </c>
      <c r="H12676" s="6" t="n">
        <f aca="false">Sens!H12674-Sens!H12670-Sens!H12675</f>
        <v>6.69446413713431</v>
      </c>
      <c r="I12676" s="6" t="n">
        <f aca="false">Sens!I12674-Sens!I12670-Sens!I12675</f>
        <v>6.74504306167234</v>
      </c>
      <c r="J12676" s="6" t="n">
        <f aca="false">Sens!J12674-Sens!J12670-Sens!J12675</f>
        <v>6.85031787484545</v>
      </c>
      <c r="K12676" s="6" t="n">
        <f aca="false">Sens!K12674-Sens!K12670-Sens!K12675</f>
        <v>7.00666789417688</v>
      </c>
    </row>
    <row r="12677" customFormat="false" ht="17.15" hidden="false" customHeight="false" outlineLevel="0" collapsed="false">
      <c r="A12677" s="0" t="s">
        <v>1068</v>
      </c>
      <c r="B12677" s="0" t="s">
        <v>98</v>
      </c>
      <c r="F12677" s="6" t="n">
        <f aca="false">Sens!F12671-tax_f*(Sens!F12671-Thesis!F89)-Thesis!F86</f>
        <v>-119.382682747471</v>
      </c>
      <c r="G12677" s="6" t="n">
        <f aca="false">Sens!G12671-tax_f*(Sens!G12671-Thesis!G89)-Thesis!G86</f>
        <v>-98.7495755690893</v>
      </c>
      <c r="H12677" s="6" t="n">
        <f aca="false">Sens!H12671-tax_f*(Sens!H12671-Thesis!H89)-Thesis!H86</f>
        <v>-65.2160219145184</v>
      </c>
      <c r="I12677" s="6" t="n">
        <f aca="false">Sens!I12671-tax_f*(Sens!I12671-Thesis!I89)-Thesis!I86</f>
        <v>-6.59039601405712</v>
      </c>
      <c r="J12677" s="6" t="n">
        <f aca="false">Sens!J12671-tax_f*(Sens!J12671-Thesis!J89)-Thesis!J86</f>
        <v>56.7738295233955</v>
      </c>
      <c r="K12677" s="6" t="n">
        <f aca="false">Sens!K12671-tax_f*(Sens!K12671-Thesis!K89)-Thesis!K86</f>
        <v>81.209175376442</v>
      </c>
    </row>
    <row r="12678" customFormat="false" ht="17.15" hidden="false" customHeight="false" outlineLevel="0" collapsed="false">
      <c r="A12678" s="0" t="s">
        <v>1069</v>
      </c>
      <c r="B12678" s="0" t="s">
        <v>98</v>
      </c>
      <c r="F12678" s="6" t="n">
        <f aca="false">Sens!F12677*Sens!F12651</f>
        <v>-113.675399435717</v>
      </c>
      <c r="G12678" s="6" t="n">
        <f aca="false">Sens!G12677*Sens!G12651</f>
        <v>-85.2532025390917</v>
      </c>
      <c r="H12678" s="6" t="n">
        <f aca="false">Sens!H12677*Sens!H12651</f>
        <v>-51.0481582830682</v>
      </c>
      <c r="I12678" s="6" t="n">
        <f aca="false">Sens!I12677*Sens!I12651</f>
        <v>-4.67721782319945</v>
      </c>
      <c r="J12678" s="6" t="n">
        <f aca="false">Sens!J12677*Sens!J12651</f>
        <v>36.5320953989789</v>
      </c>
      <c r="K12678" s="6" t="n">
        <f aca="false">Sens!K12677*Sens!K12651</f>
        <v>47.3785542320528</v>
      </c>
    </row>
    <row r="12679" customFormat="false" ht="17.15" hidden="false" customHeight="false" outlineLevel="0" collapsed="false">
      <c r="A12679" s="0" t="s">
        <v>1070</v>
      </c>
      <c r="B12679" s="0" t="s">
        <v>98</v>
      </c>
      <c r="C12679" s="6" t="n">
        <f aca="false">(Sens!K12671-Thesis!K89)*(1-tax_f)*(1+g_tv)*(1-g_tv/(wacc+ronic_prem_hi))/(wacc-g_tv)/(1+wacc)^(Sens!K12650+mid_yr)</f>
        <v>356.438302830945</v>
      </c>
    </row>
    <row r="12680" customFormat="false" ht="17.15" hidden="false" customHeight="false" outlineLevel="0" collapsed="false">
      <c r="A12680" s="1" t="s">
        <v>1071</v>
      </c>
      <c r="B12680" s="0" t="s">
        <v>98</v>
      </c>
      <c r="C12680" s="6" t="n">
        <f aca="false">(SUM(Sens!F12678:K12678)+Sens!$C$12679)*(1+wacc)^t_roll</f>
        <v>211.457067594659</v>
      </c>
      <c r="L12680" s="11" t="s">
        <v>1072</v>
      </c>
    </row>
    <row r="12681" customFormat="false" ht="17.15" hidden="false" customHeight="false" outlineLevel="0" collapsed="false">
      <c r="A12681" s="1" t="s">
        <v>1073</v>
      </c>
      <c r="B12681" s="0" t="s">
        <v>98</v>
      </c>
      <c r="C12681" s="6" t="n">
        <f aca="false">(w_ntm28*Thesis!G78+(1-w_ntm28)*Thesis!H78)*m_ai</f>
        <v>454.922440830797</v>
      </c>
    </row>
    <row r="12682" customFormat="false" ht="17.15" hidden="false" customHeight="false" outlineLevel="0" collapsed="false">
      <c r="A12682" s="1" t="s">
        <v>1074</v>
      </c>
      <c r="B12682" s="0" t="s">
        <v>98</v>
      </c>
      <c r="C12682" s="6" t="n">
        <f aca="false">(w_ntm28*Sens!G12673+(1-w_ntm28)*Sens!H12673)*m_cloud</f>
        <v>1070.81495830201</v>
      </c>
    </row>
    <row r="12683" customFormat="false" ht="17.15" hidden="false" customHeight="false" outlineLevel="0" collapsed="false">
      <c r="A12683" s="1" t="s">
        <v>1075</v>
      </c>
      <c r="B12683" s="0" t="s">
        <v>98</v>
      </c>
      <c r="C12683" s="6" t="n">
        <f aca="false">(w_ntm28*Sens!G12666+(1-w_ntm28)*Sens!H12666)*m_sw</f>
        <v>1084.50516663972</v>
      </c>
    </row>
    <row r="12684" customFormat="false" ht="17.15" hidden="false" customHeight="false" outlineLevel="0" collapsed="false">
      <c r="A12684" s="1" t="s">
        <v>1076</v>
      </c>
      <c r="B12684" s="0" t="s">
        <v>98</v>
      </c>
      <c r="C12684" s="6" t="n">
        <f aca="false">(w_ntm28*Sens!G12667+(1-w_ntm28)*Sens!H12667)*m_sw</f>
        <v>379.446649868791</v>
      </c>
    </row>
    <row r="12685" customFormat="false" ht="17.15" hidden="false" customHeight="false" outlineLevel="0" collapsed="false">
      <c r="A12685" s="1" t="s">
        <v>1077</v>
      </c>
      <c r="B12685" s="0" t="s">
        <v>98</v>
      </c>
      <c r="C12685" s="6" t="n">
        <f aca="false">(w_ntm28*Sens!G12668+(1-w_ntm28)*Sens!H12668)*m_sw</f>
        <v>109.245833616811</v>
      </c>
    </row>
    <row r="12686" customFormat="false" ht="17.15" hidden="false" customHeight="false" outlineLevel="0" collapsed="false">
      <c r="A12686" s="1" t="s">
        <v>1078</v>
      </c>
      <c r="B12686" s="0" t="s">
        <v>98</v>
      </c>
      <c r="C12686" s="6" t="n">
        <f aca="false">(w_ntm28*Sens!G12669+(1-w_ntm28)*Sens!H12669)*m_sw</f>
        <v>41.6791515554452</v>
      </c>
    </row>
    <row r="12687" customFormat="false" ht="17.15" hidden="false" customHeight="false" outlineLevel="0" collapsed="false">
      <c r="A12687" s="1" t="s">
        <v>1079</v>
      </c>
      <c r="B12687" s="0" t="s">
        <v>98</v>
      </c>
      <c r="C12687" s="6" t="n">
        <f aca="false">(w_ntm28*Sens!G12670+(1-w_ntm28)*Sens!H12670)*m_ads</f>
        <v>115.160236299351</v>
      </c>
    </row>
    <row r="12688" customFormat="false" ht="17.15" hidden="false" customHeight="false" outlineLevel="0" collapsed="false">
      <c r="A12688" s="1" t="s">
        <v>1080</v>
      </c>
      <c r="B12688" s="0" t="s">
        <v>98</v>
      </c>
      <c r="C12688" s="6" t="n">
        <f aca="false">(w_ntm28*Sens!G12675+(1-w_ntm28)*Sens!H12675)*m_game</f>
        <v>97.7814405506301</v>
      </c>
    </row>
    <row r="12689" customFormat="false" ht="17.15" hidden="false" customHeight="false" outlineLevel="0" collapsed="false">
      <c r="A12689" s="1" t="s">
        <v>1081</v>
      </c>
      <c r="B12689" s="0" t="s">
        <v>98</v>
      </c>
      <c r="C12689" s="6" t="n">
        <f aca="false">(w_ntm28*Sens!G12676+(1-w_ntm28)*Sens!H12676)*m_pc</f>
        <v>96.9427395583992</v>
      </c>
    </row>
    <row r="12690" customFormat="false" ht="17.15" hidden="false" customHeight="false" outlineLevel="0" collapsed="false">
      <c r="A12690" s="1" t="s">
        <v>1082</v>
      </c>
      <c r="B12690" s="0" t="s">
        <v>98</v>
      </c>
      <c r="C12690" s="6" t="n">
        <f aca="false">Sens!$C$12680+Sens!$C$12682+Sens!$C$12683+Sens!$C$12684+Sens!$C$12685+Sens!$C$12686+Sens!$C$12687+Sens!$C$12688+Sens!$C$12689</f>
        <v>3207.03324398581</v>
      </c>
    </row>
    <row r="12691" customFormat="false" ht="17.15" hidden="false" customHeight="false" outlineLevel="0" collapsed="false">
      <c r="A12691" s="1" t="s">
        <v>1000</v>
      </c>
      <c r="B12691" s="0" t="s">
        <v>98</v>
      </c>
      <c r="C12691" s="6" t="n">
        <f aca="false">CF!F65+oai_v-CF!F54</f>
        <v>111.253995542787</v>
      </c>
      <c r="L12691" s="1" t="s">
        <v>1083</v>
      </c>
    </row>
    <row r="12692" customFormat="false" ht="15" hidden="false" customHeight="false" outlineLevel="0" collapsed="false">
      <c r="A12692" s="1" t="s">
        <v>1001</v>
      </c>
      <c r="B12692" s="0" t="s">
        <v>75</v>
      </c>
      <c r="C12692" s="5" t="n">
        <f aca="false">(Sens!$C$12690+Sens!$C$12691)/CF!F67</f>
        <v>444.096257966889</v>
      </c>
    </row>
    <row r="12693" customFormat="false" ht="17.15" hidden="false" customHeight="false" outlineLevel="0" collapsed="false">
      <c r="A12693" s="1" t="s">
        <v>1084</v>
      </c>
      <c r="B12693" s="0" t="s">
        <v>75</v>
      </c>
      <c r="C12693" s="5" t="n">
        <f aca="false">w_dcf*Sens!$C$12664+(1-w_dcf)*Sens!$C$12692</f>
        <v>410.406945167009</v>
      </c>
    </row>
    <row r="12694" customFormat="false" ht="17.15" hidden="false" customHeight="false" outlineLevel="0" collapsed="false">
      <c r="A12694" s="3" t="s">
        <v>1563</v>
      </c>
    </row>
    <row r="12695" customFormat="false" ht="15" hidden="false" customHeight="false" outlineLevel="0" collapsed="false">
      <c r="A12695" s="4" t="s">
        <v>43</v>
      </c>
      <c r="B12695" s="4" t="s">
        <v>65</v>
      </c>
      <c r="C12695" s="20" t="s">
        <v>788</v>
      </c>
      <c r="D12695" s="20" t="s">
        <v>789</v>
      </c>
      <c r="E12695" s="20" t="s">
        <v>790</v>
      </c>
      <c r="F12695" s="20" t="s">
        <v>791</v>
      </c>
      <c r="G12695" s="20" t="s">
        <v>792</v>
      </c>
      <c r="H12695" s="20" t="s">
        <v>793</v>
      </c>
      <c r="I12695" s="20" t="s">
        <v>794</v>
      </c>
      <c r="J12695" s="20" t="s">
        <v>795</v>
      </c>
      <c r="K12695" s="20" t="s">
        <v>796</v>
      </c>
      <c r="L12695" s="4" t="s">
        <v>47</v>
      </c>
    </row>
    <row r="12696" customFormat="false" ht="15" hidden="false" customHeight="false" outlineLevel="0" collapsed="false">
      <c r="A12696" s="1" t="s">
        <v>1042</v>
      </c>
      <c r="B12696" s="1" t="s">
        <v>235</v>
      </c>
      <c r="F12696" s="36" t="n">
        <f aca="false">Thesis!F104-base_fy-mid_yr</f>
        <v>0.5</v>
      </c>
      <c r="G12696" s="36" t="n">
        <f aca="false">Thesis!G104-base_fy-mid_yr</f>
        <v>1.5</v>
      </c>
      <c r="H12696" s="36" t="n">
        <f aca="false">Thesis!H104-base_fy-mid_yr</f>
        <v>2.5</v>
      </c>
      <c r="I12696" s="36" t="n">
        <f aca="false">Thesis!I104-base_fy-mid_yr</f>
        <v>3.5</v>
      </c>
      <c r="J12696" s="36" t="n">
        <f aca="false">Thesis!J104-base_fy-mid_yr</f>
        <v>4.5</v>
      </c>
      <c r="K12696" s="36" t="n">
        <f aca="false">Thesis!K104-base_fy-mid_yr</f>
        <v>5.5</v>
      </c>
    </row>
    <row r="12697" customFormat="false" ht="15" hidden="false" customHeight="false" outlineLevel="0" collapsed="false">
      <c r="A12697" s="1" t="s">
        <v>1043</v>
      </c>
      <c r="B12697" s="0" t="s">
        <v>185</v>
      </c>
      <c r="F12697" s="14" t="n">
        <f aca="false">1/(1+wacc)^Sens!F12696</f>
        <v>0.952193373608246</v>
      </c>
      <c r="G12697" s="14" t="n">
        <f aca="false">1/(1+wacc)^Sens!G12696</f>
        <v>0.863327280626589</v>
      </c>
      <c r="H12697" s="14" t="n">
        <f aca="false">1/(1+wacc)^Sens!H12696</f>
        <v>0.782754862754115</v>
      </c>
      <c r="I12697" s="14" t="n">
        <f aca="false">1/(1+wacc)^Sens!I12696</f>
        <v>0.709702089711011</v>
      </c>
      <c r="J12697" s="14" t="n">
        <f aca="false">1/(1+wacc)^Sens!J12696</f>
        <v>0.643467169744551</v>
      </c>
      <c r="K12697" s="14" t="n">
        <f aca="false">1/(1+wacc)^Sens!K12696</f>
        <v>0.583413807767797</v>
      </c>
    </row>
    <row r="12698" customFormat="false" ht="17.15" hidden="false" customHeight="false" outlineLevel="0" collapsed="false">
      <c r="A12698" s="1" t="s">
        <v>1044</v>
      </c>
      <c r="B12698" s="0" t="s">
        <v>98</v>
      </c>
      <c r="F12698" s="6" t="n">
        <f aca="false">CF!F79-CF!F77-CF!F82+Thesis!F142*(1-tax_f)</f>
        <v>2.81855367218396</v>
      </c>
      <c r="G12698" s="6" t="n">
        <f aca="false">CF!G79-CF!G77-CF!G82+Thesis!G142*(1-tax_f)</f>
        <v>35.4967358232605</v>
      </c>
      <c r="H12698" s="6" t="n">
        <f aca="false">CF!H79-CF!H77-CF!H82+Thesis!H142*(1-tax_f)</f>
        <v>71.9736045985465</v>
      </c>
      <c r="I12698" s="6" t="n">
        <f aca="false">CF!I79-CF!I77-CF!I82+Thesis!I142*(1-tax_f)</f>
        <v>139.565890227748</v>
      </c>
      <c r="J12698" s="6" t="n">
        <f aca="false">CF!J79-CF!J77-CF!J82+Thesis!J142*(1-tax_f)</f>
        <v>212.783902680705</v>
      </c>
      <c r="K12698" s="6" t="n">
        <f aca="false">CF!K79-CF!K77-CF!K82+Thesis!K142*(1-tax_f)</f>
        <v>247.854416738942</v>
      </c>
      <c r="L12698" s="1" t="s">
        <v>1045</v>
      </c>
    </row>
    <row r="12699" customFormat="false" ht="15" hidden="false" customHeight="false" outlineLevel="0" collapsed="false">
      <c r="A12699" s="1" t="s">
        <v>1046</v>
      </c>
      <c r="B12699" s="0" t="s">
        <v>98</v>
      </c>
      <c r="F12699" s="6" t="n">
        <f aca="false">Sens!F12698*Sens!F12697</f>
        <v>2.68380812981276</v>
      </c>
      <c r="G12699" s="6" t="n">
        <f aca="false">Sens!G12698*Sens!G12697</f>
        <v>30.6453004094159</v>
      </c>
      <c r="H12699" s="6" t="n">
        <f aca="false">Sens!H12698*Sens!H12697</f>
        <v>56.3376889894542</v>
      </c>
      <c r="I12699" s="6" t="n">
        <f aca="false">Sens!I12698*Sens!I12697</f>
        <v>99.0502039470101</v>
      </c>
      <c r="J12699" s="6" t="n">
        <f aca="false">Sens!J12698*Sens!J12697</f>
        <v>136.919455625153</v>
      </c>
      <c r="K12699" s="6" t="n">
        <f aca="false">Sens!K12698*Sens!K12697</f>
        <v>144.601689041733</v>
      </c>
    </row>
    <row r="12700" customFormat="false" ht="17.15" hidden="false" customHeight="false" outlineLevel="0" collapsed="false">
      <c r="A12700" s="1" t="s">
        <v>1047</v>
      </c>
      <c r="B12700" s="0" t="s">
        <v>98</v>
      </c>
      <c r="C12700" s="6" t="n">
        <f aca="false">SUM(Sens!F12699:K12699)</f>
        <v>470.238146142579</v>
      </c>
    </row>
    <row r="12701" customFormat="false" ht="17.15" hidden="false" customHeight="false" outlineLevel="0" collapsed="false">
      <c r="A12701" s="1" t="s">
        <v>1048</v>
      </c>
      <c r="B12701" s="0" t="s">
        <v>98</v>
      </c>
      <c r="C12701" s="6" t="n">
        <f aca="false">PL!K117*(1+g_tv)*(1-tax_f)</f>
        <v>255.879558138142</v>
      </c>
    </row>
    <row r="12702" customFormat="false" ht="17.15" hidden="false" customHeight="false" outlineLevel="0" collapsed="false">
      <c r="A12702" s="1" t="s">
        <v>1049</v>
      </c>
      <c r="B12702" s="0" t="s">
        <v>98</v>
      </c>
      <c r="C12702" s="6" t="n">
        <f aca="false">Sens!$C$12701*(1-g_tv/(wacc+ronic_prem_hi))</f>
        <v>205.685581272224</v>
      </c>
    </row>
    <row r="12703" customFormat="false" ht="17.15" hidden="false" customHeight="false" outlineLevel="0" collapsed="false">
      <c r="A12703" s="1" t="s">
        <v>1050</v>
      </c>
      <c r="B12703" s="0" t="s">
        <v>98</v>
      </c>
      <c r="C12703" s="6" t="n">
        <f aca="false">Sens!$C$12702/(wacc-g_tv)</f>
        <v>2820.14419269121</v>
      </c>
    </row>
    <row r="12704" customFormat="false" ht="15" hidden="false" customHeight="false" outlineLevel="0" collapsed="false">
      <c r="A12704" s="1" t="s">
        <v>1051</v>
      </c>
      <c r="B12704" s="0" t="s">
        <v>98</v>
      </c>
      <c r="C12704" s="6" t="n">
        <f aca="false">Sens!$C$12703/(1+wacc)^(Sens!K12696+mid_yr)</f>
        <v>1566.65429067716</v>
      </c>
    </row>
    <row r="12705" customFormat="false" ht="17.15" hidden="false" customHeight="false" outlineLevel="0" collapsed="false">
      <c r="A12705" s="0" t="s">
        <v>972</v>
      </c>
      <c r="B12705" s="0" t="s">
        <v>98</v>
      </c>
      <c r="C12705" s="6" t="n">
        <f aca="false">Sens!$C$12700+Sens!$C$12704</f>
        <v>2036.89243681974</v>
      </c>
    </row>
    <row r="12706" customFormat="false" ht="15" hidden="false" customHeight="false" outlineLevel="0" collapsed="false">
      <c r="A12706" s="1" t="s">
        <v>973</v>
      </c>
      <c r="B12706" s="0" t="s">
        <v>129</v>
      </c>
      <c r="C12706" s="7" t="n">
        <f aca="false">Sens!$C$12704/Sens!$C$12705</f>
        <v>0.769139431399345</v>
      </c>
    </row>
    <row r="12707" customFormat="false" ht="17.15" hidden="false" customHeight="false" outlineLevel="0" collapsed="false">
      <c r="A12707" s="1" t="s">
        <v>1052</v>
      </c>
      <c r="B12707" s="0" t="s">
        <v>98</v>
      </c>
      <c r="C12707" s="6" t="n">
        <f aca="false">Sens!$C$12705+CF!E94-CF!E83+oai_v</f>
        <v>2171.40543681974</v>
      </c>
    </row>
    <row r="12708" customFormat="false" ht="17.15" hidden="false" customHeight="false" outlineLevel="0" collapsed="false">
      <c r="A12708" s="0" t="s">
        <v>980</v>
      </c>
      <c r="B12708" s="0" t="s">
        <v>75</v>
      </c>
      <c r="C12708" s="5" t="n">
        <f aca="false">Sens!$C$12707/sh_dil26</f>
        <v>291.346496286024</v>
      </c>
    </row>
    <row r="12709" customFormat="false" ht="15" hidden="false" customHeight="false" outlineLevel="0" collapsed="false">
      <c r="A12709" s="1" t="s">
        <v>1053</v>
      </c>
      <c r="B12709" s="0" t="s">
        <v>75</v>
      </c>
      <c r="C12709" s="8" t="n">
        <f aca="false">dps_27+CF!G86*roll_div_q/q_per_yr</f>
        <v>4.8895</v>
      </c>
    </row>
    <row r="12710" customFormat="false" ht="17.15" hidden="false" customHeight="false" outlineLevel="0" collapsed="false">
      <c r="A12710" s="0" t="s">
        <v>1054</v>
      </c>
      <c r="B12710" s="0" t="s">
        <v>75</v>
      </c>
      <c r="C12710" s="5" t="n">
        <f aca="false">Sens!$C$12708*(1+wacc)^t_roll-Sens!$C$12709</f>
        <v>326.876483242234</v>
      </c>
    </row>
    <row r="12711" customFormat="false" ht="17.15" hidden="false" customHeight="false" outlineLevel="0" collapsed="false">
      <c r="A12711" s="1" t="s">
        <v>1055</v>
      </c>
      <c r="B12711" s="0" t="s">
        <v>129</v>
      </c>
      <c r="F12711" s="7" t="n">
        <f aca="false">CF!F75/(Seg!F83-Thesis!F121)</f>
        <v>0.0686864325746334</v>
      </c>
      <c r="G12711" s="7" t="n">
        <f aca="false">CF!G75/(Seg!G83-Thesis!G121)</f>
        <v>0.066267001590801</v>
      </c>
      <c r="H12711" s="7" t="n">
        <f aca="false">CF!H75/(Seg!H83-Thesis!H121)</f>
        <v>0.0650366246750144</v>
      </c>
      <c r="I12711" s="7" t="n">
        <f aca="false">CF!I75/(Seg!I83-Thesis!I121)</f>
        <v>0.0648573271390164</v>
      </c>
      <c r="J12711" s="7" t="n">
        <f aca="false">CF!J75/(Seg!J83-Thesis!J121)</f>
        <v>0.0655189837669657</v>
      </c>
      <c r="K12711" s="7" t="n">
        <f aca="false">CF!K75/(Seg!K83-Thesis!K121)</f>
        <v>0.0667878921367872</v>
      </c>
    </row>
    <row r="12712" customFormat="false" ht="17.15" hidden="false" customHeight="false" outlineLevel="0" collapsed="false">
      <c r="A12712" s="0" t="s">
        <v>1056</v>
      </c>
      <c r="B12712" s="0" t="s">
        <v>98</v>
      </c>
      <c r="F12712" s="6" t="n">
        <f aca="false">Seg!F68*(al_m365+Sens!F12711+sbc_r)</f>
        <v>82.8871280343675</v>
      </c>
      <c r="G12712" s="6" t="n">
        <f aca="false">Seg!G68*(al_m365+Sens!G12711+sbc_r)</f>
        <v>93.2646494841949</v>
      </c>
      <c r="H12712" s="6" t="n">
        <f aca="false">Seg!H68*(al_m365+Sens!H12711+sbc_r)</f>
        <v>103.801656157254</v>
      </c>
      <c r="I12712" s="6" t="n">
        <f aca="false">Seg!I68*(al_m365+Sens!I12711+sbc_r)</f>
        <v>113.821873816133</v>
      </c>
      <c r="J12712" s="6" t="n">
        <f aca="false">Seg!J68*(al_m365+Sens!J12711+sbc_r)</f>
        <v>123.136196807334</v>
      </c>
      <c r="K12712" s="6" t="n">
        <f aca="false">Seg!K68*(al_m365+Sens!K12711+sbc_r)</f>
        <v>132.051675801964</v>
      </c>
      <c r="L12712" s="11" t="s">
        <v>1057</v>
      </c>
    </row>
    <row r="12713" customFormat="false" ht="17.15" hidden="false" customHeight="false" outlineLevel="0" collapsed="false">
      <c r="A12713" s="0" t="s">
        <v>1058</v>
      </c>
      <c r="B12713" s="0" t="s">
        <v>98</v>
      </c>
      <c r="F12713" s="6" t="n">
        <f aca="false">Seg!F69*(al_lic+Sens!F12711+sbc_r)</f>
        <v>33.4484001235218</v>
      </c>
      <c r="G12713" s="6" t="n">
        <f aca="false">Seg!G69*(al_lic+Sens!G12711+sbc_r)</f>
        <v>34.7662136749183</v>
      </c>
      <c r="H12713" s="6" t="n">
        <f aca="false">Seg!H69*(al_lic+Sens!H12711+sbc_r)</f>
        <v>35.9922067034497</v>
      </c>
      <c r="I12713" s="6" t="n">
        <f aca="false">Seg!I69*(al_lic+Sens!I12711+sbc_r)</f>
        <v>37.1063543598183</v>
      </c>
      <c r="J12713" s="6" t="n">
        <f aca="false">Seg!J69*(al_lic+Sens!J12711+sbc_r)</f>
        <v>38.0853056964387</v>
      </c>
      <c r="K12713" s="6" t="n">
        <f aca="false">Seg!K69*(al_lic+Sens!K12711+sbc_r)</f>
        <v>38.9048066370724</v>
      </c>
    </row>
    <row r="12714" customFormat="false" ht="17.15" hidden="false" customHeight="false" outlineLevel="0" collapsed="false">
      <c r="A12714" s="0" t="s">
        <v>1059</v>
      </c>
      <c r="B12714" s="0" t="s">
        <v>98</v>
      </c>
      <c r="F12714" s="6" t="n">
        <f aca="false">Seg!F71*(al_ind+Sens!F12711+sbc_r)</f>
        <v>9.07857451914073</v>
      </c>
      <c r="G12714" s="6" t="n">
        <f aca="false">Seg!G71*(al_ind+Sens!G12711+sbc_r)</f>
        <v>9.86487802721884</v>
      </c>
      <c r="H12714" s="6" t="n">
        <f aca="false">Seg!H71*(al_ind+Sens!H12711+sbc_r)</f>
        <v>10.693809720013</v>
      </c>
      <c r="I12714" s="6" t="n">
        <f aca="false">Seg!I71*(al_ind+Sens!I12711+sbc_r)</f>
        <v>11.5608645999226</v>
      </c>
      <c r="J12714" s="6" t="n">
        <f aca="false">Seg!J71*(al_ind+Sens!J12711+sbc_r)</f>
        <v>12.4574161941375</v>
      </c>
      <c r="K12714" s="6" t="n">
        <f aca="false">Seg!K71*(al_ind+Sens!K12711+sbc_r)</f>
        <v>13.3714153876622</v>
      </c>
    </row>
    <row r="12715" customFormat="false" ht="17.15" hidden="false" customHeight="false" outlineLevel="0" collapsed="false">
      <c r="A12715" s="0" t="s">
        <v>1060</v>
      </c>
      <c r="B12715" s="0" t="s">
        <v>98</v>
      </c>
      <c r="F12715" s="6" t="n">
        <f aca="false">Seg!F73*(al_fro+Sens!F12711+sbc_r)</f>
        <v>3.57335880380168</v>
      </c>
      <c r="G12715" s="6" t="n">
        <f aca="false">Seg!G73*(al_fro+Sens!G12711+sbc_r)</f>
        <v>3.78752993435501</v>
      </c>
      <c r="H12715" s="6" t="n">
        <f aca="false">Seg!H73*(al_fro+Sens!H12711+sbc_r)</f>
        <v>4.02979352544868</v>
      </c>
      <c r="I12715" s="6" t="n">
        <f aca="false">Seg!I73*(al_fro+Sens!I12711+sbc_r)</f>
        <v>4.30248328262388</v>
      </c>
      <c r="J12715" s="6" t="n">
        <f aca="false">Seg!J73*(al_fro+Sens!J12711+sbc_r)</f>
        <v>4.6072312462081</v>
      </c>
      <c r="K12715" s="6" t="n">
        <f aca="false">Seg!K73*(al_fro+Sens!K12711+sbc_r)</f>
        <v>4.94526327289735</v>
      </c>
    </row>
    <row r="12716" customFormat="false" ht="17.15" hidden="false" customHeight="false" outlineLevel="0" collapsed="false">
      <c r="A12716" s="0" t="s">
        <v>1061</v>
      </c>
      <c r="B12716" s="0" t="s">
        <v>98</v>
      </c>
      <c r="F12716" s="6" t="n">
        <f aca="false">Seg!F76*(al_srch+Sens!F12711+sbc_r)</f>
        <v>11.2121706988551</v>
      </c>
      <c r="G12716" s="6" t="n">
        <f aca="false">Seg!G76*(al_srch+Sens!G12711+sbc_r)</f>
        <v>12.298220751086</v>
      </c>
      <c r="H12716" s="6" t="n">
        <f aca="false">Seg!H76*(al_srch+Sens!H12711+sbc_r)</f>
        <v>13.4264661389574</v>
      </c>
      <c r="I12716" s="6" t="n">
        <f aca="false">Seg!I76*(al_srch+Sens!I12711+sbc_r)</f>
        <v>14.5842947685169</v>
      </c>
      <c r="J12716" s="6" t="n">
        <f aca="false">Seg!J76*(al_srch+Sens!J12711+sbc_r)</f>
        <v>15.7529827260804</v>
      </c>
      <c r="K12716" s="6" t="n">
        <f aca="false">Seg!K76*(al_srch+Sens!K12711+sbc_r)</f>
        <v>16.908777257054</v>
      </c>
    </row>
    <row r="12717" customFormat="false" ht="17.15" hidden="false" customHeight="false" outlineLevel="0" collapsed="false">
      <c r="A12717" s="0" t="s">
        <v>1062</v>
      </c>
      <c r="B12717" s="0" t="s">
        <v>98</v>
      </c>
      <c r="F12717" s="6" t="n">
        <f aca="false">Thesis!F127-Thesis!F128+Thesis!F142</f>
        <v>49.3166695044068</v>
      </c>
      <c r="G12717" s="6" t="n">
        <f aca="false">Thesis!G127-Thesis!G128+Thesis!G142</f>
        <v>79.1711235199867</v>
      </c>
      <c r="H12717" s="6" t="n">
        <f aca="false">Thesis!H127-Thesis!H128+Thesis!H142</f>
        <v>105.986955995322</v>
      </c>
      <c r="I12717" s="6" t="n">
        <f aca="false">Thesis!I127-Thesis!I128+Thesis!I142</f>
        <v>136.51312421941</v>
      </c>
      <c r="J12717" s="6" t="n">
        <f aca="false">Thesis!J127-Thesis!J128+Thesis!J142</f>
        <v>158.045869188803</v>
      </c>
      <c r="K12717" s="6" t="n">
        <f aca="false">Thesis!K127-Thesis!K128+Thesis!K142</f>
        <v>171.626834186355</v>
      </c>
    </row>
    <row r="12718" customFormat="false" ht="17.15" hidden="false" customHeight="false" outlineLevel="0" collapsed="false">
      <c r="A12718" s="0" t="s">
        <v>1063</v>
      </c>
      <c r="B12718" s="0" t="s">
        <v>98</v>
      </c>
      <c r="F12718" s="6" t="n">
        <f aca="false">PL!F110+Thesis!F142+Thesis!F138+Sens!F12711*(Seg!F75-Thesis!F121)+sbc_r*Seg!F75</f>
        <v>239.221795819914</v>
      </c>
      <c r="G12718" s="6" t="n">
        <f aca="false">PL!G110+Thesis!G142+Thesis!G138+Sens!G12711*(Seg!G75-Thesis!G121)+sbc_r*Seg!G75</f>
        <v>293.888959324058</v>
      </c>
      <c r="H12718" s="6" t="n">
        <f aca="false">PL!H110+Thesis!H142+Thesis!H138+Sens!H12711*(Seg!H75-Thesis!H121)+sbc_r*Seg!H75</f>
        <v>345.795749423438</v>
      </c>
      <c r="I12718" s="6" t="n">
        <f aca="false">PL!I110+Thesis!I142+Thesis!I138+Sens!I12711*(Seg!I75-Thesis!I121)+sbc_r*Seg!I75</f>
        <v>400.80148439376</v>
      </c>
      <c r="J12718" s="6" t="n">
        <f aca="false">PL!J110+Thesis!J142+Thesis!J138+Sens!J12711*(Seg!J75-Thesis!J121)+sbc_r*Seg!J75</f>
        <v>444.918308128678</v>
      </c>
      <c r="K12718" s="6" t="n">
        <f aca="false">PL!K110+Thesis!K142+Thesis!K138+Sens!K12711*(Seg!K75-Thesis!K121)+sbc_r*Seg!K75</f>
        <v>478.782312275225</v>
      </c>
    </row>
    <row r="12719" customFormat="false" ht="17.15" hidden="false" customHeight="false" outlineLevel="0" collapsed="false">
      <c r="A12719" s="0" t="s">
        <v>1064</v>
      </c>
      <c r="B12719" s="0" t="s">
        <v>98</v>
      </c>
      <c r="F12719" s="6" t="n">
        <f aca="false">Sens!F12718-Sens!F12712-Sens!F12713-Sens!F12714-Sens!F12715-Sens!F12717</f>
        <v>60.9176648346756</v>
      </c>
      <c r="G12719" s="6" t="n">
        <f aca="false">Sens!G12718-Sens!G12712-Sens!G12713-Sens!G12714-Sens!G12715-Sens!G12717</f>
        <v>73.0345646833845</v>
      </c>
      <c r="H12719" s="6" t="n">
        <f aca="false">Sens!H12718-Sens!H12712-Sens!H12713-Sens!H12714-Sens!H12715-Sens!H12717</f>
        <v>85.2913273219498</v>
      </c>
      <c r="I12719" s="6" t="n">
        <f aca="false">Sens!I12718-Sens!I12712-Sens!I12713-Sens!I12714-Sens!I12715-Sens!I12717</f>
        <v>97.4967841158513</v>
      </c>
      <c r="J12719" s="6" t="n">
        <f aca="false">Sens!J12718-Sens!J12712-Sens!J12713-Sens!J12714-Sens!J12715-Sens!J12717</f>
        <v>108.586288995756</v>
      </c>
      <c r="K12719" s="6" t="n">
        <f aca="false">Sens!K12718-Sens!K12712-Sens!K12713-Sens!K12714-Sens!K12715-Sens!K12717</f>
        <v>117.882316989274</v>
      </c>
    </row>
    <row r="12720" customFormat="false" ht="17.15" hidden="false" customHeight="false" outlineLevel="0" collapsed="false">
      <c r="A12720" s="0" t="s">
        <v>1065</v>
      </c>
      <c r="B12720" s="0" t="s">
        <v>98</v>
      </c>
      <c r="F12720" s="6" t="n">
        <f aca="false">PL!F112+Sens!F12711*Seg!F82+sbc_r*Seg!F82</f>
        <v>26.2049549828959</v>
      </c>
      <c r="G12720" s="6" t="n">
        <f aca="false">PL!G112+Sens!G12711*Seg!G82+sbc_r*Seg!G82</f>
        <v>26.8405806403664</v>
      </c>
      <c r="H12720" s="6" t="n">
        <f aca="false">PL!H112+Sens!H12711*Seg!H82+sbc_r*Seg!H82</f>
        <v>27.7352032470138</v>
      </c>
      <c r="I12720" s="6" t="n">
        <f aca="false">PL!I112+Sens!I12711*Seg!I82+sbc_r*Seg!I82</f>
        <v>28.8569155956094</v>
      </c>
      <c r="J12720" s="6" t="n">
        <f aca="false">PL!J112+Sens!J12711*Seg!J82+sbc_r*Seg!J82</f>
        <v>30.1744385645725</v>
      </c>
      <c r="K12720" s="6" t="n">
        <f aca="false">PL!K112+Sens!K12711*Seg!K82+sbc_r*Seg!K82</f>
        <v>31.6584976186802</v>
      </c>
    </row>
    <row r="12721" customFormat="false" ht="17.15" hidden="false" customHeight="false" outlineLevel="0" collapsed="false">
      <c r="A12721" s="0" t="s">
        <v>1066</v>
      </c>
      <c r="B12721" s="0" t="s">
        <v>98</v>
      </c>
      <c r="F12721" s="6" t="n">
        <f aca="false">(Sens!F12720-Sens!F12716)*Seg!F78/(Seg!F78+Seg!F80)</f>
        <v>8.21889831690819</v>
      </c>
      <c r="G12721" s="6" t="n">
        <f aca="false">(Sens!G12720-Sens!G12716)*Seg!G78/(Seg!G78+Seg!G80)</f>
        <v>7.82984014749099</v>
      </c>
      <c r="H12721" s="6" t="n">
        <f aca="false">(Sens!H12720-Sens!H12716)*Seg!H78/(Seg!H78+Seg!H80)</f>
        <v>7.5999849964554</v>
      </c>
      <c r="I12721" s="6" t="n">
        <f aca="false">(Sens!I12720-Sens!I12716)*Seg!I78/(Seg!I78+Seg!I80)</f>
        <v>7.51221089422364</v>
      </c>
      <c r="J12721" s="6" t="n">
        <f aca="false">(Sens!J12720-Sens!J12716)*Seg!J78/(Seg!J78+Seg!J80)</f>
        <v>7.55622411401827</v>
      </c>
      <c r="K12721" s="6" t="n">
        <f aca="false">(Sens!K12720-Sens!K12716)*Seg!K78/(Seg!K78+Seg!K80)</f>
        <v>7.72822064011532</v>
      </c>
    </row>
    <row r="12722" customFormat="false" ht="17.15" hidden="false" customHeight="false" outlineLevel="0" collapsed="false">
      <c r="A12722" s="0" t="s">
        <v>1067</v>
      </c>
      <c r="B12722" s="0" t="s">
        <v>98</v>
      </c>
      <c r="F12722" s="6" t="n">
        <f aca="false">Sens!F12720-Sens!F12716-Sens!F12721</f>
        <v>6.77388596713263</v>
      </c>
      <c r="G12722" s="6" t="n">
        <f aca="false">Sens!G12720-Sens!G12716-Sens!G12721</f>
        <v>6.71251974178949</v>
      </c>
      <c r="H12722" s="6" t="n">
        <f aca="false">Sens!H12720-Sens!H12716-Sens!H12721</f>
        <v>6.70875211160101</v>
      </c>
      <c r="I12722" s="6" t="n">
        <f aca="false">Sens!I12720-Sens!I12716-Sens!I12721</f>
        <v>6.76040993286883</v>
      </c>
      <c r="J12722" s="6" t="n">
        <f aca="false">Sens!J12720-Sens!J12716-Sens!J12721</f>
        <v>6.86523172447386</v>
      </c>
      <c r="K12722" s="6" t="n">
        <f aca="false">Sens!K12720-Sens!K12716-Sens!K12721</f>
        <v>7.02149972151092</v>
      </c>
    </row>
    <row r="12723" customFormat="false" ht="17.15" hidden="false" customHeight="false" outlineLevel="0" collapsed="false">
      <c r="A12723" s="0" t="s">
        <v>1068</v>
      </c>
      <c r="B12723" s="0" t="s">
        <v>98</v>
      </c>
      <c r="F12723" s="6" t="n">
        <f aca="false">Sens!F12717-tax_f*(Sens!F12717-Thesis!F138)-Thesis!F135</f>
        <v>-122.366710075738</v>
      </c>
      <c r="G12723" s="6" t="n">
        <f aca="false">Sens!G12717-tax_f*(Sens!G12717-Thesis!G138)-Thesis!G135</f>
        <v>-108.130935015143</v>
      </c>
      <c r="H12723" s="6" t="n">
        <f aca="false">Sens!H12717-tax_f*(Sens!H12717-Thesis!H138)-Thesis!H135</f>
        <v>-85.7372579155142</v>
      </c>
      <c r="I12723" s="6" t="n">
        <f aca="false">Sens!I12717-tax_f*(Sens!I12717-Thesis!I138)-Thesis!I135</f>
        <v>-32.0937617822731</v>
      </c>
      <c r="J12723" s="6" t="n">
        <f aca="false">Sens!J12717-tax_f*(Sens!J12717-Thesis!J138)-Thesis!J135</f>
        <v>27.7659608174853</v>
      </c>
      <c r="K12723" s="6" t="n">
        <f aca="false">Sens!K12717-tax_f*(Sens!K12717-Thesis!K138)-Thesis!K135</f>
        <v>50.2765610680426</v>
      </c>
    </row>
    <row r="12724" customFormat="false" ht="17.15" hidden="false" customHeight="false" outlineLevel="0" collapsed="false">
      <c r="A12724" s="0" t="s">
        <v>1069</v>
      </c>
      <c r="B12724" s="0" t="s">
        <v>98</v>
      </c>
      <c r="F12724" s="6" t="n">
        <f aca="false">Sens!F12723*Sens!F12697</f>
        <v>-116.516770484359</v>
      </c>
      <c r="G12724" s="6" t="n">
        <f aca="false">Sens!G12723*Sens!G12697</f>
        <v>-93.3523860782335</v>
      </c>
      <c r="H12724" s="6" t="n">
        <f aca="false">Sens!H12723*Sens!H12697</f>
        <v>-67.1112555525725</v>
      </c>
      <c r="I12724" s="6" t="n">
        <f aca="false">Sens!I12723*Sens!I12697</f>
        <v>-22.7770098035666</v>
      </c>
      <c r="J12724" s="6" t="n">
        <f aca="false">Sens!J12723*Sens!J12697</f>
        <v>17.8664842224654</v>
      </c>
      <c r="K12724" s="6" t="n">
        <f aca="false">Sens!K12723*Sens!K12697</f>
        <v>29.3320399341769</v>
      </c>
    </row>
    <row r="12725" customFormat="false" ht="17.15" hidden="false" customHeight="false" outlineLevel="0" collapsed="false">
      <c r="A12725" s="0" t="s">
        <v>1070</v>
      </c>
      <c r="B12725" s="0" t="s">
        <v>98</v>
      </c>
      <c r="C12725" s="6" t="n">
        <f aca="false">(Sens!K12717-Thesis!K138)*(1-tax_f)*(1+g_tv)*(1-g_tv/(wacc+ronic_prem_hi))/(wacc-g_tv)/(1+wacc)^(Sens!K12696+mid_yr)</f>
        <v>161.210219636527</v>
      </c>
    </row>
    <row r="12726" customFormat="false" ht="17.15" hidden="false" customHeight="false" outlineLevel="0" collapsed="false">
      <c r="A12726" s="1" t="s">
        <v>1071</v>
      </c>
      <c r="B12726" s="0" t="s">
        <v>98</v>
      </c>
      <c r="C12726" s="6" t="n">
        <f aca="false">(SUM(Sens!F12724:K12724)+Sens!$C$12725)*(1+wacc)^t_roll</f>
        <v>-104.021789870617</v>
      </c>
      <c r="L12726" s="11" t="s">
        <v>1072</v>
      </c>
    </row>
    <row r="12727" customFormat="false" ht="17.15" hidden="false" customHeight="false" outlineLevel="0" collapsed="false">
      <c r="A12727" s="1" t="s">
        <v>1073</v>
      </c>
      <c r="B12727" s="0" t="s">
        <v>98</v>
      </c>
      <c r="C12727" s="6" t="n">
        <f aca="false">(w_ntm28*Thesis!G127+(1-w_ntm28)*Thesis!H127)*m_ai</f>
        <v>338.776008390068</v>
      </c>
    </row>
    <row r="12728" customFormat="false" ht="17.15" hidden="false" customHeight="false" outlineLevel="0" collapsed="false">
      <c r="A12728" s="1" t="s">
        <v>1074</v>
      </c>
      <c r="B12728" s="0" t="s">
        <v>98</v>
      </c>
      <c r="C12728" s="6" t="n">
        <f aca="false">(w_ntm28*Sens!G12719+(1-w_ntm28)*Sens!H12719)*m_cloud</f>
        <v>1064.09888458319</v>
      </c>
    </row>
    <row r="12729" customFormat="false" ht="17.15" hidden="false" customHeight="false" outlineLevel="0" collapsed="false">
      <c r="A12729" s="1" t="s">
        <v>1075</v>
      </c>
      <c r="B12729" s="0" t="s">
        <v>98</v>
      </c>
      <c r="C12729" s="6" t="n">
        <f aca="false">(w_ntm28*Sens!G12712+(1-w_ntm28)*Sens!H12712)*m_sw</f>
        <v>1044.04824539957</v>
      </c>
    </row>
    <row r="12730" customFormat="false" ht="17.15" hidden="false" customHeight="false" outlineLevel="0" collapsed="false">
      <c r="A12730" s="1" t="s">
        <v>1076</v>
      </c>
      <c r="B12730" s="0" t="s">
        <v>98</v>
      </c>
      <c r="C12730" s="6" t="n">
        <f aca="false">(w_ntm28*Sens!G12713+(1-w_ntm28)*Sens!H12713)*m_sw</f>
        <v>379.755670745447</v>
      </c>
    </row>
    <row r="12731" customFormat="false" ht="17.15" hidden="false" customHeight="false" outlineLevel="0" collapsed="false">
      <c r="A12731" s="1" t="s">
        <v>1077</v>
      </c>
      <c r="B12731" s="0" t="s">
        <v>98</v>
      </c>
      <c r="C12731" s="6" t="n">
        <f aca="false">(w_ntm28*Sens!G12714+(1-w_ntm28)*Sens!H12714)*m_sw</f>
        <v>109.434903376969</v>
      </c>
    </row>
    <row r="12732" customFormat="false" ht="17.15" hidden="false" customHeight="false" outlineLevel="0" collapsed="false">
      <c r="A12732" s="1" t="s">
        <v>1078</v>
      </c>
      <c r="B12732" s="0" t="s">
        <v>98</v>
      </c>
      <c r="C12732" s="6" t="n">
        <f aca="false">(w_ntm28*Sens!G12715+(1-w_ntm28)*Sens!H12715)*m_sw</f>
        <v>41.7511882786773</v>
      </c>
    </row>
    <row r="12733" customFormat="false" ht="17.15" hidden="false" customHeight="false" outlineLevel="0" collapsed="false">
      <c r="A12733" s="1" t="s">
        <v>1079</v>
      </c>
      <c r="B12733" s="0" t="s">
        <v>98</v>
      </c>
      <c r="C12733" s="6" t="n">
        <f aca="false">(w_ntm28*Sens!G12716+(1-w_ntm28)*Sens!H12716)*m_ads</f>
        <v>115.359643719254</v>
      </c>
    </row>
    <row r="12734" customFormat="false" ht="17.15" hidden="false" customHeight="false" outlineLevel="0" collapsed="false">
      <c r="A12734" s="1" t="s">
        <v>1080</v>
      </c>
      <c r="B12734" s="0" t="s">
        <v>98</v>
      </c>
      <c r="C12734" s="6" t="n">
        <f aca="false">(w_ntm28*Sens!G12721+(1-w_ntm28)*Sens!H12721)*m_game</f>
        <v>97.9523541428266</v>
      </c>
    </row>
    <row r="12735" customFormat="false" ht="17.15" hidden="false" customHeight="false" outlineLevel="0" collapsed="false">
      <c r="A12735" s="1" t="s">
        <v>1081</v>
      </c>
      <c r="B12735" s="0" t="s">
        <v>98</v>
      </c>
      <c r="C12735" s="6" t="n">
        <f aca="false">(w_ntm28*Sens!G12722+(1-w_ntm28)*Sens!H12722)*m_pc</f>
        <v>97.1125357928949</v>
      </c>
    </row>
    <row r="12736" customFormat="false" ht="17.15" hidden="false" customHeight="false" outlineLevel="0" collapsed="false">
      <c r="A12736" s="1" t="s">
        <v>1082</v>
      </c>
      <c r="B12736" s="0" t="s">
        <v>98</v>
      </c>
      <c r="C12736" s="6" t="n">
        <f aca="false">Sens!$C$12726+Sens!$C$12728+Sens!$C$12729+Sens!$C$12730+Sens!$C$12731+Sens!$C$12732+Sens!$C$12733+Sens!$C$12734+Sens!$C$12735</f>
        <v>2845.49163616821</v>
      </c>
    </row>
    <row r="12737" customFormat="false" ht="17.15" hidden="false" customHeight="false" outlineLevel="0" collapsed="false">
      <c r="A12737" s="1" t="s">
        <v>1000</v>
      </c>
      <c r="B12737" s="0" t="s">
        <v>98</v>
      </c>
      <c r="C12737" s="6" t="n">
        <f aca="false">CF!F94+oai_v-CF!F83</f>
        <v>106.814034990727</v>
      </c>
      <c r="L12737" s="1" t="s">
        <v>1083</v>
      </c>
    </row>
    <row r="12738" customFormat="false" ht="15" hidden="false" customHeight="false" outlineLevel="0" collapsed="false">
      <c r="A12738" s="1" t="s">
        <v>1001</v>
      </c>
      <c r="B12738" s="0" t="s">
        <v>75</v>
      </c>
      <c r="C12738" s="5" t="n">
        <f aca="false">(Sens!$C$12736+Sens!$C$12737)/CF!F96</f>
        <v>395.115855347823</v>
      </c>
    </row>
    <row r="12739" customFormat="false" ht="17.15" hidden="false" customHeight="false" outlineLevel="0" collapsed="false">
      <c r="A12739" s="1" t="s">
        <v>1084</v>
      </c>
      <c r="B12739" s="0" t="s">
        <v>75</v>
      </c>
      <c r="C12739" s="5" t="n">
        <f aca="false">w_dcf*Sens!$C$12710+(1-w_dcf)*Sens!$C$12738</f>
        <v>360.996169295028</v>
      </c>
    </row>
    <row r="12740" customFormat="false" ht="17.15" hidden="false" customHeight="false" outlineLevel="0" collapsed="false">
      <c r="A12740" s="3" t="s">
        <v>1564</v>
      </c>
    </row>
    <row r="12741" customFormat="false" ht="15" hidden="false" customHeight="false" outlineLevel="0" collapsed="false">
      <c r="A12741" s="4" t="s">
        <v>43</v>
      </c>
      <c r="B12741" s="4" t="s">
        <v>65</v>
      </c>
      <c r="C12741" s="20" t="s">
        <v>788</v>
      </c>
      <c r="D12741" s="20" t="s">
        <v>789</v>
      </c>
      <c r="E12741" s="20" t="s">
        <v>790</v>
      </c>
      <c r="F12741" s="20" t="s">
        <v>791</v>
      </c>
      <c r="G12741" s="20" t="s">
        <v>792</v>
      </c>
      <c r="H12741" s="20" t="s">
        <v>793</v>
      </c>
      <c r="I12741" s="20" t="s">
        <v>794</v>
      </c>
      <c r="J12741" s="20" t="s">
        <v>795</v>
      </c>
      <c r="K12741" s="20" t="s">
        <v>796</v>
      </c>
      <c r="L12741" s="4" t="s">
        <v>47</v>
      </c>
    </row>
    <row r="12742" customFormat="false" ht="15" hidden="false" customHeight="false" outlineLevel="0" collapsed="false">
      <c r="A12742" s="1" t="s">
        <v>1042</v>
      </c>
      <c r="B12742" s="1" t="s">
        <v>235</v>
      </c>
      <c r="F12742" s="36" t="n">
        <f aca="false">Thesis!F6-base_fy-mid_yr</f>
        <v>0.5</v>
      </c>
      <c r="G12742" s="36" t="n">
        <f aca="false">Thesis!G6-base_fy-mid_yr</f>
        <v>1.5</v>
      </c>
      <c r="H12742" s="36" t="n">
        <f aca="false">Thesis!H6-base_fy-mid_yr</f>
        <v>2.5</v>
      </c>
      <c r="I12742" s="36" t="n">
        <f aca="false">Thesis!I6-base_fy-mid_yr</f>
        <v>3.5</v>
      </c>
      <c r="J12742" s="36" t="n">
        <f aca="false">Thesis!J6-base_fy-mid_yr</f>
        <v>4.5</v>
      </c>
      <c r="K12742" s="36" t="n">
        <f aca="false">Thesis!K6-base_fy-mid_yr</f>
        <v>5.5</v>
      </c>
    </row>
    <row r="12743" customFormat="false" ht="15" hidden="false" customHeight="false" outlineLevel="0" collapsed="false">
      <c r="A12743" s="1" t="s">
        <v>1043</v>
      </c>
      <c r="B12743" s="0" t="s">
        <v>185</v>
      </c>
      <c r="F12743" s="14" t="n">
        <f aca="false">1/(1+wacc)^Sens!F12742</f>
        <v>0.952193373608246</v>
      </c>
      <c r="G12743" s="14" t="n">
        <f aca="false">1/(1+wacc)^Sens!G12742</f>
        <v>0.863327280626589</v>
      </c>
      <c r="H12743" s="14" t="n">
        <f aca="false">1/(1+wacc)^Sens!H12742</f>
        <v>0.782754862754115</v>
      </c>
      <c r="I12743" s="14" t="n">
        <f aca="false">1/(1+wacc)^Sens!I12742</f>
        <v>0.709702089711011</v>
      </c>
      <c r="J12743" s="14" t="n">
        <f aca="false">1/(1+wacc)^Sens!J12742</f>
        <v>0.643467169744551</v>
      </c>
      <c r="K12743" s="14" t="n">
        <f aca="false">1/(1+wacc)^Sens!K12742</f>
        <v>0.583413807767797</v>
      </c>
    </row>
    <row r="12744" customFormat="false" ht="17.15" hidden="false" customHeight="false" outlineLevel="0" collapsed="false">
      <c r="A12744" s="1" t="s">
        <v>1044</v>
      </c>
      <c r="B12744" s="0" t="s">
        <v>98</v>
      </c>
      <c r="F12744" s="6" t="n">
        <f aca="false">CF!F21-CF!F19-CF!F24+Thesis!F44*(1-tax_f)</f>
        <v>9.29995994594013</v>
      </c>
      <c r="G12744" s="6" t="n">
        <f aca="false">CF!G21-CF!G19-CF!G24+Thesis!G44*(1-tax_f)</f>
        <v>55.6803799901549</v>
      </c>
      <c r="H12744" s="6" t="n">
        <f aca="false">CF!H21-CF!H19-CF!H24+Thesis!H44*(1-tax_f)</f>
        <v>114.6308681267</v>
      </c>
      <c r="I12744" s="6" t="n">
        <f aca="false">CF!I21-CF!I19-CF!I24+Thesis!I44*(1-tax_f)</f>
        <v>192.960687587037</v>
      </c>
      <c r="J12744" s="6" t="n">
        <f aca="false">CF!J21-CF!J19-CF!J24+Thesis!J44*(1-tax_f)</f>
        <v>273.742251264366</v>
      </c>
      <c r="K12744" s="6" t="n">
        <f aca="false">CF!K21-CF!K19-CF!K24+Thesis!K44*(1-tax_f)</f>
        <v>313.491842465765</v>
      </c>
      <c r="L12744" s="1" t="s">
        <v>1045</v>
      </c>
    </row>
    <row r="12745" customFormat="false" ht="15" hidden="false" customHeight="false" outlineLevel="0" collapsed="false">
      <c r="A12745" s="1" t="s">
        <v>1046</v>
      </c>
      <c r="B12745" s="0" t="s">
        <v>98</v>
      </c>
      <c r="F12745" s="6" t="n">
        <f aca="false">Sens!F12744*Sens!F12743</f>
        <v>8.8553602353463</v>
      </c>
      <c r="G12745" s="6" t="n">
        <f aca="false">Sens!G12744*Sens!G12743</f>
        <v>48.0703910411556</v>
      </c>
      <c r="H12745" s="6" t="n">
        <f aca="false">Sens!H12744*Sens!H12743</f>
        <v>89.7278694479</v>
      </c>
      <c r="I12745" s="6" t="n">
        <f aca="false">Sens!I12744*Sens!I12743</f>
        <v>136.944603212593</v>
      </c>
      <c r="J12745" s="6" t="n">
        <f aca="false">Sens!J12744*Sens!J12743</f>
        <v>176.144151660583</v>
      </c>
      <c r="K12745" s="6" t="n">
        <f aca="false">Sens!K12744*Sens!K12743</f>
        <v>182.895469517094</v>
      </c>
    </row>
    <row r="12746" customFormat="false" ht="17.15" hidden="false" customHeight="false" outlineLevel="0" collapsed="false">
      <c r="A12746" s="1" t="s">
        <v>1047</v>
      </c>
      <c r="B12746" s="0" t="s">
        <v>98</v>
      </c>
      <c r="C12746" s="6" t="n">
        <f aca="false">SUM(Sens!F12745:K12745)</f>
        <v>642.637845114673</v>
      </c>
    </row>
    <row r="12747" customFormat="false" ht="17.15" hidden="false" customHeight="false" outlineLevel="0" collapsed="false">
      <c r="A12747" s="1" t="s">
        <v>1048</v>
      </c>
      <c r="B12747" s="0" t="s">
        <v>98</v>
      </c>
      <c r="C12747" s="6" t="n">
        <f aca="false">PL!K39*(1+g_tv)*(1-tax_f)</f>
        <v>325.338496025769</v>
      </c>
    </row>
    <row r="12748" customFormat="false" ht="17.15" hidden="false" customHeight="false" outlineLevel="0" collapsed="false">
      <c r="A12748" s="1" t="s">
        <v>1049</v>
      </c>
      <c r="B12748" s="0" t="s">
        <v>98</v>
      </c>
      <c r="C12748" s="6" t="n">
        <f aca="false">Sens!$C$12747*(1-g_tv/(wacc+ronic_prem))</f>
        <v>230.519339596203</v>
      </c>
    </row>
    <row r="12749" customFormat="false" ht="17.15" hidden="false" customHeight="false" outlineLevel="0" collapsed="false">
      <c r="A12749" s="1" t="s">
        <v>1050</v>
      </c>
      <c r="B12749" s="0" t="s">
        <v>98</v>
      </c>
      <c r="C12749" s="6" t="n">
        <f aca="false">Sens!$C$12748/(wacc-g_tv)</f>
        <v>3160.63854765221</v>
      </c>
    </row>
    <row r="12750" customFormat="false" ht="15" hidden="false" customHeight="false" outlineLevel="0" collapsed="false">
      <c r="A12750" s="1" t="s">
        <v>1051</v>
      </c>
      <c r="B12750" s="0" t="s">
        <v>98</v>
      </c>
      <c r="C12750" s="6" t="n">
        <f aca="false">Sens!$C$12749/(1+wacc)^(Sens!K12742+mid_yr)</f>
        <v>1755.80665513196</v>
      </c>
    </row>
    <row r="12751" customFormat="false" ht="17.15" hidden="false" customHeight="false" outlineLevel="0" collapsed="false">
      <c r="A12751" s="0" t="s">
        <v>972</v>
      </c>
      <c r="B12751" s="0" t="s">
        <v>98</v>
      </c>
      <c r="C12751" s="6" t="n">
        <f aca="false">Sens!$C$12746+Sens!$C$12750</f>
        <v>2398.44450024663</v>
      </c>
    </row>
    <row r="12752" customFormat="false" ht="15" hidden="false" customHeight="false" outlineLevel="0" collapsed="false">
      <c r="A12752" s="1" t="s">
        <v>973</v>
      </c>
      <c r="B12752" s="0" t="s">
        <v>129</v>
      </c>
      <c r="C12752" s="7" t="n">
        <f aca="false">Sens!$C$12750/Sens!$C$12751</f>
        <v>0.732060572988622</v>
      </c>
    </row>
    <row r="12753" customFormat="false" ht="17.15" hidden="false" customHeight="false" outlineLevel="0" collapsed="false">
      <c r="A12753" s="1" t="s">
        <v>1052</v>
      </c>
      <c r="B12753" s="0" t="s">
        <v>98</v>
      </c>
      <c r="C12753" s="6" t="n">
        <f aca="false">Sens!$C$12751+CF!E36-CF!E25+oai_v</f>
        <v>2532.95750024663</v>
      </c>
    </row>
    <row r="12754" customFormat="false" ht="17.15" hidden="false" customHeight="false" outlineLevel="0" collapsed="false">
      <c r="A12754" s="0" t="s">
        <v>980</v>
      </c>
      <c r="B12754" s="0" t="s">
        <v>75</v>
      </c>
      <c r="C12754" s="5" t="n">
        <f aca="false">Sens!$C$12753/sh_dil26</f>
        <v>339.857439990155</v>
      </c>
    </row>
    <row r="12755" customFormat="false" ht="15" hidden="false" customHeight="false" outlineLevel="0" collapsed="false">
      <c r="A12755" s="1" t="s">
        <v>1053</v>
      </c>
      <c r="B12755" s="0" t="s">
        <v>75</v>
      </c>
      <c r="C12755" s="8" t="n">
        <f aca="false">dps_27+CF!G28*roll_div_q/q_per_yr</f>
        <v>4.8895</v>
      </c>
    </row>
    <row r="12756" customFormat="false" ht="17.15" hidden="false" customHeight="false" outlineLevel="0" collapsed="false">
      <c r="A12756" s="0" t="s">
        <v>1054</v>
      </c>
      <c r="B12756" s="0" t="s">
        <v>75</v>
      </c>
      <c r="C12756" s="5" t="n">
        <f aca="false">Sens!$C$12754*(1+wacc)^t_roll-Sens!$C$12755</f>
        <v>382.117514595532</v>
      </c>
    </row>
    <row r="12757" customFormat="false" ht="17.15" hidden="false" customHeight="false" outlineLevel="0" collapsed="false">
      <c r="A12757" s="1" t="s">
        <v>1055</v>
      </c>
      <c r="B12757" s="0" t="s">
        <v>129</v>
      </c>
      <c r="F12757" s="7" t="n">
        <f aca="false">CF!F17/(Seg!F29-Thesis!F23)</f>
        <v>0.0681773598226415</v>
      </c>
      <c r="G12757" s="7" t="n">
        <f aca="false">CF!G17/(Seg!G29-Thesis!G23)</f>
        <v>0.0650385409375172</v>
      </c>
      <c r="H12757" s="7" t="n">
        <f aca="false">CF!H17/(Seg!H29-Thesis!H23)</f>
        <v>0.063382542471986</v>
      </c>
      <c r="I12757" s="7" t="n">
        <f aca="false">CF!I17/(Seg!I29-Thesis!I23)</f>
        <v>0.0630998138876076</v>
      </c>
      <c r="J12757" s="7" t="n">
        <f aca="false">CF!J17/(Seg!J29-Thesis!J23)</f>
        <v>0.0638399980286975</v>
      </c>
      <c r="K12757" s="7" t="n">
        <f aca="false">CF!K17/(Seg!K29-Thesis!K23)</f>
        <v>0.0651531082402687</v>
      </c>
    </row>
    <row r="12758" customFormat="false" ht="17.15" hidden="false" customHeight="false" outlineLevel="0" collapsed="false">
      <c r="A12758" s="0" t="s">
        <v>1056</v>
      </c>
      <c r="B12758" s="0" t="s">
        <v>98</v>
      </c>
      <c r="F12758" s="6" t="n">
        <f aca="false">Seg!F14*(al_m365+Sens!F12757+sbc_r)</f>
        <v>84.944046606333</v>
      </c>
      <c r="G12758" s="6" t="n">
        <f aca="false">Seg!G14*(al_m365+Sens!G12757+sbc_r)</f>
        <v>99.4236143320739</v>
      </c>
      <c r="H12758" s="6" t="n">
        <f aca="false">Seg!H14*(al_m365+Sens!H12757+sbc_r)</f>
        <v>114.068697186163</v>
      </c>
      <c r="I12758" s="6" t="n">
        <f aca="false">Seg!I14*(al_m365+Sens!I12757+sbc_r)</f>
        <v>127.196415789369</v>
      </c>
      <c r="J12758" s="6" t="n">
        <f aca="false">Seg!J14*(al_m365+Sens!J12757+sbc_r)</f>
        <v>138.619575691419</v>
      </c>
      <c r="K12758" s="6" t="n">
        <f aca="false">Seg!K14*(al_m365+Sens!K12757+sbc_r)</f>
        <v>149.659768267063</v>
      </c>
      <c r="L12758" s="11" t="s">
        <v>1057</v>
      </c>
    </row>
    <row r="12759" customFormat="false" ht="17.15" hidden="false" customHeight="false" outlineLevel="0" collapsed="false">
      <c r="A12759" s="0" t="s">
        <v>1058</v>
      </c>
      <c r="B12759" s="0" t="s">
        <v>98</v>
      </c>
      <c r="F12759" s="6" t="n">
        <f aca="false">Seg!F15*(al_lic+Sens!F12757+sbc_r)</f>
        <v>33.4285095904825</v>
      </c>
      <c r="G12759" s="6" t="n">
        <f aca="false">Seg!G15*(al_lic+Sens!G12757+sbc_r)</f>
        <v>34.7161826947861</v>
      </c>
      <c r="H12759" s="6" t="n">
        <f aca="false">Seg!H15*(al_lic+Sens!H12757+sbc_r)</f>
        <v>35.9223654002493</v>
      </c>
      <c r="I12759" s="6" t="n">
        <f aca="false">Seg!I15*(al_lic+Sens!I12757+sbc_r)</f>
        <v>37.0298325864501</v>
      </c>
      <c r="J12759" s="6" t="n">
        <f aca="false">Seg!J15*(al_lic+Sens!J12757+sbc_r)</f>
        <v>38.0103325842314</v>
      </c>
      <c r="K12759" s="6" t="n">
        <f aca="false">Seg!K15*(al_lic+Sens!K12757+sbc_r)</f>
        <v>38.8303473189322</v>
      </c>
    </row>
    <row r="12760" customFormat="false" ht="17.15" hidden="false" customHeight="false" outlineLevel="0" collapsed="false">
      <c r="A12760" s="0" t="s">
        <v>1059</v>
      </c>
      <c r="B12760" s="0" t="s">
        <v>98</v>
      </c>
      <c r="F12760" s="6" t="n">
        <f aca="false">Seg!F17*(al_ind+Sens!F12757+sbc_r)</f>
        <v>9.06719306746208</v>
      </c>
      <c r="G12760" s="6" t="n">
        <f aca="false">Seg!G17*(al_ind+Sens!G12757+sbc_r)</f>
        <v>9.83485541633448</v>
      </c>
      <c r="H12760" s="6" t="n">
        <f aca="false">Seg!H17*(al_ind+Sens!H12757+sbc_r)</f>
        <v>10.6498544617516</v>
      </c>
      <c r="I12760" s="6" t="n">
        <f aca="false">Seg!I17*(al_ind+Sens!I12757+sbc_r)</f>
        <v>11.5103515303299</v>
      </c>
      <c r="J12760" s="6" t="n">
        <f aca="false">Seg!J17*(al_ind+Sens!J12757+sbc_r)</f>
        <v>12.4055032067278</v>
      </c>
      <c r="K12760" s="6" t="n">
        <f aca="false">Seg!K17*(al_ind+Sens!K12757+sbc_r)</f>
        <v>13.3173308472897</v>
      </c>
    </row>
    <row r="12761" customFormat="false" ht="17.15" hidden="false" customHeight="false" outlineLevel="0" collapsed="false">
      <c r="A12761" s="0" t="s">
        <v>1060</v>
      </c>
      <c r="B12761" s="0" t="s">
        <v>98</v>
      </c>
      <c r="F12761" s="6" t="n">
        <f aca="false">Seg!F19*(al_fro+Sens!F12757+sbc_r)</f>
        <v>3.56887902446295</v>
      </c>
      <c r="G12761" s="6" t="n">
        <f aca="false">Seg!G19*(al_fro+Sens!G12757+sbc_r)</f>
        <v>3.77600302676241</v>
      </c>
      <c r="H12761" s="6" t="n">
        <f aca="false">Seg!H19*(al_fro+Sens!H12757+sbc_r)</f>
        <v>4.01322967965482</v>
      </c>
      <c r="I12761" s="6" t="n">
        <f aca="false">Seg!I19*(al_fro+Sens!I12757+sbc_r)</f>
        <v>4.28368437397841</v>
      </c>
      <c r="J12761" s="6" t="n">
        <f aca="false">Seg!J19*(al_fro+Sens!J12757+sbc_r)</f>
        <v>4.58803182845156</v>
      </c>
      <c r="K12761" s="6" t="n">
        <f aca="false">Seg!K19*(al_fro+Sens!K12757+sbc_r)</f>
        <v>4.92526073140255</v>
      </c>
    </row>
    <row r="12762" customFormat="false" ht="17.15" hidden="false" customHeight="false" outlineLevel="0" collapsed="false">
      <c r="A12762" s="0" t="s">
        <v>1061</v>
      </c>
      <c r="B12762" s="0" t="s">
        <v>98</v>
      </c>
      <c r="F12762" s="6" t="n">
        <f aca="false">Seg!F22*(al_srch+Sens!F12757+sbc_r)</f>
        <v>11.1981144415922</v>
      </c>
      <c r="G12762" s="6" t="n">
        <f aca="false">Seg!G22*(al_srch+Sens!G12757+sbc_r)</f>
        <v>12.2607925441521</v>
      </c>
      <c r="H12762" s="6" t="n">
        <f aca="false">Seg!H22*(al_srch+Sens!H12757+sbc_r)</f>
        <v>13.3712787172501</v>
      </c>
      <c r="I12762" s="6" t="n">
        <f aca="false">Seg!I22*(al_srch+Sens!I12757+sbc_r)</f>
        <v>14.5205713773955</v>
      </c>
      <c r="J12762" s="6" t="n">
        <f aca="false">Seg!J22*(al_srch+Sens!J12757+sbc_r)</f>
        <v>15.6873363367184</v>
      </c>
      <c r="K12762" s="6" t="n">
        <f aca="false">Seg!K22*(al_srch+Sens!K12757+sbc_r)</f>
        <v>16.8403848378749</v>
      </c>
    </row>
    <row r="12763" customFormat="false" ht="17.15" hidden="false" customHeight="false" outlineLevel="0" collapsed="false">
      <c r="A12763" s="0" t="s">
        <v>1062</v>
      </c>
      <c r="B12763" s="0" t="s">
        <v>98</v>
      </c>
      <c r="F12763" s="6" t="n">
        <f aca="false">Thesis!F29-Thesis!F30+Thesis!F44</f>
        <v>55.6743052939671</v>
      </c>
      <c r="G12763" s="6" t="n">
        <f aca="false">Thesis!G29-Thesis!G30+Thesis!G44</f>
        <v>100.2533125707</v>
      </c>
      <c r="H12763" s="6" t="n">
        <f aca="false">Thesis!H29-Thesis!H30+Thesis!H44</f>
        <v>152.31255014234</v>
      </c>
      <c r="I12763" s="6" t="n">
        <f aca="false">Thesis!I29-Thesis!I30+Thesis!I44</f>
        <v>194.041990076394</v>
      </c>
      <c r="J12763" s="6" t="n">
        <f aca="false">Thesis!J29-Thesis!J30+Thesis!J44</f>
        <v>223.463148273617</v>
      </c>
      <c r="K12763" s="6" t="n">
        <f aca="false">Thesis!K29-Thesis!K30+Thesis!K44</f>
        <v>241.312249272487</v>
      </c>
    </row>
    <row r="12764" customFormat="false" ht="17.15" hidden="false" customHeight="false" outlineLevel="0" collapsed="false">
      <c r="A12764" s="0" t="s">
        <v>1063</v>
      </c>
      <c r="B12764" s="0" t="s">
        <v>98</v>
      </c>
      <c r="F12764" s="6" t="n">
        <f aca="false">PL!F32+Thesis!F44+Thesis!F40+Sens!F12757*(Seg!F21-Thesis!F23)+sbc_r*Seg!F21</f>
        <v>247.769309676659</v>
      </c>
      <c r="G12764" s="6" t="n">
        <f aca="false">PL!G32+Thesis!G44+Thesis!G40+Sens!G12757*(Seg!G21-Thesis!G23)+sbc_r*Seg!G21</f>
        <v>321.625870182006</v>
      </c>
      <c r="H12764" s="6" t="n">
        <f aca="false">PL!H32+Thesis!H44+Thesis!H40+Sens!H12757*(Seg!H21-Thesis!H23)+sbc_r*Seg!H21</f>
        <v>403.668756829163</v>
      </c>
      <c r="I12764" s="6" t="n">
        <f aca="false">PL!I32+Thesis!I44+Thesis!I40+Sens!I12757*(Seg!I21-Thesis!I23)+sbc_r*Seg!I21</f>
        <v>473.311817063846</v>
      </c>
      <c r="J12764" s="6" t="n">
        <f aca="false">PL!J32+Thesis!J44+Thesis!J40+Sens!J12757*(Seg!J21-Thesis!J23)+sbc_r*Seg!J21</f>
        <v>527.683171494685</v>
      </c>
      <c r="K12764" s="6" t="n">
        <f aca="false">PL!K32+Thesis!K44+Thesis!K40+Sens!K12757*(Seg!K21-Thesis!K23)+sbc_r*Seg!K21</f>
        <v>568.060513693045</v>
      </c>
    </row>
    <row r="12765" customFormat="false" ht="17.15" hidden="false" customHeight="false" outlineLevel="0" collapsed="false">
      <c r="A12765" s="0" t="s">
        <v>1064</v>
      </c>
      <c r="B12765" s="0" t="s">
        <v>98</v>
      </c>
      <c r="F12765" s="6" t="n">
        <f aca="false">Sens!F12764-Sens!F12758-Sens!F12759-Sens!F12760-Sens!F12761-Sens!F12763</f>
        <v>61.0863760939514</v>
      </c>
      <c r="G12765" s="6" t="n">
        <f aca="false">Sens!G12764-Sens!G12758-Sens!G12759-Sens!G12760-Sens!G12761-Sens!G12763</f>
        <v>73.6219021413484</v>
      </c>
      <c r="H12765" s="6" t="n">
        <f aca="false">Sens!H12764-Sens!H12758-Sens!H12759-Sens!H12760-Sens!H12761-Sens!H12763</f>
        <v>86.7020599590046</v>
      </c>
      <c r="I12765" s="6" t="n">
        <f aca="false">Sens!I12764-Sens!I12758-Sens!I12759-Sens!I12760-Sens!I12761-Sens!I12763</f>
        <v>99.2495427073239</v>
      </c>
      <c r="J12765" s="6" t="n">
        <f aca="false">Sens!J12764-Sens!J12758-Sens!J12759-Sens!J12760-Sens!J12761-Sens!J12763</f>
        <v>110.596579910238</v>
      </c>
      <c r="K12765" s="6" t="n">
        <f aca="false">Sens!K12764-Sens!K12758-Sens!K12759-Sens!K12760-Sens!K12761-Sens!K12763</f>
        <v>120.01555725587</v>
      </c>
    </row>
    <row r="12766" customFormat="false" ht="17.15" hidden="false" customHeight="false" outlineLevel="0" collapsed="false">
      <c r="A12766" s="0" t="s">
        <v>1065</v>
      </c>
      <c r="B12766" s="0" t="s">
        <v>98</v>
      </c>
      <c r="F12766" s="6" t="n">
        <f aca="false">PL!F34+Sens!F12757*Seg!F28+sbc_r*Seg!F28</f>
        <v>26.1717931813002</v>
      </c>
      <c r="G12766" s="6" t="n">
        <f aca="false">PL!G34+Sens!G12757*Seg!G28+sbc_r*Seg!G28</f>
        <v>26.7581197754446</v>
      </c>
      <c r="H12766" s="6" t="n">
        <f aca="false">PL!H34+Sens!H12757*Seg!H28+sbc_r*Seg!H28</f>
        <v>27.6201174920951</v>
      </c>
      <c r="I12766" s="6" t="n">
        <f aca="false">PL!I34+Sens!I12757*Seg!I28+sbc_r*Seg!I28</f>
        <v>28.7296306530919</v>
      </c>
      <c r="J12766" s="6" t="n">
        <f aca="false">PL!J34+Sens!J12757*Seg!J28+sbc_r*Seg!J28</f>
        <v>30.04749983899</v>
      </c>
      <c r="K12766" s="6" t="n">
        <f aca="false">PL!K34+Sens!K12757*Seg!K28+sbc_r*Seg!K28</f>
        <v>31.5292329023825</v>
      </c>
    </row>
    <row r="12767" customFormat="false" ht="17.15" hidden="false" customHeight="false" outlineLevel="0" collapsed="false">
      <c r="A12767" s="0" t="s">
        <v>1066</v>
      </c>
      <c r="B12767" s="0" t="s">
        <v>98</v>
      </c>
      <c r="F12767" s="6" t="n">
        <f aca="false">(Sens!F12766-Sens!F12762)*Seg!F24/(Seg!F24+Seg!F26)</f>
        <v>8.20842484359027</v>
      </c>
      <c r="G12767" s="6" t="n">
        <f aca="false">(Sens!G12766-Sens!G12762)*Seg!G24/(Seg!G24+Seg!G26)</f>
        <v>7.80559384110416</v>
      </c>
      <c r="H12767" s="6" t="n">
        <f aca="false">(Sens!H12766-Sens!H12762)*Seg!H24/(Seg!H24+Seg!H26)</f>
        <v>7.56817041839156</v>
      </c>
      <c r="I12767" s="6" t="n">
        <f aca="false">(Sens!I12766-Sens!I12762)*Seg!I24/(Seg!I24+Seg!I26)</f>
        <v>7.47875608696462</v>
      </c>
      <c r="J12767" s="6" t="n">
        <f aca="false">(Sens!J12766-Sens!J12762)*Seg!J24/(Seg!J24+Seg!J26)</f>
        <v>7.52410955955578</v>
      </c>
      <c r="K12767" s="6" t="n">
        <f aca="false">(Sens!K12766-Sens!K12762)*Seg!K24/(Seg!K24+Seg!K26)</f>
        <v>7.6963261681206</v>
      </c>
    </row>
    <row r="12768" customFormat="false" ht="17.15" hidden="false" customHeight="false" outlineLevel="0" collapsed="false">
      <c r="A12768" s="0" t="s">
        <v>1067</v>
      </c>
      <c r="B12768" s="0" t="s">
        <v>98</v>
      </c>
      <c r="F12768" s="6" t="n">
        <f aca="false">Sens!F12766-Sens!F12762-Sens!F12767</f>
        <v>6.76525389611778</v>
      </c>
      <c r="G12768" s="6" t="n">
        <f aca="false">Sens!G12766-Sens!G12762-Sens!G12767</f>
        <v>6.69173339018827</v>
      </c>
      <c r="H12768" s="6" t="n">
        <f aca="false">Sens!H12766-Sens!H12762-Sens!H12767</f>
        <v>6.68066835645346</v>
      </c>
      <c r="I12768" s="6" t="n">
        <f aca="false">Sens!I12766-Sens!I12762-Sens!I12767</f>
        <v>6.73030318873177</v>
      </c>
      <c r="J12768" s="6" t="n">
        <f aca="false">Sens!J12766-Sens!J12762-Sens!J12767</f>
        <v>6.83605394271588</v>
      </c>
      <c r="K12768" s="6" t="n">
        <f aca="false">Sens!K12766-Sens!K12762-Sens!K12767</f>
        <v>6.99252189638696</v>
      </c>
    </row>
    <row r="12769" customFormat="false" ht="17.15" hidden="false" customHeight="false" outlineLevel="0" collapsed="false">
      <c r="A12769" s="0" t="s">
        <v>1068</v>
      </c>
      <c r="B12769" s="0" t="s">
        <v>98</v>
      </c>
      <c r="F12769" s="6" t="n">
        <f aca="false">Sens!F12763-tax_f*(Sens!F12763-Thesis!F40)-Thesis!F37</f>
        <v>-116.98560144409</v>
      </c>
      <c r="G12769" s="6" t="n">
        <f aca="false">Sens!G12763-tax_f*(Sens!G12763-Thesis!G40)-Thesis!G37</f>
        <v>-91.2751837745719</v>
      </c>
      <c r="H12769" s="6" t="n">
        <f aca="false">Sens!H12763-tax_f*(Sens!H12763-Thesis!H40)-Thesis!H37</f>
        <v>-48.6867825979003</v>
      </c>
      <c r="I12769" s="6" t="n">
        <f aca="false">Sens!I12763-tax_f*(Sens!I12763-Thesis!I40)-Thesis!I37</f>
        <v>13.9193309033143</v>
      </c>
      <c r="J12769" s="6" t="n">
        <f aca="false">Sens!J12763-tax_f*(Sens!J12763-Thesis!J40)-Thesis!J37</f>
        <v>80.0897840853365</v>
      </c>
      <c r="K12769" s="6" t="n">
        <f aca="false">Sens!K12763-tax_f*(Sens!K12763-Thesis!K40)-Thesis!K37</f>
        <v>106.014893136948</v>
      </c>
    </row>
    <row r="12770" customFormat="false" ht="17.15" hidden="false" customHeight="false" outlineLevel="0" collapsed="false">
      <c r="A12770" s="0" t="s">
        <v>1069</v>
      </c>
      <c r="B12770" s="0" t="s">
        <v>98</v>
      </c>
      <c r="F12770" s="6" t="n">
        <f aca="false">Sens!F12769*Sens!F12743</f>
        <v>-111.392914502638</v>
      </c>
      <c r="G12770" s="6" t="n">
        <f aca="false">Sens!G12769*Sens!G12743</f>
        <v>-78.8003561967933</v>
      </c>
      <c r="H12770" s="6" t="n">
        <f aca="false">Sens!H12769*Sens!H12743</f>
        <v>-38.1098158303589</v>
      </c>
      <c r="I12770" s="6" t="n">
        <f aca="false">Sens!I12769*Sens!I12743</f>
        <v>9.87857822946124</v>
      </c>
      <c r="J12770" s="6" t="n">
        <f aca="false">Sens!J12769*Sens!J12743</f>
        <v>51.5351466908437</v>
      </c>
      <c r="K12770" s="6" t="n">
        <f aca="false">Sens!K12769*Sens!K12743</f>
        <v>61.8505524851231</v>
      </c>
    </row>
    <row r="12771" customFormat="false" ht="17.15" hidden="false" customHeight="false" outlineLevel="0" collapsed="false">
      <c r="A12771" s="0" t="s">
        <v>1070</v>
      </c>
      <c r="B12771" s="0" t="s">
        <v>98</v>
      </c>
      <c r="C12771" s="6" t="n">
        <f aca="false">(Sens!K12763-Thesis!K40)*(1-tax_f)*(1+g_tv)*(1-g_tv/(wacc+ronic_prem))/(wacc-g_tv)/(1+wacc)^(Sens!K12742+mid_yr)</f>
        <v>452.215034963772</v>
      </c>
    </row>
    <row r="12772" customFormat="false" ht="17.15" hidden="false" customHeight="false" outlineLevel="0" collapsed="false">
      <c r="A12772" s="1" t="s">
        <v>1071</v>
      </c>
      <c r="B12772" s="0" t="s">
        <v>98</v>
      </c>
      <c r="C12772" s="6" t="n">
        <f aca="false">(SUM(Sens!F12770:K12770)+Sens!$C$12771)*(1+wacc)^t_roll</f>
        <v>395.341160412867</v>
      </c>
      <c r="L12772" s="11" t="s">
        <v>1072</v>
      </c>
    </row>
    <row r="12773" customFormat="false" ht="17.15" hidden="false" customHeight="false" outlineLevel="0" collapsed="false">
      <c r="A12773" s="1" t="s">
        <v>1073</v>
      </c>
      <c r="B12773" s="0" t="s">
        <v>98</v>
      </c>
      <c r="C12773" s="6" t="n">
        <f aca="false">(w_ntm28*Thesis!G29+(1-w_ntm28)*Thesis!H29)*m_ai*0.8</f>
        <v>441.368907625123</v>
      </c>
    </row>
    <row r="12774" customFormat="false" ht="17.15" hidden="false" customHeight="false" outlineLevel="0" collapsed="false">
      <c r="A12774" s="1" t="s">
        <v>1074</v>
      </c>
      <c r="B12774" s="0" t="s">
        <v>98</v>
      </c>
      <c r="C12774" s="6" t="n">
        <f aca="false">(w_ntm28*Sens!G12765+(1-w_ntm28)*Sens!H12765)*m_cloud*0.8</f>
        <v>860.715746047835</v>
      </c>
    </row>
    <row r="12775" customFormat="false" ht="17.15" hidden="false" customHeight="false" outlineLevel="0" collapsed="false">
      <c r="A12775" s="1" t="s">
        <v>1075</v>
      </c>
      <c r="B12775" s="0" t="s">
        <v>98</v>
      </c>
      <c r="C12775" s="6" t="n">
        <f aca="false">(w_ntm28*Sens!G12758+(1-w_ntm28)*Sens!H12758)*m_sw*0.8</f>
        <v>899.926753504189</v>
      </c>
    </row>
    <row r="12776" customFormat="false" ht="17.15" hidden="false" customHeight="false" outlineLevel="0" collapsed="false">
      <c r="A12776" s="1" t="s">
        <v>1076</v>
      </c>
      <c r="B12776" s="0" t="s">
        <v>98</v>
      </c>
      <c r="C12776" s="6" t="n">
        <f aca="false">(w_ntm28*Sens!G12759+(1-w_ntm28)*Sens!H12759)*m_sw*0.8</f>
        <v>303.316934625072</v>
      </c>
    </row>
    <row r="12777" customFormat="false" ht="17.15" hidden="false" customHeight="false" outlineLevel="0" collapsed="false">
      <c r="A12777" s="1" t="s">
        <v>1077</v>
      </c>
      <c r="B12777" s="0" t="s">
        <v>98</v>
      </c>
      <c r="C12777" s="6" t="n">
        <f aca="false">(w_ntm28*Sens!G12760+(1-w_ntm28)*Sens!H12760)*m_sw*0.8</f>
        <v>87.2496105965371</v>
      </c>
    </row>
    <row r="12778" customFormat="false" ht="17.15" hidden="false" customHeight="false" outlineLevel="0" collapsed="false">
      <c r="A12778" s="1" t="s">
        <v>1078</v>
      </c>
      <c r="B12778" s="0" t="s">
        <v>98</v>
      </c>
      <c r="C12778" s="6" t="n">
        <f aca="false">(w_ntm28*Sens!G12761+(1-w_ntm28)*Sens!H12761)*m_sw*0.8</f>
        <v>33.2872889379584</v>
      </c>
    </row>
    <row r="12779" customFormat="false" ht="17.15" hidden="false" customHeight="false" outlineLevel="0" collapsed="false">
      <c r="A12779" s="1" t="s">
        <v>1079</v>
      </c>
      <c r="B12779" s="0" t="s">
        <v>98</v>
      </c>
      <c r="C12779" s="6" t="n">
        <f aca="false">(w_ntm28*Sens!G12762+(1-w_ntm28)*Sens!H12762)*m_ads*0.8</f>
        <v>91.973095352426</v>
      </c>
    </row>
    <row r="12780" customFormat="false" ht="17.15" hidden="false" customHeight="false" outlineLevel="0" collapsed="false">
      <c r="A12780" s="1" t="s">
        <v>1080</v>
      </c>
      <c r="B12780" s="0" t="s">
        <v>98</v>
      </c>
      <c r="C12780" s="6" t="n">
        <f aca="false">(w_ntm28*Sens!G12767+(1-w_ntm28)*Sens!H12767)*m_game*0.8</f>
        <v>78.0921768854633</v>
      </c>
    </row>
    <row r="12781" customFormat="false" ht="17.15" hidden="false" customHeight="false" outlineLevel="0" collapsed="false">
      <c r="A12781" s="1" t="s">
        <v>1081</v>
      </c>
      <c r="B12781" s="0" t="s">
        <v>98</v>
      </c>
      <c r="C12781" s="6" t="n">
        <f aca="false">(w_ntm28*Sens!G12768+(1-w_ntm28)*Sens!H12768)*m_pc*0.8</f>
        <v>77.4220961850915</v>
      </c>
    </row>
    <row r="12782" customFormat="false" ht="17.15" hidden="false" customHeight="false" outlineLevel="0" collapsed="false">
      <c r="A12782" s="1" t="s">
        <v>1082</v>
      </c>
      <c r="B12782" s="0" t="s">
        <v>98</v>
      </c>
      <c r="C12782" s="6" t="n">
        <f aca="false">Sens!$C$12772+Sens!$C$12774+Sens!$C$12775+Sens!$C$12776+Sens!$C$12777+Sens!$C$12778+Sens!$C$12779+Sens!$C$12780+Sens!$C$12781</f>
        <v>2827.32486254744</v>
      </c>
    </row>
    <row r="12783" customFormat="false" ht="17.15" hidden="false" customHeight="false" outlineLevel="0" collapsed="false">
      <c r="A12783" s="1" t="s">
        <v>1000</v>
      </c>
      <c r="B12783" s="0" t="s">
        <v>98</v>
      </c>
      <c r="C12783" s="6" t="n">
        <f aca="false">CF!F36+oai_v-CF!F25</f>
        <v>115.079583119545</v>
      </c>
      <c r="L12783" s="1" t="s">
        <v>1083</v>
      </c>
    </row>
    <row r="12784" customFormat="false" ht="15" hidden="false" customHeight="false" outlineLevel="0" collapsed="false">
      <c r="A12784" s="1" t="s">
        <v>1001</v>
      </c>
      <c r="B12784" s="0" t="s">
        <v>75</v>
      </c>
      <c r="C12784" s="5" t="n">
        <f aca="false">(Sens!$C$12782+Sens!$C$12783)/CF!F38</f>
        <v>393.790744869778</v>
      </c>
    </row>
    <row r="12785" customFormat="false" ht="17.15" hidden="false" customHeight="false" outlineLevel="0" collapsed="false">
      <c r="A12785" s="1" t="s">
        <v>1084</v>
      </c>
      <c r="B12785" s="0" t="s">
        <v>75</v>
      </c>
      <c r="C12785" s="5" t="n">
        <f aca="false">w_dcf*Sens!$C$12756+(1-w_dcf)*Sens!$C$12784</f>
        <v>387.954129732655</v>
      </c>
    </row>
    <row r="12786" customFormat="false" ht="17.15" hidden="false" customHeight="false" outlineLevel="0" collapsed="false">
      <c r="A12786" s="3" t="s">
        <v>1565</v>
      </c>
    </row>
    <row r="12787" customFormat="false" ht="15" hidden="false" customHeight="false" outlineLevel="0" collapsed="false">
      <c r="A12787" s="4" t="s">
        <v>43</v>
      </c>
      <c r="B12787" s="4" t="s">
        <v>65</v>
      </c>
      <c r="C12787" s="20" t="s">
        <v>788</v>
      </c>
      <c r="D12787" s="20" t="s">
        <v>789</v>
      </c>
      <c r="E12787" s="20" t="s">
        <v>790</v>
      </c>
      <c r="F12787" s="20" t="s">
        <v>791</v>
      </c>
      <c r="G12787" s="20" t="s">
        <v>792</v>
      </c>
      <c r="H12787" s="20" t="s">
        <v>793</v>
      </c>
      <c r="I12787" s="20" t="s">
        <v>794</v>
      </c>
      <c r="J12787" s="20" t="s">
        <v>795</v>
      </c>
      <c r="K12787" s="20" t="s">
        <v>796</v>
      </c>
      <c r="L12787" s="4" t="s">
        <v>47</v>
      </c>
    </row>
    <row r="12788" customFormat="false" ht="15" hidden="false" customHeight="false" outlineLevel="0" collapsed="false">
      <c r="A12788" s="1" t="s">
        <v>1042</v>
      </c>
      <c r="B12788" s="1" t="s">
        <v>235</v>
      </c>
      <c r="F12788" s="36" t="n">
        <f aca="false">Thesis!F55-base_fy-mid_yr</f>
        <v>0.5</v>
      </c>
      <c r="G12788" s="36" t="n">
        <f aca="false">Thesis!G55-base_fy-mid_yr</f>
        <v>1.5</v>
      </c>
      <c r="H12788" s="36" t="n">
        <f aca="false">Thesis!H55-base_fy-mid_yr</f>
        <v>2.5</v>
      </c>
      <c r="I12788" s="36" t="n">
        <f aca="false">Thesis!I55-base_fy-mid_yr</f>
        <v>3.5</v>
      </c>
      <c r="J12788" s="36" t="n">
        <f aca="false">Thesis!J55-base_fy-mid_yr</f>
        <v>4.5</v>
      </c>
      <c r="K12788" s="36" t="n">
        <f aca="false">Thesis!K55-base_fy-mid_yr</f>
        <v>5.5</v>
      </c>
    </row>
    <row r="12789" customFormat="false" ht="15" hidden="false" customHeight="false" outlineLevel="0" collapsed="false">
      <c r="A12789" s="1" t="s">
        <v>1043</v>
      </c>
      <c r="B12789" s="0" t="s">
        <v>185</v>
      </c>
      <c r="F12789" s="14" t="n">
        <f aca="false">1/(1+wacc)^Sens!F12788</f>
        <v>0.952193373608246</v>
      </c>
      <c r="G12789" s="14" t="n">
        <f aca="false">1/(1+wacc)^Sens!G12788</f>
        <v>0.863327280626589</v>
      </c>
      <c r="H12789" s="14" t="n">
        <f aca="false">1/(1+wacc)^Sens!H12788</f>
        <v>0.782754862754115</v>
      </c>
      <c r="I12789" s="14" t="n">
        <f aca="false">1/(1+wacc)^Sens!I12788</f>
        <v>0.709702089711011</v>
      </c>
      <c r="J12789" s="14" t="n">
        <f aca="false">1/(1+wacc)^Sens!J12788</f>
        <v>0.643467169744551</v>
      </c>
      <c r="K12789" s="14" t="n">
        <f aca="false">1/(1+wacc)^Sens!K12788</f>
        <v>0.583413807767797</v>
      </c>
    </row>
    <row r="12790" customFormat="false" ht="17.15" hidden="false" customHeight="false" outlineLevel="0" collapsed="false">
      <c r="A12790" s="1" t="s">
        <v>1044</v>
      </c>
      <c r="B12790" s="0" t="s">
        <v>98</v>
      </c>
      <c r="F12790" s="6" t="n">
        <f aca="false">CF!F50-CF!F48-CF!F53+Thesis!F93*(1-tax_f)</f>
        <v>6.35272982150552</v>
      </c>
      <c r="G12790" s="6" t="n">
        <f aca="false">CF!G50-CF!G48-CF!G53+Thesis!G93*(1-tax_f)</f>
        <v>46.5420417324757</v>
      </c>
      <c r="H12790" s="6" t="n">
        <f aca="false">CF!H50-CF!H48-CF!H53+Thesis!H93*(1-tax_f)</f>
        <v>95.2982347048119</v>
      </c>
      <c r="I12790" s="6" t="n">
        <f aca="false">CF!I50-CF!I48-CF!I53+Thesis!I93*(1-tax_f)</f>
        <v>168.760108332815</v>
      </c>
      <c r="J12790" s="6" t="n">
        <f aca="false">CF!J50-CF!J48-CF!J53+Thesis!J93*(1-tax_f)</f>
        <v>246.10903404452</v>
      </c>
      <c r="K12790" s="6" t="n">
        <f aca="false">CF!K50-CF!K48-CF!K53+Thesis!K93*(1-tax_f)</f>
        <v>283.7365778763</v>
      </c>
      <c r="L12790" s="1" t="s">
        <v>1045</v>
      </c>
    </row>
    <row r="12791" customFormat="false" ht="15" hidden="false" customHeight="false" outlineLevel="0" collapsed="false">
      <c r="A12791" s="1" t="s">
        <v>1046</v>
      </c>
      <c r="B12791" s="0" t="s">
        <v>98</v>
      </c>
      <c r="F12791" s="6" t="n">
        <f aca="false">Sens!F12790*Sens!F12789</f>
        <v>6.04902724036105</v>
      </c>
      <c r="G12791" s="6" t="n">
        <f aca="false">Sens!G12790*Sens!G12789</f>
        <v>40.1810143237074</v>
      </c>
      <c r="H12791" s="6" t="n">
        <f aca="false">Sens!H12790*Sens!H12789</f>
        <v>74.5951566270745</v>
      </c>
      <c r="I12791" s="6" t="n">
        <f aca="false">Sens!I12790*Sens!I12789</f>
        <v>119.769401543655</v>
      </c>
      <c r="J12791" s="6" t="n">
        <f aca="false">Sens!J12790*Sens!J12789</f>
        <v>158.363083585193</v>
      </c>
      <c r="K12791" s="6" t="n">
        <f aca="false">Sens!K12790*Sens!K12789</f>
        <v>165.535837301816</v>
      </c>
    </row>
    <row r="12792" customFormat="false" ht="17.15" hidden="false" customHeight="false" outlineLevel="0" collapsed="false">
      <c r="A12792" s="1" t="s">
        <v>1047</v>
      </c>
      <c r="B12792" s="0" t="s">
        <v>98</v>
      </c>
      <c r="C12792" s="6" t="n">
        <f aca="false">SUM(Sens!F12791:K12791)</f>
        <v>564.493520621807</v>
      </c>
    </row>
    <row r="12793" customFormat="false" ht="17.15" hidden="false" customHeight="false" outlineLevel="0" collapsed="false">
      <c r="A12793" s="1" t="s">
        <v>1048</v>
      </c>
      <c r="B12793" s="0" t="s">
        <v>98</v>
      </c>
      <c r="C12793" s="6" t="n">
        <f aca="false">PL!K78*(1+g_tv)*(1-tax_f)</f>
        <v>293.76437880412</v>
      </c>
    </row>
    <row r="12794" customFormat="false" ht="17.15" hidden="false" customHeight="false" outlineLevel="0" collapsed="false">
      <c r="A12794" s="1" t="s">
        <v>1049</v>
      </c>
      <c r="B12794" s="0" t="s">
        <v>98</v>
      </c>
      <c r="C12794" s="6" t="n">
        <f aca="false">Sens!$C$12793*(1-g_tv/(wacc+ronic_prem))</f>
        <v>208.147426222351</v>
      </c>
    </row>
    <row r="12795" customFormat="false" ht="17.15" hidden="false" customHeight="false" outlineLevel="0" collapsed="false">
      <c r="A12795" s="1" t="s">
        <v>1050</v>
      </c>
      <c r="B12795" s="0" t="s">
        <v>98</v>
      </c>
      <c r="C12795" s="6" t="n">
        <f aca="false">Sens!$C$12794/(wacc-g_tv)</f>
        <v>2853.89841939229</v>
      </c>
    </row>
    <row r="12796" customFormat="false" ht="15" hidden="false" customHeight="false" outlineLevel="0" collapsed="false">
      <c r="A12796" s="1" t="s">
        <v>1051</v>
      </c>
      <c r="B12796" s="0" t="s">
        <v>98</v>
      </c>
      <c r="C12796" s="6" t="n">
        <f aca="false">Sens!$C$12795/(1+wacc)^(Sens!K12788+mid_yr)</f>
        <v>1585.40553191752</v>
      </c>
    </row>
    <row r="12797" customFormat="false" ht="17.15" hidden="false" customHeight="false" outlineLevel="0" collapsed="false">
      <c r="A12797" s="0" t="s">
        <v>972</v>
      </c>
      <c r="B12797" s="0" t="s">
        <v>98</v>
      </c>
      <c r="C12797" s="6" t="n">
        <f aca="false">Sens!$C$12792+Sens!$C$12796</f>
        <v>2149.89905253932</v>
      </c>
    </row>
    <row r="12798" customFormat="false" ht="15" hidden="false" customHeight="false" outlineLevel="0" collapsed="false">
      <c r="A12798" s="1" t="s">
        <v>973</v>
      </c>
      <c r="B12798" s="0" t="s">
        <v>129</v>
      </c>
      <c r="C12798" s="7" t="n">
        <f aca="false">Sens!$C$12796/Sens!$C$12797</f>
        <v>0.737432545981606</v>
      </c>
    </row>
    <row r="12799" customFormat="false" ht="17.15" hidden="false" customHeight="false" outlineLevel="0" collapsed="false">
      <c r="A12799" s="1" t="s">
        <v>1052</v>
      </c>
      <c r="B12799" s="0" t="s">
        <v>98</v>
      </c>
      <c r="C12799" s="6" t="n">
        <f aca="false">Sens!$C$12797+CF!E65-CF!E54+oai_v</f>
        <v>2284.41205253932</v>
      </c>
    </row>
    <row r="12800" customFormat="false" ht="17.15" hidden="false" customHeight="false" outlineLevel="0" collapsed="false">
      <c r="A12800" s="0" t="s">
        <v>980</v>
      </c>
      <c r="B12800" s="0" t="s">
        <v>75</v>
      </c>
      <c r="C12800" s="5" t="n">
        <f aca="false">Sens!$C$12799/sh_dil26</f>
        <v>306.509063805088</v>
      </c>
    </row>
    <row r="12801" customFormat="false" ht="15" hidden="false" customHeight="false" outlineLevel="0" collapsed="false">
      <c r="A12801" s="1" t="s">
        <v>1053</v>
      </c>
      <c r="B12801" s="0" t="s">
        <v>75</v>
      </c>
      <c r="C12801" s="8" t="n">
        <f aca="false">dps_27+CF!G57*roll_div_q/q_per_yr</f>
        <v>4.8895</v>
      </c>
    </row>
    <row r="12802" customFormat="false" ht="17.15" hidden="false" customHeight="false" outlineLevel="0" collapsed="false">
      <c r="A12802" s="0" t="s">
        <v>1054</v>
      </c>
      <c r="B12802" s="0" t="s">
        <v>75</v>
      </c>
      <c r="C12802" s="5" t="n">
        <f aca="false">Sens!$C$12800*(1+wacc)^t_roll-Sens!$C$12801</f>
        <v>344.14260514713</v>
      </c>
    </row>
    <row r="12803" customFormat="false" ht="17.15" hidden="false" customHeight="false" outlineLevel="0" collapsed="false">
      <c r="A12803" s="1" t="s">
        <v>1055</v>
      </c>
      <c r="B12803" s="0" t="s">
        <v>129</v>
      </c>
      <c r="F12803" s="7" t="n">
        <f aca="false">CF!F46/(Seg!F56-Thesis!F72)</f>
        <v>0.0684307874075333</v>
      </c>
      <c r="G12803" s="7" t="n">
        <f aca="false">CF!G46/(Seg!G56-Thesis!G72)</f>
        <v>0.0656456058503526</v>
      </c>
      <c r="H12803" s="7" t="n">
        <f aca="false">CF!H46/(Seg!H56-Thesis!H72)</f>
        <v>0.0641950889132003</v>
      </c>
      <c r="I12803" s="7" t="n">
        <f aca="false">CF!I46/(Seg!I56-Thesis!I72)</f>
        <v>0.063960269667854</v>
      </c>
      <c r="J12803" s="7" t="n">
        <f aca="false">CF!J46/(Seg!J56-Thesis!J72)</f>
        <v>0.0646607917002597</v>
      </c>
      <c r="K12803" s="7" t="n">
        <f aca="false">CF!K46/(Seg!K56-Thesis!K72)</f>
        <v>0.0659511546529383</v>
      </c>
    </row>
    <row r="12804" customFormat="false" ht="17.15" hidden="false" customHeight="false" outlineLevel="0" collapsed="false">
      <c r="A12804" s="0" t="s">
        <v>1056</v>
      </c>
      <c r="B12804" s="0" t="s">
        <v>98</v>
      </c>
      <c r="F12804" s="6" t="n">
        <f aca="false">Seg!F41*(al_m365+Sens!F12803+sbc_r)</f>
        <v>83.9158372980923</v>
      </c>
      <c r="G12804" s="6" t="n">
        <f aca="false">Seg!G41*(al_m365+Sens!G12803+sbc_r)</f>
        <v>96.3459139664276</v>
      </c>
      <c r="H12804" s="6" t="n">
        <f aca="false">Seg!H41*(al_m365+Sens!H12803+sbc_r)</f>
        <v>108.939128787393</v>
      </c>
      <c r="I12804" s="6" t="n">
        <f aca="false">Seg!I41*(al_m365+Sens!I12803+sbc_r)</f>
        <v>120.51456797186</v>
      </c>
      <c r="J12804" s="6" t="n">
        <f aca="false">Seg!J41*(al_m365+Sens!J12803+sbc_r)</f>
        <v>130.883844402211</v>
      </c>
      <c r="K12804" s="6" t="n">
        <f aca="false">Seg!K41*(al_m365+Sens!K12803+sbc_r)</f>
        <v>140.862269296832</v>
      </c>
      <c r="L12804" s="11" t="s">
        <v>1057</v>
      </c>
    </row>
    <row r="12805" customFormat="false" ht="17.15" hidden="false" customHeight="false" outlineLevel="0" collapsed="false">
      <c r="A12805" s="0" t="s">
        <v>1058</v>
      </c>
      <c r="B12805" s="0" t="s">
        <v>98</v>
      </c>
      <c r="F12805" s="6" t="n">
        <f aca="false">Seg!F42*(al_lic+Sens!F12803+sbc_r)</f>
        <v>33.4384115342236</v>
      </c>
      <c r="G12805" s="6" t="n">
        <f aca="false">Seg!G42*(al_lic+Sens!G12803+sbc_r)</f>
        <v>34.7409063621757</v>
      </c>
      <c r="H12805" s="6" t="n">
        <f aca="false">Seg!H42*(al_lic+Sens!H12803+sbc_r)</f>
        <v>35.9566740351293</v>
      </c>
      <c r="I12805" s="6" t="n">
        <f aca="false">Seg!I42*(al_lic+Sens!I12803+sbc_r)</f>
        <v>37.0672966580049</v>
      </c>
      <c r="J12805" s="6" t="n">
        <f aca="false">Seg!J42*(al_lic+Sens!J12803+sbc_r)</f>
        <v>38.0469841498966</v>
      </c>
      <c r="K12805" s="6" t="n">
        <f aca="false">Seg!K42*(al_lic+Sens!K12803+sbc_r)</f>
        <v>38.8666958490701</v>
      </c>
    </row>
    <row r="12806" customFormat="false" ht="17.15" hidden="false" customHeight="false" outlineLevel="0" collapsed="false">
      <c r="A12806" s="0" t="s">
        <v>1059</v>
      </c>
      <c r="B12806" s="0" t="s">
        <v>98</v>
      </c>
      <c r="F12806" s="6" t="n">
        <f aca="false">Seg!F44*(al_ind+Sens!F12803+sbc_r)</f>
        <v>9.07285900381439</v>
      </c>
      <c r="G12806" s="6" t="n">
        <f aca="false">Seg!G44*(al_ind+Sens!G12803+sbc_r)</f>
        <v>9.84969160470639</v>
      </c>
      <c r="H12806" s="6" t="n">
        <f aca="false">Seg!H44*(al_ind+Sens!H12803+sbc_r)</f>
        <v>10.6714469126029</v>
      </c>
      <c r="I12806" s="6" t="n">
        <f aca="false">Seg!I44*(al_ind+Sens!I12803+sbc_r)</f>
        <v>11.5350820765572</v>
      </c>
      <c r="J12806" s="6" t="n">
        <f aca="false">Seg!J44*(al_ind+Sens!J12803+sbc_r)</f>
        <v>12.4308815351832</v>
      </c>
      <c r="K12806" s="6" t="n">
        <f aca="false">Seg!K44*(al_ind+Sens!K12803+sbc_r)</f>
        <v>13.3437330974691</v>
      </c>
    </row>
    <row r="12807" customFormat="false" ht="17.15" hidden="false" customHeight="false" outlineLevel="0" collapsed="false">
      <c r="A12807" s="0" t="s">
        <v>1060</v>
      </c>
      <c r="B12807" s="0" t="s">
        <v>98</v>
      </c>
      <c r="F12807" s="6" t="n">
        <f aca="false">Seg!F46*(al_fro+Sens!F12803+sbc_r)</f>
        <v>3.5711091569032</v>
      </c>
      <c r="G12807" s="6" t="n">
        <f aca="false">Seg!G46*(al_fro+Sens!G12803+sbc_r)</f>
        <v>3.78169924595694</v>
      </c>
      <c r="H12807" s="6" t="n">
        <f aca="false">Seg!H46*(al_fro+Sens!H12803+sbc_r)</f>
        <v>4.02136645419237</v>
      </c>
      <c r="I12807" s="6" t="n">
        <f aca="false">Seg!I46*(al_fro+Sens!I12803+sbc_r)</f>
        <v>4.29288807676321</v>
      </c>
      <c r="J12807" s="6" t="n">
        <f aca="false">Seg!J46*(al_fro+Sens!J12803+sbc_r)</f>
        <v>4.59741770960175</v>
      </c>
      <c r="K12807" s="6" t="n">
        <f aca="false">Seg!K46*(al_fro+Sens!K12803+sbc_r)</f>
        <v>4.9350252981555</v>
      </c>
    </row>
    <row r="12808" customFormat="false" ht="17.15" hidden="false" customHeight="false" outlineLevel="0" collapsed="false">
      <c r="A12808" s="0" t="s">
        <v>1061</v>
      </c>
      <c r="B12808" s="0" t="s">
        <v>98</v>
      </c>
      <c r="F12808" s="6" t="n">
        <f aca="false">Seg!F49*(al_srch+Sens!F12803+sbc_r)</f>
        <v>11.205111954849</v>
      </c>
      <c r="G12808" s="6" t="n">
        <f aca="false">Seg!G49*(al_srch+Sens!G12803+sbc_r)</f>
        <v>12.2792883348957</v>
      </c>
      <c r="H12808" s="6" t="n">
        <f aca="false">Seg!H49*(al_srch+Sens!H12803+sbc_r)</f>
        <v>13.3983888227975</v>
      </c>
      <c r="I12808" s="6" t="n">
        <f aca="false">Seg!I49*(al_srch+Sens!I12803+sbc_r)</f>
        <v>14.5517695263616</v>
      </c>
      <c r="J12808" s="6" t="n">
        <f aca="false">Seg!J49*(al_srch+Sens!J12803+sbc_r)</f>
        <v>15.7194284145253</v>
      </c>
      <c r="K12808" s="6" t="n">
        <f aca="false">Seg!K49*(al_srch+Sens!K12803+sbc_r)</f>
        <v>16.87377171237</v>
      </c>
    </row>
    <row r="12809" customFormat="false" ht="17.15" hidden="false" customHeight="false" outlineLevel="0" collapsed="false">
      <c r="A12809" s="0" t="s">
        <v>1062</v>
      </c>
      <c r="B12809" s="0" t="s">
        <v>98</v>
      </c>
      <c r="F12809" s="6" t="n">
        <f aca="false">Thesis!F78-Thesis!F79+Thesis!F93</f>
        <v>52.8623286647412</v>
      </c>
      <c r="G12809" s="6" t="n">
        <f aca="false">Thesis!G78-Thesis!G79+Thesis!G93</f>
        <v>90.9040728275534</v>
      </c>
      <c r="H12809" s="6" t="n">
        <f aca="false">Thesis!H78-Thesis!H79+Thesis!H93</f>
        <v>131.644750996567</v>
      </c>
      <c r="I12809" s="6" t="n">
        <f aca="false">Thesis!I78-Thesis!I79+Thesis!I93</f>
        <v>168.39858142968</v>
      </c>
      <c r="J12809" s="6" t="n">
        <f aca="false">Thesis!J78-Thesis!J79+Thesis!J93</f>
        <v>194.311955071191</v>
      </c>
      <c r="K12809" s="6" t="n">
        <f aca="false">Thesis!K78-Thesis!K79+Thesis!K93</f>
        <v>210.298852071854</v>
      </c>
    </row>
    <row r="12810" customFormat="false" ht="17.15" hidden="false" customHeight="false" outlineLevel="0" collapsed="false">
      <c r="A12810" s="0" t="s">
        <v>1063</v>
      </c>
      <c r="B12810" s="0" t="s">
        <v>98</v>
      </c>
      <c r="F12810" s="6" t="n">
        <f aca="false">PL!F71+Thesis!F93+Thesis!F89+Sens!F12803*(Seg!F48-Thesis!F72)+sbc_r*Seg!F48</f>
        <v>243.876179717448</v>
      </c>
      <c r="G12810" s="6" t="n">
        <f aca="false">PL!G71+Thesis!G93+Thesis!G89+Sens!G12803*(Seg!G48-Thesis!G72)+sbc_r*Seg!G48</f>
        <v>308.994305130286</v>
      </c>
      <c r="H12810" s="6" t="n">
        <f aca="false">PL!H71+Thesis!H93+Thesis!H89+Sens!H12803*(Seg!H48-Thesis!H72)+sbc_r*Seg!H48</f>
        <v>377.321529021127</v>
      </c>
      <c r="I12810" s="6" t="n">
        <f aca="false">PL!I71+Thesis!I93+Thesis!I89+Sens!I12803*(Seg!I48-Thesis!I72)+sbc_r*Seg!I48</f>
        <v>440.295672377585</v>
      </c>
      <c r="J12810" s="6" t="n">
        <f aca="false">PL!J71+Thesis!J93+Thesis!J89+Sens!J12803*(Seg!J48-Thesis!J72)+sbc_r*Seg!J48</f>
        <v>489.992586437676</v>
      </c>
      <c r="K12810" s="6" t="n">
        <f aca="false">PL!K71+Thesis!K93+Thesis!K89+Sens!K12803*(Seg!K48-Thesis!K72)+sbc_r*Seg!K48</f>
        <v>527.395402529627</v>
      </c>
    </row>
    <row r="12811" customFormat="false" ht="17.15" hidden="false" customHeight="false" outlineLevel="0" collapsed="false">
      <c r="A12811" s="0" t="s">
        <v>1064</v>
      </c>
      <c r="B12811" s="0" t="s">
        <v>98</v>
      </c>
      <c r="F12811" s="6" t="n">
        <f aca="false">Sens!F12810-Sens!F12804-Sens!F12805-Sens!F12806-Sens!F12807-Sens!F12809</f>
        <v>61.0156340596736</v>
      </c>
      <c r="G12811" s="6" t="n">
        <f aca="false">Sens!G12810-Sens!G12804-Sens!G12805-Sens!G12806-Sens!G12807-Sens!G12809</f>
        <v>73.3720211234655</v>
      </c>
      <c r="H12811" s="6" t="n">
        <f aca="false">Sens!H12810-Sens!H12804-Sens!H12805-Sens!H12806-Sens!H12807-Sens!H12809</f>
        <v>86.0881618352416</v>
      </c>
      <c r="I12811" s="6" t="n">
        <f aca="false">Sens!I12810-Sens!I12804-Sens!I12805-Sens!I12806-Sens!I12807-Sens!I12809</f>
        <v>98.4872561647193</v>
      </c>
      <c r="J12811" s="6" t="n">
        <f aca="false">Sens!J12810-Sens!J12804-Sens!J12805-Sens!J12806-Sens!J12807-Sens!J12809</f>
        <v>109.721503569592</v>
      </c>
      <c r="K12811" s="6" t="n">
        <f aca="false">Sens!K12810-Sens!K12804-Sens!K12805-Sens!K12806-Sens!K12807-Sens!K12809</f>
        <v>119.088826916246</v>
      </c>
    </row>
    <row r="12812" customFormat="false" ht="17.15" hidden="false" customHeight="false" outlineLevel="0" collapsed="false">
      <c r="A12812" s="0" t="s">
        <v>1065</v>
      </c>
      <c r="B12812" s="0" t="s">
        <v>98</v>
      </c>
      <c r="F12812" s="6" t="n">
        <f aca="false">PL!F73+Sens!F12803*Seg!F55+sbc_r*Seg!F55</f>
        <v>26.1883018536976</v>
      </c>
      <c r="G12812" s="6" t="n">
        <f aca="false">PL!G73+Sens!G12803*Seg!G55+sbc_r*Seg!G55</f>
        <v>26.7988692269165</v>
      </c>
      <c r="H12812" s="6" t="n">
        <f aca="false">PL!H73+Sens!H12803*Seg!H55+sbc_r*Seg!H55</f>
        <v>27.676651877401</v>
      </c>
      <c r="I12812" s="6" t="n">
        <f aca="false">PL!I73+Sens!I12803*Seg!I55+sbc_r*Seg!I55</f>
        <v>28.7919477163856</v>
      </c>
      <c r="J12812" s="6" t="n">
        <f aca="false">PL!J73+Sens!J12803*Seg!J55+sbc_r*Seg!J55</f>
        <v>30.1095554599876</v>
      </c>
      <c r="K12812" s="6" t="n">
        <f aca="false">PL!K73+Sens!K12803*Seg!K55+sbc_r*Seg!K55</f>
        <v>31.5923355811805</v>
      </c>
    </row>
    <row r="12813" customFormat="false" ht="17.15" hidden="false" customHeight="false" outlineLevel="0" collapsed="false">
      <c r="A12813" s="0" t="s">
        <v>1066</v>
      </c>
      <c r="B12813" s="0" t="s">
        <v>98</v>
      </c>
      <c r="F12813" s="6" t="n">
        <f aca="false">(Sens!F12812-Sens!F12808)*Seg!F51/(Seg!F51+Seg!F53)</f>
        <v>8.21363876839376</v>
      </c>
      <c r="G12813" s="6" t="n">
        <f aca="false">(Sens!G12812-Sens!G12808)*Seg!G51/(Seg!G51+Seg!G53)</f>
        <v>7.81757556948427</v>
      </c>
      <c r="H12813" s="6" t="n">
        <f aca="false">(Sens!H12812-Sens!H12808)*Seg!H51/(Seg!H51+Seg!H53)</f>
        <v>7.58379891746928</v>
      </c>
      <c r="I12813" s="6" t="n">
        <f aca="false">(Sens!I12812-Sens!I12808)*Seg!I51/(Seg!I51+Seg!I53)</f>
        <v>7.49513512835163</v>
      </c>
      <c r="J12813" s="6" t="n">
        <f aca="false">(Sens!J12812-Sens!J12808)*Seg!J51/(Seg!J51+Seg!J53)</f>
        <v>7.53980917061682</v>
      </c>
      <c r="K12813" s="6" t="n">
        <f aca="false">(Sens!K12812-Sens!K12808)*Seg!K51/(Seg!K51+Seg!K53)</f>
        <v>7.71189597463361</v>
      </c>
    </row>
    <row r="12814" customFormat="false" ht="17.15" hidden="false" customHeight="false" outlineLevel="0" collapsed="false">
      <c r="A12814" s="0" t="s">
        <v>1067</v>
      </c>
      <c r="B12814" s="0" t="s">
        <v>98</v>
      </c>
      <c r="F12814" s="6" t="n">
        <f aca="false">Sens!F12812-Sens!F12808-Sens!F12813</f>
        <v>6.76955113045481</v>
      </c>
      <c r="G12814" s="6" t="n">
        <f aca="false">Sens!G12812-Sens!G12808-Sens!G12813</f>
        <v>6.70200532253647</v>
      </c>
      <c r="H12814" s="6" t="n">
        <f aca="false">Sens!H12812-Sens!H12808-Sens!H12813</f>
        <v>6.69446413713431</v>
      </c>
      <c r="I12814" s="6" t="n">
        <f aca="false">Sens!I12812-Sens!I12808-Sens!I12813</f>
        <v>6.74504306167234</v>
      </c>
      <c r="J12814" s="6" t="n">
        <f aca="false">Sens!J12812-Sens!J12808-Sens!J12813</f>
        <v>6.85031787484545</v>
      </c>
      <c r="K12814" s="6" t="n">
        <f aca="false">Sens!K12812-Sens!K12808-Sens!K12813</f>
        <v>7.00666789417688</v>
      </c>
    </row>
    <row r="12815" customFormat="false" ht="17.15" hidden="false" customHeight="false" outlineLevel="0" collapsed="false">
      <c r="A12815" s="0" t="s">
        <v>1068</v>
      </c>
      <c r="B12815" s="0" t="s">
        <v>98</v>
      </c>
      <c r="F12815" s="6" t="n">
        <f aca="false">Sens!F12809-tax_f*(Sens!F12809-Thesis!F89)-Thesis!F86</f>
        <v>-119.382682747471</v>
      </c>
      <c r="G12815" s="6" t="n">
        <f aca="false">Sens!G12809-tax_f*(Sens!G12809-Thesis!G89)-Thesis!G86</f>
        <v>-98.7495755690893</v>
      </c>
      <c r="H12815" s="6" t="n">
        <f aca="false">Sens!H12809-tax_f*(Sens!H12809-Thesis!H89)-Thesis!H86</f>
        <v>-65.2160219145184</v>
      </c>
      <c r="I12815" s="6" t="n">
        <f aca="false">Sens!I12809-tax_f*(Sens!I12809-Thesis!I89)-Thesis!I86</f>
        <v>-6.59039601405712</v>
      </c>
      <c r="J12815" s="6" t="n">
        <f aca="false">Sens!J12809-tax_f*(Sens!J12809-Thesis!J89)-Thesis!J86</f>
        <v>56.7738295233955</v>
      </c>
      <c r="K12815" s="6" t="n">
        <f aca="false">Sens!K12809-tax_f*(Sens!K12809-Thesis!K89)-Thesis!K86</f>
        <v>81.209175376442</v>
      </c>
    </row>
    <row r="12816" customFormat="false" ht="17.15" hidden="false" customHeight="false" outlineLevel="0" collapsed="false">
      <c r="A12816" s="0" t="s">
        <v>1069</v>
      </c>
      <c r="B12816" s="0" t="s">
        <v>98</v>
      </c>
      <c r="F12816" s="6" t="n">
        <f aca="false">Sens!F12815*Sens!F12789</f>
        <v>-113.675399435717</v>
      </c>
      <c r="G12816" s="6" t="n">
        <f aca="false">Sens!G12815*Sens!G12789</f>
        <v>-85.2532025390917</v>
      </c>
      <c r="H12816" s="6" t="n">
        <f aca="false">Sens!H12815*Sens!H12789</f>
        <v>-51.0481582830682</v>
      </c>
      <c r="I12816" s="6" t="n">
        <f aca="false">Sens!I12815*Sens!I12789</f>
        <v>-4.67721782319945</v>
      </c>
      <c r="J12816" s="6" t="n">
        <f aca="false">Sens!J12815*Sens!J12789</f>
        <v>36.5320953989789</v>
      </c>
      <c r="K12816" s="6" t="n">
        <f aca="false">Sens!K12815*Sens!K12789</f>
        <v>47.3785542320528</v>
      </c>
    </row>
    <row r="12817" customFormat="false" ht="17.15" hidden="false" customHeight="false" outlineLevel="0" collapsed="false">
      <c r="A12817" s="0" t="s">
        <v>1070</v>
      </c>
      <c r="B12817" s="0" t="s">
        <v>98</v>
      </c>
      <c r="C12817" s="6" t="n">
        <f aca="false">(Sens!K12809-Thesis!K89)*(1-tax_f)*(1+g_tv)*(1-g_tv/(wacc+ronic_prem))/(wacc-g_tv)/(1+wacc)^(Sens!K12788+mid_yr)</f>
        <v>314.186863600641</v>
      </c>
    </row>
    <row r="12818" customFormat="false" ht="17.15" hidden="false" customHeight="false" outlineLevel="0" collapsed="false">
      <c r="A12818" s="1" t="s">
        <v>1071</v>
      </c>
      <c r="B12818" s="0" t="s">
        <v>98</v>
      </c>
      <c r="C12818" s="6" t="n">
        <f aca="false">(SUM(Sens!F12816:K12816)+Sens!$C$12817)*(1+wacc)^t_roll</f>
        <v>163.343942987594</v>
      </c>
      <c r="L12818" s="11" t="s">
        <v>1072</v>
      </c>
    </row>
    <row r="12819" customFormat="false" ht="17.15" hidden="false" customHeight="false" outlineLevel="0" collapsed="false">
      <c r="A12819" s="1" t="s">
        <v>1073</v>
      </c>
      <c r="B12819" s="0" t="s">
        <v>98</v>
      </c>
      <c r="C12819" s="6" t="n">
        <f aca="false">(w_ntm28*Thesis!G78+(1-w_ntm28)*Thesis!H78)*m_ai*0.8</f>
        <v>363.937952664637</v>
      </c>
    </row>
    <row r="12820" customFormat="false" ht="17.15" hidden="false" customHeight="false" outlineLevel="0" collapsed="false">
      <c r="A12820" s="1" t="s">
        <v>1074</v>
      </c>
      <c r="B12820" s="0" t="s">
        <v>98</v>
      </c>
      <c r="C12820" s="6" t="n">
        <f aca="false">(w_ntm28*Sens!G12811+(1-w_ntm28)*Sens!H12811)*m_cloud*0.8</f>
        <v>856.651966641607</v>
      </c>
    </row>
    <row r="12821" customFormat="false" ht="17.15" hidden="false" customHeight="false" outlineLevel="0" collapsed="false">
      <c r="A12821" s="1" t="s">
        <v>1075</v>
      </c>
      <c r="B12821" s="0" t="s">
        <v>98</v>
      </c>
      <c r="C12821" s="6" t="n">
        <f aca="false">(w_ntm28*Sens!G12804+(1-w_ntm28)*Sens!H12804)*m_sw*0.8</f>
        <v>867.604133311773</v>
      </c>
    </row>
    <row r="12822" customFormat="false" ht="17.15" hidden="false" customHeight="false" outlineLevel="0" collapsed="false">
      <c r="A12822" s="1" t="s">
        <v>1076</v>
      </c>
      <c r="B12822" s="0" t="s">
        <v>98</v>
      </c>
      <c r="C12822" s="6" t="n">
        <f aca="false">(w_ntm28*Sens!G12805+(1-w_ntm28)*Sens!H12805)*m_sw*0.8</f>
        <v>303.557319895033</v>
      </c>
    </row>
    <row r="12823" customFormat="false" ht="17.15" hidden="false" customHeight="false" outlineLevel="0" collapsed="false">
      <c r="A12823" s="1" t="s">
        <v>1077</v>
      </c>
      <c r="B12823" s="0" t="s">
        <v>98</v>
      </c>
      <c r="C12823" s="6" t="n">
        <f aca="false">(w_ntm28*Sens!G12806+(1-w_ntm28)*Sens!H12806)*m_sw*0.8</f>
        <v>87.3966668934486</v>
      </c>
    </row>
    <row r="12824" customFormat="false" ht="17.15" hidden="false" customHeight="false" outlineLevel="0" collapsed="false">
      <c r="A12824" s="1" t="s">
        <v>1078</v>
      </c>
      <c r="B12824" s="0" t="s">
        <v>98</v>
      </c>
      <c r="C12824" s="6" t="n">
        <f aca="false">(w_ntm28*Sens!G12807+(1-w_ntm28)*Sens!H12807)*m_sw*0.8</f>
        <v>33.3433212443562</v>
      </c>
    </row>
    <row r="12825" customFormat="false" ht="17.15" hidden="false" customHeight="false" outlineLevel="0" collapsed="false">
      <c r="A12825" s="1" t="s">
        <v>1079</v>
      </c>
      <c r="B12825" s="0" t="s">
        <v>98</v>
      </c>
      <c r="C12825" s="6" t="n">
        <f aca="false">(w_ntm28*Sens!G12808+(1-w_ntm28)*Sens!H12808)*m_ads*0.8</f>
        <v>92.1281890394808</v>
      </c>
    </row>
    <row r="12826" customFormat="false" ht="17.15" hidden="false" customHeight="false" outlineLevel="0" collapsed="false">
      <c r="A12826" s="1" t="s">
        <v>1080</v>
      </c>
      <c r="B12826" s="0" t="s">
        <v>98</v>
      </c>
      <c r="C12826" s="6" t="n">
        <f aca="false">(w_ntm28*Sens!G12813+(1-w_ntm28)*Sens!H12813)*m_game*0.8</f>
        <v>78.2251524405041</v>
      </c>
    </row>
    <row r="12827" customFormat="false" ht="17.15" hidden="false" customHeight="false" outlineLevel="0" collapsed="false">
      <c r="A12827" s="1" t="s">
        <v>1081</v>
      </c>
      <c r="B12827" s="0" t="s">
        <v>98</v>
      </c>
      <c r="C12827" s="6" t="n">
        <f aca="false">(w_ntm28*Sens!G12814+(1-w_ntm28)*Sens!H12814)*m_pc*0.8</f>
        <v>77.5541916467194</v>
      </c>
    </row>
    <row r="12828" customFormat="false" ht="17.15" hidden="false" customHeight="false" outlineLevel="0" collapsed="false">
      <c r="A12828" s="1" t="s">
        <v>1082</v>
      </c>
      <c r="B12828" s="0" t="s">
        <v>98</v>
      </c>
      <c r="C12828" s="6" t="n">
        <f aca="false">Sens!$C$12818+Sens!$C$12820+Sens!$C$12821+Sens!$C$12822+Sens!$C$12823+Sens!$C$12824+Sens!$C$12825+Sens!$C$12826+Sens!$C$12827</f>
        <v>2559.80488410052</v>
      </c>
    </row>
    <row r="12829" customFormat="false" ht="17.15" hidden="false" customHeight="false" outlineLevel="0" collapsed="false">
      <c r="A12829" s="1" t="s">
        <v>1000</v>
      </c>
      <c r="B12829" s="0" t="s">
        <v>98</v>
      </c>
      <c r="C12829" s="6" t="n">
        <f aca="false">CF!F65+oai_v-CF!F54</f>
        <v>111.253995542787</v>
      </c>
      <c r="L12829" s="1" t="s">
        <v>1083</v>
      </c>
    </row>
    <row r="12830" customFormat="false" ht="15" hidden="false" customHeight="false" outlineLevel="0" collapsed="false">
      <c r="A12830" s="1" t="s">
        <v>1001</v>
      </c>
      <c r="B12830" s="0" t="s">
        <v>75</v>
      </c>
      <c r="C12830" s="5" t="n">
        <f aca="false">(Sens!$C$12828+Sens!$C$12829)/CF!F67</f>
        <v>357.475760123568</v>
      </c>
    </row>
    <row r="12831" customFormat="false" ht="17.15" hidden="false" customHeight="false" outlineLevel="0" collapsed="false">
      <c r="A12831" s="1" t="s">
        <v>1084</v>
      </c>
      <c r="B12831" s="0" t="s">
        <v>75</v>
      </c>
      <c r="C12831" s="5" t="n">
        <f aca="false">w_dcf*Sens!$C$12802+(1-w_dcf)*Sens!$C$12830</f>
        <v>350.809182635349</v>
      </c>
    </row>
    <row r="12832" customFormat="false" ht="17.15" hidden="false" customHeight="false" outlineLevel="0" collapsed="false">
      <c r="A12832" s="3" t="s">
        <v>1566</v>
      </c>
    </row>
    <row r="12833" customFormat="false" ht="15" hidden="false" customHeight="false" outlineLevel="0" collapsed="false">
      <c r="A12833" s="4" t="s">
        <v>43</v>
      </c>
      <c r="B12833" s="4" t="s">
        <v>65</v>
      </c>
      <c r="C12833" s="20" t="s">
        <v>788</v>
      </c>
      <c r="D12833" s="20" t="s">
        <v>789</v>
      </c>
      <c r="E12833" s="20" t="s">
        <v>790</v>
      </c>
      <c r="F12833" s="20" t="s">
        <v>791</v>
      </c>
      <c r="G12833" s="20" t="s">
        <v>792</v>
      </c>
      <c r="H12833" s="20" t="s">
        <v>793</v>
      </c>
      <c r="I12833" s="20" t="s">
        <v>794</v>
      </c>
      <c r="J12833" s="20" t="s">
        <v>795</v>
      </c>
      <c r="K12833" s="20" t="s">
        <v>796</v>
      </c>
      <c r="L12833" s="4" t="s">
        <v>47</v>
      </c>
    </row>
    <row r="12834" customFormat="false" ht="15" hidden="false" customHeight="false" outlineLevel="0" collapsed="false">
      <c r="A12834" s="1" t="s">
        <v>1042</v>
      </c>
      <c r="B12834" s="1" t="s">
        <v>235</v>
      </c>
      <c r="F12834" s="36" t="n">
        <f aca="false">Thesis!F104-base_fy-mid_yr</f>
        <v>0.5</v>
      </c>
      <c r="G12834" s="36" t="n">
        <f aca="false">Thesis!G104-base_fy-mid_yr</f>
        <v>1.5</v>
      </c>
      <c r="H12834" s="36" t="n">
        <f aca="false">Thesis!H104-base_fy-mid_yr</f>
        <v>2.5</v>
      </c>
      <c r="I12834" s="36" t="n">
        <f aca="false">Thesis!I104-base_fy-mid_yr</f>
        <v>3.5</v>
      </c>
      <c r="J12834" s="36" t="n">
        <f aca="false">Thesis!J104-base_fy-mid_yr</f>
        <v>4.5</v>
      </c>
      <c r="K12834" s="36" t="n">
        <f aca="false">Thesis!K104-base_fy-mid_yr</f>
        <v>5.5</v>
      </c>
    </row>
    <row r="12835" customFormat="false" ht="15" hidden="false" customHeight="false" outlineLevel="0" collapsed="false">
      <c r="A12835" s="1" t="s">
        <v>1043</v>
      </c>
      <c r="B12835" s="0" t="s">
        <v>185</v>
      </c>
      <c r="F12835" s="14" t="n">
        <f aca="false">1/(1+wacc)^Sens!F12834</f>
        <v>0.952193373608246</v>
      </c>
      <c r="G12835" s="14" t="n">
        <f aca="false">1/(1+wacc)^Sens!G12834</f>
        <v>0.863327280626589</v>
      </c>
      <c r="H12835" s="14" t="n">
        <f aca="false">1/(1+wacc)^Sens!H12834</f>
        <v>0.782754862754115</v>
      </c>
      <c r="I12835" s="14" t="n">
        <f aca="false">1/(1+wacc)^Sens!I12834</f>
        <v>0.709702089711011</v>
      </c>
      <c r="J12835" s="14" t="n">
        <f aca="false">1/(1+wacc)^Sens!J12834</f>
        <v>0.643467169744551</v>
      </c>
      <c r="K12835" s="14" t="n">
        <f aca="false">1/(1+wacc)^Sens!K12834</f>
        <v>0.583413807767797</v>
      </c>
    </row>
    <row r="12836" customFormat="false" ht="17.15" hidden="false" customHeight="false" outlineLevel="0" collapsed="false">
      <c r="A12836" s="1" t="s">
        <v>1044</v>
      </c>
      <c r="B12836" s="0" t="s">
        <v>98</v>
      </c>
      <c r="F12836" s="6" t="n">
        <f aca="false">CF!F79-CF!F77-CF!F82+Thesis!F142*(1-tax_f)</f>
        <v>2.81855367218396</v>
      </c>
      <c r="G12836" s="6" t="n">
        <f aca="false">CF!G79-CF!G77-CF!G82+Thesis!G142*(1-tax_f)</f>
        <v>35.4967358232605</v>
      </c>
      <c r="H12836" s="6" t="n">
        <f aca="false">CF!H79-CF!H77-CF!H82+Thesis!H142*(1-tax_f)</f>
        <v>71.9736045985465</v>
      </c>
      <c r="I12836" s="6" t="n">
        <f aca="false">CF!I79-CF!I77-CF!I82+Thesis!I142*(1-tax_f)</f>
        <v>139.565890227748</v>
      </c>
      <c r="J12836" s="6" t="n">
        <f aca="false">CF!J79-CF!J77-CF!J82+Thesis!J142*(1-tax_f)</f>
        <v>212.783902680705</v>
      </c>
      <c r="K12836" s="6" t="n">
        <f aca="false">CF!K79-CF!K77-CF!K82+Thesis!K142*(1-tax_f)</f>
        <v>247.854416738942</v>
      </c>
      <c r="L12836" s="1" t="s">
        <v>1045</v>
      </c>
    </row>
    <row r="12837" customFormat="false" ht="15" hidden="false" customHeight="false" outlineLevel="0" collapsed="false">
      <c r="A12837" s="1" t="s">
        <v>1046</v>
      </c>
      <c r="B12837" s="0" t="s">
        <v>98</v>
      </c>
      <c r="F12837" s="6" t="n">
        <f aca="false">Sens!F12836*Sens!F12835</f>
        <v>2.68380812981276</v>
      </c>
      <c r="G12837" s="6" t="n">
        <f aca="false">Sens!G12836*Sens!G12835</f>
        <v>30.6453004094159</v>
      </c>
      <c r="H12837" s="6" t="n">
        <f aca="false">Sens!H12836*Sens!H12835</f>
        <v>56.3376889894542</v>
      </c>
      <c r="I12837" s="6" t="n">
        <f aca="false">Sens!I12836*Sens!I12835</f>
        <v>99.0502039470101</v>
      </c>
      <c r="J12837" s="6" t="n">
        <f aca="false">Sens!J12836*Sens!J12835</f>
        <v>136.919455625153</v>
      </c>
      <c r="K12837" s="6" t="n">
        <f aca="false">Sens!K12836*Sens!K12835</f>
        <v>144.601689041733</v>
      </c>
    </row>
    <row r="12838" customFormat="false" ht="17.15" hidden="false" customHeight="false" outlineLevel="0" collapsed="false">
      <c r="A12838" s="1" t="s">
        <v>1047</v>
      </c>
      <c r="B12838" s="0" t="s">
        <v>98</v>
      </c>
      <c r="C12838" s="6" t="n">
        <f aca="false">SUM(Sens!F12837:K12837)</f>
        <v>470.238146142579</v>
      </c>
    </row>
    <row r="12839" customFormat="false" ht="17.15" hidden="false" customHeight="false" outlineLevel="0" collapsed="false">
      <c r="A12839" s="1" t="s">
        <v>1048</v>
      </c>
      <c r="B12839" s="0" t="s">
        <v>98</v>
      </c>
      <c r="C12839" s="6" t="n">
        <f aca="false">PL!K117*(1+g_tv)*(1-tax_f)</f>
        <v>255.879558138142</v>
      </c>
    </row>
    <row r="12840" customFormat="false" ht="17.15" hidden="false" customHeight="false" outlineLevel="0" collapsed="false">
      <c r="A12840" s="1" t="s">
        <v>1049</v>
      </c>
      <c r="B12840" s="0" t="s">
        <v>98</v>
      </c>
      <c r="C12840" s="6" t="n">
        <f aca="false">Sens!$C$12839*(1-g_tv/(wacc+ronic_prem))</f>
        <v>181.304049409205</v>
      </c>
    </row>
    <row r="12841" customFormat="false" ht="17.15" hidden="false" customHeight="false" outlineLevel="0" collapsed="false">
      <c r="A12841" s="1" t="s">
        <v>1050</v>
      </c>
      <c r="B12841" s="0" t="s">
        <v>98</v>
      </c>
      <c r="C12841" s="6" t="n">
        <f aca="false">Sens!$C$12840/(wacc-g_tv)</f>
        <v>2485.85029096454</v>
      </c>
    </row>
    <row r="12842" customFormat="false" ht="15" hidden="false" customHeight="false" outlineLevel="0" collapsed="false">
      <c r="A12842" s="1" t="s">
        <v>1051</v>
      </c>
      <c r="B12842" s="0" t="s">
        <v>98</v>
      </c>
      <c r="C12842" s="6" t="n">
        <f aca="false">Sens!$C$12841/(1+wacc)^(Sens!K12834+mid_yr)</f>
        <v>1380.94641912769</v>
      </c>
    </row>
    <row r="12843" customFormat="false" ht="17.15" hidden="false" customHeight="false" outlineLevel="0" collapsed="false">
      <c r="A12843" s="0" t="s">
        <v>972</v>
      </c>
      <c r="B12843" s="0" t="s">
        <v>98</v>
      </c>
      <c r="C12843" s="6" t="n">
        <f aca="false">Sens!$C$12838+Sens!$C$12842</f>
        <v>1851.18456527027</v>
      </c>
    </row>
    <row r="12844" customFormat="false" ht="15" hidden="false" customHeight="false" outlineLevel="0" collapsed="false">
      <c r="A12844" s="1" t="s">
        <v>973</v>
      </c>
      <c r="B12844" s="0" t="s">
        <v>129</v>
      </c>
      <c r="C12844" s="7" t="n">
        <f aca="false">Sens!$C$12842/Sens!$C$12843</f>
        <v>0.745979868801507</v>
      </c>
    </row>
    <row r="12845" customFormat="false" ht="17.15" hidden="false" customHeight="false" outlineLevel="0" collapsed="false">
      <c r="A12845" s="1" t="s">
        <v>1052</v>
      </c>
      <c r="B12845" s="0" t="s">
        <v>98</v>
      </c>
      <c r="C12845" s="6" t="n">
        <f aca="false">Sens!$C$12843+CF!E94-CF!E83+oai_v</f>
        <v>1985.69756527027</v>
      </c>
    </row>
    <row r="12846" customFormat="false" ht="17.15" hidden="false" customHeight="false" outlineLevel="0" collapsed="false">
      <c r="A12846" s="0" t="s">
        <v>980</v>
      </c>
      <c r="B12846" s="0" t="s">
        <v>75</v>
      </c>
      <c r="C12846" s="5" t="n">
        <f aca="false">Sens!$C$12845/sh_dil26</f>
        <v>266.429298976287</v>
      </c>
    </row>
    <row r="12847" customFormat="false" ht="15" hidden="false" customHeight="false" outlineLevel="0" collapsed="false">
      <c r="A12847" s="1" t="s">
        <v>1053</v>
      </c>
      <c r="B12847" s="0" t="s">
        <v>75</v>
      </c>
      <c r="C12847" s="8" t="n">
        <f aca="false">dps_27+CF!G86*roll_div_q/q_per_yr</f>
        <v>4.8895</v>
      </c>
    </row>
    <row r="12848" customFormat="false" ht="17.15" hidden="false" customHeight="false" outlineLevel="0" collapsed="false">
      <c r="A12848" s="0" t="s">
        <v>1054</v>
      </c>
      <c r="B12848" s="0" t="s">
        <v>75</v>
      </c>
      <c r="C12848" s="5" t="n">
        <f aca="false">Sens!$C$12846*(1+wacc)^t_roll-Sens!$C$12847</f>
        <v>298.502438692235</v>
      </c>
    </row>
    <row r="12849" customFormat="false" ht="17.15" hidden="false" customHeight="false" outlineLevel="0" collapsed="false">
      <c r="A12849" s="1" t="s">
        <v>1055</v>
      </c>
      <c r="B12849" s="0" t="s">
        <v>129</v>
      </c>
      <c r="F12849" s="7" t="n">
        <f aca="false">CF!F75/(Seg!F83-Thesis!F121)</f>
        <v>0.0686864325746334</v>
      </c>
      <c r="G12849" s="7" t="n">
        <f aca="false">CF!G75/(Seg!G83-Thesis!G121)</f>
        <v>0.066267001590801</v>
      </c>
      <c r="H12849" s="7" t="n">
        <f aca="false">CF!H75/(Seg!H83-Thesis!H121)</f>
        <v>0.0650366246750144</v>
      </c>
      <c r="I12849" s="7" t="n">
        <f aca="false">CF!I75/(Seg!I83-Thesis!I121)</f>
        <v>0.0648573271390164</v>
      </c>
      <c r="J12849" s="7" t="n">
        <f aca="false">CF!J75/(Seg!J83-Thesis!J121)</f>
        <v>0.0655189837669657</v>
      </c>
      <c r="K12849" s="7" t="n">
        <f aca="false">CF!K75/(Seg!K83-Thesis!K121)</f>
        <v>0.0667878921367872</v>
      </c>
    </row>
    <row r="12850" customFormat="false" ht="17.15" hidden="false" customHeight="false" outlineLevel="0" collapsed="false">
      <c r="A12850" s="0" t="s">
        <v>1056</v>
      </c>
      <c r="B12850" s="0" t="s">
        <v>98</v>
      </c>
      <c r="F12850" s="6" t="n">
        <f aca="false">Seg!F68*(al_m365+Sens!F12849+sbc_r)</f>
        <v>82.8871280343675</v>
      </c>
      <c r="G12850" s="6" t="n">
        <f aca="false">Seg!G68*(al_m365+Sens!G12849+sbc_r)</f>
        <v>93.2646494841949</v>
      </c>
      <c r="H12850" s="6" t="n">
        <f aca="false">Seg!H68*(al_m365+Sens!H12849+sbc_r)</f>
        <v>103.801656157254</v>
      </c>
      <c r="I12850" s="6" t="n">
        <f aca="false">Seg!I68*(al_m365+Sens!I12849+sbc_r)</f>
        <v>113.821873816133</v>
      </c>
      <c r="J12850" s="6" t="n">
        <f aca="false">Seg!J68*(al_m365+Sens!J12849+sbc_r)</f>
        <v>123.136196807334</v>
      </c>
      <c r="K12850" s="6" t="n">
        <f aca="false">Seg!K68*(al_m365+Sens!K12849+sbc_r)</f>
        <v>132.051675801964</v>
      </c>
      <c r="L12850" s="11" t="s">
        <v>1057</v>
      </c>
    </row>
    <row r="12851" customFormat="false" ht="17.15" hidden="false" customHeight="false" outlineLevel="0" collapsed="false">
      <c r="A12851" s="0" t="s">
        <v>1058</v>
      </c>
      <c r="B12851" s="0" t="s">
        <v>98</v>
      </c>
      <c r="F12851" s="6" t="n">
        <f aca="false">Seg!F69*(al_lic+Sens!F12849+sbc_r)</f>
        <v>33.4484001235218</v>
      </c>
      <c r="G12851" s="6" t="n">
        <f aca="false">Seg!G69*(al_lic+Sens!G12849+sbc_r)</f>
        <v>34.7662136749183</v>
      </c>
      <c r="H12851" s="6" t="n">
        <f aca="false">Seg!H69*(al_lic+Sens!H12849+sbc_r)</f>
        <v>35.9922067034497</v>
      </c>
      <c r="I12851" s="6" t="n">
        <f aca="false">Seg!I69*(al_lic+Sens!I12849+sbc_r)</f>
        <v>37.1063543598183</v>
      </c>
      <c r="J12851" s="6" t="n">
        <f aca="false">Seg!J69*(al_lic+Sens!J12849+sbc_r)</f>
        <v>38.0853056964387</v>
      </c>
      <c r="K12851" s="6" t="n">
        <f aca="false">Seg!K69*(al_lic+Sens!K12849+sbc_r)</f>
        <v>38.9048066370724</v>
      </c>
    </row>
    <row r="12852" customFormat="false" ht="17.15" hidden="false" customHeight="false" outlineLevel="0" collapsed="false">
      <c r="A12852" s="0" t="s">
        <v>1059</v>
      </c>
      <c r="B12852" s="0" t="s">
        <v>98</v>
      </c>
      <c r="F12852" s="6" t="n">
        <f aca="false">Seg!F71*(al_ind+Sens!F12849+sbc_r)</f>
        <v>9.07857451914073</v>
      </c>
      <c r="G12852" s="6" t="n">
        <f aca="false">Seg!G71*(al_ind+Sens!G12849+sbc_r)</f>
        <v>9.86487802721884</v>
      </c>
      <c r="H12852" s="6" t="n">
        <f aca="false">Seg!H71*(al_ind+Sens!H12849+sbc_r)</f>
        <v>10.693809720013</v>
      </c>
      <c r="I12852" s="6" t="n">
        <f aca="false">Seg!I71*(al_ind+Sens!I12849+sbc_r)</f>
        <v>11.5608645999226</v>
      </c>
      <c r="J12852" s="6" t="n">
        <f aca="false">Seg!J71*(al_ind+Sens!J12849+sbc_r)</f>
        <v>12.4574161941375</v>
      </c>
      <c r="K12852" s="6" t="n">
        <f aca="false">Seg!K71*(al_ind+Sens!K12849+sbc_r)</f>
        <v>13.3714153876622</v>
      </c>
    </row>
    <row r="12853" customFormat="false" ht="17.15" hidden="false" customHeight="false" outlineLevel="0" collapsed="false">
      <c r="A12853" s="0" t="s">
        <v>1060</v>
      </c>
      <c r="B12853" s="0" t="s">
        <v>98</v>
      </c>
      <c r="F12853" s="6" t="n">
        <f aca="false">Seg!F73*(al_fro+Sens!F12849+sbc_r)</f>
        <v>3.57335880380168</v>
      </c>
      <c r="G12853" s="6" t="n">
        <f aca="false">Seg!G73*(al_fro+Sens!G12849+sbc_r)</f>
        <v>3.78752993435501</v>
      </c>
      <c r="H12853" s="6" t="n">
        <f aca="false">Seg!H73*(al_fro+Sens!H12849+sbc_r)</f>
        <v>4.02979352544868</v>
      </c>
      <c r="I12853" s="6" t="n">
        <f aca="false">Seg!I73*(al_fro+Sens!I12849+sbc_r)</f>
        <v>4.30248328262388</v>
      </c>
      <c r="J12853" s="6" t="n">
        <f aca="false">Seg!J73*(al_fro+Sens!J12849+sbc_r)</f>
        <v>4.6072312462081</v>
      </c>
      <c r="K12853" s="6" t="n">
        <f aca="false">Seg!K73*(al_fro+Sens!K12849+sbc_r)</f>
        <v>4.94526327289735</v>
      </c>
    </row>
    <row r="12854" customFormat="false" ht="17.15" hidden="false" customHeight="false" outlineLevel="0" collapsed="false">
      <c r="A12854" s="0" t="s">
        <v>1061</v>
      </c>
      <c r="B12854" s="0" t="s">
        <v>98</v>
      </c>
      <c r="F12854" s="6" t="n">
        <f aca="false">Seg!F76*(al_srch+Sens!F12849+sbc_r)</f>
        <v>11.2121706988551</v>
      </c>
      <c r="G12854" s="6" t="n">
        <f aca="false">Seg!G76*(al_srch+Sens!G12849+sbc_r)</f>
        <v>12.298220751086</v>
      </c>
      <c r="H12854" s="6" t="n">
        <f aca="false">Seg!H76*(al_srch+Sens!H12849+sbc_r)</f>
        <v>13.4264661389574</v>
      </c>
      <c r="I12854" s="6" t="n">
        <f aca="false">Seg!I76*(al_srch+Sens!I12849+sbc_r)</f>
        <v>14.5842947685169</v>
      </c>
      <c r="J12854" s="6" t="n">
        <f aca="false">Seg!J76*(al_srch+Sens!J12849+sbc_r)</f>
        <v>15.7529827260804</v>
      </c>
      <c r="K12854" s="6" t="n">
        <f aca="false">Seg!K76*(al_srch+Sens!K12849+sbc_r)</f>
        <v>16.908777257054</v>
      </c>
    </row>
    <row r="12855" customFormat="false" ht="17.15" hidden="false" customHeight="false" outlineLevel="0" collapsed="false">
      <c r="A12855" s="0" t="s">
        <v>1062</v>
      </c>
      <c r="B12855" s="0" t="s">
        <v>98</v>
      </c>
      <c r="F12855" s="6" t="n">
        <f aca="false">Thesis!F127-Thesis!F128+Thesis!F142</f>
        <v>49.3166695044068</v>
      </c>
      <c r="G12855" s="6" t="n">
        <f aca="false">Thesis!G127-Thesis!G128+Thesis!G142</f>
        <v>79.1711235199867</v>
      </c>
      <c r="H12855" s="6" t="n">
        <f aca="false">Thesis!H127-Thesis!H128+Thesis!H142</f>
        <v>105.986955995322</v>
      </c>
      <c r="I12855" s="6" t="n">
        <f aca="false">Thesis!I127-Thesis!I128+Thesis!I142</f>
        <v>136.51312421941</v>
      </c>
      <c r="J12855" s="6" t="n">
        <f aca="false">Thesis!J127-Thesis!J128+Thesis!J142</f>
        <v>158.045869188803</v>
      </c>
      <c r="K12855" s="6" t="n">
        <f aca="false">Thesis!K127-Thesis!K128+Thesis!K142</f>
        <v>171.626834186355</v>
      </c>
    </row>
    <row r="12856" customFormat="false" ht="17.15" hidden="false" customHeight="false" outlineLevel="0" collapsed="false">
      <c r="A12856" s="0" t="s">
        <v>1063</v>
      </c>
      <c r="B12856" s="0" t="s">
        <v>98</v>
      </c>
      <c r="F12856" s="6" t="n">
        <f aca="false">PL!F110+Thesis!F142+Thesis!F138+Sens!F12849*(Seg!F75-Thesis!F121)+sbc_r*Seg!F75</f>
        <v>239.221795819914</v>
      </c>
      <c r="G12856" s="6" t="n">
        <f aca="false">PL!G110+Thesis!G142+Thesis!G138+Sens!G12849*(Seg!G75-Thesis!G121)+sbc_r*Seg!G75</f>
        <v>293.888959324058</v>
      </c>
      <c r="H12856" s="6" t="n">
        <f aca="false">PL!H110+Thesis!H142+Thesis!H138+Sens!H12849*(Seg!H75-Thesis!H121)+sbc_r*Seg!H75</f>
        <v>345.795749423438</v>
      </c>
      <c r="I12856" s="6" t="n">
        <f aca="false">PL!I110+Thesis!I142+Thesis!I138+Sens!I12849*(Seg!I75-Thesis!I121)+sbc_r*Seg!I75</f>
        <v>400.80148439376</v>
      </c>
      <c r="J12856" s="6" t="n">
        <f aca="false">PL!J110+Thesis!J142+Thesis!J138+Sens!J12849*(Seg!J75-Thesis!J121)+sbc_r*Seg!J75</f>
        <v>444.918308128678</v>
      </c>
      <c r="K12856" s="6" t="n">
        <f aca="false">PL!K110+Thesis!K142+Thesis!K138+Sens!K12849*(Seg!K75-Thesis!K121)+sbc_r*Seg!K75</f>
        <v>478.782312275225</v>
      </c>
    </row>
    <row r="12857" customFormat="false" ht="17.15" hidden="false" customHeight="false" outlineLevel="0" collapsed="false">
      <c r="A12857" s="0" t="s">
        <v>1064</v>
      </c>
      <c r="B12857" s="0" t="s">
        <v>98</v>
      </c>
      <c r="F12857" s="6" t="n">
        <f aca="false">Sens!F12856-Sens!F12850-Sens!F12851-Sens!F12852-Sens!F12853-Sens!F12855</f>
        <v>60.9176648346756</v>
      </c>
      <c r="G12857" s="6" t="n">
        <f aca="false">Sens!G12856-Sens!G12850-Sens!G12851-Sens!G12852-Sens!G12853-Sens!G12855</f>
        <v>73.0345646833845</v>
      </c>
      <c r="H12857" s="6" t="n">
        <f aca="false">Sens!H12856-Sens!H12850-Sens!H12851-Sens!H12852-Sens!H12853-Sens!H12855</f>
        <v>85.2913273219498</v>
      </c>
      <c r="I12857" s="6" t="n">
        <f aca="false">Sens!I12856-Sens!I12850-Sens!I12851-Sens!I12852-Sens!I12853-Sens!I12855</f>
        <v>97.4967841158513</v>
      </c>
      <c r="J12857" s="6" t="n">
        <f aca="false">Sens!J12856-Sens!J12850-Sens!J12851-Sens!J12852-Sens!J12853-Sens!J12855</f>
        <v>108.586288995756</v>
      </c>
      <c r="K12857" s="6" t="n">
        <f aca="false">Sens!K12856-Sens!K12850-Sens!K12851-Sens!K12852-Sens!K12853-Sens!K12855</f>
        <v>117.882316989274</v>
      </c>
    </row>
    <row r="12858" customFormat="false" ht="17.15" hidden="false" customHeight="false" outlineLevel="0" collapsed="false">
      <c r="A12858" s="0" t="s">
        <v>1065</v>
      </c>
      <c r="B12858" s="0" t="s">
        <v>98</v>
      </c>
      <c r="F12858" s="6" t="n">
        <f aca="false">PL!F112+Sens!F12849*Seg!F82+sbc_r*Seg!F82</f>
        <v>26.2049549828959</v>
      </c>
      <c r="G12858" s="6" t="n">
        <f aca="false">PL!G112+Sens!G12849*Seg!G82+sbc_r*Seg!G82</f>
        <v>26.8405806403664</v>
      </c>
      <c r="H12858" s="6" t="n">
        <f aca="false">PL!H112+Sens!H12849*Seg!H82+sbc_r*Seg!H82</f>
        <v>27.7352032470138</v>
      </c>
      <c r="I12858" s="6" t="n">
        <f aca="false">PL!I112+Sens!I12849*Seg!I82+sbc_r*Seg!I82</f>
        <v>28.8569155956094</v>
      </c>
      <c r="J12858" s="6" t="n">
        <f aca="false">PL!J112+Sens!J12849*Seg!J82+sbc_r*Seg!J82</f>
        <v>30.1744385645725</v>
      </c>
      <c r="K12858" s="6" t="n">
        <f aca="false">PL!K112+Sens!K12849*Seg!K82+sbc_r*Seg!K82</f>
        <v>31.6584976186802</v>
      </c>
    </row>
    <row r="12859" customFormat="false" ht="17.15" hidden="false" customHeight="false" outlineLevel="0" collapsed="false">
      <c r="A12859" s="0" t="s">
        <v>1066</v>
      </c>
      <c r="B12859" s="0" t="s">
        <v>98</v>
      </c>
      <c r="F12859" s="6" t="n">
        <f aca="false">(Sens!F12858-Sens!F12854)*Seg!F78/(Seg!F78+Seg!F80)</f>
        <v>8.21889831690819</v>
      </c>
      <c r="G12859" s="6" t="n">
        <f aca="false">(Sens!G12858-Sens!G12854)*Seg!G78/(Seg!G78+Seg!G80)</f>
        <v>7.82984014749099</v>
      </c>
      <c r="H12859" s="6" t="n">
        <f aca="false">(Sens!H12858-Sens!H12854)*Seg!H78/(Seg!H78+Seg!H80)</f>
        <v>7.5999849964554</v>
      </c>
      <c r="I12859" s="6" t="n">
        <f aca="false">(Sens!I12858-Sens!I12854)*Seg!I78/(Seg!I78+Seg!I80)</f>
        <v>7.51221089422364</v>
      </c>
      <c r="J12859" s="6" t="n">
        <f aca="false">(Sens!J12858-Sens!J12854)*Seg!J78/(Seg!J78+Seg!J80)</f>
        <v>7.55622411401827</v>
      </c>
      <c r="K12859" s="6" t="n">
        <f aca="false">(Sens!K12858-Sens!K12854)*Seg!K78/(Seg!K78+Seg!K80)</f>
        <v>7.72822064011532</v>
      </c>
    </row>
    <row r="12860" customFormat="false" ht="17.15" hidden="false" customHeight="false" outlineLevel="0" collapsed="false">
      <c r="A12860" s="0" t="s">
        <v>1067</v>
      </c>
      <c r="B12860" s="0" t="s">
        <v>98</v>
      </c>
      <c r="F12860" s="6" t="n">
        <f aca="false">Sens!F12858-Sens!F12854-Sens!F12859</f>
        <v>6.77388596713263</v>
      </c>
      <c r="G12860" s="6" t="n">
        <f aca="false">Sens!G12858-Sens!G12854-Sens!G12859</f>
        <v>6.71251974178949</v>
      </c>
      <c r="H12860" s="6" t="n">
        <f aca="false">Sens!H12858-Sens!H12854-Sens!H12859</f>
        <v>6.70875211160101</v>
      </c>
      <c r="I12860" s="6" t="n">
        <f aca="false">Sens!I12858-Sens!I12854-Sens!I12859</f>
        <v>6.76040993286883</v>
      </c>
      <c r="J12860" s="6" t="n">
        <f aca="false">Sens!J12858-Sens!J12854-Sens!J12859</f>
        <v>6.86523172447386</v>
      </c>
      <c r="K12860" s="6" t="n">
        <f aca="false">Sens!K12858-Sens!K12854-Sens!K12859</f>
        <v>7.02149972151092</v>
      </c>
    </row>
    <row r="12861" customFormat="false" ht="17.15" hidden="false" customHeight="false" outlineLevel="0" collapsed="false">
      <c r="A12861" s="0" t="s">
        <v>1068</v>
      </c>
      <c r="B12861" s="0" t="s">
        <v>98</v>
      </c>
      <c r="F12861" s="6" t="n">
        <f aca="false">Sens!F12855-tax_f*(Sens!F12855-Thesis!F138)-Thesis!F135</f>
        <v>-122.366710075738</v>
      </c>
      <c r="G12861" s="6" t="n">
        <f aca="false">Sens!G12855-tax_f*(Sens!G12855-Thesis!G138)-Thesis!G135</f>
        <v>-108.130935015143</v>
      </c>
      <c r="H12861" s="6" t="n">
        <f aca="false">Sens!H12855-tax_f*(Sens!H12855-Thesis!H138)-Thesis!H135</f>
        <v>-85.7372579155142</v>
      </c>
      <c r="I12861" s="6" t="n">
        <f aca="false">Sens!I12855-tax_f*(Sens!I12855-Thesis!I138)-Thesis!I135</f>
        <v>-32.0937617822731</v>
      </c>
      <c r="J12861" s="6" t="n">
        <f aca="false">Sens!J12855-tax_f*(Sens!J12855-Thesis!J138)-Thesis!J135</f>
        <v>27.7659608174853</v>
      </c>
      <c r="K12861" s="6" t="n">
        <f aca="false">Sens!K12855-tax_f*(Sens!K12855-Thesis!K138)-Thesis!K135</f>
        <v>50.2765610680426</v>
      </c>
    </row>
    <row r="12862" customFormat="false" ht="17.15" hidden="false" customHeight="false" outlineLevel="0" collapsed="false">
      <c r="A12862" s="0" t="s">
        <v>1069</v>
      </c>
      <c r="B12862" s="0" t="s">
        <v>98</v>
      </c>
      <c r="F12862" s="6" t="n">
        <f aca="false">Sens!F12861*Sens!F12835</f>
        <v>-116.516770484359</v>
      </c>
      <c r="G12862" s="6" t="n">
        <f aca="false">Sens!G12861*Sens!G12835</f>
        <v>-93.3523860782335</v>
      </c>
      <c r="H12862" s="6" t="n">
        <f aca="false">Sens!H12861*Sens!H12835</f>
        <v>-67.1112555525725</v>
      </c>
      <c r="I12862" s="6" t="n">
        <f aca="false">Sens!I12861*Sens!I12835</f>
        <v>-22.7770098035666</v>
      </c>
      <c r="J12862" s="6" t="n">
        <f aca="false">Sens!J12861*Sens!J12835</f>
        <v>17.8664842224654</v>
      </c>
      <c r="K12862" s="6" t="n">
        <f aca="false">Sens!K12861*Sens!K12835</f>
        <v>29.3320399341769</v>
      </c>
    </row>
    <row r="12863" customFormat="false" ht="17.15" hidden="false" customHeight="false" outlineLevel="0" collapsed="false">
      <c r="A12863" s="0" t="s">
        <v>1070</v>
      </c>
      <c r="B12863" s="0" t="s">
        <v>98</v>
      </c>
      <c r="C12863" s="6" t="n">
        <f aca="false">(Sens!K12855-Thesis!K138)*(1-tax_f)*(1+g_tv)*(1-g_tv/(wacc+ronic_prem))/(wacc-g_tv)/(1+wacc)^(Sens!K12834+mid_yr)</f>
        <v>142.100702662121</v>
      </c>
    </row>
    <row r="12864" customFormat="false" ht="17.15" hidden="false" customHeight="false" outlineLevel="0" collapsed="false">
      <c r="A12864" s="1" t="s">
        <v>1071</v>
      </c>
      <c r="B12864" s="0" t="s">
        <v>98</v>
      </c>
      <c r="C12864" s="6" t="n">
        <f aca="false">(SUM(Sens!F12862:K12862)+Sens!$C$12863)*(1+wacc)^t_roll</f>
        <v>-125.782434907083</v>
      </c>
      <c r="L12864" s="11" t="s">
        <v>1072</v>
      </c>
    </row>
    <row r="12865" customFormat="false" ht="17.15" hidden="false" customHeight="false" outlineLevel="0" collapsed="false">
      <c r="A12865" s="1" t="s">
        <v>1073</v>
      </c>
      <c r="B12865" s="0" t="s">
        <v>98</v>
      </c>
      <c r="C12865" s="6" t="n">
        <f aca="false">(w_ntm28*Thesis!G127+(1-w_ntm28)*Thesis!H127)*m_ai*0.8</f>
        <v>271.020806712054</v>
      </c>
    </row>
    <row r="12866" customFormat="false" ht="17.15" hidden="false" customHeight="false" outlineLevel="0" collapsed="false">
      <c r="A12866" s="1" t="s">
        <v>1074</v>
      </c>
      <c r="B12866" s="0" t="s">
        <v>98</v>
      </c>
      <c r="C12866" s="6" t="n">
        <f aca="false">(w_ntm28*Sens!G12857+(1-w_ntm28)*Sens!H12857)*m_cloud*0.8</f>
        <v>851.279107666549</v>
      </c>
    </row>
    <row r="12867" customFormat="false" ht="17.15" hidden="false" customHeight="false" outlineLevel="0" collapsed="false">
      <c r="A12867" s="1" t="s">
        <v>1075</v>
      </c>
      <c r="B12867" s="0" t="s">
        <v>98</v>
      </c>
      <c r="C12867" s="6" t="n">
        <f aca="false">(w_ntm28*Sens!G12850+(1-w_ntm28)*Sens!H12850)*m_sw*0.8</f>
        <v>835.238596319656</v>
      </c>
    </row>
    <row r="12868" customFormat="false" ht="17.15" hidden="false" customHeight="false" outlineLevel="0" collapsed="false">
      <c r="A12868" s="1" t="s">
        <v>1076</v>
      </c>
      <c r="B12868" s="0" t="s">
        <v>98</v>
      </c>
      <c r="C12868" s="6" t="n">
        <f aca="false">(w_ntm28*Sens!G12851+(1-w_ntm28)*Sens!H12851)*m_sw*0.8</f>
        <v>303.804536596358</v>
      </c>
    </row>
    <row r="12869" customFormat="false" ht="17.15" hidden="false" customHeight="false" outlineLevel="0" collapsed="false">
      <c r="A12869" s="1" t="s">
        <v>1077</v>
      </c>
      <c r="B12869" s="0" t="s">
        <v>98</v>
      </c>
      <c r="C12869" s="6" t="n">
        <f aca="false">(w_ntm28*Sens!G12852+(1-w_ntm28)*Sens!H12852)*m_sw*0.8</f>
        <v>87.5479227015748</v>
      </c>
    </row>
    <row r="12870" customFormat="false" ht="17.15" hidden="false" customHeight="false" outlineLevel="0" collapsed="false">
      <c r="A12870" s="1" t="s">
        <v>1078</v>
      </c>
      <c r="B12870" s="0" t="s">
        <v>98</v>
      </c>
      <c r="C12870" s="6" t="n">
        <f aca="false">(w_ntm28*Sens!G12853+(1-w_ntm28)*Sens!H12853)*m_sw*0.8</f>
        <v>33.4009506229419</v>
      </c>
    </row>
    <row r="12871" customFormat="false" ht="17.15" hidden="false" customHeight="false" outlineLevel="0" collapsed="false">
      <c r="A12871" s="1" t="s">
        <v>1079</v>
      </c>
      <c r="B12871" s="0" t="s">
        <v>98</v>
      </c>
      <c r="C12871" s="6" t="n">
        <f aca="false">(w_ntm28*Sens!G12854+(1-w_ntm28)*Sens!H12854)*m_ads*0.8</f>
        <v>92.2877149754029</v>
      </c>
    </row>
    <row r="12872" customFormat="false" ht="17.15" hidden="false" customHeight="false" outlineLevel="0" collapsed="false">
      <c r="A12872" s="1" t="s">
        <v>1080</v>
      </c>
      <c r="B12872" s="0" t="s">
        <v>98</v>
      </c>
      <c r="C12872" s="6" t="n">
        <f aca="false">(w_ntm28*Sens!G12859+(1-w_ntm28)*Sens!H12859)*m_game*0.8</f>
        <v>78.3618833142613</v>
      </c>
    </row>
    <row r="12873" customFormat="false" ht="17.15" hidden="false" customHeight="false" outlineLevel="0" collapsed="false">
      <c r="A12873" s="1" t="s">
        <v>1081</v>
      </c>
      <c r="B12873" s="0" t="s">
        <v>98</v>
      </c>
      <c r="C12873" s="6" t="n">
        <f aca="false">(w_ntm28*Sens!G12860+(1-w_ntm28)*Sens!H12860)*m_pc*0.8</f>
        <v>77.6900286343159</v>
      </c>
    </row>
    <row r="12874" customFormat="false" ht="17.15" hidden="false" customHeight="false" outlineLevel="0" collapsed="false">
      <c r="A12874" s="1" t="s">
        <v>1082</v>
      </c>
      <c r="B12874" s="0" t="s">
        <v>98</v>
      </c>
      <c r="C12874" s="6" t="n">
        <f aca="false">Sens!$C$12864+Sens!$C$12866+Sens!$C$12867+Sens!$C$12868+Sens!$C$12869+Sens!$C$12870+Sens!$C$12871+Sens!$C$12872+Sens!$C$12873</f>
        <v>2233.82830592398</v>
      </c>
    </row>
    <row r="12875" customFormat="false" ht="17.15" hidden="false" customHeight="false" outlineLevel="0" collapsed="false">
      <c r="A12875" s="1" t="s">
        <v>1000</v>
      </c>
      <c r="B12875" s="0" t="s">
        <v>98</v>
      </c>
      <c r="C12875" s="6" t="n">
        <f aca="false">CF!F94+oai_v-CF!F83</f>
        <v>106.814034990727</v>
      </c>
      <c r="L12875" s="1" t="s">
        <v>1083</v>
      </c>
    </row>
    <row r="12876" customFormat="false" ht="15" hidden="false" customHeight="false" outlineLevel="0" collapsed="false">
      <c r="A12876" s="1" t="s">
        <v>1001</v>
      </c>
      <c r="B12876" s="0" t="s">
        <v>75</v>
      </c>
      <c r="C12876" s="5" t="n">
        <f aca="false">(Sens!$C$12874+Sens!$C$12875)/CF!F96</f>
        <v>313.255131278734</v>
      </c>
    </row>
    <row r="12877" customFormat="false" ht="17.15" hidden="false" customHeight="false" outlineLevel="0" collapsed="false">
      <c r="A12877" s="1" t="s">
        <v>1084</v>
      </c>
      <c r="B12877" s="0" t="s">
        <v>75</v>
      </c>
      <c r="C12877" s="5" t="n">
        <f aca="false">w_dcf*Sens!$C$12848+(1-w_dcf)*Sens!$C$12876</f>
        <v>305.878784985485</v>
      </c>
    </row>
    <row r="12878" customFormat="false" ht="17.15" hidden="false" customHeight="false" outlineLevel="0" collapsed="false">
      <c r="A12878" s="3" t="s">
        <v>1567</v>
      </c>
    </row>
    <row r="12879" customFormat="false" ht="15" hidden="false" customHeight="false" outlineLevel="0" collapsed="false">
      <c r="A12879" s="4" t="s">
        <v>43</v>
      </c>
      <c r="B12879" s="4" t="s">
        <v>65</v>
      </c>
      <c r="C12879" s="20" t="s">
        <v>788</v>
      </c>
      <c r="D12879" s="20" t="s">
        <v>789</v>
      </c>
      <c r="E12879" s="20" t="s">
        <v>790</v>
      </c>
      <c r="F12879" s="20" t="s">
        <v>791</v>
      </c>
      <c r="G12879" s="20" t="s">
        <v>792</v>
      </c>
      <c r="H12879" s="20" t="s">
        <v>793</v>
      </c>
      <c r="I12879" s="20" t="s">
        <v>794</v>
      </c>
      <c r="J12879" s="20" t="s">
        <v>795</v>
      </c>
      <c r="K12879" s="20" t="s">
        <v>796</v>
      </c>
      <c r="L12879" s="4" t="s">
        <v>47</v>
      </c>
    </row>
    <row r="12880" customFormat="false" ht="15" hidden="false" customHeight="false" outlineLevel="0" collapsed="false">
      <c r="A12880" s="1" t="s">
        <v>1042</v>
      </c>
      <c r="B12880" s="1" t="s">
        <v>235</v>
      </c>
      <c r="F12880" s="36" t="n">
        <f aca="false">Thesis!F6-base_fy-mid_yr</f>
        <v>0.5</v>
      </c>
      <c r="G12880" s="36" t="n">
        <f aca="false">Thesis!G6-base_fy-mid_yr</f>
        <v>1.5</v>
      </c>
      <c r="H12880" s="36" t="n">
        <f aca="false">Thesis!H6-base_fy-mid_yr</f>
        <v>2.5</v>
      </c>
      <c r="I12880" s="36" t="n">
        <f aca="false">Thesis!I6-base_fy-mid_yr</f>
        <v>3.5</v>
      </c>
      <c r="J12880" s="36" t="n">
        <f aca="false">Thesis!J6-base_fy-mid_yr</f>
        <v>4.5</v>
      </c>
      <c r="K12880" s="36" t="n">
        <f aca="false">Thesis!K6-base_fy-mid_yr</f>
        <v>5.5</v>
      </c>
    </row>
    <row r="12881" customFormat="false" ht="15" hidden="false" customHeight="false" outlineLevel="0" collapsed="false">
      <c r="A12881" s="1" t="s">
        <v>1043</v>
      </c>
      <c r="B12881" s="0" t="s">
        <v>185</v>
      </c>
      <c r="F12881" s="14" t="n">
        <f aca="false">1/(1+wacc)^Sens!F12880</f>
        <v>0.952193373608246</v>
      </c>
      <c r="G12881" s="14" t="n">
        <f aca="false">1/(1+wacc)^Sens!G12880</f>
        <v>0.863327280626589</v>
      </c>
      <c r="H12881" s="14" t="n">
        <f aca="false">1/(1+wacc)^Sens!H12880</f>
        <v>0.782754862754115</v>
      </c>
      <c r="I12881" s="14" t="n">
        <f aca="false">1/(1+wacc)^Sens!I12880</f>
        <v>0.709702089711011</v>
      </c>
      <c r="J12881" s="14" t="n">
        <f aca="false">1/(1+wacc)^Sens!J12880</f>
        <v>0.643467169744551</v>
      </c>
      <c r="K12881" s="14" t="n">
        <f aca="false">1/(1+wacc)^Sens!K12880</f>
        <v>0.583413807767797</v>
      </c>
    </row>
    <row r="12882" customFormat="false" ht="17.15" hidden="false" customHeight="false" outlineLevel="0" collapsed="false">
      <c r="A12882" s="1" t="s">
        <v>1044</v>
      </c>
      <c r="B12882" s="0" t="s">
        <v>98</v>
      </c>
      <c r="F12882" s="6" t="n">
        <f aca="false">CF!F21-CF!F19-CF!F24+Thesis!F44*(1-tax_f)</f>
        <v>9.29995994594013</v>
      </c>
      <c r="G12882" s="6" t="n">
        <f aca="false">CF!G21-CF!G19-CF!G24+Thesis!G44*(1-tax_f)</f>
        <v>55.6803799901549</v>
      </c>
      <c r="H12882" s="6" t="n">
        <f aca="false">CF!H21-CF!H19-CF!H24+Thesis!H44*(1-tax_f)</f>
        <v>114.6308681267</v>
      </c>
      <c r="I12882" s="6" t="n">
        <f aca="false">CF!I21-CF!I19-CF!I24+Thesis!I44*(1-tax_f)</f>
        <v>192.960687587037</v>
      </c>
      <c r="J12882" s="6" t="n">
        <f aca="false">CF!J21-CF!J19-CF!J24+Thesis!J44*(1-tax_f)</f>
        <v>273.742251264366</v>
      </c>
      <c r="K12882" s="6" t="n">
        <f aca="false">CF!K21-CF!K19-CF!K24+Thesis!K44*(1-tax_f)</f>
        <v>313.491842465765</v>
      </c>
      <c r="L12882" s="1" t="s">
        <v>1045</v>
      </c>
    </row>
    <row r="12883" customFormat="false" ht="15" hidden="false" customHeight="false" outlineLevel="0" collapsed="false">
      <c r="A12883" s="1" t="s">
        <v>1046</v>
      </c>
      <c r="B12883" s="0" t="s">
        <v>98</v>
      </c>
      <c r="F12883" s="6" t="n">
        <f aca="false">Sens!F12882*Sens!F12881</f>
        <v>8.8553602353463</v>
      </c>
      <c r="G12883" s="6" t="n">
        <f aca="false">Sens!G12882*Sens!G12881</f>
        <v>48.0703910411556</v>
      </c>
      <c r="H12883" s="6" t="n">
        <f aca="false">Sens!H12882*Sens!H12881</f>
        <v>89.7278694479</v>
      </c>
      <c r="I12883" s="6" t="n">
        <f aca="false">Sens!I12882*Sens!I12881</f>
        <v>136.944603212593</v>
      </c>
      <c r="J12883" s="6" t="n">
        <f aca="false">Sens!J12882*Sens!J12881</f>
        <v>176.144151660583</v>
      </c>
      <c r="K12883" s="6" t="n">
        <f aca="false">Sens!K12882*Sens!K12881</f>
        <v>182.895469517094</v>
      </c>
    </row>
    <row r="12884" customFormat="false" ht="17.15" hidden="false" customHeight="false" outlineLevel="0" collapsed="false">
      <c r="A12884" s="1" t="s">
        <v>1047</v>
      </c>
      <c r="B12884" s="0" t="s">
        <v>98</v>
      </c>
      <c r="C12884" s="6" t="n">
        <f aca="false">SUM(Sens!F12883:K12883)</f>
        <v>642.637845114673</v>
      </c>
    </row>
    <row r="12885" customFormat="false" ht="17.15" hidden="false" customHeight="false" outlineLevel="0" collapsed="false">
      <c r="A12885" s="1" t="s">
        <v>1048</v>
      </c>
      <c r="B12885" s="0" t="s">
        <v>98</v>
      </c>
      <c r="C12885" s="6" t="n">
        <f aca="false">PL!K39*(1+g_tv)*(1-tax_f)</f>
        <v>325.338496025769</v>
      </c>
    </row>
    <row r="12886" customFormat="false" ht="17.15" hidden="false" customHeight="false" outlineLevel="0" collapsed="false">
      <c r="A12886" s="1" t="s">
        <v>1049</v>
      </c>
      <c r="B12886" s="0" t="s">
        <v>98</v>
      </c>
      <c r="C12886" s="6" t="n">
        <f aca="false">Sens!$C$12885*(1-g_tv/(wacc+ronic_prem))</f>
        <v>230.519339596203</v>
      </c>
    </row>
    <row r="12887" customFormat="false" ht="17.15" hidden="false" customHeight="false" outlineLevel="0" collapsed="false">
      <c r="A12887" s="1" t="s">
        <v>1050</v>
      </c>
      <c r="B12887" s="0" t="s">
        <v>98</v>
      </c>
      <c r="C12887" s="6" t="n">
        <f aca="false">Sens!$C$12886/(wacc-g_tv)</f>
        <v>3160.63854765221</v>
      </c>
    </row>
    <row r="12888" customFormat="false" ht="15" hidden="false" customHeight="false" outlineLevel="0" collapsed="false">
      <c r="A12888" s="1" t="s">
        <v>1051</v>
      </c>
      <c r="B12888" s="0" t="s">
        <v>98</v>
      </c>
      <c r="C12888" s="6" t="n">
        <f aca="false">Sens!$C$12887/(1+wacc)^(Sens!K12880+mid_yr)</f>
        <v>1755.80665513196</v>
      </c>
    </row>
    <row r="12889" customFormat="false" ht="17.15" hidden="false" customHeight="false" outlineLevel="0" collapsed="false">
      <c r="A12889" s="0" t="s">
        <v>972</v>
      </c>
      <c r="B12889" s="0" t="s">
        <v>98</v>
      </c>
      <c r="C12889" s="6" t="n">
        <f aca="false">Sens!$C$12884+Sens!$C$12888</f>
        <v>2398.44450024663</v>
      </c>
    </row>
    <row r="12890" customFormat="false" ht="15" hidden="false" customHeight="false" outlineLevel="0" collapsed="false">
      <c r="A12890" s="1" t="s">
        <v>973</v>
      </c>
      <c r="B12890" s="0" t="s">
        <v>129</v>
      </c>
      <c r="C12890" s="7" t="n">
        <f aca="false">Sens!$C$12888/Sens!$C$12889</f>
        <v>0.732060572988622</v>
      </c>
    </row>
    <row r="12891" customFormat="false" ht="17.15" hidden="false" customHeight="false" outlineLevel="0" collapsed="false">
      <c r="A12891" s="1" t="s">
        <v>1052</v>
      </c>
      <c r="B12891" s="0" t="s">
        <v>98</v>
      </c>
      <c r="C12891" s="6" t="n">
        <f aca="false">Sens!$C$12889+CF!E36-CF!E25+oai_v</f>
        <v>2532.95750024663</v>
      </c>
    </row>
    <row r="12892" customFormat="false" ht="17.15" hidden="false" customHeight="false" outlineLevel="0" collapsed="false">
      <c r="A12892" s="0" t="s">
        <v>980</v>
      </c>
      <c r="B12892" s="0" t="s">
        <v>75</v>
      </c>
      <c r="C12892" s="5" t="n">
        <f aca="false">Sens!$C$12891/sh_dil26</f>
        <v>339.857439990155</v>
      </c>
    </row>
    <row r="12893" customFormat="false" ht="15" hidden="false" customHeight="false" outlineLevel="0" collapsed="false">
      <c r="A12893" s="1" t="s">
        <v>1053</v>
      </c>
      <c r="B12893" s="0" t="s">
        <v>75</v>
      </c>
      <c r="C12893" s="8" t="n">
        <f aca="false">dps_27+CF!G28*roll_div_q/q_per_yr</f>
        <v>4.8895</v>
      </c>
    </row>
    <row r="12894" customFormat="false" ht="17.15" hidden="false" customHeight="false" outlineLevel="0" collapsed="false">
      <c r="A12894" s="0" t="s">
        <v>1054</v>
      </c>
      <c r="B12894" s="0" t="s">
        <v>75</v>
      </c>
      <c r="C12894" s="5" t="n">
        <f aca="false">Sens!$C$12892*(1+wacc)^t_roll-Sens!$C$12893</f>
        <v>382.117514595532</v>
      </c>
    </row>
    <row r="12895" customFormat="false" ht="17.15" hidden="false" customHeight="false" outlineLevel="0" collapsed="false">
      <c r="A12895" s="1" t="s">
        <v>1055</v>
      </c>
      <c r="B12895" s="0" t="s">
        <v>129</v>
      </c>
      <c r="F12895" s="7" t="n">
        <f aca="false">CF!F17/(Seg!F29-Thesis!F23)</f>
        <v>0.0681773598226415</v>
      </c>
      <c r="G12895" s="7" t="n">
        <f aca="false">CF!G17/(Seg!G29-Thesis!G23)</f>
        <v>0.0650385409375172</v>
      </c>
      <c r="H12895" s="7" t="n">
        <f aca="false">CF!H17/(Seg!H29-Thesis!H23)</f>
        <v>0.063382542471986</v>
      </c>
      <c r="I12895" s="7" t="n">
        <f aca="false">CF!I17/(Seg!I29-Thesis!I23)</f>
        <v>0.0630998138876076</v>
      </c>
      <c r="J12895" s="7" t="n">
        <f aca="false">CF!J17/(Seg!J29-Thesis!J23)</f>
        <v>0.0638399980286975</v>
      </c>
      <c r="K12895" s="7" t="n">
        <f aca="false">CF!K17/(Seg!K29-Thesis!K23)</f>
        <v>0.0651531082402687</v>
      </c>
    </row>
    <row r="12896" customFormat="false" ht="17.15" hidden="false" customHeight="false" outlineLevel="0" collapsed="false">
      <c r="A12896" s="0" t="s">
        <v>1056</v>
      </c>
      <c r="B12896" s="0" t="s">
        <v>98</v>
      </c>
      <c r="F12896" s="6" t="n">
        <f aca="false">Seg!F14*(al_m365+Sens!F12895+sbc_r)</f>
        <v>84.944046606333</v>
      </c>
      <c r="G12896" s="6" t="n">
        <f aca="false">Seg!G14*(al_m365+Sens!G12895+sbc_r)</f>
        <v>99.4236143320739</v>
      </c>
      <c r="H12896" s="6" t="n">
        <f aca="false">Seg!H14*(al_m365+Sens!H12895+sbc_r)</f>
        <v>114.068697186163</v>
      </c>
      <c r="I12896" s="6" t="n">
        <f aca="false">Seg!I14*(al_m365+Sens!I12895+sbc_r)</f>
        <v>127.196415789369</v>
      </c>
      <c r="J12896" s="6" t="n">
        <f aca="false">Seg!J14*(al_m365+Sens!J12895+sbc_r)</f>
        <v>138.619575691419</v>
      </c>
      <c r="K12896" s="6" t="n">
        <f aca="false">Seg!K14*(al_m365+Sens!K12895+sbc_r)</f>
        <v>149.659768267063</v>
      </c>
      <c r="L12896" s="11" t="s">
        <v>1057</v>
      </c>
    </row>
    <row r="12897" customFormat="false" ht="17.15" hidden="false" customHeight="false" outlineLevel="0" collapsed="false">
      <c r="A12897" s="0" t="s">
        <v>1058</v>
      </c>
      <c r="B12897" s="0" t="s">
        <v>98</v>
      </c>
      <c r="F12897" s="6" t="n">
        <f aca="false">Seg!F15*(al_lic+Sens!F12895+sbc_r)</f>
        <v>33.4285095904825</v>
      </c>
      <c r="G12897" s="6" t="n">
        <f aca="false">Seg!G15*(al_lic+Sens!G12895+sbc_r)</f>
        <v>34.7161826947861</v>
      </c>
      <c r="H12897" s="6" t="n">
        <f aca="false">Seg!H15*(al_lic+Sens!H12895+sbc_r)</f>
        <v>35.9223654002493</v>
      </c>
      <c r="I12897" s="6" t="n">
        <f aca="false">Seg!I15*(al_lic+Sens!I12895+sbc_r)</f>
        <v>37.0298325864501</v>
      </c>
      <c r="J12897" s="6" t="n">
        <f aca="false">Seg!J15*(al_lic+Sens!J12895+sbc_r)</f>
        <v>38.0103325842314</v>
      </c>
      <c r="K12897" s="6" t="n">
        <f aca="false">Seg!K15*(al_lic+Sens!K12895+sbc_r)</f>
        <v>38.8303473189322</v>
      </c>
    </row>
    <row r="12898" customFormat="false" ht="17.15" hidden="false" customHeight="false" outlineLevel="0" collapsed="false">
      <c r="A12898" s="0" t="s">
        <v>1059</v>
      </c>
      <c r="B12898" s="0" t="s">
        <v>98</v>
      </c>
      <c r="F12898" s="6" t="n">
        <f aca="false">Seg!F17*(al_ind+Sens!F12895+sbc_r)</f>
        <v>9.06719306746208</v>
      </c>
      <c r="G12898" s="6" t="n">
        <f aca="false">Seg!G17*(al_ind+Sens!G12895+sbc_r)</f>
        <v>9.83485541633448</v>
      </c>
      <c r="H12898" s="6" t="n">
        <f aca="false">Seg!H17*(al_ind+Sens!H12895+sbc_r)</f>
        <v>10.6498544617516</v>
      </c>
      <c r="I12898" s="6" t="n">
        <f aca="false">Seg!I17*(al_ind+Sens!I12895+sbc_r)</f>
        <v>11.5103515303299</v>
      </c>
      <c r="J12898" s="6" t="n">
        <f aca="false">Seg!J17*(al_ind+Sens!J12895+sbc_r)</f>
        <v>12.4055032067278</v>
      </c>
      <c r="K12898" s="6" t="n">
        <f aca="false">Seg!K17*(al_ind+Sens!K12895+sbc_r)</f>
        <v>13.3173308472897</v>
      </c>
    </row>
    <row r="12899" customFormat="false" ht="17.15" hidden="false" customHeight="false" outlineLevel="0" collapsed="false">
      <c r="A12899" s="0" t="s">
        <v>1060</v>
      </c>
      <c r="B12899" s="0" t="s">
        <v>98</v>
      </c>
      <c r="F12899" s="6" t="n">
        <f aca="false">Seg!F19*(al_fro+Sens!F12895+sbc_r)</f>
        <v>3.56887902446295</v>
      </c>
      <c r="G12899" s="6" t="n">
        <f aca="false">Seg!G19*(al_fro+Sens!G12895+sbc_r)</f>
        <v>3.77600302676241</v>
      </c>
      <c r="H12899" s="6" t="n">
        <f aca="false">Seg!H19*(al_fro+Sens!H12895+sbc_r)</f>
        <v>4.01322967965482</v>
      </c>
      <c r="I12899" s="6" t="n">
        <f aca="false">Seg!I19*(al_fro+Sens!I12895+sbc_r)</f>
        <v>4.28368437397841</v>
      </c>
      <c r="J12899" s="6" t="n">
        <f aca="false">Seg!J19*(al_fro+Sens!J12895+sbc_r)</f>
        <v>4.58803182845156</v>
      </c>
      <c r="K12899" s="6" t="n">
        <f aca="false">Seg!K19*(al_fro+Sens!K12895+sbc_r)</f>
        <v>4.92526073140255</v>
      </c>
    </row>
    <row r="12900" customFormat="false" ht="17.15" hidden="false" customHeight="false" outlineLevel="0" collapsed="false">
      <c r="A12900" s="0" t="s">
        <v>1061</v>
      </c>
      <c r="B12900" s="0" t="s">
        <v>98</v>
      </c>
      <c r="F12900" s="6" t="n">
        <f aca="false">Seg!F22*(al_srch+Sens!F12895+sbc_r)</f>
        <v>11.1981144415922</v>
      </c>
      <c r="G12900" s="6" t="n">
        <f aca="false">Seg!G22*(al_srch+Sens!G12895+sbc_r)</f>
        <v>12.2607925441521</v>
      </c>
      <c r="H12900" s="6" t="n">
        <f aca="false">Seg!H22*(al_srch+Sens!H12895+sbc_r)</f>
        <v>13.3712787172501</v>
      </c>
      <c r="I12900" s="6" t="n">
        <f aca="false">Seg!I22*(al_srch+Sens!I12895+sbc_r)</f>
        <v>14.5205713773955</v>
      </c>
      <c r="J12900" s="6" t="n">
        <f aca="false">Seg!J22*(al_srch+Sens!J12895+sbc_r)</f>
        <v>15.6873363367184</v>
      </c>
      <c r="K12900" s="6" t="n">
        <f aca="false">Seg!K22*(al_srch+Sens!K12895+sbc_r)</f>
        <v>16.8403848378749</v>
      </c>
    </row>
    <row r="12901" customFormat="false" ht="17.15" hidden="false" customHeight="false" outlineLevel="0" collapsed="false">
      <c r="A12901" s="0" t="s">
        <v>1062</v>
      </c>
      <c r="B12901" s="0" t="s">
        <v>98</v>
      </c>
      <c r="F12901" s="6" t="n">
        <f aca="false">Thesis!F29-Thesis!F30+Thesis!F44</f>
        <v>55.6743052939671</v>
      </c>
      <c r="G12901" s="6" t="n">
        <f aca="false">Thesis!G29-Thesis!G30+Thesis!G44</f>
        <v>100.2533125707</v>
      </c>
      <c r="H12901" s="6" t="n">
        <f aca="false">Thesis!H29-Thesis!H30+Thesis!H44</f>
        <v>152.31255014234</v>
      </c>
      <c r="I12901" s="6" t="n">
        <f aca="false">Thesis!I29-Thesis!I30+Thesis!I44</f>
        <v>194.041990076394</v>
      </c>
      <c r="J12901" s="6" t="n">
        <f aca="false">Thesis!J29-Thesis!J30+Thesis!J44</f>
        <v>223.463148273617</v>
      </c>
      <c r="K12901" s="6" t="n">
        <f aca="false">Thesis!K29-Thesis!K30+Thesis!K44</f>
        <v>241.312249272487</v>
      </c>
    </row>
    <row r="12902" customFormat="false" ht="17.15" hidden="false" customHeight="false" outlineLevel="0" collapsed="false">
      <c r="A12902" s="0" t="s">
        <v>1063</v>
      </c>
      <c r="B12902" s="0" t="s">
        <v>98</v>
      </c>
      <c r="F12902" s="6" t="n">
        <f aca="false">PL!F32+Thesis!F44+Thesis!F40+Sens!F12895*(Seg!F21-Thesis!F23)+sbc_r*Seg!F21</f>
        <v>247.769309676659</v>
      </c>
      <c r="G12902" s="6" t="n">
        <f aca="false">PL!G32+Thesis!G44+Thesis!G40+Sens!G12895*(Seg!G21-Thesis!G23)+sbc_r*Seg!G21</f>
        <v>321.625870182006</v>
      </c>
      <c r="H12902" s="6" t="n">
        <f aca="false">PL!H32+Thesis!H44+Thesis!H40+Sens!H12895*(Seg!H21-Thesis!H23)+sbc_r*Seg!H21</f>
        <v>403.668756829163</v>
      </c>
      <c r="I12902" s="6" t="n">
        <f aca="false">PL!I32+Thesis!I44+Thesis!I40+Sens!I12895*(Seg!I21-Thesis!I23)+sbc_r*Seg!I21</f>
        <v>473.311817063846</v>
      </c>
      <c r="J12902" s="6" t="n">
        <f aca="false">PL!J32+Thesis!J44+Thesis!J40+Sens!J12895*(Seg!J21-Thesis!J23)+sbc_r*Seg!J21</f>
        <v>527.683171494685</v>
      </c>
      <c r="K12902" s="6" t="n">
        <f aca="false">PL!K32+Thesis!K44+Thesis!K40+Sens!K12895*(Seg!K21-Thesis!K23)+sbc_r*Seg!K21</f>
        <v>568.060513693045</v>
      </c>
    </row>
    <row r="12903" customFormat="false" ht="17.15" hidden="false" customHeight="false" outlineLevel="0" collapsed="false">
      <c r="A12903" s="0" t="s">
        <v>1064</v>
      </c>
      <c r="B12903" s="0" t="s">
        <v>98</v>
      </c>
      <c r="F12903" s="6" t="n">
        <f aca="false">Sens!F12902-Sens!F12896-Sens!F12897-Sens!F12898-Sens!F12899-Sens!F12901</f>
        <v>61.0863760939514</v>
      </c>
      <c r="G12903" s="6" t="n">
        <f aca="false">Sens!G12902-Sens!G12896-Sens!G12897-Sens!G12898-Sens!G12899-Sens!G12901</f>
        <v>73.6219021413484</v>
      </c>
      <c r="H12903" s="6" t="n">
        <f aca="false">Sens!H12902-Sens!H12896-Sens!H12897-Sens!H12898-Sens!H12899-Sens!H12901</f>
        <v>86.7020599590046</v>
      </c>
      <c r="I12903" s="6" t="n">
        <f aca="false">Sens!I12902-Sens!I12896-Sens!I12897-Sens!I12898-Sens!I12899-Sens!I12901</f>
        <v>99.2495427073239</v>
      </c>
      <c r="J12903" s="6" t="n">
        <f aca="false">Sens!J12902-Sens!J12896-Sens!J12897-Sens!J12898-Sens!J12899-Sens!J12901</f>
        <v>110.596579910238</v>
      </c>
      <c r="K12903" s="6" t="n">
        <f aca="false">Sens!K12902-Sens!K12896-Sens!K12897-Sens!K12898-Sens!K12899-Sens!K12901</f>
        <v>120.01555725587</v>
      </c>
    </row>
    <row r="12904" customFormat="false" ht="17.15" hidden="false" customHeight="false" outlineLevel="0" collapsed="false">
      <c r="A12904" s="0" t="s">
        <v>1065</v>
      </c>
      <c r="B12904" s="0" t="s">
        <v>98</v>
      </c>
      <c r="F12904" s="6" t="n">
        <f aca="false">PL!F34+Sens!F12895*Seg!F28+sbc_r*Seg!F28</f>
        <v>26.1717931813002</v>
      </c>
      <c r="G12904" s="6" t="n">
        <f aca="false">PL!G34+Sens!G12895*Seg!G28+sbc_r*Seg!G28</f>
        <v>26.7581197754446</v>
      </c>
      <c r="H12904" s="6" t="n">
        <f aca="false">PL!H34+Sens!H12895*Seg!H28+sbc_r*Seg!H28</f>
        <v>27.6201174920951</v>
      </c>
      <c r="I12904" s="6" t="n">
        <f aca="false">PL!I34+Sens!I12895*Seg!I28+sbc_r*Seg!I28</f>
        <v>28.7296306530919</v>
      </c>
      <c r="J12904" s="6" t="n">
        <f aca="false">PL!J34+Sens!J12895*Seg!J28+sbc_r*Seg!J28</f>
        <v>30.04749983899</v>
      </c>
      <c r="K12904" s="6" t="n">
        <f aca="false">PL!K34+Sens!K12895*Seg!K28+sbc_r*Seg!K28</f>
        <v>31.5292329023825</v>
      </c>
    </row>
    <row r="12905" customFormat="false" ht="17.15" hidden="false" customHeight="false" outlineLevel="0" collapsed="false">
      <c r="A12905" s="0" t="s">
        <v>1066</v>
      </c>
      <c r="B12905" s="0" t="s">
        <v>98</v>
      </c>
      <c r="F12905" s="6" t="n">
        <f aca="false">(Sens!F12904-Sens!F12900)*Seg!F24/(Seg!F24+Seg!F26)</f>
        <v>8.20842484359027</v>
      </c>
      <c r="G12905" s="6" t="n">
        <f aca="false">(Sens!G12904-Sens!G12900)*Seg!G24/(Seg!G24+Seg!G26)</f>
        <v>7.80559384110416</v>
      </c>
      <c r="H12905" s="6" t="n">
        <f aca="false">(Sens!H12904-Sens!H12900)*Seg!H24/(Seg!H24+Seg!H26)</f>
        <v>7.56817041839156</v>
      </c>
      <c r="I12905" s="6" t="n">
        <f aca="false">(Sens!I12904-Sens!I12900)*Seg!I24/(Seg!I24+Seg!I26)</f>
        <v>7.47875608696462</v>
      </c>
      <c r="J12905" s="6" t="n">
        <f aca="false">(Sens!J12904-Sens!J12900)*Seg!J24/(Seg!J24+Seg!J26)</f>
        <v>7.52410955955578</v>
      </c>
      <c r="K12905" s="6" t="n">
        <f aca="false">(Sens!K12904-Sens!K12900)*Seg!K24/(Seg!K24+Seg!K26)</f>
        <v>7.6963261681206</v>
      </c>
    </row>
    <row r="12906" customFormat="false" ht="17.15" hidden="false" customHeight="false" outlineLevel="0" collapsed="false">
      <c r="A12906" s="0" t="s">
        <v>1067</v>
      </c>
      <c r="B12906" s="0" t="s">
        <v>98</v>
      </c>
      <c r="F12906" s="6" t="n">
        <f aca="false">Sens!F12904-Sens!F12900-Sens!F12905</f>
        <v>6.76525389611778</v>
      </c>
      <c r="G12906" s="6" t="n">
        <f aca="false">Sens!G12904-Sens!G12900-Sens!G12905</f>
        <v>6.69173339018827</v>
      </c>
      <c r="H12906" s="6" t="n">
        <f aca="false">Sens!H12904-Sens!H12900-Sens!H12905</f>
        <v>6.68066835645346</v>
      </c>
      <c r="I12906" s="6" t="n">
        <f aca="false">Sens!I12904-Sens!I12900-Sens!I12905</f>
        <v>6.73030318873177</v>
      </c>
      <c r="J12906" s="6" t="n">
        <f aca="false">Sens!J12904-Sens!J12900-Sens!J12905</f>
        <v>6.83605394271588</v>
      </c>
      <c r="K12906" s="6" t="n">
        <f aca="false">Sens!K12904-Sens!K12900-Sens!K12905</f>
        <v>6.99252189638696</v>
      </c>
    </row>
    <row r="12907" customFormat="false" ht="17.15" hidden="false" customHeight="false" outlineLevel="0" collapsed="false">
      <c r="A12907" s="0" t="s">
        <v>1068</v>
      </c>
      <c r="B12907" s="0" t="s">
        <v>98</v>
      </c>
      <c r="F12907" s="6" t="n">
        <f aca="false">Sens!F12901-tax_f*(Sens!F12901-Thesis!F40)-Thesis!F37</f>
        <v>-116.98560144409</v>
      </c>
      <c r="G12907" s="6" t="n">
        <f aca="false">Sens!G12901-tax_f*(Sens!G12901-Thesis!G40)-Thesis!G37</f>
        <v>-91.2751837745719</v>
      </c>
      <c r="H12907" s="6" t="n">
        <f aca="false">Sens!H12901-tax_f*(Sens!H12901-Thesis!H40)-Thesis!H37</f>
        <v>-48.6867825979003</v>
      </c>
      <c r="I12907" s="6" t="n">
        <f aca="false">Sens!I12901-tax_f*(Sens!I12901-Thesis!I40)-Thesis!I37</f>
        <v>13.9193309033143</v>
      </c>
      <c r="J12907" s="6" t="n">
        <f aca="false">Sens!J12901-tax_f*(Sens!J12901-Thesis!J40)-Thesis!J37</f>
        <v>80.0897840853365</v>
      </c>
      <c r="K12907" s="6" t="n">
        <f aca="false">Sens!K12901-tax_f*(Sens!K12901-Thesis!K40)-Thesis!K37</f>
        <v>106.014893136948</v>
      </c>
    </row>
    <row r="12908" customFormat="false" ht="17.15" hidden="false" customHeight="false" outlineLevel="0" collapsed="false">
      <c r="A12908" s="0" t="s">
        <v>1069</v>
      </c>
      <c r="B12908" s="0" t="s">
        <v>98</v>
      </c>
      <c r="F12908" s="6" t="n">
        <f aca="false">Sens!F12907*Sens!F12881</f>
        <v>-111.392914502638</v>
      </c>
      <c r="G12908" s="6" t="n">
        <f aca="false">Sens!G12907*Sens!G12881</f>
        <v>-78.8003561967933</v>
      </c>
      <c r="H12908" s="6" t="n">
        <f aca="false">Sens!H12907*Sens!H12881</f>
        <v>-38.1098158303589</v>
      </c>
      <c r="I12908" s="6" t="n">
        <f aca="false">Sens!I12907*Sens!I12881</f>
        <v>9.87857822946124</v>
      </c>
      <c r="J12908" s="6" t="n">
        <f aca="false">Sens!J12907*Sens!J12881</f>
        <v>51.5351466908437</v>
      </c>
      <c r="K12908" s="6" t="n">
        <f aca="false">Sens!K12907*Sens!K12881</f>
        <v>61.8505524851231</v>
      </c>
    </row>
    <row r="12909" customFormat="false" ht="17.15" hidden="false" customHeight="false" outlineLevel="0" collapsed="false">
      <c r="A12909" s="0" t="s">
        <v>1070</v>
      </c>
      <c r="B12909" s="0" t="s">
        <v>98</v>
      </c>
      <c r="C12909" s="6" t="n">
        <f aca="false">(Sens!K12901-Thesis!K40)*(1-tax_f)*(1+g_tv)*(1-g_tv/(wacc+ronic_prem))/(wacc-g_tv)/(1+wacc)^(Sens!K12880+mid_yr)</f>
        <v>452.215034963772</v>
      </c>
    </row>
    <row r="12910" customFormat="false" ht="17.15" hidden="false" customHeight="false" outlineLevel="0" collapsed="false">
      <c r="A12910" s="1" t="s">
        <v>1071</v>
      </c>
      <c r="B12910" s="0" t="s">
        <v>98</v>
      </c>
      <c r="C12910" s="6" t="n">
        <f aca="false">(SUM(Sens!F12908:K12908)+Sens!$C$12909)*(1+wacc)^t_roll</f>
        <v>395.341160412867</v>
      </c>
      <c r="L12910" s="11" t="s">
        <v>1072</v>
      </c>
    </row>
    <row r="12911" customFormat="false" ht="17.15" hidden="false" customHeight="false" outlineLevel="0" collapsed="false">
      <c r="A12911" s="1" t="s">
        <v>1073</v>
      </c>
      <c r="B12911" s="0" t="s">
        <v>98</v>
      </c>
      <c r="C12911" s="6" t="n">
        <f aca="false">(w_ntm28*Thesis!G29+(1-w_ntm28)*Thesis!H29)*m_ai*1.2</f>
        <v>662.053361437685</v>
      </c>
    </row>
    <row r="12912" customFormat="false" ht="17.15" hidden="false" customHeight="false" outlineLevel="0" collapsed="false">
      <c r="A12912" s="1" t="s">
        <v>1074</v>
      </c>
      <c r="B12912" s="0" t="s">
        <v>98</v>
      </c>
      <c r="C12912" s="6" t="n">
        <f aca="false">(w_ntm28*Sens!G12903+(1-w_ntm28)*Sens!H12903)*m_cloud*1.2</f>
        <v>1291.07361907175</v>
      </c>
    </row>
    <row r="12913" customFormat="false" ht="17.15" hidden="false" customHeight="false" outlineLevel="0" collapsed="false">
      <c r="A12913" s="1" t="s">
        <v>1075</v>
      </c>
      <c r="B12913" s="0" t="s">
        <v>98</v>
      </c>
      <c r="C12913" s="6" t="n">
        <f aca="false">(w_ntm28*Sens!G12896+(1-w_ntm28)*Sens!H12896)*m_sw*1.2</f>
        <v>1349.89013025628</v>
      </c>
    </row>
    <row r="12914" customFormat="false" ht="17.15" hidden="false" customHeight="false" outlineLevel="0" collapsed="false">
      <c r="A12914" s="1" t="s">
        <v>1076</v>
      </c>
      <c r="B12914" s="0" t="s">
        <v>98</v>
      </c>
      <c r="C12914" s="6" t="n">
        <f aca="false">(w_ntm28*Sens!G12897+(1-w_ntm28)*Sens!H12897)*m_sw*1.2</f>
        <v>454.975401937608</v>
      </c>
    </row>
    <row r="12915" customFormat="false" ht="17.15" hidden="false" customHeight="false" outlineLevel="0" collapsed="false">
      <c r="A12915" s="1" t="s">
        <v>1077</v>
      </c>
      <c r="B12915" s="0" t="s">
        <v>98</v>
      </c>
      <c r="C12915" s="6" t="n">
        <f aca="false">(w_ntm28*Sens!G12898+(1-w_ntm28)*Sens!H12898)*m_sw*1.2</f>
        <v>130.874415894806</v>
      </c>
    </row>
    <row r="12916" customFormat="false" ht="17.15" hidden="false" customHeight="false" outlineLevel="0" collapsed="false">
      <c r="A12916" s="1" t="s">
        <v>1078</v>
      </c>
      <c r="B12916" s="0" t="s">
        <v>98</v>
      </c>
      <c r="C12916" s="6" t="n">
        <f aca="false">(w_ntm28*Sens!G12899+(1-w_ntm28)*Sens!H12899)*m_sw*1.2</f>
        <v>49.9309334069376</v>
      </c>
    </row>
    <row r="12917" customFormat="false" ht="17.15" hidden="false" customHeight="false" outlineLevel="0" collapsed="false">
      <c r="A12917" s="1" t="s">
        <v>1079</v>
      </c>
      <c r="B12917" s="0" t="s">
        <v>98</v>
      </c>
      <c r="C12917" s="6" t="n">
        <f aca="false">(w_ntm28*Sens!G12900+(1-w_ntm28)*Sens!H12900)*m_ads*1.2</f>
        <v>137.959643028639</v>
      </c>
    </row>
    <row r="12918" customFormat="false" ht="17.15" hidden="false" customHeight="false" outlineLevel="0" collapsed="false">
      <c r="A12918" s="1" t="s">
        <v>1080</v>
      </c>
      <c r="B12918" s="0" t="s">
        <v>98</v>
      </c>
      <c r="C12918" s="6" t="n">
        <f aca="false">(w_ntm28*Sens!G12905+(1-w_ntm28)*Sens!H12905)*m_game*1.2</f>
        <v>117.138265328195</v>
      </c>
    </row>
    <row r="12919" customFormat="false" ht="17.15" hidden="false" customHeight="false" outlineLevel="0" collapsed="false">
      <c r="A12919" s="1" t="s">
        <v>1081</v>
      </c>
      <c r="B12919" s="0" t="s">
        <v>98</v>
      </c>
      <c r="C12919" s="6" t="n">
        <f aca="false">(w_ntm28*Sens!G12906+(1-w_ntm28)*Sens!H12906)*m_pc*1.2</f>
        <v>116.133144277637</v>
      </c>
    </row>
    <row r="12920" customFormat="false" ht="17.15" hidden="false" customHeight="false" outlineLevel="0" collapsed="false">
      <c r="A12920" s="1" t="s">
        <v>1082</v>
      </c>
      <c r="B12920" s="0" t="s">
        <v>98</v>
      </c>
      <c r="C12920" s="6" t="n">
        <f aca="false">Sens!$C$12910+Sens!$C$12912+Sens!$C$12913+Sens!$C$12914+Sens!$C$12915+Sens!$C$12916+Sens!$C$12917+Sens!$C$12918+Sens!$C$12919</f>
        <v>4043.31671361473</v>
      </c>
    </row>
    <row r="12921" customFormat="false" ht="17.15" hidden="false" customHeight="false" outlineLevel="0" collapsed="false">
      <c r="A12921" s="1" t="s">
        <v>1000</v>
      </c>
      <c r="B12921" s="0" t="s">
        <v>98</v>
      </c>
      <c r="C12921" s="6" t="n">
        <f aca="false">CF!F36+oai_v-CF!F25</f>
        <v>115.079583119545</v>
      </c>
      <c r="L12921" s="1" t="s">
        <v>1083</v>
      </c>
    </row>
    <row r="12922" customFormat="false" ht="15" hidden="false" customHeight="false" outlineLevel="0" collapsed="false">
      <c r="A12922" s="1" t="s">
        <v>1001</v>
      </c>
      <c r="B12922" s="0" t="s">
        <v>75</v>
      </c>
      <c r="C12922" s="5" t="n">
        <f aca="false">(Sens!$C$12920+Sens!$C$12921)/CF!F38</f>
        <v>556.53055363146</v>
      </c>
    </row>
    <row r="12923" customFormat="false" ht="17.15" hidden="false" customHeight="false" outlineLevel="0" collapsed="false">
      <c r="A12923" s="1" t="s">
        <v>1084</v>
      </c>
      <c r="B12923" s="0" t="s">
        <v>75</v>
      </c>
      <c r="C12923" s="5" t="n">
        <f aca="false">w_dcf*Sens!$C$12894+(1-w_dcf)*Sens!$C$12922</f>
        <v>469.324034113496</v>
      </c>
    </row>
    <row r="12924" customFormat="false" ht="17.15" hidden="false" customHeight="false" outlineLevel="0" collapsed="false">
      <c r="A12924" s="3" t="s">
        <v>1568</v>
      </c>
    </row>
    <row r="12925" customFormat="false" ht="15" hidden="false" customHeight="false" outlineLevel="0" collapsed="false">
      <c r="A12925" s="4" t="s">
        <v>43</v>
      </c>
      <c r="B12925" s="4" t="s">
        <v>65</v>
      </c>
      <c r="C12925" s="20" t="s">
        <v>788</v>
      </c>
      <c r="D12925" s="20" t="s">
        <v>789</v>
      </c>
      <c r="E12925" s="20" t="s">
        <v>790</v>
      </c>
      <c r="F12925" s="20" t="s">
        <v>791</v>
      </c>
      <c r="G12925" s="20" t="s">
        <v>792</v>
      </c>
      <c r="H12925" s="20" t="s">
        <v>793</v>
      </c>
      <c r="I12925" s="20" t="s">
        <v>794</v>
      </c>
      <c r="J12925" s="20" t="s">
        <v>795</v>
      </c>
      <c r="K12925" s="20" t="s">
        <v>796</v>
      </c>
      <c r="L12925" s="4" t="s">
        <v>47</v>
      </c>
    </row>
    <row r="12926" customFormat="false" ht="15" hidden="false" customHeight="false" outlineLevel="0" collapsed="false">
      <c r="A12926" s="1" t="s">
        <v>1042</v>
      </c>
      <c r="B12926" s="1" t="s">
        <v>235</v>
      </c>
      <c r="F12926" s="36" t="n">
        <f aca="false">Thesis!F55-base_fy-mid_yr</f>
        <v>0.5</v>
      </c>
      <c r="G12926" s="36" t="n">
        <f aca="false">Thesis!G55-base_fy-mid_yr</f>
        <v>1.5</v>
      </c>
      <c r="H12926" s="36" t="n">
        <f aca="false">Thesis!H55-base_fy-mid_yr</f>
        <v>2.5</v>
      </c>
      <c r="I12926" s="36" t="n">
        <f aca="false">Thesis!I55-base_fy-mid_yr</f>
        <v>3.5</v>
      </c>
      <c r="J12926" s="36" t="n">
        <f aca="false">Thesis!J55-base_fy-mid_yr</f>
        <v>4.5</v>
      </c>
      <c r="K12926" s="36" t="n">
        <f aca="false">Thesis!K55-base_fy-mid_yr</f>
        <v>5.5</v>
      </c>
    </row>
    <row r="12927" customFormat="false" ht="15" hidden="false" customHeight="false" outlineLevel="0" collapsed="false">
      <c r="A12927" s="1" t="s">
        <v>1043</v>
      </c>
      <c r="B12927" s="0" t="s">
        <v>185</v>
      </c>
      <c r="F12927" s="14" t="n">
        <f aca="false">1/(1+wacc)^Sens!F12926</f>
        <v>0.952193373608246</v>
      </c>
      <c r="G12927" s="14" t="n">
        <f aca="false">1/(1+wacc)^Sens!G12926</f>
        <v>0.863327280626589</v>
      </c>
      <c r="H12927" s="14" t="n">
        <f aca="false">1/(1+wacc)^Sens!H12926</f>
        <v>0.782754862754115</v>
      </c>
      <c r="I12927" s="14" t="n">
        <f aca="false">1/(1+wacc)^Sens!I12926</f>
        <v>0.709702089711011</v>
      </c>
      <c r="J12927" s="14" t="n">
        <f aca="false">1/(1+wacc)^Sens!J12926</f>
        <v>0.643467169744551</v>
      </c>
      <c r="K12927" s="14" t="n">
        <f aca="false">1/(1+wacc)^Sens!K12926</f>
        <v>0.583413807767797</v>
      </c>
    </row>
    <row r="12928" customFormat="false" ht="17.15" hidden="false" customHeight="false" outlineLevel="0" collapsed="false">
      <c r="A12928" s="1" t="s">
        <v>1044</v>
      </c>
      <c r="B12928" s="0" t="s">
        <v>98</v>
      </c>
      <c r="F12928" s="6" t="n">
        <f aca="false">CF!F50-CF!F48-CF!F53+Thesis!F93*(1-tax_f)</f>
        <v>6.35272982150552</v>
      </c>
      <c r="G12928" s="6" t="n">
        <f aca="false">CF!G50-CF!G48-CF!G53+Thesis!G93*(1-tax_f)</f>
        <v>46.5420417324757</v>
      </c>
      <c r="H12928" s="6" t="n">
        <f aca="false">CF!H50-CF!H48-CF!H53+Thesis!H93*(1-tax_f)</f>
        <v>95.2982347048119</v>
      </c>
      <c r="I12928" s="6" t="n">
        <f aca="false">CF!I50-CF!I48-CF!I53+Thesis!I93*(1-tax_f)</f>
        <v>168.760108332815</v>
      </c>
      <c r="J12928" s="6" t="n">
        <f aca="false">CF!J50-CF!J48-CF!J53+Thesis!J93*(1-tax_f)</f>
        <v>246.10903404452</v>
      </c>
      <c r="K12928" s="6" t="n">
        <f aca="false">CF!K50-CF!K48-CF!K53+Thesis!K93*(1-tax_f)</f>
        <v>283.7365778763</v>
      </c>
      <c r="L12928" s="1" t="s">
        <v>1045</v>
      </c>
    </row>
    <row r="12929" customFormat="false" ht="15" hidden="false" customHeight="false" outlineLevel="0" collapsed="false">
      <c r="A12929" s="1" t="s">
        <v>1046</v>
      </c>
      <c r="B12929" s="0" t="s">
        <v>98</v>
      </c>
      <c r="F12929" s="6" t="n">
        <f aca="false">Sens!F12928*Sens!F12927</f>
        <v>6.04902724036105</v>
      </c>
      <c r="G12929" s="6" t="n">
        <f aca="false">Sens!G12928*Sens!G12927</f>
        <v>40.1810143237074</v>
      </c>
      <c r="H12929" s="6" t="n">
        <f aca="false">Sens!H12928*Sens!H12927</f>
        <v>74.5951566270745</v>
      </c>
      <c r="I12929" s="6" t="n">
        <f aca="false">Sens!I12928*Sens!I12927</f>
        <v>119.769401543655</v>
      </c>
      <c r="J12929" s="6" t="n">
        <f aca="false">Sens!J12928*Sens!J12927</f>
        <v>158.363083585193</v>
      </c>
      <c r="K12929" s="6" t="n">
        <f aca="false">Sens!K12928*Sens!K12927</f>
        <v>165.535837301816</v>
      </c>
    </row>
    <row r="12930" customFormat="false" ht="17.15" hidden="false" customHeight="false" outlineLevel="0" collapsed="false">
      <c r="A12930" s="1" t="s">
        <v>1047</v>
      </c>
      <c r="B12930" s="0" t="s">
        <v>98</v>
      </c>
      <c r="C12930" s="6" t="n">
        <f aca="false">SUM(Sens!F12929:K12929)</f>
        <v>564.493520621807</v>
      </c>
    </row>
    <row r="12931" customFormat="false" ht="17.15" hidden="false" customHeight="false" outlineLevel="0" collapsed="false">
      <c r="A12931" s="1" t="s">
        <v>1048</v>
      </c>
      <c r="B12931" s="0" t="s">
        <v>98</v>
      </c>
      <c r="C12931" s="6" t="n">
        <f aca="false">PL!K78*(1+g_tv)*(1-tax_f)</f>
        <v>293.76437880412</v>
      </c>
    </row>
    <row r="12932" customFormat="false" ht="17.15" hidden="false" customHeight="false" outlineLevel="0" collapsed="false">
      <c r="A12932" s="1" t="s">
        <v>1049</v>
      </c>
      <c r="B12932" s="0" t="s">
        <v>98</v>
      </c>
      <c r="C12932" s="6" t="n">
        <f aca="false">Sens!$C$12931*(1-g_tv/(wacc+ronic_prem))</f>
        <v>208.147426222351</v>
      </c>
    </row>
    <row r="12933" customFormat="false" ht="17.15" hidden="false" customHeight="false" outlineLevel="0" collapsed="false">
      <c r="A12933" s="1" t="s">
        <v>1050</v>
      </c>
      <c r="B12933" s="0" t="s">
        <v>98</v>
      </c>
      <c r="C12933" s="6" t="n">
        <f aca="false">Sens!$C$12932/(wacc-g_tv)</f>
        <v>2853.89841939229</v>
      </c>
    </row>
    <row r="12934" customFormat="false" ht="15" hidden="false" customHeight="false" outlineLevel="0" collapsed="false">
      <c r="A12934" s="1" t="s">
        <v>1051</v>
      </c>
      <c r="B12934" s="0" t="s">
        <v>98</v>
      </c>
      <c r="C12934" s="6" t="n">
        <f aca="false">Sens!$C$12933/(1+wacc)^(Sens!K12926+mid_yr)</f>
        <v>1585.40553191752</v>
      </c>
    </row>
    <row r="12935" customFormat="false" ht="17.15" hidden="false" customHeight="false" outlineLevel="0" collapsed="false">
      <c r="A12935" s="0" t="s">
        <v>972</v>
      </c>
      <c r="B12935" s="0" t="s">
        <v>98</v>
      </c>
      <c r="C12935" s="6" t="n">
        <f aca="false">Sens!$C$12930+Sens!$C$12934</f>
        <v>2149.89905253932</v>
      </c>
    </row>
    <row r="12936" customFormat="false" ht="15" hidden="false" customHeight="false" outlineLevel="0" collapsed="false">
      <c r="A12936" s="1" t="s">
        <v>973</v>
      </c>
      <c r="B12936" s="0" t="s">
        <v>129</v>
      </c>
      <c r="C12936" s="7" t="n">
        <f aca="false">Sens!$C$12934/Sens!$C$12935</f>
        <v>0.737432545981606</v>
      </c>
    </row>
    <row r="12937" customFormat="false" ht="17.15" hidden="false" customHeight="false" outlineLevel="0" collapsed="false">
      <c r="A12937" s="1" t="s">
        <v>1052</v>
      </c>
      <c r="B12937" s="0" t="s">
        <v>98</v>
      </c>
      <c r="C12937" s="6" t="n">
        <f aca="false">Sens!$C$12935+CF!E65-CF!E54+oai_v</f>
        <v>2284.41205253932</v>
      </c>
    </row>
    <row r="12938" customFormat="false" ht="17.15" hidden="false" customHeight="false" outlineLevel="0" collapsed="false">
      <c r="A12938" s="0" t="s">
        <v>980</v>
      </c>
      <c r="B12938" s="0" t="s">
        <v>75</v>
      </c>
      <c r="C12938" s="5" t="n">
        <f aca="false">Sens!$C$12937/sh_dil26</f>
        <v>306.509063805088</v>
      </c>
    </row>
    <row r="12939" customFormat="false" ht="15" hidden="false" customHeight="false" outlineLevel="0" collapsed="false">
      <c r="A12939" s="1" t="s">
        <v>1053</v>
      </c>
      <c r="B12939" s="0" t="s">
        <v>75</v>
      </c>
      <c r="C12939" s="8" t="n">
        <f aca="false">dps_27+CF!G57*roll_div_q/q_per_yr</f>
        <v>4.8895</v>
      </c>
    </row>
    <row r="12940" customFormat="false" ht="17.15" hidden="false" customHeight="false" outlineLevel="0" collapsed="false">
      <c r="A12940" s="0" t="s">
        <v>1054</v>
      </c>
      <c r="B12940" s="0" t="s">
        <v>75</v>
      </c>
      <c r="C12940" s="5" t="n">
        <f aca="false">Sens!$C$12938*(1+wacc)^t_roll-Sens!$C$12939</f>
        <v>344.14260514713</v>
      </c>
    </row>
    <row r="12941" customFormat="false" ht="17.15" hidden="false" customHeight="false" outlineLevel="0" collapsed="false">
      <c r="A12941" s="1" t="s">
        <v>1055</v>
      </c>
      <c r="B12941" s="0" t="s">
        <v>129</v>
      </c>
      <c r="F12941" s="7" t="n">
        <f aca="false">CF!F46/(Seg!F56-Thesis!F72)</f>
        <v>0.0684307874075333</v>
      </c>
      <c r="G12941" s="7" t="n">
        <f aca="false">CF!G46/(Seg!G56-Thesis!G72)</f>
        <v>0.0656456058503526</v>
      </c>
      <c r="H12941" s="7" t="n">
        <f aca="false">CF!H46/(Seg!H56-Thesis!H72)</f>
        <v>0.0641950889132003</v>
      </c>
      <c r="I12941" s="7" t="n">
        <f aca="false">CF!I46/(Seg!I56-Thesis!I72)</f>
        <v>0.063960269667854</v>
      </c>
      <c r="J12941" s="7" t="n">
        <f aca="false">CF!J46/(Seg!J56-Thesis!J72)</f>
        <v>0.0646607917002597</v>
      </c>
      <c r="K12941" s="7" t="n">
        <f aca="false">CF!K46/(Seg!K56-Thesis!K72)</f>
        <v>0.0659511546529383</v>
      </c>
    </row>
    <row r="12942" customFormat="false" ht="17.15" hidden="false" customHeight="false" outlineLevel="0" collapsed="false">
      <c r="A12942" s="0" t="s">
        <v>1056</v>
      </c>
      <c r="B12942" s="0" t="s">
        <v>98</v>
      </c>
      <c r="F12942" s="6" t="n">
        <f aca="false">Seg!F41*(al_m365+Sens!F12941+sbc_r)</f>
        <v>83.9158372980923</v>
      </c>
      <c r="G12942" s="6" t="n">
        <f aca="false">Seg!G41*(al_m365+Sens!G12941+sbc_r)</f>
        <v>96.3459139664276</v>
      </c>
      <c r="H12942" s="6" t="n">
        <f aca="false">Seg!H41*(al_m365+Sens!H12941+sbc_r)</f>
        <v>108.939128787393</v>
      </c>
      <c r="I12942" s="6" t="n">
        <f aca="false">Seg!I41*(al_m365+Sens!I12941+sbc_r)</f>
        <v>120.51456797186</v>
      </c>
      <c r="J12942" s="6" t="n">
        <f aca="false">Seg!J41*(al_m365+Sens!J12941+sbc_r)</f>
        <v>130.883844402211</v>
      </c>
      <c r="K12942" s="6" t="n">
        <f aca="false">Seg!K41*(al_m365+Sens!K12941+sbc_r)</f>
        <v>140.862269296832</v>
      </c>
      <c r="L12942" s="11" t="s">
        <v>1057</v>
      </c>
    </row>
    <row r="12943" customFormat="false" ht="17.15" hidden="false" customHeight="false" outlineLevel="0" collapsed="false">
      <c r="A12943" s="0" t="s">
        <v>1058</v>
      </c>
      <c r="B12943" s="0" t="s">
        <v>98</v>
      </c>
      <c r="F12943" s="6" t="n">
        <f aca="false">Seg!F42*(al_lic+Sens!F12941+sbc_r)</f>
        <v>33.4384115342236</v>
      </c>
      <c r="G12943" s="6" t="n">
        <f aca="false">Seg!G42*(al_lic+Sens!G12941+sbc_r)</f>
        <v>34.7409063621757</v>
      </c>
      <c r="H12943" s="6" t="n">
        <f aca="false">Seg!H42*(al_lic+Sens!H12941+sbc_r)</f>
        <v>35.9566740351293</v>
      </c>
      <c r="I12943" s="6" t="n">
        <f aca="false">Seg!I42*(al_lic+Sens!I12941+sbc_r)</f>
        <v>37.0672966580049</v>
      </c>
      <c r="J12943" s="6" t="n">
        <f aca="false">Seg!J42*(al_lic+Sens!J12941+sbc_r)</f>
        <v>38.0469841498966</v>
      </c>
      <c r="K12943" s="6" t="n">
        <f aca="false">Seg!K42*(al_lic+Sens!K12941+sbc_r)</f>
        <v>38.8666958490701</v>
      </c>
    </row>
    <row r="12944" customFormat="false" ht="17.15" hidden="false" customHeight="false" outlineLevel="0" collapsed="false">
      <c r="A12944" s="0" t="s">
        <v>1059</v>
      </c>
      <c r="B12944" s="0" t="s">
        <v>98</v>
      </c>
      <c r="F12944" s="6" t="n">
        <f aca="false">Seg!F44*(al_ind+Sens!F12941+sbc_r)</f>
        <v>9.07285900381439</v>
      </c>
      <c r="G12944" s="6" t="n">
        <f aca="false">Seg!G44*(al_ind+Sens!G12941+sbc_r)</f>
        <v>9.84969160470639</v>
      </c>
      <c r="H12944" s="6" t="n">
        <f aca="false">Seg!H44*(al_ind+Sens!H12941+sbc_r)</f>
        <v>10.6714469126029</v>
      </c>
      <c r="I12944" s="6" t="n">
        <f aca="false">Seg!I44*(al_ind+Sens!I12941+sbc_r)</f>
        <v>11.5350820765572</v>
      </c>
      <c r="J12944" s="6" t="n">
        <f aca="false">Seg!J44*(al_ind+Sens!J12941+sbc_r)</f>
        <v>12.4308815351832</v>
      </c>
      <c r="K12944" s="6" t="n">
        <f aca="false">Seg!K44*(al_ind+Sens!K12941+sbc_r)</f>
        <v>13.3437330974691</v>
      </c>
    </row>
    <row r="12945" customFormat="false" ht="17.15" hidden="false" customHeight="false" outlineLevel="0" collapsed="false">
      <c r="A12945" s="0" t="s">
        <v>1060</v>
      </c>
      <c r="B12945" s="0" t="s">
        <v>98</v>
      </c>
      <c r="F12945" s="6" t="n">
        <f aca="false">Seg!F46*(al_fro+Sens!F12941+sbc_r)</f>
        <v>3.5711091569032</v>
      </c>
      <c r="G12945" s="6" t="n">
        <f aca="false">Seg!G46*(al_fro+Sens!G12941+sbc_r)</f>
        <v>3.78169924595694</v>
      </c>
      <c r="H12945" s="6" t="n">
        <f aca="false">Seg!H46*(al_fro+Sens!H12941+sbc_r)</f>
        <v>4.02136645419237</v>
      </c>
      <c r="I12945" s="6" t="n">
        <f aca="false">Seg!I46*(al_fro+Sens!I12941+sbc_r)</f>
        <v>4.29288807676321</v>
      </c>
      <c r="J12945" s="6" t="n">
        <f aca="false">Seg!J46*(al_fro+Sens!J12941+sbc_r)</f>
        <v>4.59741770960175</v>
      </c>
      <c r="K12945" s="6" t="n">
        <f aca="false">Seg!K46*(al_fro+Sens!K12941+sbc_r)</f>
        <v>4.9350252981555</v>
      </c>
    </row>
    <row r="12946" customFormat="false" ht="17.15" hidden="false" customHeight="false" outlineLevel="0" collapsed="false">
      <c r="A12946" s="0" t="s">
        <v>1061</v>
      </c>
      <c r="B12946" s="0" t="s">
        <v>98</v>
      </c>
      <c r="F12946" s="6" t="n">
        <f aca="false">Seg!F49*(al_srch+Sens!F12941+sbc_r)</f>
        <v>11.205111954849</v>
      </c>
      <c r="G12946" s="6" t="n">
        <f aca="false">Seg!G49*(al_srch+Sens!G12941+sbc_r)</f>
        <v>12.2792883348957</v>
      </c>
      <c r="H12946" s="6" t="n">
        <f aca="false">Seg!H49*(al_srch+Sens!H12941+sbc_r)</f>
        <v>13.3983888227975</v>
      </c>
      <c r="I12946" s="6" t="n">
        <f aca="false">Seg!I49*(al_srch+Sens!I12941+sbc_r)</f>
        <v>14.5517695263616</v>
      </c>
      <c r="J12946" s="6" t="n">
        <f aca="false">Seg!J49*(al_srch+Sens!J12941+sbc_r)</f>
        <v>15.7194284145253</v>
      </c>
      <c r="K12946" s="6" t="n">
        <f aca="false">Seg!K49*(al_srch+Sens!K12941+sbc_r)</f>
        <v>16.87377171237</v>
      </c>
    </row>
    <row r="12947" customFormat="false" ht="17.15" hidden="false" customHeight="false" outlineLevel="0" collapsed="false">
      <c r="A12947" s="0" t="s">
        <v>1062</v>
      </c>
      <c r="B12947" s="0" t="s">
        <v>98</v>
      </c>
      <c r="F12947" s="6" t="n">
        <f aca="false">Thesis!F78-Thesis!F79+Thesis!F93</f>
        <v>52.8623286647412</v>
      </c>
      <c r="G12947" s="6" t="n">
        <f aca="false">Thesis!G78-Thesis!G79+Thesis!G93</f>
        <v>90.9040728275534</v>
      </c>
      <c r="H12947" s="6" t="n">
        <f aca="false">Thesis!H78-Thesis!H79+Thesis!H93</f>
        <v>131.644750996567</v>
      </c>
      <c r="I12947" s="6" t="n">
        <f aca="false">Thesis!I78-Thesis!I79+Thesis!I93</f>
        <v>168.39858142968</v>
      </c>
      <c r="J12947" s="6" t="n">
        <f aca="false">Thesis!J78-Thesis!J79+Thesis!J93</f>
        <v>194.311955071191</v>
      </c>
      <c r="K12947" s="6" t="n">
        <f aca="false">Thesis!K78-Thesis!K79+Thesis!K93</f>
        <v>210.298852071854</v>
      </c>
    </row>
    <row r="12948" customFormat="false" ht="17.15" hidden="false" customHeight="false" outlineLevel="0" collapsed="false">
      <c r="A12948" s="0" t="s">
        <v>1063</v>
      </c>
      <c r="B12948" s="0" t="s">
        <v>98</v>
      </c>
      <c r="F12948" s="6" t="n">
        <f aca="false">PL!F71+Thesis!F93+Thesis!F89+Sens!F12941*(Seg!F48-Thesis!F72)+sbc_r*Seg!F48</f>
        <v>243.876179717448</v>
      </c>
      <c r="G12948" s="6" t="n">
        <f aca="false">PL!G71+Thesis!G93+Thesis!G89+Sens!G12941*(Seg!G48-Thesis!G72)+sbc_r*Seg!G48</f>
        <v>308.994305130286</v>
      </c>
      <c r="H12948" s="6" t="n">
        <f aca="false">PL!H71+Thesis!H93+Thesis!H89+Sens!H12941*(Seg!H48-Thesis!H72)+sbc_r*Seg!H48</f>
        <v>377.321529021127</v>
      </c>
      <c r="I12948" s="6" t="n">
        <f aca="false">PL!I71+Thesis!I93+Thesis!I89+Sens!I12941*(Seg!I48-Thesis!I72)+sbc_r*Seg!I48</f>
        <v>440.295672377585</v>
      </c>
      <c r="J12948" s="6" t="n">
        <f aca="false">PL!J71+Thesis!J93+Thesis!J89+Sens!J12941*(Seg!J48-Thesis!J72)+sbc_r*Seg!J48</f>
        <v>489.992586437676</v>
      </c>
      <c r="K12948" s="6" t="n">
        <f aca="false">PL!K71+Thesis!K93+Thesis!K89+Sens!K12941*(Seg!K48-Thesis!K72)+sbc_r*Seg!K48</f>
        <v>527.395402529627</v>
      </c>
    </row>
    <row r="12949" customFormat="false" ht="17.15" hidden="false" customHeight="false" outlineLevel="0" collapsed="false">
      <c r="A12949" s="0" t="s">
        <v>1064</v>
      </c>
      <c r="B12949" s="0" t="s">
        <v>98</v>
      </c>
      <c r="F12949" s="6" t="n">
        <f aca="false">Sens!F12948-Sens!F12942-Sens!F12943-Sens!F12944-Sens!F12945-Sens!F12947</f>
        <v>61.0156340596736</v>
      </c>
      <c r="G12949" s="6" t="n">
        <f aca="false">Sens!G12948-Sens!G12942-Sens!G12943-Sens!G12944-Sens!G12945-Sens!G12947</f>
        <v>73.3720211234655</v>
      </c>
      <c r="H12949" s="6" t="n">
        <f aca="false">Sens!H12948-Sens!H12942-Sens!H12943-Sens!H12944-Sens!H12945-Sens!H12947</f>
        <v>86.0881618352416</v>
      </c>
      <c r="I12949" s="6" t="n">
        <f aca="false">Sens!I12948-Sens!I12942-Sens!I12943-Sens!I12944-Sens!I12945-Sens!I12947</f>
        <v>98.4872561647193</v>
      </c>
      <c r="J12949" s="6" t="n">
        <f aca="false">Sens!J12948-Sens!J12942-Sens!J12943-Sens!J12944-Sens!J12945-Sens!J12947</f>
        <v>109.721503569592</v>
      </c>
      <c r="K12949" s="6" t="n">
        <f aca="false">Sens!K12948-Sens!K12942-Sens!K12943-Sens!K12944-Sens!K12945-Sens!K12947</f>
        <v>119.088826916246</v>
      </c>
    </row>
    <row r="12950" customFormat="false" ht="17.15" hidden="false" customHeight="false" outlineLevel="0" collapsed="false">
      <c r="A12950" s="0" t="s">
        <v>1065</v>
      </c>
      <c r="B12950" s="0" t="s">
        <v>98</v>
      </c>
      <c r="F12950" s="6" t="n">
        <f aca="false">PL!F73+Sens!F12941*Seg!F55+sbc_r*Seg!F55</f>
        <v>26.1883018536976</v>
      </c>
      <c r="G12950" s="6" t="n">
        <f aca="false">PL!G73+Sens!G12941*Seg!G55+sbc_r*Seg!G55</f>
        <v>26.7988692269165</v>
      </c>
      <c r="H12950" s="6" t="n">
        <f aca="false">PL!H73+Sens!H12941*Seg!H55+sbc_r*Seg!H55</f>
        <v>27.676651877401</v>
      </c>
      <c r="I12950" s="6" t="n">
        <f aca="false">PL!I73+Sens!I12941*Seg!I55+sbc_r*Seg!I55</f>
        <v>28.7919477163856</v>
      </c>
      <c r="J12950" s="6" t="n">
        <f aca="false">PL!J73+Sens!J12941*Seg!J55+sbc_r*Seg!J55</f>
        <v>30.1095554599876</v>
      </c>
      <c r="K12950" s="6" t="n">
        <f aca="false">PL!K73+Sens!K12941*Seg!K55+sbc_r*Seg!K55</f>
        <v>31.5923355811805</v>
      </c>
    </row>
    <row r="12951" customFormat="false" ht="17.15" hidden="false" customHeight="false" outlineLevel="0" collapsed="false">
      <c r="A12951" s="0" t="s">
        <v>1066</v>
      </c>
      <c r="B12951" s="0" t="s">
        <v>98</v>
      </c>
      <c r="F12951" s="6" t="n">
        <f aca="false">(Sens!F12950-Sens!F12946)*Seg!F51/(Seg!F51+Seg!F53)</f>
        <v>8.21363876839376</v>
      </c>
      <c r="G12951" s="6" t="n">
        <f aca="false">(Sens!G12950-Sens!G12946)*Seg!G51/(Seg!G51+Seg!G53)</f>
        <v>7.81757556948427</v>
      </c>
      <c r="H12951" s="6" t="n">
        <f aca="false">(Sens!H12950-Sens!H12946)*Seg!H51/(Seg!H51+Seg!H53)</f>
        <v>7.58379891746928</v>
      </c>
      <c r="I12951" s="6" t="n">
        <f aca="false">(Sens!I12950-Sens!I12946)*Seg!I51/(Seg!I51+Seg!I53)</f>
        <v>7.49513512835163</v>
      </c>
      <c r="J12951" s="6" t="n">
        <f aca="false">(Sens!J12950-Sens!J12946)*Seg!J51/(Seg!J51+Seg!J53)</f>
        <v>7.53980917061682</v>
      </c>
      <c r="K12951" s="6" t="n">
        <f aca="false">(Sens!K12950-Sens!K12946)*Seg!K51/(Seg!K51+Seg!K53)</f>
        <v>7.71189597463361</v>
      </c>
    </row>
    <row r="12952" customFormat="false" ht="17.15" hidden="false" customHeight="false" outlineLevel="0" collapsed="false">
      <c r="A12952" s="0" t="s">
        <v>1067</v>
      </c>
      <c r="B12952" s="0" t="s">
        <v>98</v>
      </c>
      <c r="F12952" s="6" t="n">
        <f aca="false">Sens!F12950-Sens!F12946-Sens!F12951</f>
        <v>6.76955113045481</v>
      </c>
      <c r="G12952" s="6" t="n">
        <f aca="false">Sens!G12950-Sens!G12946-Sens!G12951</f>
        <v>6.70200532253647</v>
      </c>
      <c r="H12952" s="6" t="n">
        <f aca="false">Sens!H12950-Sens!H12946-Sens!H12951</f>
        <v>6.69446413713431</v>
      </c>
      <c r="I12952" s="6" t="n">
        <f aca="false">Sens!I12950-Sens!I12946-Sens!I12951</f>
        <v>6.74504306167234</v>
      </c>
      <c r="J12952" s="6" t="n">
        <f aca="false">Sens!J12950-Sens!J12946-Sens!J12951</f>
        <v>6.85031787484545</v>
      </c>
      <c r="K12952" s="6" t="n">
        <f aca="false">Sens!K12950-Sens!K12946-Sens!K12951</f>
        <v>7.00666789417688</v>
      </c>
    </row>
    <row r="12953" customFormat="false" ht="17.15" hidden="false" customHeight="false" outlineLevel="0" collapsed="false">
      <c r="A12953" s="0" t="s">
        <v>1068</v>
      </c>
      <c r="B12953" s="0" t="s">
        <v>98</v>
      </c>
      <c r="F12953" s="6" t="n">
        <f aca="false">Sens!F12947-tax_f*(Sens!F12947-Thesis!F89)-Thesis!F86</f>
        <v>-119.382682747471</v>
      </c>
      <c r="G12953" s="6" t="n">
        <f aca="false">Sens!G12947-tax_f*(Sens!G12947-Thesis!G89)-Thesis!G86</f>
        <v>-98.7495755690893</v>
      </c>
      <c r="H12953" s="6" t="n">
        <f aca="false">Sens!H12947-tax_f*(Sens!H12947-Thesis!H89)-Thesis!H86</f>
        <v>-65.2160219145184</v>
      </c>
      <c r="I12953" s="6" t="n">
        <f aca="false">Sens!I12947-tax_f*(Sens!I12947-Thesis!I89)-Thesis!I86</f>
        <v>-6.59039601405712</v>
      </c>
      <c r="J12953" s="6" t="n">
        <f aca="false">Sens!J12947-tax_f*(Sens!J12947-Thesis!J89)-Thesis!J86</f>
        <v>56.7738295233955</v>
      </c>
      <c r="K12953" s="6" t="n">
        <f aca="false">Sens!K12947-tax_f*(Sens!K12947-Thesis!K89)-Thesis!K86</f>
        <v>81.209175376442</v>
      </c>
    </row>
    <row r="12954" customFormat="false" ht="17.15" hidden="false" customHeight="false" outlineLevel="0" collapsed="false">
      <c r="A12954" s="0" t="s">
        <v>1069</v>
      </c>
      <c r="B12954" s="0" t="s">
        <v>98</v>
      </c>
      <c r="F12954" s="6" t="n">
        <f aca="false">Sens!F12953*Sens!F12927</f>
        <v>-113.675399435717</v>
      </c>
      <c r="G12954" s="6" t="n">
        <f aca="false">Sens!G12953*Sens!G12927</f>
        <v>-85.2532025390917</v>
      </c>
      <c r="H12954" s="6" t="n">
        <f aca="false">Sens!H12953*Sens!H12927</f>
        <v>-51.0481582830682</v>
      </c>
      <c r="I12954" s="6" t="n">
        <f aca="false">Sens!I12953*Sens!I12927</f>
        <v>-4.67721782319945</v>
      </c>
      <c r="J12954" s="6" t="n">
        <f aca="false">Sens!J12953*Sens!J12927</f>
        <v>36.5320953989789</v>
      </c>
      <c r="K12954" s="6" t="n">
        <f aca="false">Sens!K12953*Sens!K12927</f>
        <v>47.3785542320528</v>
      </c>
    </row>
    <row r="12955" customFormat="false" ht="17.15" hidden="false" customHeight="false" outlineLevel="0" collapsed="false">
      <c r="A12955" s="0" t="s">
        <v>1070</v>
      </c>
      <c r="B12955" s="0" t="s">
        <v>98</v>
      </c>
      <c r="C12955" s="6" t="n">
        <f aca="false">(Sens!K12947-Thesis!K89)*(1-tax_f)*(1+g_tv)*(1-g_tv/(wacc+ronic_prem))/(wacc-g_tv)/(1+wacc)^(Sens!K12926+mid_yr)</f>
        <v>314.186863600641</v>
      </c>
    </row>
    <row r="12956" customFormat="false" ht="17.15" hidden="false" customHeight="false" outlineLevel="0" collapsed="false">
      <c r="A12956" s="1" t="s">
        <v>1071</v>
      </c>
      <c r="B12956" s="0" t="s">
        <v>98</v>
      </c>
      <c r="C12956" s="6" t="n">
        <f aca="false">(SUM(Sens!F12954:K12954)+Sens!$C$12955)*(1+wacc)^t_roll</f>
        <v>163.343942987594</v>
      </c>
      <c r="L12956" s="11" t="s">
        <v>1072</v>
      </c>
    </row>
    <row r="12957" customFormat="false" ht="17.15" hidden="false" customHeight="false" outlineLevel="0" collapsed="false">
      <c r="A12957" s="1" t="s">
        <v>1073</v>
      </c>
      <c r="B12957" s="0" t="s">
        <v>98</v>
      </c>
      <c r="C12957" s="6" t="n">
        <f aca="false">(w_ntm28*Thesis!G78+(1-w_ntm28)*Thesis!H78)*m_ai*1.2</f>
        <v>545.906928996956</v>
      </c>
    </row>
    <row r="12958" customFormat="false" ht="17.15" hidden="false" customHeight="false" outlineLevel="0" collapsed="false">
      <c r="A12958" s="1" t="s">
        <v>1074</v>
      </c>
      <c r="B12958" s="0" t="s">
        <v>98</v>
      </c>
      <c r="C12958" s="6" t="n">
        <f aca="false">(w_ntm28*Sens!G12949+(1-w_ntm28)*Sens!H12949)*m_cloud*1.2</f>
        <v>1284.97794996241</v>
      </c>
    </row>
    <row r="12959" customFormat="false" ht="17.15" hidden="false" customHeight="false" outlineLevel="0" collapsed="false">
      <c r="A12959" s="1" t="s">
        <v>1075</v>
      </c>
      <c r="B12959" s="0" t="s">
        <v>98</v>
      </c>
      <c r="C12959" s="6" t="n">
        <f aca="false">(w_ntm28*Sens!G12942+(1-w_ntm28)*Sens!H12942)*m_sw*1.2</f>
        <v>1301.40619996766</v>
      </c>
    </row>
    <row r="12960" customFormat="false" ht="17.15" hidden="false" customHeight="false" outlineLevel="0" collapsed="false">
      <c r="A12960" s="1" t="s">
        <v>1076</v>
      </c>
      <c r="B12960" s="0" t="s">
        <v>98</v>
      </c>
      <c r="C12960" s="6" t="n">
        <f aca="false">(w_ntm28*Sens!G12943+(1-w_ntm28)*Sens!H12943)*m_sw*1.2</f>
        <v>455.335979842549</v>
      </c>
    </row>
    <row r="12961" customFormat="false" ht="17.15" hidden="false" customHeight="false" outlineLevel="0" collapsed="false">
      <c r="A12961" s="1" t="s">
        <v>1077</v>
      </c>
      <c r="B12961" s="0" t="s">
        <v>98</v>
      </c>
      <c r="C12961" s="6" t="n">
        <f aca="false">(w_ntm28*Sens!G12944+(1-w_ntm28)*Sens!H12944)*m_sw*1.2</f>
        <v>131.095000340173</v>
      </c>
    </row>
    <row r="12962" customFormat="false" ht="17.15" hidden="false" customHeight="false" outlineLevel="0" collapsed="false">
      <c r="A12962" s="1" t="s">
        <v>1078</v>
      </c>
      <c r="B12962" s="0" t="s">
        <v>98</v>
      </c>
      <c r="C12962" s="6" t="n">
        <f aca="false">(w_ntm28*Sens!G12945+(1-w_ntm28)*Sens!H12945)*m_sw*1.2</f>
        <v>50.0149818665343</v>
      </c>
    </row>
    <row r="12963" customFormat="false" ht="17.15" hidden="false" customHeight="false" outlineLevel="0" collapsed="false">
      <c r="A12963" s="1" t="s">
        <v>1079</v>
      </c>
      <c r="B12963" s="0" t="s">
        <v>98</v>
      </c>
      <c r="C12963" s="6" t="n">
        <f aca="false">(w_ntm28*Sens!G12946+(1-w_ntm28)*Sens!H12946)*m_ads*1.2</f>
        <v>138.192283559221</v>
      </c>
    </row>
    <row r="12964" customFormat="false" ht="17.15" hidden="false" customHeight="false" outlineLevel="0" collapsed="false">
      <c r="A12964" s="1" t="s">
        <v>1080</v>
      </c>
      <c r="B12964" s="0" t="s">
        <v>98</v>
      </c>
      <c r="C12964" s="6" t="n">
        <f aca="false">(w_ntm28*Sens!G12951+(1-w_ntm28)*Sens!H12951)*m_game*1.2</f>
        <v>117.337728660756</v>
      </c>
    </row>
    <row r="12965" customFormat="false" ht="17.15" hidden="false" customHeight="false" outlineLevel="0" collapsed="false">
      <c r="A12965" s="1" t="s">
        <v>1081</v>
      </c>
      <c r="B12965" s="0" t="s">
        <v>98</v>
      </c>
      <c r="C12965" s="6" t="n">
        <f aca="false">(w_ntm28*Sens!G12952+(1-w_ntm28)*Sens!H12952)*m_pc*1.2</f>
        <v>116.331287470079</v>
      </c>
    </row>
    <row r="12966" customFormat="false" ht="17.15" hidden="false" customHeight="false" outlineLevel="0" collapsed="false">
      <c r="A12966" s="1" t="s">
        <v>1082</v>
      </c>
      <c r="B12966" s="0" t="s">
        <v>98</v>
      </c>
      <c r="C12966" s="6" t="n">
        <f aca="false">Sens!$C$12956+Sens!$C$12958+Sens!$C$12959+Sens!$C$12960+Sens!$C$12961+Sens!$C$12962+Sens!$C$12963+Sens!$C$12964+Sens!$C$12965</f>
        <v>3758.03535465698</v>
      </c>
    </row>
    <row r="12967" customFormat="false" ht="17.15" hidden="false" customHeight="false" outlineLevel="0" collapsed="false">
      <c r="A12967" s="1" t="s">
        <v>1000</v>
      </c>
      <c r="B12967" s="0" t="s">
        <v>98</v>
      </c>
      <c r="C12967" s="6" t="n">
        <f aca="false">CF!F65+oai_v-CF!F54</f>
        <v>111.253995542787</v>
      </c>
      <c r="L12967" s="1" t="s">
        <v>1083</v>
      </c>
    </row>
    <row r="12968" customFormat="false" ht="15" hidden="false" customHeight="false" outlineLevel="0" collapsed="false">
      <c r="A12968" s="1" t="s">
        <v>1001</v>
      </c>
      <c r="B12968" s="0" t="s">
        <v>75</v>
      </c>
      <c r="C12968" s="5" t="n">
        <f aca="false">(Sens!$C$12966+Sens!$C$12967)/CF!F67</f>
        <v>517.838510465707</v>
      </c>
    </row>
    <row r="12969" customFormat="false" ht="17.15" hidden="false" customHeight="false" outlineLevel="0" collapsed="false">
      <c r="A12969" s="1" t="s">
        <v>1084</v>
      </c>
      <c r="B12969" s="0" t="s">
        <v>75</v>
      </c>
      <c r="C12969" s="5" t="n">
        <f aca="false">w_dcf*Sens!$C$12940+(1-w_dcf)*Sens!$C$12968</f>
        <v>430.990557806419</v>
      </c>
    </row>
    <row r="12970" customFormat="false" ht="17.15" hidden="false" customHeight="false" outlineLevel="0" collapsed="false">
      <c r="A12970" s="3" t="s">
        <v>1569</v>
      </c>
    </row>
    <row r="12971" customFormat="false" ht="15" hidden="false" customHeight="false" outlineLevel="0" collapsed="false">
      <c r="A12971" s="4" t="s">
        <v>43</v>
      </c>
      <c r="B12971" s="4" t="s">
        <v>65</v>
      </c>
      <c r="C12971" s="20" t="s">
        <v>788</v>
      </c>
      <c r="D12971" s="20" t="s">
        <v>789</v>
      </c>
      <c r="E12971" s="20" t="s">
        <v>790</v>
      </c>
      <c r="F12971" s="20" t="s">
        <v>791</v>
      </c>
      <c r="G12971" s="20" t="s">
        <v>792</v>
      </c>
      <c r="H12971" s="20" t="s">
        <v>793</v>
      </c>
      <c r="I12971" s="20" t="s">
        <v>794</v>
      </c>
      <c r="J12971" s="20" t="s">
        <v>795</v>
      </c>
      <c r="K12971" s="20" t="s">
        <v>796</v>
      </c>
      <c r="L12971" s="4" t="s">
        <v>47</v>
      </c>
    </row>
    <row r="12972" customFormat="false" ht="15" hidden="false" customHeight="false" outlineLevel="0" collapsed="false">
      <c r="A12972" s="1" t="s">
        <v>1042</v>
      </c>
      <c r="B12972" s="1" t="s">
        <v>235</v>
      </c>
      <c r="F12972" s="36" t="n">
        <f aca="false">Thesis!F104-base_fy-mid_yr</f>
        <v>0.5</v>
      </c>
      <c r="G12972" s="36" t="n">
        <f aca="false">Thesis!G104-base_fy-mid_yr</f>
        <v>1.5</v>
      </c>
      <c r="H12972" s="36" t="n">
        <f aca="false">Thesis!H104-base_fy-mid_yr</f>
        <v>2.5</v>
      </c>
      <c r="I12972" s="36" t="n">
        <f aca="false">Thesis!I104-base_fy-mid_yr</f>
        <v>3.5</v>
      </c>
      <c r="J12972" s="36" t="n">
        <f aca="false">Thesis!J104-base_fy-mid_yr</f>
        <v>4.5</v>
      </c>
      <c r="K12972" s="36" t="n">
        <f aca="false">Thesis!K104-base_fy-mid_yr</f>
        <v>5.5</v>
      </c>
    </row>
    <row r="12973" customFormat="false" ht="15" hidden="false" customHeight="false" outlineLevel="0" collapsed="false">
      <c r="A12973" s="1" t="s">
        <v>1043</v>
      </c>
      <c r="B12973" s="0" t="s">
        <v>185</v>
      </c>
      <c r="F12973" s="14" t="n">
        <f aca="false">1/(1+wacc)^Sens!F12972</f>
        <v>0.952193373608246</v>
      </c>
      <c r="G12973" s="14" t="n">
        <f aca="false">1/(1+wacc)^Sens!G12972</f>
        <v>0.863327280626589</v>
      </c>
      <c r="H12973" s="14" t="n">
        <f aca="false">1/(1+wacc)^Sens!H12972</f>
        <v>0.782754862754115</v>
      </c>
      <c r="I12973" s="14" t="n">
        <f aca="false">1/(1+wacc)^Sens!I12972</f>
        <v>0.709702089711011</v>
      </c>
      <c r="J12973" s="14" t="n">
        <f aca="false">1/(1+wacc)^Sens!J12972</f>
        <v>0.643467169744551</v>
      </c>
      <c r="K12973" s="14" t="n">
        <f aca="false">1/(1+wacc)^Sens!K12972</f>
        <v>0.583413807767797</v>
      </c>
    </row>
    <row r="12974" customFormat="false" ht="17.15" hidden="false" customHeight="false" outlineLevel="0" collapsed="false">
      <c r="A12974" s="1" t="s">
        <v>1044</v>
      </c>
      <c r="B12974" s="0" t="s">
        <v>98</v>
      </c>
      <c r="F12974" s="6" t="n">
        <f aca="false">CF!F79-CF!F77-CF!F82+Thesis!F142*(1-tax_f)</f>
        <v>2.81855367218396</v>
      </c>
      <c r="G12974" s="6" t="n">
        <f aca="false">CF!G79-CF!G77-CF!G82+Thesis!G142*(1-tax_f)</f>
        <v>35.4967358232605</v>
      </c>
      <c r="H12974" s="6" t="n">
        <f aca="false">CF!H79-CF!H77-CF!H82+Thesis!H142*(1-tax_f)</f>
        <v>71.9736045985465</v>
      </c>
      <c r="I12974" s="6" t="n">
        <f aca="false">CF!I79-CF!I77-CF!I82+Thesis!I142*(1-tax_f)</f>
        <v>139.565890227748</v>
      </c>
      <c r="J12974" s="6" t="n">
        <f aca="false">CF!J79-CF!J77-CF!J82+Thesis!J142*(1-tax_f)</f>
        <v>212.783902680705</v>
      </c>
      <c r="K12974" s="6" t="n">
        <f aca="false">CF!K79-CF!K77-CF!K82+Thesis!K142*(1-tax_f)</f>
        <v>247.854416738942</v>
      </c>
      <c r="L12974" s="1" t="s">
        <v>1045</v>
      </c>
    </row>
    <row r="12975" customFormat="false" ht="15" hidden="false" customHeight="false" outlineLevel="0" collapsed="false">
      <c r="A12975" s="1" t="s">
        <v>1046</v>
      </c>
      <c r="B12975" s="0" t="s">
        <v>98</v>
      </c>
      <c r="F12975" s="6" t="n">
        <f aca="false">Sens!F12974*Sens!F12973</f>
        <v>2.68380812981276</v>
      </c>
      <c r="G12975" s="6" t="n">
        <f aca="false">Sens!G12974*Sens!G12973</f>
        <v>30.6453004094159</v>
      </c>
      <c r="H12975" s="6" t="n">
        <f aca="false">Sens!H12974*Sens!H12973</f>
        <v>56.3376889894542</v>
      </c>
      <c r="I12975" s="6" t="n">
        <f aca="false">Sens!I12974*Sens!I12973</f>
        <v>99.0502039470101</v>
      </c>
      <c r="J12975" s="6" t="n">
        <f aca="false">Sens!J12974*Sens!J12973</f>
        <v>136.919455625153</v>
      </c>
      <c r="K12975" s="6" t="n">
        <f aca="false">Sens!K12974*Sens!K12973</f>
        <v>144.601689041733</v>
      </c>
    </row>
    <row r="12976" customFormat="false" ht="17.15" hidden="false" customHeight="false" outlineLevel="0" collapsed="false">
      <c r="A12976" s="1" t="s">
        <v>1047</v>
      </c>
      <c r="B12976" s="0" t="s">
        <v>98</v>
      </c>
      <c r="C12976" s="6" t="n">
        <f aca="false">SUM(Sens!F12975:K12975)</f>
        <v>470.238146142579</v>
      </c>
    </row>
    <row r="12977" customFormat="false" ht="17.15" hidden="false" customHeight="false" outlineLevel="0" collapsed="false">
      <c r="A12977" s="1" t="s">
        <v>1048</v>
      </c>
      <c r="B12977" s="0" t="s">
        <v>98</v>
      </c>
      <c r="C12977" s="6" t="n">
        <f aca="false">PL!K117*(1+g_tv)*(1-tax_f)</f>
        <v>255.879558138142</v>
      </c>
    </row>
    <row r="12978" customFormat="false" ht="17.15" hidden="false" customHeight="false" outlineLevel="0" collapsed="false">
      <c r="A12978" s="1" t="s">
        <v>1049</v>
      </c>
      <c r="B12978" s="0" t="s">
        <v>98</v>
      </c>
      <c r="C12978" s="6" t="n">
        <f aca="false">Sens!$C$12977*(1-g_tv/(wacc+ronic_prem))</f>
        <v>181.304049409205</v>
      </c>
    </row>
    <row r="12979" customFormat="false" ht="17.15" hidden="false" customHeight="false" outlineLevel="0" collapsed="false">
      <c r="A12979" s="1" t="s">
        <v>1050</v>
      </c>
      <c r="B12979" s="0" t="s">
        <v>98</v>
      </c>
      <c r="C12979" s="6" t="n">
        <f aca="false">Sens!$C$12978/(wacc-g_tv)</f>
        <v>2485.85029096454</v>
      </c>
    </row>
    <row r="12980" customFormat="false" ht="15" hidden="false" customHeight="false" outlineLevel="0" collapsed="false">
      <c r="A12980" s="1" t="s">
        <v>1051</v>
      </c>
      <c r="B12980" s="0" t="s">
        <v>98</v>
      </c>
      <c r="C12980" s="6" t="n">
        <f aca="false">Sens!$C$12979/(1+wacc)^(Sens!K12972+mid_yr)</f>
        <v>1380.94641912769</v>
      </c>
    </row>
    <row r="12981" customFormat="false" ht="17.15" hidden="false" customHeight="false" outlineLevel="0" collapsed="false">
      <c r="A12981" s="0" t="s">
        <v>972</v>
      </c>
      <c r="B12981" s="0" t="s">
        <v>98</v>
      </c>
      <c r="C12981" s="6" t="n">
        <f aca="false">Sens!$C$12976+Sens!$C$12980</f>
        <v>1851.18456527027</v>
      </c>
    </row>
    <row r="12982" customFormat="false" ht="15" hidden="false" customHeight="false" outlineLevel="0" collapsed="false">
      <c r="A12982" s="1" t="s">
        <v>973</v>
      </c>
      <c r="B12982" s="0" t="s">
        <v>129</v>
      </c>
      <c r="C12982" s="7" t="n">
        <f aca="false">Sens!$C$12980/Sens!$C$12981</f>
        <v>0.745979868801507</v>
      </c>
    </row>
    <row r="12983" customFormat="false" ht="17.15" hidden="false" customHeight="false" outlineLevel="0" collapsed="false">
      <c r="A12983" s="1" t="s">
        <v>1052</v>
      </c>
      <c r="B12983" s="0" t="s">
        <v>98</v>
      </c>
      <c r="C12983" s="6" t="n">
        <f aca="false">Sens!$C$12981+CF!E94-CF!E83+oai_v</f>
        <v>1985.69756527027</v>
      </c>
    </row>
    <row r="12984" customFormat="false" ht="17.15" hidden="false" customHeight="false" outlineLevel="0" collapsed="false">
      <c r="A12984" s="0" t="s">
        <v>980</v>
      </c>
      <c r="B12984" s="0" t="s">
        <v>75</v>
      </c>
      <c r="C12984" s="5" t="n">
        <f aca="false">Sens!$C$12983/sh_dil26</f>
        <v>266.429298976287</v>
      </c>
    </row>
    <row r="12985" customFormat="false" ht="15" hidden="false" customHeight="false" outlineLevel="0" collapsed="false">
      <c r="A12985" s="1" t="s">
        <v>1053</v>
      </c>
      <c r="B12985" s="0" t="s">
        <v>75</v>
      </c>
      <c r="C12985" s="8" t="n">
        <f aca="false">dps_27+CF!G86*roll_div_q/q_per_yr</f>
        <v>4.8895</v>
      </c>
    </row>
    <row r="12986" customFormat="false" ht="17.15" hidden="false" customHeight="false" outlineLevel="0" collapsed="false">
      <c r="A12986" s="0" t="s">
        <v>1054</v>
      </c>
      <c r="B12986" s="0" t="s">
        <v>75</v>
      </c>
      <c r="C12986" s="5" t="n">
        <f aca="false">Sens!$C$12984*(1+wacc)^t_roll-Sens!$C$12985</f>
        <v>298.502438692235</v>
      </c>
    </row>
    <row r="12987" customFormat="false" ht="17.15" hidden="false" customHeight="false" outlineLevel="0" collapsed="false">
      <c r="A12987" s="1" t="s">
        <v>1055</v>
      </c>
      <c r="B12987" s="0" t="s">
        <v>129</v>
      </c>
      <c r="F12987" s="7" t="n">
        <f aca="false">CF!F75/(Seg!F83-Thesis!F121)</f>
        <v>0.0686864325746334</v>
      </c>
      <c r="G12987" s="7" t="n">
        <f aca="false">CF!G75/(Seg!G83-Thesis!G121)</f>
        <v>0.066267001590801</v>
      </c>
      <c r="H12987" s="7" t="n">
        <f aca="false">CF!H75/(Seg!H83-Thesis!H121)</f>
        <v>0.0650366246750144</v>
      </c>
      <c r="I12987" s="7" t="n">
        <f aca="false">CF!I75/(Seg!I83-Thesis!I121)</f>
        <v>0.0648573271390164</v>
      </c>
      <c r="J12987" s="7" t="n">
        <f aca="false">CF!J75/(Seg!J83-Thesis!J121)</f>
        <v>0.0655189837669657</v>
      </c>
      <c r="K12987" s="7" t="n">
        <f aca="false">CF!K75/(Seg!K83-Thesis!K121)</f>
        <v>0.0667878921367872</v>
      </c>
    </row>
    <row r="12988" customFormat="false" ht="17.15" hidden="false" customHeight="false" outlineLevel="0" collapsed="false">
      <c r="A12988" s="0" t="s">
        <v>1056</v>
      </c>
      <c r="B12988" s="0" t="s">
        <v>98</v>
      </c>
      <c r="F12988" s="6" t="n">
        <f aca="false">Seg!F68*(al_m365+Sens!F12987+sbc_r)</f>
        <v>82.8871280343675</v>
      </c>
      <c r="G12988" s="6" t="n">
        <f aca="false">Seg!G68*(al_m365+Sens!G12987+sbc_r)</f>
        <v>93.2646494841949</v>
      </c>
      <c r="H12988" s="6" t="n">
        <f aca="false">Seg!H68*(al_m365+Sens!H12987+sbc_r)</f>
        <v>103.801656157254</v>
      </c>
      <c r="I12988" s="6" t="n">
        <f aca="false">Seg!I68*(al_m365+Sens!I12987+sbc_r)</f>
        <v>113.821873816133</v>
      </c>
      <c r="J12988" s="6" t="n">
        <f aca="false">Seg!J68*(al_m365+Sens!J12987+sbc_r)</f>
        <v>123.136196807334</v>
      </c>
      <c r="K12988" s="6" t="n">
        <f aca="false">Seg!K68*(al_m365+Sens!K12987+sbc_r)</f>
        <v>132.051675801964</v>
      </c>
      <c r="L12988" s="11" t="s">
        <v>1057</v>
      </c>
    </row>
    <row r="12989" customFormat="false" ht="17.15" hidden="false" customHeight="false" outlineLevel="0" collapsed="false">
      <c r="A12989" s="0" t="s">
        <v>1058</v>
      </c>
      <c r="B12989" s="0" t="s">
        <v>98</v>
      </c>
      <c r="F12989" s="6" t="n">
        <f aca="false">Seg!F69*(al_lic+Sens!F12987+sbc_r)</f>
        <v>33.4484001235218</v>
      </c>
      <c r="G12989" s="6" t="n">
        <f aca="false">Seg!G69*(al_lic+Sens!G12987+sbc_r)</f>
        <v>34.7662136749183</v>
      </c>
      <c r="H12989" s="6" t="n">
        <f aca="false">Seg!H69*(al_lic+Sens!H12987+sbc_r)</f>
        <v>35.9922067034497</v>
      </c>
      <c r="I12989" s="6" t="n">
        <f aca="false">Seg!I69*(al_lic+Sens!I12987+sbc_r)</f>
        <v>37.1063543598183</v>
      </c>
      <c r="J12989" s="6" t="n">
        <f aca="false">Seg!J69*(al_lic+Sens!J12987+sbc_r)</f>
        <v>38.0853056964387</v>
      </c>
      <c r="K12989" s="6" t="n">
        <f aca="false">Seg!K69*(al_lic+Sens!K12987+sbc_r)</f>
        <v>38.9048066370724</v>
      </c>
    </row>
    <row r="12990" customFormat="false" ht="17.15" hidden="false" customHeight="false" outlineLevel="0" collapsed="false">
      <c r="A12990" s="0" t="s">
        <v>1059</v>
      </c>
      <c r="B12990" s="0" t="s">
        <v>98</v>
      </c>
      <c r="F12990" s="6" t="n">
        <f aca="false">Seg!F71*(al_ind+Sens!F12987+sbc_r)</f>
        <v>9.07857451914073</v>
      </c>
      <c r="G12990" s="6" t="n">
        <f aca="false">Seg!G71*(al_ind+Sens!G12987+sbc_r)</f>
        <v>9.86487802721884</v>
      </c>
      <c r="H12990" s="6" t="n">
        <f aca="false">Seg!H71*(al_ind+Sens!H12987+sbc_r)</f>
        <v>10.693809720013</v>
      </c>
      <c r="I12990" s="6" t="n">
        <f aca="false">Seg!I71*(al_ind+Sens!I12987+sbc_r)</f>
        <v>11.5608645999226</v>
      </c>
      <c r="J12990" s="6" t="n">
        <f aca="false">Seg!J71*(al_ind+Sens!J12987+sbc_r)</f>
        <v>12.4574161941375</v>
      </c>
      <c r="K12990" s="6" t="n">
        <f aca="false">Seg!K71*(al_ind+Sens!K12987+sbc_r)</f>
        <v>13.3714153876622</v>
      </c>
    </row>
    <row r="12991" customFormat="false" ht="17.15" hidden="false" customHeight="false" outlineLevel="0" collapsed="false">
      <c r="A12991" s="0" t="s">
        <v>1060</v>
      </c>
      <c r="B12991" s="0" t="s">
        <v>98</v>
      </c>
      <c r="F12991" s="6" t="n">
        <f aca="false">Seg!F73*(al_fro+Sens!F12987+sbc_r)</f>
        <v>3.57335880380168</v>
      </c>
      <c r="G12991" s="6" t="n">
        <f aca="false">Seg!G73*(al_fro+Sens!G12987+sbc_r)</f>
        <v>3.78752993435501</v>
      </c>
      <c r="H12991" s="6" t="n">
        <f aca="false">Seg!H73*(al_fro+Sens!H12987+sbc_r)</f>
        <v>4.02979352544868</v>
      </c>
      <c r="I12991" s="6" t="n">
        <f aca="false">Seg!I73*(al_fro+Sens!I12987+sbc_r)</f>
        <v>4.30248328262388</v>
      </c>
      <c r="J12991" s="6" t="n">
        <f aca="false">Seg!J73*(al_fro+Sens!J12987+sbc_r)</f>
        <v>4.6072312462081</v>
      </c>
      <c r="K12991" s="6" t="n">
        <f aca="false">Seg!K73*(al_fro+Sens!K12987+sbc_r)</f>
        <v>4.94526327289735</v>
      </c>
    </row>
    <row r="12992" customFormat="false" ht="17.15" hidden="false" customHeight="false" outlineLevel="0" collapsed="false">
      <c r="A12992" s="0" t="s">
        <v>1061</v>
      </c>
      <c r="B12992" s="0" t="s">
        <v>98</v>
      </c>
      <c r="F12992" s="6" t="n">
        <f aca="false">Seg!F76*(al_srch+Sens!F12987+sbc_r)</f>
        <v>11.2121706988551</v>
      </c>
      <c r="G12992" s="6" t="n">
        <f aca="false">Seg!G76*(al_srch+Sens!G12987+sbc_r)</f>
        <v>12.298220751086</v>
      </c>
      <c r="H12992" s="6" t="n">
        <f aca="false">Seg!H76*(al_srch+Sens!H12987+sbc_r)</f>
        <v>13.4264661389574</v>
      </c>
      <c r="I12992" s="6" t="n">
        <f aca="false">Seg!I76*(al_srch+Sens!I12987+sbc_r)</f>
        <v>14.5842947685169</v>
      </c>
      <c r="J12992" s="6" t="n">
        <f aca="false">Seg!J76*(al_srch+Sens!J12987+sbc_r)</f>
        <v>15.7529827260804</v>
      </c>
      <c r="K12992" s="6" t="n">
        <f aca="false">Seg!K76*(al_srch+Sens!K12987+sbc_r)</f>
        <v>16.908777257054</v>
      </c>
    </row>
    <row r="12993" customFormat="false" ht="17.15" hidden="false" customHeight="false" outlineLevel="0" collapsed="false">
      <c r="A12993" s="0" t="s">
        <v>1062</v>
      </c>
      <c r="B12993" s="0" t="s">
        <v>98</v>
      </c>
      <c r="F12993" s="6" t="n">
        <f aca="false">Thesis!F127-Thesis!F128+Thesis!F142</f>
        <v>49.3166695044068</v>
      </c>
      <c r="G12993" s="6" t="n">
        <f aca="false">Thesis!G127-Thesis!G128+Thesis!G142</f>
        <v>79.1711235199867</v>
      </c>
      <c r="H12993" s="6" t="n">
        <f aca="false">Thesis!H127-Thesis!H128+Thesis!H142</f>
        <v>105.986955995322</v>
      </c>
      <c r="I12993" s="6" t="n">
        <f aca="false">Thesis!I127-Thesis!I128+Thesis!I142</f>
        <v>136.51312421941</v>
      </c>
      <c r="J12993" s="6" t="n">
        <f aca="false">Thesis!J127-Thesis!J128+Thesis!J142</f>
        <v>158.045869188803</v>
      </c>
      <c r="K12993" s="6" t="n">
        <f aca="false">Thesis!K127-Thesis!K128+Thesis!K142</f>
        <v>171.626834186355</v>
      </c>
    </row>
    <row r="12994" customFormat="false" ht="17.15" hidden="false" customHeight="false" outlineLevel="0" collapsed="false">
      <c r="A12994" s="0" t="s">
        <v>1063</v>
      </c>
      <c r="B12994" s="0" t="s">
        <v>98</v>
      </c>
      <c r="F12994" s="6" t="n">
        <f aca="false">PL!F110+Thesis!F142+Thesis!F138+Sens!F12987*(Seg!F75-Thesis!F121)+sbc_r*Seg!F75</f>
        <v>239.221795819914</v>
      </c>
      <c r="G12994" s="6" t="n">
        <f aca="false">PL!G110+Thesis!G142+Thesis!G138+Sens!G12987*(Seg!G75-Thesis!G121)+sbc_r*Seg!G75</f>
        <v>293.888959324058</v>
      </c>
      <c r="H12994" s="6" t="n">
        <f aca="false">PL!H110+Thesis!H142+Thesis!H138+Sens!H12987*(Seg!H75-Thesis!H121)+sbc_r*Seg!H75</f>
        <v>345.795749423438</v>
      </c>
      <c r="I12994" s="6" t="n">
        <f aca="false">PL!I110+Thesis!I142+Thesis!I138+Sens!I12987*(Seg!I75-Thesis!I121)+sbc_r*Seg!I75</f>
        <v>400.80148439376</v>
      </c>
      <c r="J12994" s="6" t="n">
        <f aca="false">PL!J110+Thesis!J142+Thesis!J138+Sens!J12987*(Seg!J75-Thesis!J121)+sbc_r*Seg!J75</f>
        <v>444.918308128678</v>
      </c>
      <c r="K12994" s="6" t="n">
        <f aca="false">PL!K110+Thesis!K142+Thesis!K138+Sens!K12987*(Seg!K75-Thesis!K121)+sbc_r*Seg!K75</f>
        <v>478.782312275225</v>
      </c>
    </row>
    <row r="12995" customFormat="false" ht="17.15" hidden="false" customHeight="false" outlineLevel="0" collapsed="false">
      <c r="A12995" s="0" t="s">
        <v>1064</v>
      </c>
      <c r="B12995" s="0" t="s">
        <v>98</v>
      </c>
      <c r="F12995" s="6" t="n">
        <f aca="false">Sens!F12994-Sens!F12988-Sens!F12989-Sens!F12990-Sens!F12991-Sens!F12993</f>
        <v>60.9176648346756</v>
      </c>
      <c r="G12995" s="6" t="n">
        <f aca="false">Sens!G12994-Sens!G12988-Sens!G12989-Sens!G12990-Sens!G12991-Sens!G12993</f>
        <v>73.0345646833845</v>
      </c>
      <c r="H12995" s="6" t="n">
        <f aca="false">Sens!H12994-Sens!H12988-Sens!H12989-Sens!H12990-Sens!H12991-Sens!H12993</f>
        <v>85.2913273219498</v>
      </c>
      <c r="I12995" s="6" t="n">
        <f aca="false">Sens!I12994-Sens!I12988-Sens!I12989-Sens!I12990-Sens!I12991-Sens!I12993</f>
        <v>97.4967841158513</v>
      </c>
      <c r="J12995" s="6" t="n">
        <f aca="false">Sens!J12994-Sens!J12988-Sens!J12989-Sens!J12990-Sens!J12991-Sens!J12993</f>
        <v>108.586288995756</v>
      </c>
      <c r="K12995" s="6" t="n">
        <f aca="false">Sens!K12994-Sens!K12988-Sens!K12989-Sens!K12990-Sens!K12991-Sens!K12993</f>
        <v>117.882316989274</v>
      </c>
    </row>
    <row r="12996" customFormat="false" ht="17.15" hidden="false" customHeight="false" outlineLevel="0" collapsed="false">
      <c r="A12996" s="0" t="s">
        <v>1065</v>
      </c>
      <c r="B12996" s="0" t="s">
        <v>98</v>
      </c>
      <c r="F12996" s="6" t="n">
        <f aca="false">PL!F112+Sens!F12987*Seg!F82+sbc_r*Seg!F82</f>
        <v>26.2049549828959</v>
      </c>
      <c r="G12996" s="6" t="n">
        <f aca="false">PL!G112+Sens!G12987*Seg!G82+sbc_r*Seg!G82</f>
        <v>26.8405806403664</v>
      </c>
      <c r="H12996" s="6" t="n">
        <f aca="false">PL!H112+Sens!H12987*Seg!H82+sbc_r*Seg!H82</f>
        <v>27.7352032470138</v>
      </c>
      <c r="I12996" s="6" t="n">
        <f aca="false">PL!I112+Sens!I12987*Seg!I82+sbc_r*Seg!I82</f>
        <v>28.8569155956094</v>
      </c>
      <c r="J12996" s="6" t="n">
        <f aca="false">PL!J112+Sens!J12987*Seg!J82+sbc_r*Seg!J82</f>
        <v>30.1744385645725</v>
      </c>
      <c r="K12996" s="6" t="n">
        <f aca="false">PL!K112+Sens!K12987*Seg!K82+sbc_r*Seg!K82</f>
        <v>31.6584976186802</v>
      </c>
    </row>
    <row r="12997" customFormat="false" ht="17.15" hidden="false" customHeight="false" outlineLevel="0" collapsed="false">
      <c r="A12997" s="0" t="s">
        <v>1066</v>
      </c>
      <c r="B12997" s="0" t="s">
        <v>98</v>
      </c>
      <c r="F12997" s="6" t="n">
        <f aca="false">(Sens!F12996-Sens!F12992)*Seg!F78/(Seg!F78+Seg!F80)</f>
        <v>8.21889831690819</v>
      </c>
      <c r="G12997" s="6" t="n">
        <f aca="false">(Sens!G12996-Sens!G12992)*Seg!G78/(Seg!G78+Seg!G80)</f>
        <v>7.82984014749099</v>
      </c>
      <c r="H12997" s="6" t="n">
        <f aca="false">(Sens!H12996-Sens!H12992)*Seg!H78/(Seg!H78+Seg!H80)</f>
        <v>7.5999849964554</v>
      </c>
      <c r="I12997" s="6" t="n">
        <f aca="false">(Sens!I12996-Sens!I12992)*Seg!I78/(Seg!I78+Seg!I80)</f>
        <v>7.51221089422364</v>
      </c>
      <c r="J12997" s="6" t="n">
        <f aca="false">(Sens!J12996-Sens!J12992)*Seg!J78/(Seg!J78+Seg!J80)</f>
        <v>7.55622411401827</v>
      </c>
      <c r="K12997" s="6" t="n">
        <f aca="false">(Sens!K12996-Sens!K12992)*Seg!K78/(Seg!K78+Seg!K80)</f>
        <v>7.72822064011532</v>
      </c>
    </row>
    <row r="12998" customFormat="false" ht="17.15" hidden="false" customHeight="false" outlineLevel="0" collapsed="false">
      <c r="A12998" s="0" t="s">
        <v>1067</v>
      </c>
      <c r="B12998" s="0" t="s">
        <v>98</v>
      </c>
      <c r="F12998" s="6" t="n">
        <f aca="false">Sens!F12996-Sens!F12992-Sens!F12997</f>
        <v>6.77388596713263</v>
      </c>
      <c r="G12998" s="6" t="n">
        <f aca="false">Sens!G12996-Sens!G12992-Sens!G12997</f>
        <v>6.71251974178949</v>
      </c>
      <c r="H12998" s="6" t="n">
        <f aca="false">Sens!H12996-Sens!H12992-Sens!H12997</f>
        <v>6.70875211160101</v>
      </c>
      <c r="I12998" s="6" t="n">
        <f aca="false">Sens!I12996-Sens!I12992-Sens!I12997</f>
        <v>6.76040993286883</v>
      </c>
      <c r="J12998" s="6" t="n">
        <f aca="false">Sens!J12996-Sens!J12992-Sens!J12997</f>
        <v>6.86523172447386</v>
      </c>
      <c r="K12998" s="6" t="n">
        <f aca="false">Sens!K12996-Sens!K12992-Sens!K12997</f>
        <v>7.02149972151092</v>
      </c>
    </row>
    <row r="12999" customFormat="false" ht="17.15" hidden="false" customHeight="false" outlineLevel="0" collapsed="false">
      <c r="A12999" s="0" t="s">
        <v>1068</v>
      </c>
      <c r="B12999" s="0" t="s">
        <v>98</v>
      </c>
      <c r="F12999" s="6" t="n">
        <f aca="false">Sens!F12993-tax_f*(Sens!F12993-Thesis!F138)-Thesis!F135</f>
        <v>-122.366710075738</v>
      </c>
      <c r="G12999" s="6" t="n">
        <f aca="false">Sens!G12993-tax_f*(Sens!G12993-Thesis!G138)-Thesis!G135</f>
        <v>-108.130935015143</v>
      </c>
      <c r="H12999" s="6" t="n">
        <f aca="false">Sens!H12993-tax_f*(Sens!H12993-Thesis!H138)-Thesis!H135</f>
        <v>-85.7372579155142</v>
      </c>
      <c r="I12999" s="6" t="n">
        <f aca="false">Sens!I12993-tax_f*(Sens!I12993-Thesis!I138)-Thesis!I135</f>
        <v>-32.0937617822731</v>
      </c>
      <c r="J12999" s="6" t="n">
        <f aca="false">Sens!J12993-tax_f*(Sens!J12993-Thesis!J138)-Thesis!J135</f>
        <v>27.7659608174853</v>
      </c>
      <c r="K12999" s="6" t="n">
        <f aca="false">Sens!K12993-tax_f*(Sens!K12993-Thesis!K138)-Thesis!K135</f>
        <v>50.2765610680426</v>
      </c>
    </row>
    <row r="13000" customFormat="false" ht="17.15" hidden="false" customHeight="false" outlineLevel="0" collapsed="false">
      <c r="A13000" s="0" t="s">
        <v>1069</v>
      </c>
      <c r="B13000" s="0" t="s">
        <v>98</v>
      </c>
      <c r="F13000" s="6" t="n">
        <f aca="false">Sens!F12999*Sens!F12973</f>
        <v>-116.516770484359</v>
      </c>
      <c r="G13000" s="6" t="n">
        <f aca="false">Sens!G12999*Sens!G12973</f>
        <v>-93.3523860782335</v>
      </c>
      <c r="H13000" s="6" t="n">
        <f aca="false">Sens!H12999*Sens!H12973</f>
        <v>-67.1112555525725</v>
      </c>
      <c r="I13000" s="6" t="n">
        <f aca="false">Sens!I12999*Sens!I12973</f>
        <v>-22.7770098035666</v>
      </c>
      <c r="J13000" s="6" t="n">
        <f aca="false">Sens!J12999*Sens!J12973</f>
        <v>17.8664842224654</v>
      </c>
      <c r="K13000" s="6" t="n">
        <f aca="false">Sens!K12999*Sens!K12973</f>
        <v>29.3320399341769</v>
      </c>
    </row>
    <row r="13001" customFormat="false" ht="17.15" hidden="false" customHeight="false" outlineLevel="0" collapsed="false">
      <c r="A13001" s="0" t="s">
        <v>1070</v>
      </c>
      <c r="B13001" s="0" t="s">
        <v>98</v>
      </c>
      <c r="C13001" s="6" t="n">
        <f aca="false">(Sens!K12993-Thesis!K138)*(1-tax_f)*(1+g_tv)*(1-g_tv/(wacc+ronic_prem))/(wacc-g_tv)/(1+wacc)^(Sens!K12972+mid_yr)</f>
        <v>142.100702662121</v>
      </c>
    </row>
    <row r="13002" customFormat="false" ht="17.15" hidden="false" customHeight="false" outlineLevel="0" collapsed="false">
      <c r="A13002" s="1" t="s">
        <v>1071</v>
      </c>
      <c r="B13002" s="0" t="s">
        <v>98</v>
      </c>
      <c r="C13002" s="6" t="n">
        <f aca="false">(SUM(Sens!F13000:K13000)+Sens!$C$13001)*(1+wacc)^t_roll</f>
        <v>-125.782434907083</v>
      </c>
      <c r="L13002" s="11" t="s">
        <v>1072</v>
      </c>
    </row>
    <row r="13003" customFormat="false" ht="17.15" hidden="false" customHeight="false" outlineLevel="0" collapsed="false">
      <c r="A13003" s="1" t="s">
        <v>1073</v>
      </c>
      <c r="B13003" s="0" t="s">
        <v>98</v>
      </c>
      <c r="C13003" s="6" t="n">
        <f aca="false">(w_ntm28*Thesis!G127+(1-w_ntm28)*Thesis!H127)*m_ai*1.2</f>
        <v>406.531210068081</v>
      </c>
    </row>
    <row r="13004" customFormat="false" ht="17.15" hidden="false" customHeight="false" outlineLevel="0" collapsed="false">
      <c r="A13004" s="1" t="s">
        <v>1074</v>
      </c>
      <c r="B13004" s="0" t="s">
        <v>98</v>
      </c>
      <c r="C13004" s="6" t="n">
        <f aca="false">(w_ntm28*Sens!G12995+(1-w_ntm28)*Sens!H12995)*m_cloud*1.2</f>
        <v>1276.91866149982</v>
      </c>
    </row>
    <row r="13005" customFormat="false" ht="17.15" hidden="false" customHeight="false" outlineLevel="0" collapsed="false">
      <c r="A13005" s="1" t="s">
        <v>1075</v>
      </c>
      <c r="B13005" s="0" t="s">
        <v>98</v>
      </c>
      <c r="C13005" s="6" t="n">
        <f aca="false">(w_ntm28*Sens!G12988+(1-w_ntm28)*Sens!H12988)*m_sw*1.2</f>
        <v>1252.85789447948</v>
      </c>
    </row>
    <row r="13006" customFormat="false" ht="17.15" hidden="false" customHeight="false" outlineLevel="0" collapsed="false">
      <c r="A13006" s="1" t="s">
        <v>1076</v>
      </c>
      <c r="B13006" s="0" t="s">
        <v>98</v>
      </c>
      <c r="C13006" s="6" t="n">
        <f aca="false">(w_ntm28*Sens!G12989+(1-w_ntm28)*Sens!H12989)*m_sw*1.2</f>
        <v>455.706804894537</v>
      </c>
    </row>
    <row r="13007" customFormat="false" ht="17.15" hidden="false" customHeight="false" outlineLevel="0" collapsed="false">
      <c r="A13007" s="1" t="s">
        <v>1077</v>
      </c>
      <c r="B13007" s="0" t="s">
        <v>98</v>
      </c>
      <c r="C13007" s="6" t="n">
        <f aca="false">(w_ntm28*Sens!G12990+(1-w_ntm28)*Sens!H12990)*m_sw*1.2</f>
        <v>131.321884052362</v>
      </c>
    </row>
    <row r="13008" customFormat="false" ht="17.15" hidden="false" customHeight="false" outlineLevel="0" collapsed="false">
      <c r="A13008" s="1" t="s">
        <v>1078</v>
      </c>
      <c r="B13008" s="0" t="s">
        <v>98</v>
      </c>
      <c r="C13008" s="6" t="n">
        <f aca="false">(w_ntm28*Sens!G12991+(1-w_ntm28)*Sens!H12991)*m_sw*1.2</f>
        <v>50.1014259344128</v>
      </c>
    </row>
    <row r="13009" customFormat="false" ht="17.15" hidden="false" customHeight="false" outlineLevel="0" collapsed="false">
      <c r="A13009" s="1" t="s">
        <v>1079</v>
      </c>
      <c r="B13009" s="0" t="s">
        <v>98</v>
      </c>
      <c r="C13009" s="6" t="n">
        <f aca="false">(w_ntm28*Sens!G12992+(1-w_ntm28)*Sens!H12992)*m_ads*1.2</f>
        <v>138.431572463104</v>
      </c>
    </row>
    <row r="13010" customFormat="false" ht="17.15" hidden="false" customHeight="false" outlineLevel="0" collapsed="false">
      <c r="A13010" s="1" t="s">
        <v>1080</v>
      </c>
      <c r="B13010" s="0" t="s">
        <v>98</v>
      </c>
      <c r="C13010" s="6" t="n">
        <f aca="false">(w_ntm28*Sens!G12997+(1-w_ntm28)*Sens!H12997)*m_game*1.2</f>
        <v>117.542824971392</v>
      </c>
    </row>
    <row r="13011" customFormat="false" ht="17.15" hidden="false" customHeight="false" outlineLevel="0" collapsed="false">
      <c r="A13011" s="1" t="s">
        <v>1081</v>
      </c>
      <c r="B13011" s="0" t="s">
        <v>98</v>
      </c>
      <c r="C13011" s="6" t="n">
        <f aca="false">(w_ntm28*Sens!G12998+(1-w_ntm28)*Sens!H12998)*m_pc*1.2</f>
        <v>116.535042951474</v>
      </c>
    </row>
    <row r="13012" customFormat="false" ht="17.15" hidden="false" customHeight="false" outlineLevel="0" collapsed="false">
      <c r="A13012" s="1" t="s">
        <v>1082</v>
      </c>
      <c r="B13012" s="0" t="s">
        <v>98</v>
      </c>
      <c r="C13012" s="6" t="n">
        <f aca="false">Sens!$C$13002+Sens!$C$13004+Sens!$C$13005+Sens!$C$13006+Sens!$C$13007+Sens!$C$13008+Sens!$C$13009+Sens!$C$13010+Sens!$C$13011</f>
        <v>3413.63367633951</v>
      </c>
    </row>
    <row r="13013" customFormat="false" ht="17.15" hidden="false" customHeight="false" outlineLevel="0" collapsed="false">
      <c r="A13013" s="1" t="s">
        <v>1000</v>
      </c>
      <c r="B13013" s="0" t="s">
        <v>98</v>
      </c>
      <c r="C13013" s="6" t="n">
        <f aca="false">CF!F94+oai_v-CF!F83</f>
        <v>106.814034990727</v>
      </c>
      <c r="L13013" s="1" t="s">
        <v>1083</v>
      </c>
    </row>
    <row r="13014" customFormat="false" ht="15" hidden="false" customHeight="false" outlineLevel="0" collapsed="false">
      <c r="A13014" s="1" t="s">
        <v>1001</v>
      </c>
      <c r="B13014" s="0" t="s">
        <v>75</v>
      </c>
      <c r="C13014" s="5" t="n">
        <f aca="false">(Sens!$C$13012+Sens!$C$13013)/CF!F96</f>
        <v>471.151995627708</v>
      </c>
    </row>
    <row r="13015" customFormat="false" ht="17.15" hidden="false" customHeight="false" outlineLevel="0" collapsed="false">
      <c r="A13015" s="1" t="s">
        <v>1084</v>
      </c>
      <c r="B13015" s="0" t="s">
        <v>75</v>
      </c>
      <c r="C13015" s="5" t="n">
        <f aca="false">w_dcf*Sens!$C$12986+(1-w_dcf)*Sens!$C$13014</f>
        <v>384.827217159971</v>
      </c>
    </row>
    <row r="13016" customFormat="false" ht="17.15" hidden="false" customHeight="false" outlineLevel="0" collapsed="false">
      <c r="A13016" s="3" t="s">
        <v>1570</v>
      </c>
    </row>
    <row r="13017" customFormat="false" ht="15" hidden="false" customHeight="false" outlineLevel="0" collapsed="false">
      <c r="A13017" s="4" t="s">
        <v>43</v>
      </c>
      <c r="B13017" s="4" t="s">
        <v>65</v>
      </c>
      <c r="C13017" s="20" t="s">
        <v>788</v>
      </c>
      <c r="D13017" s="20" t="s">
        <v>789</v>
      </c>
      <c r="E13017" s="20" t="s">
        <v>790</v>
      </c>
      <c r="F13017" s="20" t="s">
        <v>791</v>
      </c>
      <c r="G13017" s="20" t="s">
        <v>792</v>
      </c>
      <c r="H13017" s="20" t="s">
        <v>793</v>
      </c>
      <c r="I13017" s="20" t="s">
        <v>794</v>
      </c>
      <c r="J13017" s="20" t="s">
        <v>795</v>
      </c>
      <c r="K13017" s="20" t="s">
        <v>796</v>
      </c>
      <c r="L13017" s="4" t="s">
        <v>47</v>
      </c>
    </row>
    <row r="13018" customFormat="false" ht="17.15" hidden="false" customHeight="false" outlineLevel="0" collapsed="false">
      <c r="A13018" s="1" t="s">
        <v>797</v>
      </c>
      <c r="B13018" s="1" t="s">
        <v>235</v>
      </c>
      <c r="C13018" s="28" t="n">
        <v>2024</v>
      </c>
      <c r="D13018" s="28" t="n">
        <v>2025</v>
      </c>
      <c r="E13018" s="28" t="n">
        <v>2026</v>
      </c>
      <c r="F13018" s="28" t="n">
        <v>2027</v>
      </c>
      <c r="G13018" s="28" t="n">
        <v>2028</v>
      </c>
      <c r="H13018" s="28" t="n">
        <v>2029</v>
      </c>
      <c r="I13018" s="28" t="n">
        <v>2030</v>
      </c>
      <c r="J13018" s="28" t="n">
        <v>2031</v>
      </c>
      <c r="K13018" s="28" t="n">
        <v>2032</v>
      </c>
    </row>
    <row r="13019" customFormat="false" ht="17.15" hidden="false" customHeight="false" outlineLevel="0" collapsed="false">
      <c r="A13019" s="1" t="s">
        <v>798</v>
      </c>
      <c r="B13019" s="0" t="s">
        <v>392</v>
      </c>
      <c r="F13019" s="29" t="n">
        <f aca="false">pace_epoch</f>
        <v>650</v>
      </c>
      <c r="G13019" s="29" t="n">
        <f aca="false">pace_epoch</f>
        <v>650</v>
      </c>
      <c r="H13019" s="29" t="n">
        <f aca="false">pace_epoch</f>
        <v>650</v>
      </c>
      <c r="I13019" s="29" t="n">
        <f aca="false">pace_epoch+(g_tv*Sens!H13020-pace_epoch)*MIN(1,(Sens!I13018-pace_y0)/(pace_y1-pace_y0))</f>
        <v>477.193333333333</v>
      </c>
      <c r="J13019" s="29" t="n">
        <f aca="false">pace_epoch+(g_tv*Sens!H13020-pace_epoch)*MIN(1,(Sens!J13018-pace_y0)/(pace_y1-pace_y0))</f>
        <v>304.386666666667</v>
      </c>
      <c r="K13019" s="29" t="n">
        <f aca="false">pace_epoch+(g_tv*Sens!H13020-pace_epoch)*MIN(1,(Sens!K13018-pace_y0)/(pace_y1-pace_y0))</f>
        <v>131.58</v>
      </c>
      <c r="L13019" s="11" t="s">
        <v>799</v>
      </c>
    </row>
    <row r="13020" customFormat="false" ht="17.15" hidden="false" customHeight="false" outlineLevel="0" collapsed="false">
      <c r="A13020" s="1" t="s">
        <v>800</v>
      </c>
      <c r="B13020" s="0" t="s">
        <v>392</v>
      </c>
      <c r="C13020" s="29" t="n">
        <f aca="false">mw_ext_24</f>
        <v>640</v>
      </c>
      <c r="D13020" s="29" t="n">
        <f aca="false">mw_ext_25</f>
        <v>1630</v>
      </c>
      <c r="E13020" s="29" t="n">
        <f aca="false">mw_ext_26</f>
        <v>3250</v>
      </c>
      <c r="F13020" s="29" t="n">
        <f aca="false">MIN(cap_epoch,Sens!E13020+Sens!F13019)</f>
        <v>3900</v>
      </c>
      <c r="G13020" s="29" t="n">
        <f aca="false">MIN(cap_epoch,Sens!F13020+Sens!G13019)</f>
        <v>4386</v>
      </c>
      <c r="H13020" s="29" t="n">
        <f aca="false">MIN(cap_epoch,Sens!G13020+Sens!H13019)</f>
        <v>4386</v>
      </c>
      <c r="I13020" s="29" t="n">
        <f aca="false">MIN(cap_epoch,Sens!H13020+Sens!I13019)</f>
        <v>4386</v>
      </c>
      <c r="J13020" s="29" t="n">
        <f aca="false">MIN(cap_epoch,Sens!I13020+Sens!J13019)</f>
        <v>4386</v>
      </c>
      <c r="K13020" s="29" t="n">
        <f aca="false">MIN(cap_epoch,Sens!J13020+Sens!K13019)</f>
        <v>4386</v>
      </c>
      <c r="L13020" s="1" t="s">
        <v>801</v>
      </c>
    </row>
    <row r="13021" customFormat="false" ht="17.15" hidden="false" customHeight="false" outlineLevel="0" collapsed="false">
      <c r="A13021" s="1" t="s">
        <v>802</v>
      </c>
      <c r="B13021" s="0" t="s">
        <v>392</v>
      </c>
      <c r="C13021" s="29" t="n">
        <f aca="false">rent_ext_24</f>
        <v>150</v>
      </c>
      <c r="D13021" s="29" t="n">
        <f aca="false">rent_ext_25</f>
        <v>400</v>
      </c>
      <c r="E13021" s="29" t="n">
        <f aca="false">rent_ext_26</f>
        <v>550</v>
      </c>
      <c r="F13021" s="29" t="n">
        <f aca="false">rent_ext_f</f>
        <v>756</v>
      </c>
      <c r="G13021" s="29" t="n">
        <f aca="false">rent_ext_f</f>
        <v>756</v>
      </c>
      <c r="H13021" s="29" t="n">
        <f aca="false">rent_ext_f</f>
        <v>756</v>
      </c>
      <c r="I13021" s="29" t="n">
        <f aca="false">rent_ext_f</f>
        <v>756</v>
      </c>
      <c r="J13021" s="29" t="n">
        <f aca="false">rent_ext_f</f>
        <v>756</v>
      </c>
      <c r="K13021" s="29" t="n">
        <f aca="false">rent_ext_f</f>
        <v>756</v>
      </c>
      <c r="L13021" s="1" t="s">
        <v>803</v>
      </c>
    </row>
    <row r="13022" customFormat="false" ht="17.15" hidden="false" customHeight="false" outlineLevel="0" collapsed="false">
      <c r="A13022" s="1" t="s">
        <v>804</v>
      </c>
      <c r="B13022" s="0" t="s">
        <v>392</v>
      </c>
      <c r="C13022" s="29" t="n">
        <f aca="false">Sens!C13020-Sens!C13021</f>
        <v>490</v>
      </c>
      <c r="D13022" s="29" t="n">
        <f aca="false">Sens!D13020-Sens!D13021</f>
        <v>1230</v>
      </c>
      <c r="E13022" s="29" t="n">
        <f aca="false">Sens!E13020-Sens!E13021</f>
        <v>2700</v>
      </c>
      <c r="F13022" s="29" t="n">
        <f aca="false">Sens!F13020-Sens!F13021</f>
        <v>3144</v>
      </c>
      <c r="G13022" s="29" t="n">
        <f aca="false">Sens!G13020-Sens!G13021</f>
        <v>3630</v>
      </c>
      <c r="H13022" s="29" t="n">
        <f aca="false">Sens!H13020-Sens!H13021</f>
        <v>3630</v>
      </c>
      <c r="I13022" s="29" t="n">
        <f aca="false">Sens!I13020-Sens!I13021</f>
        <v>3630</v>
      </c>
      <c r="J13022" s="29" t="n">
        <f aca="false">Sens!J13020-Sens!J13021</f>
        <v>3630</v>
      </c>
      <c r="K13022" s="29" t="n">
        <f aca="false">Sens!K13020-Sens!K13021</f>
        <v>3630</v>
      </c>
    </row>
    <row r="13023" customFormat="false" ht="17.15" hidden="false" customHeight="false" outlineLevel="0" collapsed="false">
      <c r="A13023" s="1" t="s">
        <v>805</v>
      </c>
      <c r="B13023" s="0" t="s">
        <v>392</v>
      </c>
      <c r="C13023" s="29" t="n">
        <f aca="false">Sens!C13022/ext_sh</f>
        <v>816.666666666667</v>
      </c>
      <c r="D13023" s="29" t="n">
        <f aca="false">Sens!D13022/ext_sh</f>
        <v>2050</v>
      </c>
      <c r="E13023" s="29" t="n">
        <f aca="false">Sens!E13022/ext_sh</f>
        <v>4500</v>
      </c>
      <c r="F13023" s="29" t="n">
        <f aca="false">Sens!F13022/ext_sh</f>
        <v>5240</v>
      </c>
      <c r="G13023" s="29" t="n">
        <f aca="false">Sens!G13022/ext_sh</f>
        <v>6050</v>
      </c>
      <c r="H13023" s="29" t="n">
        <f aca="false">Sens!H13022/ext_sh</f>
        <v>6050</v>
      </c>
      <c r="I13023" s="29" t="n">
        <f aca="false">Sens!I13022/ext_sh</f>
        <v>6050</v>
      </c>
      <c r="J13023" s="29" t="n">
        <f aca="false">Sens!J13022/ext_sh</f>
        <v>6050</v>
      </c>
      <c r="K13023" s="29" t="n">
        <f aca="false">Sens!K13022/ext_sh</f>
        <v>6050</v>
      </c>
      <c r="L13023" s="1" t="s">
        <v>806</v>
      </c>
    </row>
    <row r="13024" customFormat="false" ht="17.15" hidden="false" customHeight="false" outlineLevel="0" collapsed="false">
      <c r="A13024" s="1" t="s">
        <v>807</v>
      </c>
      <c r="B13024" s="0" t="s">
        <v>392</v>
      </c>
      <c r="C13024" s="29" t="n">
        <f aca="false">Sens!C13023-Sens!C13022</f>
        <v>326.666666666667</v>
      </c>
      <c r="D13024" s="29" t="n">
        <f aca="false">Sens!D13023-Sens!D13022</f>
        <v>820</v>
      </c>
      <c r="E13024" s="29" t="n">
        <f aca="false">Sens!E13023-Sens!E13022</f>
        <v>1800</v>
      </c>
      <c r="F13024" s="29" t="n">
        <f aca="false">Sens!F13023-Sens!F13022</f>
        <v>2096</v>
      </c>
      <c r="G13024" s="29" t="n">
        <f aca="false">Sens!G13023-Sens!G13022</f>
        <v>2420</v>
      </c>
      <c r="H13024" s="29" t="n">
        <f aca="false">Sens!H13023-Sens!H13022</f>
        <v>2420</v>
      </c>
      <c r="I13024" s="29" t="n">
        <f aca="false">Sens!I13023-Sens!I13022</f>
        <v>2420</v>
      </c>
      <c r="J13024" s="29" t="n">
        <f aca="false">Sens!J13023-Sens!J13022</f>
        <v>2420</v>
      </c>
      <c r="K13024" s="29" t="n">
        <f aca="false">Sens!K13023-Sens!K13022</f>
        <v>2420</v>
      </c>
    </row>
    <row r="13025" customFormat="false" ht="17.15" hidden="false" customHeight="false" outlineLevel="0" collapsed="false">
      <c r="A13025" s="1" t="s">
        <v>808</v>
      </c>
      <c r="B13025" s="0" t="s">
        <v>392</v>
      </c>
      <c r="C13025" s="29" t="n">
        <f aca="false">Sens!C13023</f>
        <v>816.666666666667</v>
      </c>
      <c r="D13025" s="29" t="n">
        <f aca="false">Sens!D13023-Sens!C13023</f>
        <v>1233.33333333333</v>
      </c>
      <c r="E13025" s="29" t="n">
        <f aca="false">Sens!E13023-Sens!D13023</f>
        <v>2450</v>
      </c>
      <c r="F13025" s="29" t="n">
        <f aca="false">Sens!F13023-Sens!E13023</f>
        <v>740</v>
      </c>
      <c r="G13025" s="29" t="n">
        <f aca="false">Sens!G13023-Sens!F13023</f>
        <v>810</v>
      </c>
      <c r="H13025" s="29" t="n">
        <f aca="false">Sens!H13023-Sens!G13023</f>
        <v>0</v>
      </c>
      <c r="I13025" s="29" t="n">
        <f aca="false">Sens!I13023-Sens!H13023</f>
        <v>0</v>
      </c>
      <c r="J13025" s="29" t="n">
        <f aca="false">Sens!J13023-Sens!I13023</f>
        <v>0</v>
      </c>
      <c r="K13025" s="29" t="n">
        <f aca="false">Sens!K13023-Sens!J13023</f>
        <v>0</v>
      </c>
    </row>
    <row r="13026" customFormat="false" ht="17.15" hidden="false" customHeight="false" outlineLevel="0" collapsed="false">
      <c r="A13026" s="1" t="s">
        <v>809</v>
      </c>
      <c r="B13026" s="0" t="s">
        <v>392</v>
      </c>
      <c r="D13026" s="29" t="n">
        <f aca="false">Sens!D13020-Sens!C13020</f>
        <v>990</v>
      </c>
      <c r="E13026" s="29" t="n">
        <f aca="false">Sens!E13020-Sens!D13020</f>
        <v>1620</v>
      </c>
      <c r="F13026" s="29" t="n">
        <f aca="false">Sens!F13020-Sens!E13020</f>
        <v>650</v>
      </c>
      <c r="G13026" s="29" t="n">
        <f aca="false">Sens!G13020-Sens!F13020</f>
        <v>486</v>
      </c>
      <c r="H13026" s="29" t="n">
        <f aca="false">Sens!H13020-Sens!G13020</f>
        <v>0</v>
      </c>
      <c r="I13026" s="29" t="n">
        <f aca="false">Sens!I13020-Sens!H13020</f>
        <v>0</v>
      </c>
      <c r="J13026" s="29" t="n">
        <f aca="false">Sens!J13020-Sens!I13020</f>
        <v>0</v>
      </c>
      <c r="K13026" s="29" t="n">
        <f aca="false">Sens!K13020-Sens!J13020</f>
        <v>0</v>
      </c>
    </row>
    <row r="13027" customFormat="false" ht="17.15" hidden="false" customHeight="false" outlineLevel="0" collapsed="false">
      <c r="A13027" s="1" t="s">
        <v>810</v>
      </c>
      <c r="B13027" s="0" t="s">
        <v>392</v>
      </c>
      <c r="F13027" s="29" t="n">
        <f aca="false">Sens!F13044*ext_sh</f>
        <v>0</v>
      </c>
      <c r="G13027" s="29" t="n">
        <f aca="false">Sens!G13044*ext_sh</f>
        <v>0</v>
      </c>
      <c r="H13027" s="29" t="n">
        <f aca="false">Sens!H13044*ext_sh</f>
        <v>0</v>
      </c>
      <c r="I13027" s="29" t="n">
        <f aca="false">Sens!I13044*ext_sh</f>
        <v>490</v>
      </c>
      <c r="J13027" s="29" t="n">
        <f aca="false">Sens!J13044*ext_sh</f>
        <v>740</v>
      </c>
      <c r="K13027" s="29" t="n">
        <f aca="false">Sens!K13044*ext_sh</f>
        <v>1470</v>
      </c>
      <c r="L13027" s="1" t="s">
        <v>811</v>
      </c>
    </row>
    <row r="13028" customFormat="false" ht="17.15" hidden="false" customHeight="false" outlineLevel="0" collapsed="false">
      <c r="A13028" s="1" t="s">
        <v>812</v>
      </c>
      <c r="B13028" s="0" t="s">
        <v>392</v>
      </c>
      <c r="C13028" s="29" t="n">
        <f aca="false">mix_h*Sens!C13020</f>
        <v>128</v>
      </c>
      <c r="D13028" s="29" t="n">
        <f aca="false">mix_h*Sens!D13020</f>
        <v>326</v>
      </c>
      <c r="E13028" s="29" t="n">
        <f aca="false">mix_h*Sens!E13020</f>
        <v>650</v>
      </c>
      <c r="F13028" s="29" t="n">
        <f aca="false">Sens!E13028-Sens!F13027*mix_h</f>
        <v>650</v>
      </c>
      <c r="G13028" s="29" t="n">
        <f aca="false">Sens!F13028-Sens!G13027*mix_h</f>
        <v>650</v>
      </c>
      <c r="H13028" s="29" t="n">
        <f aca="false">Sens!G13028-Sens!H13027*mix_h</f>
        <v>650</v>
      </c>
      <c r="I13028" s="29" t="n">
        <f aca="false">Sens!H13028-Sens!I13027*mix_h</f>
        <v>552</v>
      </c>
      <c r="J13028" s="29" t="n">
        <f aca="false">Sens!I13028-Sens!J13027*mix_h</f>
        <v>404</v>
      </c>
      <c r="K13028" s="29" t="n">
        <f aca="false">Sens!J13028-Sens!K13027*mix_h</f>
        <v>110</v>
      </c>
    </row>
    <row r="13029" customFormat="false" ht="17.15" hidden="false" customHeight="false" outlineLevel="0" collapsed="false">
      <c r="A13029" s="1" t="s">
        <v>813</v>
      </c>
      <c r="B13029" s="0" t="s">
        <v>392</v>
      </c>
      <c r="C13029" s="29" t="n">
        <f aca="false">mix_g2*Sens!C13020</f>
        <v>288</v>
      </c>
      <c r="D13029" s="29" t="n">
        <f aca="false">mix_g2*Sens!D13020</f>
        <v>733.5</v>
      </c>
      <c r="E13029" s="29" t="n">
        <f aca="false">mix_g2*Sens!E13020</f>
        <v>1462.5</v>
      </c>
      <c r="F13029" s="29" t="n">
        <f aca="false">Sens!E13029-Sens!F13027*mix_g2</f>
        <v>1462.5</v>
      </c>
      <c r="G13029" s="29" t="n">
        <f aca="false">Sens!F13029-Sens!G13027*mix_g2</f>
        <v>1462.5</v>
      </c>
      <c r="H13029" s="29" t="n">
        <f aca="false">Sens!G13029-Sens!H13027*mix_g2</f>
        <v>1462.5</v>
      </c>
      <c r="I13029" s="29" t="n">
        <f aca="false">Sens!H13029-Sens!I13027*mix_g2</f>
        <v>1242</v>
      </c>
      <c r="J13029" s="29" t="n">
        <f aca="false">Sens!I13029-Sens!J13027*mix_g2</f>
        <v>909</v>
      </c>
      <c r="K13029" s="29" t="n">
        <f aca="false">Sens!J13029-Sens!K13027*mix_g2</f>
        <v>247.5</v>
      </c>
    </row>
    <row r="13030" customFormat="false" ht="17.15" hidden="false" customHeight="false" outlineLevel="0" collapsed="false">
      <c r="A13030" s="1" t="s">
        <v>814</v>
      </c>
      <c r="B13030" s="0" t="s">
        <v>392</v>
      </c>
      <c r="C13030" s="29" t="n">
        <f aca="false">mix_g3*Sens!C13020</f>
        <v>224</v>
      </c>
      <c r="D13030" s="29" t="n">
        <f aca="false">mix_g3*Sens!D13020</f>
        <v>570.5</v>
      </c>
      <c r="E13030" s="29" t="n">
        <f aca="false">mix_g3*Sens!E13020</f>
        <v>1137.5</v>
      </c>
      <c r="F13030" s="29" t="n">
        <f aca="false">Sens!E13030+(Sens!F13026+Sens!F13027)*a_g3_27-Sens!F13027*mix_g3</f>
        <v>1592.5</v>
      </c>
      <c r="G13030" s="29" t="n">
        <f aca="false">Sens!F13030+(Sens!G13026+Sens!G13027)*a_g3_28-Sens!G13027*mix_g3</f>
        <v>1738.3</v>
      </c>
      <c r="H13030" s="29" t="n">
        <f aca="false">Sens!G13030+(Sens!H13026+Sens!H13027)*a_g3_29-Sens!H13027*mix_g3</f>
        <v>1738.3</v>
      </c>
      <c r="I13030" s="29" t="n">
        <f aca="false">Sens!H13030+(Sens!I13026+Sens!I13027)*a_g3_29-Sens!I13027*mix_g3</f>
        <v>1615.8</v>
      </c>
      <c r="J13030" s="29" t="n">
        <f aca="false">Sens!I13030+(Sens!J13026+Sens!J13027)*a_g3_29-Sens!J13027*mix_g3</f>
        <v>1430.8</v>
      </c>
      <c r="K13030" s="29" t="n">
        <f aca="false">Sens!J13030+(Sens!K13026+Sens!K13027)*a_g3_29-Sens!K13027*mix_g3</f>
        <v>1063.3</v>
      </c>
    </row>
    <row r="13031" customFormat="false" ht="17.15" hidden="false" customHeight="false" outlineLevel="0" collapsed="false">
      <c r="A13031" s="1" t="s">
        <v>815</v>
      </c>
      <c r="B13031" s="0" t="s">
        <v>392</v>
      </c>
      <c r="C13031" s="29" t="n">
        <v>0</v>
      </c>
      <c r="D13031" s="29" t="n">
        <v>0</v>
      </c>
      <c r="E13031" s="29" t="n">
        <v>0</v>
      </c>
      <c r="F13031" s="29" t="n">
        <f aca="false">Sens!E13031+(Sens!F13026+Sens!F13027)*(1-a_g3_27)</f>
        <v>195</v>
      </c>
      <c r="G13031" s="29" t="n">
        <f aca="false">Sens!F13031+(Sens!G13026+Sens!G13027)*(1-a_g3_28)</f>
        <v>535.2</v>
      </c>
      <c r="H13031" s="29" t="n">
        <f aca="false">Sens!G13031+(Sens!H13026+Sens!H13027)*(1-a_g3_29)</f>
        <v>535.2</v>
      </c>
      <c r="I13031" s="29" t="n">
        <f aca="false">Sens!H13031+(Sens!I13026+Sens!I13027)*(1-a_g3_29)</f>
        <v>976.2</v>
      </c>
      <c r="J13031" s="29" t="n">
        <f aca="false">Sens!I13031+(Sens!J13026+Sens!J13027)*(1-a_g3_29)</f>
        <v>1642.2</v>
      </c>
      <c r="K13031" s="29" t="n">
        <f aca="false">Sens!J13031+(Sens!K13026+Sens!K13027)*(1-a_g3_29)</f>
        <v>2965.2</v>
      </c>
    </row>
    <row r="13032" customFormat="false" ht="17.15" hidden="false" customHeight="false" outlineLevel="0" collapsed="false">
      <c r="A13032" s="1" t="s">
        <v>816</v>
      </c>
      <c r="B13032" s="0" t="s">
        <v>339</v>
      </c>
      <c r="C13032" s="14" t="n">
        <f aca="false">(Sens!C13028*tk_hold_h100+Sens!C13029*tk_hold_gb200+Sens!C13030*tk_hold_gb300+Sens!C13031*tk_hold_vr200)/Sens!C13020</f>
        <v>9.7235358126469</v>
      </c>
      <c r="D13032" s="14" t="n">
        <f aca="false">(Sens!D13028*tk_hold_h100+Sens!D13029*tk_hold_gb200+Sens!D13030*tk_hold_gb300+Sens!D13031*tk_hold_vr200)/Sens!D13020</f>
        <v>9.7235358126469</v>
      </c>
      <c r="E13032" s="14" t="n">
        <f aca="false">(Sens!E13028*tk_hold_h100+Sens!E13029*tk_hold_gb200+Sens!E13030*tk_hold_gb300+Sens!E13031*tk_hold_vr200)/Sens!E13020</f>
        <v>9.7235358126469</v>
      </c>
      <c r="F13032" s="14" t="n">
        <f aca="false">(Sens!F13028*tk_hold_h100+Sens!F13029*tk_hold_gb200+Sens!F13030*tk_hold_gb300+Sens!F13031*tk_hold_vr200)/Sens!F13020</f>
        <v>9.9843013443478</v>
      </c>
      <c r="G13032" s="14" t="n">
        <f aca="false">(Sens!G13028*tk_hold_h100+Sens!G13029*tk_hold_gb200+Sens!G13030*tk_hold_gb300+Sens!G13031*tk_hold_vr200)/Sens!G13020</f>
        <v>10.1881256732384</v>
      </c>
      <c r="H13032" s="14" t="n">
        <f aca="false">(Sens!H13028*tk_hold_h100+Sens!H13029*tk_hold_gb200+Sens!H13030*tk_hold_gb300+Sens!H13031*tk_hold_vr200)/Sens!H13020</f>
        <v>10.1881256732384</v>
      </c>
      <c r="I13032" s="14" t="n">
        <f aca="false">(Sens!I13028*tk_hold_h100+Sens!I13029*tk_hold_gb200+Sens!I13030*tk_hold_gb300+Sens!I13031*tk_hold_vr200)/Sens!I13020</f>
        <v>10.4526797781011</v>
      </c>
      <c r="J13032" s="14" t="n">
        <f aca="false">(Sens!J13028*tk_hold_h100+Sens!J13029*tk_hold_gb200+Sens!J13030*tk_hold_gb300+Sens!J13031*tk_hold_vr200)/Sens!J13020</f>
        <v>10.8522104670775</v>
      </c>
      <c r="K13032" s="14" t="n">
        <f aca="false">(Sens!K13028*tk_hold_h100+Sens!K13029*tk_hold_gb200+Sens!K13030*tk_hold_gb300+Sens!K13031*tk_hold_vr200)/Sens!K13020</f>
        <v>11.6458727816658</v>
      </c>
    </row>
    <row r="13033" customFormat="false" ht="17.15" hidden="false" customHeight="false" outlineLevel="0" collapsed="false">
      <c r="A13033" s="0" t="s">
        <v>817</v>
      </c>
      <c r="B13033" s="0" t="s">
        <v>185</v>
      </c>
      <c r="C13033" s="14" t="n">
        <f aca="false">k_B</f>
        <v>1.17213932619116</v>
      </c>
      <c r="D13033" s="14" t="n">
        <f aca="false">k_B</f>
        <v>1.17213932619116</v>
      </c>
      <c r="E13033" s="14" t="n">
        <f aca="false">k_B</f>
        <v>1.17213932619116</v>
      </c>
      <c r="F13033" s="14" t="n">
        <f aca="false">(k_B+((ls_C*k_long+(1-ls_C)*k_spot)-k_B)*MIN(1,(Sens!F13018-base_fy)/k_ramp))</f>
        <v>1.07843258004497</v>
      </c>
      <c r="G13033" s="14" t="n">
        <f aca="false">(k_B+((ls_C*k_long+(1-ls_C)*k_spot)-k_B)*MIN(1,(Sens!G13018-base_fy)/k_ramp))</f>
        <v>0.984725833898784</v>
      </c>
      <c r="H13033" s="14" t="n">
        <f aca="false">(k_B+((ls_C*k_long+(1-ls_C)*k_spot)-k_B)*MIN(1,(Sens!H13018-base_fy)/k_ramp))</f>
        <v>0.891019087752599</v>
      </c>
      <c r="I13033" s="14" t="n">
        <f aca="false">(k_B+((ls_C*k_long+(1-ls_C)*k_spot)-k_B)*MIN(1,(Sens!I13018-base_fy)/k_ramp))</f>
        <v>0.891019087752599</v>
      </c>
      <c r="J13033" s="14" t="n">
        <f aca="false">(k_B+((ls_C*k_long+(1-ls_C)*k_spot)-k_B)*MIN(1,(Sens!J13018-base_fy)/k_ramp))</f>
        <v>0.891019087752599</v>
      </c>
      <c r="K13033" s="14" t="n">
        <f aca="false">(k_B+((ls_C*k_long+(1-ls_C)*k_spot)-k_B)*MIN(1,(Sens!K13018-base_fy)/k_ramp))</f>
        <v>0.891019087752599</v>
      </c>
      <c r="L13033" s="1" t="s">
        <v>818</v>
      </c>
    </row>
    <row r="13034" customFormat="false" ht="17.15" hidden="false" customHeight="false" outlineLevel="0" collapsed="false">
      <c r="A13034" s="1" t="s">
        <v>819</v>
      </c>
      <c r="B13034" s="0" t="s">
        <v>339</v>
      </c>
      <c r="C13034" s="14" t="n">
        <f aca="false">Sens!C13032*Sens!C13033*chip_f</f>
        <v>11.3973387156315</v>
      </c>
      <c r="D13034" s="14" t="n">
        <f aca="false">Sens!D13032*Sens!D13033*chip_f</f>
        <v>11.3973387156315</v>
      </c>
      <c r="E13034" s="14" t="n">
        <f aca="false">Sens!E13032*Sens!E13033*chip_f</f>
        <v>11.3973387156315</v>
      </c>
      <c r="F13034" s="14" t="n">
        <f aca="false">Sens!F13032*Sens!F13033*chip_f</f>
        <v>10.7673958587315</v>
      </c>
      <c r="G13034" s="14" t="n">
        <f aca="false">Sens!G13032*Sens!G13033*chip_f</f>
        <v>10.0325105494453</v>
      </c>
      <c r="H13034" s="14" t="n">
        <f aca="false">Sens!H13032*Sens!H13033*chip_f</f>
        <v>9.0778144432777</v>
      </c>
      <c r="I13034" s="14" t="n">
        <f aca="false">Sens!I13032*Sens!I13033*chip_f</f>
        <v>9.31353720045371</v>
      </c>
      <c r="J13034" s="14" t="n">
        <f aca="false">Sens!J13032*Sens!J13033*chip_f</f>
        <v>9.66952667047463</v>
      </c>
      <c r="K13034" s="14" t="n">
        <f aca="false">Sens!K13032*Sens!K13033*chip_f</f>
        <v>10.3766949420027</v>
      </c>
      <c r="L13034" s="1" t="s">
        <v>820</v>
      </c>
    </row>
    <row r="13035" customFormat="false" ht="17.15" hidden="false" customHeight="false" outlineLevel="0" collapsed="false">
      <c r="A13035" s="0" t="s">
        <v>821</v>
      </c>
      <c r="B13035" s="0" t="s">
        <v>98</v>
      </c>
      <c r="D13035" s="6" t="n">
        <f aca="false">(Sens!C13020+Sens!D13020)/2*Sens!D13034/1000</f>
        <v>12.9359794422418</v>
      </c>
      <c r="E13035" s="6" t="n">
        <f aca="false">(Sens!D13020+Sens!E13020)/2*Sens!E13034/1000</f>
        <v>27.8095064661409</v>
      </c>
      <c r="F13035" s="6" t="n">
        <f aca="false">(Sens!E13020+Sens!F13020)/2*Sens!F13034/1000</f>
        <v>38.493440194965</v>
      </c>
      <c r="G13035" s="6" t="n">
        <f aca="false">(Sens!F13020+Sens!G13020)/2*Sens!G13034/1000</f>
        <v>41.5646912063518</v>
      </c>
      <c r="H13035" s="6" t="n">
        <f aca="false">(Sens!G13020+Sens!H13020)/2*Sens!H13034/1000</f>
        <v>39.815294148216</v>
      </c>
      <c r="I13035" s="6" t="n">
        <f aca="false">(Sens!H13020+Sens!I13020)/2*Sens!I13034/1000</f>
        <v>40.84917416119</v>
      </c>
      <c r="J13035" s="6" t="n">
        <f aca="false">(Sens!I13020+Sens!J13020)/2*Sens!J13034/1000</f>
        <v>42.4105439767017</v>
      </c>
      <c r="K13035" s="6" t="n">
        <f aca="false">(Sens!J13020+Sens!K13020)/2*Sens!K13034/1000</f>
        <v>45.5121840156236</v>
      </c>
      <c r="L13035" s="11" t="s">
        <v>822</v>
      </c>
    </row>
    <row r="13036" customFormat="false" ht="17.15" hidden="false" customHeight="false" outlineLevel="0" collapsed="false">
      <c r="A13036" s="1" t="s">
        <v>823</v>
      </c>
      <c r="B13036" s="0" t="s">
        <v>339</v>
      </c>
      <c r="C13036" s="14" t="n">
        <f aca="false">(Sens!C13028*tk_opex_h100+Sens!C13029*tk_opex_gb200+Sens!C13030*tk_opex_gb300+Sens!C13031*tk_opex_vr200)/Sens!C13020</f>
        <v>1.88636041306092</v>
      </c>
      <c r="D13036" s="14" t="n">
        <f aca="false">(Sens!D13028*tk_opex_h100+Sens!D13029*tk_opex_gb200+Sens!D13030*tk_opex_gb300+Sens!D13031*tk_opex_vr200)/Sens!D13020</f>
        <v>1.88636041306092</v>
      </c>
      <c r="E13036" s="14" t="n">
        <f aca="false">(Sens!E13028*tk_opex_h100+Sens!E13029*tk_opex_gb200+Sens!E13030*tk_opex_gb300+Sens!E13031*tk_opex_vr200)/Sens!E13020</f>
        <v>1.88636041306092</v>
      </c>
      <c r="F13036" s="14" t="n">
        <f aca="false">(Sens!F13028*tk_opex_h100+Sens!F13029*tk_opex_gb200+Sens!F13030*tk_opex_gb300+Sens!F13031*tk_opex_vr200)/Sens!F13020</f>
        <v>1.90794918316667</v>
      </c>
      <c r="G13036" s="14" t="n">
        <f aca="false">(Sens!G13028*tk_opex_h100+Sens!G13029*tk_opex_gb200+Sens!G13030*tk_opex_gb300+Sens!G13031*tk_opex_vr200)/Sens!G13020</f>
        <v>1.92482379289624</v>
      </c>
      <c r="H13036" s="14" t="n">
        <f aca="false">(Sens!H13028*tk_opex_h100+Sens!H13029*tk_opex_gb200+Sens!H13030*tk_opex_gb300+Sens!H13031*tk_opex_vr200)/Sens!H13020</f>
        <v>1.92482379289624</v>
      </c>
      <c r="I13036" s="14" t="n">
        <f aca="false">(Sens!I13028*tk_opex_h100+Sens!I13029*tk_opex_gb200+Sens!I13030*tk_opex_gb300+Sens!I13031*tk_opex_vr200)/Sens!I13020</f>
        <v>1.946726218854</v>
      </c>
      <c r="J13036" s="14" t="n">
        <f aca="false">(Sens!J13028*tk_opex_h100+Sens!J13029*tk_opex_gb200+Sens!J13030*tk_opex_gb300+Sens!J13031*tk_opex_vr200)/Sens!J13020</f>
        <v>1.97980335193306</v>
      </c>
      <c r="K13036" s="14" t="n">
        <f aca="false">(Sens!K13028*tk_opex_h100+Sens!K13029*tk_opex_gb200+Sens!K13030*tk_opex_gb300+Sens!K13031*tk_opex_vr200)/Sens!K13020</f>
        <v>2.04551062980633</v>
      </c>
    </row>
    <row r="13037" customFormat="false" ht="17.15" hidden="false" customHeight="false" outlineLevel="0" collapsed="false">
      <c r="A13037" s="0" t="s">
        <v>824</v>
      </c>
      <c r="B13037" s="0" t="s">
        <v>98</v>
      </c>
      <c r="D13037" s="6" t="n">
        <f aca="false">(Sens!C13023+Sens!D13023)/2*Sens!D13036/1000</f>
        <v>2.70378325872065</v>
      </c>
      <c r="E13037" s="6" t="n">
        <f aca="false">(Sens!D13023+Sens!E13023)/2*Sens!E13036/1000</f>
        <v>6.17783035277451</v>
      </c>
      <c r="F13037" s="6" t="n">
        <f aca="false">(Sens!E13023+Sens!F13023)/2*Sens!F13036/1000</f>
        <v>9.29171252202166</v>
      </c>
      <c r="G13037" s="6" t="n">
        <f aca="false">(Sens!F13023+Sens!G13023)/2*Sens!G13036/1000</f>
        <v>10.8656303108993</v>
      </c>
      <c r="H13037" s="6" t="n">
        <f aca="false">(Sens!G13023+Sens!H13023)/2*Sens!H13036/1000</f>
        <v>11.6451839470223</v>
      </c>
      <c r="I13037" s="6" t="n">
        <f aca="false">(Sens!H13023+Sens!I13023)/2*Sens!I13036/1000</f>
        <v>11.7776936240667</v>
      </c>
      <c r="J13037" s="6" t="n">
        <f aca="false">(Sens!I13023+Sens!J13023)/2*Sens!J13036/1000</f>
        <v>11.977810279195</v>
      </c>
      <c r="K13037" s="6" t="n">
        <f aca="false">(Sens!J13023+Sens!K13023)/2*Sens!K13036/1000</f>
        <v>12.3753393103283</v>
      </c>
    </row>
    <row r="13038" customFormat="false" ht="17.15" hidden="false" customHeight="false" outlineLevel="0" collapsed="false">
      <c r="A13038" s="0" t="s">
        <v>825</v>
      </c>
      <c r="B13038" s="0" t="s">
        <v>98</v>
      </c>
      <c r="D13038" s="6" t="n">
        <f aca="false">(Sens!C13021+Sens!D13021)/2*rent_mw/1000</f>
        <v>2.44475</v>
      </c>
      <c r="E13038" s="6" t="n">
        <f aca="false">(Sens!D13021+Sens!E13021)/2*rent_mw/1000</f>
        <v>4.22275</v>
      </c>
      <c r="F13038" s="6" t="n">
        <f aca="false">(Sens!E13021+Sens!F13021)/2*rent_mw/1000</f>
        <v>5.80517</v>
      </c>
      <c r="G13038" s="6" t="n">
        <f aca="false">(Sens!F13021+Sens!G13021)/2*rent_mw/1000</f>
        <v>6.72084</v>
      </c>
      <c r="H13038" s="6" t="n">
        <f aca="false">(Sens!G13021+Sens!H13021)/2*rent_mw/1000</f>
        <v>6.72084</v>
      </c>
      <c r="I13038" s="6" t="n">
        <f aca="false">(Sens!H13021+Sens!I13021)/2*rent_mw/1000</f>
        <v>6.72084</v>
      </c>
      <c r="J13038" s="6" t="n">
        <f aca="false">(Sens!I13021+Sens!J13021)/2*rent_mw/1000</f>
        <v>6.72084</v>
      </c>
      <c r="K13038" s="6" t="n">
        <f aca="false">(Sens!J13021+Sens!K13021)/2*rent_mw/1000</f>
        <v>6.72084</v>
      </c>
    </row>
    <row r="13039" customFormat="false" ht="17.15" hidden="false" customHeight="false" outlineLevel="0" collapsed="false">
      <c r="A13039" s="0" t="s">
        <v>826</v>
      </c>
      <c r="B13039" s="0" t="s">
        <v>98</v>
      </c>
      <c r="D13039" s="6" t="n">
        <f aca="false">(Sens!C13023+Sens!D13023)/2*(1-self_build)*fac_rent/1000</f>
        <v>0.853242375631075</v>
      </c>
      <c r="E13039" s="6" t="n">
        <f aca="false">(Sens!D13023+Sens!E13023)/2*(1-self_build)*fac_rent/1000</f>
        <v>1.94955961408728</v>
      </c>
      <c r="F13039" s="6" t="n">
        <f aca="false">(Sens!E13023+Sens!F13023)/2*(1-self_build)*fac_rent/1000</f>
        <v>2.89903979255117</v>
      </c>
      <c r="G13039" s="6" t="n">
        <f aca="false">(Sens!F13023+Sens!G13023)/2*(1-self_build)*fac_rent/1000</f>
        <v>3.36038596077029</v>
      </c>
      <c r="H13039" s="6" t="n">
        <f aca="false">(Sens!G13023+Sens!H13023)/2*(1-self_build)*fac_rent/1000</f>
        <v>3.60147653900094</v>
      </c>
      <c r="I13039" s="6" t="n">
        <f aca="false">(Sens!H13023+Sens!I13023)/2*(1-self_build)*fac_rent/1000</f>
        <v>3.60147653900094</v>
      </c>
      <c r="J13039" s="6" t="n">
        <f aca="false">(Sens!I13023+Sens!J13023)/2*(1-self_build)*fac_rent/1000</f>
        <v>3.60147653900094</v>
      </c>
      <c r="K13039" s="6" t="n">
        <f aca="false">(Sens!J13023+Sens!K13023)/2*(1-self_build)*fac_rent/1000</f>
        <v>3.60147653900094</v>
      </c>
      <c r="L13039" s="11" t="s">
        <v>827</v>
      </c>
    </row>
    <row r="13040" customFormat="false" ht="17.15" hidden="false" customHeight="false" outlineLevel="0" collapsed="false">
      <c r="A13040" s="1" t="s">
        <v>828</v>
      </c>
      <c r="B13040" s="0" t="s">
        <v>129</v>
      </c>
      <c r="D13040" s="7" t="n">
        <f aca="false">(Sens!C13022+Sens!D13022)/(Sens!C13023+Sens!D13023)</f>
        <v>0.6</v>
      </c>
      <c r="E13040" s="7" t="n">
        <f aca="false">(Sens!D13022+Sens!E13022)/(Sens!D13023+Sens!E13023)</f>
        <v>0.6</v>
      </c>
      <c r="F13040" s="7" t="n">
        <f aca="false">(Sens!E13022+Sens!F13022)/(Sens!E13023+Sens!F13023)</f>
        <v>0.6</v>
      </c>
      <c r="G13040" s="7" t="n">
        <f aca="false">(Sens!F13022+Sens!G13022)/(Sens!F13023+Sens!G13023)</f>
        <v>0.6</v>
      </c>
      <c r="H13040" s="7" t="n">
        <f aca="false">(Sens!G13022+Sens!H13022)/(Sens!G13023+Sens!H13023)</f>
        <v>0.6</v>
      </c>
      <c r="I13040" s="7" t="n">
        <f aca="false">(Sens!H13022+Sens!I13022)/(Sens!H13023+Sens!I13023)</f>
        <v>0.6</v>
      </c>
      <c r="J13040" s="7" t="n">
        <f aca="false">(Sens!I13022+Sens!J13022)/(Sens!I13023+Sens!J13023)</f>
        <v>0.6</v>
      </c>
      <c r="K13040" s="7" t="n">
        <f aca="false">(Sens!J13022+Sens!K13022)/(Sens!J13023+Sens!K13023)</f>
        <v>0.6</v>
      </c>
    </row>
    <row r="13041" customFormat="false" ht="17.15" hidden="false" customHeight="false" outlineLevel="0" collapsed="false">
      <c r="A13041" s="0" t="s">
        <v>829</v>
      </c>
      <c r="B13041" s="0" t="s">
        <v>98</v>
      </c>
      <c r="D13041" s="6" t="n">
        <f aca="false">Sens!D13035-Sens!D13040*(Sens!D13037+Sens!D13039)-Sens!D13038</f>
        <v>8.35701406163072</v>
      </c>
      <c r="E13041" s="6" t="n">
        <f aca="false">Sens!E13035-Sens!E13040*(Sens!E13037+Sens!E13039)-Sens!E13038</f>
        <v>18.7103224860238</v>
      </c>
      <c r="F13041" s="6" t="n">
        <f aca="false">Sens!F13035-Sens!F13040*(Sens!F13037+Sens!F13039)-Sens!F13038</f>
        <v>25.3738188062213</v>
      </c>
      <c r="G13041" s="6" t="n">
        <f aca="false">Sens!G13035-Sens!G13040*(Sens!G13037+Sens!G13039)-Sens!G13038</f>
        <v>26.3082414433501</v>
      </c>
      <c r="H13041" s="6" t="n">
        <f aca="false">Sens!H13035-Sens!H13040*(Sens!H13037+Sens!H13039)-Sens!H13038</f>
        <v>23.9464578566021</v>
      </c>
      <c r="I13041" s="6" t="n">
        <f aca="false">Sens!I13035-Sens!I13040*(Sens!I13037+Sens!I13039)-Sens!I13038</f>
        <v>24.9008320633494</v>
      </c>
      <c r="J13041" s="6" t="n">
        <f aca="false">Sens!J13035-Sens!J13040*(Sens!J13037+Sens!J13039)-Sens!J13038</f>
        <v>26.3421318857841</v>
      </c>
      <c r="K13041" s="6" t="n">
        <f aca="false">Sens!K13035-Sens!K13040*(Sens!K13037+Sens!K13039)-Sens!K13038</f>
        <v>29.2052545060261</v>
      </c>
    </row>
    <row r="13042" customFormat="false" ht="17.15" hidden="false" customHeight="false" outlineLevel="0" collapsed="false">
      <c r="A13042" s="1" t="s">
        <v>830</v>
      </c>
      <c r="B13042" s="0" t="s">
        <v>98</v>
      </c>
      <c r="D13042" s="6" t="n">
        <f aca="false">(1-Sens!D13040)*(Sens!D13037+Sens!D13039)</f>
        <v>1.42281025374069</v>
      </c>
      <c r="E13042" s="6" t="n">
        <f aca="false">(1-Sens!E13040)*(Sens!E13037+Sens!E13039)</f>
        <v>3.25095598674472</v>
      </c>
      <c r="F13042" s="6" t="n">
        <f aca="false">(1-Sens!F13040)*(Sens!F13037+Sens!F13039)</f>
        <v>4.87630092582913</v>
      </c>
      <c r="G13042" s="6" t="n">
        <f aca="false">(1-Sens!G13040)*(Sens!G13037+Sens!G13039)</f>
        <v>5.69040650866783</v>
      </c>
      <c r="H13042" s="6" t="n">
        <f aca="false">(1-Sens!H13040)*(Sens!H13037+Sens!H13039)</f>
        <v>6.09866419440928</v>
      </c>
      <c r="I13042" s="6" t="n">
        <f aca="false">(1-Sens!I13040)*(Sens!I13037+Sens!I13039)</f>
        <v>6.15166806522705</v>
      </c>
      <c r="J13042" s="6" t="n">
        <f aca="false">(1-Sens!J13040)*(Sens!J13037+Sens!J13039)</f>
        <v>6.23171472727838</v>
      </c>
      <c r="K13042" s="6" t="n">
        <f aca="false">(1-Sens!K13040)*(Sens!K13037+Sens!K13039)</f>
        <v>6.39072633973169</v>
      </c>
    </row>
    <row r="13043" customFormat="false" ht="17.15" hidden="false" customHeight="false" outlineLevel="0" collapsed="false">
      <c r="A13043" s="1" t="s">
        <v>831</v>
      </c>
      <c r="B13043" s="0" t="s">
        <v>350</v>
      </c>
      <c r="C13043" s="8" t="n">
        <f aca="false">cxit_open</f>
        <v>27.5918995</v>
      </c>
      <c r="D13043" s="8" t="n">
        <f aca="false">cxit_open</f>
        <v>27.5918995</v>
      </c>
      <c r="E13043" s="8" t="n">
        <f aca="false">cxit_open</f>
        <v>27.5918995</v>
      </c>
      <c r="F13043" s="8" t="n">
        <f aca="false">(a_g3_27*tk_cxit_gb300+(1-a_g3_27)*tk_cxit_vr200)</f>
        <v>33.8419624</v>
      </c>
      <c r="G13043" s="8" t="n">
        <f aca="false">(a_g3_28*tk_cxit_gb300+(1-a_g3_28)*tk_cxit_vr200)</f>
        <v>35.9816136</v>
      </c>
      <c r="H13043" s="8" t="n">
        <f aca="false">(a_g3_29*tk_cxit_gb300+(1-a_g3_29)*tk_cxit_vr200)</f>
        <v>37.0514392</v>
      </c>
      <c r="I13043" s="8" t="n">
        <f aca="false">(a_g3_29*tk_cxit_gb300+(1-a_g3_29)*tk_cxit_vr200)</f>
        <v>37.0514392</v>
      </c>
      <c r="J13043" s="8" t="n">
        <f aca="false">(a_g3_29*tk_cxit_gb300+(1-a_g3_29)*tk_cxit_vr200)</f>
        <v>37.0514392</v>
      </c>
      <c r="K13043" s="8" t="n">
        <f aca="false">(a_g3_29*tk_cxit_gb300+(1-a_g3_29)*tk_cxit_vr200)</f>
        <v>37.0514392</v>
      </c>
      <c r="L13043" s="11" t="s">
        <v>832</v>
      </c>
    </row>
    <row r="13044" customFormat="false" ht="17.15" hidden="false" customHeight="false" outlineLevel="0" collapsed="false">
      <c r="A13044" s="0" t="s">
        <v>833</v>
      </c>
      <c r="B13044" s="0" t="s">
        <v>392</v>
      </c>
      <c r="F13044" s="29" t="n">
        <f aca="false">Sens!C13025*IF(Sens!F13018-Sens!C13018=life_it,1,0)+Sens!D13025*IF(Sens!F13018-Sens!D13018=life_it,1,0)+Sens!E13025*IF(Sens!F13018-Sens!E13018=life_it,1,0)</f>
        <v>0</v>
      </c>
      <c r="G13044" s="29" t="n">
        <f aca="false">Sens!C13025*IF(Sens!G13018-Sens!C13018=life_it,1,0)+Sens!D13025*IF(Sens!G13018-Sens!D13018=life_it,1,0)+Sens!E13025*IF(Sens!G13018-Sens!E13018=life_it,1,0)+Sens!F13025*IF(Sens!G13018-Sens!F13018=life_it,1,0)</f>
        <v>0</v>
      </c>
      <c r="H13044" s="29" t="n">
        <f aca="false">Sens!C13025*IF(Sens!H13018-Sens!C13018=life_it,1,0)+Sens!D13025*IF(Sens!H13018-Sens!D13018=life_it,1,0)+Sens!E13025*IF(Sens!H13018-Sens!E13018=life_it,1,0)+Sens!F13025*IF(Sens!H13018-Sens!F13018=life_it,1,0)+Sens!G13025*IF(Sens!H13018-Sens!G13018=life_it,1,0)</f>
        <v>0</v>
      </c>
      <c r="I13044" s="29" t="n">
        <f aca="false">Sens!C13025*IF(Sens!I13018-Sens!C13018=life_it,1,0)+Sens!D13025*IF(Sens!I13018-Sens!D13018=life_it,1,0)+Sens!E13025*IF(Sens!I13018-Sens!E13018=life_it,1,0)+Sens!F13025*IF(Sens!I13018-Sens!F13018=life_it,1,0)+Sens!G13025*IF(Sens!I13018-Sens!G13018=life_it,1,0)+Sens!H13025*IF(Sens!I13018-Sens!H13018=life_it,1,0)</f>
        <v>816.666666666667</v>
      </c>
      <c r="J13044" s="29" t="n">
        <f aca="false">Sens!C13025*IF(Sens!J13018-Sens!C13018=life_it,1,0)+Sens!D13025*IF(Sens!J13018-Sens!D13018=life_it,1,0)+Sens!E13025*IF(Sens!J13018-Sens!E13018=life_it,1,0)+Sens!F13025*IF(Sens!J13018-Sens!F13018=life_it,1,0)+Sens!G13025*IF(Sens!J13018-Sens!G13018=life_it,1,0)+Sens!H13025*IF(Sens!J13018-Sens!H13018=life_it,1,0)+Sens!I13025*IF(Sens!J13018-Sens!I13018=life_it,1,0)</f>
        <v>1233.33333333333</v>
      </c>
      <c r="K13044" s="29" t="n">
        <f aca="false">Sens!C13025*IF(Sens!K13018-Sens!C13018=life_it,1,0)+Sens!D13025*IF(Sens!K13018-Sens!D13018=life_it,1,0)+Sens!E13025*IF(Sens!K13018-Sens!E13018=life_it,1,0)+Sens!F13025*IF(Sens!K13018-Sens!F13018=life_it,1,0)+Sens!G13025*IF(Sens!K13018-Sens!G13018=life_it,1,0)+Sens!H13025*IF(Sens!K13018-Sens!H13018=life_it,1,0)+Sens!I13025*IF(Sens!K13018-Sens!I13018=life_it,1,0)+Sens!J13025*IF(Sens!K13018-Sens!J13018=life_it,1,0)</f>
        <v>2450</v>
      </c>
      <c r="L13044" s="1" t="s">
        <v>834</v>
      </c>
    </row>
    <row r="13045" customFormat="false" ht="17.15" hidden="false" customHeight="false" outlineLevel="0" collapsed="false">
      <c r="A13045" s="0" t="s">
        <v>835</v>
      </c>
      <c r="B13045" s="0" t="s">
        <v>98</v>
      </c>
      <c r="C13045" s="6" t="n">
        <f aca="false">Sens!C13025*Sens!C13043/1000</f>
        <v>22.5333845916667</v>
      </c>
      <c r="D13045" s="6" t="n">
        <f aca="false">Sens!D13025*Sens!D13043/1000</f>
        <v>34.0300093833333</v>
      </c>
      <c r="E13045" s="6" t="n">
        <f aca="false">Sens!E13025*Sens!E13043/1000</f>
        <v>67.600153775</v>
      </c>
      <c r="F13045" s="6" t="n">
        <f aca="false">(Sens!F13025+Sens!F13044)*Sens!F13043/1000</f>
        <v>25.043052176</v>
      </c>
      <c r="G13045" s="6" t="n">
        <f aca="false">(Sens!G13025+Sens!G13044)*Sens!G13043/1000</f>
        <v>29.145107016</v>
      </c>
      <c r="H13045" s="6" t="n">
        <f aca="false">(Sens!H13025+Sens!H13044)*Sens!H13043/1000</f>
        <v>0</v>
      </c>
      <c r="I13045" s="6" t="n">
        <f aca="false">(Sens!I13025+Sens!I13044)*Sens!I13043/1000</f>
        <v>30.2586753466667</v>
      </c>
      <c r="J13045" s="6" t="n">
        <f aca="false">(Sens!J13025+Sens!J13044)*Sens!J13043/1000</f>
        <v>45.6967750133333</v>
      </c>
      <c r="K13045" s="6" t="n">
        <f aca="false">(Sens!K13025+Sens!K13044)*Sens!K13043/1000</f>
        <v>90.77602604</v>
      </c>
    </row>
    <row r="13046" customFormat="false" ht="17.15" hidden="false" customHeight="false" outlineLevel="0" collapsed="false">
      <c r="A13046" s="0" t="s">
        <v>836</v>
      </c>
      <c r="B13046" s="0" t="s">
        <v>98</v>
      </c>
      <c r="C13046" s="6" t="n">
        <f aca="false">Sens!C13025*self_build*tk_cxfac/1000</f>
        <v>6.2083</v>
      </c>
      <c r="D13046" s="6" t="n">
        <f aca="false">Sens!D13025*self_build*tk_cxfac/1000</f>
        <v>9.3758</v>
      </c>
      <c r="E13046" s="6" t="n">
        <f aca="false">Sens!E13025*self_build*tk_cxfac/1000</f>
        <v>18.6249</v>
      </c>
      <c r="F13046" s="6" t="n">
        <f aca="false">Sens!F13025*self_build*tk_cxfac/1000</f>
        <v>5.62548</v>
      </c>
      <c r="G13046" s="6" t="n">
        <f aca="false">Sens!G13025*self_build*tk_cxfac/1000</f>
        <v>6.15762</v>
      </c>
      <c r="H13046" s="6" t="n">
        <f aca="false">Sens!H13025*self_build*tk_cxfac/1000</f>
        <v>0</v>
      </c>
      <c r="I13046" s="6" t="n">
        <f aca="false">Sens!I13025*self_build*tk_cxfac/1000</f>
        <v>0</v>
      </c>
      <c r="J13046" s="6" t="n">
        <f aca="false">Sens!J13025*self_build*tk_cxfac/1000</f>
        <v>0</v>
      </c>
      <c r="K13046" s="6" t="n">
        <f aca="false">Sens!K13025*self_build*tk_cxfac/1000</f>
        <v>0</v>
      </c>
    </row>
    <row r="13047" customFormat="false" ht="17.15" hidden="false" customHeight="false" outlineLevel="0" collapsed="false">
      <c r="A13047" s="0" t="s">
        <v>837</v>
      </c>
      <c r="B13047" s="0" t="s">
        <v>98</v>
      </c>
      <c r="F13047" s="6" t="n">
        <f aca="false">MAX(0,capex_floor27-Sens!F13045-Sens!F13046-Sens!F13140)</f>
        <v>138.102120594438</v>
      </c>
      <c r="L13047" s="1" t="s">
        <v>838</v>
      </c>
    </row>
    <row r="13048" customFormat="false" ht="17.15" hidden="false" customHeight="false" outlineLevel="0" collapsed="false">
      <c r="A13048" s="0" t="s">
        <v>839</v>
      </c>
      <c r="B13048" s="0" t="s">
        <v>98</v>
      </c>
      <c r="C13048" s="6" t="n">
        <f aca="false">Sens!C13045</f>
        <v>22.5333845916667</v>
      </c>
      <c r="D13048" s="6" t="n">
        <f aca="false">Sens!D13045</f>
        <v>34.0300093833333</v>
      </c>
      <c r="E13048" s="6" t="n">
        <f aca="false">Sens!E13045</f>
        <v>67.600153775</v>
      </c>
      <c r="F13048" s="6" t="n">
        <f aca="false">Sens!F13045+Sens!F13047</f>
        <v>163.145172770438</v>
      </c>
      <c r="G13048" s="6" t="n">
        <f aca="false">Sens!G13045</f>
        <v>29.145107016</v>
      </c>
      <c r="H13048" s="6" t="n">
        <f aca="false">Sens!H13045</f>
        <v>0</v>
      </c>
      <c r="I13048" s="6" t="n">
        <f aca="false">Sens!I13045</f>
        <v>30.2586753466667</v>
      </c>
      <c r="J13048" s="6" t="n">
        <f aca="false">Sens!J13045</f>
        <v>45.6967750133333</v>
      </c>
      <c r="K13048" s="6" t="n">
        <f aca="false">Sens!K13045</f>
        <v>90.77602604</v>
      </c>
    </row>
    <row r="13049" customFormat="false" ht="17.15" hidden="false" customHeight="false" outlineLevel="0" collapsed="false">
      <c r="A13049" s="0" t="s">
        <v>840</v>
      </c>
      <c r="B13049" s="0" t="s">
        <v>98</v>
      </c>
      <c r="C13049" s="6" t="n">
        <f aca="false">Sens!C13048+Sens!C13046</f>
        <v>28.7416845916667</v>
      </c>
      <c r="D13049" s="6" t="n">
        <f aca="false">Sens!D13048+Sens!D13046</f>
        <v>43.4058093833333</v>
      </c>
      <c r="E13049" s="6" t="n">
        <f aca="false">Sens!E13048+Sens!E13046</f>
        <v>86.225053775</v>
      </c>
      <c r="F13049" s="6" t="n">
        <f aca="false">Sens!F13048+Sens!F13046</f>
        <v>168.770652770438</v>
      </c>
      <c r="G13049" s="6" t="n">
        <f aca="false">Sens!G13048+Sens!G13046</f>
        <v>35.302727016</v>
      </c>
      <c r="H13049" s="6" t="n">
        <f aca="false">Sens!H13048+Sens!H13046</f>
        <v>0</v>
      </c>
      <c r="I13049" s="6" t="n">
        <f aca="false">Sens!I13048+Sens!I13046</f>
        <v>30.2586753466667</v>
      </c>
      <c r="J13049" s="6" t="n">
        <f aca="false">Sens!J13048+Sens!J13046</f>
        <v>45.6967750133333</v>
      </c>
      <c r="K13049" s="6" t="n">
        <f aca="false">Sens!K13048+Sens!K13046</f>
        <v>90.77602604</v>
      </c>
      <c r="L13049" s="11" t="s">
        <v>841</v>
      </c>
    </row>
    <row r="13050" customFormat="false" ht="17.15" hidden="false" customHeight="false" outlineLevel="0" collapsed="false">
      <c r="A13050" s="0" t="s">
        <v>842</v>
      </c>
      <c r="B13050" s="0" t="s">
        <v>98</v>
      </c>
      <c r="E13050" s="6" t="n">
        <f aca="false">(Sens!C13048*IF(2&lt;life_it,1,IF(2=life_it,0.5,0))+Sens!D13048*IF(1&lt;life_it,1,IF(1=life_it,0.5,0))+Sens!E13048*0.5)/life_it</f>
        <v>15.0605784770833</v>
      </c>
      <c r="F13050" s="6" t="n">
        <f aca="false">(Sens!C13048*IF(3&lt;life_it,1,IF(3=life_it,0.5,0))+Sens!D13048*IF(2&lt;life_it,1,IF(2=life_it,0.5,0))+Sens!E13048*IF(1&lt;life_it,1,IF(1=life_it,0.5,0))+Sens!F13048*0.5)/life_it</f>
        <v>34.2893556892031</v>
      </c>
      <c r="G13050" s="6" t="n">
        <f aca="false">(Sens!C13048*IF(4&lt;life_it,1,IF(4=life_it,0.5,0))+Sens!D13048*IF(3&lt;life_it,1,IF(3=life_it,0.5,0))+Sens!E13048*IF(2&lt;life_it,1,IF(2=life_it,0.5,0))+Sens!F13048*IF(1&lt;life_it,1,IF(1=life_it,0.5,0))+Sens!G13048*0.5)/life_it</f>
        <v>50.3135456714063</v>
      </c>
      <c r="H13050" s="6" t="n">
        <f aca="false">(Sens!C13048*IF(5&lt;life_it,1,IF(5=life_it,0.5,0))+Sens!D13048*IF(4&lt;life_it,1,IF(4=life_it,0.5,0))+Sens!E13048*IF(3&lt;life_it,1,IF(3=life_it,0.5,0))+Sens!F13048*IF(2&lt;life_it,1,IF(2=life_it,0.5,0))+Sens!G13048*IF(1&lt;life_it,1,IF(1=life_it,0.5,0))+Sens!H13048*0.5)/life_it</f>
        <v>52.7423045894063</v>
      </c>
      <c r="I13050" s="6" t="n">
        <f aca="false">(Sens!C13048*IF(6&lt;life_it,1,IF(6=life_it,0.5,0))+Sens!D13048*IF(5&lt;life_it,1,IF(5=life_it,0.5,0))+Sens!E13048*IF(4&lt;life_it,1,IF(4=life_it,0.5,0))+Sens!F13048*IF(3&lt;life_it,1,IF(3=life_it,0.5,0))+Sens!G13048*IF(2&lt;life_it,1,IF(2=life_it,0.5,0))+Sens!H13048*IF(1&lt;life_it,1,IF(1=life_it,0.5,0))+Sens!I13048*0.5)/life_it</f>
        <v>53.3860788189896</v>
      </c>
      <c r="J13050" s="6" t="n">
        <f aca="false">(Sens!C13048*IF(7&lt;life_it,1,IF(7=life_it,0.5,0))+Sens!D13048*IF(6&lt;life_it,1,IF(6=life_it,0.5,0))+Sens!E13048*IF(5&lt;life_it,1,IF(5=life_it,0.5,0))+Sens!F13048*IF(4&lt;life_it,1,IF(4=life_it,0.5,0))+Sens!G13048*IF(3&lt;life_it,1,IF(3=life_it,0.5,0))+Sens!H13048*IF(2&lt;life_it,1,IF(2=life_it,0.5,0))+Sens!I13048*IF(1&lt;life_it,1,IF(1=life_it,0.5,0))+Sens!J13048*0.5)/life_it</f>
        <v>55.0020835177396</v>
      </c>
      <c r="K13050" s="6" t="n">
        <f aca="false">(Sens!C13048*IF(8&lt;life_it,1,IF(8=life_it,0.5,0))+Sens!D13048*IF(7&lt;life_it,1,IF(7=life_it,0.5,0))+Sens!E13048*IF(6&lt;life_it,1,IF(6=life_it,0.5,0))+Sens!F13048*IF(5&lt;life_it,1,IF(5=life_it,0.5,0))+Sens!G13048*IF(4&lt;life_it,1,IF(4=life_it,0.5,0))+Sens!H13048*IF(3&lt;life_it,1,IF(3=life_it,0.5,0))+Sens!I13048*IF(2&lt;life_it,1,IF(2=life_it,0.5,0))+Sens!J13048*IF(1&lt;life_it,1,IF(1=life_it,0.5,0))+Sens!K13048*0.5)/life_it</f>
        <v>57.9056366756563</v>
      </c>
    </row>
    <row r="13051" customFormat="false" ht="17.15" hidden="false" customHeight="false" outlineLevel="0" collapsed="false">
      <c r="A13051" s="0" t="s">
        <v>843</v>
      </c>
      <c r="B13051" s="0" t="s">
        <v>98</v>
      </c>
      <c r="E13051" s="6" t="n">
        <f aca="false">(Sens!C13046*IF(2&lt;life_fac,1,IF(2=life_fac,0.5,0))+Sens!D13046*IF(1&lt;life_fac,1,IF(1=life_fac,0.5,0))+Sens!E13046*0.5)/life_fac</f>
        <v>1.2448275</v>
      </c>
      <c r="F13051" s="6" t="n">
        <f aca="false">(Sens!C13046*IF(3&lt;life_fac,1,IF(3=life_fac,0.5,0))+Sens!D13046*IF(2&lt;life_fac,1,IF(2=life_fac,0.5,0))+Sens!E13046*IF(1&lt;life_fac,1,IF(1=life_fac,0.5,0))+Sens!F13046*0.5)/life_fac</f>
        <v>1.851087</v>
      </c>
      <c r="G13051" s="6" t="n">
        <f aca="false">(Sens!C13046*IF(4&lt;life_fac,1,IF(4=life_fac,0.5,0))+Sens!D13046*IF(3&lt;life_fac,1,IF(3=life_fac,0.5,0))+Sens!E13046*IF(2&lt;life_fac,1,IF(2=life_fac,0.5,0))+Sens!F13046*IF(1&lt;life_fac,1,IF(1=life_fac,0.5,0))+Sens!G13046*0.5)/life_fac</f>
        <v>2.1456645</v>
      </c>
      <c r="H13051" s="6" t="n">
        <f aca="false">(Sens!C13046*IF(5&lt;life_fac,1,IF(5=life_fac,0.5,0))+Sens!D13046*IF(4&lt;life_fac,1,IF(4=life_fac,0.5,0))+Sens!E13046*IF(3&lt;life_fac,1,IF(3=life_fac,0.5,0))+Sens!F13046*IF(2&lt;life_fac,1,IF(2=life_fac,0.5,0))+Sens!G13046*IF(1&lt;life_fac,1,IF(1=life_fac,0.5,0))+Sens!H13046*0.5)/life_fac</f>
        <v>2.299605</v>
      </c>
      <c r="I13051" s="6" t="n">
        <f aca="false">(Sens!C13046*IF(6&lt;life_fac,1,IF(6=life_fac,0.5,0))+Sens!D13046*IF(5&lt;life_fac,1,IF(5=life_fac,0.5,0))+Sens!E13046*IF(4&lt;life_fac,1,IF(4=life_fac,0.5,0))+Sens!F13046*IF(3&lt;life_fac,1,IF(3=life_fac,0.5,0))+Sens!G13046*IF(2&lt;life_fac,1,IF(2=life_fac,0.5,0))+Sens!H13046*IF(1&lt;life_fac,1,IF(1=life_fac,0.5,0))+Sens!I13046*0.5)/life_fac</f>
        <v>2.299605</v>
      </c>
      <c r="J13051" s="6" t="n">
        <f aca="false">(Sens!C13046*IF(7&lt;life_fac,1,IF(7=life_fac,0.5,0))+Sens!D13046*IF(6&lt;life_fac,1,IF(6=life_fac,0.5,0))+Sens!E13046*IF(5&lt;life_fac,1,IF(5=life_fac,0.5,0))+Sens!F13046*IF(4&lt;life_fac,1,IF(4=life_fac,0.5,0))+Sens!G13046*IF(3&lt;life_fac,1,IF(3=life_fac,0.5,0))+Sens!H13046*IF(2&lt;life_fac,1,IF(2=life_fac,0.5,0))+Sens!I13046*IF(1&lt;life_fac,1,IF(1=life_fac,0.5,0))+Sens!J13046*0.5)/life_fac</f>
        <v>2.299605</v>
      </c>
      <c r="K13051" s="6" t="n">
        <f aca="false">(Sens!C13046*IF(8&lt;life_fac,1,IF(8=life_fac,0.5,0))+Sens!D13046*IF(7&lt;life_fac,1,IF(7=life_fac,0.5,0))+Sens!E13046*IF(6&lt;life_fac,1,IF(6=life_fac,0.5,0))+Sens!F13046*IF(5&lt;life_fac,1,IF(5=life_fac,0.5,0))+Sens!G13046*IF(4&lt;life_fac,1,IF(4=life_fac,0.5,0))+Sens!H13046*IF(3&lt;life_fac,1,IF(3=life_fac,0.5,0))+Sens!I13046*IF(2&lt;life_fac,1,IF(2=life_fac,0.5,0))+Sens!J13046*IF(1&lt;life_fac,1,IF(1=life_fac,0.5,0))+Sens!K13046*0.5)/life_fac</f>
        <v>2.299605</v>
      </c>
    </row>
    <row r="13052" customFormat="false" ht="17.15" hidden="false" customHeight="false" outlineLevel="0" collapsed="false">
      <c r="A13052" s="0" t="s">
        <v>844</v>
      </c>
      <c r="B13052" s="0" t="s">
        <v>98</v>
      </c>
      <c r="E13052" s="6" t="n">
        <f aca="false">Sens!E13050+Sens!E13051</f>
        <v>16.3054059770833</v>
      </c>
      <c r="F13052" s="6" t="n">
        <f aca="false">Sens!F13050+Sens!F13051</f>
        <v>36.1404426892031</v>
      </c>
      <c r="G13052" s="6" t="n">
        <f aca="false">Sens!G13050+Sens!G13051</f>
        <v>52.4592101714063</v>
      </c>
      <c r="H13052" s="6" t="n">
        <f aca="false">Sens!H13050+Sens!H13051</f>
        <v>55.0419095894063</v>
      </c>
      <c r="I13052" s="6" t="n">
        <f aca="false">Sens!I13050+Sens!I13051</f>
        <v>55.6856838189896</v>
      </c>
      <c r="J13052" s="6" t="n">
        <f aca="false">Sens!J13050+Sens!J13051</f>
        <v>57.3016885177396</v>
      </c>
      <c r="K13052" s="6" t="n">
        <f aca="false">Sens!K13050+Sens!K13051</f>
        <v>60.2052416756563</v>
      </c>
    </row>
    <row r="13053" customFormat="false" ht="17.15" hidden="false" customHeight="false" outlineLevel="0" collapsed="false">
      <c r="A13053" s="0" t="s">
        <v>845</v>
      </c>
      <c r="B13053" s="0" t="s">
        <v>98</v>
      </c>
      <c r="E13053" s="6" t="n">
        <f aca="false">Sens!E13041-Sens!E13040*Sens!E13052</f>
        <v>8.92707889977379</v>
      </c>
      <c r="F13053" s="6" t="n">
        <f aca="false">Sens!F13041-Sens!F13040*Sens!F13052</f>
        <v>3.68955319269938</v>
      </c>
      <c r="G13053" s="6" t="n">
        <f aca="false">Sens!G13041-Sens!G13040*Sens!G13052</f>
        <v>-5.16728465949367</v>
      </c>
      <c r="H13053" s="6" t="n">
        <f aca="false">Sens!H13041-Sens!H13040*Sens!H13052</f>
        <v>-9.07868789704165</v>
      </c>
      <c r="I13053" s="6" t="n">
        <f aca="false">Sens!I13041-Sens!I13040*Sens!I13052</f>
        <v>-8.51057822804433</v>
      </c>
      <c r="J13053" s="6" t="n">
        <f aca="false">Sens!J13041-Sens!J13040*Sens!J13052</f>
        <v>-8.03888122485961</v>
      </c>
      <c r="K13053" s="6" t="n">
        <f aca="false">Sens!K13041-Sens!K13040*Sens!K13052</f>
        <v>-6.91789049936764</v>
      </c>
    </row>
    <row r="13054" customFormat="false" ht="17.15" hidden="false" customHeight="false" outlineLevel="0" collapsed="false">
      <c r="A13054" s="3" t="s">
        <v>1571</v>
      </c>
    </row>
    <row r="13055" customFormat="false" ht="15" hidden="false" customHeight="false" outlineLevel="0" collapsed="false">
      <c r="A13055" s="4" t="s">
        <v>43</v>
      </c>
      <c r="B13055" s="4" t="s">
        <v>65</v>
      </c>
      <c r="C13055" s="20" t="s">
        <v>788</v>
      </c>
      <c r="D13055" s="20" t="s">
        <v>789</v>
      </c>
      <c r="E13055" s="20" t="s">
        <v>790</v>
      </c>
      <c r="F13055" s="20" t="s">
        <v>791</v>
      </c>
      <c r="G13055" s="20" t="s">
        <v>792</v>
      </c>
      <c r="H13055" s="20" t="s">
        <v>793</v>
      </c>
      <c r="I13055" s="20" t="s">
        <v>794</v>
      </c>
      <c r="J13055" s="20" t="s">
        <v>795</v>
      </c>
      <c r="K13055" s="20" t="s">
        <v>796</v>
      </c>
      <c r="L13055" s="4" t="s">
        <v>47</v>
      </c>
    </row>
    <row r="13056" customFormat="false" ht="17.15" hidden="false" customHeight="false" outlineLevel="0" collapsed="false">
      <c r="A13056" s="0" t="s">
        <v>864</v>
      </c>
      <c r="B13056" s="0" t="s">
        <v>98</v>
      </c>
      <c r="D13056" s="6" t="n">
        <f aca="false">Sens!D13035</f>
        <v>12.9359794422418</v>
      </c>
      <c r="E13056" s="6" t="n">
        <f aca="false">Sens!E13035</f>
        <v>27.8095064661409</v>
      </c>
      <c r="F13056" s="6" t="n">
        <f aca="false">Sens!F13035</f>
        <v>38.493440194965</v>
      </c>
      <c r="G13056" s="6" t="n">
        <f aca="false">Sens!G13035</f>
        <v>41.5646912063518</v>
      </c>
      <c r="H13056" s="6" t="n">
        <f aca="false">Sens!H13035</f>
        <v>39.815294148216</v>
      </c>
      <c r="I13056" s="6" t="n">
        <f aca="false">Sens!I13035</f>
        <v>40.84917416119</v>
      </c>
      <c r="J13056" s="6" t="n">
        <f aca="false">Sens!J13035</f>
        <v>42.4105439767017</v>
      </c>
      <c r="K13056" s="6" t="n">
        <f aca="false">Sens!K13035</f>
        <v>45.5121840156236</v>
      </c>
    </row>
    <row r="13057" customFormat="false" ht="17.15" hidden="false" customHeight="false" outlineLevel="0" collapsed="false">
      <c r="A13057" s="0" t="s">
        <v>865</v>
      </c>
      <c r="B13057" s="0" t="s">
        <v>98</v>
      </c>
      <c r="D13057" s="6" t="n">
        <f aca="false">Q!L6-Sens!D13056</f>
        <v>59.6740205577583</v>
      </c>
      <c r="E13057" s="6" t="n">
        <f aca="false">Q!M6-Sens!E13056</f>
        <v>74.1284935338591</v>
      </c>
      <c r="F13057" s="6" t="n">
        <f aca="false">Sens!E13057*(1+Sens!F13058)</f>
        <v>90.0799497373663</v>
      </c>
      <c r="G13057" s="6" t="n">
        <f aca="false">Sens!F13057*(1+Sens!G13058)</f>
        <v>107.02842520331</v>
      </c>
      <c r="H13057" s="6" t="n">
        <f aca="false">Sens!G13057*(1+Sens!H13058)</f>
        <v>124.271982585636</v>
      </c>
      <c r="I13057" s="6" t="n">
        <f aca="false">Sens!H13057*(1+Sens!I13058)</f>
        <v>140.933702381855</v>
      </c>
      <c r="J13057" s="6" t="n">
        <f aca="false">Sens!I13057*(1+Sens!J13058)</f>
        <v>156.018867314332</v>
      </c>
      <c r="K13057" s="6" t="n">
        <f aca="false">Sens!J13057*(1+Sens!K13058)</f>
        <v>168.500376699478</v>
      </c>
    </row>
    <row r="13058" customFormat="false" ht="15" hidden="false" customHeight="false" outlineLevel="0" collapsed="false">
      <c r="A13058" s="1" t="s">
        <v>866</v>
      </c>
      <c r="B13058" s="0" t="s">
        <v>129</v>
      </c>
      <c r="E13058" s="7" t="n">
        <f aca="false">Sens!E13057/Sens!D13057-1</f>
        <v>0.242223883039864</v>
      </c>
      <c r="F13058" s="7" t="n">
        <f aca="false">Sens!$E$13058+(glt_azo-Sens!$E$13058)*MIN(1,(Sens!F13018-base_fy)/n_conv)</f>
        <v>0.215186569199887</v>
      </c>
      <c r="G13058" s="7" t="n">
        <f aca="false">Sens!$E$13058+(glt_azo-Sens!$E$13058)*MIN(1,(Sens!G13018-base_fy)/n_conv)</f>
        <v>0.18814925535991</v>
      </c>
      <c r="H13058" s="7" t="n">
        <f aca="false">Sens!$E$13058+(glt_azo-Sens!$E$13058)*MIN(1,(Sens!H13018-base_fy)/n_conv)</f>
        <v>0.161111941519932</v>
      </c>
      <c r="I13058" s="7" t="n">
        <f aca="false">Sens!$E$13058+(glt_azo-Sens!$E$13058)*MIN(1,(Sens!I13018-base_fy)/n_conv)</f>
        <v>0.134074627679955</v>
      </c>
      <c r="J13058" s="7" t="n">
        <f aca="false">Sens!$E$13058+(glt_azo-Sens!$E$13058)*MIN(1,(Sens!J13018-base_fy)/n_conv)</f>
        <v>0.107037313839977</v>
      </c>
      <c r="K13058" s="7" t="n">
        <f aca="false">Sens!$E$13058+(glt_azo-Sens!$E$13058)*MIN(1,(Sens!K13018-base_fy)/n_conv)</f>
        <v>0.08</v>
      </c>
    </row>
    <row r="13059" customFormat="false" ht="15" hidden="false" customHeight="false" outlineLevel="0" collapsed="false">
      <c r="A13059" s="0" t="s">
        <v>867</v>
      </c>
      <c r="B13059" s="0" t="s">
        <v>98</v>
      </c>
      <c r="D13059" s="6" t="n">
        <f aca="false">Sens!D13056+Sens!D13057</f>
        <v>72.61</v>
      </c>
      <c r="E13059" s="6" t="n">
        <f aca="false">Sens!E13056+Sens!E13057</f>
        <v>101.938</v>
      </c>
      <c r="F13059" s="6" t="n">
        <f aca="false">Sens!F13056+Sens!F13057</f>
        <v>128.573389932331</v>
      </c>
      <c r="G13059" s="6" t="n">
        <f aca="false">Sens!G13056+Sens!G13057</f>
        <v>148.593116409662</v>
      </c>
      <c r="H13059" s="6" t="n">
        <f aca="false">Sens!H13056+Sens!H13057</f>
        <v>164.087276733852</v>
      </c>
      <c r="I13059" s="6" t="n">
        <f aca="false">Sens!I13056+Sens!I13057</f>
        <v>181.782876543045</v>
      </c>
      <c r="J13059" s="6" t="n">
        <f aca="false">Sens!J13056+Sens!J13057</f>
        <v>198.429411291033</v>
      </c>
      <c r="K13059" s="6" t="n">
        <f aca="false">Sens!K13056+Sens!K13057</f>
        <v>214.012560715102</v>
      </c>
    </row>
    <row r="13060" customFormat="false" ht="17.15" hidden="false" customHeight="false" outlineLevel="0" collapsed="false">
      <c r="A13060" s="0" t="s">
        <v>868</v>
      </c>
      <c r="B13060" s="1" t="s">
        <v>521</v>
      </c>
      <c r="C13060" s="29" t="n">
        <f aca="false">cop_s24</f>
        <v>1</v>
      </c>
      <c r="D13060" s="29" t="n">
        <f aca="false">cop_s25</f>
        <v>5</v>
      </c>
      <c r="E13060" s="29" t="n">
        <f aca="false">cop_s26</f>
        <v>30</v>
      </c>
      <c r="F13060" s="29" t="n">
        <f aca="false">Sens!E13060+cop_add_C</f>
        <v>40</v>
      </c>
      <c r="G13060" s="29" t="n">
        <f aca="false">Sens!F13060+cop_add_C</f>
        <v>50</v>
      </c>
      <c r="H13060" s="29" t="n">
        <f aca="false">Sens!G13060+cop_add_C</f>
        <v>60</v>
      </c>
      <c r="I13060" s="29" t="n">
        <f aca="false">Sens!H13060+cop_add_C*cop_tail</f>
        <v>65</v>
      </c>
      <c r="J13060" s="29" t="n">
        <f aca="false">Sens!I13060+cop_add_C*cop_tail</f>
        <v>70</v>
      </c>
      <c r="K13060" s="29" t="n">
        <f aca="false">Sens!J13060+cop_add_C*cop_tail</f>
        <v>75</v>
      </c>
      <c r="L13060" s="11" t="s">
        <v>869</v>
      </c>
    </row>
    <row r="13061" customFormat="false" ht="17.15" hidden="false" customHeight="false" outlineLevel="0" collapsed="false">
      <c r="A13061" s="0" t="s">
        <v>870</v>
      </c>
      <c r="B13061" s="0" t="s">
        <v>98</v>
      </c>
      <c r="D13061" s="6" t="n">
        <f aca="false">(Sens!C13060+Sens!D13060)/2*cop_px*12/1000</f>
        <v>0.9</v>
      </c>
      <c r="E13061" s="6" t="n">
        <f aca="false">(Sens!D13060+Sens!E13060)/2*cop_px*12/1000</f>
        <v>5.25</v>
      </c>
      <c r="F13061" s="6" t="n">
        <f aca="false">(Sens!E13060+Sens!F13060)/2*cop_px*12/1000</f>
        <v>10.5</v>
      </c>
      <c r="G13061" s="6" t="n">
        <f aca="false">(Sens!F13060+Sens!G13060)/2*cop_px*12/1000</f>
        <v>13.5</v>
      </c>
      <c r="H13061" s="6" t="n">
        <f aca="false">(Sens!G13060+Sens!H13060)/2*cop_px*12/1000</f>
        <v>16.5</v>
      </c>
      <c r="I13061" s="6" t="n">
        <f aca="false">(Sens!H13060+Sens!I13060)/2*cop_px*12/1000</f>
        <v>18.75</v>
      </c>
      <c r="J13061" s="6" t="n">
        <f aca="false">(Sens!I13060+Sens!J13060)/2*cop_px*12/1000</f>
        <v>20.25</v>
      </c>
      <c r="K13061" s="6" t="n">
        <f aca="false">(Sens!J13060+Sens!K13060)/2*cop_px*12/1000</f>
        <v>21.75</v>
      </c>
      <c r="L13061" s="1" t="s">
        <v>871</v>
      </c>
    </row>
    <row r="13062" customFormat="false" ht="17.15" hidden="false" customHeight="false" outlineLevel="0" collapsed="false">
      <c r="A13062" s="0" t="s">
        <v>872</v>
      </c>
      <c r="B13062" s="0" t="s">
        <v>98</v>
      </c>
      <c r="D13062" s="6" t="n">
        <f aca="false">Q!L7-Sens!D13061</f>
        <v>83.705</v>
      </c>
      <c r="E13062" s="6" t="n">
        <f aca="false">Q!M7-Sens!E13061</f>
        <v>95.049</v>
      </c>
      <c r="F13062" s="6" t="n">
        <f aca="false">Sens!E13062*(1+Sens!F13063)</f>
        <v>106.89238776686</v>
      </c>
      <c r="G13062" s="6" t="n">
        <f aca="false">Sens!F13062*(1+Sens!G13063)</f>
        <v>119.044168448684</v>
      </c>
      <c r="H13062" s="6" t="n">
        <f aca="false">Sens!G13062*(1+Sens!H13063)</f>
        <v>131.277359388781</v>
      </c>
      <c r="I13062" s="6" t="n">
        <f aca="false">Sens!H13062*(1+Sens!I13063)</f>
        <v>143.334028071957</v>
      </c>
      <c r="J13062" s="6" t="n">
        <f aca="false">Sens!I13062*(1+Sens!J13063)</f>
        <v>154.932702785465</v>
      </c>
      <c r="K13062" s="6" t="n">
        <f aca="false">Sens!J13062*(1+Sens!K13063)</f>
        <v>165.777991980448</v>
      </c>
    </row>
    <row r="13063" customFormat="false" ht="15" hidden="false" customHeight="false" outlineLevel="0" collapsed="false">
      <c r="A13063" s="1" t="s">
        <v>866</v>
      </c>
      <c r="B13063" s="0" t="s">
        <v>129</v>
      </c>
      <c r="E13063" s="7" t="n">
        <f aca="false">Sens!E13062/Sens!D13062-1</f>
        <v>0.135523564900544</v>
      </c>
      <c r="F13063" s="7" t="n">
        <f aca="false">Sens!$E$13063+(glt_m365b-Sens!$E$13063)*MIN(1,(Sens!F13018-base_fy)/n_conv)</f>
        <v>0.124602970750453</v>
      </c>
      <c r="G13063" s="7" t="n">
        <f aca="false">Sens!$E$13063+(glt_m365b-Sens!$E$13063)*MIN(1,(Sens!G13018-base_fy)/n_conv)</f>
        <v>0.113682376600363</v>
      </c>
      <c r="H13063" s="7" t="n">
        <f aca="false">Sens!$E$13063+(glt_m365b-Sens!$E$13063)*MIN(1,(Sens!H13018-base_fy)/n_conv)</f>
        <v>0.102761782450272</v>
      </c>
      <c r="I13063" s="7" t="n">
        <f aca="false">Sens!$E$13063+(glt_m365b-Sens!$E$13063)*MIN(1,(Sens!I13018-base_fy)/n_conv)</f>
        <v>0.0918411883001813</v>
      </c>
      <c r="J13063" s="7" t="n">
        <f aca="false">Sens!$E$13063+(glt_m365b-Sens!$E$13063)*MIN(1,(Sens!J13018-base_fy)/n_conv)</f>
        <v>0.0809205941500906</v>
      </c>
      <c r="K13063" s="7" t="n">
        <f aca="false">Sens!$E$13063+(glt_m365b-Sens!$E$13063)*MIN(1,(Sens!K13018-base_fy)/n_conv)</f>
        <v>0.07</v>
      </c>
    </row>
    <row r="13064" customFormat="false" ht="15" hidden="false" customHeight="false" outlineLevel="0" collapsed="false">
      <c r="A13064" s="0" t="s">
        <v>873</v>
      </c>
      <c r="B13064" s="0" t="s">
        <v>98</v>
      </c>
      <c r="D13064" s="6" t="n">
        <f aca="false">Sens!D13062+Sens!D13061</f>
        <v>84.605</v>
      </c>
      <c r="E13064" s="6" t="n">
        <f aca="false">Sens!E13062+Sens!E13061</f>
        <v>100.299</v>
      </c>
      <c r="F13064" s="6" t="n">
        <f aca="false">Sens!F13062+Sens!F13061</f>
        <v>117.39238776686</v>
      </c>
      <c r="G13064" s="6" t="n">
        <f aca="false">Sens!G13062+Sens!G13061</f>
        <v>132.544168448684</v>
      </c>
      <c r="H13064" s="6" t="n">
        <f aca="false">Sens!H13062+Sens!H13061</f>
        <v>147.777359388781</v>
      </c>
      <c r="I13064" s="6" t="n">
        <f aca="false">Sens!I13062+Sens!I13061</f>
        <v>162.084028071957</v>
      </c>
      <c r="J13064" s="6" t="n">
        <f aca="false">Sens!J13062+Sens!J13061</f>
        <v>175.182702785465</v>
      </c>
      <c r="K13064" s="6" t="n">
        <f aca="false">Sens!K13062+Sens!K13061</f>
        <v>187.527991980448</v>
      </c>
    </row>
    <row r="13065" customFormat="false" ht="15" hidden="false" customHeight="false" outlineLevel="0" collapsed="false">
      <c r="A13065" s="0" t="s">
        <v>874</v>
      </c>
      <c r="B13065" s="0" t="s">
        <v>98</v>
      </c>
      <c r="D13065" s="6" t="n">
        <f aca="false">Q!L8</f>
        <v>35.391</v>
      </c>
      <c r="E13065" s="6" t="n">
        <f aca="false">Q!M8</f>
        <v>37.285</v>
      </c>
      <c r="F13065" s="6" t="n">
        <f aca="false">Sens!E13065*(1+Sens!F13066)</f>
        <v>39.0720834331704</v>
      </c>
      <c r="G13065" s="6" t="n">
        <f aca="false">Sens!F13065*(1+Sens!G13066)</f>
        <v>40.726562953769</v>
      </c>
      <c r="H13065" s="6" t="n">
        <f aca="false">Sens!G13065*(1+Sens!H13066)</f>
        <v>42.2235987259198</v>
      </c>
      <c r="I13065" s="6" t="n">
        <f aca="false">Sens!H13065*(1+Sens!I13066)</f>
        <v>43.5397988077414</v>
      </c>
      <c r="J13065" s="6" t="n">
        <f aca="false">Sens!I13065*(1+Sens!J13066)</f>
        <v>44.653811225693</v>
      </c>
      <c r="K13065" s="6" t="n">
        <f aca="false">Sens!J13065*(1+Sens!K13066)</f>
        <v>45.5468874502068</v>
      </c>
    </row>
    <row r="13066" customFormat="false" ht="15" hidden="false" customHeight="false" outlineLevel="0" collapsed="false">
      <c r="A13066" s="1" t="s">
        <v>866</v>
      </c>
      <c r="B13066" s="0" t="s">
        <v>129</v>
      </c>
      <c r="E13066" s="7" t="n">
        <f aca="false">Sens!E13065/Sens!D13065-1</f>
        <v>0.0535164307309768</v>
      </c>
      <c r="F13066" s="7" t="n">
        <f aca="false">Sens!$E$13066+(glt_lic-Sens!$E$13066)*MIN(1,(Sens!F13018-base_fy)/n_conv)</f>
        <v>0.0479303589424807</v>
      </c>
      <c r="G13066" s="7" t="n">
        <f aca="false">Sens!$E$13066+(glt_lic-Sens!$E$13066)*MIN(1,(Sens!G13018-base_fy)/n_conv)</f>
        <v>0.0423442871539845</v>
      </c>
      <c r="H13066" s="7" t="n">
        <f aca="false">Sens!$E$13066+(glt_lic-Sens!$E$13066)*MIN(1,(Sens!H13018-base_fy)/n_conv)</f>
        <v>0.0367582153654884</v>
      </c>
      <c r="I13066" s="7" t="n">
        <f aca="false">Sens!$E$13066+(glt_lic-Sens!$E$13066)*MIN(1,(Sens!I13018-base_fy)/n_conv)</f>
        <v>0.0311721435769923</v>
      </c>
      <c r="J13066" s="7" t="n">
        <f aca="false">Sens!$E$13066+(glt_lic-Sens!$E$13066)*MIN(1,(Sens!J13018-base_fy)/n_conv)</f>
        <v>0.0255860717884961</v>
      </c>
      <c r="K13066" s="7" t="n">
        <f aca="false">Sens!$E$13066+(glt_lic-Sens!$E$13066)*MIN(1,(Sens!K13018-base_fy)/n_conv)</f>
        <v>0.02</v>
      </c>
    </row>
    <row r="13067" customFormat="false" ht="15" hidden="false" customHeight="false" outlineLevel="0" collapsed="false">
      <c r="A13067" s="0" t="s">
        <v>875</v>
      </c>
      <c r="B13067" s="0" t="s">
        <v>98</v>
      </c>
      <c r="D13067" s="6" t="n">
        <f aca="false">Q!L9</f>
        <v>18.417</v>
      </c>
      <c r="E13067" s="6" t="n">
        <f aca="false">Q!M9</f>
        <v>20.345</v>
      </c>
      <c r="F13067" s="6" t="n">
        <f aca="false">Sens!E13067*(1+Sens!F13068)</f>
        <v>22.3572203267814</v>
      </c>
      <c r="G13067" s="6" t="n">
        <f aca="false">Sens!F13067*(1+Sens!G13068)</f>
        <v>24.4392124437232</v>
      </c>
      <c r="H13067" s="6" t="n">
        <f aca="false">Sens!G13067*(1+Sens!H13068)</f>
        <v>26.5738052080665</v>
      </c>
      <c r="I13067" s="6" t="n">
        <f aca="false">Sens!H13067*(1+Sens!I13068)</f>
        <v>28.7412169166967</v>
      </c>
      <c r="J13067" s="6" t="n">
        <f aca="false">Sens!I13067*(1+Sens!J13068)</f>
        <v>30.9192545395413</v>
      </c>
      <c r="K13067" s="6" t="n">
        <f aca="false">Sens!J13067*(1+Sens!K13068)</f>
        <v>33.0836023573092</v>
      </c>
    </row>
    <row r="13068" customFormat="false" ht="15" hidden="false" customHeight="false" outlineLevel="0" collapsed="false">
      <c r="A13068" s="1" t="s">
        <v>866</v>
      </c>
      <c r="B13068" s="0" t="s">
        <v>129</v>
      </c>
      <c r="E13068" s="7" t="n">
        <f aca="false">Sens!E13067/Sens!D13067-1</f>
        <v>0.104685888038225</v>
      </c>
      <c r="F13068" s="7" t="n">
        <f aca="false">Sens!$E$13068+(glt_ind-Sens!$E$13068)*MIN(1,(Sens!F13018-base_fy)/n_conv)</f>
        <v>0.0989049066985211</v>
      </c>
      <c r="G13068" s="7" t="n">
        <f aca="false">Sens!$E$13068+(glt_ind-Sens!$E$13068)*MIN(1,(Sens!G13018-base_fy)/n_conv)</f>
        <v>0.0931239253588169</v>
      </c>
      <c r="H13068" s="7" t="n">
        <f aca="false">Sens!$E$13068+(glt_ind-Sens!$E$13068)*MIN(1,(Sens!H13018-base_fy)/n_conv)</f>
        <v>0.0873429440191127</v>
      </c>
      <c r="I13068" s="7" t="n">
        <f aca="false">Sens!$E$13068+(glt_ind-Sens!$E$13068)*MIN(1,(Sens!I13018-base_fy)/n_conv)</f>
        <v>0.0815619626794085</v>
      </c>
      <c r="J13068" s="7" t="n">
        <f aca="false">Sens!$E$13068+(glt_ind-Sens!$E$13068)*MIN(1,(Sens!J13018-base_fy)/n_conv)</f>
        <v>0.0757809813397042</v>
      </c>
      <c r="K13068" s="7" t="n">
        <f aca="false">Sens!$E$13068+(glt_ind-Sens!$E$13068)*MIN(1,(Sens!K13018-base_fy)/n_conv)</f>
        <v>0.07</v>
      </c>
    </row>
    <row r="13069" customFormat="false" ht="15" hidden="false" customHeight="false" outlineLevel="0" collapsed="false">
      <c r="A13069" s="0" t="s">
        <v>876</v>
      </c>
      <c r="B13069" s="0" t="s">
        <v>98</v>
      </c>
      <c r="D13069" s="6" t="n">
        <f aca="false">Q!L10</f>
        <v>7.76</v>
      </c>
      <c r="E13069" s="6" t="n">
        <f aca="false">Q!M10</f>
        <v>8.26</v>
      </c>
      <c r="F13069" s="6" t="n">
        <f aca="false">Sens!E13069*(1+Sens!F13070)</f>
        <v>8.79988041237113</v>
      </c>
      <c r="G13069" s="6" t="n">
        <f aca="false">Sens!F13069*(1+Sens!G13070)</f>
        <v>9.38321269125306</v>
      </c>
      <c r="H13069" s="6" t="n">
        <f aca="false">Sens!G13069*(1+Sens!H13070)</f>
        <v>10.0139193587476</v>
      </c>
      <c r="I13069" s="6" t="n">
        <f aca="false">Sens!H13069*(1+Sens!I13070)</f>
        <v>10.6963111830911</v>
      </c>
      <c r="J13069" s="6" t="n">
        <f aca="false">Sens!I13069*(1+Sens!J13070)</f>
        <v>11.4351285534696</v>
      </c>
      <c r="K13069" s="6" t="n">
        <f aca="false">Sens!J13069*(1+Sens!K13070)</f>
        <v>12.2355875522124</v>
      </c>
    </row>
    <row r="13070" customFormat="false" ht="15" hidden="false" customHeight="false" outlineLevel="0" collapsed="false">
      <c r="A13070" s="1" t="s">
        <v>866</v>
      </c>
      <c r="B13070" s="0" t="s">
        <v>129</v>
      </c>
      <c r="E13070" s="7" t="n">
        <f aca="false">Sens!E13069/Sens!D13069-1</f>
        <v>0.0644329896907216</v>
      </c>
      <c r="F13070" s="7" t="n">
        <f aca="false">Sens!$E$13070+(glt_fro-Sens!$E$13070)*MIN(1,(Sens!F13018-base_fy)/n_conv)</f>
        <v>0.065360824742268</v>
      </c>
      <c r="G13070" s="7" t="n">
        <f aca="false">Sens!$E$13070+(glt_fro-Sens!$E$13070)*MIN(1,(Sens!G13018-base_fy)/n_conv)</f>
        <v>0.0662886597938144</v>
      </c>
      <c r="H13070" s="7" t="n">
        <f aca="false">Sens!$E$13070+(glt_fro-Sens!$E$13070)*MIN(1,(Sens!H13018-base_fy)/n_conv)</f>
        <v>0.0672164948453608</v>
      </c>
      <c r="I13070" s="7" t="n">
        <f aca="false">Sens!$E$13070+(glt_fro-Sens!$E$13070)*MIN(1,(Sens!I13018-base_fy)/n_conv)</f>
        <v>0.0681443298969072</v>
      </c>
      <c r="J13070" s="7" t="n">
        <f aca="false">Sens!$E$13070+(glt_fro-Sens!$E$13070)*MIN(1,(Sens!J13018-base_fy)/n_conv)</f>
        <v>0.0690721649484536</v>
      </c>
      <c r="K13070" s="7" t="n">
        <f aca="false">Sens!$E$13070+(glt_fro-Sens!$E$13070)*MIN(1,(Sens!K13018-base_fy)/n_conv)</f>
        <v>0.07</v>
      </c>
    </row>
    <row r="13071" customFormat="false" ht="15" hidden="false" customHeight="false" outlineLevel="0" collapsed="false">
      <c r="A13071" s="0" t="s">
        <v>704</v>
      </c>
      <c r="B13071" s="0" t="s">
        <v>98</v>
      </c>
      <c r="D13071" s="6" t="n">
        <f aca="false">Sens!D13059+Sens!D13064+Sens!D13065+Sens!D13067+Sens!D13069</f>
        <v>218.783</v>
      </c>
      <c r="E13071" s="6" t="n">
        <f aca="false">Sens!E13059+Sens!E13064+Sens!E13065+Sens!E13067+Sens!E13069</f>
        <v>268.127</v>
      </c>
      <c r="F13071" s="6" t="n">
        <f aca="false">Sens!F13059+Sens!F13064+Sens!F13065+Sens!F13067+Sens!F13069</f>
        <v>316.194961871514</v>
      </c>
      <c r="G13071" s="6" t="n">
        <f aca="false">Sens!G13059+Sens!G13064+Sens!G13065+Sens!G13067+Sens!G13069</f>
        <v>355.686272947091</v>
      </c>
      <c r="H13071" s="6" t="n">
        <f aca="false">Sens!H13059+Sens!H13064+Sens!H13065+Sens!H13067+Sens!H13069</f>
        <v>390.675959415367</v>
      </c>
      <c r="I13071" s="6" t="n">
        <f aca="false">Sens!I13059+Sens!I13064+Sens!I13065+Sens!I13067+Sens!I13069</f>
        <v>426.844231522531</v>
      </c>
      <c r="J13071" s="6" t="n">
        <f aca="false">Sens!J13059+Sens!J13064+Sens!J13065+Sens!J13067+Sens!J13069</f>
        <v>460.620308395202</v>
      </c>
      <c r="K13071" s="6" t="n">
        <f aca="false">Sens!K13059+Sens!K13064+Sens!K13065+Sens!K13067+Sens!K13069</f>
        <v>492.406630055278</v>
      </c>
    </row>
    <row r="13072" customFormat="false" ht="15" hidden="false" customHeight="false" outlineLevel="0" collapsed="false">
      <c r="A13072" s="0" t="s">
        <v>877</v>
      </c>
      <c r="B13072" s="0" t="s">
        <v>98</v>
      </c>
      <c r="D13072" s="6" t="n">
        <f aca="false">Q!L13</f>
        <v>22.171</v>
      </c>
      <c r="E13072" s="6" t="n">
        <f aca="false">Q!M13</f>
        <v>24.835</v>
      </c>
      <c r="F13072" s="6" t="n">
        <f aca="false">Sens!E13072*(1+Sens!F13073)</f>
        <v>27.6114901218559</v>
      </c>
      <c r="G13072" s="6" t="n">
        <f aca="false">Sens!F13072*(1+Sens!G13073)</f>
        <v>30.4675667338515</v>
      </c>
      <c r="H13072" s="6" t="n">
        <f aca="false">Sens!G13072*(1+Sens!H13073)</f>
        <v>33.3643766955789</v>
      </c>
      <c r="I13072" s="6" t="n">
        <f aca="false">Sens!H13072*(1+Sens!I13073)</f>
        <v>36.2577016533691</v>
      </c>
      <c r="J13072" s="6" t="n">
        <f aca="false">Sens!I13072*(1+Sens!J13073)</f>
        <v>39.0988367952171</v>
      </c>
      <c r="K13072" s="6" t="n">
        <f aca="false">Sens!J13072*(1+Sens!K13073)</f>
        <v>41.8357553708823</v>
      </c>
    </row>
    <row r="13073" customFormat="false" ht="15" hidden="false" customHeight="false" outlineLevel="0" collapsed="false">
      <c r="A13073" s="1" t="s">
        <v>866</v>
      </c>
      <c r="B13073" s="0" t="s">
        <v>129</v>
      </c>
      <c r="E13073" s="7" t="n">
        <f aca="false">Sens!E13072/Sens!D13072-1</f>
        <v>0.120156961796942</v>
      </c>
      <c r="F13073" s="7" t="n">
        <f aca="false">Sens!$E$13073+(glt_srch-Sens!$E$13073)*MIN(1,(Sens!F13018-base_fy)/n_conv)</f>
        <v>0.111797468164118</v>
      </c>
      <c r="G13073" s="7" t="n">
        <f aca="false">Sens!$E$13073+(glt_srch-Sens!$E$13073)*MIN(1,(Sens!G13018-base_fy)/n_conv)</f>
        <v>0.103437974531295</v>
      </c>
      <c r="H13073" s="7" t="n">
        <f aca="false">Sens!$E$13073+(glt_srch-Sens!$E$13073)*MIN(1,(Sens!H13018-base_fy)/n_conv)</f>
        <v>0.095078480898471</v>
      </c>
      <c r="I13073" s="7" t="n">
        <f aca="false">Sens!$E$13073+(glt_srch-Sens!$E$13073)*MIN(1,(Sens!I13018-base_fy)/n_conv)</f>
        <v>0.0867189872656474</v>
      </c>
      <c r="J13073" s="7" t="n">
        <f aca="false">Sens!$E$13073+(glt_srch-Sens!$E$13073)*MIN(1,(Sens!J13018-base_fy)/n_conv)</f>
        <v>0.0783594936328237</v>
      </c>
      <c r="K13073" s="7" t="n">
        <f aca="false">Sens!$E$13073+(glt_srch-Sens!$E$13073)*MIN(1,(Sens!K13018-base_fy)/n_conv)</f>
        <v>0.07</v>
      </c>
    </row>
    <row r="13074" customFormat="false" ht="15" hidden="false" customHeight="false" outlineLevel="0" collapsed="false">
      <c r="A13074" s="0" t="s">
        <v>878</v>
      </c>
      <c r="B13074" s="0" t="s">
        <v>98</v>
      </c>
      <c r="D13074" s="6" t="n">
        <f aca="false">Q!L14</f>
        <v>23.455</v>
      </c>
      <c r="E13074" s="6" t="n">
        <f aca="false">Q!M14</f>
        <v>21.79</v>
      </c>
      <c r="F13074" s="6" t="n">
        <f aca="false">Sens!E13074*(1+Sens!F13075)</f>
        <v>20.5736277908051</v>
      </c>
      <c r="G13074" s="6" t="n">
        <f aca="false">Sens!F13074*(1+Sens!G13075)</f>
        <v>19.7371452817919</v>
      </c>
      <c r="H13074" s="6" t="n">
        <f aca="false">Sens!G13074*(1+Sens!H13075)</f>
        <v>19.2339764043138</v>
      </c>
      <c r="I13074" s="6" t="n">
        <f aca="false">Sens!H13074*(1+Sens!I13075)</f>
        <v>19.0353086852681</v>
      </c>
      <c r="J13074" s="6" t="n">
        <f aca="false">Sens!I13074*(1+Sens!J13075)</f>
        <v>19.1273539319129</v>
      </c>
      <c r="K13074" s="6" t="n">
        <f aca="false">Sens!J13074*(1+Sens!K13075)</f>
        <v>19.5099010105511</v>
      </c>
    </row>
    <row r="13075" customFormat="false" ht="15" hidden="false" customHeight="false" outlineLevel="0" collapsed="false">
      <c r="A13075" s="1" t="s">
        <v>866</v>
      </c>
      <c r="B13075" s="0" t="s">
        <v>129</v>
      </c>
      <c r="E13075" s="7" t="n">
        <f aca="false">Sens!E13074/Sens!D13074-1</f>
        <v>-0.0709869963760392</v>
      </c>
      <c r="F13075" s="7" t="n">
        <f aca="false">Sens!$E$13075+(glt_xbox-Sens!$E$13075)*MIN(1,(Sens!F13018-base_fy)/n_conv)</f>
        <v>-0.0558224969800327</v>
      </c>
      <c r="G13075" s="7" t="n">
        <f aca="false">Sens!$E$13075+(glt_xbox-Sens!$E$13075)*MIN(1,(Sens!G13018-base_fy)/n_conv)</f>
        <v>-0.0406579975840262</v>
      </c>
      <c r="H13075" s="7" t="n">
        <f aca="false">Sens!$E$13075+(glt_xbox-Sens!$E$13075)*MIN(1,(Sens!H13018-base_fy)/n_conv)</f>
        <v>-0.0254934981880196</v>
      </c>
      <c r="I13075" s="7" t="n">
        <f aca="false">Sens!$E$13075+(glt_xbox-Sens!$E$13075)*MIN(1,(Sens!I13018-base_fy)/n_conv)</f>
        <v>-0.0103289987920131</v>
      </c>
      <c r="J13075" s="7" t="n">
        <f aca="false">Sens!$E$13075+(glt_xbox-Sens!$E$13075)*MIN(1,(Sens!J13018-base_fy)/n_conv)</f>
        <v>0.00483550060399347</v>
      </c>
      <c r="K13075" s="7" t="n">
        <f aca="false">Sens!$E$13075+(glt_xbox-Sens!$E$13075)*MIN(1,(Sens!K13018-base_fy)/n_conv)</f>
        <v>0.02</v>
      </c>
    </row>
    <row r="13076" customFormat="false" ht="15" hidden="false" customHeight="false" outlineLevel="0" collapsed="false">
      <c r="A13076" s="0" t="s">
        <v>879</v>
      </c>
      <c r="B13076" s="0" t="s">
        <v>98</v>
      </c>
      <c r="D13076" s="6" t="n">
        <f aca="false">Q!L15</f>
        <v>17.315</v>
      </c>
      <c r="E13076" s="6" t="n">
        <f aca="false">Q!M15</f>
        <v>17.087</v>
      </c>
      <c r="F13076" s="6" t="n">
        <f aca="false">Sens!E13076*(1+Sens!F13077)</f>
        <v>16.9564585436519</v>
      </c>
      <c r="G13076" s="6" t="n">
        <f aca="false">Sens!F13076*(1+Sens!G13077)</f>
        <v>16.9206490624268</v>
      </c>
      <c r="H13076" s="6" t="n">
        <f aca="false">Sens!G13076*(1+Sens!H13077)</f>
        <v>16.9784519149849</v>
      </c>
      <c r="I13076" s="6" t="n">
        <f aca="false">Sens!H13076*(1+Sens!I13077)</f>
        <v>17.1303084701817</v>
      </c>
      <c r="J13076" s="6" t="n">
        <f aca="false">Sens!I13076*(1+Sens!J13077)</f>
        <v>17.3782189407267</v>
      </c>
      <c r="K13076" s="6" t="n">
        <f aca="false">Sens!J13076*(1+Sens!K13077)</f>
        <v>17.7257833195413</v>
      </c>
    </row>
    <row r="13077" customFormat="false" ht="15" hidden="false" customHeight="false" outlineLevel="0" collapsed="false">
      <c r="A13077" s="1" t="s">
        <v>866</v>
      </c>
      <c r="B13077" s="0" t="s">
        <v>129</v>
      </c>
      <c r="E13077" s="7" t="n">
        <f aca="false">Sens!E13076/Sens!D13076-1</f>
        <v>-0.0131677736066995</v>
      </c>
      <c r="F13077" s="7" t="n">
        <f aca="false">Sens!$E$13077+(glt_win-Sens!$E$13077)*MIN(1,(Sens!F13018-base_fy)/n_conv)</f>
        <v>-0.00763981133891627</v>
      </c>
      <c r="G13077" s="7" t="n">
        <f aca="false">Sens!$E$13077+(glt_win-Sens!$E$13077)*MIN(1,(Sens!G13018-base_fy)/n_conv)</f>
        <v>-0.00211184907113301</v>
      </c>
      <c r="H13077" s="7" t="n">
        <f aca="false">Sens!$E$13077+(glt_win-Sens!$E$13077)*MIN(1,(Sens!H13018-base_fy)/n_conv)</f>
        <v>0.00341611319665024</v>
      </c>
      <c r="I13077" s="7" t="n">
        <f aca="false">Sens!$E$13077+(glt_win-Sens!$E$13077)*MIN(1,(Sens!I13018-base_fy)/n_conv)</f>
        <v>0.00894407546443349</v>
      </c>
      <c r="J13077" s="7" t="n">
        <f aca="false">Sens!$E$13077+(glt_win-Sens!$E$13077)*MIN(1,(Sens!J13018-base_fy)/n_conv)</f>
        <v>0.0144720377322168</v>
      </c>
      <c r="K13077" s="7" t="n">
        <f aca="false">Sens!$E$13077+(glt_win-Sens!$E$13077)*MIN(1,(Sens!K13018-base_fy)/n_conv)</f>
        <v>0.02</v>
      </c>
    </row>
    <row r="13078" customFormat="false" ht="15" hidden="false" customHeight="false" outlineLevel="0" collapsed="false">
      <c r="A13078" s="0" t="s">
        <v>718</v>
      </c>
      <c r="B13078" s="0" t="s">
        <v>98</v>
      </c>
      <c r="D13078" s="6" t="n">
        <f aca="false">Sens!D13072+Sens!D13074+Sens!D13076</f>
        <v>62.941</v>
      </c>
      <c r="E13078" s="6" t="n">
        <f aca="false">Sens!E13072+Sens!E13074+Sens!E13076</f>
        <v>63.712</v>
      </c>
      <c r="F13078" s="6" t="n">
        <f aca="false">Sens!F13072+Sens!F13074+Sens!F13076</f>
        <v>65.1415764563129</v>
      </c>
      <c r="G13078" s="6" t="n">
        <f aca="false">Sens!G13072+Sens!G13074+Sens!G13076</f>
        <v>67.1253610780702</v>
      </c>
      <c r="H13078" s="6" t="n">
        <f aca="false">Sens!H13072+Sens!H13074+Sens!H13076</f>
        <v>69.5768050148776</v>
      </c>
      <c r="I13078" s="6" t="n">
        <f aca="false">Sens!I13072+Sens!I13074+Sens!I13076</f>
        <v>72.4233188088189</v>
      </c>
      <c r="J13078" s="6" t="n">
        <f aca="false">Sens!J13072+Sens!J13074+Sens!J13076</f>
        <v>75.6044096678567</v>
      </c>
      <c r="K13078" s="6" t="n">
        <f aca="false">Sens!K13072+Sens!K13074+Sens!K13076</f>
        <v>79.0714397009747</v>
      </c>
    </row>
    <row r="13079" customFormat="false" ht="15" hidden="false" customHeight="false" outlineLevel="0" collapsed="false">
      <c r="A13079" s="1" t="s">
        <v>880</v>
      </c>
      <c r="B13079" s="0" t="s">
        <v>98</v>
      </c>
      <c r="D13079" s="6" t="n">
        <f aca="false">Sens!D13071+Sens!D13078</f>
        <v>281.724</v>
      </c>
      <c r="E13079" s="6" t="n">
        <f aca="false">Sens!E13071+Sens!E13078</f>
        <v>331.839</v>
      </c>
      <c r="F13079" s="6" t="n">
        <f aca="false">Sens!F13071+Sens!F13078</f>
        <v>381.336538327827</v>
      </c>
      <c r="G13079" s="6" t="n">
        <f aca="false">Sens!G13071+Sens!G13078</f>
        <v>422.811634025161</v>
      </c>
      <c r="H13079" s="6" t="n">
        <f aca="false">Sens!H13071+Sens!H13078</f>
        <v>460.252764430245</v>
      </c>
      <c r="I13079" s="6" t="n">
        <f aca="false">Sens!I13071+Sens!I13078</f>
        <v>499.26755033135</v>
      </c>
      <c r="J13079" s="6" t="n">
        <f aca="false">Sens!J13071+Sens!J13078</f>
        <v>536.224718063059</v>
      </c>
      <c r="K13079" s="6" t="n">
        <f aca="false">Sens!K13071+Sens!K13078</f>
        <v>571.478069756253</v>
      </c>
    </row>
    <row r="13080" customFormat="false" ht="15" hidden="false" customHeight="false" outlineLevel="0" collapsed="false">
      <c r="A13080" s="23" t="s">
        <v>881</v>
      </c>
      <c r="B13080" s="30" t="s">
        <v>98</v>
      </c>
      <c r="C13080" s="30"/>
      <c r="D13080" s="24" t="n">
        <f aca="false">(Sens!D13059+Sens!D13064+Sens!D13065+Sens!D13067+Sens!D13069-Sens!D13071)+(Sens!D13072+Sens!D13074+Sens!D13076-Sens!D13078)+(Sens!D13071-Q!L5)+(Sens!D13078-Q!L12)+(Sens!D13059-Q!L6)+(Sens!D13064-Q!L7)</f>
        <v>0</v>
      </c>
      <c r="E13080" s="24" t="n">
        <f aca="false">(Sens!E13059+Sens!E13064+Sens!E13065+Sens!E13067+Sens!E13069-Sens!E13071)+(Sens!E13072+Sens!E13074+Sens!E13076-Sens!E13078)+(Sens!E13071-Q!M5)+(Sens!E13078-Q!M12)+(Sens!E13059-Q!M6)+(Sens!E13064-Q!M7)</f>
        <v>0</v>
      </c>
      <c r="F13080" s="24" t="n">
        <f aca="false">(Sens!F13059+Sens!F13064+Sens!F13065+Sens!F13067+Sens!F13069-Sens!F13071)+(Sens!F13072+Sens!F13074+Sens!F13076-Sens!F13078)</f>
        <v>0</v>
      </c>
      <c r="G13080" s="24" t="n">
        <f aca="false">(Sens!G13059+Sens!G13064+Sens!G13065+Sens!G13067+Sens!G13069-Sens!G13071)+(Sens!G13072+Sens!G13074+Sens!G13076-Sens!G13078)</f>
        <v>0</v>
      </c>
      <c r="H13080" s="24" t="n">
        <f aca="false">(Sens!H13059+Sens!H13064+Sens!H13065+Sens!H13067+Sens!H13069-Sens!H13071)+(Sens!H13072+Sens!H13074+Sens!H13076-Sens!H13078)</f>
        <v>0</v>
      </c>
      <c r="I13080" s="24" t="n">
        <f aca="false">(Sens!I13059+Sens!I13064+Sens!I13065+Sens!I13067+Sens!I13069-Sens!I13071)+(Sens!I13072+Sens!I13074+Sens!I13076-Sens!I13078)</f>
        <v>0</v>
      </c>
      <c r="J13080" s="24" t="n">
        <f aca="false">(Sens!J13059+Sens!J13064+Sens!J13065+Sens!J13067+Sens!J13069-Sens!J13071)+(Sens!J13072+Sens!J13074+Sens!J13076-Sens!J13078)</f>
        <v>0</v>
      </c>
      <c r="K13080" s="24" t="n">
        <f aca="false">(Sens!K13059+Sens!K13064+Sens!K13065+Sens!K13067+Sens!K13069-Sens!K13071)+(Sens!K13072+Sens!K13074+Sens!K13076-Sens!K13078)</f>
        <v>0</v>
      </c>
    </row>
    <row r="13081" customFormat="false" ht="17.15" hidden="false" customHeight="false" outlineLevel="0" collapsed="false">
      <c r="A13081" s="3" t="s">
        <v>1572</v>
      </c>
    </row>
    <row r="13082" customFormat="false" ht="15" hidden="false" customHeight="false" outlineLevel="0" collapsed="false">
      <c r="A13082" s="4" t="s">
        <v>43</v>
      </c>
      <c r="B13082" s="4" t="s">
        <v>65</v>
      </c>
      <c r="C13082" s="20" t="s">
        <v>788</v>
      </c>
      <c r="D13082" s="20" t="s">
        <v>789</v>
      </c>
      <c r="E13082" s="20" t="s">
        <v>790</v>
      </c>
      <c r="F13082" s="20" t="s">
        <v>791</v>
      </c>
      <c r="G13082" s="20" t="s">
        <v>792</v>
      </c>
      <c r="H13082" s="20" t="s">
        <v>793</v>
      </c>
      <c r="I13082" s="20" t="s">
        <v>794</v>
      </c>
      <c r="J13082" s="20" t="s">
        <v>795</v>
      </c>
      <c r="K13082" s="20" t="s">
        <v>796</v>
      </c>
      <c r="L13082" s="4" t="s">
        <v>47</v>
      </c>
    </row>
    <row r="13083" customFormat="false" ht="15" hidden="false" customHeight="false" outlineLevel="0" collapsed="false">
      <c r="A13083" s="0" t="s">
        <v>867</v>
      </c>
      <c r="B13083" s="0" t="s">
        <v>98</v>
      </c>
      <c r="D13083" s="6" t="n">
        <f aca="false">Sens!D13059</f>
        <v>72.61</v>
      </c>
      <c r="E13083" s="6" t="n">
        <f aca="false">Sens!E13059</f>
        <v>101.938</v>
      </c>
      <c r="F13083" s="6" t="n">
        <f aca="false">Sens!F13059</f>
        <v>128.573389932331</v>
      </c>
      <c r="G13083" s="6" t="n">
        <f aca="false">Sens!G13059</f>
        <v>148.593116409662</v>
      </c>
      <c r="H13083" s="6" t="n">
        <f aca="false">Sens!H13059</f>
        <v>164.087276733852</v>
      </c>
      <c r="I13083" s="6" t="n">
        <f aca="false">Sens!I13059</f>
        <v>181.782876543045</v>
      </c>
      <c r="J13083" s="6" t="n">
        <f aca="false">Sens!J13059</f>
        <v>198.429411291033</v>
      </c>
      <c r="K13083" s="6" t="n">
        <f aca="false">Sens!K13059</f>
        <v>214.012560715102</v>
      </c>
    </row>
    <row r="13084" customFormat="false" ht="17.15" hidden="false" customHeight="false" outlineLevel="0" collapsed="false">
      <c r="A13084" s="0" t="s">
        <v>864</v>
      </c>
      <c r="B13084" s="0" t="s">
        <v>98</v>
      </c>
      <c r="D13084" s="6" t="n">
        <f aca="false">Sens!D13056</f>
        <v>12.9359794422418</v>
      </c>
      <c r="E13084" s="6" t="n">
        <f aca="false">Sens!E13056</f>
        <v>27.8095064661409</v>
      </c>
      <c r="F13084" s="6" t="n">
        <f aca="false">Sens!F13056</f>
        <v>38.493440194965</v>
      </c>
      <c r="G13084" s="6" t="n">
        <f aca="false">Sens!G13056</f>
        <v>41.5646912063518</v>
      </c>
      <c r="H13084" s="6" t="n">
        <f aca="false">Sens!H13056</f>
        <v>39.815294148216</v>
      </c>
      <c r="I13084" s="6" t="n">
        <f aca="false">Sens!I13056</f>
        <v>40.84917416119</v>
      </c>
      <c r="J13084" s="6" t="n">
        <f aca="false">Sens!J13056</f>
        <v>42.4105439767017</v>
      </c>
      <c r="K13084" s="6" t="n">
        <f aca="false">Sens!K13056</f>
        <v>45.5121840156236</v>
      </c>
    </row>
    <row r="13085" customFormat="false" ht="17.15" hidden="false" customHeight="false" outlineLevel="0" collapsed="false">
      <c r="A13085" s="0" t="s">
        <v>892</v>
      </c>
      <c r="B13085" s="0" t="s">
        <v>98</v>
      </c>
      <c r="D13085" s="6" t="n">
        <f aca="false">Sens!D13057</f>
        <v>59.6740205577583</v>
      </c>
      <c r="E13085" s="6" t="n">
        <f aca="false">Sens!E13057</f>
        <v>74.1284935338591</v>
      </c>
      <c r="F13085" s="6" t="n">
        <f aca="false">Sens!F13057</f>
        <v>90.0799497373663</v>
      </c>
      <c r="G13085" s="6" t="n">
        <f aca="false">Sens!G13057</f>
        <v>107.02842520331</v>
      </c>
      <c r="H13085" s="6" t="n">
        <f aca="false">Sens!H13057</f>
        <v>124.271982585636</v>
      </c>
      <c r="I13085" s="6" t="n">
        <f aca="false">Sens!I13057</f>
        <v>140.933702381855</v>
      </c>
      <c r="J13085" s="6" t="n">
        <f aca="false">Sens!J13057</f>
        <v>156.018867314332</v>
      </c>
      <c r="K13085" s="6" t="n">
        <f aca="false">Sens!K13057</f>
        <v>168.500376699478</v>
      </c>
    </row>
    <row r="13086" customFormat="false" ht="15" hidden="false" customHeight="false" outlineLevel="0" collapsed="false">
      <c r="A13086" s="0" t="s">
        <v>873</v>
      </c>
      <c r="B13086" s="0" t="s">
        <v>98</v>
      </c>
      <c r="D13086" s="6" t="n">
        <f aca="false">Sens!D13064</f>
        <v>84.605</v>
      </c>
      <c r="E13086" s="6" t="n">
        <f aca="false">Sens!E13064</f>
        <v>100.299</v>
      </c>
      <c r="F13086" s="6" t="n">
        <f aca="false">Sens!F13064</f>
        <v>117.39238776686</v>
      </c>
      <c r="G13086" s="6" t="n">
        <f aca="false">Sens!G13064</f>
        <v>132.544168448684</v>
      </c>
      <c r="H13086" s="6" t="n">
        <f aca="false">Sens!H13064</f>
        <v>147.777359388781</v>
      </c>
      <c r="I13086" s="6" t="n">
        <f aca="false">Sens!I13064</f>
        <v>162.084028071957</v>
      </c>
      <c r="J13086" s="6" t="n">
        <f aca="false">Sens!J13064</f>
        <v>175.182702785465</v>
      </c>
      <c r="K13086" s="6" t="n">
        <f aca="false">Sens!K13064</f>
        <v>187.527991980448</v>
      </c>
    </row>
    <row r="13087" customFormat="false" ht="17.15" hidden="false" customHeight="false" outlineLevel="0" collapsed="false">
      <c r="A13087" s="0" t="s">
        <v>893</v>
      </c>
      <c r="B13087" s="0" t="s">
        <v>98</v>
      </c>
      <c r="D13087" s="6" t="n">
        <f aca="false">Sens!D13062</f>
        <v>83.705</v>
      </c>
      <c r="E13087" s="6" t="n">
        <f aca="false">Sens!E13062</f>
        <v>95.049</v>
      </c>
      <c r="F13087" s="6" t="n">
        <f aca="false">Sens!F13062</f>
        <v>106.89238776686</v>
      </c>
      <c r="G13087" s="6" t="n">
        <f aca="false">Sens!G13062</f>
        <v>119.044168448684</v>
      </c>
      <c r="H13087" s="6" t="n">
        <f aca="false">Sens!H13062</f>
        <v>131.277359388781</v>
      </c>
      <c r="I13087" s="6" t="n">
        <f aca="false">Sens!I13062</f>
        <v>143.334028071957</v>
      </c>
      <c r="J13087" s="6" t="n">
        <f aca="false">Sens!J13062</f>
        <v>154.932702785465</v>
      </c>
      <c r="K13087" s="6" t="n">
        <f aca="false">Sens!K13062</f>
        <v>165.777991980448</v>
      </c>
    </row>
    <row r="13088" customFormat="false" ht="17.15" hidden="false" customHeight="false" outlineLevel="0" collapsed="false">
      <c r="A13088" s="0" t="s">
        <v>894</v>
      </c>
      <c r="B13088" s="0" t="s">
        <v>98</v>
      </c>
      <c r="D13088" s="6" t="n">
        <f aca="false">Sens!D13061</f>
        <v>0.9</v>
      </c>
      <c r="E13088" s="6" t="n">
        <f aca="false">Sens!E13061</f>
        <v>5.25</v>
      </c>
      <c r="F13088" s="6" t="n">
        <f aca="false">Sens!F13061</f>
        <v>10.5</v>
      </c>
      <c r="G13088" s="6" t="n">
        <f aca="false">Sens!G13061</f>
        <v>13.5</v>
      </c>
      <c r="H13088" s="6" t="n">
        <f aca="false">Sens!H13061</f>
        <v>16.5</v>
      </c>
      <c r="I13088" s="6" t="n">
        <f aca="false">Sens!I13061</f>
        <v>18.75</v>
      </c>
      <c r="J13088" s="6" t="n">
        <f aca="false">Sens!J13061</f>
        <v>20.25</v>
      </c>
      <c r="K13088" s="6" t="n">
        <f aca="false">Sens!K13061</f>
        <v>21.75</v>
      </c>
    </row>
    <row r="13089" customFormat="false" ht="15" hidden="false" customHeight="false" outlineLevel="0" collapsed="false">
      <c r="A13089" s="0" t="s">
        <v>874</v>
      </c>
      <c r="B13089" s="0" t="s">
        <v>98</v>
      </c>
      <c r="D13089" s="6" t="n">
        <f aca="false">Sens!D13065</f>
        <v>35.391</v>
      </c>
      <c r="E13089" s="6" t="n">
        <f aca="false">Sens!E13065</f>
        <v>37.285</v>
      </c>
      <c r="F13089" s="6" t="n">
        <f aca="false">Sens!F13065</f>
        <v>39.0720834331704</v>
      </c>
      <c r="G13089" s="6" t="n">
        <f aca="false">Sens!G13065</f>
        <v>40.726562953769</v>
      </c>
      <c r="H13089" s="6" t="n">
        <f aca="false">Sens!H13065</f>
        <v>42.2235987259198</v>
      </c>
      <c r="I13089" s="6" t="n">
        <f aca="false">Sens!I13065</f>
        <v>43.5397988077414</v>
      </c>
      <c r="J13089" s="6" t="n">
        <f aca="false">Sens!J13065</f>
        <v>44.653811225693</v>
      </c>
      <c r="K13089" s="6" t="n">
        <f aca="false">Sens!K13065</f>
        <v>45.5468874502068</v>
      </c>
    </row>
    <row r="13090" customFormat="false" ht="15" hidden="false" customHeight="false" outlineLevel="0" collapsed="false">
      <c r="A13090" s="0" t="s">
        <v>875</v>
      </c>
      <c r="B13090" s="0" t="s">
        <v>98</v>
      </c>
      <c r="D13090" s="6" t="n">
        <f aca="false">Sens!D13067</f>
        <v>18.417</v>
      </c>
      <c r="E13090" s="6" t="n">
        <f aca="false">Sens!E13067</f>
        <v>20.345</v>
      </c>
      <c r="F13090" s="6" t="n">
        <f aca="false">Sens!F13067</f>
        <v>22.3572203267814</v>
      </c>
      <c r="G13090" s="6" t="n">
        <f aca="false">Sens!G13067</f>
        <v>24.4392124437232</v>
      </c>
      <c r="H13090" s="6" t="n">
        <f aca="false">Sens!H13067</f>
        <v>26.5738052080665</v>
      </c>
      <c r="I13090" s="6" t="n">
        <f aca="false">Sens!I13067</f>
        <v>28.7412169166967</v>
      </c>
      <c r="J13090" s="6" t="n">
        <f aca="false">Sens!J13067</f>
        <v>30.9192545395413</v>
      </c>
      <c r="K13090" s="6" t="n">
        <f aca="false">Sens!K13067</f>
        <v>33.0836023573092</v>
      </c>
    </row>
    <row r="13091" customFormat="false" ht="15" hidden="false" customHeight="false" outlineLevel="0" collapsed="false">
      <c r="A13091" s="0" t="s">
        <v>876</v>
      </c>
      <c r="B13091" s="0" t="s">
        <v>98</v>
      </c>
      <c r="D13091" s="6" t="n">
        <f aca="false">Sens!D13069</f>
        <v>7.76</v>
      </c>
      <c r="E13091" s="6" t="n">
        <f aca="false">Sens!E13069</f>
        <v>8.26</v>
      </c>
      <c r="F13091" s="6" t="n">
        <f aca="false">Sens!F13069</f>
        <v>8.79988041237113</v>
      </c>
      <c r="G13091" s="6" t="n">
        <f aca="false">Sens!G13069</f>
        <v>9.38321269125306</v>
      </c>
      <c r="H13091" s="6" t="n">
        <f aca="false">Sens!H13069</f>
        <v>10.0139193587476</v>
      </c>
      <c r="I13091" s="6" t="n">
        <f aca="false">Sens!I13069</f>
        <v>10.6963111830911</v>
      </c>
      <c r="J13091" s="6" t="n">
        <f aca="false">Sens!J13069</f>
        <v>11.4351285534696</v>
      </c>
      <c r="K13091" s="6" t="n">
        <f aca="false">Sens!K13069</f>
        <v>12.2355875522124</v>
      </c>
    </row>
    <row r="13092" customFormat="false" ht="15" hidden="false" customHeight="false" outlineLevel="0" collapsed="false">
      <c r="A13092" s="0" t="s">
        <v>704</v>
      </c>
      <c r="B13092" s="0" t="s">
        <v>98</v>
      </c>
      <c r="D13092" s="6" t="n">
        <f aca="false">Sens!D13071</f>
        <v>218.783</v>
      </c>
      <c r="E13092" s="6" t="n">
        <f aca="false">Sens!E13071</f>
        <v>268.127</v>
      </c>
      <c r="F13092" s="6" t="n">
        <f aca="false">Sens!F13071</f>
        <v>316.194961871514</v>
      </c>
      <c r="G13092" s="6" t="n">
        <f aca="false">Sens!G13071</f>
        <v>355.686272947091</v>
      </c>
      <c r="H13092" s="6" t="n">
        <f aca="false">Sens!H13071</f>
        <v>390.675959415367</v>
      </c>
      <c r="I13092" s="6" t="n">
        <f aca="false">Sens!I13071</f>
        <v>426.844231522531</v>
      </c>
      <c r="J13092" s="6" t="n">
        <f aca="false">Sens!J13071</f>
        <v>460.620308395202</v>
      </c>
      <c r="K13092" s="6" t="n">
        <f aca="false">Sens!K13071</f>
        <v>492.406630055278</v>
      </c>
    </row>
    <row r="13093" customFormat="false" ht="15" hidden="false" customHeight="false" outlineLevel="0" collapsed="false">
      <c r="A13093" s="0" t="s">
        <v>877</v>
      </c>
      <c r="B13093" s="0" t="s">
        <v>98</v>
      </c>
      <c r="D13093" s="6" t="n">
        <f aca="false">Sens!D13072</f>
        <v>22.171</v>
      </c>
      <c r="E13093" s="6" t="n">
        <f aca="false">Sens!E13072</f>
        <v>24.835</v>
      </c>
      <c r="F13093" s="6" t="n">
        <f aca="false">Sens!F13072</f>
        <v>27.6114901218559</v>
      </c>
      <c r="G13093" s="6" t="n">
        <f aca="false">Sens!G13072</f>
        <v>30.4675667338515</v>
      </c>
      <c r="H13093" s="6" t="n">
        <f aca="false">Sens!H13072</f>
        <v>33.3643766955789</v>
      </c>
      <c r="I13093" s="6" t="n">
        <f aca="false">Sens!I13072</f>
        <v>36.2577016533691</v>
      </c>
      <c r="J13093" s="6" t="n">
        <f aca="false">Sens!J13072</f>
        <v>39.0988367952171</v>
      </c>
      <c r="K13093" s="6" t="n">
        <f aca="false">Sens!K13072</f>
        <v>41.8357553708823</v>
      </c>
    </row>
    <row r="13094" customFormat="false" ht="15" hidden="false" customHeight="false" outlineLevel="0" collapsed="false">
      <c r="A13094" s="0" t="s">
        <v>878</v>
      </c>
      <c r="B13094" s="0" t="s">
        <v>98</v>
      </c>
      <c r="D13094" s="6" t="n">
        <f aca="false">Sens!D13074</f>
        <v>23.455</v>
      </c>
      <c r="E13094" s="6" t="n">
        <f aca="false">Sens!E13074</f>
        <v>21.79</v>
      </c>
      <c r="F13094" s="6" t="n">
        <f aca="false">Sens!F13074</f>
        <v>20.5736277908051</v>
      </c>
      <c r="G13094" s="6" t="n">
        <f aca="false">Sens!G13074</f>
        <v>19.7371452817919</v>
      </c>
      <c r="H13094" s="6" t="n">
        <f aca="false">Sens!H13074</f>
        <v>19.2339764043138</v>
      </c>
      <c r="I13094" s="6" t="n">
        <f aca="false">Sens!I13074</f>
        <v>19.0353086852681</v>
      </c>
      <c r="J13094" s="6" t="n">
        <f aca="false">Sens!J13074</f>
        <v>19.1273539319129</v>
      </c>
      <c r="K13094" s="6" t="n">
        <f aca="false">Sens!K13074</f>
        <v>19.5099010105511</v>
      </c>
    </row>
    <row r="13095" customFormat="false" ht="15" hidden="false" customHeight="false" outlineLevel="0" collapsed="false">
      <c r="A13095" s="0" t="s">
        <v>879</v>
      </c>
      <c r="B13095" s="0" t="s">
        <v>98</v>
      </c>
      <c r="D13095" s="6" t="n">
        <f aca="false">Sens!D13076</f>
        <v>17.315</v>
      </c>
      <c r="E13095" s="6" t="n">
        <f aca="false">Sens!E13076</f>
        <v>17.087</v>
      </c>
      <c r="F13095" s="6" t="n">
        <f aca="false">Sens!F13076</f>
        <v>16.9564585436519</v>
      </c>
      <c r="G13095" s="6" t="n">
        <f aca="false">Sens!G13076</f>
        <v>16.9206490624268</v>
      </c>
      <c r="H13095" s="6" t="n">
        <f aca="false">Sens!H13076</f>
        <v>16.9784519149849</v>
      </c>
      <c r="I13095" s="6" t="n">
        <f aca="false">Sens!I13076</f>
        <v>17.1303084701817</v>
      </c>
      <c r="J13095" s="6" t="n">
        <f aca="false">Sens!J13076</f>
        <v>17.3782189407267</v>
      </c>
      <c r="K13095" s="6" t="n">
        <f aca="false">Sens!K13076</f>
        <v>17.7257833195413</v>
      </c>
    </row>
    <row r="13096" customFormat="false" ht="15" hidden="false" customHeight="false" outlineLevel="0" collapsed="false">
      <c r="A13096" s="0" t="s">
        <v>718</v>
      </c>
      <c r="B13096" s="0" t="s">
        <v>98</v>
      </c>
      <c r="D13096" s="6" t="n">
        <f aca="false">Sens!D13078</f>
        <v>62.941</v>
      </c>
      <c r="E13096" s="6" t="n">
        <f aca="false">Sens!E13078</f>
        <v>63.712</v>
      </c>
      <c r="F13096" s="6" t="n">
        <f aca="false">Sens!F13078</f>
        <v>65.1415764563129</v>
      </c>
      <c r="G13096" s="6" t="n">
        <f aca="false">Sens!G13078</f>
        <v>67.1253610780702</v>
      </c>
      <c r="H13096" s="6" t="n">
        <f aca="false">Sens!H13078</f>
        <v>69.5768050148776</v>
      </c>
      <c r="I13096" s="6" t="n">
        <f aca="false">Sens!I13078</f>
        <v>72.4233188088189</v>
      </c>
      <c r="J13096" s="6" t="n">
        <f aca="false">Sens!J13078</f>
        <v>75.6044096678567</v>
      </c>
      <c r="K13096" s="6" t="n">
        <f aca="false">Sens!K13078</f>
        <v>79.0714397009747</v>
      </c>
    </row>
    <row r="13097" customFormat="false" ht="15" hidden="false" customHeight="false" outlineLevel="0" collapsed="false">
      <c r="A13097" s="1" t="s">
        <v>895</v>
      </c>
      <c r="B13097" s="0" t="s">
        <v>98</v>
      </c>
      <c r="D13097" s="6" t="n">
        <f aca="false">Sens!D13079</f>
        <v>281.724</v>
      </c>
      <c r="E13097" s="6" t="n">
        <f aca="false">Sens!E13079</f>
        <v>331.839</v>
      </c>
      <c r="F13097" s="6" t="n">
        <f aca="false">Sens!F13079</f>
        <v>381.336538327827</v>
      </c>
      <c r="G13097" s="6" t="n">
        <f aca="false">Sens!G13079</f>
        <v>422.811634025161</v>
      </c>
      <c r="H13097" s="6" t="n">
        <f aca="false">Sens!H13079</f>
        <v>460.252764430245</v>
      </c>
      <c r="I13097" s="6" t="n">
        <f aca="false">Sens!I13079</f>
        <v>499.26755033135</v>
      </c>
      <c r="J13097" s="6" t="n">
        <f aca="false">Sens!J13079</f>
        <v>536.224718063059</v>
      </c>
      <c r="K13097" s="6" t="n">
        <f aca="false">Sens!K13079</f>
        <v>571.478069756253</v>
      </c>
    </row>
    <row r="13098" customFormat="false" ht="15" hidden="false" customHeight="false" outlineLevel="0" collapsed="false">
      <c r="A13098" s="1" t="s">
        <v>896</v>
      </c>
      <c r="B13098" s="0" t="s">
        <v>129</v>
      </c>
      <c r="E13098" s="7" t="n">
        <f aca="false">Sens!E13097/Sens!D13097-1</f>
        <v>0.177886867998467</v>
      </c>
      <c r="F13098" s="7" t="n">
        <f aca="false">Sens!F13097/Sens!E13097-1</f>
        <v>0.149161305114308</v>
      </c>
      <c r="G13098" s="7" t="n">
        <f aca="false">Sens!G13097/Sens!F13097-1</f>
        <v>0.108762448726272</v>
      </c>
      <c r="H13098" s="7" t="n">
        <f aca="false">Sens!H13097/Sens!G13097-1</f>
        <v>0.088552744040282</v>
      </c>
      <c r="I13098" s="7" t="n">
        <f aca="false">Sens!I13097/Sens!H13097-1</f>
        <v>0.0847681728743168</v>
      </c>
      <c r="J13098" s="7" t="n">
        <f aca="false">Sens!J13097/Sens!I13097-1</f>
        <v>0.0740227713721466</v>
      </c>
      <c r="K13098" s="7" t="n">
        <f aca="false">Sens!K13097/Sens!J13097-1</f>
        <v>0.0657436155135391</v>
      </c>
    </row>
    <row r="13099" customFormat="false" ht="17.15" hidden="false" customHeight="false" outlineLevel="0" collapsed="false">
      <c r="A13099" s="23" t="s">
        <v>897</v>
      </c>
      <c r="B13099" s="30" t="s">
        <v>98</v>
      </c>
      <c r="C13099" s="30"/>
      <c r="D13099" s="24" t="n">
        <f aca="false">(Sens!D13092+Sens!D13096-Sens!D13097)+(Sens!D13084+Sens!D13085-Sens!D13083)+(Sens!D13087+Sens!D13088-Sens!D13086)+(Sens!D13097-Q!L18)</f>
        <v>0</v>
      </c>
      <c r="E13099" s="24" t="n">
        <f aca="false">(Sens!E13092+Sens!E13096-Sens!E13097)+(Sens!E13084+Sens!E13085-Sens!E13083)+(Sens!E13087+Sens!E13088-Sens!E13086)+(Sens!E13097-Q!M18)</f>
        <v>0</v>
      </c>
      <c r="F13099" s="24" t="n">
        <f aca="false">(Sens!F13092+Sens!F13096-Sens!F13097)+(Sens!F13084+Sens!F13085-Sens!F13083)+(Sens!F13087+Sens!F13088-Sens!F13086)</f>
        <v>0</v>
      </c>
      <c r="G13099" s="24" t="n">
        <f aca="false">(Sens!G13092+Sens!G13096-Sens!G13097)+(Sens!G13084+Sens!G13085-Sens!G13083)+(Sens!G13087+Sens!G13088-Sens!G13086)</f>
        <v>0</v>
      </c>
      <c r="H13099" s="24" t="n">
        <f aca="false">(Sens!H13092+Sens!H13096-Sens!H13097)+(Sens!H13084+Sens!H13085-Sens!H13083)+(Sens!H13087+Sens!H13088-Sens!H13086)</f>
        <v>0</v>
      </c>
      <c r="I13099" s="24" t="n">
        <f aca="false">(Sens!I13092+Sens!I13096-Sens!I13097)+(Sens!I13084+Sens!I13085-Sens!I13083)+(Sens!I13087+Sens!I13088-Sens!I13086)</f>
        <v>0</v>
      </c>
      <c r="J13099" s="24" t="n">
        <f aca="false">(Sens!J13092+Sens!J13096-Sens!J13097)+(Sens!J13084+Sens!J13085-Sens!J13083)+(Sens!J13087+Sens!J13088-Sens!J13086)</f>
        <v>0</v>
      </c>
      <c r="K13099" s="24" t="n">
        <f aca="false">(Sens!K13092+Sens!K13096-Sens!K13097)+(Sens!K13084+Sens!K13085-Sens!K13083)+(Sens!K13087+Sens!K13088-Sens!K13086)</f>
        <v>0</v>
      </c>
    </row>
    <row r="13100" customFormat="false" ht="17.15" hidden="false" customHeight="false" outlineLevel="0" collapsed="false">
      <c r="A13100" s="0" t="s">
        <v>898</v>
      </c>
      <c r="B13100" s="0" t="s">
        <v>129</v>
      </c>
      <c r="E13100" s="7" t="n">
        <f aca="false">(Q!M21+Sens!E13037+Sens!E13038+Sens!E13039+Sens!E13052-Sens!E13035)/(Q!M5-Sens!E13035)</f>
        <v>0.570957350878296</v>
      </c>
      <c r="F13100" s="7" t="n">
        <f aca="false">Sens!$E$13100+dm_seg</f>
        <v>0.570957350878296</v>
      </c>
      <c r="G13100" s="7" t="n">
        <f aca="false">Sens!$E$13100+dm_seg</f>
        <v>0.570957350878296</v>
      </c>
      <c r="H13100" s="7" t="n">
        <f aca="false">Sens!$E$13100+dm_seg</f>
        <v>0.570957350878296</v>
      </c>
      <c r="I13100" s="7" t="n">
        <f aca="false">Sens!$E$13100+dm_seg</f>
        <v>0.570957350878296</v>
      </c>
      <c r="J13100" s="7" t="n">
        <f aca="false">Sens!$E$13100+dm_seg</f>
        <v>0.570957350878296</v>
      </c>
      <c r="K13100" s="7" t="n">
        <f aca="false">Sens!$E$13100+dm_seg</f>
        <v>0.570957350878296</v>
      </c>
      <c r="L13100" s="11" t="s">
        <v>899</v>
      </c>
    </row>
    <row r="13101" customFormat="false" ht="17.15" hidden="false" customHeight="false" outlineLevel="0" collapsed="false">
      <c r="A13101" s="0" t="s">
        <v>732</v>
      </c>
      <c r="B13101" s="0" t="s">
        <v>98</v>
      </c>
      <c r="D13101" s="6" t="n">
        <f aca="false">Q!L21</f>
        <v>110.814</v>
      </c>
      <c r="E13101" s="6" t="n">
        <f aca="false">Q!M21</f>
        <v>136.365</v>
      </c>
      <c r="F13101" s="6" t="n">
        <f aca="false">Sens!F13100*(Sens!F13071-Sens!F13035)+Sens!F13035-(Sens!F13037+Sens!F13038+Sens!F13039)-Sens!F13052</f>
        <v>142.912800342503</v>
      </c>
      <c r="G13101" s="6" t="n">
        <f aca="false">Sens!G13100*(Sens!G13071-Sens!G13035)+Sens!G13035-(Sens!G13037+Sens!G13038+Sens!G13039)-Sens!G13052</f>
        <v>147.508650927669</v>
      </c>
      <c r="H13101" s="6" t="n">
        <f aca="false">Sens!H13100*(Sens!H13071-Sens!H13035)+Sens!H13035-(Sens!H13037+Sens!H13038+Sens!H13039)-Sens!H13052</f>
        <v>163.132360041116</v>
      </c>
      <c r="I13101" s="6" t="n">
        <f aca="false">Sens!I13100*(Sens!I13071-Sens!I13035)+Sens!I13035-(Sens!I13037+Sens!I13038+Sens!I13039)-Sens!I13052</f>
        <v>183.45019558228</v>
      </c>
      <c r="J13101" s="6" t="n">
        <f aca="false">Sens!J13100*(Sens!J13071-Sens!J13035)+Sens!J13035-(Sens!J13037+Sens!J13038+Sens!J13039)-Sens!J13052</f>
        <v>201.588667844589</v>
      </c>
      <c r="K13101" s="6" t="n">
        <f aca="false">Sens!K13100*(Sens!K13071-Sens!K13035)+Sens!K13035-(Sens!K13037+Sens!K13038+Sens!K13039)-Sens!K13052</f>
        <v>217.766955523663</v>
      </c>
      <c r="L13101" s="1" t="s">
        <v>900</v>
      </c>
    </row>
    <row r="13102" customFormat="false" ht="17.15" hidden="false" customHeight="false" outlineLevel="0" collapsed="false">
      <c r="A13102" s="0" t="s">
        <v>901</v>
      </c>
      <c r="B13102" s="0" t="s">
        <v>129</v>
      </c>
      <c r="E13102" s="7" t="n">
        <f aca="false">Q!M22/Q!M12</f>
        <v>0.296207935710698</v>
      </c>
      <c r="F13102" s="7" t="n">
        <f aca="false">Sens!$E$13102+dm_seg</f>
        <v>0.296207935710698</v>
      </c>
      <c r="G13102" s="7" t="n">
        <f aca="false">Sens!$E$13102+dm_seg</f>
        <v>0.296207935710698</v>
      </c>
      <c r="H13102" s="7" t="n">
        <f aca="false">Sens!$E$13102+dm_seg</f>
        <v>0.296207935710698</v>
      </c>
      <c r="I13102" s="7" t="n">
        <f aca="false">Sens!$E$13102+dm_seg</f>
        <v>0.296207935710698</v>
      </c>
      <c r="J13102" s="7" t="n">
        <f aca="false">Sens!$E$13102+dm_seg</f>
        <v>0.296207935710698</v>
      </c>
      <c r="K13102" s="7" t="n">
        <f aca="false">Sens!$E$13102+dm_seg</f>
        <v>0.296207935710698</v>
      </c>
      <c r="L13102" s="11" t="s">
        <v>902</v>
      </c>
    </row>
    <row r="13103" customFormat="false" ht="17.15" hidden="false" customHeight="false" outlineLevel="0" collapsed="false">
      <c r="A13103" s="0" t="s">
        <v>734</v>
      </c>
      <c r="B13103" s="0" t="s">
        <v>98</v>
      </c>
      <c r="D13103" s="6" t="n">
        <f aca="false">Q!L22</f>
        <v>17.714</v>
      </c>
      <c r="E13103" s="6" t="n">
        <f aca="false">Q!M22</f>
        <v>18.872</v>
      </c>
      <c r="F13103" s="6" t="n">
        <f aca="false">Sens!F13078*Sens!F13102</f>
        <v>19.2954518910651</v>
      </c>
      <c r="G13103" s="6" t="n">
        <f aca="false">Sens!G13078*Sens!G13102</f>
        <v>19.8830646387704</v>
      </c>
      <c r="H13103" s="6" t="n">
        <f aca="false">Sens!H13078*Sens!H13102</f>
        <v>20.6092017868026</v>
      </c>
      <c r="I13103" s="6" t="n">
        <f aca="false">Sens!I13078*Sens!I13102</f>
        <v>21.452361761678</v>
      </c>
      <c r="J13103" s="6" t="n">
        <f aca="false">Sens!J13078*Sens!J13102</f>
        <v>22.3946261183418</v>
      </c>
      <c r="K13103" s="6" t="n">
        <f aca="false">Sens!K13078*Sens!K13102</f>
        <v>23.4215879274986</v>
      </c>
    </row>
    <row r="13104" customFormat="false" ht="15" hidden="false" customHeight="false" outlineLevel="0" collapsed="false">
      <c r="A13104" s="1" t="s">
        <v>903</v>
      </c>
      <c r="B13104" s="0" t="s">
        <v>98</v>
      </c>
      <c r="D13104" s="6" t="n">
        <f aca="false">Sens!D13101+Sens!D13103</f>
        <v>128.528</v>
      </c>
      <c r="E13104" s="6" t="n">
        <f aca="false">Sens!E13101+Sens!E13103</f>
        <v>155.237</v>
      </c>
      <c r="F13104" s="6" t="n">
        <f aca="false">Sens!F13101+Sens!F13103</f>
        <v>162.208252233568</v>
      </c>
      <c r="G13104" s="6" t="n">
        <f aca="false">Sens!G13101+Sens!G13103</f>
        <v>167.391715566439</v>
      </c>
      <c r="H13104" s="6" t="n">
        <f aca="false">Sens!H13101+Sens!H13103</f>
        <v>183.741561827918</v>
      </c>
      <c r="I13104" s="6" t="n">
        <f aca="false">Sens!I13101+Sens!I13103</f>
        <v>204.902557343958</v>
      </c>
      <c r="J13104" s="6" t="n">
        <f aca="false">Sens!J13101+Sens!J13103</f>
        <v>223.983293962931</v>
      </c>
      <c r="K13104" s="6" t="n">
        <f aca="false">Sens!K13101+Sens!K13103</f>
        <v>241.188543451161</v>
      </c>
    </row>
    <row r="13105" customFormat="false" ht="15" hidden="false" customHeight="false" outlineLevel="0" collapsed="false">
      <c r="A13105" s="23" t="s">
        <v>904</v>
      </c>
      <c r="B13105" s="30" t="s">
        <v>98</v>
      </c>
      <c r="C13105" s="30"/>
      <c r="D13105" s="24" t="n">
        <f aca="false">Sens!D13104-Q!L23</f>
        <v>0</v>
      </c>
      <c r="E13105" s="24" t="n">
        <f aca="false">Sens!E13104-Q!M23</f>
        <v>0</v>
      </c>
      <c r="F13105" s="30"/>
      <c r="G13105" s="30"/>
      <c r="H13105" s="30"/>
      <c r="I13105" s="30"/>
      <c r="J13105" s="30"/>
      <c r="K13105" s="30"/>
    </row>
    <row r="13106" customFormat="false" ht="15" hidden="false" customHeight="false" outlineLevel="0" collapsed="false">
      <c r="A13106" s="1" t="s">
        <v>905</v>
      </c>
      <c r="B13106" s="0" t="s">
        <v>129</v>
      </c>
      <c r="D13106" s="7" t="n">
        <f aca="false">Sens!D13104/Sens!D13097</f>
        <v>0.456219562408598</v>
      </c>
      <c r="E13106" s="7" t="n">
        <f aca="false">Sens!E13104/Sens!E13097</f>
        <v>0.467808184089272</v>
      </c>
      <c r="F13106" s="7" t="n">
        <f aca="false">Sens!F13104/Sens!F13097</f>
        <v>0.42536771573177</v>
      </c>
      <c r="G13106" s="7" t="n">
        <f aca="false">Sens!G13104/Sens!G13097</f>
        <v>0.395901394606558</v>
      </c>
      <c r="H13106" s="7" t="n">
        <f aca="false">Sens!H13104/Sens!H13097</f>
        <v>0.399218811983401</v>
      </c>
      <c r="I13106" s="7" t="n">
        <f aca="false">Sens!I13104/Sens!I13097</f>
        <v>0.410406318632104</v>
      </c>
      <c r="J13106" s="7" t="n">
        <f aca="false">Sens!J13104/Sens!J13097</f>
        <v>0.417704157264513</v>
      </c>
      <c r="K13106" s="7" t="n">
        <f aca="false">Sens!K13104/Sens!K13097</f>
        <v>0.422043392765769</v>
      </c>
    </row>
    <row r="13107" customFormat="false" ht="17.15" hidden="false" customHeight="false" outlineLevel="0" collapsed="false">
      <c r="A13107" s="1" t="s">
        <v>906</v>
      </c>
      <c r="B13107" s="0" t="s">
        <v>98</v>
      </c>
      <c r="F13107" s="6" t="n">
        <f aca="false">Sens!F13122</f>
        <v>13.4543668345674</v>
      </c>
      <c r="G13107" s="6" t="n">
        <f aca="false">Sens!G13122</f>
        <v>15.2968635333153</v>
      </c>
      <c r="H13107" s="6" t="n">
        <f aca="false">Sens!H13122</f>
        <v>15.234467839745</v>
      </c>
      <c r="I13107" s="6" t="n">
        <f aca="false">Sens!I13122</f>
        <v>14.5900347340367</v>
      </c>
      <c r="J13107" s="6" t="n">
        <f aca="false">Sens!J13122</f>
        <v>14.7004629750421</v>
      </c>
      <c r="K13107" s="6" t="n">
        <f aca="false">Sens!K13122</f>
        <v>15.7646897500282</v>
      </c>
      <c r="L13107" s="1" t="s">
        <v>907</v>
      </c>
    </row>
    <row r="13108" customFormat="false" ht="17.15" hidden="false" customHeight="false" outlineLevel="0" collapsed="false">
      <c r="A13108" s="1" t="s">
        <v>908</v>
      </c>
      <c r="B13108" s="0" t="s">
        <v>98</v>
      </c>
      <c r="D13108" s="6" t="n">
        <f aca="false">Sens!D13104</f>
        <v>128.528</v>
      </c>
      <c r="E13108" s="6" t="n">
        <f aca="false">Sens!E13104</f>
        <v>155.237</v>
      </c>
      <c r="F13108" s="6" t="n">
        <f aca="false">Sens!F13104+Sens!F13107</f>
        <v>175.662619068136</v>
      </c>
      <c r="G13108" s="6" t="n">
        <f aca="false">Sens!G13104+Sens!G13107</f>
        <v>182.688579099754</v>
      </c>
      <c r="H13108" s="6" t="n">
        <f aca="false">Sens!H13104+Sens!H13107</f>
        <v>198.976029667663</v>
      </c>
      <c r="I13108" s="6" t="n">
        <f aca="false">Sens!I13104+Sens!I13107</f>
        <v>219.492592077995</v>
      </c>
      <c r="J13108" s="6" t="n">
        <f aca="false">Sens!J13104+Sens!J13107</f>
        <v>238.683756937973</v>
      </c>
      <c r="K13108" s="6" t="n">
        <f aca="false">Sens!K13104+Sens!K13107</f>
        <v>256.95323320119</v>
      </c>
    </row>
    <row r="13109" customFormat="false" ht="17.15" hidden="false" customHeight="false" outlineLevel="0" collapsed="false">
      <c r="A13109" s="1" t="s">
        <v>909</v>
      </c>
      <c r="B13109" s="0" t="s">
        <v>98</v>
      </c>
      <c r="E13109" s="6" t="n">
        <f aca="false">Sens!E13052</f>
        <v>16.3054059770833</v>
      </c>
      <c r="F13109" s="6" t="n">
        <f aca="false">Sens!F13052</f>
        <v>36.1404426892031</v>
      </c>
      <c r="G13109" s="6" t="n">
        <f aca="false">Sens!G13052</f>
        <v>52.4592101714063</v>
      </c>
      <c r="H13109" s="6" t="n">
        <f aca="false">Sens!H13052</f>
        <v>55.0419095894063</v>
      </c>
      <c r="I13109" s="6" t="n">
        <f aca="false">Sens!I13052</f>
        <v>55.6856838189896</v>
      </c>
      <c r="J13109" s="6" t="n">
        <f aca="false">Sens!J13052</f>
        <v>57.3016885177396</v>
      </c>
      <c r="K13109" s="6" t="n">
        <f aca="false">Sens!K13052</f>
        <v>60.2052416756563</v>
      </c>
    </row>
    <row r="13110" customFormat="false" ht="17.15" hidden="false" customHeight="false" outlineLevel="0" collapsed="false">
      <c r="A13110" s="1" t="s">
        <v>910</v>
      </c>
      <c r="B13110" s="0" t="s">
        <v>98</v>
      </c>
      <c r="E13110" s="6" t="n">
        <f aca="false">Sens!E13134</f>
        <v>22.2285940229167</v>
      </c>
      <c r="F13110" s="6" t="n">
        <f aca="false">Sens!F13134</f>
        <v>23.5486693435813</v>
      </c>
      <c r="G13110" s="6" t="n">
        <f aca="false">Sens!G13134</f>
        <v>25.264091766262</v>
      </c>
      <c r="H13110" s="6" t="n">
        <f aca="false">Sens!H13134</f>
        <v>27.3438339540448</v>
      </c>
      <c r="I13110" s="6" t="n">
        <f aca="false">Sens!I13134</f>
        <v>29.7317905898047</v>
      </c>
      <c r="J13110" s="6" t="n">
        <f aca="false">Sens!J13134</f>
        <v>32.3542028558616</v>
      </c>
      <c r="K13110" s="6" t="n">
        <f aca="false">Sens!K13134</f>
        <v>35.1281528444749</v>
      </c>
    </row>
    <row r="13111" customFormat="false" ht="17.15" hidden="false" customHeight="false" outlineLevel="0" collapsed="false">
      <c r="A13111" s="1" t="s">
        <v>911</v>
      </c>
      <c r="B13111" s="0" t="s">
        <v>98</v>
      </c>
      <c r="D13111" s="6" t="n">
        <f aca="false">Q!L27</f>
        <v>-4.901</v>
      </c>
      <c r="E13111" s="6" t="n">
        <f aca="false">Q!M27</f>
        <v>10.697</v>
      </c>
      <c r="F13111" s="6" t="n">
        <f aca="false">oie_f</f>
        <v>-0.4</v>
      </c>
      <c r="G13111" s="6" t="n">
        <f aca="false">oie_f</f>
        <v>-0.4</v>
      </c>
      <c r="H13111" s="6" t="n">
        <f aca="false">oie_f</f>
        <v>-0.4</v>
      </c>
      <c r="I13111" s="6" t="n">
        <f aca="false">oie_f</f>
        <v>-0.4</v>
      </c>
      <c r="J13111" s="6" t="n">
        <f aca="false">oie_f</f>
        <v>-0.4</v>
      </c>
      <c r="K13111" s="6" t="n">
        <f aca="false">oie_f</f>
        <v>-0.4</v>
      </c>
      <c r="L13111" s="11" t="s">
        <v>912</v>
      </c>
    </row>
    <row r="13112" customFormat="false" ht="15" hidden="false" customHeight="false" outlineLevel="0" collapsed="false">
      <c r="A13112" s="1" t="s">
        <v>913</v>
      </c>
      <c r="B13112" s="0" t="s">
        <v>98</v>
      </c>
      <c r="D13112" s="6" t="n">
        <f aca="false">Sens!D13104+Sens!D13111</f>
        <v>123.627</v>
      </c>
      <c r="E13112" s="6" t="n">
        <f aca="false">Sens!E13104+Sens!E13111</f>
        <v>165.934</v>
      </c>
      <c r="F13112" s="6" t="n">
        <f aca="false">Sens!F13104+Sens!F13111</f>
        <v>161.808252233568</v>
      </c>
      <c r="G13112" s="6" t="n">
        <f aca="false">Sens!G13104+Sens!G13111</f>
        <v>166.991715566439</v>
      </c>
      <c r="H13112" s="6" t="n">
        <f aca="false">Sens!H13104+Sens!H13111</f>
        <v>183.341561827918</v>
      </c>
      <c r="I13112" s="6" t="n">
        <f aca="false">Sens!I13104+Sens!I13111</f>
        <v>204.502557343958</v>
      </c>
      <c r="J13112" s="6" t="n">
        <f aca="false">Sens!J13104+Sens!J13111</f>
        <v>223.583293962931</v>
      </c>
      <c r="K13112" s="6" t="n">
        <f aca="false">Sens!K13104+Sens!K13111</f>
        <v>240.788543451161</v>
      </c>
    </row>
    <row r="13113" customFormat="false" ht="15" hidden="false" customHeight="false" outlineLevel="0" collapsed="false">
      <c r="A13113" s="1" t="s">
        <v>914</v>
      </c>
      <c r="B13113" s="0" t="s">
        <v>98</v>
      </c>
      <c r="D13113" s="6" t="n">
        <f aca="false">Q!L29</f>
        <v>21.795</v>
      </c>
      <c r="E13113" s="6" t="n">
        <f aca="false">Q!M29</f>
        <v>32.185</v>
      </c>
      <c r="F13113" s="6" t="n">
        <f aca="false">Sens!F13112*tax_f</f>
        <v>32.3616504467137</v>
      </c>
      <c r="G13113" s="6" t="n">
        <f aca="false">Sens!G13112*tax_f</f>
        <v>33.3983431132878</v>
      </c>
      <c r="H13113" s="6" t="n">
        <f aca="false">Sens!H13112*tax_f</f>
        <v>36.6683123655837</v>
      </c>
      <c r="I13113" s="6" t="n">
        <f aca="false">Sens!I13112*tax_f</f>
        <v>40.9005114687916</v>
      </c>
      <c r="J13113" s="6" t="n">
        <f aca="false">Sens!J13112*tax_f</f>
        <v>44.7166587925862</v>
      </c>
      <c r="K13113" s="6" t="n">
        <f aca="false">Sens!K13112*tax_f</f>
        <v>48.1577086902323</v>
      </c>
    </row>
    <row r="13114" customFormat="false" ht="15" hidden="false" customHeight="false" outlineLevel="0" collapsed="false">
      <c r="A13114" s="1" t="s">
        <v>915</v>
      </c>
      <c r="B13114" s="0" t="s">
        <v>98</v>
      </c>
      <c r="D13114" s="6" t="n">
        <f aca="false">Sens!D13112-Sens!D13113</f>
        <v>101.832</v>
      </c>
      <c r="E13114" s="6" t="n">
        <f aca="false">Sens!E13112-Sens!E13113</f>
        <v>133.749</v>
      </c>
      <c r="F13114" s="6" t="n">
        <f aca="false">Sens!F13112-Sens!F13113</f>
        <v>129.446601786855</v>
      </c>
      <c r="G13114" s="6" t="n">
        <f aca="false">Sens!G13112-Sens!G13113</f>
        <v>133.593372453151</v>
      </c>
      <c r="H13114" s="6" t="n">
        <f aca="false">Sens!H13112-Sens!H13113</f>
        <v>146.673249462335</v>
      </c>
      <c r="I13114" s="6" t="n">
        <f aca="false">Sens!I13112-Sens!I13113</f>
        <v>163.602045875166</v>
      </c>
      <c r="J13114" s="6" t="n">
        <f aca="false">Sens!J13112-Sens!J13113</f>
        <v>178.866635170345</v>
      </c>
      <c r="K13114" s="6" t="n">
        <f aca="false">Sens!K13112-Sens!K13113</f>
        <v>192.630834760929</v>
      </c>
    </row>
    <row r="13115" customFormat="false" ht="17.15" hidden="false" customHeight="false" outlineLevel="0" collapsed="false">
      <c r="A13115" s="1" t="s">
        <v>916</v>
      </c>
      <c r="B13115" s="1" t="s">
        <v>81</v>
      </c>
      <c r="D13115" s="14" t="n">
        <f aca="false">Q!L31</f>
        <v>7.465</v>
      </c>
      <c r="E13115" s="14" t="n">
        <f aca="false">Q!M31</f>
        <v>7.453</v>
      </c>
      <c r="F13115" s="14" t="n">
        <f aca="false">Sens!F13156</f>
        <v>7.4735</v>
      </c>
      <c r="G13115" s="14" t="n">
        <f aca="false">Sens!G13156</f>
        <v>7.49987171271795</v>
      </c>
      <c r="H13115" s="14" t="n">
        <f aca="false">Sens!H13156</f>
        <v>7.50899501128585</v>
      </c>
      <c r="I13115" s="14" t="n">
        <f aca="false">Sens!I13156</f>
        <v>7.52077584329316</v>
      </c>
      <c r="J13115" s="14" t="n">
        <f aca="false">Sens!J13156</f>
        <v>7.53501735441104</v>
      </c>
      <c r="K13115" s="14" t="n">
        <f aca="false">Sens!K13156</f>
        <v>7.55153727211278</v>
      </c>
    </row>
    <row r="13116" customFormat="false" ht="17.15" hidden="false" customHeight="false" outlineLevel="0" collapsed="false">
      <c r="A13116" s="0" t="s">
        <v>917</v>
      </c>
      <c r="B13116" s="0" t="s">
        <v>75</v>
      </c>
      <c r="D13116" s="8" t="n">
        <f aca="false">Sens!D13114/Sens!D13115</f>
        <v>13.641259209645</v>
      </c>
      <c r="E13116" s="8" t="n">
        <f aca="false">Sens!E13114/Sens!E13115</f>
        <v>17.9456594659869</v>
      </c>
      <c r="F13116" s="8" t="n">
        <f aca="false">Sens!F13114/Sens!F13115</f>
        <v>17.3207468772134</v>
      </c>
      <c r="G13116" s="8" t="n">
        <f aca="false">Sens!G13114/Sens!G13115</f>
        <v>17.8127543470656</v>
      </c>
      <c r="H13116" s="8" t="n">
        <f aca="false">Sens!H13114/Sens!H13115</f>
        <v>19.5330066462806</v>
      </c>
      <c r="I13116" s="8" t="n">
        <f aca="false">Sens!I13114/Sens!I13115</f>
        <v>21.7533468998498</v>
      </c>
      <c r="J13116" s="8" t="n">
        <f aca="false">Sens!J13114/Sens!J13115</f>
        <v>23.7380521845295</v>
      </c>
      <c r="K13116" s="8" t="n">
        <f aca="false">Sens!K13114/Sens!K13115</f>
        <v>25.5088239413582</v>
      </c>
      <c r="L13116" s="1" t="s">
        <v>918</v>
      </c>
    </row>
    <row r="13117" customFormat="false" ht="17.15" hidden="false" customHeight="false" outlineLevel="0" collapsed="false">
      <c r="A13117" s="1" t="s">
        <v>919</v>
      </c>
      <c r="B13117" s="0" t="s">
        <v>98</v>
      </c>
      <c r="D13117" s="6" t="n">
        <f aca="false">Sens!D13114</f>
        <v>101.832</v>
      </c>
      <c r="E13117" s="6" t="n">
        <f aca="false">Sens!E13114</f>
        <v>133.749</v>
      </c>
      <c r="F13117" s="6" t="n">
        <f aca="false">Sens!F13114+Sens!F13107*(1-tax_f)</f>
        <v>140.210095254509</v>
      </c>
      <c r="G13117" s="6" t="n">
        <f aca="false">Sens!G13114+Sens!G13107*(1-tax_f)</f>
        <v>145.830863279803</v>
      </c>
      <c r="H13117" s="6" t="n">
        <f aca="false">Sens!H13114+Sens!H13107*(1-tax_f)</f>
        <v>158.860823734131</v>
      </c>
      <c r="I13117" s="6" t="n">
        <f aca="false">Sens!I13114+Sens!I13107*(1-tax_f)</f>
        <v>175.274073662396</v>
      </c>
      <c r="J13117" s="6" t="n">
        <f aca="false">Sens!J13114+Sens!J13107*(1-tax_f)</f>
        <v>190.627005550379</v>
      </c>
      <c r="K13117" s="6" t="n">
        <f aca="false">Sens!K13114+Sens!K13107*(1-tax_f)</f>
        <v>205.242586560952</v>
      </c>
    </row>
    <row r="13118" customFormat="false" ht="17.15" hidden="false" customHeight="false" outlineLevel="0" collapsed="false">
      <c r="A13118" s="0" t="s">
        <v>920</v>
      </c>
      <c r="B13118" s="0" t="s">
        <v>75</v>
      </c>
      <c r="D13118" s="8" t="n">
        <f aca="false">Sens!D13117/Sens!D13115</f>
        <v>13.641259209645</v>
      </c>
      <c r="E13118" s="8" t="n">
        <f aca="false">Sens!E13117/Sens!E13115</f>
        <v>17.9456594659869</v>
      </c>
      <c r="F13118" s="8" t="n">
        <f aca="false">Sens!F13117/Sens!F13115</f>
        <v>18.7609681212964</v>
      </c>
      <c r="G13118" s="8" t="n">
        <f aca="false">Sens!G13117/Sens!G13115</f>
        <v>19.4444477006867</v>
      </c>
      <c r="H13118" s="8" t="n">
        <f aca="false">Sens!H13117/Sens!H13115</f>
        <v>21.1560699528188</v>
      </c>
      <c r="I13118" s="8" t="n">
        <f aca="false">Sens!I13117/Sens!I13115</f>
        <v>23.3053181366522</v>
      </c>
      <c r="J13118" s="8" t="n">
        <f aca="false">Sens!J13117/Sens!J13115</f>
        <v>25.2988144000471</v>
      </c>
      <c r="K13118" s="8" t="n">
        <f aca="false">Sens!K13117/Sens!K13115</f>
        <v>27.1789145925156</v>
      </c>
      <c r="L13118" s="1" t="s">
        <v>921</v>
      </c>
    </row>
    <row r="13119" customFormat="false" ht="17.15" hidden="false" customHeight="false" outlineLevel="0" collapsed="false">
      <c r="A13119" s="0" t="s">
        <v>922</v>
      </c>
      <c r="B13119" s="0" t="s">
        <v>129</v>
      </c>
      <c r="E13119" s="7" t="n">
        <f aca="false">Sens!E13118/Sens!D13118-1</f>
        <v>0.315542736208578</v>
      </c>
      <c r="F13119" s="7" t="n">
        <f aca="false">Sens!F13118/Sens!E13118-1</f>
        <v>0.0454320810474989</v>
      </c>
      <c r="G13119" s="7" t="n">
        <f aca="false">Sens!G13118/Sens!F13118-1</f>
        <v>0.0364309333596931</v>
      </c>
      <c r="H13119" s="7" t="n">
        <f aca="false">Sens!H13118/Sens!G13118-1</f>
        <v>0.0880262725112881</v>
      </c>
      <c r="I13119" s="7" t="n">
        <f aca="false">Sens!I13118/Sens!H13118-1</f>
        <v>0.101590143567617</v>
      </c>
      <c r="J13119" s="7" t="n">
        <f aca="false">Sens!J13118/Sens!I13118-1</f>
        <v>0.0855382557623072</v>
      </c>
      <c r="K13119" s="7" t="n">
        <f aca="false">Sens!K13118/Sens!J13118-1</f>
        <v>0.0743157431308337</v>
      </c>
    </row>
    <row r="13120" customFormat="false" ht="17.15" hidden="false" customHeight="false" outlineLevel="0" collapsed="false">
      <c r="A13120" s="0" t="s">
        <v>846</v>
      </c>
      <c r="B13120" s="0" t="s">
        <v>98</v>
      </c>
      <c r="E13120" s="6" t="n">
        <f aca="false">Sens!E13061</f>
        <v>5.25</v>
      </c>
      <c r="F13120" s="6" t="n">
        <f aca="false">Sens!F13061</f>
        <v>10.5</v>
      </c>
      <c r="G13120" s="6" t="n">
        <f aca="false">Sens!G13061</f>
        <v>13.5</v>
      </c>
      <c r="H13120" s="6" t="n">
        <f aca="false">Sens!H13061</f>
        <v>16.5</v>
      </c>
      <c r="I13120" s="6" t="n">
        <f aca="false">Sens!I13061</f>
        <v>18.75</v>
      </c>
      <c r="J13120" s="6" t="n">
        <f aca="false">Sens!J13061</f>
        <v>20.25</v>
      </c>
      <c r="K13120" s="6" t="n">
        <f aca="false">Sens!K13061</f>
        <v>21.75</v>
      </c>
    </row>
    <row r="13121" customFormat="false" ht="17.15" hidden="false" customHeight="false" outlineLevel="0" collapsed="false">
      <c r="A13121" s="1" t="s">
        <v>847</v>
      </c>
      <c r="B13121" s="0" t="s">
        <v>98</v>
      </c>
      <c r="F13121" s="6" t="n">
        <f aca="false">MAX(0,(Sens!E13024+Sens!F13024)/2*Sens!F13032/1000-Sens!F13120*Sens!F13100)</f>
        <v>13.4543668345674</v>
      </c>
      <c r="G13121" s="6" t="n">
        <f aca="false">MAX(0,(Sens!F13024+Sens!G13024)/2*Sens!G13032/1000-Sens!G13120*Sens!G13100)</f>
        <v>15.2968635333153</v>
      </c>
      <c r="H13121" s="6" t="n">
        <f aca="false">MAX(0,(Sens!G13024+Sens!H13024)/2*Sens!H13032/1000-Sens!H13120*Sens!H13100)</f>
        <v>15.234467839745</v>
      </c>
      <c r="I13121" s="6" t="n">
        <f aca="false">MAX(0,(Sens!H13024+Sens!I13024)/2*Sens!I13032/1000-Sens!I13120*Sens!I13100)</f>
        <v>14.5900347340367</v>
      </c>
      <c r="J13121" s="6" t="n">
        <f aca="false">MAX(0,(Sens!I13024+Sens!J13024)/2*Sens!J13032/1000-Sens!J13120*Sens!J13100)</f>
        <v>14.7004629750421</v>
      </c>
      <c r="K13121" s="6" t="n">
        <f aca="false">MAX(0,(Sens!J13024+Sens!K13024)/2*Sens!K13032/1000-Sens!K13120*Sens!K13100)</f>
        <v>15.7646897500282</v>
      </c>
      <c r="L13121" s="1" t="s">
        <v>848</v>
      </c>
    </row>
    <row r="13122" customFormat="false" ht="17.15" hidden="false" customHeight="false" outlineLevel="0" collapsed="false">
      <c r="A13122" s="1" t="s">
        <v>849</v>
      </c>
      <c r="B13122" s="0" t="s">
        <v>98</v>
      </c>
      <c r="F13122" s="6" t="n">
        <f aca="false">IF(internal_ai_reading=2,1,0)*Sens!F13121</f>
        <v>13.4543668345674</v>
      </c>
      <c r="G13122" s="6" t="n">
        <f aca="false">IF(internal_ai_reading=2,1,0)*Sens!G13121</f>
        <v>15.2968635333153</v>
      </c>
      <c r="H13122" s="6" t="n">
        <f aca="false">IF(internal_ai_reading=2,1,0)*Sens!H13121</f>
        <v>15.234467839745</v>
      </c>
      <c r="I13122" s="6" t="n">
        <f aca="false">IF(internal_ai_reading=2,1,0)*Sens!I13121</f>
        <v>14.5900347340367</v>
      </c>
      <c r="J13122" s="6" t="n">
        <f aca="false">IF(internal_ai_reading=2,1,0)*Sens!J13121</f>
        <v>14.7004629750421</v>
      </c>
      <c r="K13122" s="6" t="n">
        <f aca="false">IF(internal_ai_reading=2,1,0)*Sens!K13121</f>
        <v>15.7646897500282</v>
      </c>
    </row>
    <row r="13123" customFormat="false" ht="17.15" hidden="false" customHeight="false" outlineLevel="0" collapsed="false">
      <c r="A13123" s="0" t="s">
        <v>850</v>
      </c>
      <c r="B13123" s="0" t="s">
        <v>98</v>
      </c>
      <c r="F13123" s="6" t="n">
        <f aca="false">Sens!F13041+Sens!F13120*Sens!F13100+Sens!F13122-Sens!F13042-Sens!F13052</f>
        <v>3.8064942099785</v>
      </c>
      <c r="G13123" s="6" t="n">
        <f aca="false">Sens!G13041+Sens!G13120*Sens!G13100+Sens!G13122-Sens!G13042-Sens!G13052</f>
        <v>-8.83658746655171</v>
      </c>
      <c r="H13123" s="6" t="n">
        <f aca="false">Sens!H13041+Sens!H13120*Sens!H13100+Sens!H13122-Sens!H13042-Sens!H13052</f>
        <v>-12.5388517979765</v>
      </c>
      <c r="I13123" s="6" t="n">
        <f aca="false">Sens!I13041+Sens!I13120*Sens!I13100+Sens!I13122-Sens!I13042-Sens!I13052</f>
        <v>-11.6410347578625</v>
      </c>
      <c r="J13123" s="6" t="n">
        <f aca="false">Sens!J13041+Sens!J13120*Sens!J13100+Sens!J13122-Sens!J13042-Sens!J13052</f>
        <v>-10.9289220289062</v>
      </c>
      <c r="K13123" s="6" t="n">
        <f aca="false">Sens!K13041+Sens!K13120*Sens!K13100+Sens!K13122-Sens!K13042-Sens!K13052</f>
        <v>-9.20770137773069</v>
      </c>
    </row>
    <row r="13124" customFormat="false" ht="17.15" hidden="false" customHeight="false" outlineLevel="0" collapsed="false">
      <c r="A13124" s="0" t="s">
        <v>851</v>
      </c>
      <c r="B13124" s="0" t="s">
        <v>98</v>
      </c>
      <c r="E13124" s="6" t="n">
        <f aca="false">Sens!E13023*(cxit_open+self_build*tk_cxfac)/1000*ai_net_open</f>
        <v>126.6980382</v>
      </c>
      <c r="F13124" s="6" t="n">
        <f aca="false">Sens!E13124+Sens!F13049-Sens!F13052</f>
        <v>259.328248281234</v>
      </c>
      <c r="G13124" s="6" t="n">
        <f aca="false">Sens!F13124+Sens!G13049-Sens!G13052</f>
        <v>242.171765125828</v>
      </c>
      <c r="H13124" s="6" t="n">
        <f aca="false">Sens!G13124+Sens!H13049-Sens!H13052</f>
        <v>187.129855536422</v>
      </c>
      <c r="I13124" s="6" t="n">
        <f aca="false">Sens!H13124+Sens!I13049-Sens!I13052</f>
        <v>161.702847064099</v>
      </c>
      <c r="J13124" s="6" t="n">
        <f aca="false">Sens!I13124+Sens!J13049-Sens!J13052</f>
        <v>150.097933559693</v>
      </c>
      <c r="K13124" s="6" t="n">
        <f aca="false">Sens!J13124+Sens!K13049-Sens!K13052</f>
        <v>180.668717924036</v>
      </c>
      <c r="L13124" s="1" t="s">
        <v>852</v>
      </c>
    </row>
    <row r="13125" customFormat="false" ht="17.15" hidden="false" customHeight="false" outlineLevel="0" collapsed="false">
      <c r="A13125" s="0" t="s">
        <v>853</v>
      </c>
      <c r="B13125" s="0" t="s">
        <v>129</v>
      </c>
      <c r="F13125" s="7" t="n">
        <f aca="false">Sens!F13123*(1-tax_f)/((Sens!E13124+Sens!F13124)/2)</f>
        <v>0.0157771399235054</v>
      </c>
      <c r="G13125" s="7" t="n">
        <f aca="false">Sens!G13123*(1-tax_f)/((Sens!F13124+Sens!G13124)/2)</f>
        <v>-0.0281925016321119</v>
      </c>
      <c r="H13125" s="7" t="n">
        <f aca="false">Sens!H13123*(1-tax_f)/((Sens!G13124+Sens!H13124)/2)</f>
        <v>-0.0467320921030163</v>
      </c>
      <c r="I13125" s="7" t="n">
        <f aca="false">Sens!I13123*(1-tax_f)/((Sens!H13124+Sens!I13124)/2)</f>
        <v>-0.0533942359008405</v>
      </c>
      <c r="J13125" s="7" t="n">
        <f aca="false">Sens!J13123*(1-tax_f)/((Sens!I13124+Sens!J13124)/2)</f>
        <v>-0.0560815633984838</v>
      </c>
      <c r="K13125" s="7" t="n">
        <f aca="false">Sens!K13123*(1-tax_f)/((Sens!J13124+Sens!K13124)/2)</f>
        <v>-0.0445399260726071</v>
      </c>
    </row>
    <row r="13126" customFormat="false" ht="17.15" hidden="false" customHeight="false" outlineLevel="0" collapsed="false">
      <c r="A13126" s="1" t="s">
        <v>854</v>
      </c>
      <c r="B13126" s="0" t="s">
        <v>129</v>
      </c>
      <c r="F13126" s="7" t="n">
        <f aca="false">(Sens!F13123-Sens!F13122)*(1-tax_f)/((Sens!E13124+Sens!F13124)/2)</f>
        <v>-0.0399884586618498</v>
      </c>
      <c r="G13126" s="7" t="n">
        <f aca="false">(Sens!G13123-Sens!G13122)*(1-tax_f)/((Sens!F13124+Sens!G13124)/2)</f>
        <v>-0.0769960529760644</v>
      </c>
      <c r="H13126" s="7" t="n">
        <f aca="false">(Sens!H13123-Sens!H13122)*(1-tax_f)/((Sens!G13124+Sens!H13124)/2)</f>
        <v>-0.103510700359818</v>
      </c>
      <c r="I13126" s="7" t="n">
        <f aca="false">(Sens!I13123-Sens!I13122)*(1-tax_f)/((Sens!H13124+Sens!I13124)/2)</f>
        <v>-0.120314726440949</v>
      </c>
      <c r="J13126" s="7" t="n">
        <f aca="false">(Sens!J13123-Sens!J13122)*(1-tax_f)/((Sens!I13124+Sens!J13124)/2)</f>
        <v>-0.131516720145082</v>
      </c>
      <c r="K13126" s="7" t="n">
        <f aca="false">(Sens!K13123-Sens!K13122)*(1-tax_f)/((Sens!J13124+Sens!K13124)/2)</f>
        <v>-0.120797624625044</v>
      </c>
    </row>
    <row r="13127" customFormat="false" ht="17.15" hidden="false" customHeight="false" outlineLevel="0" collapsed="false">
      <c r="A13127" s="1" t="s">
        <v>855</v>
      </c>
      <c r="B13127" s="0" t="s">
        <v>129</v>
      </c>
      <c r="F13127" s="7" t="n">
        <f aca="false">(Sens!F13123-Sens!F13122+Sens!F13121)*(1-tax_f)/((Sens!E13124+Sens!F13124)/2)</f>
        <v>0.0157771399235054</v>
      </c>
      <c r="G13127" s="7" t="n">
        <f aca="false">(Sens!G13123-Sens!G13122+Sens!G13121)*(1-tax_f)/((Sens!F13124+Sens!G13124)/2)</f>
        <v>-0.0281925016321119</v>
      </c>
      <c r="H13127" s="7" t="n">
        <f aca="false">(Sens!H13123-Sens!H13122+Sens!H13121)*(1-tax_f)/((Sens!G13124+Sens!H13124)/2)</f>
        <v>-0.0467320921030163</v>
      </c>
      <c r="I13127" s="7" t="n">
        <f aca="false">(Sens!I13123-Sens!I13122+Sens!I13121)*(1-tax_f)/((Sens!H13124+Sens!I13124)/2)</f>
        <v>-0.0533942359008405</v>
      </c>
      <c r="J13127" s="7" t="n">
        <f aca="false">(Sens!J13123-Sens!J13122+Sens!J13121)*(1-tax_f)/((Sens!I13124+Sens!J13124)/2)</f>
        <v>-0.0560815633984838</v>
      </c>
      <c r="K13127" s="7" t="n">
        <f aca="false">(Sens!K13123-Sens!K13122+Sens!K13121)*(1-tax_f)/((Sens!J13124+Sens!K13124)/2)</f>
        <v>-0.0445399260726071</v>
      </c>
    </row>
    <row r="13128" customFormat="false" ht="17.15" hidden="false" customHeight="false" outlineLevel="0" collapsed="false">
      <c r="A13128" s="1" t="s">
        <v>856</v>
      </c>
      <c r="B13128" s="0" t="s">
        <v>129</v>
      </c>
      <c r="F13128" s="7" t="n">
        <f aca="false">Sens!F13053*(1-tax_f)/(Sens!F13040*(Sens!E13124+Sens!F13124)/2)</f>
        <v>0.0254874055431541</v>
      </c>
      <c r="G13128" s="7" t="n">
        <f aca="false">Sens!G13053*(1-tax_f)/(Sens!G13040*(Sens!F13124+Sens!G13124)/2)</f>
        <v>-0.0274764215159954</v>
      </c>
      <c r="H13128" s="7" t="n">
        <f aca="false">Sens!H13053*(1-tax_f)/(Sens!H13040*(Sens!G13124+Sens!H13124)/2)</f>
        <v>-0.0563935313236517</v>
      </c>
      <c r="I13128" s="7" t="n">
        <f aca="false">Sens!I13053*(1-tax_f)/(Sens!I13040*(Sens!H13124+Sens!I13124)/2)</f>
        <v>-0.0650594829716261</v>
      </c>
      <c r="J13128" s="7" t="n">
        <f aca="false">Sens!J13053*(1-tax_f)/(Sens!J13040*(Sens!I13124+Sens!J13124)/2)</f>
        <v>-0.0687522864976108</v>
      </c>
      <c r="K13128" s="7" t="n">
        <f aca="false">Sens!K13053*(1-tax_f)/(Sens!K13040*(Sens!J13124+Sens!K13124)/2)</f>
        <v>-0.0557725753656311</v>
      </c>
    </row>
    <row r="13129" customFormat="false" ht="17.15" hidden="false" customHeight="false" outlineLevel="0" collapsed="false">
      <c r="A13129" s="0" t="s">
        <v>857</v>
      </c>
      <c r="B13129" s="0" t="s">
        <v>209</v>
      </c>
      <c r="F13129" s="7" t="n">
        <f aca="false">Sens!F13125-wacc</f>
        <v>-0.0871572801693704</v>
      </c>
      <c r="G13129" s="7" t="n">
        <f aca="false">Sens!G13125-wacc</f>
        <v>-0.131126921724988</v>
      </c>
      <c r="H13129" s="7" t="n">
        <f aca="false">Sens!H13125-wacc</f>
        <v>-0.149666512195892</v>
      </c>
      <c r="I13129" s="7" t="n">
        <f aca="false">Sens!I13125-wacc</f>
        <v>-0.156328655993716</v>
      </c>
      <c r="J13129" s="7" t="n">
        <f aca="false">Sens!J13125-wacc</f>
        <v>-0.15901598349136</v>
      </c>
      <c r="K13129" s="7" t="n">
        <f aca="false">Sens!K13125-wacc</f>
        <v>-0.147474346165483</v>
      </c>
    </row>
    <row r="13130" customFormat="false" ht="17.15" hidden="false" customHeight="false" outlineLevel="0" collapsed="false">
      <c r="A13130" s="0" t="s">
        <v>858</v>
      </c>
      <c r="B13130" s="0" t="s">
        <v>98</v>
      </c>
      <c r="F13130" s="6" t="n">
        <f aca="false">Sens!F13123*(1-tax_f)-wacc*(Sens!E13124+Sens!F13124)/2</f>
        <v>-16.8225006017933</v>
      </c>
      <c r="G13130" s="6" t="n">
        <f aca="false">Sens!G13123*(1-tax_f)-wacc*(Sens!F13124+Sens!G13124)/2</f>
        <v>-32.8800765015541</v>
      </c>
      <c r="H13130" s="6" t="n">
        <f aca="false">Sens!H13123*(1-tax_f)-wacc*(Sens!G13124+Sens!H13124)/2</f>
        <v>-32.1260381222814</v>
      </c>
      <c r="I13130" s="6" t="n">
        <f aca="false">Sens!I13123*(1-tax_f)-wacc*(Sens!H13124+Sens!I13124)/2</f>
        <v>-27.2662737820976</v>
      </c>
      <c r="J13130" s="6" t="n">
        <f aca="false">Sens!J13123*(1-tax_f)-wacc*(Sens!I13124+Sens!J13124)/2</f>
        <v>-24.7906538921329</v>
      </c>
      <c r="K13130" s="6" t="n">
        <f aca="false">Sens!K13123*(1-tax_f)-wacc*(Sens!J13124+Sens!K13124)/2</f>
        <v>-24.3897978304546</v>
      </c>
    </row>
    <row r="13131" customFormat="false" ht="17.15" hidden="false" customHeight="false" outlineLevel="0" collapsed="false">
      <c r="A13131" s="3" t="s">
        <v>1573</v>
      </c>
    </row>
    <row r="13132" customFormat="false" ht="15" hidden="false" customHeight="false" outlineLevel="0" collapsed="false">
      <c r="A13132" s="4" t="s">
        <v>43</v>
      </c>
      <c r="B13132" s="4" t="s">
        <v>65</v>
      </c>
      <c r="C13132" s="20" t="s">
        <v>788</v>
      </c>
      <c r="D13132" s="20" t="s">
        <v>789</v>
      </c>
      <c r="E13132" s="20" t="s">
        <v>790</v>
      </c>
      <c r="F13132" s="20" t="s">
        <v>791</v>
      </c>
      <c r="G13132" s="20" t="s">
        <v>792</v>
      </c>
      <c r="H13132" s="20" t="s">
        <v>793</v>
      </c>
      <c r="I13132" s="20" t="s">
        <v>794</v>
      </c>
      <c r="J13132" s="20" t="s">
        <v>795</v>
      </c>
      <c r="K13132" s="20" t="s">
        <v>796</v>
      </c>
      <c r="L13132" s="4" t="s">
        <v>47</v>
      </c>
    </row>
    <row r="13133" customFormat="false" ht="15" hidden="false" customHeight="false" outlineLevel="0" collapsed="false">
      <c r="A13133" s="1" t="s">
        <v>915</v>
      </c>
      <c r="B13133" s="0" t="s">
        <v>98</v>
      </c>
      <c r="F13133" s="6" t="n">
        <f aca="false">Sens!F13114</f>
        <v>129.446601786855</v>
      </c>
      <c r="G13133" s="6" t="n">
        <f aca="false">Sens!G13114</f>
        <v>133.593372453151</v>
      </c>
      <c r="H13133" s="6" t="n">
        <f aca="false">Sens!H13114</f>
        <v>146.673249462335</v>
      </c>
      <c r="I13133" s="6" t="n">
        <f aca="false">Sens!I13114</f>
        <v>163.602045875166</v>
      </c>
      <c r="J13133" s="6" t="n">
        <f aca="false">Sens!J13114</f>
        <v>178.866635170345</v>
      </c>
      <c r="K13133" s="6" t="n">
        <f aca="false">Sens!K13114</f>
        <v>192.630834760929</v>
      </c>
    </row>
    <row r="13134" customFormat="false" ht="17.15" hidden="false" customHeight="false" outlineLevel="0" collapsed="false">
      <c r="A13134" s="1" t="s">
        <v>937</v>
      </c>
      <c r="B13134" s="0" t="s">
        <v>98</v>
      </c>
      <c r="E13134" s="6" t="n">
        <f aca="false">Q!M38-Sens!E13052</f>
        <v>22.2285940229167</v>
      </c>
      <c r="F13134" s="6" t="n">
        <f aca="false">Sens!E13134*(1-1/life_nonai)+Sens!F13140/life_nonai</f>
        <v>23.5486693435813</v>
      </c>
      <c r="G13134" s="6" t="n">
        <f aca="false">Sens!F13134*(1-1/life_nonai)+Sens!G13140/life_nonai</f>
        <v>25.264091766262</v>
      </c>
      <c r="H13134" s="6" t="n">
        <f aca="false">Sens!G13134*(1-1/life_nonai)+Sens!H13140/life_nonai</f>
        <v>27.3438339540448</v>
      </c>
      <c r="I13134" s="6" t="n">
        <f aca="false">Sens!H13134*(1-1/life_nonai)+Sens!I13140/life_nonai</f>
        <v>29.7317905898047</v>
      </c>
      <c r="J13134" s="6" t="n">
        <f aca="false">Sens!I13134*(1-1/life_nonai)+Sens!J13140/life_nonai</f>
        <v>32.3542028558616</v>
      </c>
      <c r="K13134" s="6" t="n">
        <f aca="false">Sens!J13134*(1-1/life_nonai)+Sens!K13140/life_nonai</f>
        <v>35.1281528444749</v>
      </c>
      <c r="L13134" s="11" t="s">
        <v>938</v>
      </c>
    </row>
    <row r="13135" customFormat="false" ht="17.15" hidden="false" customHeight="false" outlineLevel="0" collapsed="false">
      <c r="A13135" s="1" t="s">
        <v>939</v>
      </c>
      <c r="B13135" s="0" t="s">
        <v>98</v>
      </c>
      <c r="E13135" s="6" t="n">
        <f aca="false">Sens!E13052+Sens!E13134</f>
        <v>38.534</v>
      </c>
      <c r="F13135" s="6" t="n">
        <f aca="false">Sens!F13052+Sens!F13134</f>
        <v>59.6891120327844</v>
      </c>
      <c r="G13135" s="6" t="n">
        <f aca="false">Sens!G13052+Sens!G13134</f>
        <v>77.7233019376683</v>
      </c>
      <c r="H13135" s="6" t="n">
        <f aca="false">Sens!H13052+Sens!H13134</f>
        <v>82.3857435434511</v>
      </c>
      <c r="I13135" s="6" t="n">
        <f aca="false">Sens!I13052+Sens!I13134</f>
        <v>85.4174744087943</v>
      </c>
      <c r="J13135" s="6" t="n">
        <f aca="false">Sens!J13052+Sens!J13134</f>
        <v>89.6558913736012</v>
      </c>
      <c r="K13135" s="6" t="n">
        <f aca="false">Sens!K13052+Sens!K13134</f>
        <v>95.3333945201311</v>
      </c>
    </row>
    <row r="13136" customFormat="false" ht="17.15" hidden="false" customHeight="false" outlineLevel="0" collapsed="false">
      <c r="A13136" s="1" t="s">
        <v>940</v>
      </c>
      <c r="B13136" s="0" t="s">
        <v>98</v>
      </c>
      <c r="F13136" s="6" t="n">
        <f aca="false">Sens!F13079*sbc_r</f>
        <v>14.255345989943</v>
      </c>
      <c r="G13136" s="6" t="n">
        <f aca="false">Sens!G13079*sbc_r</f>
        <v>15.8057923272494</v>
      </c>
      <c r="H13136" s="6" t="n">
        <f aca="false">Sens!H13079*sbc_r</f>
        <v>17.2054386095582</v>
      </c>
      <c r="I13136" s="6" t="n">
        <f aca="false">Sens!I13079*sbc_r</f>
        <v>18.6639122039917</v>
      </c>
      <c r="J13136" s="6" t="n">
        <f aca="false">Sens!J13079*sbc_r</f>
        <v>20.0454667099776</v>
      </c>
      <c r="K13136" s="6" t="n">
        <f aca="false">Sens!K13079*sbc_r</f>
        <v>21.3633281661478</v>
      </c>
    </row>
    <row r="13137" customFormat="false" ht="17.15" hidden="false" customHeight="false" outlineLevel="0" collapsed="false">
      <c r="A13137" s="1" t="s">
        <v>941</v>
      </c>
      <c r="B13137" s="0" t="s">
        <v>98</v>
      </c>
      <c r="F13137" s="6" t="n">
        <f aca="false">wc27</f>
        <v>-4.895</v>
      </c>
      <c r="G13137" s="6" t="n">
        <f aca="false">wc_f</f>
        <v>0</v>
      </c>
      <c r="H13137" s="6" t="n">
        <f aca="false">wc_f</f>
        <v>0</v>
      </c>
      <c r="I13137" s="6" t="n">
        <f aca="false">wc_f</f>
        <v>0</v>
      </c>
      <c r="J13137" s="6" t="n">
        <f aca="false">wc_f</f>
        <v>0</v>
      </c>
      <c r="K13137" s="6" t="n">
        <f aca="false">wc_f</f>
        <v>0</v>
      </c>
      <c r="L13137" s="11" t="s">
        <v>942</v>
      </c>
    </row>
    <row r="13138" customFormat="false" ht="15" hidden="false" customHeight="false" outlineLevel="0" collapsed="false">
      <c r="A13138" s="1" t="s">
        <v>756</v>
      </c>
      <c r="B13138" s="0" t="s">
        <v>98</v>
      </c>
      <c r="E13138" s="6" t="n">
        <f aca="false">Q!M35</f>
        <v>182.935</v>
      </c>
      <c r="F13138" s="6" t="n">
        <f aca="false">Sens!F13133+Sens!F13135+Sens!F13136+Sens!F13137</f>
        <v>198.496059809582</v>
      </c>
      <c r="G13138" s="6" t="n">
        <f aca="false">Sens!G13133+Sens!G13135+Sens!G13136+Sens!G13137</f>
        <v>227.122466718069</v>
      </c>
      <c r="H13138" s="6" t="n">
        <f aca="false">Sens!H13133+Sens!H13135+Sens!H13136+Sens!H13137</f>
        <v>246.264431615344</v>
      </c>
      <c r="I13138" s="6" t="n">
        <f aca="false">Sens!I13133+Sens!I13135+Sens!I13136+Sens!I13137</f>
        <v>267.683432487952</v>
      </c>
      <c r="J13138" s="6" t="n">
        <f aca="false">Sens!J13133+Sens!J13135+Sens!J13136+Sens!J13137</f>
        <v>288.567993253924</v>
      </c>
      <c r="K13138" s="6" t="n">
        <f aca="false">Sens!K13133+Sens!K13135+Sens!K13136+Sens!K13137</f>
        <v>309.327557447208</v>
      </c>
    </row>
    <row r="13139" customFormat="false" ht="17.15" hidden="false" customHeight="false" outlineLevel="0" collapsed="false">
      <c r="A13139" s="0" t="s">
        <v>943</v>
      </c>
      <c r="B13139" s="0" t="s">
        <v>98</v>
      </c>
      <c r="F13139" s="6" t="n">
        <f aca="false">Sens!F13049</f>
        <v>168.770652770438</v>
      </c>
      <c r="G13139" s="6" t="n">
        <f aca="false">Sens!G13049</f>
        <v>35.302727016</v>
      </c>
      <c r="H13139" s="6" t="n">
        <f aca="false">Sens!H13049</f>
        <v>0</v>
      </c>
      <c r="I13139" s="6" t="n">
        <f aca="false">Sens!I13049</f>
        <v>30.2586753466667</v>
      </c>
      <c r="J13139" s="6" t="n">
        <f aca="false">Sens!J13049</f>
        <v>45.6967750133333</v>
      </c>
      <c r="K13139" s="6" t="n">
        <f aca="false">Sens!K13049</f>
        <v>90.77602604</v>
      </c>
    </row>
    <row r="13140" customFormat="false" ht="17.15" hidden="false" customHeight="false" outlineLevel="0" collapsed="false">
      <c r="A13140" s="1" t="s">
        <v>944</v>
      </c>
      <c r="B13140" s="0" t="s">
        <v>98</v>
      </c>
      <c r="E13140" s="6" t="n">
        <f aca="false">Sens!E13057*cx_azo+Sens!E13064*cx_m365+Sens!E13065*cx_lic+(Sens!E13067+Sens!E13069)*cx_ind+Sens!E13072*cx_srch+(Sens!E13074+Sens!E13076)*cx_dev</f>
        <v>30.1846587067718</v>
      </c>
      <c r="F13140" s="6" t="n">
        <f aca="false">Sens!F13057*cx_azo+Sens!F13064*cx_m365+Sens!F13065*cx_lic+(Sens!F13067+Sens!F13069)*cx_ind+Sens!F13072*cx_srch+(Sens!F13074+Sens!F13076)*cx_dev</f>
        <v>35.4293472295625</v>
      </c>
      <c r="G13140" s="6" t="n">
        <f aca="false">Sens!G13057*cx_azo+Sens!G13064*cx_m365+Sens!G13065*cx_lic+(Sens!G13067+Sens!G13069)*cx_ind+Sens!G13072*cx_srch+(Sens!G13074+Sens!G13076)*cx_dev</f>
        <v>40.7028935703892</v>
      </c>
      <c r="H13140" s="6" t="n">
        <f aca="false">Sens!H13057*cx_azo+Sens!H13064*cx_m365+Sens!H13065*cx_lic+(Sens!H13067+Sens!H13069)*cx_ind+Sens!H13072*cx_srch+(Sens!H13074+Sens!H13076)*cx_dev</f>
        <v>46.0615136440897</v>
      </c>
      <c r="I13140" s="6" t="n">
        <f aca="false">Sens!I13057*cx_azo+Sens!I13064*cx_m365+Sens!I13065*cx_lic+(Sens!I13067+Sens!I13069)*cx_ind+Sens!I13072*cx_srch+(Sens!I13074+Sens!I13076)*cx_dev</f>
        <v>51.2234003116439</v>
      </c>
      <c r="J13140" s="6" t="n">
        <f aca="false">Sens!J13057*cx_azo+Sens!J13064*cx_m365+Sens!J13065*cx_lic+(Sens!J13067+Sens!J13069)*cx_ind+Sens!J13072*cx_srch+(Sens!J13074+Sens!J13076)*cx_dev</f>
        <v>55.9559132503738</v>
      </c>
      <c r="K13140" s="6" t="n">
        <f aca="false">Sens!K13057*cx_azo+Sens!K13064*cx_m365+Sens!K13065*cx_lic+(Sens!K13067+Sens!K13069)*cx_ind+Sens!K13072*cx_srch+(Sens!K13074+Sens!K13076)*cx_dev</f>
        <v>60.093702741994</v>
      </c>
    </row>
    <row r="13141" customFormat="false" ht="17.15" hidden="false" customHeight="false" outlineLevel="0" collapsed="false">
      <c r="A13141" s="1" t="s">
        <v>945</v>
      </c>
      <c r="B13141" s="0" t="s">
        <v>98</v>
      </c>
      <c r="E13141" s="6" t="n">
        <f aca="false">Q!M42</f>
        <v>145.3</v>
      </c>
      <c r="F13141" s="6" t="n">
        <f aca="false">Sens!F13139+Sens!F13140</f>
        <v>204.2</v>
      </c>
      <c r="G13141" s="6" t="n">
        <f aca="false">Sens!G13139+Sens!G13140</f>
        <v>76.0056205863892</v>
      </c>
      <c r="H13141" s="6" t="n">
        <f aca="false">Sens!H13139+Sens!H13140</f>
        <v>46.0615136440897</v>
      </c>
      <c r="I13141" s="6" t="n">
        <f aca="false">Sens!I13139+Sens!I13140</f>
        <v>81.4820756583106</v>
      </c>
      <c r="J13141" s="6" t="n">
        <f aca="false">Sens!J13139+Sens!J13140</f>
        <v>101.652688263707</v>
      </c>
      <c r="K13141" s="6" t="n">
        <f aca="false">Sens!K13139+Sens!K13140</f>
        <v>150.869728781994</v>
      </c>
      <c r="L13141" s="1" t="s">
        <v>946</v>
      </c>
    </row>
    <row r="13142" customFormat="false" ht="15" hidden="false" customHeight="false" outlineLevel="0" collapsed="false">
      <c r="A13142" s="1" t="s">
        <v>947</v>
      </c>
      <c r="B13142" s="0" t="s">
        <v>98</v>
      </c>
      <c r="E13142" s="6" t="n">
        <f aca="false">fl_liab</f>
        <v>66.594</v>
      </c>
      <c r="F13142" s="6" t="n">
        <f aca="false">Sens!E13142-Sens!F13143</f>
        <v>62.46973</v>
      </c>
      <c r="G13142" s="6" t="n">
        <f aca="false">Sens!F13142-Sens!G13143</f>
        <v>57.98686785</v>
      </c>
      <c r="H13142" s="6" t="n">
        <f aca="false">Sens!G13142-Sens!H13143</f>
        <v>53.92827690325</v>
      </c>
      <c r="I13142" s="6" t="n">
        <f aca="false">Sens!H13142-Sens!I13143</f>
        <v>49.7850493638962</v>
      </c>
      <c r="J13142" s="6" t="n">
        <f aca="false">Sens!I13142-Sens!J13143</f>
        <v>45.4823765852716</v>
      </c>
      <c r="K13142" s="6" t="n">
        <f aca="false">Sens!J13142-Sens!K13143</f>
        <v>40.9860835316088</v>
      </c>
    </row>
    <row r="13143" customFormat="false" ht="15" hidden="false" customHeight="false" outlineLevel="0" collapsed="false">
      <c r="A13143" s="1" t="s">
        <v>948</v>
      </c>
      <c r="B13143" s="0" t="s">
        <v>98</v>
      </c>
      <c r="F13143" s="6" t="n">
        <f aca="false">fl_pay_27-Sens!E13142*fl_rate</f>
        <v>4.12427</v>
      </c>
      <c r="G13143" s="6" t="n">
        <f aca="false">fl_pay_28-Sens!F13142*fl_rate</f>
        <v>4.48286215</v>
      </c>
      <c r="H13143" s="6" t="n">
        <f aca="false">fl_pay_29-Sens!G13142*fl_rate</f>
        <v>4.05859094675</v>
      </c>
      <c r="I13143" s="6" t="n">
        <f aca="false">fl_pay_30-Sens!H13142*fl_rate</f>
        <v>4.14322753935375</v>
      </c>
      <c r="J13143" s="6" t="n">
        <f aca="false">fl_pay_31-Sens!I13142*fl_rate</f>
        <v>4.30267277862467</v>
      </c>
      <c r="K13143" s="6" t="n">
        <f aca="false">fl_pay_32-Sens!J13142*fl_rate</f>
        <v>4.49629305366278</v>
      </c>
    </row>
    <row r="13144" customFormat="false" ht="17.15" hidden="false" customHeight="false" outlineLevel="0" collapsed="false">
      <c r="A13144" s="1" t="s">
        <v>949</v>
      </c>
      <c r="B13144" s="0" t="s">
        <v>98</v>
      </c>
      <c r="E13144" s="6" t="n">
        <f aca="false">Q!M35-Q!M36-Q!M43</f>
        <v>63.886</v>
      </c>
      <c r="F13144" s="6" t="n">
        <f aca="false">Sens!F13138-Sens!F13141-Sens!F13143</f>
        <v>-9.82821019041805</v>
      </c>
      <c r="G13144" s="6" t="n">
        <f aca="false">Sens!G13138-Sens!G13141-Sens!G13143</f>
        <v>146.63398398168</v>
      </c>
      <c r="H13144" s="6" t="n">
        <f aca="false">Sens!H13138-Sens!H13141-Sens!H13143</f>
        <v>196.144327024504</v>
      </c>
      <c r="I13144" s="6" t="n">
        <f aca="false">Sens!I13138-Sens!I13141-Sens!I13143</f>
        <v>182.058129290288</v>
      </c>
      <c r="J13144" s="6" t="n">
        <f aca="false">Sens!J13138-Sens!J13141-Sens!J13143</f>
        <v>182.612632211592</v>
      </c>
      <c r="K13144" s="6" t="n">
        <f aca="false">Sens!K13138-Sens!K13141-Sens!K13143</f>
        <v>153.961535611551</v>
      </c>
      <c r="L13144" s="11" t="s">
        <v>950</v>
      </c>
    </row>
    <row r="13145" customFormat="false" ht="15" hidden="false" customHeight="false" outlineLevel="0" collapsed="false">
      <c r="A13145" s="1" t="s">
        <v>951</v>
      </c>
      <c r="B13145" s="0" t="s">
        <v>75</v>
      </c>
      <c r="F13145" s="8" t="n">
        <f aca="false">dps_27</f>
        <v>3.85</v>
      </c>
      <c r="G13145" s="8" t="n">
        <f aca="false">Sens!F13145*(1+dps_g)</f>
        <v>4.158</v>
      </c>
      <c r="H13145" s="8" t="n">
        <f aca="false">Sens!G13145*(1+dps_g)</f>
        <v>4.49064</v>
      </c>
      <c r="I13145" s="8" t="n">
        <f aca="false">Sens!H13145*(1+dps_g)</f>
        <v>4.8498912</v>
      </c>
      <c r="J13145" s="8" t="n">
        <f aca="false">Sens!I13145*(1+dps_g)</f>
        <v>5.237882496</v>
      </c>
      <c r="K13145" s="8" t="n">
        <f aca="false">Sens!J13145*(1+dps_g)</f>
        <v>5.65691309568</v>
      </c>
    </row>
    <row r="13146" customFormat="false" ht="17.15" hidden="false" customHeight="false" outlineLevel="0" collapsed="false">
      <c r="A13146" s="1" t="s">
        <v>952</v>
      </c>
      <c r="B13146" s="0" t="s">
        <v>98</v>
      </c>
      <c r="E13146" s="6" t="n">
        <f aca="false">Q!M41</f>
        <v>26.445</v>
      </c>
      <c r="F13146" s="6" t="n">
        <f aca="false">Sens!F13145*Sens!E13155</f>
        <v>28.59395</v>
      </c>
      <c r="G13146" s="6" t="n">
        <f aca="false">Sens!G13145*Sens!F13155</f>
        <v>31.068576</v>
      </c>
      <c r="H13146" s="6" t="n">
        <f aca="false">Sens!H13145*Sens!G13155</f>
        <v>33.5888350159995</v>
      </c>
      <c r="I13146" s="6" t="n">
        <f aca="false">Sens!I13145*Sens!H13155</f>
        <v>36.3268810572789</v>
      </c>
      <c r="J13146" s="6" t="n">
        <f aca="false">Sens!J13145*Sens!I13155</f>
        <v>39.3014303901806</v>
      </c>
      <c r="K13146" s="6" t="n">
        <f aca="false">Sens!K13145*Sens!J13155</f>
        <v>42.5328000467001</v>
      </c>
      <c r="L13146" s="1" t="s">
        <v>953</v>
      </c>
    </row>
    <row r="13147" customFormat="false" ht="15" hidden="false" customHeight="false" outlineLevel="0" collapsed="false">
      <c r="A13147" s="1" t="s">
        <v>954</v>
      </c>
      <c r="B13147" s="0" t="s">
        <v>98</v>
      </c>
      <c r="E13147" s="6" t="n">
        <f aca="false">Sens!E13144-Sens!E13146</f>
        <v>37.441</v>
      </c>
      <c r="F13147" s="6" t="n">
        <f aca="false">Sens!F13144-Sens!F13146</f>
        <v>-38.4221601904181</v>
      </c>
      <c r="G13147" s="6" t="n">
        <f aca="false">Sens!G13144-Sens!G13146</f>
        <v>115.56540798168</v>
      </c>
      <c r="H13147" s="6" t="n">
        <f aca="false">Sens!H13144-Sens!H13146</f>
        <v>162.555492008505</v>
      </c>
      <c r="I13147" s="6" t="n">
        <f aca="false">Sens!I13144-Sens!I13146</f>
        <v>145.731248233009</v>
      </c>
      <c r="J13147" s="6" t="n">
        <f aca="false">Sens!J13144-Sens!J13146</f>
        <v>143.311201821411</v>
      </c>
      <c r="K13147" s="6" t="n">
        <f aca="false">Sens!K13144-Sens!K13146</f>
        <v>111.428735564851</v>
      </c>
    </row>
    <row r="13148" customFormat="false" ht="15" hidden="false" customHeight="false" outlineLevel="0" collapsed="false">
      <c r="A13148" s="1" t="s">
        <v>955</v>
      </c>
      <c r="B13148" s="0" t="s">
        <v>98</v>
      </c>
      <c r="F13148" s="6" t="n">
        <f aca="false">debt_mat_27</f>
        <v>9.25</v>
      </c>
      <c r="G13148" s="6" t="n">
        <f aca="false">debt_mat_28</f>
        <v>0</v>
      </c>
      <c r="H13148" s="6" t="n">
        <f aca="false">debt_mat_29</f>
        <v>2.001</v>
      </c>
      <c r="I13148" s="6" t="n">
        <f aca="false">debt_mat_30</f>
        <v>0</v>
      </c>
      <c r="J13148" s="6" t="n">
        <f aca="false">debt_mat_31</f>
        <v>0.5</v>
      </c>
      <c r="K13148" s="6" t="n">
        <f aca="false">debt_mat_32</f>
        <v>0</v>
      </c>
    </row>
    <row r="13149" customFormat="false" ht="15" hidden="false" customHeight="false" outlineLevel="0" collapsed="false">
      <c r="A13149" s="1" t="s">
        <v>956</v>
      </c>
      <c r="B13149" s="0" t="s">
        <v>98</v>
      </c>
      <c r="E13149" s="6" t="n">
        <f aca="false">Q!M40</f>
        <v>22.271</v>
      </c>
      <c r="F13149" s="6" t="n">
        <f aca="false">MAX(0,MIN(bb_target,Sens!E13151+Sens!F13147-Sens!F13148-min_cash))</f>
        <v>0</v>
      </c>
      <c r="G13149" s="6" t="n">
        <f aca="false">MAX(0,MIN(bb_target,Sens!F13151+Sens!G13147-Sens!G13148-min_cash))</f>
        <v>22.271</v>
      </c>
      <c r="H13149" s="6" t="n">
        <f aca="false">MAX(0,MIN(bb_target,Sens!G13151+Sens!H13147-Sens!H13148-min_cash))</f>
        <v>22.271</v>
      </c>
      <c r="I13149" s="6" t="n">
        <f aca="false">MAX(0,MIN(bb_target,Sens!H13151+Sens!I13147-Sens!I13148-min_cash))</f>
        <v>22.271</v>
      </c>
      <c r="J13149" s="6" t="n">
        <f aca="false">MAX(0,MIN(bb_target,Sens!I13151+Sens!J13147-Sens!J13148-min_cash))</f>
        <v>22.271</v>
      </c>
      <c r="K13149" s="6" t="n">
        <f aca="false">MAX(0,MIN(bb_target,Sens!J13151+Sens!K13147-Sens!K13148-min_cash))</f>
        <v>22.271</v>
      </c>
    </row>
    <row r="13150" customFormat="false" ht="15" hidden="false" customHeight="false" outlineLevel="0" collapsed="false">
      <c r="A13150" s="1" t="s">
        <v>957</v>
      </c>
      <c r="B13150" s="0" t="s">
        <v>98</v>
      </c>
      <c r="F13150" s="6" t="n">
        <f aca="false">MAX(0,min_cash-(Sens!E13151+Sens!F13147-Sens!F13148-Sens!F13149))</f>
        <v>20.8291601904181</v>
      </c>
      <c r="G13150" s="6" t="n">
        <f aca="false">MAX(0,min_cash-(Sens!F13151+Sens!G13147-Sens!G13148-Sens!G13149))</f>
        <v>0</v>
      </c>
      <c r="H13150" s="6" t="n">
        <f aca="false">MAX(0,min_cash-(Sens!G13151+Sens!H13147-Sens!H13148-Sens!H13149))</f>
        <v>0</v>
      </c>
      <c r="I13150" s="6" t="n">
        <f aca="false">MAX(0,min_cash-(Sens!H13151+Sens!I13147-Sens!I13148-Sens!I13149))</f>
        <v>0</v>
      </c>
      <c r="J13150" s="6" t="n">
        <f aca="false">MAX(0,min_cash-(Sens!I13151+Sens!J13147-Sens!J13148-Sens!J13149))</f>
        <v>0</v>
      </c>
      <c r="K13150" s="6" t="n">
        <f aca="false">MAX(0,min_cash-(Sens!J13151+Sens!K13147-Sens!K13148-Sens!K13149))</f>
        <v>0</v>
      </c>
    </row>
    <row r="13151" customFormat="false" ht="15" hidden="false" customHeight="false" outlineLevel="0" collapsed="false">
      <c r="A13151" s="1" t="s">
        <v>958</v>
      </c>
      <c r="B13151" s="0" t="s">
        <v>98</v>
      </c>
      <c r="E13151" s="6" t="n">
        <f aca="false">cash_open</f>
        <v>76.843</v>
      </c>
      <c r="F13151" s="6" t="n">
        <f aca="false">Sens!E13151+Sens!F13147-Sens!F13148-Sens!F13149+Sens!F13150</f>
        <v>50</v>
      </c>
      <c r="G13151" s="6" t="n">
        <f aca="false">Sens!F13151+Sens!G13147-Sens!G13148-Sens!G13149+Sens!G13150</f>
        <v>143.29440798168</v>
      </c>
      <c r="H13151" s="6" t="n">
        <f aca="false">Sens!G13151+Sens!H13147-Sens!H13148-Sens!H13149+Sens!H13150</f>
        <v>281.577899990184</v>
      </c>
      <c r="I13151" s="6" t="n">
        <f aca="false">Sens!H13151+Sens!I13147-Sens!I13148-Sens!I13149+Sens!I13150</f>
        <v>405.038148223194</v>
      </c>
      <c r="J13151" s="6" t="n">
        <f aca="false">Sens!I13151+Sens!J13147-Sens!J13148-Sens!J13149+Sens!J13150</f>
        <v>525.578350044605</v>
      </c>
      <c r="K13151" s="6" t="n">
        <f aca="false">Sens!J13151+Sens!K13147-Sens!K13148-Sens!K13149+Sens!K13150</f>
        <v>614.736085609456</v>
      </c>
    </row>
    <row r="13152" customFormat="false" ht="15" hidden="false" customHeight="false" outlineLevel="0" collapsed="false">
      <c r="A13152" s="1" t="s">
        <v>959</v>
      </c>
      <c r="B13152" s="0" t="s">
        <v>98</v>
      </c>
      <c r="E13152" s="6" t="n">
        <f aca="false">debt_face</f>
        <v>46.136</v>
      </c>
      <c r="F13152" s="6" t="n">
        <f aca="false">Sens!E13152-Sens!F13148+Sens!F13150</f>
        <v>57.7151601904181</v>
      </c>
      <c r="G13152" s="6" t="n">
        <f aca="false">Sens!F13152-Sens!G13148+Sens!G13150</f>
        <v>57.7151601904181</v>
      </c>
      <c r="H13152" s="6" t="n">
        <f aca="false">Sens!G13152-Sens!H13148+Sens!H13150</f>
        <v>55.7141601904181</v>
      </c>
      <c r="I13152" s="6" t="n">
        <f aca="false">Sens!H13152-Sens!I13148+Sens!I13150</f>
        <v>55.7141601904181</v>
      </c>
      <c r="J13152" s="6" t="n">
        <f aca="false">Sens!I13152-Sens!J13148+Sens!J13150</f>
        <v>55.2141601904181</v>
      </c>
      <c r="K13152" s="6" t="n">
        <f aca="false">Sens!J13152-Sens!K13148+Sens!K13150</f>
        <v>55.2141601904181</v>
      </c>
    </row>
    <row r="13153" customFormat="false" ht="15" hidden="false" customHeight="false" outlineLevel="0" collapsed="false">
      <c r="A13153" s="1" t="s">
        <v>960</v>
      </c>
      <c r="B13153" s="0" t="s">
        <v>98</v>
      </c>
      <c r="E13153" s="6" t="n">
        <f aca="false">Sens!E13151-Sens!E13152</f>
        <v>30.707</v>
      </c>
      <c r="F13153" s="6" t="n">
        <f aca="false">Sens!F13151-Sens!F13152</f>
        <v>-7.71516019041805</v>
      </c>
      <c r="G13153" s="6" t="n">
        <f aca="false">Sens!G13151-Sens!G13152</f>
        <v>85.5792477912616</v>
      </c>
      <c r="H13153" s="6" t="n">
        <f aca="false">Sens!H13151-Sens!H13152</f>
        <v>225.863739799766</v>
      </c>
      <c r="I13153" s="6" t="n">
        <f aca="false">Sens!I13151-Sens!I13152</f>
        <v>349.323988032776</v>
      </c>
      <c r="J13153" s="6" t="n">
        <f aca="false">Sens!J13151-Sens!J13152</f>
        <v>470.364189854187</v>
      </c>
      <c r="K13153" s="6" t="n">
        <f aca="false">Sens!K13151-Sens!K13152</f>
        <v>559.521925419038</v>
      </c>
    </row>
    <row r="13154" customFormat="false" ht="15" hidden="false" customHeight="false" outlineLevel="0" collapsed="false">
      <c r="A13154" s="1" t="s">
        <v>961</v>
      </c>
      <c r="B13154" s="0" t="s">
        <v>75</v>
      </c>
      <c r="F13154" s="29" t="n">
        <f aca="false">px*(1+bb_g)^(Sens!F13018-base_fy-mid_yr)</f>
        <v>553.494156066711</v>
      </c>
      <c r="G13154" s="29" t="n">
        <f aca="false">px*(1+bb_g)^(Sens!G13018-base_fy-mid_yr)</f>
        <v>597.773688552047</v>
      </c>
      <c r="H13154" s="29" t="n">
        <f aca="false">px*(1+bb_g)^(Sens!H13018-base_fy-mid_yr)</f>
        <v>645.595583636211</v>
      </c>
      <c r="I13154" s="29" t="n">
        <f aca="false">px*(1+bb_g)^(Sens!I13018-base_fy-mid_yr)</f>
        <v>697.243230327108</v>
      </c>
      <c r="J13154" s="29" t="n">
        <f aca="false">px*(1+bb_g)^(Sens!J13018-base_fy-mid_yr)</f>
        <v>753.022688753277</v>
      </c>
      <c r="K13154" s="29" t="n">
        <f aca="false">px*(1+bb_g)^(Sens!K13018-base_fy-mid_yr)</f>
        <v>813.264503853539</v>
      </c>
    </row>
    <row r="13155" customFormat="false" ht="15" hidden="false" customHeight="false" outlineLevel="0" collapsed="false">
      <c r="A13155" s="1" t="s">
        <v>962</v>
      </c>
      <c r="B13155" s="1" t="s">
        <v>81</v>
      </c>
      <c r="E13155" s="14" t="n">
        <f aca="false">sh_out26</f>
        <v>7.427</v>
      </c>
      <c r="F13155" s="14" t="n">
        <f aca="false">Sens!E13155+sh_iss-Sens!F13149/Sens!F13154</f>
        <v>7.472</v>
      </c>
      <c r="G13155" s="14" t="n">
        <f aca="false">Sens!F13155+sh_iss-Sens!G13149/Sens!G13154</f>
        <v>7.47974342543589</v>
      </c>
      <c r="H13155" s="14" t="n">
        <f aca="false">Sens!G13155+sh_iss-Sens!H13149/Sens!H13154</f>
        <v>7.4902465971358</v>
      </c>
      <c r="I13155" s="14" t="n">
        <f aca="false">Sens!H13155+sh_iss-Sens!I13149/Sens!I13154</f>
        <v>7.50330508945052</v>
      </c>
      <c r="J13155" s="14" t="n">
        <f aca="false">Sens!I13155+sh_iss-Sens!J13149/Sens!J13154</f>
        <v>7.51872961937156</v>
      </c>
      <c r="K13155" s="14" t="n">
        <f aca="false">Sens!J13155+sh_iss-Sens!K13149/Sens!K13154</f>
        <v>7.53634492485401</v>
      </c>
    </row>
    <row r="13156" customFormat="false" ht="15" hidden="false" customHeight="false" outlineLevel="0" collapsed="false">
      <c r="A13156" s="1" t="s">
        <v>963</v>
      </c>
      <c r="B13156" s="1" t="s">
        <v>81</v>
      </c>
      <c r="E13156" s="14" t="n">
        <f aca="false">sh_dil26</f>
        <v>7.453</v>
      </c>
      <c r="F13156" s="14" t="n">
        <f aca="false">(Sens!E13155+Sens!F13155)/2+dil_gap</f>
        <v>7.4735</v>
      </c>
      <c r="G13156" s="14" t="n">
        <f aca="false">(Sens!F13155+Sens!G13155)/2+dil_gap</f>
        <v>7.49987171271795</v>
      </c>
      <c r="H13156" s="14" t="n">
        <f aca="false">(Sens!G13155+Sens!H13155)/2+dil_gap</f>
        <v>7.50899501128585</v>
      </c>
      <c r="I13156" s="14" t="n">
        <f aca="false">(Sens!H13155+Sens!I13155)/2+dil_gap</f>
        <v>7.52077584329316</v>
      </c>
      <c r="J13156" s="14" t="n">
        <f aca="false">(Sens!I13155+Sens!J13155)/2+dil_gap</f>
        <v>7.53501735441104</v>
      </c>
      <c r="K13156" s="14" t="n">
        <f aca="false">(Sens!J13155+Sens!K13155)/2+dil_gap</f>
        <v>7.55153727211278</v>
      </c>
    </row>
    <row r="13157" customFormat="false" ht="17.15" hidden="false" customHeight="false" outlineLevel="0" collapsed="false">
      <c r="A13157" s="1" t="s">
        <v>964</v>
      </c>
      <c r="B13157" s="0" t="s">
        <v>98</v>
      </c>
      <c r="C13157" s="6" t="n">
        <f aca="false">SUM(Sens!F13147:J13147)</f>
        <v>528.741189854187</v>
      </c>
    </row>
    <row r="13158" customFormat="false" ht="15" hidden="false" customHeight="false" outlineLevel="0" collapsed="false">
      <c r="A13158" s="23" t="s">
        <v>935</v>
      </c>
      <c r="B13158" s="30" t="s">
        <v>98</v>
      </c>
      <c r="C13158" s="24" t="n">
        <f aca="false">Sens!$C$13157-(Sens!F13147+Sens!G13147+Sens!H13147+Sens!I13147+Sens!J13147)</f>
        <v>0</v>
      </c>
      <c r="D13158" s="30"/>
      <c r="E13158" s="30"/>
      <c r="F13158" s="30"/>
      <c r="G13158" s="30"/>
      <c r="H13158" s="30"/>
      <c r="I13158" s="30"/>
      <c r="J13158" s="30"/>
      <c r="K13158" s="30"/>
    </row>
    <row r="13159" customFormat="false" ht="17.15" hidden="false" customHeight="false" outlineLevel="0" collapsed="false">
      <c r="A13159" s="1" t="s">
        <v>929</v>
      </c>
      <c r="B13159" s="1" t="s">
        <v>965</v>
      </c>
      <c r="C13159" s="32" t="str">
        <f aca="false">IF(SUM(Sens!F13150:J13150)&gt;0.05,"需要舉債 "&amp;TEXT(SUM(Sens!F13150:J13150),"0.0")&amp;" 十億美元","不需舉債")&amp;"；"&amp;IF(SUM(Sens!F13149:J13149)&lt;COUNT(Sens!F13149:J13149)*bb_target-0.05,"回購較每年 "&amp;TEXT(bb_target,"0.0")&amp;" 的目標少 "&amp;TEXT(COUNT(Sens!F13149:J13149)*bb_target-SUM(Sens!F13149:J13149),"0.0")&amp;" 十億美元（"&amp;TEXT(COUNTIF(Sens!F13149:J13149,"&lt;"&amp;(bb_target-0.05)),"0")&amp;" 年減少）","回購不減")</f>
        <v>需要舉債 20.8 十億美元；回購較每年 22.3 的目標少 22.3 十億美元（1 年減少）</v>
      </c>
    </row>
    <row r="13160" customFormat="false" ht="17.15" hidden="false" customHeight="false" outlineLevel="0" collapsed="false">
      <c r="A13160" s="3" t="s">
        <v>1574</v>
      </c>
    </row>
    <row r="13161" customFormat="false" ht="15" hidden="false" customHeight="false" outlineLevel="0" collapsed="false">
      <c r="A13161" s="4" t="s">
        <v>43</v>
      </c>
      <c r="B13161" s="4" t="s">
        <v>65</v>
      </c>
      <c r="C13161" s="20" t="s">
        <v>788</v>
      </c>
      <c r="D13161" s="20" t="s">
        <v>789</v>
      </c>
      <c r="E13161" s="20" t="s">
        <v>790</v>
      </c>
      <c r="F13161" s="20" t="s">
        <v>791</v>
      </c>
      <c r="G13161" s="20" t="s">
        <v>792</v>
      </c>
      <c r="H13161" s="20" t="s">
        <v>793</v>
      </c>
      <c r="I13161" s="20" t="s">
        <v>794</v>
      </c>
      <c r="J13161" s="20" t="s">
        <v>795</v>
      </c>
      <c r="K13161" s="20" t="s">
        <v>796</v>
      </c>
      <c r="L13161" s="4" t="s">
        <v>47</v>
      </c>
    </row>
    <row r="13162" customFormat="false" ht="15" hidden="false" customHeight="false" outlineLevel="0" collapsed="false">
      <c r="A13162" s="1" t="s">
        <v>1042</v>
      </c>
      <c r="B13162" s="1" t="s">
        <v>235</v>
      </c>
      <c r="F13162" s="36" t="n">
        <f aca="false">Sens!F13018-base_fy-mid_yr</f>
        <v>0.5</v>
      </c>
      <c r="G13162" s="36" t="n">
        <f aca="false">Sens!G13018-base_fy-mid_yr</f>
        <v>1.5</v>
      </c>
      <c r="H13162" s="36" t="n">
        <f aca="false">Sens!H13018-base_fy-mid_yr</f>
        <v>2.5</v>
      </c>
      <c r="I13162" s="36" t="n">
        <f aca="false">Sens!I13018-base_fy-mid_yr</f>
        <v>3.5</v>
      </c>
      <c r="J13162" s="36" t="n">
        <f aca="false">Sens!J13018-base_fy-mid_yr</f>
        <v>4.5</v>
      </c>
      <c r="K13162" s="36" t="n">
        <f aca="false">Sens!K13018-base_fy-mid_yr</f>
        <v>5.5</v>
      </c>
    </row>
    <row r="13163" customFormat="false" ht="15" hidden="false" customHeight="false" outlineLevel="0" collapsed="false">
      <c r="A13163" s="1" t="s">
        <v>1043</v>
      </c>
      <c r="B13163" s="0" t="s">
        <v>185</v>
      </c>
      <c r="F13163" s="14" t="n">
        <f aca="false">1/(1+wacc)^Sens!F13162</f>
        <v>0.952193373608246</v>
      </c>
      <c r="G13163" s="14" t="n">
        <f aca="false">1/(1+wacc)^Sens!G13162</f>
        <v>0.863327280626589</v>
      </c>
      <c r="H13163" s="14" t="n">
        <f aca="false">1/(1+wacc)^Sens!H13162</f>
        <v>0.782754862754115</v>
      </c>
      <c r="I13163" s="14" t="n">
        <f aca="false">1/(1+wacc)^Sens!I13162</f>
        <v>0.709702089711011</v>
      </c>
      <c r="J13163" s="14" t="n">
        <f aca="false">1/(1+wacc)^Sens!J13162</f>
        <v>0.643467169744551</v>
      </c>
      <c r="K13163" s="14" t="n">
        <f aca="false">1/(1+wacc)^Sens!K13162</f>
        <v>0.583413807767797</v>
      </c>
    </row>
    <row r="13164" customFormat="false" ht="17.15" hidden="false" customHeight="false" outlineLevel="0" collapsed="false">
      <c r="A13164" s="1" t="s">
        <v>1044</v>
      </c>
      <c r="B13164" s="0" t="s">
        <v>98</v>
      </c>
      <c r="F13164" s="6" t="n">
        <f aca="false">Sens!F13138-Sens!F13136-Sens!F13141+Sens!F13122*(1-tax_f)</f>
        <v>-9.19579271270711</v>
      </c>
      <c r="G13164" s="6" t="n">
        <f aca="false">Sens!G13138-Sens!G13136-Sens!G13141+Sens!G13122*(1-tax_f)</f>
        <v>147.548544631082</v>
      </c>
      <c r="H13164" s="6" t="n">
        <f aca="false">Sens!H13138-Sens!H13136-Sens!H13141+Sens!H13122*(1-tax_f)</f>
        <v>195.185053633492</v>
      </c>
      <c r="I13164" s="6" t="n">
        <f aca="false">Sens!I13138-Sens!I13136-Sens!I13141+Sens!I13122*(1-tax_f)</f>
        <v>179.209472412879</v>
      </c>
      <c r="J13164" s="6" t="n">
        <f aca="false">Sens!J13138-Sens!J13136-Sens!J13141+Sens!J13122*(1-tax_f)</f>
        <v>178.630208660273</v>
      </c>
      <c r="K13164" s="6" t="n">
        <f aca="false">Sens!K13138-Sens!K13136-Sens!K13141+Sens!K13122*(1-tax_f)</f>
        <v>149.706252299089</v>
      </c>
      <c r="L13164" s="1" t="s">
        <v>1045</v>
      </c>
    </row>
    <row r="13165" customFormat="false" ht="15" hidden="false" customHeight="false" outlineLevel="0" collapsed="false">
      <c r="A13165" s="1" t="s">
        <v>1046</v>
      </c>
      <c r="B13165" s="0" t="s">
        <v>98</v>
      </c>
      <c r="F13165" s="6" t="n">
        <f aca="false">Sens!F13164*Sens!F13163</f>
        <v>-8.75617288611471</v>
      </c>
      <c r="G13165" s="6" t="n">
        <f aca="false">Sens!G13164*Sens!G13163</f>
        <v>127.382683796763</v>
      </c>
      <c r="H13165" s="6" t="n">
        <f aca="false">Sens!H13164*Sens!H13163</f>
        <v>152.782049868539</v>
      </c>
      <c r="I13165" s="6" t="n">
        <f aca="false">Sens!I13164*Sens!I13163</f>
        <v>127.185337067428</v>
      </c>
      <c r="J13165" s="6" t="n">
        <f aca="false">Sens!J13164*Sens!J13163</f>
        <v>114.942674797504</v>
      </c>
      <c r="K13165" s="6" t="n">
        <f aca="false">Sens!K13164*Sens!K13163</f>
        <v>87.3406947004579</v>
      </c>
    </row>
    <row r="13166" customFormat="false" ht="17.15" hidden="false" customHeight="false" outlineLevel="0" collapsed="false">
      <c r="A13166" s="1" t="s">
        <v>1047</v>
      </c>
      <c r="B13166" s="0" t="s">
        <v>98</v>
      </c>
      <c r="C13166" s="6" t="n">
        <f aca="false">SUM(Sens!F13165:K13165)</f>
        <v>600.877267344578</v>
      </c>
    </row>
    <row r="13167" customFormat="false" ht="17.15" hidden="false" customHeight="false" outlineLevel="0" collapsed="false">
      <c r="A13167" s="1" t="s">
        <v>1048</v>
      </c>
      <c r="B13167" s="0" t="s">
        <v>98</v>
      </c>
      <c r="C13167" s="6" t="n">
        <f aca="false">Sens!K13108*(1+g_tv)*(1-tax_f)</f>
        <v>211.72946415778</v>
      </c>
    </row>
    <row r="13168" customFormat="false" ht="17.15" hidden="false" customHeight="false" outlineLevel="0" collapsed="false">
      <c r="A13168" s="1" t="s">
        <v>1049</v>
      </c>
      <c r="B13168" s="0" t="s">
        <v>98</v>
      </c>
      <c r="C13168" s="6" t="n">
        <f aca="false">Sens!$C$13167*(1-g_tv/(wacc+ronic_prem))</f>
        <v>150.021398779822</v>
      </c>
    </row>
    <row r="13169" customFormat="false" ht="17.15" hidden="false" customHeight="false" outlineLevel="0" collapsed="false">
      <c r="A13169" s="1" t="s">
        <v>1050</v>
      </c>
      <c r="B13169" s="0" t="s">
        <v>98</v>
      </c>
      <c r="C13169" s="6" t="n">
        <f aca="false">Sens!$C$13168/(wacc-g_tv)</f>
        <v>2056.93551259861</v>
      </c>
    </row>
    <row r="13170" customFormat="false" ht="15" hidden="false" customHeight="false" outlineLevel="0" collapsed="false">
      <c r="A13170" s="1" t="s">
        <v>1051</v>
      </c>
      <c r="B13170" s="0" t="s">
        <v>98</v>
      </c>
      <c r="C13170" s="6" t="n">
        <f aca="false">Sens!$C$13169/(1+wacc)^(Sens!K13162+mid_yr)</f>
        <v>1142.67449686098</v>
      </c>
    </row>
    <row r="13171" customFormat="false" ht="17.15" hidden="false" customHeight="false" outlineLevel="0" collapsed="false">
      <c r="A13171" s="0" t="s">
        <v>972</v>
      </c>
      <c r="B13171" s="0" t="s">
        <v>98</v>
      </c>
      <c r="C13171" s="6" t="n">
        <f aca="false">Sens!$C$13166+Sens!$C$13170</f>
        <v>1743.55176420556</v>
      </c>
    </row>
    <row r="13172" customFormat="false" ht="15" hidden="false" customHeight="false" outlineLevel="0" collapsed="false">
      <c r="A13172" s="1" t="s">
        <v>973</v>
      </c>
      <c r="B13172" s="0" t="s">
        <v>129</v>
      </c>
      <c r="C13172" s="7" t="n">
        <f aca="false">Sens!$C$13170/Sens!$C$13171</f>
        <v>0.655371707522337</v>
      </c>
    </row>
    <row r="13173" customFormat="false" ht="17.15" hidden="false" customHeight="false" outlineLevel="0" collapsed="false">
      <c r="A13173" s="1" t="s">
        <v>1052</v>
      </c>
      <c r="B13173" s="0" t="s">
        <v>98</v>
      </c>
      <c r="C13173" s="6" t="n">
        <f aca="false">Sens!$C$13171+Sens!E13153-Sens!E13142+oai_v</f>
        <v>1878.06476420556</v>
      </c>
    </row>
    <row r="13174" customFormat="false" ht="17.15" hidden="false" customHeight="false" outlineLevel="0" collapsed="false">
      <c r="A13174" s="0" t="s">
        <v>980</v>
      </c>
      <c r="B13174" s="0" t="s">
        <v>75</v>
      </c>
      <c r="C13174" s="5" t="n">
        <f aca="false">Sens!$C$13173/sh_dil26</f>
        <v>251.987758514096</v>
      </c>
    </row>
    <row r="13175" customFormat="false" ht="15" hidden="false" customHeight="false" outlineLevel="0" collapsed="false">
      <c r="A13175" s="1" t="s">
        <v>1053</v>
      </c>
      <c r="B13175" s="0" t="s">
        <v>75</v>
      </c>
      <c r="C13175" s="8" t="n">
        <f aca="false">dps_27+Sens!G13145*roll_div_q/q_per_yr</f>
        <v>4.8895</v>
      </c>
    </row>
    <row r="13176" customFormat="false" ht="17.15" hidden="false" customHeight="false" outlineLevel="0" collapsed="false">
      <c r="A13176" s="0" t="s">
        <v>1054</v>
      </c>
      <c r="B13176" s="0" t="s">
        <v>75</v>
      </c>
      <c r="C13176" s="5" t="n">
        <f aca="false">Sens!$C$13174*(1+wacc)^t_roll-Sens!$C$13175</f>
        <v>282.057374371751</v>
      </c>
    </row>
    <row r="13177" customFormat="false" ht="17.15" hidden="false" customHeight="false" outlineLevel="0" collapsed="false">
      <c r="A13177" s="1" t="s">
        <v>1055</v>
      </c>
      <c r="B13177" s="0" t="s">
        <v>129</v>
      </c>
      <c r="F13177" s="7" t="n">
        <f aca="false">Sens!F13134/(Sens!F13079-Sens!F13035)</f>
        <v>0.0686864325746334</v>
      </c>
      <c r="G13177" s="7" t="n">
        <f aca="false">Sens!G13134/(Sens!G13079-Sens!G13035)</f>
        <v>0.066267001590801</v>
      </c>
      <c r="H13177" s="7" t="n">
        <f aca="false">Sens!H13134/(Sens!H13079-Sens!H13035)</f>
        <v>0.0650366246750144</v>
      </c>
      <c r="I13177" s="7" t="n">
        <f aca="false">Sens!I13134/(Sens!I13079-Sens!I13035)</f>
        <v>0.0648573271390164</v>
      </c>
      <c r="J13177" s="7" t="n">
        <f aca="false">Sens!J13134/(Sens!J13079-Sens!J13035)</f>
        <v>0.0655189837669657</v>
      </c>
      <c r="K13177" s="7" t="n">
        <f aca="false">Sens!K13134/(Sens!K13079-Sens!K13035)</f>
        <v>0.0667878921367872</v>
      </c>
    </row>
    <row r="13178" customFormat="false" ht="17.15" hidden="false" customHeight="false" outlineLevel="0" collapsed="false">
      <c r="A13178" s="0" t="s">
        <v>1056</v>
      </c>
      <c r="B13178" s="0" t="s">
        <v>98</v>
      </c>
      <c r="F13178" s="6" t="n">
        <f aca="false">Sens!F13064*(al_m365+Sens!F13177+sbc_r)</f>
        <v>82.8871280343675</v>
      </c>
      <c r="G13178" s="6" t="n">
        <f aca="false">Sens!G13064*(al_m365+Sens!G13177+sbc_r)</f>
        <v>93.2646494841949</v>
      </c>
      <c r="H13178" s="6" t="n">
        <f aca="false">Sens!H13064*(al_m365+Sens!H13177+sbc_r)</f>
        <v>103.801656157254</v>
      </c>
      <c r="I13178" s="6" t="n">
        <f aca="false">Sens!I13064*(al_m365+Sens!I13177+sbc_r)</f>
        <v>113.821873816133</v>
      </c>
      <c r="J13178" s="6" t="n">
        <f aca="false">Sens!J13064*(al_m365+Sens!J13177+sbc_r)</f>
        <v>123.136196807334</v>
      </c>
      <c r="K13178" s="6" t="n">
        <f aca="false">Sens!K13064*(al_m365+Sens!K13177+sbc_r)</f>
        <v>132.051675801964</v>
      </c>
      <c r="L13178" s="11" t="s">
        <v>1057</v>
      </c>
    </row>
    <row r="13179" customFormat="false" ht="17.15" hidden="false" customHeight="false" outlineLevel="0" collapsed="false">
      <c r="A13179" s="0" t="s">
        <v>1058</v>
      </c>
      <c r="B13179" s="0" t="s">
        <v>98</v>
      </c>
      <c r="F13179" s="6" t="n">
        <f aca="false">Sens!F13065*(al_lic+Sens!F13177+sbc_r)</f>
        <v>33.4484001235218</v>
      </c>
      <c r="G13179" s="6" t="n">
        <f aca="false">Sens!G13065*(al_lic+Sens!G13177+sbc_r)</f>
        <v>34.7662136749183</v>
      </c>
      <c r="H13179" s="6" t="n">
        <f aca="false">Sens!H13065*(al_lic+Sens!H13177+sbc_r)</f>
        <v>35.9922067034497</v>
      </c>
      <c r="I13179" s="6" t="n">
        <f aca="false">Sens!I13065*(al_lic+Sens!I13177+sbc_r)</f>
        <v>37.1063543598183</v>
      </c>
      <c r="J13179" s="6" t="n">
        <f aca="false">Sens!J13065*(al_lic+Sens!J13177+sbc_r)</f>
        <v>38.0853056964387</v>
      </c>
      <c r="K13179" s="6" t="n">
        <f aca="false">Sens!K13065*(al_lic+Sens!K13177+sbc_r)</f>
        <v>38.9048066370724</v>
      </c>
    </row>
    <row r="13180" customFormat="false" ht="17.15" hidden="false" customHeight="false" outlineLevel="0" collapsed="false">
      <c r="A13180" s="0" t="s">
        <v>1059</v>
      </c>
      <c r="B13180" s="0" t="s">
        <v>98</v>
      </c>
      <c r="F13180" s="6" t="n">
        <f aca="false">Sens!F13067*(al_ind+Sens!F13177+sbc_r)</f>
        <v>9.07857451914073</v>
      </c>
      <c r="G13180" s="6" t="n">
        <f aca="false">Sens!G13067*(al_ind+Sens!G13177+sbc_r)</f>
        <v>9.86487802721884</v>
      </c>
      <c r="H13180" s="6" t="n">
        <f aca="false">Sens!H13067*(al_ind+Sens!H13177+sbc_r)</f>
        <v>10.693809720013</v>
      </c>
      <c r="I13180" s="6" t="n">
        <f aca="false">Sens!I13067*(al_ind+Sens!I13177+sbc_r)</f>
        <v>11.5608645999226</v>
      </c>
      <c r="J13180" s="6" t="n">
        <f aca="false">Sens!J13067*(al_ind+Sens!J13177+sbc_r)</f>
        <v>12.4574161941375</v>
      </c>
      <c r="K13180" s="6" t="n">
        <f aca="false">Sens!K13067*(al_ind+Sens!K13177+sbc_r)</f>
        <v>13.3714153876622</v>
      </c>
    </row>
    <row r="13181" customFormat="false" ht="17.15" hidden="false" customHeight="false" outlineLevel="0" collapsed="false">
      <c r="A13181" s="0" t="s">
        <v>1060</v>
      </c>
      <c r="B13181" s="0" t="s">
        <v>98</v>
      </c>
      <c r="F13181" s="6" t="n">
        <f aca="false">Sens!F13069*(al_fro+Sens!F13177+sbc_r)</f>
        <v>3.57335880380168</v>
      </c>
      <c r="G13181" s="6" t="n">
        <f aca="false">Sens!G13069*(al_fro+Sens!G13177+sbc_r)</f>
        <v>3.78752993435501</v>
      </c>
      <c r="H13181" s="6" t="n">
        <f aca="false">Sens!H13069*(al_fro+Sens!H13177+sbc_r)</f>
        <v>4.02979352544868</v>
      </c>
      <c r="I13181" s="6" t="n">
        <f aca="false">Sens!I13069*(al_fro+Sens!I13177+sbc_r)</f>
        <v>4.30248328262388</v>
      </c>
      <c r="J13181" s="6" t="n">
        <f aca="false">Sens!J13069*(al_fro+Sens!J13177+sbc_r)</f>
        <v>4.6072312462081</v>
      </c>
      <c r="K13181" s="6" t="n">
        <f aca="false">Sens!K13069*(al_fro+Sens!K13177+sbc_r)</f>
        <v>4.94526327289735</v>
      </c>
    </row>
    <row r="13182" customFormat="false" ht="17.15" hidden="false" customHeight="false" outlineLevel="0" collapsed="false">
      <c r="A13182" s="0" t="s">
        <v>1061</v>
      </c>
      <c r="B13182" s="0" t="s">
        <v>98</v>
      </c>
      <c r="F13182" s="6" t="n">
        <f aca="false">Sens!F13072*(al_srch+Sens!F13177+sbc_r)</f>
        <v>11.2121706988551</v>
      </c>
      <c r="G13182" s="6" t="n">
        <f aca="false">Sens!G13072*(al_srch+Sens!G13177+sbc_r)</f>
        <v>12.298220751086</v>
      </c>
      <c r="H13182" s="6" t="n">
        <f aca="false">Sens!H13072*(al_srch+Sens!H13177+sbc_r)</f>
        <v>13.4264661389574</v>
      </c>
      <c r="I13182" s="6" t="n">
        <f aca="false">Sens!I13072*(al_srch+Sens!I13177+sbc_r)</f>
        <v>14.5842947685169</v>
      </c>
      <c r="J13182" s="6" t="n">
        <f aca="false">Sens!J13072*(al_srch+Sens!J13177+sbc_r)</f>
        <v>15.7529827260804</v>
      </c>
      <c r="K13182" s="6" t="n">
        <f aca="false">Sens!K13072*(al_srch+Sens!K13177+sbc_r)</f>
        <v>16.908777257054</v>
      </c>
    </row>
    <row r="13183" customFormat="false" ht="17.15" hidden="false" customHeight="false" outlineLevel="0" collapsed="false">
      <c r="A13183" s="0" t="s">
        <v>1062</v>
      </c>
      <c r="B13183" s="0" t="s">
        <v>98</v>
      </c>
      <c r="F13183" s="6" t="n">
        <f aca="false">Sens!F13041-Sens!F13042+Sens!F13122</f>
        <v>33.9518847149595</v>
      </c>
      <c r="G13183" s="6" t="n">
        <f aca="false">Sens!G13041-Sens!G13042+Sens!G13122</f>
        <v>35.9146984679975</v>
      </c>
      <c r="H13183" s="6" t="n">
        <f aca="false">Sens!H13041-Sens!H13042+Sens!H13122</f>
        <v>33.0822615019378</v>
      </c>
      <c r="I13183" s="6" t="n">
        <f aca="false">Sens!I13041-Sens!I13042+Sens!I13122</f>
        <v>33.3391987321591</v>
      </c>
      <c r="J13183" s="6" t="n">
        <f aca="false">Sens!J13041-Sens!J13042+Sens!J13122</f>
        <v>34.8108801335479</v>
      </c>
      <c r="K13183" s="6" t="n">
        <f aca="false">Sens!K13041-Sens!K13042+Sens!K13122</f>
        <v>38.5792179163226</v>
      </c>
    </row>
    <row r="13184" customFormat="false" ht="17.15" hidden="false" customHeight="false" outlineLevel="0" collapsed="false">
      <c r="A13184" s="0" t="s">
        <v>1063</v>
      </c>
      <c r="B13184" s="0" t="s">
        <v>98</v>
      </c>
      <c r="F13184" s="6" t="n">
        <f aca="false">Sens!F13101+Sens!F13122+Sens!F13052+Sens!F13177*(Sens!F13071-Sens!F13035)+sbc_r*Sens!F13071</f>
        <v>223.402122107967</v>
      </c>
      <c r="G13184" s="6" t="n">
        <f aca="false">Sens!G13101+Sens!G13122+Sens!G13052+Sens!G13177*(Sens!G13071-Sens!G13035)+sbc_r*Sens!G13071</f>
        <v>249.377092724306</v>
      </c>
      <c r="H13184" s="6" t="n">
        <f aca="false">Sens!H13101+Sens!H13122+Sens!H13052+Sens!H13177*(Sens!H13071-Sens!H13035)+sbc_r*Sens!H13071</f>
        <v>270.832008573659</v>
      </c>
      <c r="I13184" s="6" t="n">
        <f aca="false">Sens!I13101+Sens!I13122+Sens!I13052+Sens!I13177*(Sens!I13071-Sens!I13035)+sbc_r*Sens!I13071</f>
        <v>294.717063095171</v>
      </c>
      <c r="J13184" s="6" t="n">
        <f aca="false">Sens!J13101+Sens!J13122+Sens!J13052+Sens!J13177*(Sens!J13071-Sens!J13035)+sbc_r*Sens!J13071</f>
        <v>318.21067645698</v>
      </c>
      <c r="K13184" s="6" t="n">
        <f aca="false">Sens!K13101+Sens!K13122+Sens!K13052+Sens!K13177*(Sens!K13071-Sens!K13035)+sbc_r*Sens!K13071</f>
        <v>341.991458268788</v>
      </c>
    </row>
    <row r="13185" customFormat="false" ht="17.15" hidden="false" customHeight="false" outlineLevel="0" collapsed="false">
      <c r="A13185" s="0" t="s">
        <v>1064</v>
      </c>
      <c r="B13185" s="0" t="s">
        <v>98</v>
      </c>
      <c r="F13185" s="6" t="n">
        <f aca="false">Sens!F13184-Sens!F13178-Sens!F13179-Sens!F13180-Sens!F13181-Sens!F13183</f>
        <v>60.4627759121758</v>
      </c>
      <c r="G13185" s="6" t="n">
        <f aca="false">Sens!G13184-Sens!G13178-Sens!G13179-Sens!G13180-Sens!G13181-Sens!G13183</f>
        <v>71.7791231356209</v>
      </c>
      <c r="H13185" s="6" t="n">
        <f aca="false">Sens!H13184-Sens!H13178-Sens!H13179-Sens!H13180-Sens!H13181-Sens!H13183</f>
        <v>83.2322809655555</v>
      </c>
      <c r="I13185" s="6" t="n">
        <f aca="false">Sens!I13184-Sens!I13178-Sens!I13179-Sens!I13180-Sens!I13181-Sens!I13183</f>
        <v>94.5862883045141</v>
      </c>
      <c r="J13185" s="6" t="n">
        <f aca="false">Sens!J13184-Sens!J13178-Sens!J13179-Sens!J13180-Sens!J13181-Sens!J13183</f>
        <v>105.113646379313</v>
      </c>
      <c r="K13185" s="6" t="n">
        <f aca="false">Sens!K13184-Sens!K13178-Sens!K13179-Sens!K13180-Sens!K13181-Sens!K13183</f>
        <v>114.13907925287</v>
      </c>
    </row>
    <row r="13186" customFormat="false" ht="17.15" hidden="false" customHeight="false" outlineLevel="0" collapsed="false">
      <c r="A13186" s="0" t="s">
        <v>1065</v>
      </c>
      <c r="B13186" s="0" t="s">
        <v>98</v>
      </c>
      <c r="F13186" s="6" t="n">
        <f aca="false">Sens!F13103+Sens!F13177*Sens!F13078+sbc_r*Sens!F13078</f>
        <v>26.2049549828959</v>
      </c>
      <c r="G13186" s="6" t="n">
        <f aca="false">Sens!G13103+Sens!G13177*Sens!G13078+sbc_r*Sens!G13078</f>
        <v>26.8405806403664</v>
      </c>
      <c r="H13186" s="6" t="n">
        <f aca="false">Sens!H13103+Sens!H13177*Sens!H13078+sbc_r*Sens!H13078</f>
        <v>27.7352032470138</v>
      </c>
      <c r="I13186" s="6" t="n">
        <f aca="false">Sens!I13103+Sens!I13177*Sens!I13078+sbc_r*Sens!I13078</f>
        <v>28.8569155956094</v>
      </c>
      <c r="J13186" s="6" t="n">
        <f aca="false">Sens!J13103+Sens!J13177*Sens!J13078+sbc_r*Sens!J13078</f>
        <v>30.1744385645725</v>
      </c>
      <c r="K13186" s="6" t="n">
        <f aca="false">Sens!K13103+Sens!K13177*Sens!K13078+sbc_r*Sens!K13078</f>
        <v>31.6584976186802</v>
      </c>
    </row>
    <row r="13187" customFormat="false" ht="17.15" hidden="false" customHeight="false" outlineLevel="0" collapsed="false">
      <c r="A13187" s="0" t="s">
        <v>1066</v>
      </c>
      <c r="B13187" s="0" t="s">
        <v>98</v>
      </c>
      <c r="F13187" s="6" t="n">
        <f aca="false">(Sens!F13186-Sens!F13182)*Sens!F13074/(Sens!F13074+Sens!F13076)</f>
        <v>8.21889831690819</v>
      </c>
      <c r="G13187" s="6" t="n">
        <f aca="false">(Sens!G13186-Sens!G13182)*Sens!G13074/(Sens!G13074+Sens!G13076)</f>
        <v>7.82984014749099</v>
      </c>
      <c r="H13187" s="6" t="n">
        <f aca="false">(Sens!H13186-Sens!H13182)*Sens!H13074/(Sens!H13074+Sens!H13076)</f>
        <v>7.5999849964554</v>
      </c>
      <c r="I13187" s="6" t="n">
        <f aca="false">(Sens!I13186-Sens!I13182)*Sens!I13074/(Sens!I13074+Sens!I13076)</f>
        <v>7.51221089422364</v>
      </c>
      <c r="J13187" s="6" t="n">
        <f aca="false">(Sens!J13186-Sens!J13182)*Sens!J13074/(Sens!J13074+Sens!J13076)</f>
        <v>7.55622411401827</v>
      </c>
      <c r="K13187" s="6" t="n">
        <f aca="false">(Sens!K13186-Sens!K13182)*Sens!K13074/(Sens!K13074+Sens!K13076)</f>
        <v>7.72822064011532</v>
      </c>
    </row>
    <row r="13188" customFormat="false" ht="17.15" hidden="false" customHeight="false" outlineLevel="0" collapsed="false">
      <c r="A13188" s="0" t="s">
        <v>1067</v>
      </c>
      <c r="B13188" s="0" t="s">
        <v>98</v>
      </c>
      <c r="F13188" s="6" t="n">
        <f aca="false">Sens!F13186-Sens!F13182-Sens!F13187</f>
        <v>6.77388596713263</v>
      </c>
      <c r="G13188" s="6" t="n">
        <f aca="false">Sens!G13186-Sens!G13182-Sens!G13187</f>
        <v>6.71251974178949</v>
      </c>
      <c r="H13188" s="6" t="n">
        <f aca="false">Sens!H13186-Sens!H13182-Sens!H13187</f>
        <v>6.70875211160101</v>
      </c>
      <c r="I13188" s="6" t="n">
        <f aca="false">Sens!I13186-Sens!I13182-Sens!I13187</f>
        <v>6.76040993286883</v>
      </c>
      <c r="J13188" s="6" t="n">
        <f aca="false">Sens!J13186-Sens!J13182-Sens!J13187</f>
        <v>6.86523172447386</v>
      </c>
      <c r="K13188" s="6" t="n">
        <f aca="false">Sens!K13186-Sens!K13182-Sens!K13187</f>
        <v>7.02149972151092</v>
      </c>
    </row>
    <row r="13189" customFormat="false" ht="17.15" hidden="false" customHeight="false" outlineLevel="0" collapsed="false">
      <c r="A13189" s="0" t="s">
        <v>1068</v>
      </c>
      <c r="B13189" s="0" t="s">
        <v>98</v>
      </c>
      <c r="F13189" s="6" t="n">
        <f aca="false">Sens!F13183-tax_f*(Sens!F13183-Sens!F13052)-Sens!F13049</f>
        <v>-134.381056460629</v>
      </c>
      <c r="G13189" s="6" t="n">
        <f aca="false">Sens!G13183-tax_f*(Sens!G13183-Sens!G13052)-Sens!G13049</f>
        <v>3.92087379267928</v>
      </c>
      <c r="H13189" s="6" t="n">
        <f aca="false">Sens!H13183-tax_f*(Sens!H13183-Sens!H13052)-Sens!H13049</f>
        <v>37.4741911194315</v>
      </c>
      <c r="I13189" s="6" t="n">
        <f aca="false">Sens!I13183-tax_f*(Sens!I13183-Sens!I13052)-Sens!I13049</f>
        <v>7.5498204028585</v>
      </c>
      <c r="J13189" s="6" t="n">
        <f aca="false">Sens!J13183-tax_f*(Sens!J13183-Sens!J13052)-Sens!J13049</f>
        <v>-6.3877332029471</v>
      </c>
      <c r="K13189" s="6" t="n">
        <f aca="false">Sens!K13183-tax_f*(Sens!K13183-Sens!K13052)-Sens!K13049</f>
        <v>-47.8716033718106</v>
      </c>
    </row>
    <row r="13190" customFormat="false" ht="17.15" hidden="false" customHeight="false" outlineLevel="0" collapsed="false">
      <c r="A13190" s="0" t="s">
        <v>1069</v>
      </c>
      <c r="B13190" s="0" t="s">
        <v>98</v>
      </c>
      <c r="F13190" s="6" t="n">
        <f aca="false">Sens!F13189*Sens!F13163</f>
        <v>-127.956751500287</v>
      </c>
      <c r="G13190" s="6" t="n">
        <f aca="false">Sens!G13189*Sens!G13163</f>
        <v>3.38499730911386</v>
      </c>
      <c r="H13190" s="6" t="n">
        <f aca="false">Sens!H13189*Sens!H13163</f>
        <v>29.3331053265121</v>
      </c>
      <c r="I13190" s="6" t="n">
        <f aca="false">Sens!I13189*Sens!I13163</f>
        <v>5.3581233168515</v>
      </c>
      <c r="J13190" s="6" t="n">
        <f aca="false">Sens!J13189*Sens!J13163</f>
        <v>-4.11029660518367</v>
      </c>
      <c r="K13190" s="6" t="n">
        <f aca="false">Sens!K13189*Sens!K13163</f>
        <v>-27.9289544070977</v>
      </c>
    </row>
    <row r="13191" customFormat="false" ht="17.15" hidden="false" customHeight="false" outlineLevel="0" collapsed="false">
      <c r="A13191" s="0" t="s">
        <v>1070</v>
      </c>
      <c r="B13191" s="0" t="s">
        <v>98</v>
      </c>
      <c r="C13191" s="6" t="n">
        <f aca="false">(Sens!K13183-Sens!K13052)*(1-tax_f)*(1+g_tv)*(1-g_tv/(wacc+ronic_prem))/(wacc-g_tv)/(1+wacc)^(Sens!K13162+mid_yr)</f>
        <v>-96.1712196045865</v>
      </c>
    </row>
    <row r="13192" customFormat="false" ht="17.15" hidden="false" customHeight="false" outlineLevel="0" collapsed="false">
      <c r="A13192" s="1" t="s">
        <v>1071</v>
      </c>
      <c r="B13192" s="0" t="s">
        <v>98</v>
      </c>
      <c r="C13192" s="6" t="n">
        <f aca="false">(SUM(Sens!F13190:K13190)+Sens!$C$13191)*(1+wacc)^t_roll</f>
        <v>-248.347499287649</v>
      </c>
      <c r="L13192" s="11" t="s">
        <v>1072</v>
      </c>
    </row>
    <row r="13193" customFormat="false" ht="17.15" hidden="false" customHeight="false" outlineLevel="0" collapsed="false">
      <c r="A13193" s="1" t="s">
        <v>1073</v>
      </c>
      <c r="B13193" s="0" t="s">
        <v>98</v>
      </c>
      <c r="C13193" s="6" t="n">
        <f aca="false">(w_ntm28*Sens!G13041+(1-w_ntm28)*Sens!H13041)*m_ai</f>
        <v>153.268235565806</v>
      </c>
    </row>
    <row r="13194" customFormat="false" ht="17.15" hidden="false" customHeight="false" outlineLevel="0" collapsed="false">
      <c r="A13194" s="1" t="s">
        <v>1074</v>
      </c>
      <c r="B13194" s="0" t="s">
        <v>98</v>
      </c>
      <c r="C13194" s="6" t="n">
        <f aca="false">(w_ntm28*Sens!G13185+(1-w_ntm28)*Sens!H13185)*m_cloud</f>
        <v>1043.15830820755</v>
      </c>
    </row>
    <row r="13195" customFormat="false" ht="17.15" hidden="false" customHeight="false" outlineLevel="0" collapsed="false">
      <c r="A13195" s="1" t="s">
        <v>1075</v>
      </c>
      <c r="B13195" s="0" t="s">
        <v>98</v>
      </c>
      <c r="C13195" s="6" t="n">
        <f aca="false">(w_ntm28*Sens!G13178+(1-w_ntm28)*Sens!H13178)*m_sw</f>
        <v>1044.04824539957</v>
      </c>
    </row>
    <row r="13196" customFormat="false" ht="17.15" hidden="false" customHeight="false" outlineLevel="0" collapsed="false">
      <c r="A13196" s="1" t="s">
        <v>1076</v>
      </c>
      <c r="B13196" s="0" t="s">
        <v>98</v>
      </c>
      <c r="C13196" s="6" t="n">
        <f aca="false">(w_ntm28*Sens!G13179+(1-w_ntm28)*Sens!H13179)*m_sw</f>
        <v>379.755670745447</v>
      </c>
    </row>
    <row r="13197" customFormat="false" ht="17.15" hidden="false" customHeight="false" outlineLevel="0" collapsed="false">
      <c r="A13197" s="1" t="s">
        <v>1077</v>
      </c>
      <c r="B13197" s="0" t="s">
        <v>98</v>
      </c>
      <c r="C13197" s="6" t="n">
        <f aca="false">(w_ntm28*Sens!G13180+(1-w_ntm28)*Sens!H13180)*m_sw</f>
        <v>109.434903376969</v>
      </c>
    </row>
    <row r="13198" customFormat="false" ht="17.15" hidden="false" customHeight="false" outlineLevel="0" collapsed="false">
      <c r="A13198" s="1" t="s">
        <v>1078</v>
      </c>
      <c r="B13198" s="0" t="s">
        <v>98</v>
      </c>
      <c r="C13198" s="6" t="n">
        <f aca="false">(w_ntm28*Sens!G13181+(1-w_ntm28)*Sens!H13181)*m_sw</f>
        <v>41.7511882786773</v>
      </c>
    </row>
    <row r="13199" customFormat="false" ht="17.15" hidden="false" customHeight="false" outlineLevel="0" collapsed="false">
      <c r="A13199" s="1" t="s">
        <v>1079</v>
      </c>
      <c r="B13199" s="0" t="s">
        <v>98</v>
      </c>
      <c r="C13199" s="6" t="n">
        <f aca="false">(w_ntm28*Sens!G13182+(1-w_ntm28)*Sens!H13182)*m_ads</f>
        <v>115.359643719254</v>
      </c>
    </row>
    <row r="13200" customFormat="false" ht="17.15" hidden="false" customHeight="false" outlineLevel="0" collapsed="false">
      <c r="A13200" s="1" t="s">
        <v>1080</v>
      </c>
      <c r="B13200" s="0" t="s">
        <v>98</v>
      </c>
      <c r="C13200" s="6" t="n">
        <f aca="false">(w_ntm28*Sens!G13187+(1-w_ntm28)*Sens!H13187)*m_game</f>
        <v>97.9523541428266</v>
      </c>
    </row>
    <row r="13201" customFormat="false" ht="17.15" hidden="false" customHeight="false" outlineLevel="0" collapsed="false">
      <c r="A13201" s="1" t="s">
        <v>1081</v>
      </c>
      <c r="B13201" s="0" t="s">
        <v>98</v>
      </c>
      <c r="C13201" s="6" t="n">
        <f aca="false">(w_ntm28*Sens!G13188+(1-w_ntm28)*Sens!H13188)*m_pc</f>
        <v>97.1125357928949</v>
      </c>
    </row>
    <row r="13202" customFormat="false" ht="17.15" hidden="false" customHeight="false" outlineLevel="0" collapsed="false">
      <c r="A13202" s="1" t="s">
        <v>1082</v>
      </c>
      <c r="B13202" s="0" t="s">
        <v>98</v>
      </c>
      <c r="C13202" s="6" t="n">
        <f aca="false">Sens!$C$13192+Sens!$C$13194+Sens!$C$13195+Sens!$C$13196+Sens!$C$13197+Sens!$C$13198+Sens!$C$13199+Sens!$C$13200+Sens!$C$13201</f>
        <v>2680.22535037554</v>
      </c>
    </row>
    <row r="13203" customFormat="false" ht="17.15" hidden="false" customHeight="false" outlineLevel="0" collapsed="false">
      <c r="A13203" s="1" t="s">
        <v>1000</v>
      </c>
      <c r="B13203" s="0" t="s">
        <v>98</v>
      </c>
      <c r="C13203" s="6" t="n">
        <f aca="false">Sens!F13153+oai_v-Sens!F13142</f>
        <v>100.215109809582</v>
      </c>
      <c r="L13203" s="1" t="s">
        <v>1083</v>
      </c>
    </row>
    <row r="13204" customFormat="false" ht="15" hidden="false" customHeight="false" outlineLevel="0" collapsed="false">
      <c r="A13204" s="1" t="s">
        <v>1001</v>
      </c>
      <c r="B13204" s="0" t="s">
        <v>75</v>
      </c>
      <c r="C13204" s="5" t="n">
        <f aca="false">(Sens!$C$13202+Sens!$C$13203)/Sens!F13155</f>
        <v>372.114622615782</v>
      </c>
    </row>
    <row r="13205" customFormat="false" ht="17.15" hidden="false" customHeight="false" outlineLevel="0" collapsed="false">
      <c r="A13205" s="1" t="s">
        <v>1084</v>
      </c>
      <c r="B13205" s="0" t="s">
        <v>75</v>
      </c>
      <c r="C13205" s="5" t="n">
        <f aca="false">w_dcf*Sens!$C$13176+(1-w_dcf)*Sens!$C$13204</f>
        <v>327.085998493767</v>
      </c>
    </row>
    <row r="13206" customFormat="false" ht="17.15" hidden="false" customHeight="false" outlineLevel="0" collapsed="false">
      <c r="A13206" s="3" t="s">
        <v>1575</v>
      </c>
    </row>
    <row r="13207" customFormat="false" ht="15" hidden="false" customHeight="false" outlineLevel="0" collapsed="false">
      <c r="A13207" s="4" t="s">
        <v>43</v>
      </c>
      <c r="B13207" s="4" t="s">
        <v>65</v>
      </c>
      <c r="C13207" s="20" t="s">
        <v>788</v>
      </c>
      <c r="D13207" s="20" t="s">
        <v>789</v>
      </c>
      <c r="E13207" s="20" t="s">
        <v>790</v>
      </c>
      <c r="F13207" s="20" t="s">
        <v>791</v>
      </c>
      <c r="G13207" s="20" t="s">
        <v>792</v>
      </c>
      <c r="H13207" s="20" t="s">
        <v>793</v>
      </c>
      <c r="I13207" s="20" t="s">
        <v>794</v>
      </c>
      <c r="J13207" s="20" t="s">
        <v>795</v>
      </c>
      <c r="K13207" s="20" t="s">
        <v>796</v>
      </c>
      <c r="L13207" s="4" t="s">
        <v>47</v>
      </c>
    </row>
    <row r="13208" customFormat="false" ht="17.15" hidden="false" customHeight="false" outlineLevel="0" collapsed="false">
      <c r="A13208" s="1" t="s">
        <v>797</v>
      </c>
      <c r="B13208" s="1" t="s">
        <v>235</v>
      </c>
      <c r="C13208" s="28" t="n">
        <v>2024</v>
      </c>
      <c r="D13208" s="28" t="n">
        <v>2025</v>
      </c>
      <c r="E13208" s="28" t="n">
        <v>2026</v>
      </c>
      <c r="F13208" s="28" t="n">
        <v>2027</v>
      </c>
      <c r="G13208" s="28" t="n">
        <v>2028</v>
      </c>
      <c r="H13208" s="28" t="n">
        <v>2029</v>
      </c>
      <c r="I13208" s="28" t="n">
        <v>2030</v>
      </c>
      <c r="J13208" s="28" t="n">
        <v>2031</v>
      </c>
      <c r="K13208" s="28" t="n">
        <v>2032</v>
      </c>
    </row>
    <row r="13209" customFormat="false" ht="17.15" hidden="false" customHeight="false" outlineLevel="0" collapsed="false">
      <c r="A13209" s="1" t="s">
        <v>798</v>
      </c>
      <c r="B13209" s="0" t="s">
        <v>392</v>
      </c>
      <c r="F13209" s="29" t="n">
        <f aca="false">pace</f>
        <v>2527.2</v>
      </c>
      <c r="G13209" s="29" t="n">
        <f aca="false">pace</f>
        <v>2527.2</v>
      </c>
      <c r="H13209" s="29" t="n">
        <f aca="false">pace</f>
        <v>2527.2</v>
      </c>
      <c r="I13209" s="29" t="n">
        <f aca="false">pace+(g_tv*Sens!H13210-pace)*MIN(1,(Sens!I13208-pace_y0)/(pace_y1-pace_y0))</f>
        <v>1793.116</v>
      </c>
      <c r="J13209" s="29" t="n">
        <f aca="false">pace+(g_tv*Sens!H13210-pace)*MIN(1,(Sens!J13208-pace_y0)/(pace_y1-pace_y0))</f>
        <v>1059.032</v>
      </c>
      <c r="K13209" s="29" t="n">
        <f aca="false">pace+(g_tv*Sens!H13210-pace)*MIN(1,(Sens!K13208-pace_y0)/(pace_y1-pace_y0))</f>
        <v>324.948</v>
      </c>
      <c r="L13209" s="11" t="s">
        <v>799</v>
      </c>
    </row>
    <row r="13210" customFormat="false" ht="17.15" hidden="false" customHeight="false" outlineLevel="0" collapsed="false">
      <c r="A13210" s="1" t="s">
        <v>800</v>
      </c>
      <c r="B13210" s="0" t="s">
        <v>392</v>
      </c>
      <c r="C13210" s="29" t="n">
        <f aca="false">mw_ext_24</f>
        <v>640</v>
      </c>
      <c r="D13210" s="29" t="n">
        <f aca="false">mw_ext_25</f>
        <v>1630</v>
      </c>
      <c r="E13210" s="29" t="n">
        <f aca="false">mw_ext_26</f>
        <v>3250</v>
      </c>
      <c r="F13210" s="29" t="n">
        <f aca="false">Sens!E13210+Sens!F13209</f>
        <v>5777.2</v>
      </c>
      <c r="G13210" s="29" t="n">
        <f aca="false">Sens!F13210+Sens!G13209</f>
        <v>8304.4</v>
      </c>
      <c r="H13210" s="29" t="n">
        <f aca="false">Sens!G13210+Sens!H13209</f>
        <v>10831.6</v>
      </c>
      <c r="I13210" s="29" t="n">
        <f aca="false">Sens!H13210+Sens!I13209</f>
        <v>12624.716</v>
      </c>
      <c r="J13210" s="29" t="n">
        <f aca="false">Sens!I13210+Sens!J13209</f>
        <v>13683.748</v>
      </c>
      <c r="K13210" s="29" t="n">
        <f aca="false">Sens!J13210+Sens!K13209</f>
        <v>14008.696</v>
      </c>
      <c r="L13210" s="1" t="s">
        <v>801</v>
      </c>
    </row>
    <row r="13211" customFormat="false" ht="17.15" hidden="false" customHeight="false" outlineLevel="0" collapsed="false">
      <c r="A13211" s="1" t="s">
        <v>802</v>
      </c>
      <c r="B13211" s="0" t="s">
        <v>392</v>
      </c>
      <c r="C13211" s="29" t="n">
        <f aca="false">rent_ext_24</f>
        <v>150</v>
      </c>
      <c r="D13211" s="29" t="n">
        <f aca="false">rent_ext_25</f>
        <v>400</v>
      </c>
      <c r="E13211" s="29" t="n">
        <f aca="false">rent_ext_26</f>
        <v>550</v>
      </c>
      <c r="F13211" s="29" t="n">
        <f aca="false">rent_ext_f</f>
        <v>756</v>
      </c>
      <c r="G13211" s="29" t="n">
        <f aca="false">rent_ext_f</f>
        <v>756</v>
      </c>
      <c r="H13211" s="29" t="n">
        <f aca="false">rent_ext_f</f>
        <v>756</v>
      </c>
      <c r="I13211" s="29" t="n">
        <f aca="false">rent_ext_f</f>
        <v>756</v>
      </c>
      <c r="J13211" s="29" t="n">
        <f aca="false">rent_ext_f</f>
        <v>756</v>
      </c>
      <c r="K13211" s="29" t="n">
        <f aca="false">rent_ext_f</f>
        <v>756</v>
      </c>
      <c r="L13211" s="1" t="s">
        <v>803</v>
      </c>
    </row>
    <row r="13212" customFormat="false" ht="17.15" hidden="false" customHeight="false" outlineLevel="0" collapsed="false">
      <c r="A13212" s="1" t="s">
        <v>804</v>
      </c>
      <c r="B13212" s="0" t="s">
        <v>392</v>
      </c>
      <c r="C13212" s="29" t="n">
        <f aca="false">Sens!C13210-Sens!C13211</f>
        <v>490</v>
      </c>
      <c r="D13212" s="29" t="n">
        <f aca="false">Sens!D13210-Sens!D13211</f>
        <v>1230</v>
      </c>
      <c r="E13212" s="29" t="n">
        <f aca="false">Sens!E13210-Sens!E13211</f>
        <v>2700</v>
      </c>
      <c r="F13212" s="29" t="n">
        <f aca="false">Sens!F13210-Sens!F13211</f>
        <v>5021.2</v>
      </c>
      <c r="G13212" s="29" t="n">
        <f aca="false">Sens!G13210-Sens!G13211</f>
        <v>7548.4</v>
      </c>
      <c r="H13212" s="29" t="n">
        <f aca="false">Sens!H13210-Sens!H13211</f>
        <v>10075.6</v>
      </c>
      <c r="I13212" s="29" t="n">
        <f aca="false">Sens!I13210-Sens!I13211</f>
        <v>11868.716</v>
      </c>
      <c r="J13212" s="29" t="n">
        <f aca="false">Sens!J13210-Sens!J13211</f>
        <v>12927.748</v>
      </c>
      <c r="K13212" s="29" t="n">
        <f aca="false">Sens!K13210-Sens!K13211</f>
        <v>13252.696</v>
      </c>
    </row>
    <row r="13213" customFormat="false" ht="17.15" hidden="false" customHeight="false" outlineLevel="0" collapsed="false">
      <c r="A13213" s="1" t="s">
        <v>805</v>
      </c>
      <c r="B13213" s="0" t="s">
        <v>392</v>
      </c>
      <c r="C13213" s="29" t="n">
        <f aca="false">Sens!C13212/ext_sh</f>
        <v>816.666666666667</v>
      </c>
      <c r="D13213" s="29" t="n">
        <f aca="false">Sens!D13212/ext_sh</f>
        <v>2050</v>
      </c>
      <c r="E13213" s="29" t="n">
        <f aca="false">Sens!E13212/ext_sh</f>
        <v>4500</v>
      </c>
      <c r="F13213" s="29" t="n">
        <f aca="false">Sens!F13212/ext_sh</f>
        <v>8368.66666666667</v>
      </c>
      <c r="G13213" s="29" t="n">
        <f aca="false">Sens!G13212/ext_sh</f>
        <v>12580.6666666667</v>
      </c>
      <c r="H13213" s="29" t="n">
        <f aca="false">Sens!H13212/ext_sh</f>
        <v>16792.6666666667</v>
      </c>
      <c r="I13213" s="29" t="n">
        <f aca="false">Sens!I13212/ext_sh</f>
        <v>19781.1933333333</v>
      </c>
      <c r="J13213" s="29" t="n">
        <f aca="false">Sens!J13212/ext_sh</f>
        <v>21546.2466666667</v>
      </c>
      <c r="K13213" s="29" t="n">
        <f aca="false">Sens!K13212/ext_sh</f>
        <v>22087.8266666667</v>
      </c>
      <c r="L13213" s="1" t="s">
        <v>806</v>
      </c>
    </row>
    <row r="13214" customFormat="false" ht="17.15" hidden="false" customHeight="false" outlineLevel="0" collapsed="false">
      <c r="A13214" s="1" t="s">
        <v>807</v>
      </c>
      <c r="B13214" s="0" t="s">
        <v>392</v>
      </c>
      <c r="C13214" s="29" t="n">
        <f aca="false">Sens!C13213-Sens!C13212</f>
        <v>326.666666666667</v>
      </c>
      <c r="D13214" s="29" t="n">
        <f aca="false">Sens!D13213-Sens!D13212</f>
        <v>820</v>
      </c>
      <c r="E13214" s="29" t="n">
        <f aca="false">Sens!E13213-Sens!E13212</f>
        <v>1800</v>
      </c>
      <c r="F13214" s="29" t="n">
        <f aca="false">Sens!F13213-Sens!F13212</f>
        <v>3347.46666666667</v>
      </c>
      <c r="G13214" s="29" t="n">
        <f aca="false">Sens!G13213-Sens!G13212</f>
        <v>5032.26666666667</v>
      </c>
      <c r="H13214" s="29" t="n">
        <f aca="false">Sens!H13213-Sens!H13212</f>
        <v>6717.06666666667</v>
      </c>
      <c r="I13214" s="29" t="n">
        <f aca="false">Sens!I13213-Sens!I13212</f>
        <v>7912.47733333333</v>
      </c>
      <c r="J13214" s="29" t="n">
        <f aca="false">Sens!J13213-Sens!J13212</f>
        <v>8618.49866666667</v>
      </c>
      <c r="K13214" s="29" t="n">
        <f aca="false">Sens!K13213-Sens!K13212</f>
        <v>8835.13066666667</v>
      </c>
    </row>
    <row r="13215" customFormat="false" ht="17.15" hidden="false" customHeight="false" outlineLevel="0" collapsed="false">
      <c r="A13215" s="1" t="s">
        <v>808</v>
      </c>
      <c r="B13215" s="0" t="s">
        <v>392</v>
      </c>
      <c r="C13215" s="29" t="n">
        <f aca="false">Sens!C13213</f>
        <v>816.666666666667</v>
      </c>
      <c r="D13215" s="29" t="n">
        <f aca="false">Sens!D13213-Sens!C13213</f>
        <v>1233.33333333333</v>
      </c>
      <c r="E13215" s="29" t="n">
        <f aca="false">Sens!E13213-Sens!D13213</f>
        <v>2450</v>
      </c>
      <c r="F13215" s="29" t="n">
        <f aca="false">Sens!F13213-Sens!E13213</f>
        <v>3868.66666666667</v>
      </c>
      <c r="G13215" s="29" t="n">
        <f aca="false">Sens!G13213-Sens!F13213</f>
        <v>4212</v>
      </c>
      <c r="H13215" s="29" t="n">
        <f aca="false">Sens!H13213-Sens!G13213</f>
        <v>4212</v>
      </c>
      <c r="I13215" s="29" t="n">
        <f aca="false">Sens!I13213-Sens!H13213</f>
        <v>2988.52666666667</v>
      </c>
      <c r="J13215" s="29" t="n">
        <f aca="false">Sens!J13213-Sens!I13213</f>
        <v>1765.05333333333</v>
      </c>
      <c r="K13215" s="29" t="n">
        <f aca="false">Sens!K13213-Sens!J13213</f>
        <v>541.580000000002</v>
      </c>
    </row>
    <row r="13216" customFormat="false" ht="17.15" hidden="false" customHeight="false" outlineLevel="0" collapsed="false">
      <c r="A13216" s="1" t="s">
        <v>809</v>
      </c>
      <c r="B13216" s="0" t="s">
        <v>392</v>
      </c>
      <c r="D13216" s="29" t="n">
        <f aca="false">Sens!D13210-Sens!C13210</f>
        <v>990</v>
      </c>
      <c r="E13216" s="29" t="n">
        <f aca="false">Sens!E13210-Sens!D13210</f>
        <v>1620</v>
      </c>
      <c r="F13216" s="29" t="n">
        <f aca="false">Sens!F13210-Sens!E13210</f>
        <v>2527.2</v>
      </c>
      <c r="G13216" s="29" t="n">
        <f aca="false">Sens!G13210-Sens!F13210</f>
        <v>2527.2</v>
      </c>
      <c r="H13216" s="29" t="n">
        <f aca="false">Sens!H13210-Sens!G13210</f>
        <v>2527.2</v>
      </c>
      <c r="I13216" s="29" t="n">
        <f aca="false">Sens!I13210-Sens!H13210</f>
        <v>1793.116</v>
      </c>
      <c r="J13216" s="29" t="n">
        <f aca="false">Sens!J13210-Sens!I13210</f>
        <v>1059.032</v>
      </c>
      <c r="K13216" s="29" t="n">
        <f aca="false">Sens!K13210-Sens!J13210</f>
        <v>324.948</v>
      </c>
    </row>
    <row r="13217" customFormat="false" ht="17.15" hidden="false" customHeight="false" outlineLevel="0" collapsed="false">
      <c r="A13217" s="1" t="s">
        <v>810</v>
      </c>
      <c r="B13217" s="0" t="s">
        <v>392</v>
      </c>
      <c r="F13217" s="29" t="n">
        <f aca="false">Sens!F13234*ext_sh</f>
        <v>0</v>
      </c>
      <c r="G13217" s="29" t="n">
        <f aca="false">Sens!G13234*ext_sh</f>
        <v>0</v>
      </c>
      <c r="H13217" s="29" t="n">
        <f aca="false">Sens!H13234*ext_sh</f>
        <v>0</v>
      </c>
      <c r="I13217" s="29" t="n">
        <f aca="false">Sens!I13234*ext_sh</f>
        <v>490</v>
      </c>
      <c r="J13217" s="29" t="n">
        <f aca="false">Sens!J13234*ext_sh</f>
        <v>740</v>
      </c>
      <c r="K13217" s="29" t="n">
        <f aca="false">Sens!K13234*ext_sh</f>
        <v>1470</v>
      </c>
      <c r="L13217" s="1" t="s">
        <v>811</v>
      </c>
    </row>
    <row r="13218" customFormat="false" ht="17.15" hidden="false" customHeight="false" outlineLevel="0" collapsed="false">
      <c r="A13218" s="1" t="s">
        <v>812</v>
      </c>
      <c r="B13218" s="0" t="s">
        <v>392</v>
      </c>
      <c r="C13218" s="29" t="n">
        <f aca="false">mix_h*Sens!C13210</f>
        <v>128</v>
      </c>
      <c r="D13218" s="29" t="n">
        <f aca="false">mix_h*Sens!D13210</f>
        <v>326</v>
      </c>
      <c r="E13218" s="29" t="n">
        <f aca="false">mix_h*Sens!E13210</f>
        <v>650</v>
      </c>
      <c r="F13218" s="29" t="n">
        <f aca="false">Sens!E13218-Sens!F13217*mix_h</f>
        <v>650</v>
      </c>
      <c r="G13218" s="29" t="n">
        <f aca="false">Sens!F13218-Sens!G13217*mix_h</f>
        <v>650</v>
      </c>
      <c r="H13218" s="29" t="n">
        <f aca="false">Sens!G13218-Sens!H13217*mix_h</f>
        <v>650</v>
      </c>
      <c r="I13218" s="29" t="n">
        <f aca="false">Sens!H13218-Sens!I13217*mix_h</f>
        <v>552</v>
      </c>
      <c r="J13218" s="29" t="n">
        <f aca="false">Sens!I13218-Sens!J13217*mix_h</f>
        <v>404</v>
      </c>
      <c r="K13218" s="29" t="n">
        <f aca="false">Sens!J13218-Sens!K13217*mix_h</f>
        <v>110</v>
      </c>
    </row>
    <row r="13219" customFormat="false" ht="17.15" hidden="false" customHeight="false" outlineLevel="0" collapsed="false">
      <c r="A13219" s="1" t="s">
        <v>813</v>
      </c>
      <c r="B13219" s="0" t="s">
        <v>392</v>
      </c>
      <c r="C13219" s="29" t="n">
        <f aca="false">mix_g2*Sens!C13210</f>
        <v>288</v>
      </c>
      <c r="D13219" s="29" t="n">
        <f aca="false">mix_g2*Sens!D13210</f>
        <v>733.5</v>
      </c>
      <c r="E13219" s="29" t="n">
        <f aca="false">mix_g2*Sens!E13210</f>
        <v>1462.5</v>
      </c>
      <c r="F13219" s="29" t="n">
        <f aca="false">Sens!E13219-Sens!F13217*mix_g2</f>
        <v>1462.5</v>
      </c>
      <c r="G13219" s="29" t="n">
        <f aca="false">Sens!F13219-Sens!G13217*mix_g2</f>
        <v>1462.5</v>
      </c>
      <c r="H13219" s="29" t="n">
        <f aca="false">Sens!G13219-Sens!H13217*mix_g2</f>
        <v>1462.5</v>
      </c>
      <c r="I13219" s="29" t="n">
        <f aca="false">Sens!H13219-Sens!I13217*mix_g2</f>
        <v>1242</v>
      </c>
      <c r="J13219" s="29" t="n">
        <f aca="false">Sens!I13219-Sens!J13217*mix_g2</f>
        <v>909</v>
      </c>
      <c r="K13219" s="29" t="n">
        <f aca="false">Sens!J13219-Sens!K13217*mix_g2</f>
        <v>247.5</v>
      </c>
    </row>
    <row r="13220" customFormat="false" ht="17.15" hidden="false" customHeight="false" outlineLevel="0" collapsed="false">
      <c r="A13220" s="1" t="s">
        <v>814</v>
      </c>
      <c r="B13220" s="0" t="s">
        <v>392</v>
      </c>
      <c r="C13220" s="29" t="n">
        <f aca="false">mix_g3*Sens!C13210</f>
        <v>224</v>
      </c>
      <c r="D13220" s="29" t="n">
        <f aca="false">mix_g3*Sens!D13210</f>
        <v>570.5</v>
      </c>
      <c r="E13220" s="29" t="n">
        <f aca="false">mix_g3*Sens!E13210</f>
        <v>1137.5</v>
      </c>
      <c r="F13220" s="29" t="n">
        <f aca="false">Sens!E13220+(Sens!F13216+Sens!F13217)*a_g3_27-Sens!F13217*mix_g3</f>
        <v>2906.54</v>
      </c>
      <c r="G13220" s="29" t="n">
        <f aca="false">Sens!F13220+(Sens!G13216+Sens!G13217)*a_g3_28-Sens!G13217*mix_g3</f>
        <v>3664.7</v>
      </c>
      <c r="H13220" s="29" t="n">
        <f aca="false">Sens!G13220+(Sens!H13216+Sens!H13217)*a_g3_29-Sens!H13217*mix_g3</f>
        <v>3917.42</v>
      </c>
      <c r="I13220" s="29" t="n">
        <f aca="false">Sens!H13220+(Sens!I13216+Sens!I13217)*a_g3_29-Sens!I13217*mix_g3</f>
        <v>3974.2316</v>
      </c>
      <c r="J13220" s="29" t="n">
        <f aca="false">Sens!I13220+(Sens!J13216+Sens!J13217)*a_g3_29-Sens!J13217*mix_g3</f>
        <v>3895.1348</v>
      </c>
      <c r="K13220" s="29" t="n">
        <f aca="false">Sens!J13220+(Sens!K13216+Sens!K13217)*a_g3_29-Sens!K13217*mix_g3</f>
        <v>3560.1296</v>
      </c>
    </row>
    <row r="13221" customFormat="false" ht="17.15" hidden="false" customHeight="false" outlineLevel="0" collapsed="false">
      <c r="A13221" s="1" t="s">
        <v>815</v>
      </c>
      <c r="B13221" s="0" t="s">
        <v>392</v>
      </c>
      <c r="C13221" s="29" t="n">
        <v>0</v>
      </c>
      <c r="D13221" s="29" t="n">
        <v>0</v>
      </c>
      <c r="E13221" s="29" t="n">
        <v>0</v>
      </c>
      <c r="F13221" s="29" t="n">
        <f aca="false">Sens!E13221+(Sens!F13216+Sens!F13217)*(1-a_g3_27)</f>
        <v>758.16</v>
      </c>
      <c r="G13221" s="29" t="n">
        <f aca="false">Sens!F13221+(Sens!G13216+Sens!G13217)*(1-a_g3_28)</f>
        <v>2527.2</v>
      </c>
      <c r="H13221" s="29" t="n">
        <f aca="false">Sens!G13221+(Sens!H13216+Sens!H13217)*(1-a_g3_29)</f>
        <v>4801.68</v>
      </c>
      <c r="I13221" s="29" t="n">
        <f aca="false">Sens!H13221+(Sens!I13216+Sens!I13217)*(1-a_g3_29)</f>
        <v>6856.4844</v>
      </c>
      <c r="J13221" s="29" t="n">
        <f aca="false">Sens!I13221+(Sens!J13216+Sens!J13217)*(1-a_g3_29)</f>
        <v>8475.6132</v>
      </c>
      <c r="K13221" s="29" t="n">
        <f aca="false">Sens!J13221+(Sens!K13216+Sens!K13217)*(1-a_g3_29)</f>
        <v>10091.0664</v>
      </c>
    </row>
    <row r="13222" customFormat="false" ht="17.15" hidden="false" customHeight="false" outlineLevel="0" collapsed="false">
      <c r="A13222" s="1" t="s">
        <v>816</v>
      </c>
      <c r="B13222" s="0" t="s">
        <v>339</v>
      </c>
      <c r="C13222" s="14" t="n">
        <f aca="false">(Sens!C13218*tk_hold_h100+Sens!C13219*tk_hold_gb200+Sens!C13220*tk_hold_gb300+Sens!C13221*tk_hold_vr200)/Sens!C13210</f>
        <v>9.7235358126469</v>
      </c>
      <c r="D13222" s="14" t="n">
        <f aca="false">(Sens!D13218*tk_hold_h100+Sens!D13219*tk_hold_gb200+Sens!D13220*tk_hold_gb300+Sens!D13221*tk_hold_vr200)/Sens!D13210</f>
        <v>9.7235358126469</v>
      </c>
      <c r="E13222" s="14" t="n">
        <f aca="false">(Sens!E13218*tk_hold_h100+Sens!E13219*tk_hold_gb200+Sens!E13220*tk_hold_gb300+Sens!E13221*tk_hold_vr200)/Sens!E13210</f>
        <v>9.7235358126469</v>
      </c>
      <c r="F13222" s="14" t="n">
        <f aca="false">(Sens!F13218*tk_hold_h100+Sens!F13219*tk_hold_gb200+Sens!F13220*tk_hold_gb300+Sens!F13221*tk_hold_vr200)/Sens!F13210</f>
        <v>10.4079573161931</v>
      </c>
      <c r="G13222" s="14" t="n">
        <f aca="false">(Sens!G13218*tk_hold_h100+Sens!G13219*tk_hold_gb200+Sens!G13220*tk_hold_gb300+Sens!G13221*tk_hold_vr200)/Sens!G13210</f>
        <v>10.8388131109316</v>
      </c>
      <c r="H13222" s="14" t="n">
        <f aca="false">(Sens!H13218*tk_hold_h100+Sens!H13219*tk_hold_gb200+Sens!H13220*tk_hold_gb300+Sens!H13221*tk_hold_vr200)/Sens!H13210</f>
        <v>11.1311018388216</v>
      </c>
      <c r="I13222" s="14" t="n">
        <f aca="false">(Sens!I13218*tk_hold_h100+Sens!I13219*tk_hold_gb200+Sens!I13220*tk_hold_gb300+Sens!I13221*tk_hold_vr200)/Sens!I13210</f>
        <v>11.3594282560989</v>
      </c>
      <c r="J13222" s="14" t="n">
        <f aca="false">(Sens!J13218*tk_hold_h100+Sens!J13219*tk_hold_gb200+Sens!J13220*tk_hold_gb300+Sens!J13221*tk_hold_vr200)/Sens!J13210</f>
        <v>11.5441508808221</v>
      </c>
      <c r="K13222" s="14" t="n">
        <f aca="false">(Sens!K13218*tk_hold_h100+Sens!K13219*tk_hold_gb200+Sens!K13220*tk_hold_gb300+Sens!K13221*tk_hold_vr200)/Sens!K13210</f>
        <v>11.8053375063575</v>
      </c>
    </row>
    <row r="13223" customFormat="false" ht="17.15" hidden="false" customHeight="false" outlineLevel="0" collapsed="false">
      <c r="A13223" s="0" t="s">
        <v>817</v>
      </c>
      <c r="B13223" s="0" t="s">
        <v>185</v>
      </c>
      <c r="C13223" s="14" t="n">
        <f aca="false">k_B</f>
        <v>1.17213932619116</v>
      </c>
      <c r="D13223" s="14" t="n">
        <f aca="false">k_B</f>
        <v>1.17213932619116</v>
      </c>
      <c r="E13223" s="14" t="n">
        <f aca="false">k_B</f>
        <v>1.17213932619116</v>
      </c>
      <c r="F13223" s="14" t="n">
        <f aca="false">(k_B+((ls_C*k_long+(1-ls_C)*k_spot)-k_B)*MIN(1,(Sens!F13208-base_fy)/k_ramp))*(k_long_lo/k_C)</f>
        <v>0.568553904031711</v>
      </c>
      <c r="G13223" s="14" t="n">
        <f aca="false">(k_B+((ls_C*k_long+(1-ls_C)*k_spot)-k_B)*MIN(1,(Sens!G13208-base_fy)/k_ramp))*(k_long_lo/k_C)</f>
        <v>0.519151338362468</v>
      </c>
      <c r="H13223" s="14" t="n">
        <f aca="false">(k_B+((ls_C*k_long+(1-ls_C)*k_spot)-k_B)*MIN(1,(Sens!H13208-base_fy)/k_ramp))*(k_long_lo/k_C)</f>
        <v>0.469748772693226</v>
      </c>
      <c r="I13223" s="14" t="n">
        <f aca="false">(k_B+((ls_C*k_long+(1-ls_C)*k_spot)-k_B)*MIN(1,(Sens!I13208-base_fy)/k_ramp))*(k_long_lo/k_C)</f>
        <v>0.469748772693226</v>
      </c>
      <c r="J13223" s="14" t="n">
        <f aca="false">(k_B+((ls_C*k_long+(1-ls_C)*k_spot)-k_B)*MIN(1,(Sens!J13208-base_fy)/k_ramp))*(k_long_lo/k_C)</f>
        <v>0.469748772693226</v>
      </c>
      <c r="K13223" s="14" t="n">
        <f aca="false">(k_B+((ls_C*k_long+(1-ls_C)*k_spot)-k_B)*MIN(1,(Sens!K13208-base_fy)/k_ramp))*(k_long_lo/k_C)</f>
        <v>0.469748772693226</v>
      </c>
      <c r="L13223" s="1" t="s">
        <v>818</v>
      </c>
    </row>
    <row r="13224" customFormat="false" ht="17.15" hidden="false" customHeight="false" outlineLevel="0" collapsed="false">
      <c r="A13224" s="1" t="s">
        <v>819</v>
      </c>
      <c r="B13224" s="0" t="s">
        <v>339</v>
      </c>
      <c r="C13224" s="14" t="n">
        <f aca="false">Sens!C13222*Sens!C13223*chip_f</f>
        <v>11.3973387156315</v>
      </c>
      <c r="D13224" s="14" t="n">
        <f aca="false">Sens!D13222*Sens!D13223*chip_f</f>
        <v>11.3973387156315</v>
      </c>
      <c r="E13224" s="14" t="n">
        <f aca="false">Sens!E13222*Sens!E13223*chip_f</f>
        <v>11.3973387156315</v>
      </c>
      <c r="F13224" s="14" t="n">
        <f aca="false">Sens!F13222*Sens!F13223*chip_f</f>
        <v>5.91748476511699</v>
      </c>
      <c r="G13224" s="14" t="n">
        <f aca="false">Sens!G13222*Sens!G13223*chip_f</f>
        <v>5.62698433280078</v>
      </c>
      <c r="H13224" s="14" t="n">
        <f aca="false">Sens!H13222*Sens!H13223*chip_f</f>
        <v>5.22882142750974</v>
      </c>
      <c r="I13224" s="14" t="n">
        <f aca="false">Sens!I13222*Sens!I13223*chip_f</f>
        <v>5.33607748179921</v>
      </c>
      <c r="J13224" s="14" t="n">
        <f aca="false">Sens!J13222*Sens!J13223*chip_f</f>
        <v>5.42285070805158</v>
      </c>
      <c r="K13224" s="14" t="n">
        <f aca="false">Sens!K13222*Sens!K13223*chip_f</f>
        <v>5.54554280484074</v>
      </c>
      <c r="L13224" s="1" t="s">
        <v>820</v>
      </c>
    </row>
    <row r="13225" customFormat="false" ht="17.15" hidden="false" customHeight="false" outlineLevel="0" collapsed="false">
      <c r="A13225" s="0" t="s">
        <v>821</v>
      </c>
      <c r="B13225" s="0" t="s">
        <v>98</v>
      </c>
      <c r="D13225" s="6" t="n">
        <f aca="false">(Sens!C13210+Sens!D13210)/2*Sens!D13224/1000</f>
        <v>12.9359794422418</v>
      </c>
      <c r="E13225" s="6" t="n">
        <f aca="false">(Sens!D13210+Sens!E13210)/2*Sens!E13224/1000</f>
        <v>27.8095064661409</v>
      </c>
      <c r="F13225" s="6" t="n">
        <f aca="false">(Sens!E13210+Sens!F13210)/2*Sens!F13224/1000</f>
        <v>26.709159235832</v>
      </c>
      <c r="G13225" s="6" t="n">
        <f aca="false">(Sens!F13210+Sens!G13210)/2*Sens!G13224/1000</f>
        <v>39.6184712903838</v>
      </c>
      <c r="H13225" s="6" t="n">
        <f aca="false">(Sens!G13210+Sens!H13210)/2*Sens!H13224/1000</f>
        <v>50.0293634184132</v>
      </c>
      <c r="I13225" s="6" t="n">
        <f aca="false">(Sens!H13210+Sens!I13210)/2*Sens!I13224/1000</f>
        <v>62.5823598067833</v>
      </c>
      <c r="J13225" s="6" t="n">
        <f aca="false">(Sens!I13210+Sens!J13210)/2*Sens!J13224/1000</f>
        <v>71.3334363150748</v>
      </c>
      <c r="K13225" s="6" t="n">
        <f aca="false">(Sens!J13210+Sens!K13210)/2*Sens!K13224/1000</f>
        <v>76.7848167863276</v>
      </c>
      <c r="L13225" s="11" t="s">
        <v>822</v>
      </c>
    </row>
    <row r="13226" customFormat="false" ht="17.15" hidden="false" customHeight="false" outlineLevel="0" collapsed="false">
      <c r="A13226" s="1" t="s">
        <v>823</v>
      </c>
      <c r="B13226" s="0" t="s">
        <v>339</v>
      </c>
      <c r="C13226" s="14" t="n">
        <f aca="false">(Sens!C13218*tk_opex_h100+Sens!C13219*tk_opex_gb200+Sens!C13220*tk_opex_gb300+Sens!C13221*tk_opex_vr200)/Sens!C13210</f>
        <v>1.88636041306092</v>
      </c>
      <c r="D13226" s="14" t="n">
        <f aca="false">(Sens!D13218*tk_opex_h100+Sens!D13219*tk_opex_gb200+Sens!D13220*tk_opex_gb300+Sens!D13221*tk_opex_vr200)/Sens!D13210</f>
        <v>1.88636041306092</v>
      </c>
      <c r="E13226" s="14" t="n">
        <f aca="false">(Sens!E13218*tk_opex_h100+Sens!E13219*tk_opex_gb200+Sens!E13220*tk_opex_gb300+Sens!E13221*tk_opex_vr200)/Sens!E13210</f>
        <v>1.88636041306092</v>
      </c>
      <c r="F13226" s="14" t="n">
        <f aca="false">(Sens!F13218*tk_opex_h100+Sens!F13219*tk_opex_gb200+Sens!F13220*tk_opex_gb300+Sens!F13221*tk_opex_vr200)/Sens!F13210</f>
        <v>1.9430236476499</v>
      </c>
      <c r="G13226" s="14" t="n">
        <f aca="false">(Sens!G13218*tk_opex_h100+Sens!G13219*tk_opex_gb200+Sens!G13220*tk_opex_gb300+Sens!G13221*tk_opex_vr200)/Sens!G13210</f>
        <v>1.9786941852423</v>
      </c>
      <c r="H13226" s="14" t="n">
        <f aca="false">(Sens!H13218*tk_opex_h100+Sens!H13219*tk_opex_gb200+Sens!H13220*tk_opex_gb300+Sens!H13221*tk_opex_vr200)/Sens!H13210</f>
        <v>2.00289275976156</v>
      </c>
      <c r="I13226" s="14" t="n">
        <f aca="false">(Sens!I13218*tk_opex_h100+Sens!I13219*tk_opex_gb200+Sens!I13220*tk_opex_gb300+Sens!I13221*tk_opex_vr200)/Sens!I13210</f>
        <v>2.02179589661219</v>
      </c>
      <c r="J13226" s="14" t="n">
        <f aca="false">(Sens!J13218*tk_opex_h100+Sens!J13219*tk_opex_gb200+Sens!J13220*tk_opex_gb300+Sens!J13221*tk_opex_vr200)/Sens!J13210</f>
        <v>2.03708907685909</v>
      </c>
      <c r="K13226" s="14" t="n">
        <f aca="false">(Sens!K13218*tk_opex_h100+Sens!K13219*tk_opex_gb200+Sens!K13220*tk_opex_gb300+Sens!K13221*tk_opex_vr200)/Sens!K13210</f>
        <v>2.05871270931005</v>
      </c>
    </row>
    <row r="13227" customFormat="false" ht="17.15" hidden="false" customHeight="false" outlineLevel="0" collapsed="false">
      <c r="A13227" s="0" t="s">
        <v>824</v>
      </c>
      <c r="B13227" s="0" t="s">
        <v>98</v>
      </c>
      <c r="D13227" s="6" t="n">
        <f aca="false">(Sens!C13213+Sens!D13213)/2*Sens!D13226/1000</f>
        <v>2.70378325872065</v>
      </c>
      <c r="E13227" s="6" t="n">
        <f aca="false">(Sens!D13213+Sens!E13213)/2*Sens!E13226/1000</f>
        <v>6.17783035277451</v>
      </c>
      <c r="F13227" s="6" t="n">
        <f aca="false">(Sens!E13213+Sens!F13213)/2*Sens!F13226/1000</f>
        <v>12.5020618235287</v>
      </c>
      <c r="G13227" s="6" t="n">
        <f aca="false">(Sens!F13213+Sens!G13213)/2*Sens!G13226/1000</f>
        <v>20.7261620256847</v>
      </c>
      <c r="H13227" s="6" t="n">
        <f aca="false">(Sens!G13213+Sens!H13213)/2*Sens!H13226/1000</f>
        <v>29.4158183316982</v>
      </c>
      <c r="I13227" s="6" t="n">
        <f aca="false">(Sens!H13213+Sens!I13213)/2*Sens!I13226/1000</f>
        <v>36.9724400356344</v>
      </c>
      <c r="J13227" s="6" t="n">
        <f aca="false">(Sens!I13213+Sens!J13213)/2*Sens!J13226/1000</f>
        <v>42.0938382992747</v>
      </c>
      <c r="K13227" s="6" t="n">
        <f aca="false">(Sens!J13213+Sens!K13213)/2*Sens!K13226/1000</f>
        <v>44.9150106651501</v>
      </c>
    </row>
    <row r="13228" customFormat="false" ht="17.15" hidden="false" customHeight="false" outlineLevel="0" collapsed="false">
      <c r="A13228" s="0" t="s">
        <v>825</v>
      </c>
      <c r="B13228" s="0" t="s">
        <v>98</v>
      </c>
      <c r="D13228" s="6" t="n">
        <f aca="false">(Sens!C13211+Sens!D13211)/2*rent_mw/1000</f>
        <v>2.44475</v>
      </c>
      <c r="E13228" s="6" t="n">
        <f aca="false">(Sens!D13211+Sens!E13211)/2*rent_mw/1000</f>
        <v>4.22275</v>
      </c>
      <c r="F13228" s="6" t="n">
        <f aca="false">(Sens!E13211+Sens!F13211)/2*rent_mw/1000</f>
        <v>5.80517</v>
      </c>
      <c r="G13228" s="6" t="n">
        <f aca="false">(Sens!F13211+Sens!G13211)/2*rent_mw/1000</f>
        <v>6.72084</v>
      </c>
      <c r="H13228" s="6" t="n">
        <f aca="false">(Sens!G13211+Sens!H13211)/2*rent_mw/1000</f>
        <v>6.72084</v>
      </c>
      <c r="I13228" s="6" t="n">
        <f aca="false">(Sens!H13211+Sens!I13211)/2*rent_mw/1000</f>
        <v>6.72084</v>
      </c>
      <c r="J13228" s="6" t="n">
        <f aca="false">(Sens!I13211+Sens!J13211)/2*rent_mw/1000</f>
        <v>6.72084</v>
      </c>
      <c r="K13228" s="6" t="n">
        <f aca="false">(Sens!J13211+Sens!K13211)/2*rent_mw/1000</f>
        <v>6.72084</v>
      </c>
    </row>
    <row r="13229" customFormat="false" ht="17.15" hidden="false" customHeight="false" outlineLevel="0" collapsed="false">
      <c r="A13229" s="0" t="s">
        <v>826</v>
      </c>
      <c r="B13229" s="0" t="s">
        <v>98</v>
      </c>
      <c r="D13229" s="6" t="n">
        <f aca="false">(Sens!C13213+Sens!D13213)/2*(1-self_build)*fac_rent/1000</f>
        <v>0.853242375631075</v>
      </c>
      <c r="E13229" s="6" t="n">
        <f aca="false">(Sens!D13213+Sens!E13213)/2*(1-self_build)*fac_rent/1000</f>
        <v>1.94955961408728</v>
      </c>
      <c r="F13229" s="6" t="n">
        <f aca="false">(Sens!E13213+Sens!F13213)/2*(1-self_build)*fac_rent/1000</f>
        <v>3.83026455274573</v>
      </c>
      <c r="G13229" s="6" t="n">
        <f aca="false">(Sens!F13213+Sens!G13213)/2*(1-self_build)*fac_rent/1000</f>
        <v>6.23541590972812</v>
      </c>
      <c r="H13229" s="6" t="n">
        <f aca="false">(Sens!G13213+Sens!H13213)/2*(1-self_build)*fac_rent/1000</f>
        <v>8.74275792332679</v>
      </c>
      <c r="I13229" s="6" t="n">
        <f aca="false">(Sens!H13213+Sens!I13213)/2*(1-self_build)*fac_rent/1000</f>
        <v>10.8859420438599</v>
      </c>
      <c r="J13229" s="6" t="n">
        <f aca="false">(Sens!I13213+Sens!J13213)/2*(1-self_build)*fac_rent/1000</f>
        <v>12.3008103782619</v>
      </c>
      <c r="K13229" s="6" t="n">
        <f aca="false">(Sens!J13213+Sens!K13213)/2*(1-self_build)*fac_rent/1000</f>
        <v>12.9873629265328</v>
      </c>
      <c r="L13229" s="11" t="s">
        <v>827</v>
      </c>
    </row>
    <row r="13230" customFormat="false" ht="17.15" hidden="false" customHeight="false" outlineLevel="0" collapsed="false">
      <c r="A13230" s="1" t="s">
        <v>828</v>
      </c>
      <c r="B13230" s="0" t="s">
        <v>129</v>
      </c>
      <c r="D13230" s="7" t="n">
        <f aca="false">(Sens!C13212+Sens!D13212)/(Sens!C13213+Sens!D13213)</f>
        <v>0.6</v>
      </c>
      <c r="E13230" s="7" t="n">
        <f aca="false">(Sens!D13212+Sens!E13212)/(Sens!D13213+Sens!E13213)</f>
        <v>0.6</v>
      </c>
      <c r="F13230" s="7" t="n">
        <f aca="false">(Sens!E13212+Sens!F13212)/(Sens!E13213+Sens!F13213)</f>
        <v>0.6</v>
      </c>
      <c r="G13230" s="7" t="n">
        <f aca="false">(Sens!F13212+Sens!G13212)/(Sens!F13213+Sens!G13213)</f>
        <v>0.6</v>
      </c>
      <c r="H13230" s="7" t="n">
        <f aca="false">(Sens!G13212+Sens!H13212)/(Sens!G13213+Sens!H13213)</f>
        <v>0.6</v>
      </c>
      <c r="I13230" s="7" t="n">
        <f aca="false">(Sens!H13212+Sens!I13212)/(Sens!H13213+Sens!I13213)</f>
        <v>0.6</v>
      </c>
      <c r="J13230" s="7" t="n">
        <f aca="false">(Sens!I13212+Sens!J13212)/(Sens!I13213+Sens!J13213)</f>
        <v>0.6</v>
      </c>
      <c r="K13230" s="7" t="n">
        <f aca="false">(Sens!J13212+Sens!K13212)/(Sens!J13213+Sens!K13213)</f>
        <v>0.6</v>
      </c>
    </row>
    <row r="13231" customFormat="false" ht="17.15" hidden="false" customHeight="false" outlineLevel="0" collapsed="false">
      <c r="A13231" s="0" t="s">
        <v>829</v>
      </c>
      <c r="B13231" s="0" t="s">
        <v>98</v>
      </c>
      <c r="D13231" s="6" t="n">
        <f aca="false">Sens!D13225-Sens!D13230*(Sens!D13227+Sens!D13229)-Sens!D13228</f>
        <v>8.35701406163072</v>
      </c>
      <c r="E13231" s="6" t="n">
        <f aca="false">Sens!E13225-Sens!E13230*(Sens!E13227+Sens!E13229)-Sens!E13228</f>
        <v>18.7103224860238</v>
      </c>
      <c r="F13231" s="6" t="n">
        <f aca="false">Sens!F13225-Sens!F13230*(Sens!F13227+Sens!F13229)-Sens!F13228</f>
        <v>11.1045934100674</v>
      </c>
      <c r="G13231" s="6" t="n">
        <f aca="false">Sens!G13225-Sens!G13230*(Sens!G13227+Sens!G13229)-Sens!G13228</f>
        <v>16.7206845291361</v>
      </c>
      <c r="H13231" s="6" t="n">
        <f aca="false">Sens!H13225-Sens!H13230*(Sens!H13227+Sens!H13229)-Sens!H13228</f>
        <v>20.4133776653982</v>
      </c>
      <c r="I13231" s="6" t="n">
        <f aca="false">Sens!I13225-Sens!I13230*(Sens!I13227+Sens!I13229)-Sens!I13228</f>
        <v>27.1464905590867</v>
      </c>
      <c r="J13231" s="6" t="n">
        <f aca="false">Sens!J13225-Sens!J13230*(Sens!J13227+Sens!J13229)-Sens!J13228</f>
        <v>31.9758071085529</v>
      </c>
      <c r="K13231" s="6" t="n">
        <f aca="false">Sens!K13225-Sens!K13230*(Sens!K13227+Sens!K13229)-Sens!K13228</f>
        <v>35.3225526313179</v>
      </c>
    </row>
    <row r="13232" customFormat="false" ht="17.15" hidden="false" customHeight="false" outlineLevel="0" collapsed="false">
      <c r="A13232" s="1" t="s">
        <v>830</v>
      </c>
      <c r="B13232" s="0" t="s">
        <v>98</v>
      </c>
      <c r="D13232" s="6" t="n">
        <f aca="false">(1-Sens!D13230)*(Sens!D13227+Sens!D13229)</f>
        <v>1.42281025374069</v>
      </c>
      <c r="E13232" s="6" t="n">
        <f aca="false">(1-Sens!E13230)*(Sens!E13227+Sens!E13229)</f>
        <v>3.25095598674472</v>
      </c>
      <c r="F13232" s="6" t="n">
        <f aca="false">(1-Sens!F13230)*(Sens!F13227+Sens!F13229)</f>
        <v>6.53293055050977</v>
      </c>
      <c r="G13232" s="6" t="n">
        <f aca="false">(1-Sens!G13230)*(Sens!G13227+Sens!G13229)</f>
        <v>10.7846311741651</v>
      </c>
      <c r="H13232" s="6" t="n">
        <f aca="false">(1-Sens!H13230)*(Sens!H13227+Sens!H13229)</f>
        <v>15.26343050201</v>
      </c>
      <c r="I13232" s="6" t="n">
        <f aca="false">(1-Sens!I13230)*(Sens!I13227+Sens!I13229)</f>
        <v>19.1433528317977</v>
      </c>
      <c r="J13232" s="6" t="n">
        <f aca="false">(1-Sens!J13230)*(Sens!J13227+Sens!J13229)</f>
        <v>21.7578594710146</v>
      </c>
      <c r="K13232" s="6" t="n">
        <f aca="false">(1-Sens!K13230)*(Sens!K13227+Sens!K13229)</f>
        <v>23.1609494366731</v>
      </c>
    </row>
    <row r="13233" customFormat="false" ht="17.15" hidden="false" customHeight="false" outlineLevel="0" collapsed="false">
      <c r="A13233" s="1" t="s">
        <v>831</v>
      </c>
      <c r="B13233" s="0" t="s">
        <v>350</v>
      </c>
      <c r="C13233" s="8" t="n">
        <f aca="false">cxit_open</f>
        <v>27.5918995</v>
      </c>
      <c r="D13233" s="8" t="n">
        <f aca="false">cxit_open</f>
        <v>27.5918995</v>
      </c>
      <c r="E13233" s="8" t="n">
        <f aca="false">cxit_open</f>
        <v>27.5918995</v>
      </c>
      <c r="F13233" s="8" t="n">
        <f aca="false">(a_g3_27*tk_cxit_gb300+(1-a_g3_27)*tk_cxit_vr200)</f>
        <v>33.8419624</v>
      </c>
      <c r="G13233" s="8" t="n">
        <f aca="false">(a_g3_28*tk_cxit_gb300+(1-a_g3_28)*tk_cxit_vr200)</f>
        <v>35.9816136</v>
      </c>
      <c r="H13233" s="8" t="n">
        <f aca="false">(a_g3_29*tk_cxit_gb300+(1-a_g3_29)*tk_cxit_vr200)</f>
        <v>37.0514392</v>
      </c>
      <c r="I13233" s="8" t="n">
        <f aca="false">(a_g3_29*tk_cxit_gb300+(1-a_g3_29)*tk_cxit_vr200)</f>
        <v>37.0514392</v>
      </c>
      <c r="J13233" s="8" t="n">
        <f aca="false">(a_g3_29*tk_cxit_gb300+(1-a_g3_29)*tk_cxit_vr200)</f>
        <v>37.0514392</v>
      </c>
      <c r="K13233" s="8" t="n">
        <f aca="false">(a_g3_29*tk_cxit_gb300+(1-a_g3_29)*tk_cxit_vr200)</f>
        <v>37.0514392</v>
      </c>
      <c r="L13233" s="11" t="s">
        <v>832</v>
      </c>
    </row>
    <row r="13234" customFormat="false" ht="17.15" hidden="false" customHeight="false" outlineLevel="0" collapsed="false">
      <c r="A13234" s="0" t="s">
        <v>833</v>
      </c>
      <c r="B13234" s="0" t="s">
        <v>392</v>
      </c>
      <c r="F13234" s="29" t="n">
        <f aca="false">Sens!C13215*IF(Sens!F13208-Sens!C13208=life_it,1,0)+Sens!D13215*IF(Sens!F13208-Sens!D13208=life_it,1,0)+Sens!E13215*IF(Sens!F13208-Sens!E13208=life_it,1,0)</f>
        <v>0</v>
      </c>
      <c r="G13234" s="29" t="n">
        <f aca="false">Sens!C13215*IF(Sens!G13208-Sens!C13208=life_it,1,0)+Sens!D13215*IF(Sens!G13208-Sens!D13208=life_it,1,0)+Sens!E13215*IF(Sens!G13208-Sens!E13208=life_it,1,0)+Sens!F13215*IF(Sens!G13208-Sens!F13208=life_it,1,0)</f>
        <v>0</v>
      </c>
      <c r="H13234" s="29" t="n">
        <f aca="false">Sens!C13215*IF(Sens!H13208-Sens!C13208=life_it,1,0)+Sens!D13215*IF(Sens!H13208-Sens!D13208=life_it,1,0)+Sens!E13215*IF(Sens!H13208-Sens!E13208=life_it,1,0)+Sens!F13215*IF(Sens!H13208-Sens!F13208=life_it,1,0)+Sens!G13215*IF(Sens!H13208-Sens!G13208=life_it,1,0)</f>
        <v>0</v>
      </c>
      <c r="I13234" s="29" t="n">
        <f aca="false">Sens!C13215*IF(Sens!I13208-Sens!C13208=life_it,1,0)+Sens!D13215*IF(Sens!I13208-Sens!D13208=life_it,1,0)+Sens!E13215*IF(Sens!I13208-Sens!E13208=life_it,1,0)+Sens!F13215*IF(Sens!I13208-Sens!F13208=life_it,1,0)+Sens!G13215*IF(Sens!I13208-Sens!G13208=life_it,1,0)+Sens!H13215*IF(Sens!I13208-Sens!H13208=life_it,1,0)</f>
        <v>816.666666666667</v>
      </c>
      <c r="J13234" s="29" t="n">
        <f aca="false">Sens!C13215*IF(Sens!J13208-Sens!C13208=life_it,1,0)+Sens!D13215*IF(Sens!J13208-Sens!D13208=life_it,1,0)+Sens!E13215*IF(Sens!J13208-Sens!E13208=life_it,1,0)+Sens!F13215*IF(Sens!J13208-Sens!F13208=life_it,1,0)+Sens!G13215*IF(Sens!J13208-Sens!G13208=life_it,1,0)+Sens!H13215*IF(Sens!J13208-Sens!H13208=life_it,1,0)+Sens!I13215*IF(Sens!J13208-Sens!I13208=life_it,1,0)</f>
        <v>1233.33333333333</v>
      </c>
      <c r="K13234" s="29" t="n">
        <f aca="false">Sens!C13215*IF(Sens!K13208-Sens!C13208=life_it,1,0)+Sens!D13215*IF(Sens!K13208-Sens!D13208=life_it,1,0)+Sens!E13215*IF(Sens!K13208-Sens!E13208=life_it,1,0)+Sens!F13215*IF(Sens!K13208-Sens!F13208=life_it,1,0)+Sens!G13215*IF(Sens!K13208-Sens!G13208=life_it,1,0)+Sens!H13215*IF(Sens!K13208-Sens!H13208=life_it,1,0)+Sens!I13215*IF(Sens!K13208-Sens!I13208=life_it,1,0)+Sens!J13215*IF(Sens!K13208-Sens!J13208=life_it,1,0)</f>
        <v>2450</v>
      </c>
      <c r="L13234" s="1" t="s">
        <v>834</v>
      </c>
    </row>
    <row r="13235" customFormat="false" ht="17.15" hidden="false" customHeight="false" outlineLevel="0" collapsed="false">
      <c r="A13235" s="0" t="s">
        <v>835</v>
      </c>
      <c r="B13235" s="0" t="s">
        <v>98</v>
      </c>
      <c r="C13235" s="6" t="n">
        <f aca="false">Sens!C13215*Sens!C13233/1000</f>
        <v>22.5333845916667</v>
      </c>
      <c r="D13235" s="6" t="n">
        <f aca="false">Sens!D13215*Sens!D13233/1000</f>
        <v>34.0300093833333</v>
      </c>
      <c r="E13235" s="6" t="n">
        <f aca="false">Sens!E13215*Sens!E13233/1000</f>
        <v>67.600153775</v>
      </c>
      <c r="F13235" s="6" t="n">
        <f aca="false">(Sens!F13215+Sens!F13234)*Sens!F13233/1000</f>
        <v>130.923271871467</v>
      </c>
      <c r="G13235" s="6" t="n">
        <f aca="false">(Sens!G13215+Sens!G13234)*Sens!G13233/1000</f>
        <v>151.5545564832</v>
      </c>
      <c r="H13235" s="6" t="n">
        <f aca="false">(Sens!H13215+Sens!H13234)*Sens!H13233/1000</f>
        <v>156.0606619104</v>
      </c>
      <c r="I13235" s="6" t="n">
        <f aca="false">(Sens!I13215+Sens!I13234)*Sens!I13233/1000</f>
        <v>140.987889434245</v>
      </c>
      <c r="J13235" s="6" t="n">
        <f aca="false">(Sens!J13215+Sens!J13234)*Sens!J13233/1000</f>
        <v>111.094541278091</v>
      </c>
      <c r="K13235" s="6" t="n">
        <f aca="false">(Sens!K13215+Sens!K13234)*Sens!K13233/1000</f>
        <v>110.842344481936</v>
      </c>
    </row>
    <row r="13236" customFormat="false" ht="17.15" hidden="false" customHeight="false" outlineLevel="0" collapsed="false">
      <c r="A13236" s="0" t="s">
        <v>836</v>
      </c>
      <c r="B13236" s="0" t="s">
        <v>98</v>
      </c>
      <c r="C13236" s="6" t="n">
        <f aca="false">Sens!C13215*self_build*tk_cxfac/1000</f>
        <v>6.2083</v>
      </c>
      <c r="D13236" s="6" t="n">
        <f aca="false">Sens!D13215*self_build*tk_cxfac/1000</f>
        <v>9.3758</v>
      </c>
      <c r="E13236" s="6" t="n">
        <f aca="false">Sens!E13215*self_build*tk_cxfac/1000</f>
        <v>18.6249</v>
      </c>
      <c r="F13236" s="6" t="n">
        <f aca="false">Sens!F13215*self_build*tk_cxfac/1000</f>
        <v>29.409604</v>
      </c>
      <c r="G13236" s="6" t="n">
        <f aca="false">Sens!G13215*self_build*tk_cxfac/1000</f>
        <v>32.019624</v>
      </c>
      <c r="H13236" s="6" t="n">
        <f aca="false">Sens!H13215*self_build*tk_cxfac/1000</f>
        <v>32.019624</v>
      </c>
      <c r="I13236" s="6" t="n">
        <f aca="false">Sens!I13215*self_build*tk_cxfac/1000</f>
        <v>22.71877972</v>
      </c>
      <c r="J13236" s="6" t="n">
        <f aca="false">Sens!J13215*self_build*tk_cxfac/1000</f>
        <v>13.41793544</v>
      </c>
      <c r="K13236" s="6" t="n">
        <f aca="false">Sens!K13215*self_build*tk_cxfac/1000</f>
        <v>4.11709116000001</v>
      </c>
    </row>
    <row r="13237" customFormat="false" ht="17.15" hidden="false" customHeight="false" outlineLevel="0" collapsed="false">
      <c r="A13237" s="0" t="s">
        <v>837</v>
      </c>
      <c r="B13237" s="0" t="s">
        <v>98</v>
      </c>
      <c r="F13237" s="6" t="n">
        <f aca="false">MAX(0,capex_floor27-Sens!F13235-Sens!F13236-Sens!F13330)</f>
        <v>8.43777689897088</v>
      </c>
      <c r="L13237" s="1" t="s">
        <v>838</v>
      </c>
    </row>
    <row r="13238" customFormat="false" ht="17.15" hidden="false" customHeight="false" outlineLevel="0" collapsed="false">
      <c r="A13238" s="0" t="s">
        <v>839</v>
      </c>
      <c r="B13238" s="0" t="s">
        <v>98</v>
      </c>
      <c r="C13238" s="6" t="n">
        <f aca="false">Sens!C13235</f>
        <v>22.5333845916667</v>
      </c>
      <c r="D13238" s="6" t="n">
        <f aca="false">Sens!D13235</f>
        <v>34.0300093833333</v>
      </c>
      <c r="E13238" s="6" t="n">
        <f aca="false">Sens!E13235</f>
        <v>67.600153775</v>
      </c>
      <c r="F13238" s="6" t="n">
        <f aca="false">Sens!F13235+Sens!F13237</f>
        <v>139.361048770438</v>
      </c>
      <c r="G13238" s="6" t="n">
        <f aca="false">Sens!G13235</f>
        <v>151.5545564832</v>
      </c>
      <c r="H13238" s="6" t="n">
        <f aca="false">Sens!H13235</f>
        <v>156.0606619104</v>
      </c>
      <c r="I13238" s="6" t="n">
        <f aca="false">Sens!I13235</f>
        <v>140.987889434245</v>
      </c>
      <c r="J13238" s="6" t="n">
        <f aca="false">Sens!J13235</f>
        <v>111.094541278091</v>
      </c>
      <c r="K13238" s="6" t="n">
        <f aca="false">Sens!K13235</f>
        <v>110.842344481936</v>
      </c>
    </row>
    <row r="13239" customFormat="false" ht="17.15" hidden="false" customHeight="false" outlineLevel="0" collapsed="false">
      <c r="A13239" s="0" t="s">
        <v>840</v>
      </c>
      <c r="B13239" s="0" t="s">
        <v>98</v>
      </c>
      <c r="C13239" s="6" t="n">
        <f aca="false">Sens!C13238+Sens!C13236</f>
        <v>28.7416845916667</v>
      </c>
      <c r="D13239" s="6" t="n">
        <f aca="false">Sens!D13238+Sens!D13236</f>
        <v>43.4058093833333</v>
      </c>
      <c r="E13239" s="6" t="n">
        <f aca="false">Sens!E13238+Sens!E13236</f>
        <v>86.225053775</v>
      </c>
      <c r="F13239" s="6" t="n">
        <f aca="false">Sens!F13238+Sens!F13236</f>
        <v>168.770652770438</v>
      </c>
      <c r="G13239" s="6" t="n">
        <f aca="false">Sens!G13238+Sens!G13236</f>
        <v>183.5741804832</v>
      </c>
      <c r="H13239" s="6" t="n">
        <f aca="false">Sens!H13238+Sens!H13236</f>
        <v>188.0802859104</v>
      </c>
      <c r="I13239" s="6" t="n">
        <f aca="false">Sens!I13238+Sens!I13236</f>
        <v>163.706669154245</v>
      </c>
      <c r="J13239" s="6" t="n">
        <f aca="false">Sens!J13238+Sens!J13236</f>
        <v>124.51247671809</v>
      </c>
      <c r="K13239" s="6" t="n">
        <f aca="false">Sens!K13238+Sens!K13236</f>
        <v>114.959435641936</v>
      </c>
      <c r="L13239" s="11" t="s">
        <v>841</v>
      </c>
    </row>
    <row r="13240" customFormat="false" ht="17.15" hidden="false" customHeight="false" outlineLevel="0" collapsed="false">
      <c r="A13240" s="0" t="s">
        <v>842</v>
      </c>
      <c r="B13240" s="0" t="s">
        <v>98</v>
      </c>
      <c r="E13240" s="6" t="n">
        <f aca="false">(Sens!C13238*IF(2&lt;life_it,1,IF(2=life_it,0.5,0))+Sens!D13238*IF(1&lt;life_it,1,IF(1=life_it,0.5,0))+Sens!E13238*0.5)/life_it</f>
        <v>15.0605784770833</v>
      </c>
      <c r="F13240" s="6" t="n">
        <f aca="false">(Sens!C13238*IF(3&lt;life_it,1,IF(3=life_it,0.5,0))+Sens!D13238*IF(2&lt;life_it,1,IF(2=life_it,0.5,0))+Sens!E13238*IF(1&lt;life_it,1,IF(1=life_it,0.5,0))+Sens!F13238*0.5)/life_it</f>
        <v>32.3073453558698</v>
      </c>
      <c r="G13240" s="6" t="n">
        <f aca="false">(Sens!C13238*IF(4&lt;life_it,1,IF(4=life_it,0.5,0))+Sens!D13238*IF(3&lt;life_it,1,IF(3=life_it,0.5,0))+Sens!E13238*IF(2&lt;life_it,1,IF(2=life_it,0.5,0))+Sens!F13238*IF(1&lt;life_it,1,IF(1=life_it,0.5,0))+Sens!G13238*0.5)/life_it</f>
        <v>56.5503124603396</v>
      </c>
      <c r="H13240" s="6" t="n">
        <f aca="false">(Sens!C13238*IF(5&lt;life_it,1,IF(5=life_it,0.5,0))+Sens!D13238*IF(4&lt;life_it,1,IF(4=life_it,0.5,0))+Sens!E13238*IF(3&lt;life_it,1,IF(3=life_it,0.5,0))+Sens!F13238*IF(2&lt;life_it,1,IF(2=life_it,0.5,0))+Sens!G13238*IF(1&lt;life_it,1,IF(1=life_it,0.5,0))+Sens!H13238*0.5)/life_it</f>
        <v>82.1849139931396</v>
      </c>
      <c r="I13240" s="6" t="n">
        <f aca="false">(Sens!C13238*IF(6&lt;life_it,1,IF(6=life_it,0.5,0))+Sens!D13238*IF(5&lt;life_it,1,IF(5=life_it,0.5,0))+Sens!E13238*IF(4&lt;life_it,1,IF(4=life_it,0.5,0))+Sens!F13238*IF(3&lt;life_it,1,IF(3=life_it,0.5,0))+Sens!G13238*IF(2&lt;life_it,1,IF(2=life_it,0.5,0))+Sens!H13238*IF(1&lt;life_it,1,IF(1=life_it,0.5,0))+Sens!I13238*0.5)/life_it</f>
        <v>105.061177889221</v>
      </c>
      <c r="J13240" s="6" t="n">
        <f aca="false">(Sens!C13238*IF(7&lt;life_it,1,IF(7=life_it,0.5,0))+Sens!D13238*IF(6&lt;life_it,1,IF(6=life_it,0.5,0))+Sens!E13238*IF(5&lt;life_it,1,IF(5=life_it,0.5,0))+Sens!F13238*IF(4&lt;life_it,1,IF(4=life_it,0.5,0))+Sens!G13238*IF(3&lt;life_it,1,IF(3=life_it,0.5,0))+Sens!H13238*IF(2&lt;life_it,1,IF(2=life_it,0.5,0))+Sens!I13238*IF(1&lt;life_it,1,IF(1=life_it,0.5,0))+Sens!J13238*0.5)/life_it</f>
        <v>121.354430950666</v>
      </c>
      <c r="K13240" s="6" t="n">
        <f aca="false">(Sens!C13238*IF(8&lt;life_it,1,IF(8=life_it,0.5,0))+Sens!D13238*IF(7&lt;life_it,1,IF(7=life_it,0.5,0))+Sens!E13238*IF(6&lt;life_it,1,IF(6=life_it,0.5,0))+Sens!F13238*IF(5&lt;life_it,1,IF(5=life_it,0.5,0))+Sens!G13238*IF(4&lt;life_it,1,IF(4=life_it,0.5,0))+Sens!H13238*IF(3&lt;life_it,1,IF(3=life_it,0.5,0))+Sens!I13238*IF(2&lt;life_it,1,IF(2=life_it,0.5,0))+Sens!J13238*IF(1&lt;life_it,1,IF(1=life_it,0.5,0))+Sens!K13238*0.5)/life_it</f>
        <v>131.379991167474</v>
      </c>
    </row>
    <row r="13241" customFormat="false" ht="17.15" hidden="false" customHeight="false" outlineLevel="0" collapsed="false">
      <c r="A13241" s="0" t="s">
        <v>843</v>
      </c>
      <c r="B13241" s="0" t="s">
        <v>98</v>
      </c>
      <c r="E13241" s="6" t="n">
        <f aca="false">(Sens!C13236*IF(2&lt;life_fac,1,IF(2=life_fac,0.5,0))+Sens!D13236*IF(1&lt;life_fac,1,IF(1=life_fac,0.5,0))+Sens!E13236*0.5)/life_fac</f>
        <v>1.2448275</v>
      </c>
      <c r="F13241" s="6" t="n">
        <f aca="false">(Sens!C13236*IF(3&lt;life_fac,1,IF(3=life_fac,0.5,0))+Sens!D13236*IF(2&lt;life_fac,1,IF(2=life_fac,0.5,0))+Sens!E13236*IF(1&lt;life_fac,1,IF(1=life_fac,0.5,0))+Sens!F13236*0.5)/life_fac</f>
        <v>2.4456901</v>
      </c>
      <c r="G13241" s="6" t="n">
        <f aca="false">(Sens!C13236*IF(4&lt;life_fac,1,IF(4=life_fac,0.5,0))+Sens!D13236*IF(3&lt;life_fac,1,IF(3=life_fac,0.5,0))+Sens!E13236*IF(2&lt;life_fac,1,IF(2=life_fac,0.5,0))+Sens!F13236*IF(1&lt;life_fac,1,IF(1=life_fac,0.5,0))+Sens!G13236*0.5)/life_fac</f>
        <v>3.9814208</v>
      </c>
      <c r="H13241" s="6" t="n">
        <f aca="false">(Sens!C13236*IF(5&lt;life_fac,1,IF(5=life_fac,0.5,0))+Sens!D13236*IF(4&lt;life_fac,1,IF(4=life_fac,0.5,0))+Sens!E13236*IF(3&lt;life_fac,1,IF(3=life_fac,0.5,0))+Sens!F13236*IF(2&lt;life_fac,1,IF(2=life_fac,0.5,0))+Sens!G13236*IF(1&lt;life_fac,1,IF(1=life_fac,0.5,0))+Sens!H13236*0.5)/life_fac</f>
        <v>5.582402</v>
      </c>
      <c r="I13241" s="6" t="n">
        <f aca="false">(Sens!C13236*IF(6&lt;life_fac,1,IF(6=life_fac,0.5,0))+Sens!D13236*IF(5&lt;life_fac,1,IF(5=life_fac,0.5,0))+Sens!E13236*IF(4&lt;life_fac,1,IF(4=life_fac,0.5,0))+Sens!F13236*IF(3&lt;life_fac,1,IF(3=life_fac,0.5,0))+Sens!G13236*IF(2&lt;life_fac,1,IF(2=life_fac,0.5,0))+Sens!H13236*IF(1&lt;life_fac,1,IF(1=life_fac,0.5,0))+Sens!I13236*0.5)/life_fac</f>
        <v>6.950862093</v>
      </c>
      <c r="J13241" s="6" t="n">
        <f aca="false">(Sens!C13236*IF(7&lt;life_fac,1,IF(7=life_fac,0.5,0))+Sens!D13236*IF(6&lt;life_fac,1,IF(6=life_fac,0.5,0))+Sens!E13236*IF(5&lt;life_fac,1,IF(5=life_fac,0.5,0))+Sens!F13236*IF(4&lt;life_fac,1,IF(4=life_fac,0.5,0))+Sens!G13236*IF(3&lt;life_fac,1,IF(3=life_fac,0.5,0))+Sens!H13236*IF(2&lt;life_fac,1,IF(2=life_fac,0.5,0))+Sens!I13236*IF(1&lt;life_fac,1,IF(1=life_fac,0.5,0))+Sens!J13236*0.5)/life_fac</f>
        <v>7.854279972</v>
      </c>
      <c r="K13241" s="6" t="n">
        <f aca="false">(Sens!C13236*IF(8&lt;life_fac,1,IF(8=life_fac,0.5,0))+Sens!D13236*IF(7&lt;life_fac,1,IF(7=life_fac,0.5,0))+Sens!E13236*IF(6&lt;life_fac,1,IF(6=life_fac,0.5,0))+Sens!F13236*IF(5&lt;life_fac,1,IF(5=life_fac,0.5,0))+Sens!G13236*IF(4&lt;life_fac,1,IF(4=life_fac,0.5,0))+Sens!H13236*IF(3&lt;life_fac,1,IF(3=life_fac,0.5,0))+Sens!I13236*IF(2&lt;life_fac,1,IF(2=life_fac,0.5,0))+Sens!J13236*IF(1&lt;life_fac,1,IF(1=life_fac,0.5,0))+Sens!K13236*0.5)/life_fac</f>
        <v>8.292655637</v>
      </c>
    </row>
    <row r="13242" customFormat="false" ht="17.15" hidden="false" customHeight="false" outlineLevel="0" collapsed="false">
      <c r="A13242" s="0" t="s">
        <v>844</v>
      </c>
      <c r="B13242" s="0" t="s">
        <v>98</v>
      </c>
      <c r="E13242" s="6" t="n">
        <f aca="false">Sens!E13240+Sens!E13241</f>
        <v>16.3054059770833</v>
      </c>
      <c r="F13242" s="6" t="n">
        <f aca="false">Sens!F13240+Sens!F13241</f>
        <v>34.7530354558698</v>
      </c>
      <c r="G13242" s="6" t="n">
        <f aca="false">Sens!G13240+Sens!G13241</f>
        <v>60.5317332603396</v>
      </c>
      <c r="H13242" s="6" t="n">
        <f aca="false">Sens!H13240+Sens!H13241</f>
        <v>87.7673159931396</v>
      </c>
      <c r="I13242" s="6" t="n">
        <f aca="false">Sens!I13240+Sens!I13241</f>
        <v>112.012039982221</v>
      </c>
      <c r="J13242" s="6" t="n">
        <f aca="false">Sens!J13240+Sens!J13241</f>
        <v>129.208710922666</v>
      </c>
      <c r="K13242" s="6" t="n">
        <f aca="false">Sens!K13240+Sens!K13241</f>
        <v>139.672646804474</v>
      </c>
    </row>
    <row r="13243" customFormat="false" ht="17.15" hidden="false" customHeight="false" outlineLevel="0" collapsed="false">
      <c r="A13243" s="0" t="s">
        <v>845</v>
      </c>
      <c r="B13243" s="0" t="s">
        <v>98</v>
      </c>
      <c r="E13243" s="6" t="n">
        <f aca="false">Sens!E13231-Sens!E13230*Sens!E13242</f>
        <v>8.92707889977379</v>
      </c>
      <c r="F13243" s="6" t="n">
        <f aca="false">Sens!F13231-Sens!F13230*Sens!F13242</f>
        <v>-9.74722786345448</v>
      </c>
      <c r="G13243" s="6" t="n">
        <f aca="false">Sens!G13231-Sens!G13230*Sens!G13242</f>
        <v>-19.5983554270677</v>
      </c>
      <c r="H13243" s="6" t="n">
        <f aca="false">Sens!H13231-Sens!H13230*Sens!H13242</f>
        <v>-32.2470119304855</v>
      </c>
      <c r="I13243" s="6" t="n">
        <f aca="false">Sens!I13231-Sens!I13230*Sens!I13242</f>
        <v>-40.060733430246</v>
      </c>
      <c r="J13243" s="6" t="n">
        <f aca="false">Sens!J13231-Sens!J13230*Sens!J13242</f>
        <v>-45.5494194450466</v>
      </c>
      <c r="K13243" s="6" t="n">
        <f aca="false">Sens!K13231-Sens!K13230*Sens!K13242</f>
        <v>-48.4810354513663</v>
      </c>
    </row>
    <row r="13244" customFormat="false" ht="17.15" hidden="false" customHeight="false" outlineLevel="0" collapsed="false">
      <c r="A13244" s="3" t="s">
        <v>1576</v>
      </c>
    </row>
    <row r="13245" customFormat="false" ht="15" hidden="false" customHeight="false" outlineLevel="0" collapsed="false">
      <c r="A13245" s="4" t="s">
        <v>43</v>
      </c>
      <c r="B13245" s="4" t="s">
        <v>65</v>
      </c>
      <c r="C13245" s="20" t="s">
        <v>788</v>
      </c>
      <c r="D13245" s="20" t="s">
        <v>789</v>
      </c>
      <c r="E13245" s="20" t="s">
        <v>790</v>
      </c>
      <c r="F13245" s="20" t="s">
        <v>791</v>
      </c>
      <c r="G13245" s="20" t="s">
        <v>792</v>
      </c>
      <c r="H13245" s="20" t="s">
        <v>793</v>
      </c>
      <c r="I13245" s="20" t="s">
        <v>794</v>
      </c>
      <c r="J13245" s="20" t="s">
        <v>795</v>
      </c>
      <c r="K13245" s="20" t="s">
        <v>796</v>
      </c>
      <c r="L13245" s="4" t="s">
        <v>47</v>
      </c>
    </row>
    <row r="13246" customFormat="false" ht="17.15" hidden="false" customHeight="false" outlineLevel="0" collapsed="false">
      <c r="A13246" s="0" t="s">
        <v>864</v>
      </c>
      <c r="B13246" s="0" t="s">
        <v>98</v>
      </c>
      <c r="D13246" s="6" t="n">
        <f aca="false">Sens!D13225</f>
        <v>12.9359794422418</v>
      </c>
      <c r="E13246" s="6" t="n">
        <f aca="false">Sens!E13225</f>
        <v>27.8095064661409</v>
      </c>
      <c r="F13246" s="6" t="n">
        <f aca="false">Sens!F13225</f>
        <v>26.709159235832</v>
      </c>
      <c r="G13246" s="6" t="n">
        <f aca="false">Sens!G13225</f>
        <v>39.6184712903838</v>
      </c>
      <c r="H13246" s="6" t="n">
        <f aca="false">Sens!H13225</f>
        <v>50.0293634184132</v>
      </c>
      <c r="I13246" s="6" t="n">
        <f aca="false">Sens!I13225</f>
        <v>62.5823598067833</v>
      </c>
      <c r="J13246" s="6" t="n">
        <f aca="false">Sens!J13225</f>
        <v>71.3334363150748</v>
      </c>
      <c r="K13246" s="6" t="n">
        <f aca="false">Sens!K13225</f>
        <v>76.7848167863276</v>
      </c>
    </row>
    <row r="13247" customFormat="false" ht="17.15" hidden="false" customHeight="false" outlineLevel="0" collapsed="false">
      <c r="A13247" s="0" t="s">
        <v>865</v>
      </c>
      <c r="B13247" s="0" t="s">
        <v>98</v>
      </c>
      <c r="D13247" s="6" t="n">
        <f aca="false">Q!L6-Sens!D13246</f>
        <v>59.6740205577583</v>
      </c>
      <c r="E13247" s="6" t="n">
        <f aca="false">Q!M6-Sens!E13246</f>
        <v>74.1284935338591</v>
      </c>
      <c r="F13247" s="6" t="n">
        <f aca="false">Sens!E13247*(1+Sens!F13248)</f>
        <v>90.0799497373663</v>
      </c>
      <c r="G13247" s="6" t="n">
        <f aca="false">Sens!F13247*(1+Sens!G13248)</f>
        <v>107.02842520331</v>
      </c>
      <c r="H13247" s="6" t="n">
        <f aca="false">Sens!G13247*(1+Sens!H13248)</f>
        <v>124.271982585636</v>
      </c>
      <c r="I13247" s="6" t="n">
        <f aca="false">Sens!H13247*(1+Sens!I13248)</f>
        <v>140.933702381855</v>
      </c>
      <c r="J13247" s="6" t="n">
        <f aca="false">Sens!I13247*(1+Sens!J13248)</f>
        <v>156.018867314332</v>
      </c>
      <c r="K13247" s="6" t="n">
        <f aca="false">Sens!J13247*(1+Sens!K13248)</f>
        <v>168.500376699478</v>
      </c>
    </row>
    <row r="13248" customFormat="false" ht="15" hidden="false" customHeight="false" outlineLevel="0" collapsed="false">
      <c r="A13248" s="1" t="s">
        <v>866</v>
      </c>
      <c r="B13248" s="0" t="s">
        <v>129</v>
      </c>
      <c r="E13248" s="7" t="n">
        <f aca="false">Sens!E13247/Sens!D13247-1</f>
        <v>0.242223883039864</v>
      </c>
      <c r="F13248" s="7" t="n">
        <f aca="false">Sens!$E$13248+(glt_azo-Sens!$E$13248)*MIN(1,(Sens!F13208-base_fy)/n_conv)</f>
        <v>0.215186569199887</v>
      </c>
      <c r="G13248" s="7" t="n">
        <f aca="false">Sens!$E$13248+(glt_azo-Sens!$E$13248)*MIN(1,(Sens!G13208-base_fy)/n_conv)</f>
        <v>0.18814925535991</v>
      </c>
      <c r="H13248" s="7" t="n">
        <f aca="false">Sens!$E$13248+(glt_azo-Sens!$E$13248)*MIN(1,(Sens!H13208-base_fy)/n_conv)</f>
        <v>0.161111941519932</v>
      </c>
      <c r="I13248" s="7" t="n">
        <f aca="false">Sens!$E$13248+(glt_azo-Sens!$E$13248)*MIN(1,(Sens!I13208-base_fy)/n_conv)</f>
        <v>0.134074627679955</v>
      </c>
      <c r="J13248" s="7" t="n">
        <f aca="false">Sens!$E$13248+(glt_azo-Sens!$E$13248)*MIN(1,(Sens!J13208-base_fy)/n_conv)</f>
        <v>0.107037313839977</v>
      </c>
      <c r="K13248" s="7" t="n">
        <f aca="false">Sens!$E$13248+(glt_azo-Sens!$E$13248)*MIN(1,(Sens!K13208-base_fy)/n_conv)</f>
        <v>0.08</v>
      </c>
    </row>
    <row r="13249" customFormat="false" ht="15" hidden="false" customHeight="false" outlineLevel="0" collapsed="false">
      <c r="A13249" s="0" t="s">
        <v>867</v>
      </c>
      <c r="B13249" s="0" t="s">
        <v>98</v>
      </c>
      <c r="D13249" s="6" t="n">
        <f aca="false">Sens!D13246+Sens!D13247</f>
        <v>72.61</v>
      </c>
      <c r="E13249" s="6" t="n">
        <f aca="false">Sens!E13246+Sens!E13247</f>
        <v>101.938</v>
      </c>
      <c r="F13249" s="6" t="n">
        <f aca="false">Sens!F13246+Sens!F13247</f>
        <v>116.789108973198</v>
      </c>
      <c r="G13249" s="6" t="n">
        <f aca="false">Sens!G13246+Sens!G13247</f>
        <v>146.646896493694</v>
      </c>
      <c r="H13249" s="6" t="n">
        <f aca="false">Sens!H13246+Sens!H13247</f>
        <v>174.301346004049</v>
      </c>
      <c r="I13249" s="6" t="n">
        <f aca="false">Sens!I13246+Sens!I13247</f>
        <v>203.516062188638</v>
      </c>
      <c r="J13249" s="6" t="n">
        <f aca="false">Sens!J13246+Sens!J13247</f>
        <v>227.352303629406</v>
      </c>
      <c r="K13249" s="6" t="n">
        <f aca="false">Sens!K13246+Sens!K13247</f>
        <v>245.285193485806</v>
      </c>
    </row>
    <row r="13250" customFormat="false" ht="17.15" hidden="false" customHeight="false" outlineLevel="0" collapsed="false">
      <c r="A13250" s="0" t="s">
        <v>868</v>
      </c>
      <c r="B13250" s="1" t="s">
        <v>521</v>
      </c>
      <c r="C13250" s="29" t="n">
        <f aca="false">cop_s24</f>
        <v>1</v>
      </c>
      <c r="D13250" s="29" t="n">
        <f aca="false">cop_s25</f>
        <v>5</v>
      </c>
      <c r="E13250" s="29" t="n">
        <f aca="false">cop_s26</f>
        <v>30</v>
      </c>
      <c r="F13250" s="29" t="n">
        <f aca="false">Sens!E13250+cop_add_C</f>
        <v>40</v>
      </c>
      <c r="G13250" s="29" t="n">
        <f aca="false">Sens!F13250+cop_add_C</f>
        <v>50</v>
      </c>
      <c r="H13250" s="29" t="n">
        <f aca="false">Sens!G13250+cop_add_C</f>
        <v>60</v>
      </c>
      <c r="I13250" s="29" t="n">
        <f aca="false">Sens!H13250+cop_add_C*cop_tail</f>
        <v>65</v>
      </c>
      <c r="J13250" s="29" t="n">
        <f aca="false">Sens!I13250+cop_add_C*cop_tail</f>
        <v>70</v>
      </c>
      <c r="K13250" s="29" t="n">
        <f aca="false">Sens!J13250+cop_add_C*cop_tail</f>
        <v>75</v>
      </c>
      <c r="L13250" s="11" t="s">
        <v>869</v>
      </c>
    </row>
    <row r="13251" customFormat="false" ht="17.15" hidden="false" customHeight="false" outlineLevel="0" collapsed="false">
      <c r="A13251" s="0" t="s">
        <v>870</v>
      </c>
      <c r="B13251" s="0" t="s">
        <v>98</v>
      </c>
      <c r="D13251" s="6" t="n">
        <f aca="false">(Sens!C13250+Sens!D13250)/2*cop_px*12/1000</f>
        <v>0.9</v>
      </c>
      <c r="E13251" s="6" t="n">
        <f aca="false">(Sens!D13250+Sens!E13250)/2*cop_px*12/1000</f>
        <v>5.25</v>
      </c>
      <c r="F13251" s="6" t="n">
        <f aca="false">(Sens!E13250+Sens!F13250)/2*cop_px*12/1000</f>
        <v>10.5</v>
      </c>
      <c r="G13251" s="6" t="n">
        <f aca="false">(Sens!F13250+Sens!G13250)/2*cop_px*12/1000</f>
        <v>13.5</v>
      </c>
      <c r="H13251" s="6" t="n">
        <f aca="false">(Sens!G13250+Sens!H13250)/2*cop_px*12/1000</f>
        <v>16.5</v>
      </c>
      <c r="I13251" s="6" t="n">
        <f aca="false">(Sens!H13250+Sens!I13250)/2*cop_px*12/1000</f>
        <v>18.75</v>
      </c>
      <c r="J13251" s="6" t="n">
        <f aca="false">(Sens!I13250+Sens!J13250)/2*cop_px*12/1000</f>
        <v>20.25</v>
      </c>
      <c r="K13251" s="6" t="n">
        <f aca="false">(Sens!J13250+Sens!K13250)/2*cop_px*12/1000</f>
        <v>21.75</v>
      </c>
      <c r="L13251" s="1" t="s">
        <v>871</v>
      </c>
    </row>
    <row r="13252" customFormat="false" ht="17.15" hidden="false" customHeight="false" outlineLevel="0" collapsed="false">
      <c r="A13252" s="0" t="s">
        <v>872</v>
      </c>
      <c r="B13252" s="0" t="s">
        <v>98</v>
      </c>
      <c r="D13252" s="6" t="n">
        <f aca="false">Q!L7-Sens!D13251</f>
        <v>83.705</v>
      </c>
      <c r="E13252" s="6" t="n">
        <f aca="false">Q!M7-Sens!E13251</f>
        <v>95.049</v>
      </c>
      <c r="F13252" s="6" t="n">
        <f aca="false">Sens!E13252*(1+Sens!F13253)</f>
        <v>106.89238776686</v>
      </c>
      <c r="G13252" s="6" t="n">
        <f aca="false">Sens!F13252*(1+Sens!G13253)</f>
        <v>119.044168448684</v>
      </c>
      <c r="H13252" s="6" t="n">
        <f aca="false">Sens!G13252*(1+Sens!H13253)</f>
        <v>131.277359388781</v>
      </c>
      <c r="I13252" s="6" t="n">
        <f aca="false">Sens!H13252*(1+Sens!I13253)</f>
        <v>143.334028071957</v>
      </c>
      <c r="J13252" s="6" t="n">
        <f aca="false">Sens!I13252*(1+Sens!J13253)</f>
        <v>154.932702785465</v>
      </c>
      <c r="K13252" s="6" t="n">
        <f aca="false">Sens!J13252*(1+Sens!K13253)</f>
        <v>165.777991980448</v>
      </c>
    </row>
    <row r="13253" customFormat="false" ht="15" hidden="false" customHeight="false" outlineLevel="0" collapsed="false">
      <c r="A13253" s="1" t="s">
        <v>866</v>
      </c>
      <c r="B13253" s="0" t="s">
        <v>129</v>
      </c>
      <c r="E13253" s="7" t="n">
        <f aca="false">Sens!E13252/Sens!D13252-1</f>
        <v>0.135523564900544</v>
      </c>
      <c r="F13253" s="7" t="n">
        <f aca="false">Sens!$E$13253+(glt_m365b-Sens!$E$13253)*MIN(1,(Sens!F13208-base_fy)/n_conv)</f>
        <v>0.124602970750453</v>
      </c>
      <c r="G13253" s="7" t="n">
        <f aca="false">Sens!$E$13253+(glt_m365b-Sens!$E$13253)*MIN(1,(Sens!G13208-base_fy)/n_conv)</f>
        <v>0.113682376600363</v>
      </c>
      <c r="H13253" s="7" t="n">
        <f aca="false">Sens!$E$13253+(glt_m365b-Sens!$E$13253)*MIN(1,(Sens!H13208-base_fy)/n_conv)</f>
        <v>0.102761782450272</v>
      </c>
      <c r="I13253" s="7" t="n">
        <f aca="false">Sens!$E$13253+(glt_m365b-Sens!$E$13253)*MIN(1,(Sens!I13208-base_fy)/n_conv)</f>
        <v>0.0918411883001813</v>
      </c>
      <c r="J13253" s="7" t="n">
        <f aca="false">Sens!$E$13253+(glt_m365b-Sens!$E$13253)*MIN(1,(Sens!J13208-base_fy)/n_conv)</f>
        <v>0.0809205941500906</v>
      </c>
      <c r="K13253" s="7" t="n">
        <f aca="false">Sens!$E$13253+(glt_m365b-Sens!$E$13253)*MIN(1,(Sens!K13208-base_fy)/n_conv)</f>
        <v>0.07</v>
      </c>
    </row>
    <row r="13254" customFormat="false" ht="15" hidden="false" customHeight="false" outlineLevel="0" collapsed="false">
      <c r="A13254" s="0" t="s">
        <v>873</v>
      </c>
      <c r="B13254" s="0" t="s">
        <v>98</v>
      </c>
      <c r="D13254" s="6" t="n">
        <f aca="false">Sens!D13252+Sens!D13251</f>
        <v>84.605</v>
      </c>
      <c r="E13254" s="6" t="n">
        <f aca="false">Sens!E13252+Sens!E13251</f>
        <v>100.299</v>
      </c>
      <c r="F13254" s="6" t="n">
        <f aca="false">Sens!F13252+Sens!F13251</f>
        <v>117.39238776686</v>
      </c>
      <c r="G13254" s="6" t="n">
        <f aca="false">Sens!G13252+Sens!G13251</f>
        <v>132.544168448684</v>
      </c>
      <c r="H13254" s="6" t="n">
        <f aca="false">Sens!H13252+Sens!H13251</f>
        <v>147.777359388781</v>
      </c>
      <c r="I13254" s="6" t="n">
        <f aca="false">Sens!I13252+Sens!I13251</f>
        <v>162.084028071957</v>
      </c>
      <c r="J13254" s="6" t="n">
        <f aca="false">Sens!J13252+Sens!J13251</f>
        <v>175.182702785465</v>
      </c>
      <c r="K13254" s="6" t="n">
        <f aca="false">Sens!K13252+Sens!K13251</f>
        <v>187.527991980448</v>
      </c>
    </row>
    <row r="13255" customFormat="false" ht="15" hidden="false" customHeight="false" outlineLevel="0" collapsed="false">
      <c r="A13255" s="0" t="s">
        <v>874</v>
      </c>
      <c r="B13255" s="0" t="s">
        <v>98</v>
      </c>
      <c r="D13255" s="6" t="n">
        <f aca="false">Q!L8</f>
        <v>35.391</v>
      </c>
      <c r="E13255" s="6" t="n">
        <f aca="false">Q!M8</f>
        <v>37.285</v>
      </c>
      <c r="F13255" s="6" t="n">
        <f aca="false">Sens!E13255*(1+Sens!F13256)</f>
        <v>39.0720834331704</v>
      </c>
      <c r="G13255" s="6" t="n">
        <f aca="false">Sens!F13255*(1+Sens!G13256)</f>
        <v>40.726562953769</v>
      </c>
      <c r="H13255" s="6" t="n">
        <f aca="false">Sens!G13255*(1+Sens!H13256)</f>
        <v>42.2235987259198</v>
      </c>
      <c r="I13255" s="6" t="n">
        <f aca="false">Sens!H13255*(1+Sens!I13256)</f>
        <v>43.5397988077414</v>
      </c>
      <c r="J13255" s="6" t="n">
        <f aca="false">Sens!I13255*(1+Sens!J13256)</f>
        <v>44.653811225693</v>
      </c>
      <c r="K13255" s="6" t="n">
        <f aca="false">Sens!J13255*(1+Sens!K13256)</f>
        <v>45.5468874502068</v>
      </c>
    </row>
    <row r="13256" customFormat="false" ht="15" hidden="false" customHeight="false" outlineLevel="0" collapsed="false">
      <c r="A13256" s="1" t="s">
        <v>866</v>
      </c>
      <c r="B13256" s="0" t="s">
        <v>129</v>
      </c>
      <c r="E13256" s="7" t="n">
        <f aca="false">Sens!E13255/Sens!D13255-1</f>
        <v>0.0535164307309768</v>
      </c>
      <c r="F13256" s="7" t="n">
        <f aca="false">Sens!$E$13256+(glt_lic-Sens!$E$13256)*MIN(1,(Sens!F13208-base_fy)/n_conv)</f>
        <v>0.0479303589424807</v>
      </c>
      <c r="G13256" s="7" t="n">
        <f aca="false">Sens!$E$13256+(glt_lic-Sens!$E$13256)*MIN(1,(Sens!G13208-base_fy)/n_conv)</f>
        <v>0.0423442871539845</v>
      </c>
      <c r="H13256" s="7" t="n">
        <f aca="false">Sens!$E$13256+(glt_lic-Sens!$E$13256)*MIN(1,(Sens!H13208-base_fy)/n_conv)</f>
        <v>0.0367582153654884</v>
      </c>
      <c r="I13256" s="7" t="n">
        <f aca="false">Sens!$E$13256+(glt_lic-Sens!$E$13256)*MIN(1,(Sens!I13208-base_fy)/n_conv)</f>
        <v>0.0311721435769923</v>
      </c>
      <c r="J13256" s="7" t="n">
        <f aca="false">Sens!$E$13256+(glt_lic-Sens!$E$13256)*MIN(1,(Sens!J13208-base_fy)/n_conv)</f>
        <v>0.0255860717884961</v>
      </c>
      <c r="K13256" s="7" t="n">
        <f aca="false">Sens!$E$13256+(glt_lic-Sens!$E$13256)*MIN(1,(Sens!K13208-base_fy)/n_conv)</f>
        <v>0.02</v>
      </c>
    </row>
    <row r="13257" customFormat="false" ht="15" hidden="false" customHeight="false" outlineLevel="0" collapsed="false">
      <c r="A13257" s="0" t="s">
        <v>875</v>
      </c>
      <c r="B13257" s="0" t="s">
        <v>98</v>
      </c>
      <c r="D13257" s="6" t="n">
        <f aca="false">Q!L9</f>
        <v>18.417</v>
      </c>
      <c r="E13257" s="6" t="n">
        <f aca="false">Q!M9</f>
        <v>20.345</v>
      </c>
      <c r="F13257" s="6" t="n">
        <f aca="false">Sens!E13257*(1+Sens!F13258)</f>
        <v>22.3572203267814</v>
      </c>
      <c r="G13257" s="6" t="n">
        <f aca="false">Sens!F13257*(1+Sens!G13258)</f>
        <v>24.4392124437232</v>
      </c>
      <c r="H13257" s="6" t="n">
        <f aca="false">Sens!G13257*(1+Sens!H13258)</f>
        <v>26.5738052080665</v>
      </c>
      <c r="I13257" s="6" t="n">
        <f aca="false">Sens!H13257*(1+Sens!I13258)</f>
        <v>28.7412169166967</v>
      </c>
      <c r="J13257" s="6" t="n">
        <f aca="false">Sens!I13257*(1+Sens!J13258)</f>
        <v>30.9192545395413</v>
      </c>
      <c r="K13257" s="6" t="n">
        <f aca="false">Sens!J13257*(1+Sens!K13258)</f>
        <v>33.0836023573092</v>
      </c>
    </row>
    <row r="13258" customFormat="false" ht="15" hidden="false" customHeight="false" outlineLevel="0" collapsed="false">
      <c r="A13258" s="1" t="s">
        <v>866</v>
      </c>
      <c r="B13258" s="0" t="s">
        <v>129</v>
      </c>
      <c r="E13258" s="7" t="n">
        <f aca="false">Sens!E13257/Sens!D13257-1</f>
        <v>0.104685888038225</v>
      </c>
      <c r="F13258" s="7" t="n">
        <f aca="false">Sens!$E$13258+(glt_ind-Sens!$E$13258)*MIN(1,(Sens!F13208-base_fy)/n_conv)</f>
        <v>0.0989049066985211</v>
      </c>
      <c r="G13258" s="7" t="n">
        <f aca="false">Sens!$E$13258+(glt_ind-Sens!$E$13258)*MIN(1,(Sens!G13208-base_fy)/n_conv)</f>
        <v>0.0931239253588169</v>
      </c>
      <c r="H13258" s="7" t="n">
        <f aca="false">Sens!$E$13258+(glt_ind-Sens!$E$13258)*MIN(1,(Sens!H13208-base_fy)/n_conv)</f>
        <v>0.0873429440191127</v>
      </c>
      <c r="I13258" s="7" t="n">
        <f aca="false">Sens!$E$13258+(glt_ind-Sens!$E$13258)*MIN(1,(Sens!I13208-base_fy)/n_conv)</f>
        <v>0.0815619626794085</v>
      </c>
      <c r="J13258" s="7" t="n">
        <f aca="false">Sens!$E$13258+(glt_ind-Sens!$E$13258)*MIN(1,(Sens!J13208-base_fy)/n_conv)</f>
        <v>0.0757809813397042</v>
      </c>
      <c r="K13258" s="7" t="n">
        <f aca="false">Sens!$E$13258+(glt_ind-Sens!$E$13258)*MIN(1,(Sens!K13208-base_fy)/n_conv)</f>
        <v>0.07</v>
      </c>
    </row>
    <row r="13259" customFormat="false" ht="15" hidden="false" customHeight="false" outlineLevel="0" collapsed="false">
      <c r="A13259" s="0" t="s">
        <v>876</v>
      </c>
      <c r="B13259" s="0" t="s">
        <v>98</v>
      </c>
      <c r="D13259" s="6" t="n">
        <f aca="false">Q!L10</f>
        <v>7.76</v>
      </c>
      <c r="E13259" s="6" t="n">
        <f aca="false">Q!M10</f>
        <v>8.26</v>
      </c>
      <c r="F13259" s="6" t="n">
        <f aca="false">Sens!E13259*(1+Sens!F13260)</f>
        <v>8.79988041237113</v>
      </c>
      <c r="G13259" s="6" t="n">
        <f aca="false">Sens!F13259*(1+Sens!G13260)</f>
        <v>9.38321269125306</v>
      </c>
      <c r="H13259" s="6" t="n">
        <f aca="false">Sens!G13259*(1+Sens!H13260)</f>
        <v>10.0139193587476</v>
      </c>
      <c r="I13259" s="6" t="n">
        <f aca="false">Sens!H13259*(1+Sens!I13260)</f>
        <v>10.6963111830911</v>
      </c>
      <c r="J13259" s="6" t="n">
        <f aca="false">Sens!I13259*(1+Sens!J13260)</f>
        <v>11.4351285534696</v>
      </c>
      <c r="K13259" s="6" t="n">
        <f aca="false">Sens!J13259*(1+Sens!K13260)</f>
        <v>12.2355875522124</v>
      </c>
    </row>
    <row r="13260" customFormat="false" ht="15" hidden="false" customHeight="false" outlineLevel="0" collapsed="false">
      <c r="A13260" s="1" t="s">
        <v>866</v>
      </c>
      <c r="B13260" s="0" t="s">
        <v>129</v>
      </c>
      <c r="E13260" s="7" t="n">
        <f aca="false">Sens!E13259/Sens!D13259-1</f>
        <v>0.0644329896907216</v>
      </c>
      <c r="F13260" s="7" t="n">
        <f aca="false">Sens!$E$13260+(glt_fro-Sens!$E$13260)*MIN(1,(Sens!F13208-base_fy)/n_conv)</f>
        <v>0.065360824742268</v>
      </c>
      <c r="G13260" s="7" t="n">
        <f aca="false">Sens!$E$13260+(glt_fro-Sens!$E$13260)*MIN(1,(Sens!G13208-base_fy)/n_conv)</f>
        <v>0.0662886597938144</v>
      </c>
      <c r="H13260" s="7" t="n">
        <f aca="false">Sens!$E$13260+(glt_fro-Sens!$E$13260)*MIN(1,(Sens!H13208-base_fy)/n_conv)</f>
        <v>0.0672164948453608</v>
      </c>
      <c r="I13260" s="7" t="n">
        <f aca="false">Sens!$E$13260+(glt_fro-Sens!$E$13260)*MIN(1,(Sens!I13208-base_fy)/n_conv)</f>
        <v>0.0681443298969072</v>
      </c>
      <c r="J13260" s="7" t="n">
        <f aca="false">Sens!$E$13260+(glt_fro-Sens!$E$13260)*MIN(1,(Sens!J13208-base_fy)/n_conv)</f>
        <v>0.0690721649484536</v>
      </c>
      <c r="K13260" s="7" t="n">
        <f aca="false">Sens!$E$13260+(glt_fro-Sens!$E$13260)*MIN(1,(Sens!K13208-base_fy)/n_conv)</f>
        <v>0.07</v>
      </c>
    </row>
    <row r="13261" customFormat="false" ht="15" hidden="false" customHeight="false" outlineLevel="0" collapsed="false">
      <c r="A13261" s="0" t="s">
        <v>704</v>
      </c>
      <c r="B13261" s="0" t="s">
        <v>98</v>
      </c>
      <c r="D13261" s="6" t="n">
        <f aca="false">Sens!D13249+Sens!D13254+Sens!D13255+Sens!D13257+Sens!D13259</f>
        <v>218.783</v>
      </c>
      <c r="E13261" s="6" t="n">
        <f aca="false">Sens!E13249+Sens!E13254+Sens!E13255+Sens!E13257+Sens!E13259</f>
        <v>268.127</v>
      </c>
      <c r="F13261" s="6" t="n">
        <f aca="false">Sens!F13249+Sens!F13254+Sens!F13255+Sens!F13257+Sens!F13259</f>
        <v>304.410680912381</v>
      </c>
      <c r="G13261" s="6" t="n">
        <f aca="false">Sens!G13249+Sens!G13254+Sens!G13255+Sens!G13257+Sens!G13259</f>
        <v>353.740053031123</v>
      </c>
      <c r="H13261" s="6" t="n">
        <f aca="false">Sens!H13249+Sens!H13254+Sens!H13255+Sens!H13257+Sens!H13259</f>
        <v>400.890028685564</v>
      </c>
      <c r="I13261" s="6" t="n">
        <f aca="false">Sens!I13249+Sens!I13254+Sens!I13255+Sens!I13257+Sens!I13259</f>
        <v>448.577417168124</v>
      </c>
      <c r="J13261" s="6" t="n">
        <f aca="false">Sens!J13249+Sens!J13254+Sens!J13255+Sens!J13257+Sens!J13259</f>
        <v>489.543200733575</v>
      </c>
      <c r="K13261" s="6" t="n">
        <f aca="false">Sens!K13249+Sens!K13254+Sens!K13255+Sens!K13257+Sens!K13259</f>
        <v>523.679262825982</v>
      </c>
    </row>
    <row r="13262" customFormat="false" ht="15" hidden="false" customHeight="false" outlineLevel="0" collapsed="false">
      <c r="A13262" s="0" t="s">
        <v>877</v>
      </c>
      <c r="B13262" s="0" t="s">
        <v>98</v>
      </c>
      <c r="D13262" s="6" t="n">
        <f aca="false">Q!L13</f>
        <v>22.171</v>
      </c>
      <c r="E13262" s="6" t="n">
        <f aca="false">Q!M13</f>
        <v>24.835</v>
      </c>
      <c r="F13262" s="6" t="n">
        <f aca="false">Sens!E13262*(1+Sens!F13263)</f>
        <v>27.6114901218559</v>
      </c>
      <c r="G13262" s="6" t="n">
        <f aca="false">Sens!F13262*(1+Sens!G13263)</f>
        <v>30.4675667338515</v>
      </c>
      <c r="H13262" s="6" t="n">
        <f aca="false">Sens!G13262*(1+Sens!H13263)</f>
        <v>33.3643766955789</v>
      </c>
      <c r="I13262" s="6" t="n">
        <f aca="false">Sens!H13262*(1+Sens!I13263)</f>
        <v>36.2577016533691</v>
      </c>
      <c r="J13262" s="6" t="n">
        <f aca="false">Sens!I13262*(1+Sens!J13263)</f>
        <v>39.0988367952171</v>
      </c>
      <c r="K13262" s="6" t="n">
        <f aca="false">Sens!J13262*(1+Sens!K13263)</f>
        <v>41.8357553708823</v>
      </c>
    </row>
    <row r="13263" customFormat="false" ht="15" hidden="false" customHeight="false" outlineLevel="0" collapsed="false">
      <c r="A13263" s="1" t="s">
        <v>866</v>
      </c>
      <c r="B13263" s="0" t="s">
        <v>129</v>
      </c>
      <c r="E13263" s="7" t="n">
        <f aca="false">Sens!E13262/Sens!D13262-1</f>
        <v>0.120156961796942</v>
      </c>
      <c r="F13263" s="7" t="n">
        <f aca="false">Sens!$E$13263+(glt_srch-Sens!$E$13263)*MIN(1,(Sens!F13208-base_fy)/n_conv)</f>
        <v>0.111797468164118</v>
      </c>
      <c r="G13263" s="7" t="n">
        <f aca="false">Sens!$E$13263+(glt_srch-Sens!$E$13263)*MIN(1,(Sens!G13208-base_fy)/n_conv)</f>
        <v>0.103437974531295</v>
      </c>
      <c r="H13263" s="7" t="n">
        <f aca="false">Sens!$E$13263+(glt_srch-Sens!$E$13263)*MIN(1,(Sens!H13208-base_fy)/n_conv)</f>
        <v>0.095078480898471</v>
      </c>
      <c r="I13263" s="7" t="n">
        <f aca="false">Sens!$E$13263+(glt_srch-Sens!$E$13263)*MIN(1,(Sens!I13208-base_fy)/n_conv)</f>
        <v>0.0867189872656474</v>
      </c>
      <c r="J13263" s="7" t="n">
        <f aca="false">Sens!$E$13263+(glt_srch-Sens!$E$13263)*MIN(1,(Sens!J13208-base_fy)/n_conv)</f>
        <v>0.0783594936328237</v>
      </c>
      <c r="K13263" s="7" t="n">
        <f aca="false">Sens!$E$13263+(glt_srch-Sens!$E$13263)*MIN(1,(Sens!K13208-base_fy)/n_conv)</f>
        <v>0.07</v>
      </c>
    </row>
    <row r="13264" customFormat="false" ht="15" hidden="false" customHeight="false" outlineLevel="0" collapsed="false">
      <c r="A13264" s="0" t="s">
        <v>878</v>
      </c>
      <c r="B13264" s="0" t="s">
        <v>98</v>
      </c>
      <c r="D13264" s="6" t="n">
        <f aca="false">Q!L14</f>
        <v>23.455</v>
      </c>
      <c r="E13264" s="6" t="n">
        <f aca="false">Q!M14</f>
        <v>21.79</v>
      </c>
      <c r="F13264" s="6" t="n">
        <f aca="false">Sens!E13264*(1+Sens!F13265)</f>
        <v>20.5736277908051</v>
      </c>
      <c r="G13264" s="6" t="n">
        <f aca="false">Sens!F13264*(1+Sens!G13265)</f>
        <v>19.7371452817919</v>
      </c>
      <c r="H13264" s="6" t="n">
        <f aca="false">Sens!G13264*(1+Sens!H13265)</f>
        <v>19.2339764043138</v>
      </c>
      <c r="I13264" s="6" t="n">
        <f aca="false">Sens!H13264*(1+Sens!I13265)</f>
        <v>19.0353086852681</v>
      </c>
      <c r="J13264" s="6" t="n">
        <f aca="false">Sens!I13264*(1+Sens!J13265)</f>
        <v>19.1273539319129</v>
      </c>
      <c r="K13264" s="6" t="n">
        <f aca="false">Sens!J13264*(1+Sens!K13265)</f>
        <v>19.5099010105511</v>
      </c>
    </row>
    <row r="13265" customFormat="false" ht="15" hidden="false" customHeight="false" outlineLevel="0" collapsed="false">
      <c r="A13265" s="1" t="s">
        <v>866</v>
      </c>
      <c r="B13265" s="0" t="s">
        <v>129</v>
      </c>
      <c r="E13265" s="7" t="n">
        <f aca="false">Sens!E13264/Sens!D13264-1</f>
        <v>-0.0709869963760392</v>
      </c>
      <c r="F13265" s="7" t="n">
        <f aca="false">Sens!$E$13265+(glt_xbox-Sens!$E$13265)*MIN(1,(Sens!F13208-base_fy)/n_conv)</f>
        <v>-0.0558224969800327</v>
      </c>
      <c r="G13265" s="7" t="n">
        <f aca="false">Sens!$E$13265+(glt_xbox-Sens!$E$13265)*MIN(1,(Sens!G13208-base_fy)/n_conv)</f>
        <v>-0.0406579975840262</v>
      </c>
      <c r="H13265" s="7" t="n">
        <f aca="false">Sens!$E$13265+(glt_xbox-Sens!$E$13265)*MIN(1,(Sens!H13208-base_fy)/n_conv)</f>
        <v>-0.0254934981880196</v>
      </c>
      <c r="I13265" s="7" t="n">
        <f aca="false">Sens!$E$13265+(glt_xbox-Sens!$E$13265)*MIN(1,(Sens!I13208-base_fy)/n_conv)</f>
        <v>-0.0103289987920131</v>
      </c>
      <c r="J13265" s="7" t="n">
        <f aca="false">Sens!$E$13265+(glt_xbox-Sens!$E$13265)*MIN(1,(Sens!J13208-base_fy)/n_conv)</f>
        <v>0.00483550060399347</v>
      </c>
      <c r="K13265" s="7" t="n">
        <f aca="false">Sens!$E$13265+(glt_xbox-Sens!$E$13265)*MIN(1,(Sens!K13208-base_fy)/n_conv)</f>
        <v>0.02</v>
      </c>
    </row>
    <row r="13266" customFormat="false" ht="15" hidden="false" customHeight="false" outlineLevel="0" collapsed="false">
      <c r="A13266" s="0" t="s">
        <v>879</v>
      </c>
      <c r="B13266" s="0" t="s">
        <v>98</v>
      </c>
      <c r="D13266" s="6" t="n">
        <f aca="false">Q!L15</f>
        <v>17.315</v>
      </c>
      <c r="E13266" s="6" t="n">
        <f aca="false">Q!M15</f>
        <v>17.087</v>
      </c>
      <c r="F13266" s="6" t="n">
        <f aca="false">Sens!E13266*(1+Sens!F13267)</f>
        <v>16.9564585436519</v>
      </c>
      <c r="G13266" s="6" t="n">
        <f aca="false">Sens!F13266*(1+Sens!G13267)</f>
        <v>16.9206490624268</v>
      </c>
      <c r="H13266" s="6" t="n">
        <f aca="false">Sens!G13266*(1+Sens!H13267)</f>
        <v>16.9784519149849</v>
      </c>
      <c r="I13266" s="6" t="n">
        <f aca="false">Sens!H13266*(1+Sens!I13267)</f>
        <v>17.1303084701817</v>
      </c>
      <c r="J13266" s="6" t="n">
        <f aca="false">Sens!I13266*(1+Sens!J13267)</f>
        <v>17.3782189407267</v>
      </c>
      <c r="K13266" s="6" t="n">
        <f aca="false">Sens!J13266*(1+Sens!K13267)</f>
        <v>17.7257833195413</v>
      </c>
    </row>
    <row r="13267" customFormat="false" ht="15" hidden="false" customHeight="false" outlineLevel="0" collapsed="false">
      <c r="A13267" s="1" t="s">
        <v>866</v>
      </c>
      <c r="B13267" s="0" t="s">
        <v>129</v>
      </c>
      <c r="E13267" s="7" t="n">
        <f aca="false">Sens!E13266/Sens!D13266-1</f>
        <v>-0.0131677736066995</v>
      </c>
      <c r="F13267" s="7" t="n">
        <f aca="false">Sens!$E$13267+(glt_win-Sens!$E$13267)*MIN(1,(Sens!F13208-base_fy)/n_conv)</f>
        <v>-0.00763981133891627</v>
      </c>
      <c r="G13267" s="7" t="n">
        <f aca="false">Sens!$E$13267+(glt_win-Sens!$E$13267)*MIN(1,(Sens!G13208-base_fy)/n_conv)</f>
        <v>-0.00211184907113301</v>
      </c>
      <c r="H13267" s="7" t="n">
        <f aca="false">Sens!$E$13267+(glt_win-Sens!$E$13267)*MIN(1,(Sens!H13208-base_fy)/n_conv)</f>
        <v>0.00341611319665024</v>
      </c>
      <c r="I13267" s="7" t="n">
        <f aca="false">Sens!$E$13267+(glt_win-Sens!$E$13267)*MIN(1,(Sens!I13208-base_fy)/n_conv)</f>
        <v>0.00894407546443349</v>
      </c>
      <c r="J13267" s="7" t="n">
        <f aca="false">Sens!$E$13267+(glt_win-Sens!$E$13267)*MIN(1,(Sens!J13208-base_fy)/n_conv)</f>
        <v>0.0144720377322168</v>
      </c>
      <c r="K13267" s="7" t="n">
        <f aca="false">Sens!$E$13267+(glt_win-Sens!$E$13267)*MIN(1,(Sens!K13208-base_fy)/n_conv)</f>
        <v>0.02</v>
      </c>
    </row>
    <row r="13268" customFormat="false" ht="15" hidden="false" customHeight="false" outlineLevel="0" collapsed="false">
      <c r="A13268" s="0" t="s">
        <v>718</v>
      </c>
      <c r="B13268" s="0" t="s">
        <v>98</v>
      </c>
      <c r="D13268" s="6" t="n">
        <f aca="false">Sens!D13262+Sens!D13264+Sens!D13266</f>
        <v>62.941</v>
      </c>
      <c r="E13268" s="6" t="n">
        <f aca="false">Sens!E13262+Sens!E13264+Sens!E13266</f>
        <v>63.712</v>
      </c>
      <c r="F13268" s="6" t="n">
        <f aca="false">Sens!F13262+Sens!F13264+Sens!F13266</f>
        <v>65.1415764563129</v>
      </c>
      <c r="G13268" s="6" t="n">
        <f aca="false">Sens!G13262+Sens!G13264+Sens!G13266</f>
        <v>67.1253610780702</v>
      </c>
      <c r="H13268" s="6" t="n">
        <f aca="false">Sens!H13262+Sens!H13264+Sens!H13266</f>
        <v>69.5768050148776</v>
      </c>
      <c r="I13268" s="6" t="n">
        <f aca="false">Sens!I13262+Sens!I13264+Sens!I13266</f>
        <v>72.4233188088189</v>
      </c>
      <c r="J13268" s="6" t="n">
        <f aca="false">Sens!J13262+Sens!J13264+Sens!J13266</f>
        <v>75.6044096678567</v>
      </c>
      <c r="K13268" s="6" t="n">
        <f aca="false">Sens!K13262+Sens!K13264+Sens!K13266</f>
        <v>79.0714397009747</v>
      </c>
    </row>
    <row r="13269" customFormat="false" ht="15" hidden="false" customHeight="false" outlineLevel="0" collapsed="false">
      <c r="A13269" s="1" t="s">
        <v>880</v>
      </c>
      <c r="B13269" s="0" t="s">
        <v>98</v>
      </c>
      <c r="D13269" s="6" t="n">
        <f aca="false">Sens!D13261+Sens!D13268</f>
        <v>281.724</v>
      </c>
      <c r="E13269" s="6" t="n">
        <f aca="false">Sens!E13261+Sens!E13268</f>
        <v>331.839</v>
      </c>
      <c r="F13269" s="6" t="n">
        <f aca="false">Sens!F13261+Sens!F13268</f>
        <v>369.552257368694</v>
      </c>
      <c r="G13269" s="6" t="n">
        <f aca="false">Sens!G13261+Sens!G13268</f>
        <v>420.865414109193</v>
      </c>
      <c r="H13269" s="6" t="n">
        <f aca="false">Sens!H13261+Sens!H13268</f>
        <v>470.466833700442</v>
      </c>
      <c r="I13269" s="6" t="n">
        <f aca="false">Sens!I13261+Sens!I13268</f>
        <v>521.000735976943</v>
      </c>
      <c r="J13269" s="6" t="n">
        <f aca="false">Sens!J13261+Sens!J13268</f>
        <v>565.147610401432</v>
      </c>
      <c r="K13269" s="6" t="n">
        <f aca="false">Sens!K13261+Sens!K13268</f>
        <v>602.750702526957</v>
      </c>
    </row>
    <row r="13270" customFormat="false" ht="15" hidden="false" customHeight="false" outlineLevel="0" collapsed="false">
      <c r="A13270" s="23" t="s">
        <v>881</v>
      </c>
      <c r="B13270" s="30" t="s">
        <v>98</v>
      </c>
      <c r="C13270" s="30"/>
      <c r="D13270" s="24" t="n">
        <f aca="false">(Sens!D13249+Sens!D13254+Sens!D13255+Sens!D13257+Sens!D13259-Sens!D13261)+(Sens!D13262+Sens!D13264+Sens!D13266-Sens!D13268)+(Sens!D13261-Q!L5)+(Sens!D13268-Q!L12)+(Sens!D13249-Q!L6)+(Sens!D13254-Q!L7)</f>
        <v>0</v>
      </c>
      <c r="E13270" s="24" t="n">
        <f aca="false">(Sens!E13249+Sens!E13254+Sens!E13255+Sens!E13257+Sens!E13259-Sens!E13261)+(Sens!E13262+Sens!E13264+Sens!E13266-Sens!E13268)+(Sens!E13261-Q!M5)+(Sens!E13268-Q!M12)+(Sens!E13249-Q!M6)+(Sens!E13254-Q!M7)</f>
        <v>0</v>
      </c>
      <c r="F13270" s="24" t="n">
        <f aca="false">(Sens!F13249+Sens!F13254+Sens!F13255+Sens!F13257+Sens!F13259-Sens!F13261)+(Sens!F13262+Sens!F13264+Sens!F13266-Sens!F13268)</f>
        <v>0</v>
      </c>
      <c r="G13270" s="24" t="n">
        <f aca="false">(Sens!G13249+Sens!G13254+Sens!G13255+Sens!G13257+Sens!G13259-Sens!G13261)+(Sens!G13262+Sens!G13264+Sens!G13266-Sens!G13268)</f>
        <v>0</v>
      </c>
      <c r="H13270" s="24" t="n">
        <f aca="false">(Sens!H13249+Sens!H13254+Sens!H13255+Sens!H13257+Sens!H13259-Sens!H13261)+(Sens!H13262+Sens!H13264+Sens!H13266-Sens!H13268)</f>
        <v>0</v>
      </c>
      <c r="I13270" s="24" t="n">
        <f aca="false">(Sens!I13249+Sens!I13254+Sens!I13255+Sens!I13257+Sens!I13259-Sens!I13261)+(Sens!I13262+Sens!I13264+Sens!I13266-Sens!I13268)</f>
        <v>0</v>
      </c>
      <c r="J13270" s="24" t="n">
        <f aca="false">(Sens!J13249+Sens!J13254+Sens!J13255+Sens!J13257+Sens!J13259-Sens!J13261)+(Sens!J13262+Sens!J13264+Sens!J13266-Sens!J13268)</f>
        <v>0</v>
      </c>
      <c r="K13270" s="24" t="n">
        <f aca="false">(Sens!K13249+Sens!K13254+Sens!K13255+Sens!K13257+Sens!K13259-Sens!K13261)+(Sens!K13262+Sens!K13264+Sens!K13266-Sens!K13268)</f>
        <v>0</v>
      </c>
    </row>
    <row r="13271" customFormat="false" ht="17.15" hidden="false" customHeight="false" outlineLevel="0" collapsed="false">
      <c r="A13271" s="3" t="s">
        <v>1577</v>
      </c>
    </row>
    <row r="13272" customFormat="false" ht="15" hidden="false" customHeight="false" outlineLevel="0" collapsed="false">
      <c r="A13272" s="4" t="s">
        <v>43</v>
      </c>
      <c r="B13272" s="4" t="s">
        <v>65</v>
      </c>
      <c r="C13272" s="20" t="s">
        <v>788</v>
      </c>
      <c r="D13272" s="20" t="s">
        <v>789</v>
      </c>
      <c r="E13272" s="20" t="s">
        <v>790</v>
      </c>
      <c r="F13272" s="20" t="s">
        <v>791</v>
      </c>
      <c r="G13272" s="20" t="s">
        <v>792</v>
      </c>
      <c r="H13272" s="20" t="s">
        <v>793</v>
      </c>
      <c r="I13272" s="20" t="s">
        <v>794</v>
      </c>
      <c r="J13272" s="20" t="s">
        <v>795</v>
      </c>
      <c r="K13272" s="20" t="s">
        <v>796</v>
      </c>
      <c r="L13272" s="4" t="s">
        <v>47</v>
      </c>
    </row>
    <row r="13273" customFormat="false" ht="15" hidden="false" customHeight="false" outlineLevel="0" collapsed="false">
      <c r="A13273" s="0" t="s">
        <v>867</v>
      </c>
      <c r="B13273" s="0" t="s">
        <v>98</v>
      </c>
      <c r="D13273" s="6" t="n">
        <f aca="false">Sens!D13249</f>
        <v>72.61</v>
      </c>
      <c r="E13273" s="6" t="n">
        <f aca="false">Sens!E13249</f>
        <v>101.938</v>
      </c>
      <c r="F13273" s="6" t="n">
        <f aca="false">Sens!F13249</f>
        <v>116.789108973198</v>
      </c>
      <c r="G13273" s="6" t="n">
        <f aca="false">Sens!G13249</f>
        <v>146.646896493694</v>
      </c>
      <c r="H13273" s="6" t="n">
        <f aca="false">Sens!H13249</f>
        <v>174.301346004049</v>
      </c>
      <c r="I13273" s="6" t="n">
        <f aca="false">Sens!I13249</f>
        <v>203.516062188638</v>
      </c>
      <c r="J13273" s="6" t="n">
        <f aca="false">Sens!J13249</f>
        <v>227.352303629406</v>
      </c>
      <c r="K13273" s="6" t="n">
        <f aca="false">Sens!K13249</f>
        <v>245.285193485806</v>
      </c>
    </row>
    <row r="13274" customFormat="false" ht="17.15" hidden="false" customHeight="false" outlineLevel="0" collapsed="false">
      <c r="A13274" s="0" t="s">
        <v>864</v>
      </c>
      <c r="B13274" s="0" t="s">
        <v>98</v>
      </c>
      <c r="D13274" s="6" t="n">
        <f aca="false">Sens!D13246</f>
        <v>12.9359794422418</v>
      </c>
      <c r="E13274" s="6" t="n">
        <f aca="false">Sens!E13246</f>
        <v>27.8095064661409</v>
      </c>
      <c r="F13274" s="6" t="n">
        <f aca="false">Sens!F13246</f>
        <v>26.709159235832</v>
      </c>
      <c r="G13274" s="6" t="n">
        <f aca="false">Sens!G13246</f>
        <v>39.6184712903838</v>
      </c>
      <c r="H13274" s="6" t="n">
        <f aca="false">Sens!H13246</f>
        <v>50.0293634184132</v>
      </c>
      <c r="I13274" s="6" t="n">
        <f aca="false">Sens!I13246</f>
        <v>62.5823598067833</v>
      </c>
      <c r="J13274" s="6" t="n">
        <f aca="false">Sens!J13246</f>
        <v>71.3334363150748</v>
      </c>
      <c r="K13274" s="6" t="n">
        <f aca="false">Sens!K13246</f>
        <v>76.7848167863276</v>
      </c>
    </row>
    <row r="13275" customFormat="false" ht="17.15" hidden="false" customHeight="false" outlineLevel="0" collapsed="false">
      <c r="A13275" s="0" t="s">
        <v>892</v>
      </c>
      <c r="B13275" s="0" t="s">
        <v>98</v>
      </c>
      <c r="D13275" s="6" t="n">
        <f aca="false">Sens!D13247</f>
        <v>59.6740205577583</v>
      </c>
      <c r="E13275" s="6" t="n">
        <f aca="false">Sens!E13247</f>
        <v>74.1284935338591</v>
      </c>
      <c r="F13275" s="6" t="n">
        <f aca="false">Sens!F13247</f>
        <v>90.0799497373663</v>
      </c>
      <c r="G13275" s="6" t="n">
        <f aca="false">Sens!G13247</f>
        <v>107.02842520331</v>
      </c>
      <c r="H13275" s="6" t="n">
        <f aca="false">Sens!H13247</f>
        <v>124.271982585636</v>
      </c>
      <c r="I13275" s="6" t="n">
        <f aca="false">Sens!I13247</f>
        <v>140.933702381855</v>
      </c>
      <c r="J13275" s="6" t="n">
        <f aca="false">Sens!J13247</f>
        <v>156.018867314332</v>
      </c>
      <c r="K13275" s="6" t="n">
        <f aca="false">Sens!K13247</f>
        <v>168.500376699478</v>
      </c>
    </row>
    <row r="13276" customFormat="false" ht="15" hidden="false" customHeight="false" outlineLevel="0" collapsed="false">
      <c r="A13276" s="0" t="s">
        <v>873</v>
      </c>
      <c r="B13276" s="0" t="s">
        <v>98</v>
      </c>
      <c r="D13276" s="6" t="n">
        <f aca="false">Sens!D13254</f>
        <v>84.605</v>
      </c>
      <c r="E13276" s="6" t="n">
        <f aca="false">Sens!E13254</f>
        <v>100.299</v>
      </c>
      <c r="F13276" s="6" t="n">
        <f aca="false">Sens!F13254</f>
        <v>117.39238776686</v>
      </c>
      <c r="G13276" s="6" t="n">
        <f aca="false">Sens!G13254</f>
        <v>132.544168448684</v>
      </c>
      <c r="H13276" s="6" t="n">
        <f aca="false">Sens!H13254</f>
        <v>147.777359388781</v>
      </c>
      <c r="I13276" s="6" t="n">
        <f aca="false">Sens!I13254</f>
        <v>162.084028071957</v>
      </c>
      <c r="J13276" s="6" t="n">
        <f aca="false">Sens!J13254</f>
        <v>175.182702785465</v>
      </c>
      <c r="K13276" s="6" t="n">
        <f aca="false">Sens!K13254</f>
        <v>187.527991980448</v>
      </c>
    </row>
    <row r="13277" customFormat="false" ht="17.15" hidden="false" customHeight="false" outlineLevel="0" collapsed="false">
      <c r="A13277" s="0" t="s">
        <v>893</v>
      </c>
      <c r="B13277" s="0" t="s">
        <v>98</v>
      </c>
      <c r="D13277" s="6" t="n">
        <f aca="false">Sens!D13252</f>
        <v>83.705</v>
      </c>
      <c r="E13277" s="6" t="n">
        <f aca="false">Sens!E13252</f>
        <v>95.049</v>
      </c>
      <c r="F13277" s="6" t="n">
        <f aca="false">Sens!F13252</f>
        <v>106.89238776686</v>
      </c>
      <c r="G13277" s="6" t="n">
        <f aca="false">Sens!G13252</f>
        <v>119.044168448684</v>
      </c>
      <c r="H13277" s="6" t="n">
        <f aca="false">Sens!H13252</f>
        <v>131.277359388781</v>
      </c>
      <c r="I13277" s="6" t="n">
        <f aca="false">Sens!I13252</f>
        <v>143.334028071957</v>
      </c>
      <c r="J13277" s="6" t="n">
        <f aca="false">Sens!J13252</f>
        <v>154.932702785465</v>
      </c>
      <c r="K13277" s="6" t="n">
        <f aca="false">Sens!K13252</f>
        <v>165.777991980448</v>
      </c>
    </row>
    <row r="13278" customFormat="false" ht="17.15" hidden="false" customHeight="false" outlineLevel="0" collapsed="false">
      <c r="A13278" s="0" t="s">
        <v>894</v>
      </c>
      <c r="B13278" s="0" t="s">
        <v>98</v>
      </c>
      <c r="D13278" s="6" t="n">
        <f aca="false">Sens!D13251</f>
        <v>0.9</v>
      </c>
      <c r="E13278" s="6" t="n">
        <f aca="false">Sens!E13251</f>
        <v>5.25</v>
      </c>
      <c r="F13278" s="6" t="n">
        <f aca="false">Sens!F13251</f>
        <v>10.5</v>
      </c>
      <c r="G13278" s="6" t="n">
        <f aca="false">Sens!G13251</f>
        <v>13.5</v>
      </c>
      <c r="H13278" s="6" t="n">
        <f aca="false">Sens!H13251</f>
        <v>16.5</v>
      </c>
      <c r="I13278" s="6" t="n">
        <f aca="false">Sens!I13251</f>
        <v>18.75</v>
      </c>
      <c r="J13278" s="6" t="n">
        <f aca="false">Sens!J13251</f>
        <v>20.25</v>
      </c>
      <c r="K13278" s="6" t="n">
        <f aca="false">Sens!K13251</f>
        <v>21.75</v>
      </c>
    </row>
    <row r="13279" customFormat="false" ht="15" hidden="false" customHeight="false" outlineLevel="0" collapsed="false">
      <c r="A13279" s="0" t="s">
        <v>874</v>
      </c>
      <c r="B13279" s="0" t="s">
        <v>98</v>
      </c>
      <c r="D13279" s="6" t="n">
        <f aca="false">Sens!D13255</f>
        <v>35.391</v>
      </c>
      <c r="E13279" s="6" t="n">
        <f aca="false">Sens!E13255</f>
        <v>37.285</v>
      </c>
      <c r="F13279" s="6" t="n">
        <f aca="false">Sens!F13255</f>
        <v>39.0720834331704</v>
      </c>
      <c r="G13279" s="6" t="n">
        <f aca="false">Sens!G13255</f>
        <v>40.726562953769</v>
      </c>
      <c r="H13279" s="6" t="n">
        <f aca="false">Sens!H13255</f>
        <v>42.2235987259198</v>
      </c>
      <c r="I13279" s="6" t="n">
        <f aca="false">Sens!I13255</f>
        <v>43.5397988077414</v>
      </c>
      <c r="J13279" s="6" t="n">
        <f aca="false">Sens!J13255</f>
        <v>44.653811225693</v>
      </c>
      <c r="K13279" s="6" t="n">
        <f aca="false">Sens!K13255</f>
        <v>45.5468874502068</v>
      </c>
    </row>
    <row r="13280" customFormat="false" ht="15" hidden="false" customHeight="false" outlineLevel="0" collapsed="false">
      <c r="A13280" s="0" t="s">
        <v>875</v>
      </c>
      <c r="B13280" s="0" t="s">
        <v>98</v>
      </c>
      <c r="D13280" s="6" t="n">
        <f aca="false">Sens!D13257</f>
        <v>18.417</v>
      </c>
      <c r="E13280" s="6" t="n">
        <f aca="false">Sens!E13257</f>
        <v>20.345</v>
      </c>
      <c r="F13280" s="6" t="n">
        <f aca="false">Sens!F13257</f>
        <v>22.3572203267814</v>
      </c>
      <c r="G13280" s="6" t="n">
        <f aca="false">Sens!G13257</f>
        <v>24.4392124437232</v>
      </c>
      <c r="H13280" s="6" t="n">
        <f aca="false">Sens!H13257</f>
        <v>26.5738052080665</v>
      </c>
      <c r="I13280" s="6" t="n">
        <f aca="false">Sens!I13257</f>
        <v>28.7412169166967</v>
      </c>
      <c r="J13280" s="6" t="n">
        <f aca="false">Sens!J13257</f>
        <v>30.9192545395413</v>
      </c>
      <c r="K13280" s="6" t="n">
        <f aca="false">Sens!K13257</f>
        <v>33.0836023573092</v>
      </c>
    </row>
    <row r="13281" customFormat="false" ht="15" hidden="false" customHeight="false" outlineLevel="0" collapsed="false">
      <c r="A13281" s="0" t="s">
        <v>876</v>
      </c>
      <c r="B13281" s="0" t="s">
        <v>98</v>
      </c>
      <c r="D13281" s="6" t="n">
        <f aca="false">Sens!D13259</f>
        <v>7.76</v>
      </c>
      <c r="E13281" s="6" t="n">
        <f aca="false">Sens!E13259</f>
        <v>8.26</v>
      </c>
      <c r="F13281" s="6" t="n">
        <f aca="false">Sens!F13259</f>
        <v>8.79988041237113</v>
      </c>
      <c r="G13281" s="6" t="n">
        <f aca="false">Sens!G13259</f>
        <v>9.38321269125306</v>
      </c>
      <c r="H13281" s="6" t="n">
        <f aca="false">Sens!H13259</f>
        <v>10.0139193587476</v>
      </c>
      <c r="I13281" s="6" t="n">
        <f aca="false">Sens!I13259</f>
        <v>10.6963111830911</v>
      </c>
      <c r="J13281" s="6" t="n">
        <f aca="false">Sens!J13259</f>
        <v>11.4351285534696</v>
      </c>
      <c r="K13281" s="6" t="n">
        <f aca="false">Sens!K13259</f>
        <v>12.2355875522124</v>
      </c>
    </row>
    <row r="13282" customFormat="false" ht="15" hidden="false" customHeight="false" outlineLevel="0" collapsed="false">
      <c r="A13282" s="0" t="s">
        <v>704</v>
      </c>
      <c r="B13282" s="0" t="s">
        <v>98</v>
      </c>
      <c r="D13282" s="6" t="n">
        <f aca="false">Sens!D13261</f>
        <v>218.783</v>
      </c>
      <c r="E13282" s="6" t="n">
        <f aca="false">Sens!E13261</f>
        <v>268.127</v>
      </c>
      <c r="F13282" s="6" t="n">
        <f aca="false">Sens!F13261</f>
        <v>304.410680912381</v>
      </c>
      <c r="G13282" s="6" t="n">
        <f aca="false">Sens!G13261</f>
        <v>353.740053031123</v>
      </c>
      <c r="H13282" s="6" t="n">
        <f aca="false">Sens!H13261</f>
        <v>400.890028685564</v>
      </c>
      <c r="I13282" s="6" t="n">
        <f aca="false">Sens!I13261</f>
        <v>448.577417168124</v>
      </c>
      <c r="J13282" s="6" t="n">
        <f aca="false">Sens!J13261</f>
        <v>489.543200733575</v>
      </c>
      <c r="K13282" s="6" t="n">
        <f aca="false">Sens!K13261</f>
        <v>523.679262825982</v>
      </c>
    </row>
    <row r="13283" customFormat="false" ht="15" hidden="false" customHeight="false" outlineLevel="0" collapsed="false">
      <c r="A13283" s="0" t="s">
        <v>877</v>
      </c>
      <c r="B13283" s="0" t="s">
        <v>98</v>
      </c>
      <c r="D13283" s="6" t="n">
        <f aca="false">Sens!D13262</f>
        <v>22.171</v>
      </c>
      <c r="E13283" s="6" t="n">
        <f aca="false">Sens!E13262</f>
        <v>24.835</v>
      </c>
      <c r="F13283" s="6" t="n">
        <f aca="false">Sens!F13262</f>
        <v>27.6114901218559</v>
      </c>
      <c r="G13283" s="6" t="n">
        <f aca="false">Sens!G13262</f>
        <v>30.4675667338515</v>
      </c>
      <c r="H13283" s="6" t="n">
        <f aca="false">Sens!H13262</f>
        <v>33.3643766955789</v>
      </c>
      <c r="I13283" s="6" t="n">
        <f aca="false">Sens!I13262</f>
        <v>36.2577016533691</v>
      </c>
      <c r="J13283" s="6" t="n">
        <f aca="false">Sens!J13262</f>
        <v>39.0988367952171</v>
      </c>
      <c r="K13283" s="6" t="n">
        <f aca="false">Sens!K13262</f>
        <v>41.8357553708823</v>
      </c>
    </row>
    <row r="13284" customFormat="false" ht="15" hidden="false" customHeight="false" outlineLevel="0" collapsed="false">
      <c r="A13284" s="0" t="s">
        <v>878</v>
      </c>
      <c r="B13284" s="0" t="s">
        <v>98</v>
      </c>
      <c r="D13284" s="6" t="n">
        <f aca="false">Sens!D13264</f>
        <v>23.455</v>
      </c>
      <c r="E13284" s="6" t="n">
        <f aca="false">Sens!E13264</f>
        <v>21.79</v>
      </c>
      <c r="F13284" s="6" t="n">
        <f aca="false">Sens!F13264</f>
        <v>20.5736277908051</v>
      </c>
      <c r="G13284" s="6" t="n">
        <f aca="false">Sens!G13264</f>
        <v>19.7371452817919</v>
      </c>
      <c r="H13284" s="6" t="n">
        <f aca="false">Sens!H13264</f>
        <v>19.2339764043138</v>
      </c>
      <c r="I13284" s="6" t="n">
        <f aca="false">Sens!I13264</f>
        <v>19.0353086852681</v>
      </c>
      <c r="J13284" s="6" t="n">
        <f aca="false">Sens!J13264</f>
        <v>19.1273539319129</v>
      </c>
      <c r="K13284" s="6" t="n">
        <f aca="false">Sens!K13264</f>
        <v>19.5099010105511</v>
      </c>
    </row>
    <row r="13285" customFormat="false" ht="15" hidden="false" customHeight="false" outlineLevel="0" collapsed="false">
      <c r="A13285" s="0" t="s">
        <v>879</v>
      </c>
      <c r="B13285" s="0" t="s">
        <v>98</v>
      </c>
      <c r="D13285" s="6" t="n">
        <f aca="false">Sens!D13266</f>
        <v>17.315</v>
      </c>
      <c r="E13285" s="6" t="n">
        <f aca="false">Sens!E13266</f>
        <v>17.087</v>
      </c>
      <c r="F13285" s="6" t="n">
        <f aca="false">Sens!F13266</f>
        <v>16.9564585436519</v>
      </c>
      <c r="G13285" s="6" t="n">
        <f aca="false">Sens!G13266</f>
        <v>16.9206490624268</v>
      </c>
      <c r="H13285" s="6" t="n">
        <f aca="false">Sens!H13266</f>
        <v>16.9784519149849</v>
      </c>
      <c r="I13285" s="6" t="n">
        <f aca="false">Sens!I13266</f>
        <v>17.1303084701817</v>
      </c>
      <c r="J13285" s="6" t="n">
        <f aca="false">Sens!J13266</f>
        <v>17.3782189407267</v>
      </c>
      <c r="K13285" s="6" t="n">
        <f aca="false">Sens!K13266</f>
        <v>17.7257833195413</v>
      </c>
    </row>
    <row r="13286" customFormat="false" ht="15" hidden="false" customHeight="false" outlineLevel="0" collapsed="false">
      <c r="A13286" s="0" t="s">
        <v>718</v>
      </c>
      <c r="B13286" s="0" t="s">
        <v>98</v>
      </c>
      <c r="D13286" s="6" t="n">
        <f aca="false">Sens!D13268</f>
        <v>62.941</v>
      </c>
      <c r="E13286" s="6" t="n">
        <f aca="false">Sens!E13268</f>
        <v>63.712</v>
      </c>
      <c r="F13286" s="6" t="n">
        <f aca="false">Sens!F13268</f>
        <v>65.1415764563129</v>
      </c>
      <c r="G13286" s="6" t="n">
        <f aca="false">Sens!G13268</f>
        <v>67.1253610780702</v>
      </c>
      <c r="H13286" s="6" t="n">
        <f aca="false">Sens!H13268</f>
        <v>69.5768050148776</v>
      </c>
      <c r="I13286" s="6" t="n">
        <f aca="false">Sens!I13268</f>
        <v>72.4233188088189</v>
      </c>
      <c r="J13286" s="6" t="n">
        <f aca="false">Sens!J13268</f>
        <v>75.6044096678567</v>
      </c>
      <c r="K13286" s="6" t="n">
        <f aca="false">Sens!K13268</f>
        <v>79.0714397009747</v>
      </c>
    </row>
    <row r="13287" customFormat="false" ht="15" hidden="false" customHeight="false" outlineLevel="0" collapsed="false">
      <c r="A13287" s="1" t="s">
        <v>895</v>
      </c>
      <c r="B13287" s="0" t="s">
        <v>98</v>
      </c>
      <c r="D13287" s="6" t="n">
        <f aca="false">Sens!D13269</f>
        <v>281.724</v>
      </c>
      <c r="E13287" s="6" t="n">
        <f aca="false">Sens!E13269</f>
        <v>331.839</v>
      </c>
      <c r="F13287" s="6" t="n">
        <f aca="false">Sens!F13269</f>
        <v>369.552257368694</v>
      </c>
      <c r="G13287" s="6" t="n">
        <f aca="false">Sens!G13269</f>
        <v>420.865414109193</v>
      </c>
      <c r="H13287" s="6" t="n">
        <f aca="false">Sens!H13269</f>
        <v>470.466833700442</v>
      </c>
      <c r="I13287" s="6" t="n">
        <f aca="false">Sens!I13269</f>
        <v>521.000735976943</v>
      </c>
      <c r="J13287" s="6" t="n">
        <f aca="false">Sens!J13269</f>
        <v>565.147610401432</v>
      </c>
      <c r="K13287" s="6" t="n">
        <f aca="false">Sens!K13269</f>
        <v>602.750702526957</v>
      </c>
    </row>
    <row r="13288" customFormat="false" ht="15" hidden="false" customHeight="false" outlineLevel="0" collapsed="false">
      <c r="A13288" s="1" t="s">
        <v>896</v>
      </c>
      <c r="B13288" s="0" t="s">
        <v>129</v>
      </c>
      <c r="E13288" s="7" t="n">
        <f aca="false">Sens!E13287/Sens!D13287-1</f>
        <v>0.177886867998467</v>
      </c>
      <c r="F13288" s="7" t="n">
        <f aca="false">Sens!F13287/Sens!E13287-1</f>
        <v>0.113649261746492</v>
      </c>
      <c r="G13288" s="7" t="n">
        <f aca="false">Sens!G13287/Sens!F13287-1</f>
        <v>0.13885223460915</v>
      </c>
      <c r="H13288" s="7" t="n">
        <f aca="false">Sens!H13287/Sens!G13287-1</f>
        <v>0.117855775096739</v>
      </c>
      <c r="I13288" s="7" t="n">
        <f aca="false">Sens!I13287/Sens!H13287-1</f>
        <v>0.10741225237713</v>
      </c>
      <c r="J13288" s="7" t="n">
        <f aca="false">Sens!J13287/Sens!I13287-1</f>
        <v>0.0847347640338896</v>
      </c>
      <c r="K13288" s="7" t="n">
        <f aca="false">Sens!K13287/Sens!J13287-1</f>
        <v>0.0665367621369122</v>
      </c>
    </row>
    <row r="13289" customFormat="false" ht="17.15" hidden="false" customHeight="false" outlineLevel="0" collapsed="false">
      <c r="A13289" s="23" t="s">
        <v>897</v>
      </c>
      <c r="B13289" s="30" t="s">
        <v>98</v>
      </c>
      <c r="C13289" s="30"/>
      <c r="D13289" s="24" t="n">
        <f aca="false">(Sens!D13282+Sens!D13286-Sens!D13287)+(Sens!D13274+Sens!D13275-Sens!D13273)+(Sens!D13277+Sens!D13278-Sens!D13276)+(Sens!D13287-Q!L18)</f>
        <v>0</v>
      </c>
      <c r="E13289" s="24" t="n">
        <f aca="false">(Sens!E13282+Sens!E13286-Sens!E13287)+(Sens!E13274+Sens!E13275-Sens!E13273)+(Sens!E13277+Sens!E13278-Sens!E13276)+(Sens!E13287-Q!M18)</f>
        <v>0</v>
      </c>
      <c r="F13289" s="24" t="n">
        <f aca="false">(Sens!F13282+Sens!F13286-Sens!F13287)+(Sens!F13274+Sens!F13275-Sens!F13273)+(Sens!F13277+Sens!F13278-Sens!F13276)</f>
        <v>0</v>
      </c>
      <c r="G13289" s="24" t="n">
        <f aca="false">(Sens!G13282+Sens!G13286-Sens!G13287)+(Sens!G13274+Sens!G13275-Sens!G13273)+(Sens!G13277+Sens!G13278-Sens!G13276)</f>
        <v>0</v>
      </c>
      <c r="H13289" s="24" t="n">
        <f aca="false">(Sens!H13282+Sens!H13286-Sens!H13287)+(Sens!H13274+Sens!H13275-Sens!H13273)+(Sens!H13277+Sens!H13278-Sens!H13276)</f>
        <v>0</v>
      </c>
      <c r="I13289" s="24" t="n">
        <f aca="false">(Sens!I13282+Sens!I13286-Sens!I13287)+(Sens!I13274+Sens!I13275-Sens!I13273)+(Sens!I13277+Sens!I13278-Sens!I13276)</f>
        <v>0</v>
      </c>
      <c r="J13289" s="24" t="n">
        <f aca="false">(Sens!J13282+Sens!J13286-Sens!J13287)+(Sens!J13274+Sens!J13275-Sens!J13273)+(Sens!J13277+Sens!J13278-Sens!J13276)</f>
        <v>0</v>
      </c>
      <c r="K13289" s="24" t="n">
        <f aca="false">(Sens!K13282+Sens!K13286-Sens!K13287)+(Sens!K13274+Sens!K13275-Sens!K13273)+(Sens!K13277+Sens!K13278-Sens!K13276)</f>
        <v>0</v>
      </c>
    </row>
    <row r="13290" customFormat="false" ht="17.15" hidden="false" customHeight="false" outlineLevel="0" collapsed="false">
      <c r="A13290" s="0" t="s">
        <v>898</v>
      </c>
      <c r="B13290" s="0" t="s">
        <v>129</v>
      </c>
      <c r="E13290" s="7" t="n">
        <f aca="false">(Q!M21+Sens!E13227+Sens!E13228+Sens!E13229+Sens!E13242-Sens!E13225)/(Q!M5-Sens!E13225)</f>
        <v>0.570957350878296</v>
      </c>
      <c r="F13290" s="7" t="n">
        <f aca="false">Sens!$E$13290+dm_seg</f>
        <v>0.570957350878296</v>
      </c>
      <c r="G13290" s="7" t="n">
        <f aca="false">Sens!$E$13290+dm_seg</f>
        <v>0.570957350878296</v>
      </c>
      <c r="H13290" s="7" t="n">
        <f aca="false">Sens!$E$13290+dm_seg</f>
        <v>0.570957350878296</v>
      </c>
      <c r="I13290" s="7" t="n">
        <f aca="false">Sens!$E$13290+dm_seg</f>
        <v>0.570957350878296</v>
      </c>
      <c r="J13290" s="7" t="n">
        <f aca="false">Sens!$E$13290+dm_seg</f>
        <v>0.570957350878296</v>
      </c>
      <c r="K13290" s="7" t="n">
        <f aca="false">Sens!$E$13290+dm_seg</f>
        <v>0.570957350878296</v>
      </c>
      <c r="L13290" s="11" t="s">
        <v>899</v>
      </c>
    </row>
    <row r="13291" customFormat="false" ht="17.15" hidden="false" customHeight="false" outlineLevel="0" collapsed="false">
      <c r="A13291" s="0" t="s">
        <v>732</v>
      </c>
      <c r="B13291" s="0" t="s">
        <v>98</v>
      </c>
      <c r="D13291" s="6" t="n">
        <f aca="false">Q!L21</f>
        <v>110.814</v>
      </c>
      <c r="E13291" s="6" t="n">
        <f aca="false">Q!M21</f>
        <v>136.365</v>
      </c>
      <c r="F13291" s="6" t="n">
        <f aca="false">Sens!F13290*(Sens!F13261-Sens!F13225)+Sens!F13225-(Sens!F13227+Sens!F13228+Sens!F13229)-Sens!F13242</f>
        <v>128.374352555002</v>
      </c>
      <c r="G13291" s="6" t="n">
        <f aca="false">Sens!G13290*(Sens!G13261-Sens!G13225)+Sens!G13225-(Sens!G13227+Sens!G13228+Sens!G13229)-Sens!G13242</f>
        <v>124.754346259024</v>
      </c>
      <c r="H13291" s="6" t="n">
        <f aca="false">Sens!H13290*(Sens!H13261-Sens!H13225)+Sens!H13225-(Sens!H13227+Sens!H13228+Sens!H13229)-Sens!H13242</f>
        <v>117.709107138578</v>
      </c>
      <c r="I13291" s="6" t="n">
        <f aca="false">Sens!I13290*(Sens!I13261-Sens!I13225)+Sens!I13225-(Sens!I13227+Sens!I13228+Sens!I13229)-Sens!I13242</f>
        <v>116.377813148215</v>
      </c>
      <c r="J13291" s="6" t="n">
        <f aca="false">Sens!J13290*(Sens!J13261-Sens!J13225)+Sens!J13225-(Sens!J13227+Sens!J13228+Sens!J13229)-Sens!J13242</f>
        <v>119.789175918696</v>
      </c>
      <c r="K13291" s="6" t="n">
        <f aca="false">Sens!K13290*(Sens!K13261-Sens!K13225)+Sens!K13225-(Sens!K13227+Sens!K13228+Sens!K13229)-Sens!K13242</f>
        <v>127.646625423196</v>
      </c>
      <c r="L13291" s="1" t="s">
        <v>900</v>
      </c>
    </row>
    <row r="13292" customFormat="false" ht="17.15" hidden="false" customHeight="false" outlineLevel="0" collapsed="false">
      <c r="A13292" s="0" t="s">
        <v>901</v>
      </c>
      <c r="B13292" s="0" t="s">
        <v>129</v>
      </c>
      <c r="E13292" s="7" t="n">
        <f aca="false">Q!M22/Q!M12</f>
        <v>0.296207935710698</v>
      </c>
      <c r="F13292" s="7" t="n">
        <f aca="false">Sens!$E$13292+dm_seg</f>
        <v>0.296207935710698</v>
      </c>
      <c r="G13292" s="7" t="n">
        <f aca="false">Sens!$E$13292+dm_seg</f>
        <v>0.296207935710698</v>
      </c>
      <c r="H13292" s="7" t="n">
        <f aca="false">Sens!$E$13292+dm_seg</f>
        <v>0.296207935710698</v>
      </c>
      <c r="I13292" s="7" t="n">
        <f aca="false">Sens!$E$13292+dm_seg</f>
        <v>0.296207935710698</v>
      </c>
      <c r="J13292" s="7" t="n">
        <f aca="false">Sens!$E$13292+dm_seg</f>
        <v>0.296207935710698</v>
      </c>
      <c r="K13292" s="7" t="n">
        <f aca="false">Sens!$E$13292+dm_seg</f>
        <v>0.296207935710698</v>
      </c>
      <c r="L13292" s="11" t="s">
        <v>902</v>
      </c>
    </row>
    <row r="13293" customFormat="false" ht="17.15" hidden="false" customHeight="false" outlineLevel="0" collapsed="false">
      <c r="A13293" s="0" t="s">
        <v>734</v>
      </c>
      <c r="B13293" s="0" t="s">
        <v>98</v>
      </c>
      <c r="D13293" s="6" t="n">
        <f aca="false">Q!L22</f>
        <v>17.714</v>
      </c>
      <c r="E13293" s="6" t="n">
        <f aca="false">Q!M22</f>
        <v>18.872</v>
      </c>
      <c r="F13293" s="6" t="n">
        <f aca="false">Sens!F13268*Sens!F13292</f>
        <v>19.2954518910651</v>
      </c>
      <c r="G13293" s="6" t="n">
        <f aca="false">Sens!G13268*Sens!G13292</f>
        <v>19.8830646387704</v>
      </c>
      <c r="H13293" s="6" t="n">
        <f aca="false">Sens!H13268*Sens!H13292</f>
        <v>20.6092017868026</v>
      </c>
      <c r="I13293" s="6" t="n">
        <f aca="false">Sens!I13268*Sens!I13292</f>
        <v>21.452361761678</v>
      </c>
      <c r="J13293" s="6" t="n">
        <f aca="false">Sens!J13268*Sens!J13292</f>
        <v>22.3946261183418</v>
      </c>
      <c r="K13293" s="6" t="n">
        <f aca="false">Sens!K13268*Sens!K13292</f>
        <v>23.4215879274986</v>
      </c>
    </row>
    <row r="13294" customFormat="false" ht="15" hidden="false" customHeight="false" outlineLevel="0" collapsed="false">
      <c r="A13294" s="1" t="s">
        <v>903</v>
      </c>
      <c r="B13294" s="0" t="s">
        <v>98</v>
      </c>
      <c r="D13294" s="6" t="n">
        <f aca="false">Sens!D13291+Sens!D13293</f>
        <v>128.528</v>
      </c>
      <c r="E13294" s="6" t="n">
        <f aca="false">Sens!E13291+Sens!E13293</f>
        <v>155.237</v>
      </c>
      <c r="F13294" s="6" t="n">
        <f aca="false">Sens!F13291+Sens!F13293</f>
        <v>147.669804446067</v>
      </c>
      <c r="G13294" s="6" t="n">
        <f aca="false">Sens!G13291+Sens!G13293</f>
        <v>144.637410897794</v>
      </c>
      <c r="H13294" s="6" t="n">
        <f aca="false">Sens!H13291+Sens!H13293</f>
        <v>138.31830892538</v>
      </c>
      <c r="I13294" s="6" t="n">
        <f aca="false">Sens!I13291+Sens!I13293</f>
        <v>137.830174909893</v>
      </c>
      <c r="J13294" s="6" t="n">
        <f aca="false">Sens!J13291+Sens!J13293</f>
        <v>142.183802037038</v>
      </c>
      <c r="K13294" s="6" t="n">
        <f aca="false">Sens!K13291+Sens!K13293</f>
        <v>151.068213350694</v>
      </c>
    </row>
    <row r="13295" customFormat="false" ht="15" hidden="false" customHeight="false" outlineLevel="0" collapsed="false">
      <c r="A13295" s="23" t="s">
        <v>904</v>
      </c>
      <c r="B13295" s="30" t="s">
        <v>98</v>
      </c>
      <c r="C13295" s="30"/>
      <c r="D13295" s="24" t="n">
        <f aca="false">Sens!D13294-Q!L23</f>
        <v>0</v>
      </c>
      <c r="E13295" s="24" t="n">
        <f aca="false">Sens!E13294-Q!M23</f>
        <v>0</v>
      </c>
      <c r="F13295" s="30"/>
      <c r="G13295" s="30"/>
      <c r="H13295" s="30"/>
      <c r="I13295" s="30"/>
      <c r="J13295" s="30"/>
      <c r="K13295" s="30"/>
    </row>
    <row r="13296" customFormat="false" ht="15" hidden="false" customHeight="false" outlineLevel="0" collapsed="false">
      <c r="A13296" s="1" t="s">
        <v>905</v>
      </c>
      <c r="B13296" s="0" t="s">
        <v>129</v>
      </c>
      <c r="D13296" s="7" t="n">
        <f aca="false">Sens!D13294/Sens!D13287</f>
        <v>0.456219562408598</v>
      </c>
      <c r="E13296" s="7" t="n">
        <f aca="false">Sens!E13294/Sens!E13287</f>
        <v>0.467808184089272</v>
      </c>
      <c r="F13296" s="7" t="n">
        <f aca="false">Sens!F13294/Sens!F13287</f>
        <v>0.399591130893134</v>
      </c>
      <c r="G13296" s="7" t="n">
        <f aca="false">Sens!G13294/Sens!G13287</f>
        <v>0.343666659337962</v>
      </c>
      <c r="H13296" s="7" t="n">
        <f aca="false">Sens!H13294/Sens!H13287</f>
        <v>0.294002252693229</v>
      </c>
      <c r="I13296" s="7" t="n">
        <f aca="false">Sens!I13294/Sens!I13287</f>
        <v>0.264548906349324</v>
      </c>
      <c r="J13296" s="7" t="n">
        <f aca="false">Sens!J13294/Sens!J13287</f>
        <v>0.251587018011175</v>
      </c>
      <c r="K13296" s="7" t="n">
        <f aca="false">Sens!K13294/Sens!K13287</f>
        <v>0.250631335172833</v>
      </c>
    </row>
    <row r="13297" customFormat="false" ht="17.15" hidden="false" customHeight="false" outlineLevel="0" collapsed="false">
      <c r="A13297" s="1" t="s">
        <v>906</v>
      </c>
      <c r="B13297" s="0" t="s">
        <v>98</v>
      </c>
      <c r="F13297" s="6" t="n">
        <f aca="false">Sens!F13312</f>
        <v>20.7922544923746</v>
      </c>
      <c r="G13297" s="6" t="n">
        <f aca="false">Sens!G13312</f>
        <v>37.7052575228648</v>
      </c>
      <c r="H13297" s="6" t="n">
        <f aca="false">Sens!H13312</f>
        <v>55.9707166463052</v>
      </c>
      <c r="I13297" s="6" t="n">
        <f aca="false">Sens!I13312</f>
        <v>72.386177414753</v>
      </c>
      <c r="J13297" s="6" t="n">
        <f aca="false">Sens!J13312</f>
        <v>83.8561542203386</v>
      </c>
      <c r="K13297" s="6" t="n">
        <f aca="false">Sens!K13312</f>
        <v>90.6046701138278</v>
      </c>
      <c r="L13297" s="1" t="s">
        <v>907</v>
      </c>
    </row>
    <row r="13298" customFormat="false" ht="17.15" hidden="false" customHeight="false" outlineLevel="0" collapsed="false">
      <c r="A13298" s="1" t="s">
        <v>908</v>
      </c>
      <c r="B13298" s="0" t="s">
        <v>98</v>
      </c>
      <c r="D13298" s="6" t="n">
        <f aca="false">Sens!D13294</f>
        <v>128.528</v>
      </c>
      <c r="E13298" s="6" t="n">
        <f aca="false">Sens!E13294</f>
        <v>155.237</v>
      </c>
      <c r="F13298" s="6" t="n">
        <f aca="false">Sens!F13294+Sens!F13297</f>
        <v>168.462058938442</v>
      </c>
      <c r="G13298" s="6" t="n">
        <f aca="false">Sens!G13294+Sens!G13297</f>
        <v>182.342668420659</v>
      </c>
      <c r="H13298" s="6" t="n">
        <f aca="false">Sens!H13294+Sens!H13297</f>
        <v>194.289025571686</v>
      </c>
      <c r="I13298" s="6" t="n">
        <f aca="false">Sens!I13294+Sens!I13297</f>
        <v>210.216352324646</v>
      </c>
      <c r="J13298" s="6" t="n">
        <f aca="false">Sens!J13294+Sens!J13297</f>
        <v>226.039956257376</v>
      </c>
      <c r="K13298" s="6" t="n">
        <f aca="false">Sens!K13294+Sens!K13297</f>
        <v>241.672883464522</v>
      </c>
    </row>
    <row r="13299" customFormat="false" ht="17.15" hidden="false" customHeight="false" outlineLevel="0" collapsed="false">
      <c r="A13299" s="1" t="s">
        <v>909</v>
      </c>
      <c r="B13299" s="0" t="s">
        <v>98</v>
      </c>
      <c r="E13299" s="6" t="n">
        <f aca="false">Sens!E13242</f>
        <v>16.3054059770833</v>
      </c>
      <c r="F13299" s="6" t="n">
        <f aca="false">Sens!F13242</f>
        <v>34.7530354558698</v>
      </c>
      <c r="G13299" s="6" t="n">
        <f aca="false">Sens!G13242</f>
        <v>60.5317332603396</v>
      </c>
      <c r="H13299" s="6" t="n">
        <f aca="false">Sens!H13242</f>
        <v>87.7673159931396</v>
      </c>
      <c r="I13299" s="6" t="n">
        <f aca="false">Sens!I13242</f>
        <v>112.012039982221</v>
      </c>
      <c r="J13299" s="6" t="n">
        <f aca="false">Sens!J13242</f>
        <v>129.208710922666</v>
      </c>
      <c r="K13299" s="6" t="n">
        <f aca="false">Sens!K13242</f>
        <v>139.672646804474</v>
      </c>
    </row>
    <row r="13300" customFormat="false" ht="17.15" hidden="false" customHeight="false" outlineLevel="0" collapsed="false">
      <c r="A13300" s="1" t="s">
        <v>910</v>
      </c>
      <c r="B13300" s="0" t="s">
        <v>98</v>
      </c>
      <c r="E13300" s="6" t="n">
        <f aca="false">Sens!E13324</f>
        <v>22.2285940229167</v>
      </c>
      <c r="F13300" s="6" t="n">
        <f aca="false">Sens!F13324</f>
        <v>23.5486693435813</v>
      </c>
      <c r="G13300" s="6" t="n">
        <f aca="false">Sens!G13324</f>
        <v>25.264091766262</v>
      </c>
      <c r="H13300" s="6" t="n">
        <f aca="false">Sens!H13324</f>
        <v>27.3438339540448</v>
      </c>
      <c r="I13300" s="6" t="n">
        <f aca="false">Sens!I13324</f>
        <v>29.7317905898047</v>
      </c>
      <c r="J13300" s="6" t="n">
        <f aca="false">Sens!J13324</f>
        <v>32.3542028558616</v>
      </c>
      <c r="K13300" s="6" t="n">
        <f aca="false">Sens!K13324</f>
        <v>35.1281528444749</v>
      </c>
    </row>
    <row r="13301" customFormat="false" ht="17.15" hidden="false" customHeight="false" outlineLevel="0" collapsed="false">
      <c r="A13301" s="1" t="s">
        <v>911</v>
      </c>
      <c r="B13301" s="0" t="s">
        <v>98</v>
      </c>
      <c r="D13301" s="6" t="n">
        <f aca="false">Q!L27</f>
        <v>-4.901</v>
      </c>
      <c r="E13301" s="6" t="n">
        <f aca="false">Q!M27</f>
        <v>10.697</v>
      </c>
      <c r="F13301" s="6" t="n">
        <f aca="false">oie_f</f>
        <v>-0.4</v>
      </c>
      <c r="G13301" s="6" t="n">
        <f aca="false">oie_f</f>
        <v>-0.4</v>
      </c>
      <c r="H13301" s="6" t="n">
        <f aca="false">oie_f</f>
        <v>-0.4</v>
      </c>
      <c r="I13301" s="6" t="n">
        <f aca="false">oie_f</f>
        <v>-0.4</v>
      </c>
      <c r="J13301" s="6" t="n">
        <f aca="false">oie_f</f>
        <v>-0.4</v>
      </c>
      <c r="K13301" s="6" t="n">
        <f aca="false">oie_f</f>
        <v>-0.4</v>
      </c>
      <c r="L13301" s="11" t="s">
        <v>912</v>
      </c>
    </row>
    <row r="13302" customFormat="false" ht="15" hidden="false" customHeight="false" outlineLevel="0" collapsed="false">
      <c r="A13302" s="1" t="s">
        <v>913</v>
      </c>
      <c r="B13302" s="0" t="s">
        <v>98</v>
      </c>
      <c r="D13302" s="6" t="n">
        <f aca="false">Sens!D13294+Sens!D13301</f>
        <v>123.627</v>
      </c>
      <c r="E13302" s="6" t="n">
        <f aca="false">Sens!E13294+Sens!E13301</f>
        <v>165.934</v>
      </c>
      <c r="F13302" s="6" t="n">
        <f aca="false">Sens!F13294+Sens!F13301</f>
        <v>147.269804446067</v>
      </c>
      <c r="G13302" s="6" t="n">
        <f aca="false">Sens!G13294+Sens!G13301</f>
        <v>144.237410897794</v>
      </c>
      <c r="H13302" s="6" t="n">
        <f aca="false">Sens!H13294+Sens!H13301</f>
        <v>137.91830892538</v>
      </c>
      <c r="I13302" s="6" t="n">
        <f aca="false">Sens!I13294+Sens!I13301</f>
        <v>137.430174909893</v>
      </c>
      <c r="J13302" s="6" t="n">
        <f aca="false">Sens!J13294+Sens!J13301</f>
        <v>141.783802037038</v>
      </c>
      <c r="K13302" s="6" t="n">
        <f aca="false">Sens!K13294+Sens!K13301</f>
        <v>150.668213350694</v>
      </c>
    </row>
    <row r="13303" customFormat="false" ht="15" hidden="false" customHeight="false" outlineLevel="0" collapsed="false">
      <c r="A13303" s="1" t="s">
        <v>914</v>
      </c>
      <c r="B13303" s="0" t="s">
        <v>98</v>
      </c>
      <c r="D13303" s="6" t="n">
        <f aca="false">Q!L29</f>
        <v>21.795</v>
      </c>
      <c r="E13303" s="6" t="n">
        <f aca="false">Q!M29</f>
        <v>32.185</v>
      </c>
      <c r="F13303" s="6" t="n">
        <f aca="false">Sens!F13302*tax_f</f>
        <v>29.4539608892134</v>
      </c>
      <c r="G13303" s="6" t="n">
        <f aca="false">Sens!G13302*tax_f</f>
        <v>28.8474821795589</v>
      </c>
      <c r="H13303" s="6" t="n">
        <f aca="false">Sens!H13302*tax_f</f>
        <v>27.5836617850761</v>
      </c>
      <c r="I13303" s="6" t="n">
        <f aca="false">Sens!I13302*tax_f</f>
        <v>27.4860349819786</v>
      </c>
      <c r="J13303" s="6" t="n">
        <f aca="false">Sens!J13302*tax_f</f>
        <v>28.3567604074075</v>
      </c>
      <c r="K13303" s="6" t="n">
        <f aca="false">Sens!K13302*tax_f</f>
        <v>30.1336426701389</v>
      </c>
    </row>
    <row r="13304" customFormat="false" ht="15" hidden="false" customHeight="false" outlineLevel="0" collapsed="false">
      <c r="A13304" s="1" t="s">
        <v>915</v>
      </c>
      <c r="B13304" s="0" t="s">
        <v>98</v>
      </c>
      <c r="D13304" s="6" t="n">
        <f aca="false">Sens!D13302-Sens!D13303</f>
        <v>101.832</v>
      </c>
      <c r="E13304" s="6" t="n">
        <f aca="false">Sens!E13302-Sens!E13303</f>
        <v>133.749</v>
      </c>
      <c r="F13304" s="6" t="n">
        <f aca="false">Sens!F13302-Sens!F13303</f>
        <v>117.815843556854</v>
      </c>
      <c r="G13304" s="6" t="n">
        <f aca="false">Sens!G13302-Sens!G13303</f>
        <v>115.389928718235</v>
      </c>
      <c r="H13304" s="6" t="n">
        <f aca="false">Sens!H13302-Sens!H13303</f>
        <v>110.334647140304</v>
      </c>
      <c r="I13304" s="6" t="n">
        <f aca="false">Sens!I13302-Sens!I13303</f>
        <v>109.944139927914</v>
      </c>
      <c r="J13304" s="6" t="n">
        <f aca="false">Sens!J13302-Sens!J13303</f>
        <v>113.42704162963</v>
      </c>
      <c r="K13304" s="6" t="n">
        <f aca="false">Sens!K13302-Sens!K13303</f>
        <v>120.534570680555</v>
      </c>
    </row>
    <row r="13305" customFormat="false" ht="17.15" hidden="false" customHeight="false" outlineLevel="0" collapsed="false">
      <c r="A13305" s="1" t="s">
        <v>916</v>
      </c>
      <c r="B13305" s="1" t="s">
        <v>81</v>
      </c>
      <c r="D13305" s="14" t="n">
        <f aca="false">Q!L31</f>
        <v>7.465</v>
      </c>
      <c r="E13305" s="14" t="n">
        <f aca="false">Q!M31</f>
        <v>7.453</v>
      </c>
      <c r="F13305" s="14" t="n">
        <f aca="false">Sens!F13346</f>
        <v>7.4735</v>
      </c>
      <c r="G13305" s="14" t="n">
        <f aca="false">Sens!G13346</f>
        <v>7.5185</v>
      </c>
      <c r="H13305" s="14" t="n">
        <f aca="false">Sens!H13346</f>
        <v>7.5635</v>
      </c>
      <c r="I13305" s="14" t="n">
        <f aca="false">Sens!I13346</f>
        <v>7.59744492591817</v>
      </c>
      <c r="J13305" s="14" t="n">
        <f aca="false">Sens!J13346</f>
        <v>7.61660211679686</v>
      </c>
      <c r="K13305" s="14" t="n">
        <f aca="false">Sens!K13346</f>
        <v>7.6331220344986</v>
      </c>
    </row>
    <row r="13306" customFormat="false" ht="17.15" hidden="false" customHeight="false" outlineLevel="0" collapsed="false">
      <c r="A13306" s="0" t="s">
        <v>917</v>
      </c>
      <c r="B13306" s="0" t="s">
        <v>75</v>
      </c>
      <c r="D13306" s="8" t="n">
        <f aca="false">Sens!D13304/Sens!D13305</f>
        <v>13.641259209645</v>
      </c>
      <c r="E13306" s="8" t="n">
        <f aca="false">Sens!E13304/Sens!E13305</f>
        <v>17.9456594659869</v>
      </c>
      <c r="F13306" s="8" t="n">
        <f aca="false">Sens!F13304/Sens!F13305</f>
        <v>15.7644803046569</v>
      </c>
      <c r="G13306" s="8" t="n">
        <f aca="false">Sens!G13304/Sens!G13305</f>
        <v>15.3474667444617</v>
      </c>
      <c r="H13306" s="8" t="n">
        <f aca="false">Sens!H13304/Sens!H13305</f>
        <v>14.5877764448079</v>
      </c>
      <c r="I13306" s="8" t="n">
        <f aca="false">Sens!I13304/Sens!I13305</f>
        <v>14.4711993308234</v>
      </c>
      <c r="J13306" s="8" t="n">
        <f aca="false">Sens!J13304/Sens!J13305</f>
        <v>14.8920791568579</v>
      </c>
      <c r="K13306" s="8" t="n">
        <f aca="false">Sens!K13304/Sens!K13305</f>
        <v>15.7909922225517</v>
      </c>
      <c r="L13306" s="1" t="s">
        <v>918</v>
      </c>
    </row>
    <row r="13307" customFormat="false" ht="17.15" hidden="false" customHeight="false" outlineLevel="0" collapsed="false">
      <c r="A13307" s="1" t="s">
        <v>919</v>
      </c>
      <c r="B13307" s="0" t="s">
        <v>98</v>
      </c>
      <c r="D13307" s="6" t="n">
        <f aca="false">Sens!D13304</f>
        <v>101.832</v>
      </c>
      <c r="E13307" s="6" t="n">
        <f aca="false">Sens!E13304</f>
        <v>133.749</v>
      </c>
      <c r="F13307" s="6" t="n">
        <f aca="false">Sens!F13304+Sens!F13297*(1-tax_f)</f>
        <v>134.449647150753</v>
      </c>
      <c r="G13307" s="6" t="n">
        <f aca="false">Sens!G13304+Sens!G13297*(1-tax_f)</f>
        <v>145.554134736527</v>
      </c>
      <c r="H13307" s="6" t="n">
        <f aca="false">Sens!H13304+Sens!H13297*(1-tax_f)</f>
        <v>155.111220457349</v>
      </c>
      <c r="I13307" s="6" t="n">
        <f aca="false">Sens!I13304+Sens!I13297*(1-tax_f)</f>
        <v>167.853081859717</v>
      </c>
      <c r="J13307" s="6" t="n">
        <f aca="false">Sens!J13304+Sens!J13297*(1-tax_f)</f>
        <v>180.511965005901</v>
      </c>
      <c r="K13307" s="6" t="n">
        <f aca="false">Sens!K13304+Sens!K13297*(1-tax_f)</f>
        <v>193.018306771618</v>
      </c>
    </row>
    <row r="13308" customFormat="false" ht="17.15" hidden="false" customHeight="false" outlineLevel="0" collapsed="false">
      <c r="A13308" s="0" t="s">
        <v>920</v>
      </c>
      <c r="B13308" s="0" t="s">
        <v>75</v>
      </c>
      <c r="D13308" s="8" t="n">
        <f aca="false">Sens!D13307/Sens!D13305</f>
        <v>13.641259209645</v>
      </c>
      <c r="E13308" s="8" t="n">
        <f aca="false">Sens!E13307/Sens!E13305</f>
        <v>17.9456594659869</v>
      </c>
      <c r="F13308" s="8" t="n">
        <f aca="false">Sens!F13307/Sens!F13305</f>
        <v>17.9901849402226</v>
      </c>
      <c r="G13308" s="8" t="n">
        <f aca="false">Sens!G13307/Sens!G13305</f>
        <v>19.3594646188106</v>
      </c>
      <c r="H13308" s="8" t="n">
        <f aca="false">Sens!H13307/Sens!H13305</f>
        <v>20.5078628224167</v>
      </c>
      <c r="I13308" s="8" t="n">
        <f aca="false">Sens!I13307/Sens!I13305</f>
        <v>22.0933594776182</v>
      </c>
      <c r="J13308" s="8" t="n">
        <f aca="false">Sens!J13307/Sens!J13305</f>
        <v>23.6998023840341</v>
      </c>
      <c r="K13308" s="8" t="n">
        <f aca="false">Sens!K13307/Sens!K13305</f>
        <v>25.2869410313701</v>
      </c>
      <c r="L13308" s="1" t="s">
        <v>921</v>
      </c>
    </row>
    <row r="13309" customFormat="false" ht="17.15" hidden="false" customHeight="false" outlineLevel="0" collapsed="false">
      <c r="A13309" s="0" t="s">
        <v>922</v>
      </c>
      <c r="B13309" s="0" t="s">
        <v>129</v>
      </c>
      <c r="E13309" s="7" t="n">
        <f aca="false">Sens!E13308/Sens!D13308-1</f>
        <v>0.315542736208578</v>
      </c>
      <c r="F13309" s="7" t="n">
        <f aca="false">Sens!F13308/Sens!E13308-1</f>
        <v>0.00248112778023568</v>
      </c>
      <c r="G13309" s="7" t="n">
        <f aca="false">Sens!G13308/Sens!F13308-1</f>
        <v>0.0761125960148723</v>
      </c>
      <c r="H13309" s="7" t="n">
        <f aca="false">Sens!H13308/Sens!G13308-1</f>
        <v>0.0593197294562724</v>
      </c>
      <c r="I13309" s="7" t="n">
        <f aca="false">Sens!I13308/Sens!H13308-1</f>
        <v>0.0773116471926312</v>
      </c>
      <c r="J13309" s="7" t="n">
        <f aca="false">Sens!J13308/Sens!I13308-1</f>
        <v>0.0727115723637788</v>
      </c>
      <c r="K13309" s="7" t="n">
        <f aca="false">Sens!K13308/Sens!J13308-1</f>
        <v>0.0669684338129857</v>
      </c>
    </row>
    <row r="13310" customFormat="false" ht="17.15" hidden="false" customHeight="false" outlineLevel="0" collapsed="false">
      <c r="A13310" s="0" t="s">
        <v>846</v>
      </c>
      <c r="B13310" s="0" t="s">
        <v>98</v>
      </c>
      <c r="E13310" s="6" t="n">
        <f aca="false">Sens!E13251</f>
        <v>5.25</v>
      </c>
      <c r="F13310" s="6" t="n">
        <f aca="false">Sens!F13251</f>
        <v>10.5</v>
      </c>
      <c r="G13310" s="6" t="n">
        <f aca="false">Sens!G13251</f>
        <v>13.5</v>
      </c>
      <c r="H13310" s="6" t="n">
        <f aca="false">Sens!H13251</f>
        <v>16.5</v>
      </c>
      <c r="I13310" s="6" t="n">
        <f aca="false">Sens!I13251</f>
        <v>18.75</v>
      </c>
      <c r="J13310" s="6" t="n">
        <f aca="false">Sens!J13251</f>
        <v>20.25</v>
      </c>
      <c r="K13310" s="6" t="n">
        <f aca="false">Sens!K13251</f>
        <v>21.75</v>
      </c>
    </row>
    <row r="13311" customFormat="false" ht="17.15" hidden="false" customHeight="false" outlineLevel="0" collapsed="false">
      <c r="A13311" s="1" t="s">
        <v>847</v>
      </c>
      <c r="B13311" s="0" t="s">
        <v>98</v>
      </c>
      <c r="F13311" s="6" t="n">
        <f aca="false">MAX(0,(Sens!E13214+Sens!F13214)/2*Sens!F13222/1000-Sens!F13310*Sens!F13290)</f>
        <v>20.7922544923746</v>
      </c>
      <c r="G13311" s="6" t="n">
        <f aca="false">MAX(0,(Sens!F13214+Sens!G13214)/2*Sens!G13222/1000-Sens!G13310*Sens!G13290)</f>
        <v>37.7052575228648</v>
      </c>
      <c r="H13311" s="6" t="n">
        <f aca="false">MAX(0,(Sens!G13214+Sens!H13214)/2*Sens!H13222/1000-Sens!H13310*Sens!H13290)</f>
        <v>55.9707166463052</v>
      </c>
      <c r="I13311" s="6" t="n">
        <f aca="false">MAX(0,(Sens!H13214+Sens!I13214)/2*Sens!I13222/1000-Sens!I13310*Sens!I13290)</f>
        <v>72.386177414753</v>
      </c>
      <c r="J13311" s="6" t="n">
        <f aca="false">MAX(0,(Sens!I13214+Sens!J13214)/2*Sens!J13222/1000-Sens!J13310*Sens!J13290)</f>
        <v>83.8561542203386</v>
      </c>
      <c r="K13311" s="6" t="n">
        <f aca="false">MAX(0,(Sens!J13214+Sens!K13214)/2*Sens!K13222/1000-Sens!K13310*Sens!K13290)</f>
        <v>90.6046701138278</v>
      </c>
      <c r="L13311" s="1" t="s">
        <v>848</v>
      </c>
    </row>
    <row r="13312" customFormat="false" ht="17.15" hidden="false" customHeight="false" outlineLevel="0" collapsed="false">
      <c r="A13312" s="1" t="s">
        <v>849</v>
      </c>
      <c r="B13312" s="0" t="s">
        <v>98</v>
      </c>
      <c r="F13312" s="6" t="n">
        <f aca="false">IF(internal_ai_reading=2,1,0)*Sens!F13311</f>
        <v>20.7922544923746</v>
      </c>
      <c r="G13312" s="6" t="n">
        <f aca="false">IF(internal_ai_reading=2,1,0)*Sens!G13311</f>
        <v>37.7052575228648</v>
      </c>
      <c r="H13312" s="6" t="n">
        <f aca="false">IF(internal_ai_reading=2,1,0)*Sens!H13311</f>
        <v>55.9707166463052</v>
      </c>
      <c r="I13312" s="6" t="n">
        <f aca="false">IF(internal_ai_reading=2,1,0)*Sens!I13311</f>
        <v>72.386177414753</v>
      </c>
      <c r="J13312" s="6" t="n">
        <f aca="false">IF(internal_ai_reading=2,1,0)*Sens!J13311</f>
        <v>83.8561542203386</v>
      </c>
      <c r="K13312" s="6" t="n">
        <f aca="false">IF(internal_ai_reading=2,1,0)*Sens!K13311</f>
        <v>90.6046701138278</v>
      </c>
    </row>
    <row r="13313" customFormat="false" ht="17.15" hidden="false" customHeight="false" outlineLevel="0" collapsed="false">
      <c r="A13313" s="0" t="s">
        <v>850</v>
      </c>
      <c r="B13313" s="0" t="s">
        <v>98</v>
      </c>
      <c r="F13313" s="6" t="n">
        <f aca="false">Sens!F13231+Sens!F13310*Sens!F13290+Sens!F13312-Sens!F13232-Sens!F13242</f>
        <v>-3.39406591971546</v>
      </c>
      <c r="G13313" s="6" t="n">
        <f aca="false">Sens!G13231+Sens!G13310*Sens!G13290+Sens!G13312-Sens!G13232-Sens!G13242</f>
        <v>-9.18249814564688</v>
      </c>
      <c r="H13313" s="6" t="n">
        <f aca="false">Sens!H13231+Sens!H13310*Sens!H13290+Sens!H13312-Sens!H13232-Sens!H13242</f>
        <v>-17.2258558939542</v>
      </c>
      <c r="I13313" s="6" t="n">
        <f aca="false">Sens!I13231+Sens!I13310*Sens!I13290+Sens!I13312-Sens!I13232-Sens!I13242</f>
        <v>-20.9172745112112</v>
      </c>
      <c r="J13313" s="6" t="n">
        <f aca="false">Sens!J13231+Sens!J13310*Sens!J13290+Sens!J13312-Sens!J13232-Sens!J13242</f>
        <v>-23.5727227095034</v>
      </c>
      <c r="K13313" s="6" t="n">
        <f aca="false">Sens!K13231+Sens!K13310*Sens!K13290+Sens!K13312-Sens!K13232-Sens!K13242</f>
        <v>-24.4880511143982</v>
      </c>
    </row>
    <row r="13314" customFormat="false" ht="17.15" hidden="false" customHeight="false" outlineLevel="0" collapsed="false">
      <c r="A13314" s="0" t="s">
        <v>851</v>
      </c>
      <c r="B13314" s="0" t="s">
        <v>98</v>
      </c>
      <c r="E13314" s="6" t="n">
        <f aca="false">Sens!E13213*(cxit_open+self_build*tk_cxfac)/1000*ai_net_open</f>
        <v>126.6980382</v>
      </c>
      <c r="F13314" s="6" t="n">
        <f aca="false">Sens!E13314+Sens!F13239-Sens!F13242</f>
        <v>260.715655514568</v>
      </c>
      <c r="G13314" s="6" t="n">
        <f aca="false">Sens!F13314+Sens!G13239-Sens!G13242</f>
        <v>383.758102737428</v>
      </c>
      <c r="H13314" s="6" t="n">
        <f aca="false">Sens!G13314+Sens!H13239-Sens!H13242</f>
        <v>484.071072654689</v>
      </c>
      <c r="I13314" s="6" t="n">
        <f aca="false">Sens!H13314+Sens!I13239-Sens!I13242</f>
        <v>535.765701826713</v>
      </c>
      <c r="J13314" s="6" t="n">
        <f aca="false">Sens!I13314+Sens!J13239-Sens!J13242</f>
        <v>531.069467622138</v>
      </c>
      <c r="K13314" s="6" t="n">
        <f aca="false">Sens!J13314+Sens!K13239-Sens!K13242</f>
        <v>506.3562564596</v>
      </c>
      <c r="L13314" s="1" t="s">
        <v>852</v>
      </c>
    </row>
    <row r="13315" customFormat="false" ht="17.15" hidden="false" customHeight="false" outlineLevel="0" collapsed="false">
      <c r="A13315" s="0" t="s">
        <v>853</v>
      </c>
      <c r="B13315" s="0" t="s">
        <v>129</v>
      </c>
      <c r="F13315" s="7" t="n">
        <f aca="false">Sens!F13313*(1-tax_f)/((Sens!E13314+Sens!F13314)/2)</f>
        <v>-0.014017329690844</v>
      </c>
      <c r="G13315" s="7" t="n">
        <f aca="false">Sens!G13313*(1-tax_f)/((Sens!F13314+Sens!G13314)/2)</f>
        <v>-0.0227968894697653</v>
      </c>
      <c r="H13315" s="7" t="n">
        <f aca="false">Sens!H13313*(1-tax_f)/((Sens!G13314+Sens!H13314)/2)</f>
        <v>-0.0317589800064898</v>
      </c>
      <c r="I13315" s="7" t="n">
        <f aca="false">Sens!I13313*(1-tax_f)/((Sens!H13314+Sens!I13314)/2)</f>
        <v>-0.0328166624849908</v>
      </c>
      <c r="J13315" s="7" t="n">
        <f aca="false">Sens!J13313*(1-tax_f)/((Sens!I13314+Sens!J13314)/2)</f>
        <v>-0.0353534992239622</v>
      </c>
      <c r="K13315" s="7" t="n">
        <f aca="false">Sens!K13313*(1-tax_f)/((Sens!J13314+Sens!K13314)/2)</f>
        <v>-0.0377674091489465</v>
      </c>
    </row>
    <row r="13316" customFormat="false" ht="17.15" hidden="false" customHeight="false" outlineLevel="0" collapsed="false">
      <c r="A13316" s="1" t="s">
        <v>854</v>
      </c>
      <c r="B13316" s="0" t="s">
        <v>129</v>
      </c>
      <c r="F13316" s="7" t="n">
        <f aca="false">(Sens!F13313-Sens!F13312)*(1-tax_f)/((Sens!E13314+Sens!F13314)/2)</f>
        <v>-0.0998883449067122</v>
      </c>
      <c r="G13316" s="7" t="n">
        <f aca="false">(Sens!G13313-Sens!G13312)*(1-tax_f)/((Sens!F13314+Sens!G13314)/2)</f>
        <v>-0.116405684652074</v>
      </c>
      <c r="H13316" s="7" t="n">
        <f aca="false">(Sens!H13313-Sens!H13312)*(1-tax_f)/((Sens!G13314+Sens!H13314)/2)</f>
        <v>-0.134951116400873</v>
      </c>
      <c r="I13316" s="7" t="n">
        <f aca="false">(Sens!I13313-Sens!I13312)*(1-tax_f)/((Sens!H13314+Sens!I13314)/2)</f>
        <v>-0.146381780709424</v>
      </c>
      <c r="J13316" s="7" t="n">
        <f aca="false">(Sens!J13313-Sens!J13312)*(1-tax_f)/((Sens!I13314+Sens!J13314)/2)</f>
        <v>-0.161117863387038</v>
      </c>
      <c r="K13316" s="7" t="n">
        <f aca="false">(Sens!K13313-Sens!K13312)*(1-tax_f)/((Sens!J13314+Sens!K13314)/2)</f>
        <v>-0.177505097175181</v>
      </c>
    </row>
    <row r="13317" customFormat="false" ht="17.15" hidden="false" customHeight="false" outlineLevel="0" collapsed="false">
      <c r="A13317" s="1" t="s">
        <v>855</v>
      </c>
      <c r="B13317" s="0" t="s">
        <v>129</v>
      </c>
      <c r="F13317" s="7" t="n">
        <f aca="false">(Sens!F13313-Sens!F13312+Sens!F13311)*(1-tax_f)/((Sens!E13314+Sens!F13314)/2)</f>
        <v>-0.014017329690844</v>
      </c>
      <c r="G13317" s="7" t="n">
        <f aca="false">(Sens!G13313-Sens!G13312+Sens!G13311)*(1-tax_f)/((Sens!F13314+Sens!G13314)/2)</f>
        <v>-0.0227968894697653</v>
      </c>
      <c r="H13317" s="7" t="n">
        <f aca="false">(Sens!H13313-Sens!H13312+Sens!H13311)*(1-tax_f)/((Sens!G13314+Sens!H13314)/2)</f>
        <v>-0.0317589800064898</v>
      </c>
      <c r="I13317" s="7" t="n">
        <f aca="false">(Sens!I13313-Sens!I13312+Sens!I13311)*(1-tax_f)/((Sens!H13314+Sens!I13314)/2)</f>
        <v>-0.0328166624849908</v>
      </c>
      <c r="J13317" s="7" t="n">
        <f aca="false">(Sens!J13313-Sens!J13312+Sens!J13311)*(1-tax_f)/((Sens!I13314+Sens!J13314)/2)</f>
        <v>-0.0353534992239622</v>
      </c>
      <c r="K13317" s="7" t="n">
        <f aca="false">(Sens!K13313-Sens!K13312+Sens!K13311)*(1-tax_f)/((Sens!J13314+Sens!K13314)/2)</f>
        <v>-0.0377674091489465</v>
      </c>
    </row>
    <row r="13318" customFormat="false" ht="17.15" hidden="false" customHeight="false" outlineLevel="0" collapsed="false">
      <c r="A13318" s="1" t="s">
        <v>856</v>
      </c>
      <c r="B13318" s="0" t="s">
        <v>129</v>
      </c>
      <c r="F13318" s="7" t="n">
        <f aca="false">Sens!F13243*(1-tax_f)/(Sens!F13230*(Sens!E13314+Sens!F13314)/2)</f>
        <v>-0.0670926403934215</v>
      </c>
      <c r="G13318" s="7" t="n">
        <f aca="false">Sens!G13243*(1-tax_f)/(Sens!G13230*(Sens!F13314+Sens!G13314)/2)</f>
        <v>-0.0810929544759091</v>
      </c>
      <c r="H13318" s="7" t="n">
        <f aca="false">Sens!H13243*(1-tax_f)/(Sens!H13230*(Sens!G13314+Sens!H13314)/2)</f>
        <v>-0.0990886619774839</v>
      </c>
      <c r="I13318" s="7" t="n">
        <f aca="false">Sens!I13243*(1-tax_f)/(Sens!I13230*(Sens!H13314+Sens!I13314)/2)</f>
        <v>-0.104750706342179</v>
      </c>
      <c r="J13318" s="7" t="n">
        <f aca="false">Sens!J13243*(1-tax_f)/(Sens!J13230*(Sens!I13314+Sens!J13314)/2)</f>
        <v>-0.113855562694728</v>
      </c>
      <c r="K13318" s="7" t="n">
        <f aca="false">Sens!K13243*(1-tax_f)/(Sens!K13230*(Sens!J13314+Sens!K13314)/2)</f>
        <v>-0.124618811932851</v>
      </c>
    </row>
    <row r="13319" customFormat="false" ht="17.15" hidden="false" customHeight="false" outlineLevel="0" collapsed="false">
      <c r="A13319" s="0" t="s">
        <v>857</v>
      </c>
      <c r="B13319" s="0" t="s">
        <v>209</v>
      </c>
      <c r="F13319" s="7" t="n">
        <f aca="false">Sens!F13315-wacc</f>
        <v>-0.11695174978372</v>
      </c>
      <c r="G13319" s="7" t="n">
        <f aca="false">Sens!G13315-wacc</f>
        <v>-0.125731309562641</v>
      </c>
      <c r="H13319" s="7" t="n">
        <f aca="false">Sens!H13315-wacc</f>
        <v>-0.134693400099366</v>
      </c>
      <c r="I13319" s="7" t="n">
        <f aca="false">Sens!I13315-wacc</f>
        <v>-0.135751082577867</v>
      </c>
      <c r="J13319" s="7" t="n">
        <f aca="false">Sens!J13315-wacc</f>
        <v>-0.138287919316838</v>
      </c>
      <c r="K13319" s="7" t="n">
        <f aca="false">Sens!K13315-wacc</f>
        <v>-0.140701829241822</v>
      </c>
    </row>
    <row r="13320" customFormat="false" ht="17.15" hidden="false" customHeight="false" outlineLevel="0" collapsed="false">
      <c r="A13320" s="0" t="s">
        <v>858</v>
      </c>
      <c r="B13320" s="0" t="s">
        <v>98</v>
      </c>
      <c r="F13320" s="6" t="n">
        <f aca="false">Sens!F13313*(1-tax_f)-wacc*(Sens!E13314+Sens!F13314)/2</f>
        <v>-22.6543546850464</v>
      </c>
      <c r="G13320" s="6" t="n">
        <f aca="false">Sens!G13313*(1-tax_f)-wacc*(Sens!F13314+Sens!G13314)/2</f>
        <v>-40.5152648018902</v>
      </c>
      <c r="H13320" s="6" t="n">
        <f aca="false">Sens!H13313*(1-tax_f)-wacc*(Sens!G13314+Sens!H13314)/2</f>
        <v>-58.4454311694964</v>
      </c>
      <c r="I13320" s="6" t="n">
        <f aca="false">Sens!I13313*(1-tax_f)-wacc*(Sens!H13314+Sens!I13314)/2</f>
        <v>-69.2219730942849</v>
      </c>
      <c r="J13320" s="6" t="n">
        <f aca="false">Sens!J13313*(1-tax_f)-wacc*(Sens!I13314+Sens!J13314)/2</f>
        <v>-73.7652079185538</v>
      </c>
      <c r="K13320" s="6" t="n">
        <f aca="false">Sens!K13313*(1-tax_f)-wacc*(Sens!J13314+Sens!K13314)/2</f>
        <v>-72.9838485404112</v>
      </c>
    </row>
    <row r="13321" customFormat="false" ht="17.15" hidden="false" customHeight="false" outlineLevel="0" collapsed="false">
      <c r="A13321" s="3" t="s">
        <v>1578</v>
      </c>
    </row>
    <row r="13322" customFormat="false" ht="15" hidden="false" customHeight="false" outlineLevel="0" collapsed="false">
      <c r="A13322" s="4" t="s">
        <v>43</v>
      </c>
      <c r="B13322" s="4" t="s">
        <v>65</v>
      </c>
      <c r="C13322" s="20" t="s">
        <v>788</v>
      </c>
      <c r="D13322" s="20" t="s">
        <v>789</v>
      </c>
      <c r="E13322" s="20" t="s">
        <v>790</v>
      </c>
      <c r="F13322" s="20" t="s">
        <v>791</v>
      </c>
      <c r="G13322" s="20" t="s">
        <v>792</v>
      </c>
      <c r="H13322" s="20" t="s">
        <v>793</v>
      </c>
      <c r="I13322" s="20" t="s">
        <v>794</v>
      </c>
      <c r="J13322" s="20" t="s">
        <v>795</v>
      </c>
      <c r="K13322" s="20" t="s">
        <v>796</v>
      </c>
      <c r="L13322" s="4" t="s">
        <v>47</v>
      </c>
    </row>
    <row r="13323" customFormat="false" ht="15" hidden="false" customHeight="false" outlineLevel="0" collapsed="false">
      <c r="A13323" s="1" t="s">
        <v>915</v>
      </c>
      <c r="B13323" s="0" t="s">
        <v>98</v>
      </c>
      <c r="F13323" s="6" t="n">
        <f aca="false">Sens!F13304</f>
        <v>117.815843556854</v>
      </c>
      <c r="G13323" s="6" t="n">
        <f aca="false">Sens!G13304</f>
        <v>115.389928718235</v>
      </c>
      <c r="H13323" s="6" t="n">
        <f aca="false">Sens!H13304</f>
        <v>110.334647140304</v>
      </c>
      <c r="I13323" s="6" t="n">
        <f aca="false">Sens!I13304</f>
        <v>109.944139927914</v>
      </c>
      <c r="J13323" s="6" t="n">
        <f aca="false">Sens!J13304</f>
        <v>113.42704162963</v>
      </c>
      <c r="K13323" s="6" t="n">
        <f aca="false">Sens!K13304</f>
        <v>120.534570680555</v>
      </c>
    </row>
    <row r="13324" customFormat="false" ht="17.15" hidden="false" customHeight="false" outlineLevel="0" collapsed="false">
      <c r="A13324" s="1" t="s">
        <v>937</v>
      </c>
      <c r="B13324" s="0" t="s">
        <v>98</v>
      </c>
      <c r="E13324" s="6" t="n">
        <f aca="false">Q!M38-Sens!E13242</f>
        <v>22.2285940229167</v>
      </c>
      <c r="F13324" s="6" t="n">
        <f aca="false">Sens!E13324*(1-1/life_nonai)+Sens!F13330/life_nonai</f>
        <v>23.5486693435813</v>
      </c>
      <c r="G13324" s="6" t="n">
        <f aca="false">Sens!F13324*(1-1/life_nonai)+Sens!G13330/life_nonai</f>
        <v>25.264091766262</v>
      </c>
      <c r="H13324" s="6" t="n">
        <f aca="false">Sens!G13324*(1-1/life_nonai)+Sens!H13330/life_nonai</f>
        <v>27.3438339540448</v>
      </c>
      <c r="I13324" s="6" t="n">
        <f aca="false">Sens!H13324*(1-1/life_nonai)+Sens!I13330/life_nonai</f>
        <v>29.7317905898047</v>
      </c>
      <c r="J13324" s="6" t="n">
        <f aca="false">Sens!I13324*(1-1/life_nonai)+Sens!J13330/life_nonai</f>
        <v>32.3542028558616</v>
      </c>
      <c r="K13324" s="6" t="n">
        <f aca="false">Sens!J13324*(1-1/life_nonai)+Sens!K13330/life_nonai</f>
        <v>35.1281528444749</v>
      </c>
      <c r="L13324" s="11" t="s">
        <v>938</v>
      </c>
    </row>
    <row r="13325" customFormat="false" ht="17.15" hidden="false" customHeight="false" outlineLevel="0" collapsed="false">
      <c r="A13325" s="1" t="s">
        <v>939</v>
      </c>
      <c r="B13325" s="0" t="s">
        <v>98</v>
      </c>
      <c r="E13325" s="6" t="n">
        <f aca="false">Sens!E13242+Sens!E13324</f>
        <v>38.534</v>
      </c>
      <c r="F13325" s="6" t="n">
        <f aca="false">Sens!F13242+Sens!F13324</f>
        <v>58.301704799451</v>
      </c>
      <c r="G13325" s="6" t="n">
        <f aca="false">Sens!G13242+Sens!G13324</f>
        <v>85.7958250266017</v>
      </c>
      <c r="H13325" s="6" t="n">
        <f aca="false">Sens!H13242+Sens!H13324</f>
        <v>115.111149947184</v>
      </c>
      <c r="I13325" s="6" t="n">
        <f aca="false">Sens!I13242+Sens!I13324</f>
        <v>141.743830572026</v>
      </c>
      <c r="J13325" s="6" t="n">
        <f aca="false">Sens!J13242+Sens!J13324</f>
        <v>161.562913778527</v>
      </c>
      <c r="K13325" s="6" t="n">
        <f aca="false">Sens!K13242+Sens!K13324</f>
        <v>174.800799648948</v>
      </c>
    </row>
    <row r="13326" customFormat="false" ht="17.15" hidden="false" customHeight="false" outlineLevel="0" collapsed="false">
      <c r="A13326" s="1" t="s">
        <v>940</v>
      </c>
      <c r="B13326" s="0" t="s">
        <v>98</v>
      </c>
      <c r="F13326" s="6" t="n">
        <f aca="false">Sens!F13269*sbc_r</f>
        <v>13.8148190919652</v>
      </c>
      <c r="G13326" s="6" t="n">
        <f aca="false">Sens!G13269*sbc_r</f>
        <v>15.7330375936058</v>
      </c>
      <c r="H13326" s="6" t="n">
        <f aca="false">Sens!H13269*sbc_r</f>
        <v>17.5872669338263</v>
      </c>
      <c r="I13326" s="6" t="n">
        <f aca="false">Sens!I13269*sbc_r</f>
        <v>19.4763548883464</v>
      </c>
      <c r="J13326" s="6" t="n">
        <f aca="false">Sens!J13269*sbc_r</f>
        <v>21.1266792240507</v>
      </c>
      <c r="K13326" s="6" t="n">
        <f aca="false">Sens!K13269*sbc_r</f>
        <v>22.5323800543242</v>
      </c>
    </row>
    <row r="13327" customFormat="false" ht="17.15" hidden="false" customHeight="false" outlineLevel="0" collapsed="false">
      <c r="A13327" s="1" t="s">
        <v>941</v>
      </c>
      <c r="B13327" s="0" t="s">
        <v>98</v>
      </c>
      <c r="F13327" s="6" t="n">
        <f aca="false">wc27</f>
        <v>-4.895</v>
      </c>
      <c r="G13327" s="6" t="n">
        <f aca="false">wc_f</f>
        <v>0</v>
      </c>
      <c r="H13327" s="6" t="n">
        <f aca="false">wc_f</f>
        <v>0</v>
      </c>
      <c r="I13327" s="6" t="n">
        <f aca="false">wc_f</f>
        <v>0</v>
      </c>
      <c r="J13327" s="6" t="n">
        <f aca="false">wc_f</f>
        <v>0</v>
      </c>
      <c r="K13327" s="6" t="n">
        <f aca="false">wc_f</f>
        <v>0</v>
      </c>
      <c r="L13327" s="11" t="s">
        <v>942</v>
      </c>
    </row>
    <row r="13328" customFormat="false" ht="15" hidden="false" customHeight="false" outlineLevel="0" collapsed="false">
      <c r="A13328" s="1" t="s">
        <v>756</v>
      </c>
      <c r="B13328" s="0" t="s">
        <v>98</v>
      </c>
      <c r="E13328" s="6" t="n">
        <f aca="false">Q!M35</f>
        <v>182.935</v>
      </c>
      <c r="F13328" s="6" t="n">
        <f aca="false">Sens!F13323+Sens!F13325+Sens!F13326+Sens!F13327</f>
        <v>185.03736744827</v>
      </c>
      <c r="G13328" s="6" t="n">
        <f aca="false">Sens!G13323+Sens!G13325+Sens!G13326+Sens!G13327</f>
        <v>216.918791338443</v>
      </c>
      <c r="H13328" s="6" t="n">
        <f aca="false">Sens!H13323+Sens!H13325+Sens!H13326+Sens!H13327</f>
        <v>243.033064021315</v>
      </c>
      <c r="I13328" s="6" t="n">
        <f aca="false">Sens!I13323+Sens!I13325+Sens!I13326+Sens!I13327</f>
        <v>271.164325388287</v>
      </c>
      <c r="J13328" s="6" t="n">
        <f aca="false">Sens!J13323+Sens!J13325+Sens!J13326+Sens!J13327</f>
        <v>296.116634632208</v>
      </c>
      <c r="K13328" s="6" t="n">
        <f aca="false">Sens!K13323+Sens!K13325+Sens!K13326+Sens!K13327</f>
        <v>317.867750383828</v>
      </c>
    </row>
    <row r="13329" customFormat="false" ht="17.15" hidden="false" customHeight="false" outlineLevel="0" collapsed="false">
      <c r="A13329" s="0" t="s">
        <v>943</v>
      </c>
      <c r="B13329" s="0" t="s">
        <v>98</v>
      </c>
      <c r="F13329" s="6" t="n">
        <f aca="false">Sens!F13239</f>
        <v>168.770652770438</v>
      </c>
      <c r="G13329" s="6" t="n">
        <f aca="false">Sens!G13239</f>
        <v>183.5741804832</v>
      </c>
      <c r="H13329" s="6" t="n">
        <f aca="false">Sens!H13239</f>
        <v>188.0802859104</v>
      </c>
      <c r="I13329" s="6" t="n">
        <f aca="false">Sens!I13239</f>
        <v>163.706669154245</v>
      </c>
      <c r="J13329" s="6" t="n">
        <f aca="false">Sens!J13239</f>
        <v>124.51247671809</v>
      </c>
      <c r="K13329" s="6" t="n">
        <f aca="false">Sens!K13239</f>
        <v>114.959435641936</v>
      </c>
    </row>
    <row r="13330" customFormat="false" ht="17.15" hidden="false" customHeight="false" outlineLevel="0" collapsed="false">
      <c r="A13330" s="1" t="s">
        <v>944</v>
      </c>
      <c r="B13330" s="0" t="s">
        <v>98</v>
      </c>
      <c r="E13330" s="6" t="n">
        <f aca="false">Sens!E13247*cx_azo+Sens!E13254*cx_m365+Sens!E13255*cx_lic+(Sens!E13257+Sens!E13259)*cx_ind+Sens!E13262*cx_srch+(Sens!E13264+Sens!E13266)*cx_dev</f>
        <v>30.1846587067718</v>
      </c>
      <c r="F13330" s="6" t="n">
        <f aca="false">Sens!F13247*cx_azo+Sens!F13254*cx_m365+Sens!F13255*cx_lic+(Sens!F13257+Sens!F13259)*cx_ind+Sens!F13262*cx_srch+(Sens!F13264+Sens!F13266)*cx_dev</f>
        <v>35.4293472295625</v>
      </c>
      <c r="G13330" s="6" t="n">
        <f aca="false">Sens!G13247*cx_azo+Sens!G13254*cx_m365+Sens!G13255*cx_lic+(Sens!G13257+Sens!G13259)*cx_ind+Sens!G13262*cx_srch+(Sens!G13264+Sens!G13266)*cx_dev</f>
        <v>40.7028935703892</v>
      </c>
      <c r="H13330" s="6" t="n">
        <f aca="false">Sens!H13247*cx_azo+Sens!H13254*cx_m365+Sens!H13255*cx_lic+(Sens!H13257+Sens!H13259)*cx_ind+Sens!H13262*cx_srch+(Sens!H13264+Sens!H13266)*cx_dev</f>
        <v>46.0615136440897</v>
      </c>
      <c r="I13330" s="6" t="n">
        <f aca="false">Sens!I13247*cx_azo+Sens!I13254*cx_m365+Sens!I13255*cx_lic+(Sens!I13257+Sens!I13259)*cx_ind+Sens!I13262*cx_srch+(Sens!I13264+Sens!I13266)*cx_dev</f>
        <v>51.2234003116439</v>
      </c>
      <c r="J13330" s="6" t="n">
        <f aca="false">Sens!J13247*cx_azo+Sens!J13254*cx_m365+Sens!J13255*cx_lic+(Sens!J13257+Sens!J13259)*cx_ind+Sens!J13262*cx_srch+(Sens!J13264+Sens!J13266)*cx_dev</f>
        <v>55.9559132503738</v>
      </c>
      <c r="K13330" s="6" t="n">
        <f aca="false">Sens!K13247*cx_azo+Sens!K13254*cx_m365+Sens!K13255*cx_lic+(Sens!K13257+Sens!K13259)*cx_ind+Sens!K13262*cx_srch+(Sens!K13264+Sens!K13266)*cx_dev</f>
        <v>60.093702741994</v>
      </c>
    </row>
    <row r="13331" customFormat="false" ht="17.15" hidden="false" customHeight="false" outlineLevel="0" collapsed="false">
      <c r="A13331" s="1" t="s">
        <v>945</v>
      </c>
      <c r="B13331" s="0" t="s">
        <v>98</v>
      </c>
      <c r="E13331" s="6" t="n">
        <f aca="false">Q!M42</f>
        <v>145.3</v>
      </c>
      <c r="F13331" s="6" t="n">
        <f aca="false">Sens!F13329+Sens!F13330</f>
        <v>204.2</v>
      </c>
      <c r="G13331" s="6" t="n">
        <f aca="false">Sens!G13329+Sens!G13330</f>
        <v>224.277074053589</v>
      </c>
      <c r="H13331" s="6" t="n">
        <f aca="false">Sens!H13329+Sens!H13330</f>
        <v>234.14179955449</v>
      </c>
      <c r="I13331" s="6" t="n">
        <f aca="false">Sens!I13329+Sens!I13330</f>
        <v>214.930069465889</v>
      </c>
      <c r="J13331" s="6" t="n">
        <f aca="false">Sens!J13329+Sens!J13330</f>
        <v>180.468389968464</v>
      </c>
      <c r="K13331" s="6" t="n">
        <f aca="false">Sens!K13329+Sens!K13330</f>
        <v>175.05313838393</v>
      </c>
      <c r="L13331" s="1" t="s">
        <v>946</v>
      </c>
    </row>
    <row r="13332" customFormat="false" ht="15" hidden="false" customHeight="false" outlineLevel="0" collapsed="false">
      <c r="A13332" s="1" t="s">
        <v>947</v>
      </c>
      <c r="B13332" s="0" t="s">
        <v>98</v>
      </c>
      <c r="E13332" s="6" t="n">
        <f aca="false">fl_liab</f>
        <v>66.594</v>
      </c>
      <c r="F13332" s="6" t="n">
        <f aca="false">Sens!E13332-Sens!F13333</f>
        <v>62.46973</v>
      </c>
      <c r="G13332" s="6" t="n">
        <f aca="false">Sens!F13332-Sens!G13333</f>
        <v>57.98686785</v>
      </c>
      <c r="H13332" s="6" t="n">
        <f aca="false">Sens!G13332-Sens!H13333</f>
        <v>53.92827690325</v>
      </c>
      <c r="I13332" s="6" t="n">
        <f aca="false">Sens!H13332-Sens!I13333</f>
        <v>49.7850493638962</v>
      </c>
      <c r="J13332" s="6" t="n">
        <f aca="false">Sens!I13332-Sens!J13333</f>
        <v>45.4823765852716</v>
      </c>
      <c r="K13332" s="6" t="n">
        <f aca="false">Sens!J13332-Sens!K13333</f>
        <v>40.9860835316088</v>
      </c>
    </row>
    <row r="13333" customFormat="false" ht="15" hidden="false" customHeight="false" outlineLevel="0" collapsed="false">
      <c r="A13333" s="1" t="s">
        <v>948</v>
      </c>
      <c r="B13333" s="0" t="s">
        <v>98</v>
      </c>
      <c r="F13333" s="6" t="n">
        <f aca="false">fl_pay_27-Sens!E13332*fl_rate</f>
        <v>4.12427</v>
      </c>
      <c r="G13333" s="6" t="n">
        <f aca="false">fl_pay_28-Sens!F13332*fl_rate</f>
        <v>4.48286215</v>
      </c>
      <c r="H13333" s="6" t="n">
        <f aca="false">fl_pay_29-Sens!G13332*fl_rate</f>
        <v>4.05859094675</v>
      </c>
      <c r="I13333" s="6" t="n">
        <f aca="false">fl_pay_30-Sens!H13332*fl_rate</f>
        <v>4.14322753935375</v>
      </c>
      <c r="J13333" s="6" t="n">
        <f aca="false">fl_pay_31-Sens!I13332*fl_rate</f>
        <v>4.30267277862467</v>
      </c>
      <c r="K13333" s="6" t="n">
        <f aca="false">fl_pay_32-Sens!J13332*fl_rate</f>
        <v>4.49629305366278</v>
      </c>
    </row>
    <row r="13334" customFormat="false" ht="17.15" hidden="false" customHeight="false" outlineLevel="0" collapsed="false">
      <c r="A13334" s="1" t="s">
        <v>949</v>
      </c>
      <c r="B13334" s="0" t="s">
        <v>98</v>
      </c>
      <c r="E13334" s="6" t="n">
        <f aca="false">Q!M35-Q!M36-Q!M43</f>
        <v>63.886</v>
      </c>
      <c r="F13334" s="6" t="n">
        <f aca="false">Sens!F13328-Sens!F13331-Sens!F13333</f>
        <v>-23.2869025517301</v>
      </c>
      <c r="G13334" s="6" t="n">
        <f aca="false">Sens!G13328-Sens!G13331-Sens!G13333</f>
        <v>-11.8411448651464</v>
      </c>
      <c r="H13334" s="6" t="n">
        <f aca="false">Sens!H13328-Sens!H13331-Sens!H13333</f>
        <v>4.83267352007548</v>
      </c>
      <c r="I13334" s="6" t="n">
        <f aca="false">Sens!I13328-Sens!I13331-Sens!I13333</f>
        <v>52.0910283830435</v>
      </c>
      <c r="J13334" s="6" t="n">
        <f aca="false">Sens!J13328-Sens!J13331-Sens!J13333</f>
        <v>111.345571885119</v>
      </c>
      <c r="K13334" s="6" t="n">
        <f aca="false">Sens!K13328-Sens!K13331-Sens!K13333</f>
        <v>138.318318946235</v>
      </c>
      <c r="L13334" s="11" t="s">
        <v>950</v>
      </c>
    </row>
    <row r="13335" customFormat="false" ht="15" hidden="false" customHeight="false" outlineLevel="0" collapsed="false">
      <c r="A13335" s="1" t="s">
        <v>951</v>
      </c>
      <c r="B13335" s="0" t="s">
        <v>75</v>
      </c>
      <c r="F13335" s="8" t="n">
        <f aca="false">dps_27</f>
        <v>3.85</v>
      </c>
      <c r="G13335" s="8" t="n">
        <f aca="false">Sens!F13335*(1+dps_g)</f>
        <v>4.158</v>
      </c>
      <c r="H13335" s="8" t="n">
        <f aca="false">Sens!G13335*(1+dps_g)</f>
        <v>4.49064</v>
      </c>
      <c r="I13335" s="8" t="n">
        <f aca="false">Sens!H13335*(1+dps_g)</f>
        <v>4.8498912</v>
      </c>
      <c r="J13335" s="8" t="n">
        <f aca="false">Sens!I13335*(1+dps_g)</f>
        <v>5.237882496</v>
      </c>
      <c r="K13335" s="8" t="n">
        <f aca="false">Sens!J13335*(1+dps_g)</f>
        <v>5.65691309568</v>
      </c>
    </row>
    <row r="13336" customFormat="false" ht="17.15" hidden="false" customHeight="false" outlineLevel="0" collapsed="false">
      <c r="A13336" s="1" t="s">
        <v>952</v>
      </c>
      <c r="B13336" s="0" t="s">
        <v>98</v>
      </c>
      <c r="E13336" s="6" t="n">
        <f aca="false">Q!M41</f>
        <v>26.445</v>
      </c>
      <c r="F13336" s="6" t="n">
        <f aca="false">Sens!F13335*Sens!E13345</f>
        <v>28.59395</v>
      </c>
      <c r="G13336" s="6" t="n">
        <f aca="false">Sens!G13335*Sens!F13345</f>
        <v>31.068576</v>
      </c>
      <c r="H13336" s="6" t="n">
        <f aca="false">Sens!H13335*Sens!G13345</f>
        <v>33.75614088</v>
      </c>
      <c r="I13336" s="6" t="n">
        <f aca="false">Sens!I13335*Sens!H13345</f>
        <v>36.6748772544</v>
      </c>
      <c r="J13336" s="6" t="n">
        <f aca="false">Sens!J13335*Sens!I13345</f>
        <v>39.7287617890216</v>
      </c>
      <c r="K13336" s="6" t="n">
        <f aca="false">Sens!K13335*Sens!J13345</f>
        <v>42.9943179574484</v>
      </c>
      <c r="L13336" s="1" t="s">
        <v>953</v>
      </c>
    </row>
    <row r="13337" customFormat="false" ht="15" hidden="false" customHeight="false" outlineLevel="0" collapsed="false">
      <c r="A13337" s="1" t="s">
        <v>954</v>
      </c>
      <c r="B13337" s="0" t="s">
        <v>98</v>
      </c>
      <c r="E13337" s="6" t="n">
        <f aca="false">Sens!E13334-Sens!E13336</f>
        <v>37.441</v>
      </c>
      <c r="F13337" s="6" t="n">
        <f aca="false">Sens!F13334-Sens!F13336</f>
        <v>-51.8808525517301</v>
      </c>
      <c r="G13337" s="6" t="n">
        <f aca="false">Sens!G13334-Sens!G13336</f>
        <v>-42.9097208651464</v>
      </c>
      <c r="H13337" s="6" t="n">
        <f aca="false">Sens!H13334-Sens!H13336</f>
        <v>-28.9234673599245</v>
      </c>
      <c r="I13337" s="6" t="n">
        <f aca="false">Sens!I13334-Sens!I13336</f>
        <v>15.4161511286435</v>
      </c>
      <c r="J13337" s="6" t="n">
        <f aca="false">Sens!J13334-Sens!J13336</f>
        <v>71.6168100960977</v>
      </c>
      <c r="K13337" s="6" t="n">
        <f aca="false">Sens!K13334-Sens!K13336</f>
        <v>95.324000988787</v>
      </c>
    </row>
    <row r="13338" customFormat="false" ht="15" hidden="false" customHeight="false" outlineLevel="0" collapsed="false">
      <c r="A13338" s="1" t="s">
        <v>955</v>
      </c>
      <c r="B13338" s="0" t="s">
        <v>98</v>
      </c>
      <c r="F13338" s="6" t="n">
        <f aca="false">debt_mat_27</f>
        <v>9.25</v>
      </c>
      <c r="G13338" s="6" t="n">
        <f aca="false">debt_mat_28</f>
        <v>0</v>
      </c>
      <c r="H13338" s="6" t="n">
        <f aca="false">debt_mat_29</f>
        <v>2.001</v>
      </c>
      <c r="I13338" s="6" t="n">
        <f aca="false">debt_mat_30</f>
        <v>0</v>
      </c>
      <c r="J13338" s="6" t="n">
        <f aca="false">debt_mat_31</f>
        <v>0.5</v>
      </c>
      <c r="K13338" s="6" t="n">
        <f aca="false">debt_mat_32</f>
        <v>0</v>
      </c>
    </row>
    <row r="13339" customFormat="false" ht="15" hidden="false" customHeight="false" outlineLevel="0" collapsed="false">
      <c r="A13339" s="1" t="s">
        <v>956</v>
      </c>
      <c r="B13339" s="0" t="s">
        <v>98</v>
      </c>
      <c r="E13339" s="6" t="n">
        <f aca="false">Q!M40</f>
        <v>22.271</v>
      </c>
      <c r="F13339" s="6" t="n">
        <f aca="false">MAX(0,MIN(bb_target,Sens!E13341+Sens!F13337-Sens!F13338-min_cash))</f>
        <v>0</v>
      </c>
      <c r="G13339" s="6" t="n">
        <f aca="false">MAX(0,MIN(bb_target,Sens!F13341+Sens!G13337-Sens!G13338-min_cash))</f>
        <v>0</v>
      </c>
      <c r="H13339" s="6" t="n">
        <f aca="false">MAX(0,MIN(bb_target,Sens!G13341+Sens!H13337-Sens!H13338-min_cash))</f>
        <v>0</v>
      </c>
      <c r="I13339" s="6" t="n">
        <f aca="false">MAX(0,MIN(bb_target,Sens!H13341+Sens!I13337-Sens!I13338-min_cash))</f>
        <v>15.4161511286435</v>
      </c>
      <c r="J13339" s="6" t="n">
        <f aca="false">MAX(0,MIN(bb_target,Sens!I13341+Sens!J13337-Sens!J13338-min_cash))</f>
        <v>22.271</v>
      </c>
      <c r="K13339" s="6" t="n">
        <f aca="false">MAX(0,MIN(bb_target,Sens!J13341+Sens!K13337-Sens!K13338-min_cash))</f>
        <v>22.271</v>
      </c>
    </row>
    <row r="13340" customFormat="false" ht="15" hidden="false" customHeight="false" outlineLevel="0" collapsed="false">
      <c r="A13340" s="1" t="s">
        <v>957</v>
      </c>
      <c r="B13340" s="0" t="s">
        <v>98</v>
      </c>
      <c r="F13340" s="6" t="n">
        <f aca="false">MAX(0,min_cash-(Sens!E13341+Sens!F13337-Sens!F13338-Sens!F13339))</f>
        <v>34.2878525517301</v>
      </c>
      <c r="G13340" s="6" t="n">
        <f aca="false">MAX(0,min_cash-(Sens!F13341+Sens!G13337-Sens!G13338-Sens!G13339))</f>
        <v>42.9097208651464</v>
      </c>
      <c r="H13340" s="6" t="n">
        <f aca="false">MAX(0,min_cash-(Sens!G13341+Sens!H13337-Sens!H13338-Sens!H13339))</f>
        <v>30.9244673599245</v>
      </c>
      <c r="I13340" s="6" t="n">
        <f aca="false">MAX(0,min_cash-(Sens!H13341+Sens!I13337-Sens!I13338-Sens!I13339))</f>
        <v>0</v>
      </c>
      <c r="J13340" s="6" t="n">
        <f aca="false">MAX(0,min_cash-(Sens!I13341+Sens!J13337-Sens!J13338-Sens!J13339))</f>
        <v>0</v>
      </c>
      <c r="K13340" s="6" t="n">
        <f aca="false">MAX(0,min_cash-(Sens!J13341+Sens!K13337-Sens!K13338-Sens!K13339))</f>
        <v>0</v>
      </c>
    </row>
    <row r="13341" customFormat="false" ht="15" hidden="false" customHeight="false" outlineLevel="0" collapsed="false">
      <c r="A13341" s="1" t="s">
        <v>958</v>
      </c>
      <c r="B13341" s="0" t="s">
        <v>98</v>
      </c>
      <c r="E13341" s="6" t="n">
        <f aca="false">cash_open</f>
        <v>76.843</v>
      </c>
      <c r="F13341" s="6" t="n">
        <f aca="false">Sens!E13341+Sens!F13337-Sens!F13338-Sens!F13339+Sens!F13340</f>
        <v>50</v>
      </c>
      <c r="G13341" s="6" t="n">
        <f aca="false">Sens!F13341+Sens!G13337-Sens!G13338-Sens!G13339+Sens!G13340</f>
        <v>50</v>
      </c>
      <c r="H13341" s="6" t="n">
        <f aca="false">Sens!G13341+Sens!H13337-Sens!H13338-Sens!H13339+Sens!H13340</f>
        <v>50</v>
      </c>
      <c r="I13341" s="6" t="n">
        <f aca="false">Sens!H13341+Sens!I13337-Sens!I13338-Sens!I13339+Sens!I13340</f>
        <v>50</v>
      </c>
      <c r="J13341" s="6" t="n">
        <f aca="false">Sens!I13341+Sens!J13337-Sens!J13338-Sens!J13339+Sens!J13340</f>
        <v>98.8458100960977</v>
      </c>
      <c r="K13341" s="6" t="n">
        <f aca="false">Sens!J13341+Sens!K13337-Sens!K13338-Sens!K13339+Sens!K13340</f>
        <v>171.898811084885</v>
      </c>
    </row>
    <row r="13342" customFormat="false" ht="15" hidden="false" customHeight="false" outlineLevel="0" collapsed="false">
      <c r="A13342" s="1" t="s">
        <v>959</v>
      </c>
      <c r="B13342" s="0" t="s">
        <v>98</v>
      </c>
      <c r="E13342" s="6" t="n">
        <f aca="false">debt_face</f>
        <v>46.136</v>
      </c>
      <c r="F13342" s="6" t="n">
        <f aca="false">Sens!E13342-Sens!F13338+Sens!F13340</f>
        <v>71.1738525517301</v>
      </c>
      <c r="G13342" s="6" t="n">
        <f aca="false">Sens!F13342-Sens!G13338+Sens!G13340</f>
        <v>114.083573416877</v>
      </c>
      <c r="H13342" s="6" t="n">
        <f aca="false">Sens!G13342-Sens!H13338+Sens!H13340</f>
        <v>143.007040776801</v>
      </c>
      <c r="I13342" s="6" t="n">
        <f aca="false">Sens!H13342-Sens!I13338+Sens!I13340</f>
        <v>143.007040776801</v>
      </c>
      <c r="J13342" s="6" t="n">
        <f aca="false">Sens!I13342-Sens!J13338+Sens!J13340</f>
        <v>142.507040776801</v>
      </c>
      <c r="K13342" s="6" t="n">
        <f aca="false">Sens!J13342-Sens!K13338+Sens!K13340</f>
        <v>142.507040776801</v>
      </c>
    </row>
    <row r="13343" customFormat="false" ht="15" hidden="false" customHeight="false" outlineLevel="0" collapsed="false">
      <c r="A13343" s="1" t="s">
        <v>960</v>
      </c>
      <c r="B13343" s="0" t="s">
        <v>98</v>
      </c>
      <c r="E13343" s="6" t="n">
        <f aca="false">Sens!E13341-Sens!E13342</f>
        <v>30.707</v>
      </c>
      <c r="F13343" s="6" t="n">
        <f aca="false">Sens!F13341-Sens!F13342</f>
        <v>-21.1738525517301</v>
      </c>
      <c r="G13343" s="6" t="n">
        <f aca="false">Sens!G13341-Sens!G13342</f>
        <v>-64.0835734168766</v>
      </c>
      <c r="H13343" s="6" t="n">
        <f aca="false">Sens!H13341-Sens!H13342</f>
        <v>-93.0070407768011</v>
      </c>
      <c r="I13343" s="6" t="n">
        <f aca="false">Sens!I13341-Sens!I13342</f>
        <v>-93.0070407768011</v>
      </c>
      <c r="J13343" s="6" t="n">
        <f aca="false">Sens!J13341-Sens!J13342</f>
        <v>-43.6612306807034</v>
      </c>
      <c r="K13343" s="6" t="n">
        <f aca="false">Sens!K13341-Sens!K13342</f>
        <v>29.3917703080836</v>
      </c>
    </row>
    <row r="13344" customFormat="false" ht="15" hidden="false" customHeight="false" outlineLevel="0" collapsed="false">
      <c r="A13344" s="1" t="s">
        <v>961</v>
      </c>
      <c r="B13344" s="0" t="s">
        <v>75</v>
      </c>
      <c r="F13344" s="29" t="n">
        <f aca="false">px*(1+bb_g)^(Sens!F13208-base_fy-mid_yr)</f>
        <v>553.494156066711</v>
      </c>
      <c r="G13344" s="29" t="n">
        <f aca="false">px*(1+bb_g)^(Sens!G13208-base_fy-mid_yr)</f>
        <v>597.773688552047</v>
      </c>
      <c r="H13344" s="29" t="n">
        <f aca="false">px*(1+bb_g)^(Sens!H13208-base_fy-mid_yr)</f>
        <v>645.595583636211</v>
      </c>
      <c r="I13344" s="29" t="n">
        <f aca="false">px*(1+bb_g)^(Sens!I13208-base_fy-mid_yr)</f>
        <v>697.243230327108</v>
      </c>
      <c r="J13344" s="29" t="n">
        <f aca="false">px*(1+bb_g)^(Sens!J13208-base_fy-mid_yr)</f>
        <v>753.022688753277</v>
      </c>
      <c r="K13344" s="29" t="n">
        <f aca="false">px*(1+bb_g)^(Sens!K13208-base_fy-mid_yr)</f>
        <v>813.264503853539</v>
      </c>
    </row>
    <row r="13345" customFormat="false" ht="15" hidden="false" customHeight="false" outlineLevel="0" collapsed="false">
      <c r="A13345" s="1" t="s">
        <v>962</v>
      </c>
      <c r="B13345" s="1" t="s">
        <v>81</v>
      </c>
      <c r="E13345" s="14" t="n">
        <f aca="false">sh_out26</f>
        <v>7.427</v>
      </c>
      <c r="F13345" s="14" t="n">
        <f aca="false">Sens!E13345+sh_iss-Sens!F13339/Sens!F13344</f>
        <v>7.472</v>
      </c>
      <c r="G13345" s="14" t="n">
        <f aca="false">Sens!F13345+sh_iss-Sens!G13339/Sens!G13344</f>
        <v>7.517</v>
      </c>
      <c r="H13345" s="14" t="n">
        <f aca="false">Sens!G13345+sh_iss-Sens!H13339/Sens!H13344</f>
        <v>7.562</v>
      </c>
      <c r="I13345" s="14" t="n">
        <f aca="false">Sens!H13345+sh_iss-Sens!I13339/Sens!I13344</f>
        <v>7.58488985183634</v>
      </c>
      <c r="J13345" s="14" t="n">
        <f aca="false">Sens!I13345+sh_iss-Sens!J13339/Sens!J13344</f>
        <v>7.60031438175738</v>
      </c>
      <c r="K13345" s="14" t="n">
        <f aca="false">Sens!J13345+sh_iss-Sens!K13339/Sens!K13344</f>
        <v>7.61792968723982</v>
      </c>
    </row>
    <row r="13346" customFormat="false" ht="15" hidden="false" customHeight="false" outlineLevel="0" collapsed="false">
      <c r="A13346" s="1" t="s">
        <v>963</v>
      </c>
      <c r="B13346" s="1" t="s">
        <v>81</v>
      </c>
      <c r="E13346" s="14" t="n">
        <f aca="false">sh_dil26</f>
        <v>7.453</v>
      </c>
      <c r="F13346" s="14" t="n">
        <f aca="false">(Sens!E13345+Sens!F13345)/2+dil_gap</f>
        <v>7.4735</v>
      </c>
      <c r="G13346" s="14" t="n">
        <f aca="false">(Sens!F13345+Sens!G13345)/2+dil_gap</f>
        <v>7.5185</v>
      </c>
      <c r="H13346" s="14" t="n">
        <f aca="false">(Sens!G13345+Sens!H13345)/2+dil_gap</f>
        <v>7.5635</v>
      </c>
      <c r="I13346" s="14" t="n">
        <f aca="false">(Sens!H13345+Sens!I13345)/2+dil_gap</f>
        <v>7.59744492591817</v>
      </c>
      <c r="J13346" s="14" t="n">
        <f aca="false">(Sens!I13345+Sens!J13345)/2+dil_gap</f>
        <v>7.61660211679686</v>
      </c>
      <c r="K13346" s="14" t="n">
        <f aca="false">(Sens!J13345+Sens!K13345)/2+dil_gap</f>
        <v>7.6331220344986</v>
      </c>
    </row>
    <row r="13347" customFormat="false" ht="17.15" hidden="false" customHeight="false" outlineLevel="0" collapsed="false">
      <c r="A13347" s="1" t="s">
        <v>964</v>
      </c>
      <c r="B13347" s="0" t="s">
        <v>98</v>
      </c>
      <c r="C13347" s="6" t="n">
        <f aca="false">SUM(Sens!F13337:J13337)</f>
        <v>-36.6810795520599</v>
      </c>
    </row>
    <row r="13348" customFormat="false" ht="15" hidden="false" customHeight="false" outlineLevel="0" collapsed="false">
      <c r="A13348" s="23" t="s">
        <v>935</v>
      </c>
      <c r="B13348" s="30" t="s">
        <v>98</v>
      </c>
      <c r="C13348" s="24" t="n">
        <f aca="false">Sens!$C$13347-(Sens!F13337+Sens!G13337+Sens!H13337+Sens!I13337+Sens!J13337)</f>
        <v>0</v>
      </c>
      <c r="D13348" s="30"/>
      <c r="E13348" s="30"/>
      <c r="F13348" s="30"/>
      <c r="G13348" s="30"/>
      <c r="H13348" s="30"/>
      <c r="I13348" s="30"/>
      <c r="J13348" s="30"/>
      <c r="K13348" s="30"/>
    </row>
    <row r="13349" customFormat="false" ht="17.15" hidden="false" customHeight="false" outlineLevel="0" collapsed="false">
      <c r="A13349" s="1" t="s">
        <v>929</v>
      </c>
      <c r="B13349" s="1" t="s">
        <v>965</v>
      </c>
      <c r="C13349" s="32" t="str">
        <f aca="false">IF(SUM(Sens!F13340:J13340)&gt;0.05,"需要舉債 "&amp;TEXT(SUM(Sens!F13340:J13340),"0.0")&amp;" 十億美元","不需舉債")&amp;"；"&amp;IF(SUM(Sens!F13339:J13339)&lt;COUNT(Sens!F13339:J13339)*bb_target-0.05,"回購較每年 "&amp;TEXT(bb_target,"0.0")&amp;" 的目標少 "&amp;TEXT(COUNT(Sens!F13339:J13339)*bb_target-SUM(Sens!F13339:J13339),"0.0")&amp;" 十億美元（"&amp;TEXT(COUNTIF(Sens!F13339:J13339,"&lt;"&amp;(bb_target-0.05)),"0")&amp;" 年減少）","回購不減")</f>
        <v>需要舉債 108.1 十億美元；回購較每年 22.3 的目標少 73.7 十億美元（4 年減少）</v>
      </c>
    </row>
    <row r="13350" customFormat="false" ht="17.15" hidden="false" customHeight="false" outlineLevel="0" collapsed="false">
      <c r="A13350" s="3" t="s">
        <v>1579</v>
      </c>
    </row>
    <row r="13351" customFormat="false" ht="15" hidden="false" customHeight="false" outlineLevel="0" collapsed="false">
      <c r="A13351" s="4" t="s">
        <v>43</v>
      </c>
      <c r="B13351" s="4" t="s">
        <v>65</v>
      </c>
      <c r="C13351" s="20" t="s">
        <v>788</v>
      </c>
      <c r="D13351" s="20" t="s">
        <v>789</v>
      </c>
      <c r="E13351" s="20" t="s">
        <v>790</v>
      </c>
      <c r="F13351" s="20" t="s">
        <v>791</v>
      </c>
      <c r="G13351" s="20" t="s">
        <v>792</v>
      </c>
      <c r="H13351" s="20" t="s">
        <v>793</v>
      </c>
      <c r="I13351" s="20" t="s">
        <v>794</v>
      </c>
      <c r="J13351" s="20" t="s">
        <v>795</v>
      </c>
      <c r="K13351" s="20" t="s">
        <v>796</v>
      </c>
      <c r="L13351" s="4" t="s">
        <v>47</v>
      </c>
    </row>
    <row r="13352" customFormat="false" ht="15" hidden="false" customHeight="false" outlineLevel="0" collapsed="false">
      <c r="A13352" s="1" t="s">
        <v>1042</v>
      </c>
      <c r="B13352" s="1" t="s">
        <v>235</v>
      </c>
      <c r="F13352" s="36" t="n">
        <f aca="false">Sens!F13208-base_fy-mid_yr</f>
        <v>0.5</v>
      </c>
      <c r="G13352" s="36" t="n">
        <f aca="false">Sens!G13208-base_fy-mid_yr</f>
        <v>1.5</v>
      </c>
      <c r="H13352" s="36" t="n">
        <f aca="false">Sens!H13208-base_fy-mid_yr</f>
        <v>2.5</v>
      </c>
      <c r="I13352" s="36" t="n">
        <f aca="false">Sens!I13208-base_fy-mid_yr</f>
        <v>3.5</v>
      </c>
      <c r="J13352" s="36" t="n">
        <f aca="false">Sens!J13208-base_fy-mid_yr</f>
        <v>4.5</v>
      </c>
      <c r="K13352" s="36" t="n">
        <f aca="false">Sens!K13208-base_fy-mid_yr</f>
        <v>5.5</v>
      </c>
    </row>
    <row r="13353" customFormat="false" ht="15" hidden="false" customHeight="false" outlineLevel="0" collapsed="false">
      <c r="A13353" s="1" t="s">
        <v>1043</v>
      </c>
      <c r="B13353" s="0" t="s">
        <v>185</v>
      </c>
      <c r="F13353" s="14" t="n">
        <f aca="false">1/(1+wacc)^Sens!F13352</f>
        <v>0.952193373608246</v>
      </c>
      <c r="G13353" s="14" t="n">
        <f aca="false">1/(1+wacc)^Sens!G13352</f>
        <v>0.863327280626589</v>
      </c>
      <c r="H13353" s="14" t="n">
        <f aca="false">1/(1+wacc)^Sens!H13352</f>
        <v>0.782754862754115</v>
      </c>
      <c r="I13353" s="14" t="n">
        <f aca="false">1/(1+wacc)^Sens!I13352</f>
        <v>0.709702089711011</v>
      </c>
      <c r="J13353" s="14" t="n">
        <f aca="false">1/(1+wacc)^Sens!J13352</f>
        <v>0.643467169744551</v>
      </c>
      <c r="K13353" s="14" t="n">
        <f aca="false">1/(1+wacc)^Sens!K13352</f>
        <v>0.583413807767797</v>
      </c>
    </row>
    <row r="13354" customFormat="false" ht="17.15" hidden="false" customHeight="false" outlineLevel="0" collapsed="false">
      <c r="A13354" s="1" t="s">
        <v>1044</v>
      </c>
      <c r="B13354" s="0" t="s">
        <v>98</v>
      </c>
      <c r="F13354" s="6" t="n">
        <f aca="false">Sens!F13328-Sens!F13326-Sens!F13331+Sens!F13312*(1-tax_f)</f>
        <v>-16.3436480497957</v>
      </c>
      <c r="G13354" s="6" t="n">
        <f aca="false">Sens!G13328-Sens!G13326-Sens!G13331+Sens!G13312*(1-tax_f)</f>
        <v>7.07288570953962</v>
      </c>
      <c r="H13354" s="6" t="n">
        <f aca="false">Sens!H13328-Sens!H13326-Sens!H13331+Sens!H13312*(1-tax_f)</f>
        <v>36.0805708500434</v>
      </c>
      <c r="I13354" s="6" t="n">
        <f aca="false">Sens!I13328-Sens!I13326-Sens!I13331+Sens!I13312*(1-tax_f)</f>
        <v>94.6668429658533</v>
      </c>
      <c r="J13354" s="6" t="n">
        <f aca="false">Sens!J13328-Sens!J13326-Sens!J13331+Sens!J13312*(1-tax_f)</f>
        <v>161.606488815964</v>
      </c>
      <c r="K13354" s="6" t="n">
        <f aca="false">Sens!K13328-Sens!K13326-Sens!K13331+Sens!K13312*(1-tax_f)</f>
        <v>192.765968036636</v>
      </c>
      <c r="L13354" s="1" t="s">
        <v>1045</v>
      </c>
    </row>
    <row r="13355" customFormat="false" ht="15" hidden="false" customHeight="false" outlineLevel="0" collapsed="false">
      <c r="A13355" s="1" t="s">
        <v>1046</v>
      </c>
      <c r="B13355" s="0" t="s">
        <v>98</v>
      </c>
      <c r="F13355" s="6" t="n">
        <f aca="false">Sens!F13354*Sens!F13353</f>
        <v>-15.5623133736008</v>
      </c>
      <c r="G13355" s="6" t="n">
        <f aca="false">Sens!G13354*Sens!G13353</f>
        <v>6.1062151857995</v>
      </c>
      <c r="H13355" s="6" t="n">
        <f aca="false">Sens!H13354*Sens!H13353</f>
        <v>28.2422422838158</v>
      </c>
      <c r="I13355" s="6" t="n">
        <f aca="false">Sens!I13354*Sens!I13353</f>
        <v>67.1852562792102</v>
      </c>
      <c r="J13355" s="6" t="n">
        <f aca="false">Sens!J13354*Sens!J13353</f>
        <v>103.988469970763</v>
      </c>
      <c r="K13355" s="6" t="n">
        <f aca="false">Sens!K13354*Sens!K13353</f>
        <v>112.462327420299</v>
      </c>
    </row>
    <row r="13356" customFormat="false" ht="17.15" hidden="false" customHeight="false" outlineLevel="0" collapsed="false">
      <c r="A13356" s="1" t="s">
        <v>1047</v>
      </c>
      <c r="B13356" s="0" t="s">
        <v>98</v>
      </c>
      <c r="C13356" s="6" t="n">
        <f aca="false">SUM(Sens!F13355:K13355)</f>
        <v>302.422197766287</v>
      </c>
    </row>
    <row r="13357" customFormat="false" ht="17.15" hidden="false" customHeight="false" outlineLevel="0" collapsed="false">
      <c r="A13357" s="1" t="s">
        <v>1048</v>
      </c>
      <c r="B13357" s="0" t="s">
        <v>98</v>
      </c>
      <c r="C13357" s="6" t="n">
        <f aca="false">Sens!K13298*(1+g_tv)*(1-tax_f)</f>
        <v>199.138455974766</v>
      </c>
    </row>
    <row r="13358" customFormat="false" ht="17.15" hidden="false" customHeight="false" outlineLevel="0" collapsed="false">
      <c r="A13358" s="1" t="s">
        <v>1049</v>
      </c>
      <c r="B13358" s="0" t="s">
        <v>98</v>
      </c>
      <c r="C13358" s="6" t="n">
        <f aca="false">Sens!$C$13357*(1-g_tv/(wacc+ronic_prem))</f>
        <v>141.100010974031</v>
      </c>
    </row>
    <row r="13359" customFormat="false" ht="17.15" hidden="false" customHeight="false" outlineLevel="0" collapsed="false">
      <c r="A13359" s="1" t="s">
        <v>1050</v>
      </c>
      <c r="B13359" s="0" t="s">
        <v>98</v>
      </c>
      <c r="C13359" s="6" t="n">
        <f aca="false">Sens!$C$13358/(wacc-g_tv)</f>
        <v>1934.61483335786</v>
      </c>
    </row>
    <row r="13360" customFormat="false" ht="15" hidden="false" customHeight="false" outlineLevel="0" collapsed="false">
      <c r="A13360" s="1" t="s">
        <v>1051</v>
      </c>
      <c r="B13360" s="0" t="s">
        <v>98</v>
      </c>
      <c r="C13360" s="6" t="n">
        <f aca="false">Sens!$C$13359/(1+wacc)^(Sens!K13352+mid_yr)</f>
        <v>1074.72257530047</v>
      </c>
    </row>
    <row r="13361" customFormat="false" ht="17.15" hidden="false" customHeight="false" outlineLevel="0" collapsed="false">
      <c r="A13361" s="0" t="s">
        <v>972</v>
      </c>
      <c r="B13361" s="0" t="s">
        <v>98</v>
      </c>
      <c r="C13361" s="6" t="n">
        <f aca="false">Sens!$C$13356+Sens!$C$13360</f>
        <v>1377.14477306676</v>
      </c>
    </row>
    <row r="13362" customFormat="false" ht="15" hidden="false" customHeight="false" outlineLevel="0" collapsed="false">
      <c r="A13362" s="1" t="s">
        <v>973</v>
      </c>
      <c r="B13362" s="0" t="s">
        <v>129</v>
      </c>
      <c r="C13362" s="7" t="n">
        <f aca="false">Sens!$C$13360/Sens!$C$13361</f>
        <v>0.780399124564933</v>
      </c>
    </row>
    <row r="13363" customFormat="false" ht="17.15" hidden="false" customHeight="false" outlineLevel="0" collapsed="false">
      <c r="A13363" s="1" t="s">
        <v>1052</v>
      </c>
      <c r="B13363" s="0" t="s">
        <v>98</v>
      </c>
      <c r="C13363" s="6" t="n">
        <f aca="false">Sens!$C$13361+Sens!E13343-Sens!E13332+oai_v</f>
        <v>1511.65777306676</v>
      </c>
    </row>
    <row r="13364" customFormat="false" ht="17.15" hidden="false" customHeight="false" outlineLevel="0" collapsed="false">
      <c r="A13364" s="0" t="s">
        <v>980</v>
      </c>
      <c r="B13364" s="0" t="s">
        <v>75</v>
      </c>
      <c r="C13364" s="5" t="n">
        <f aca="false">Sens!$C$13363/sh_dil26</f>
        <v>202.825408971791</v>
      </c>
    </row>
    <row r="13365" customFormat="false" ht="15" hidden="false" customHeight="false" outlineLevel="0" collapsed="false">
      <c r="A13365" s="1" t="s">
        <v>1053</v>
      </c>
      <c r="B13365" s="0" t="s">
        <v>75</v>
      </c>
      <c r="C13365" s="8" t="n">
        <f aca="false">dps_27+Sens!G13335*roll_div_q/q_per_yr</f>
        <v>4.8895</v>
      </c>
    </row>
    <row r="13366" customFormat="false" ht="17.15" hidden="false" customHeight="false" outlineLevel="0" collapsed="false">
      <c r="A13366" s="0" t="s">
        <v>1054</v>
      </c>
      <c r="B13366" s="0" t="s">
        <v>75</v>
      </c>
      <c r="C13366" s="5" t="n">
        <f aca="false">Sens!$C$13364*(1+wacc)^t_roll-Sens!$C$13365</f>
        <v>226.074565440393</v>
      </c>
    </row>
    <row r="13367" customFormat="false" ht="17.15" hidden="false" customHeight="false" outlineLevel="0" collapsed="false">
      <c r="A13367" s="1" t="s">
        <v>1055</v>
      </c>
      <c r="B13367" s="0" t="s">
        <v>129</v>
      </c>
      <c r="F13367" s="7" t="n">
        <f aca="false">Sens!F13324/(Sens!F13269-Sens!F13225)</f>
        <v>0.0686864325746334</v>
      </c>
      <c r="G13367" s="7" t="n">
        <f aca="false">Sens!G13324/(Sens!G13269-Sens!G13225)</f>
        <v>0.066267001590801</v>
      </c>
      <c r="H13367" s="7" t="n">
        <f aca="false">Sens!H13324/(Sens!H13269-Sens!H13225)</f>
        <v>0.0650366246750144</v>
      </c>
      <c r="I13367" s="7" t="n">
        <f aca="false">Sens!I13324/(Sens!I13269-Sens!I13225)</f>
        <v>0.0648573271390164</v>
      </c>
      <c r="J13367" s="7" t="n">
        <f aca="false">Sens!J13324/(Sens!J13269-Sens!J13225)</f>
        <v>0.0655189837669657</v>
      </c>
      <c r="K13367" s="7" t="n">
        <f aca="false">Sens!K13324/(Sens!K13269-Sens!K13225)</f>
        <v>0.0667878921367872</v>
      </c>
    </row>
    <row r="13368" customFormat="false" ht="17.15" hidden="false" customHeight="false" outlineLevel="0" collapsed="false">
      <c r="A13368" s="0" t="s">
        <v>1056</v>
      </c>
      <c r="B13368" s="0" t="s">
        <v>98</v>
      </c>
      <c r="F13368" s="6" t="n">
        <f aca="false">Sens!F13254*(al_m365+Sens!F13367+sbc_r)</f>
        <v>82.8871280343675</v>
      </c>
      <c r="G13368" s="6" t="n">
        <f aca="false">Sens!G13254*(al_m365+Sens!G13367+sbc_r)</f>
        <v>93.2646494841949</v>
      </c>
      <c r="H13368" s="6" t="n">
        <f aca="false">Sens!H13254*(al_m365+Sens!H13367+sbc_r)</f>
        <v>103.801656157254</v>
      </c>
      <c r="I13368" s="6" t="n">
        <f aca="false">Sens!I13254*(al_m365+Sens!I13367+sbc_r)</f>
        <v>113.821873816133</v>
      </c>
      <c r="J13368" s="6" t="n">
        <f aca="false">Sens!J13254*(al_m365+Sens!J13367+sbc_r)</f>
        <v>123.136196807334</v>
      </c>
      <c r="K13368" s="6" t="n">
        <f aca="false">Sens!K13254*(al_m365+Sens!K13367+sbc_r)</f>
        <v>132.051675801964</v>
      </c>
      <c r="L13368" s="11" t="s">
        <v>1057</v>
      </c>
    </row>
    <row r="13369" customFormat="false" ht="17.15" hidden="false" customHeight="false" outlineLevel="0" collapsed="false">
      <c r="A13369" s="0" t="s">
        <v>1058</v>
      </c>
      <c r="B13369" s="0" t="s">
        <v>98</v>
      </c>
      <c r="F13369" s="6" t="n">
        <f aca="false">Sens!F13255*(al_lic+Sens!F13367+sbc_r)</f>
        <v>33.4484001235218</v>
      </c>
      <c r="G13369" s="6" t="n">
        <f aca="false">Sens!G13255*(al_lic+Sens!G13367+sbc_r)</f>
        <v>34.7662136749183</v>
      </c>
      <c r="H13369" s="6" t="n">
        <f aca="false">Sens!H13255*(al_lic+Sens!H13367+sbc_r)</f>
        <v>35.9922067034497</v>
      </c>
      <c r="I13369" s="6" t="n">
        <f aca="false">Sens!I13255*(al_lic+Sens!I13367+sbc_r)</f>
        <v>37.1063543598183</v>
      </c>
      <c r="J13369" s="6" t="n">
        <f aca="false">Sens!J13255*(al_lic+Sens!J13367+sbc_r)</f>
        <v>38.0853056964387</v>
      </c>
      <c r="K13369" s="6" t="n">
        <f aca="false">Sens!K13255*(al_lic+Sens!K13367+sbc_r)</f>
        <v>38.9048066370724</v>
      </c>
    </row>
    <row r="13370" customFormat="false" ht="17.15" hidden="false" customHeight="false" outlineLevel="0" collapsed="false">
      <c r="A13370" s="0" t="s">
        <v>1059</v>
      </c>
      <c r="B13370" s="0" t="s">
        <v>98</v>
      </c>
      <c r="F13370" s="6" t="n">
        <f aca="false">Sens!F13257*(al_ind+Sens!F13367+sbc_r)</f>
        <v>9.07857451914073</v>
      </c>
      <c r="G13370" s="6" t="n">
        <f aca="false">Sens!G13257*(al_ind+Sens!G13367+sbc_r)</f>
        <v>9.86487802721884</v>
      </c>
      <c r="H13370" s="6" t="n">
        <f aca="false">Sens!H13257*(al_ind+Sens!H13367+sbc_r)</f>
        <v>10.693809720013</v>
      </c>
      <c r="I13370" s="6" t="n">
        <f aca="false">Sens!I13257*(al_ind+Sens!I13367+sbc_r)</f>
        <v>11.5608645999226</v>
      </c>
      <c r="J13370" s="6" t="n">
        <f aca="false">Sens!J13257*(al_ind+Sens!J13367+sbc_r)</f>
        <v>12.4574161941375</v>
      </c>
      <c r="K13370" s="6" t="n">
        <f aca="false">Sens!K13257*(al_ind+Sens!K13367+sbc_r)</f>
        <v>13.3714153876622</v>
      </c>
    </row>
    <row r="13371" customFormat="false" ht="17.15" hidden="false" customHeight="false" outlineLevel="0" collapsed="false">
      <c r="A13371" s="0" t="s">
        <v>1060</v>
      </c>
      <c r="B13371" s="0" t="s">
        <v>98</v>
      </c>
      <c r="F13371" s="6" t="n">
        <f aca="false">Sens!F13259*(al_fro+Sens!F13367+sbc_r)</f>
        <v>3.57335880380168</v>
      </c>
      <c r="G13371" s="6" t="n">
        <f aca="false">Sens!G13259*(al_fro+Sens!G13367+sbc_r)</f>
        <v>3.78752993435501</v>
      </c>
      <c r="H13371" s="6" t="n">
        <f aca="false">Sens!H13259*(al_fro+Sens!H13367+sbc_r)</f>
        <v>4.02979352544868</v>
      </c>
      <c r="I13371" s="6" t="n">
        <f aca="false">Sens!I13259*(al_fro+Sens!I13367+sbc_r)</f>
        <v>4.30248328262388</v>
      </c>
      <c r="J13371" s="6" t="n">
        <f aca="false">Sens!J13259*(al_fro+Sens!J13367+sbc_r)</f>
        <v>4.6072312462081</v>
      </c>
      <c r="K13371" s="6" t="n">
        <f aca="false">Sens!K13259*(al_fro+Sens!K13367+sbc_r)</f>
        <v>4.94526327289735</v>
      </c>
    </row>
    <row r="13372" customFormat="false" ht="17.15" hidden="false" customHeight="false" outlineLevel="0" collapsed="false">
      <c r="A13372" s="0" t="s">
        <v>1061</v>
      </c>
      <c r="B13372" s="0" t="s">
        <v>98</v>
      </c>
      <c r="F13372" s="6" t="n">
        <f aca="false">Sens!F13262*(al_srch+Sens!F13367+sbc_r)</f>
        <v>11.2121706988551</v>
      </c>
      <c r="G13372" s="6" t="n">
        <f aca="false">Sens!G13262*(al_srch+Sens!G13367+sbc_r)</f>
        <v>12.298220751086</v>
      </c>
      <c r="H13372" s="6" t="n">
        <f aca="false">Sens!H13262*(al_srch+Sens!H13367+sbc_r)</f>
        <v>13.4264661389574</v>
      </c>
      <c r="I13372" s="6" t="n">
        <f aca="false">Sens!I13262*(al_srch+Sens!I13367+sbc_r)</f>
        <v>14.5842947685169</v>
      </c>
      <c r="J13372" s="6" t="n">
        <f aca="false">Sens!J13262*(al_srch+Sens!J13367+sbc_r)</f>
        <v>15.7529827260804</v>
      </c>
      <c r="K13372" s="6" t="n">
        <f aca="false">Sens!K13262*(al_srch+Sens!K13367+sbc_r)</f>
        <v>16.908777257054</v>
      </c>
    </row>
    <row r="13373" customFormat="false" ht="17.15" hidden="false" customHeight="false" outlineLevel="0" collapsed="false">
      <c r="A13373" s="0" t="s">
        <v>1062</v>
      </c>
      <c r="B13373" s="0" t="s">
        <v>98</v>
      </c>
      <c r="F13373" s="6" t="n">
        <f aca="false">Sens!F13231-Sens!F13232+Sens!F13312</f>
        <v>25.3639173519322</v>
      </c>
      <c r="G13373" s="6" t="n">
        <f aca="false">Sens!G13231-Sens!G13232+Sens!G13312</f>
        <v>43.6413108778357</v>
      </c>
      <c r="H13373" s="6" t="n">
        <f aca="false">Sens!H13231-Sens!H13232+Sens!H13312</f>
        <v>61.1206638096935</v>
      </c>
      <c r="I13373" s="6" t="n">
        <f aca="false">Sens!I13231-Sens!I13232+Sens!I13312</f>
        <v>80.389315142042</v>
      </c>
      <c r="J13373" s="6" t="n">
        <f aca="false">Sens!J13231-Sens!J13232+Sens!J13312</f>
        <v>94.0741018578769</v>
      </c>
      <c r="K13373" s="6" t="n">
        <f aca="false">Sens!K13231-Sens!K13232+Sens!K13312</f>
        <v>102.766273308472</v>
      </c>
    </row>
    <row r="13374" customFormat="false" ht="17.15" hidden="false" customHeight="false" outlineLevel="0" collapsed="false">
      <c r="A13374" s="0" t="s">
        <v>1063</v>
      </c>
      <c r="B13374" s="0" t="s">
        <v>98</v>
      </c>
      <c r="F13374" s="6" t="n">
        <f aca="false">Sens!F13291+Sens!F13312+Sens!F13242+Sens!F13367*(Sens!F13261-Sens!F13225)+sbc_r*Sens!F13261</f>
        <v>214.373627846962</v>
      </c>
      <c r="G13374" s="6" t="n">
        <f aca="false">Sens!G13291+Sens!G13312+Sens!G13242+Sens!G13367*(Sens!G13261-Sens!G13225)+sbc_r*Sens!G13261</f>
        <v>257.0309504005</v>
      </c>
      <c r="H13374" s="6" t="n">
        <f aca="false">Sens!H13291+Sens!H13312+Sens!H13242+Sens!H13367*(Sens!H13261-Sens!H13225)+sbc_r*Sens!H13261</f>
        <v>299.252239205683</v>
      </c>
      <c r="I13374" s="6" t="n">
        <f aca="false">Sens!I13291+Sens!I13312+Sens!I13242+Sens!I13367*(Sens!I13261-Sens!I13225)+sbc_r*Sens!I13261</f>
        <v>342.579622189409</v>
      </c>
      <c r="J13374" s="6" t="n">
        <f aca="false">Sens!J13291+Sens!J13312+Sens!J13242+Sens!J13367*(Sens!J13261-Sens!J13225)+sbc_r*Sens!J13261</f>
        <v>378.555110695382</v>
      </c>
      <c r="K13374" s="6" t="n">
        <f aca="false">Sens!K13291+Sens!K13312+Sens!K13242+Sens!K13367*(Sens!K13261-Sens!K13225)+sbc_r*Sens!K13261</f>
        <v>407.347565549115</v>
      </c>
    </row>
    <row r="13375" customFormat="false" ht="17.15" hidden="false" customHeight="false" outlineLevel="0" collapsed="false">
      <c r="A13375" s="0" t="s">
        <v>1064</v>
      </c>
      <c r="B13375" s="0" t="s">
        <v>98</v>
      </c>
      <c r="F13375" s="6" t="n">
        <f aca="false">Sens!F13374-Sens!F13368-Sens!F13369-Sens!F13370-Sens!F13371-Sens!F13373</f>
        <v>60.022249014198</v>
      </c>
      <c r="G13375" s="6" t="n">
        <f aca="false">Sens!G13374-Sens!G13368-Sens!G13369-Sens!G13370-Sens!G13371-Sens!G13373</f>
        <v>71.7063684019772</v>
      </c>
      <c r="H13375" s="6" t="n">
        <f aca="false">Sens!H13374-Sens!H13368-Sens!H13369-Sens!H13370-Sens!H13371-Sens!H13373</f>
        <v>83.6141092898236</v>
      </c>
      <c r="I13375" s="6" t="n">
        <f aca="false">Sens!I13374-Sens!I13368-Sens!I13369-Sens!I13370-Sens!I13371-Sens!I13373</f>
        <v>95.3987309888688</v>
      </c>
      <c r="J13375" s="6" t="n">
        <f aca="false">Sens!J13374-Sens!J13368-Sens!J13369-Sens!J13370-Sens!J13371-Sens!J13373</f>
        <v>106.194858893386</v>
      </c>
      <c r="K13375" s="6" t="n">
        <f aca="false">Sens!K13374-Sens!K13368-Sens!K13369-Sens!K13370-Sens!K13371-Sens!K13373</f>
        <v>115.308131141046</v>
      </c>
    </row>
    <row r="13376" customFormat="false" ht="17.15" hidden="false" customHeight="false" outlineLevel="0" collapsed="false">
      <c r="A13376" s="0" t="s">
        <v>1065</v>
      </c>
      <c r="B13376" s="0" t="s">
        <v>98</v>
      </c>
      <c r="F13376" s="6" t="n">
        <f aca="false">Sens!F13293+Sens!F13367*Sens!F13268+sbc_r*Sens!F13268</f>
        <v>26.2049549828959</v>
      </c>
      <c r="G13376" s="6" t="n">
        <f aca="false">Sens!G13293+Sens!G13367*Sens!G13268+sbc_r*Sens!G13268</f>
        <v>26.8405806403664</v>
      </c>
      <c r="H13376" s="6" t="n">
        <f aca="false">Sens!H13293+Sens!H13367*Sens!H13268+sbc_r*Sens!H13268</f>
        <v>27.7352032470138</v>
      </c>
      <c r="I13376" s="6" t="n">
        <f aca="false">Sens!I13293+Sens!I13367*Sens!I13268+sbc_r*Sens!I13268</f>
        <v>28.8569155956094</v>
      </c>
      <c r="J13376" s="6" t="n">
        <f aca="false">Sens!J13293+Sens!J13367*Sens!J13268+sbc_r*Sens!J13268</f>
        <v>30.1744385645725</v>
      </c>
      <c r="K13376" s="6" t="n">
        <f aca="false">Sens!K13293+Sens!K13367*Sens!K13268+sbc_r*Sens!K13268</f>
        <v>31.6584976186802</v>
      </c>
    </row>
    <row r="13377" customFormat="false" ht="17.15" hidden="false" customHeight="false" outlineLevel="0" collapsed="false">
      <c r="A13377" s="0" t="s">
        <v>1066</v>
      </c>
      <c r="B13377" s="0" t="s">
        <v>98</v>
      </c>
      <c r="F13377" s="6" t="n">
        <f aca="false">(Sens!F13376-Sens!F13372)*Sens!F13264/(Sens!F13264+Sens!F13266)</f>
        <v>8.21889831690819</v>
      </c>
      <c r="G13377" s="6" t="n">
        <f aca="false">(Sens!G13376-Sens!G13372)*Sens!G13264/(Sens!G13264+Sens!G13266)</f>
        <v>7.82984014749099</v>
      </c>
      <c r="H13377" s="6" t="n">
        <f aca="false">(Sens!H13376-Sens!H13372)*Sens!H13264/(Sens!H13264+Sens!H13266)</f>
        <v>7.5999849964554</v>
      </c>
      <c r="I13377" s="6" t="n">
        <f aca="false">(Sens!I13376-Sens!I13372)*Sens!I13264/(Sens!I13264+Sens!I13266)</f>
        <v>7.51221089422364</v>
      </c>
      <c r="J13377" s="6" t="n">
        <f aca="false">(Sens!J13376-Sens!J13372)*Sens!J13264/(Sens!J13264+Sens!J13266)</f>
        <v>7.55622411401827</v>
      </c>
      <c r="K13377" s="6" t="n">
        <f aca="false">(Sens!K13376-Sens!K13372)*Sens!K13264/(Sens!K13264+Sens!K13266)</f>
        <v>7.72822064011532</v>
      </c>
    </row>
    <row r="13378" customFormat="false" ht="17.15" hidden="false" customHeight="false" outlineLevel="0" collapsed="false">
      <c r="A13378" s="0" t="s">
        <v>1067</v>
      </c>
      <c r="B13378" s="0" t="s">
        <v>98</v>
      </c>
      <c r="F13378" s="6" t="n">
        <f aca="false">Sens!F13376-Sens!F13372-Sens!F13377</f>
        <v>6.77388596713263</v>
      </c>
      <c r="G13378" s="6" t="n">
        <f aca="false">Sens!G13376-Sens!G13372-Sens!G13377</f>
        <v>6.71251974178949</v>
      </c>
      <c r="H13378" s="6" t="n">
        <f aca="false">Sens!H13376-Sens!H13372-Sens!H13377</f>
        <v>6.70875211160101</v>
      </c>
      <c r="I13378" s="6" t="n">
        <f aca="false">Sens!I13376-Sens!I13372-Sens!I13377</f>
        <v>6.76040993286883</v>
      </c>
      <c r="J13378" s="6" t="n">
        <f aca="false">Sens!J13376-Sens!J13372-Sens!J13377</f>
        <v>6.86523172447386</v>
      </c>
      <c r="K13378" s="6" t="n">
        <f aca="false">Sens!K13376-Sens!K13372-Sens!K13377</f>
        <v>7.02149972151092</v>
      </c>
    </row>
    <row r="13379" customFormat="false" ht="17.15" hidden="false" customHeight="false" outlineLevel="0" collapsed="false">
      <c r="A13379" s="0" t="s">
        <v>1068</v>
      </c>
      <c r="B13379" s="0" t="s">
        <v>98</v>
      </c>
      <c r="F13379" s="6" t="n">
        <f aca="false">Sens!F13373-tax_f*(Sens!F13373-Sens!F13242)-Sens!F13239</f>
        <v>-141.528911797718</v>
      </c>
      <c r="G13379" s="6" t="n">
        <f aca="false">Sens!G13373-tax_f*(Sens!G13373-Sens!G13242)-Sens!G13239</f>
        <v>-136.554785128864</v>
      </c>
      <c r="H13379" s="6" t="n">
        <f aca="false">Sens!H13373-tax_f*(Sens!H13373-Sens!H13242)-Sens!H13239</f>
        <v>-121.630291664017</v>
      </c>
      <c r="I13379" s="6" t="n">
        <f aca="false">Sens!I13373-tax_f*(Sens!I13373-Sens!I13242)-Sens!I13239</f>
        <v>-76.9928090441676</v>
      </c>
      <c r="J13379" s="6" t="n">
        <f aca="false">Sens!J13373-tax_f*(Sens!J13373-Sens!J13242)-Sens!J13239</f>
        <v>-23.4114530472558</v>
      </c>
      <c r="K13379" s="6" t="n">
        <f aca="false">Sens!K13373-tax_f*(Sens!K13373-Sens!K13242)-Sens!K13239</f>
        <v>-4.81188763426339</v>
      </c>
    </row>
    <row r="13380" customFormat="false" ht="17.15" hidden="false" customHeight="false" outlineLevel="0" collapsed="false">
      <c r="A13380" s="0" t="s">
        <v>1069</v>
      </c>
      <c r="B13380" s="0" t="s">
        <v>98</v>
      </c>
      <c r="F13380" s="6" t="n">
        <f aca="false">Sens!F13379*Sens!F13353</f>
        <v>-134.762891987773</v>
      </c>
      <c r="G13380" s="6" t="n">
        <f aca="false">Sens!G13379*Sens!G13353</f>
        <v>-117.89147130185</v>
      </c>
      <c r="H13380" s="6" t="n">
        <f aca="false">Sens!H13379*Sens!H13353</f>
        <v>-95.2067022582108</v>
      </c>
      <c r="I13380" s="6" t="n">
        <f aca="false">Sens!I13379*Sens!I13353</f>
        <v>-54.6419574713666</v>
      </c>
      <c r="J13380" s="6" t="n">
        <f aca="false">Sens!J13379*Sens!J13353</f>
        <v>-15.0645014319252</v>
      </c>
      <c r="K13380" s="6" t="n">
        <f aca="false">Sens!K13379*Sens!K13353</f>
        <v>-2.80732168725638</v>
      </c>
    </row>
    <row r="13381" customFormat="false" ht="17.15" hidden="false" customHeight="false" outlineLevel="0" collapsed="false">
      <c r="A13381" s="0" t="s">
        <v>1070</v>
      </c>
      <c r="B13381" s="0" t="s">
        <v>98</v>
      </c>
      <c r="C13381" s="6" t="n">
        <f aca="false">(Sens!K13373-Sens!K13242)*(1-tax_f)*(1+g_tv)*(1-g_tv/(wacc+ronic_prem))/(wacc-g_tv)/(1+wacc)^(Sens!K13352+mid_yr)</f>
        <v>-164.123141165095</v>
      </c>
    </row>
    <row r="13382" customFormat="false" ht="17.15" hidden="false" customHeight="false" outlineLevel="0" collapsed="false">
      <c r="A13382" s="1" t="s">
        <v>1071</v>
      </c>
      <c r="B13382" s="0" t="s">
        <v>98</v>
      </c>
      <c r="C13382" s="6" t="n">
        <f aca="false">(SUM(Sens!F13380:K13380)+Sens!$C$13381)*(1+wacc)^t_roll</f>
        <v>-665.587374253063</v>
      </c>
      <c r="L13382" s="11" t="s">
        <v>1072</v>
      </c>
    </row>
    <row r="13383" customFormat="false" ht="17.15" hidden="false" customHeight="false" outlineLevel="0" collapsed="false">
      <c r="A13383" s="1" t="s">
        <v>1073</v>
      </c>
      <c r="B13383" s="0" t="s">
        <v>98</v>
      </c>
      <c r="C13383" s="6" t="n">
        <f aca="false">(w_ntm28*Sens!G13231+(1-w_ntm28)*Sens!H13231)*m_ai</f>
        <v>107.486920162415</v>
      </c>
    </row>
    <row r="13384" customFormat="false" ht="17.15" hidden="false" customHeight="false" outlineLevel="0" collapsed="false">
      <c r="A13384" s="1" t="s">
        <v>1074</v>
      </c>
      <c r="B13384" s="0" t="s">
        <v>98</v>
      </c>
      <c r="C13384" s="6" t="n">
        <f aca="false">(w_ntm28*Sens!G13375+(1-w_ntm28)*Sens!H13375)*m_cloud</f>
        <v>1044.18384016536</v>
      </c>
    </row>
    <row r="13385" customFormat="false" ht="17.15" hidden="false" customHeight="false" outlineLevel="0" collapsed="false">
      <c r="A13385" s="1" t="s">
        <v>1075</v>
      </c>
      <c r="B13385" s="0" t="s">
        <v>98</v>
      </c>
      <c r="C13385" s="6" t="n">
        <f aca="false">(w_ntm28*Sens!G13368+(1-w_ntm28)*Sens!H13368)*m_sw</f>
        <v>1044.04824539957</v>
      </c>
    </row>
    <row r="13386" customFormat="false" ht="17.15" hidden="false" customHeight="false" outlineLevel="0" collapsed="false">
      <c r="A13386" s="1" t="s">
        <v>1076</v>
      </c>
      <c r="B13386" s="0" t="s">
        <v>98</v>
      </c>
      <c r="C13386" s="6" t="n">
        <f aca="false">(w_ntm28*Sens!G13369+(1-w_ntm28)*Sens!H13369)*m_sw</f>
        <v>379.755670745447</v>
      </c>
    </row>
    <row r="13387" customFormat="false" ht="17.15" hidden="false" customHeight="false" outlineLevel="0" collapsed="false">
      <c r="A13387" s="1" t="s">
        <v>1077</v>
      </c>
      <c r="B13387" s="0" t="s">
        <v>98</v>
      </c>
      <c r="C13387" s="6" t="n">
        <f aca="false">(w_ntm28*Sens!G13370+(1-w_ntm28)*Sens!H13370)*m_sw</f>
        <v>109.434903376969</v>
      </c>
    </row>
    <row r="13388" customFormat="false" ht="17.15" hidden="false" customHeight="false" outlineLevel="0" collapsed="false">
      <c r="A13388" s="1" t="s">
        <v>1078</v>
      </c>
      <c r="B13388" s="0" t="s">
        <v>98</v>
      </c>
      <c r="C13388" s="6" t="n">
        <f aca="false">(w_ntm28*Sens!G13371+(1-w_ntm28)*Sens!H13371)*m_sw</f>
        <v>41.7511882786773</v>
      </c>
    </row>
    <row r="13389" customFormat="false" ht="17.15" hidden="false" customHeight="false" outlineLevel="0" collapsed="false">
      <c r="A13389" s="1" t="s">
        <v>1079</v>
      </c>
      <c r="B13389" s="0" t="s">
        <v>98</v>
      </c>
      <c r="C13389" s="6" t="n">
        <f aca="false">(w_ntm28*Sens!G13372+(1-w_ntm28)*Sens!H13372)*m_ads</f>
        <v>115.359643719254</v>
      </c>
    </row>
    <row r="13390" customFormat="false" ht="17.15" hidden="false" customHeight="false" outlineLevel="0" collapsed="false">
      <c r="A13390" s="1" t="s">
        <v>1080</v>
      </c>
      <c r="B13390" s="0" t="s">
        <v>98</v>
      </c>
      <c r="C13390" s="6" t="n">
        <f aca="false">(w_ntm28*Sens!G13377+(1-w_ntm28)*Sens!H13377)*m_game</f>
        <v>97.9523541428266</v>
      </c>
    </row>
    <row r="13391" customFormat="false" ht="17.15" hidden="false" customHeight="false" outlineLevel="0" collapsed="false">
      <c r="A13391" s="1" t="s">
        <v>1081</v>
      </c>
      <c r="B13391" s="0" t="s">
        <v>98</v>
      </c>
      <c r="C13391" s="6" t="n">
        <f aca="false">(w_ntm28*Sens!G13378+(1-w_ntm28)*Sens!H13378)*m_pc</f>
        <v>97.1125357928949</v>
      </c>
    </row>
    <row r="13392" customFormat="false" ht="17.15" hidden="false" customHeight="false" outlineLevel="0" collapsed="false">
      <c r="A13392" s="1" t="s">
        <v>1082</v>
      </c>
      <c r="B13392" s="0" t="s">
        <v>98</v>
      </c>
      <c r="C13392" s="6" t="n">
        <f aca="false">Sens!$C$13382+Sens!$C$13384+Sens!$C$13385+Sens!$C$13386+Sens!$C$13387+Sens!$C$13388+Sens!$C$13389+Sens!$C$13390+Sens!$C$13391</f>
        <v>2264.01100736794</v>
      </c>
    </row>
    <row r="13393" customFormat="false" ht="17.15" hidden="false" customHeight="false" outlineLevel="0" collapsed="false">
      <c r="A13393" s="1" t="s">
        <v>1000</v>
      </c>
      <c r="B13393" s="0" t="s">
        <v>98</v>
      </c>
      <c r="C13393" s="6" t="n">
        <f aca="false">Sens!F13343+oai_v-Sens!F13332</f>
        <v>86.7564174482699</v>
      </c>
      <c r="L13393" s="1" t="s">
        <v>1083</v>
      </c>
    </row>
    <row r="13394" customFormat="false" ht="15" hidden="false" customHeight="false" outlineLevel="0" collapsed="false">
      <c r="A13394" s="1" t="s">
        <v>1001</v>
      </c>
      <c r="B13394" s="0" t="s">
        <v>75</v>
      </c>
      <c r="C13394" s="5" t="n">
        <f aca="false">(Sens!$C$13392+Sens!$C$13393)/Sens!F13345</f>
        <v>314.610201394032</v>
      </c>
    </row>
    <row r="13395" customFormat="false" ht="17.15" hidden="false" customHeight="false" outlineLevel="0" collapsed="false">
      <c r="A13395" s="1" t="s">
        <v>1084</v>
      </c>
      <c r="B13395" s="0" t="s">
        <v>75</v>
      </c>
      <c r="C13395" s="5" t="n">
        <f aca="false">w_dcf*Sens!$C$13366+(1-w_dcf)*Sens!$C$13394</f>
        <v>270.342383417213</v>
      </c>
    </row>
    <row r="13396" customFormat="false" ht="17.15" hidden="false" customHeight="false" outlineLevel="0" collapsed="false">
      <c r="A13396" s="3" t="s">
        <v>1580</v>
      </c>
    </row>
    <row r="13397" customFormat="false" ht="15" hidden="false" customHeight="false" outlineLevel="0" collapsed="false">
      <c r="A13397" s="4" t="s">
        <v>43</v>
      </c>
      <c r="B13397" s="4" t="s">
        <v>65</v>
      </c>
      <c r="C13397" s="20" t="s">
        <v>788</v>
      </c>
      <c r="D13397" s="20" t="s">
        <v>789</v>
      </c>
      <c r="E13397" s="20" t="s">
        <v>790</v>
      </c>
      <c r="F13397" s="20" t="s">
        <v>791</v>
      </c>
      <c r="G13397" s="20" t="s">
        <v>792</v>
      </c>
      <c r="H13397" s="20" t="s">
        <v>793</v>
      </c>
      <c r="I13397" s="20" t="s">
        <v>794</v>
      </c>
      <c r="J13397" s="20" t="s">
        <v>795</v>
      </c>
      <c r="K13397" s="20" t="s">
        <v>796</v>
      </c>
      <c r="L13397" s="4" t="s">
        <v>47</v>
      </c>
    </row>
    <row r="13398" customFormat="false" ht="15" hidden="false" customHeight="false" outlineLevel="0" collapsed="false">
      <c r="A13398" s="1" t="s">
        <v>1042</v>
      </c>
      <c r="B13398" s="1" t="s">
        <v>235</v>
      </c>
      <c r="F13398" s="36" t="n">
        <f aca="false">Thesis!F6-base_fy-mid_yr</f>
        <v>0.5</v>
      </c>
      <c r="G13398" s="36" t="n">
        <f aca="false">Thesis!G6-base_fy-mid_yr</f>
        <v>1.5</v>
      </c>
      <c r="H13398" s="36" t="n">
        <f aca="false">Thesis!H6-base_fy-mid_yr</f>
        <v>2.5</v>
      </c>
      <c r="I13398" s="36" t="n">
        <f aca="false">Thesis!I6-base_fy-mid_yr</f>
        <v>3.5</v>
      </c>
      <c r="J13398" s="36" t="n">
        <f aca="false">Thesis!J6-base_fy-mid_yr</f>
        <v>4.5</v>
      </c>
      <c r="K13398" s="36" t="n">
        <f aca="false">Thesis!K6-base_fy-mid_yr</f>
        <v>5.5</v>
      </c>
    </row>
    <row r="13399" customFormat="false" ht="15" hidden="false" customHeight="false" outlineLevel="0" collapsed="false">
      <c r="A13399" s="1" t="s">
        <v>1043</v>
      </c>
      <c r="B13399" s="0" t="s">
        <v>185</v>
      </c>
      <c r="F13399" s="14" t="n">
        <f aca="false">1/(1+wacc)^Sens!F13398</f>
        <v>0.952193373608246</v>
      </c>
      <c r="G13399" s="14" t="n">
        <f aca="false">1/(1+wacc)^Sens!G13398</f>
        <v>0.863327280626589</v>
      </c>
      <c r="H13399" s="14" t="n">
        <f aca="false">1/(1+wacc)^Sens!H13398</f>
        <v>0.782754862754115</v>
      </c>
      <c r="I13399" s="14" t="n">
        <f aca="false">1/(1+wacc)^Sens!I13398</f>
        <v>0.709702089711011</v>
      </c>
      <c r="J13399" s="14" t="n">
        <f aca="false">1/(1+wacc)^Sens!J13398</f>
        <v>0.643467169744551</v>
      </c>
      <c r="K13399" s="14" t="n">
        <f aca="false">1/(1+wacc)^Sens!K13398</f>
        <v>0.583413807767797</v>
      </c>
    </row>
    <row r="13400" customFormat="false" ht="17.15" hidden="false" customHeight="false" outlineLevel="0" collapsed="false">
      <c r="A13400" s="1" t="s">
        <v>1044</v>
      </c>
      <c r="B13400" s="0" t="s">
        <v>98</v>
      </c>
      <c r="F13400" s="6" t="n">
        <f aca="false">CF!F21-CF!F19-CF!F24+Thesis!F44*(1-tax_f)</f>
        <v>9.29995994594013</v>
      </c>
      <c r="G13400" s="6" t="n">
        <f aca="false">CF!G21-CF!G19-CF!G24+Thesis!G44*(1-tax_f)</f>
        <v>55.6803799901549</v>
      </c>
      <c r="H13400" s="6" t="n">
        <f aca="false">CF!H21-CF!H19-CF!H24+Thesis!H44*(1-tax_f)</f>
        <v>114.6308681267</v>
      </c>
      <c r="I13400" s="6" t="n">
        <f aca="false">CF!I21-CF!I19-CF!I24+Thesis!I44*(1-tax_f)</f>
        <v>192.960687587037</v>
      </c>
      <c r="J13400" s="6" t="n">
        <f aca="false">CF!J21-CF!J19-CF!J24+Thesis!J44*(1-tax_f)</f>
        <v>273.742251264366</v>
      </c>
      <c r="K13400" s="6" t="n">
        <f aca="false">CF!K21-CF!K19-CF!K24+Thesis!K44*(1-tax_f)</f>
        <v>313.491842465765</v>
      </c>
      <c r="L13400" s="1" t="s">
        <v>1045</v>
      </c>
    </row>
    <row r="13401" customFormat="false" ht="15" hidden="false" customHeight="false" outlineLevel="0" collapsed="false">
      <c r="A13401" s="1" t="s">
        <v>1046</v>
      </c>
      <c r="B13401" s="0" t="s">
        <v>98</v>
      </c>
      <c r="F13401" s="6" t="n">
        <f aca="false">Sens!F13400*Sens!F13399</f>
        <v>8.8553602353463</v>
      </c>
      <c r="G13401" s="6" t="n">
        <f aca="false">Sens!G13400*Sens!G13399</f>
        <v>48.0703910411556</v>
      </c>
      <c r="H13401" s="6" t="n">
        <f aca="false">Sens!H13400*Sens!H13399</f>
        <v>89.7278694479</v>
      </c>
      <c r="I13401" s="6" t="n">
        <f aca="false">Sens!I13400*Sens!I13399</f>
        <v>136.944603212593</v>
      </c>
      <c r="J13401" s="6" t="n">
        <f aca="false">Sens!J13400*Sens!J13399</f>
        <v>176.144151660583</v>
      </c>
      <c r="K13401" s="6" t="n">
        <f aca="false">Sens!K13400*Sens!K13399</f>
        <v>182.895469517094</v>
      </c>
    </row>
    <row r="13402" customFormat="false" ht="17.15" hidden="false" customHeight="false" outlineLevel="0" collapsed="false">
      <c r="A13402" s="1" t="s">
        <v>1047</v>
      </c>
      <c r="B13402" s="0" t="s">
        <v>98</v>
      </c>
      <c r="C13402" s="6" t="n">
        <f aca="false">SUM(Sens!F13401:K13401)</f>
        <v>642.637845114673</v>
      </c>
    </row>
    <row r="13403" customFormat="false" ht="17.15" hidden="false" customHeight="false" outlineLevel="0" collapsed="false">
      <c r="A13403" s="1" t="s">
        <v>1048</v>
      </c>
      <c r="B13403" s="0" t="s">
        <v>98</v>
      </c>
      <c r="C13403" s="6" t="n">
        <f aca="false">PL!K39*(1+g_tv)*(1-tax_f)</f>
        <v>325.338496025769</v>
      </c>
    </row>
    <row r="13404" customFormat="false" ht="17.15" hidden="false" customHeight="false" outlineLevel="0" collapsed="false">
      <c r="A13404" s="1" t="s">
        <v>1581</v>
      </c>
      <c r="B13404" s="0" t="s">
        <v>98</v>
      </c>
      <c r="C13404" s="6" t="n">
        <f aca="false">Val!K74*(1+g_tv)</f>
        <v>322.896597739738</v>
      </c>
    </row>
    <row r="13405" customFormat="false" ht="17.15" hidden="false" customHeight="false" outlineLevel="0" collapsed="false">
      <c r="A13405" s="1" t="s">
        <v>1050</v>
      </c>
      <c r="B13405" s="0" t="s">
        <v>98</v>
      </c>
      <c r="C13405" s="6" t="n">
        <f aca="false">Sens!$C$13404/(wacc-g_tv)</f>
        <v>4427.21827812653</v>
      </c>
    </row>
    <row r="13406" customFormat="false" ht="15" hidden="false" customHeight="false" outlineLevel="0" collapsed="false">
      <c r="A13406" s="1" t="s">
        <v>1051</v>
      </c>
      <c r="B13406" s="0" t="s">
        <v>98</v>
      </c>
      <c r="C13406" s="6" t="n">
        <f aca="false">Sens!$C$13405/(1+wacc)^(Sens!K13398+mid_yr)</f>
        <v>2459.42052508048</v>
      </c>
    </row>
    <row r="13407" customFormat="false" ht="17.15" hidden="false" customHeight="false" outlineLevel="0" collapsed="false">
      <c r="A13407" s="0" t="s">
        <v>972</v>
      </c>
      <c r="B13407" s="0" t="s">
        <v>98</v>
      </c>
      <c r="C13407" s="6" t="n">
        <f aca="false">Sens!$C$13402+Sens!$C$13406</f>
        <v>3102.05837019515</v>
      </c>
    </row>
    <row r="13408" customFormat="false" ht="15" hidden="false" customHeight="false" outlineLevel="0" collapsed="false">
      <c r="A13408" s="1" t="s">
        <v>973</v>
      </c>
      <c r="B13408" s="0" t="s">
        <v>129</v>
      </c>
      <c r="C13408" s="7" t="n">
        <f aca="false">Sens!$C$13406/Sens!$C$13407</f>
        <v>0.792835024869553</v>
      </c>
    </row>
    <row r="13409" customFormat="false" ht="17.15" hidden="false" customHeight="false" outlineLevel="0" collapsed="false">
      <c r="A13409" s="1" t="s">
        <v>1052</v>
      </c>
      <c r="B13409" s="0" t="s">
        <v>98</v>
      </c>
      <c r="C13409" s="6" t="n">
        <f aca="false">Sens!$C$13407+CF!E36-CF!E25+oai_v</f>
        <v>3236.57137019515</v>
      </c>
    </row>
    <row r="13410" customFormat="false" ht="17.15" hidden="false" customHeight="false" outlineLevel="0" collapsed="false">
      <c r="A13410" s="0" t="s">
        <v>980</v>
      </c>
      <c r="B13410" s="0" t="s">
        <v>75</v>
      </c>
      <c r="C13410" s="5" t="n">
        <f aca="false">Sens!$C$13409/sh_dil26</f>
        <v>434.264238587837</v>
      </c>
    </row>
    <row r="13411" customFormat="false" ht="15" hidden="false" customHeight="false" outlineLevel="0" collapsed="false">
      <c r="A13411" s="1" t="s">
        <v>1053</v>
      </c>
      <c r="B13411" s="0" t="s">
        <v>75</v>
      </c>
      <c r="C13411" s="8" t="n">
        <f aca="false">dps_27+CF!G28*roll_div_q/q_per_yr</f>
        <v>4.8895</v>
      </c>
    </row>
    <row r="13412" customFormat="false" ht="17.15" hidden="false" customHeight="false" outlineLevel="0" collapsed="false">
      <c r="A13412" s="0" t="s">
        <v>1054</v>
      </c>
      <c r="B13412" s="0" t="s">
        <v>75</v>
      </c>
      <c r="C13412" s="5" t="n">
        <f aca="false">Sens!$C$13410*(1+wacc)^t_roll-Sens!$C$13411</f>
        <v>489.621688356944</v>
      </c>
    </row>
    <row r="13413" customFormat="false" ht="17.15" hidden="false" customHeight="false" outlineLevel="0" collapsed="false">
      <c r="A13413" s="1" t="s">
        <v>1055</v>
      </c>
      <c r="B13413" s="0" t="s">
        <v>129</v>
      </c>
      <c r="F13413" s="7" t="n">
        <f aca="false">CF!F17/(Seg!F29-Thesis!F23)</f>
        <v>0.0681773598226415</v>
      </c>
      <c r="G13413" s="7" t="n">
        <f aca="false">CF!G17/(Seg!G29-Thesis!G23)</f>
        <v>0.0650385409375172</v>
      </c>
      <c r="H13413" s="7" t="n">
        <f aca="false">CF!H17/(Seg!H29-Thesis!H23)</f>
        <v>0.063382542471986</v>
      </c>
      <c r="I13413" s="7" t="n">
        <f aca="false">CF!I17/(Seg!I29-Thesis!I23)</f>
        <v>0.0630998138876076</v>
      </c>
      <c r="J13413" s="7" t="n">
        <f aca="false">CF!J17/(Seg!J29-Thesis!J23)</f>
        <v>0.0638399980286975</v>
      </c>
      <c r="K13413" s="7" t="n">
        <f aca="false">CF!K17/(Seg!K29-Thesis!K23)</f>
        <v>0.0651531082402687</v>
      </c>
    </row>
    <row r="13414" customFormat="false" ht="17.15" hidden="false" customHeight="false" outlineLevel="0" collapsed="false">
      <c r="A13414" s="0" t="s">
        <v>1056</v>
      </c>
      <c r="B13414" s="0" t="s">
        <v>98</v>
      </c>
      <c r="F13414" s="6" t="n">
        <f aca="false">Seg!F14*(al_m365+Sens!F13413+sbc_r)</f>
        <v>84.944046606333</v>
      </c>
      <c r="G13414" s="6" t="n">
        <f aca="false">Seg!G14*(al_m365+Sens!G13413+sbc_r)</f>
        <v>99.4236143320739</v>
      </c>
      <c r="H13414" s="6" t="n">
        <f aca="false">Seg!H14*(al_m365+Sens!H13413+sbc_r)</f>
        <v>114.068697186163</v>
      </c>
      <c r="I13414" s="6" t="n">
        <f aca="false">Seg!I14*(al_m365+Sens!I13413+sbc_r)</f>
        <v>127.196415789369</v>
      </c>
      <c r="J13414" s="6" t="n">
        <f aca="false">Seg!J14*(al_m365+Sens!J13413+sbc_r)</f>
        <v>138.619575691419</v>
      </c>
      <c r="K13414" s="6" t="n">
        <f aca="false">Seg!K14*(al_m365+Sens!K13413+sbc_r)</f>
        <v>149.659768267063</v>
      </c>
      <c r="L13414" s="11" t="s">
        <v>1057</v>
      </c>
    </row>
    <row r="13415" customFormat="false" ht="17.15" hidden="false" customHeight="false" outlineLevel="0" collapsed="false">
      <c r="A13415" s="0" t="s">
        <v>1058</v>
      </c>
      <c r="B13415" s="0" t="s">
        <v>98</v>
      </c>
      <c r="F13415" s="6" t="n">
        <f aca="false">Seg!F15*(al_lic+Sens!F13413+sbc_r)</f>
        <v>33.4285095904825</v>
      </c>
      <c r="G13415" s="6" t="n">
        <f aca="false">Seg!G15*(al_lic+Sens!G13413+sbc_r)</f>
        <v>34.7161826947861</v>
      </c>
      <c r="H13415" s="6" t="n">
        <f aca="false">Seg!H15*(al_lic+Sens!H13413+sbc_r)</f>
        <v>35.9223654002493</v>
      </c>
      <c r="I13415" s="6" t="n">
        <f aca="false">Seg!I15*(al_lic+Sens!I13413+sbc_r)</f>
        <v>37.0298325864501</v>
      </c>
      <c r="J13415" s="6" t="n">
        <f aca="false">Seg!J15*(al_lic+Sens!J13413+sbc_r)</f>
        <v>38.0103325842314</v>
      </c>
      <c r="K13415" s="6" t="n">
        <f aca="false">Seg!K15*(al_lic+Sens!K13413+sbc_r)</f>
        <v>38.8303473189322</v>
      </c>
    </row>
    <row r="13416" customFormat="false" ht="17.15" hidden="false" customHeight="false" outlineLevel="0" collapsed="false">
      <c r="A13416" s="0" t="s">
        <v>1059</v>
      </c>
      <c r="B13416" s="0" t="s">
        <v>98</v>
      </c>
      <c r="F13416" s="6" t="n">
        <f aca="false">Seg!F17*(al_ind+Sens!F13413+sbc_r)</f>
        <v>9.06719306746208</v>
      </c>
      <c r="G13416" s="6" t="n">
        <f aca="false">Seg!G17*(al_ind+Sens!G13413+sbc_r)</f>
        <v>9.83485541633448</v>
      </c>
      <c r="H13416" s="6" t="n">
        <f aca="false">Seg!H17*(al_ind+Sens!H13413+sbc_r)</f>
        <v>10.6498544617516</v>
      </c>
      <c r="I13416" s="6" t="n">
        <f aca="false">Seg!I17*(al_ind+Sens!I13413+sbc_r)</f>
        <v>11.5103515303299</v>
      </c>
      <c r="J13416" s="6" t="n">
        <f aca="false">Seg!J17*(al_ind+Sens!J13413+sbc_r)</f>
        <v>12.4055032067278</v>
      </c>
      <c r="K13416" s="6" t="n">
        <f aca="false">Seg!K17*(al_ind+Sens!K13413+sbc_r)</f>
        <v>13.3173308472897</v>
      </c>
    </row>
    <row r="13417" customFormat="false" ht="17.15" hidden="false" customHeight="false" outlineLevel="0" collapsed="false">
      <c r="A13417" s="0" t="s">
        <v>1060</v>
      </c>
      <c r="B13417" s="0" t="s">
        <v>98</v>
      </c>
      <c r="F13417" s="6" t="n">
        <f aca="false">Seg!F19*(al_fro+Sens!F13413+sbc_r)</f>
        <v>3.56887902446295</v>
      </c>
      <c r="G13417" s="6" t="n">
        <f aca="false">Seg!G19*(al_fro+Sens!G13413+sbc_r)</f>
        <v>3.77600302676241</v>
      </c>
      <c r="H13417" s="6" t="n">
        <f aca="false">Seg!H19*(al_fro+Sens!H13413+sbc_r)</f>
        <v>4.01322967965482</v>
      </c>
      <c r="I13417" s="6" t="n">
        <f aca="false">Seg!I19*(al_fro+Sens!I13413+sbc_r)</f>
        <v>4.28368437397841</v>
      </c>
      <c r="J13417" s="6" t="n">
        <f aca="false">Seg!J19*(al_fro+Sens!J13413+sbc_r)</f>
        <v>4.58803182845156</v>
      </c>
      <c r="K13417" s="6" t="n">
        <f aca="false">Seg!K19*(al_fro+Sens!K13413+sbc_r)</f>
        <v>4.92526073140255</v>
      </c>
    </row>
    <row r="13418" customFormat="false" ht="17.15" hidden="false" customHeight="false" outlineLevel="0" collapsed="false">
      <c r="A13418" s="0" t="s">
        <v>1061</v>
      </c>
      <c r="B13418" s="0" t="s">
        <v>98</v>
      </c>
      <c r="F13418" s="6" t="n">
        <f aca="false">Seg!F22*(al_srch+Sens!F13413+sbc_r)</f>
        <v>11.1981144415922</v>
      </c>
      <c r="G13418" s="6" t="n">
        <f aca="false">Seg!G22*(al_srch+Sens!G13413+sbc_r)</f>
        <v>12.2607925441521</v>
      </c>
      <c r="H13418" s="6" t="n">
        <f aca="false">Seg!H22*(al_srch+Sens!H13413+sbc_r)</f>
        <v>13.3712787172501</v>
      </c>
      <c r="I13418" s="6" t="n">
        <f aca="false">Seg!I22*(al_srch+Sens!I13413+sbc_r)</f>
        <v>14.5205713773955</v>
      </c>
      <c r="J13418" s="6" t="n">
        <f aca="false">Seg!J22*(al_srch+Sens!J13413+sbc_r)</f>
        <v>15.6873363367184</v>
      </c>
      <c r="K13418" s="6" t="n">
        <f aca="false">Seg!K22*(al_srch+Sens!K13413+sbc_r)</f>
        <v>16.8403848378749</v>
      </c>
    </row>
    <row r="13419" customFormat="false" ht="17.15" hidden="false" customHeight="false" outlineLevel="0" collapsed="false">
      <c r="A13419" s="0" t="s">
        <v>1062</v>
      </c>
      <c r="B13419" s="0" t="s">
        <v>98</v>
      </c>
      <c r="F13419" s="6" t="n">
        <f aca="false">Thesis!F29-Thesis!F30+Thesis!F44</f>
        <v>55.6743052939671</v>
      </c>
      <c r="G13419" s="6" t="n">
        <f aca="false">Thesis!G29-Thesis!G30+Thesis!G44</f>
        <v>100.2533125707</v>
      </c>
      <c r="H13419" s="6" t="n">
        <f aca="false">Thesis!H29-Thesis!H30+Thesis!H44</f>
        <v>152.31255014234</v>
      </c>
      <c r="I13419" s="6" t="n">
        <f aca="false">Thesis!I29-Thesis!I30+Thesis!I44</f>
        <v>194.041990076394</v>
      </c>
      <c r="J13419" s="6" t="n">
        <f aca="false">Thesis!J29-Thesis!J30+Thesis!J44</f>
        <v>223.463148273617</v>
      </c>
      <c r="K13419" s="6" t="n">
        <f aca="false">Thesis!K29-Thesis!K30+Thesis!K44</f>
        <v>241.312249272487</v>
      </c>
    </row>
    <row r="13420" customFormat="false" ht="17.15" hidden="false" customHeight="false" outlineLevel="0" collapsed="false">
      <c r="A13420" s="0" t="s">
        <v>1063</v>
      </c>
      <c r="B13420" s="0" t="s">
        <v>98</v>
      </c>
      <c r="F13420" s="6" t="n">
        <f aca="false">PL!F32+Thesis!F44+Thesis!F40+Sens!F13413*(Seg!F21-Thesis!F23)+sbc_r*Seg!F21</f>
        <v>247.769309676659</v>
      </c>
      <c r="G13420" s="6" t="n">
        <f aca="false">PL!G32+Thesis!G44+Thesis!G40+Sens!G13413*(Seg!G21-Thesis!G23)+sbc_r*Seg!G21</f>
        <v>321.625870182006</v>
      </c>
      <c r="H13420" s="6" t="n">
        <f aca="false">PL!H32+Thesis!H44+Thesis!H40+Sens!H13413*(Seg!H21-Thesis!H23)+sbc_r*Seg!H21</f>
        <v>403.668756829163</v>
      </c>
      <c r="I13420" s="6" t="n">
        <f aca="false">PL!I32+Thesis!I44+Thesis!I40+Sens!I13413*(Seg!I21-Thesis!I23)+sbc_r*Seg!I21</f>
        <v>473.311817063846</v>
      </c>
      <c r="J13420" s="6" t="n">
        <f aca="false">PL!J32+Thesis!J44+Thesis!J40+Sens!J13413*(Seg!J21-Thesis!J23)+sbc_r*Seg!J21</f>
        <v>527.683171494685</v>
      </c>
      <c r="K13420" s="6" t="n">
        <f aca="false">PL!K32+Thesis!K44+Thesis!K40+Sens!K13413*(Seg!K21-Thesis!K23)+sbc_r*Seg!K21</f>
        <v>568.060513693045</v>
      </c>
    </row>
    <row r="13421" customFormat="false" ht="17.15" hidden="false" customHeight="false" outlineLevel="0" collapsed="false">
      <c r="A13421" s="0" t="s">
        <v>1064</v>
      </c>
      <c r="B13421" s="0" t="s">
        <v>98</v>
      </c>
      <c r="F13421" s="6" t="n">
        <f aca="false">Sens!F13420-Sens!F13414-Sens!F13415-Sens!F13416-Sens!F13417-Sens!F13419</f>
        <v>61.0863760939514</v>
      </c>
      <c r="G13421" s="6" t="n">
        <f aca="false">Sens!G13420-Sens!G13414-Sens!G13415-Sens!G13416-Sens!G13417-Sens!G13419</f>
        <v>73.6219021413484</v>
      </c>
      <c r="H13421" s="6" t="n">
        <f aca="false">Sens!H13420-Sens!H13414-Sens!H13415-Sens!H13416-Sens!H13417-Sens!H13419</f>
        <v>86.7020599590046</v>
      </c>
      <c r="I13421" s="6" t="n">
        <f aca="false">Sens!I13420-Sens!I13414-Sens!I13415-Sens!I13416-Sens!I13417-Sens!I13419</f>
        <v>99.2495427073239</v>
      </c>
      <c r="J13421" s="6" t="n">
        <f aca="false">Sens!J13420-Sens!J13414-Sens!J13415-Sens!J13416-Sens!J13417-Sens!J13419</f>
        <v>110.596579910238</v>
      </c>
      <c r="K13421" s="6" t="n">
        <f aca="false">Sens!K13420-Sens!K13414-Sens!K13415-Sens!K13416-Sens!K13417-Sens!K13419</f>
        <v>120.01555725587</v>
      </c>
    </row>
    <row r="13422" customFormat="false" ht="17.15" hidden="false" customHeight="false" outlineLevel="0" collapsed="false">
      <c r="A13422" s="0" t="s">
        <v>1065</v>
      </c>
      <c r="B13422" s="0" t="s">
        <v>98</v>
      </c>
      <c r="F13422" s="6" t="n">
        <f aca="false">PL!F34+Sens!F13413*Seg!F28+sbc_r*Seg!F28</f>
        <v>26.1717931813002</v>
      </c>
      <c r="G13422" s="6" t="n">
        <f aca="false">PL!G34+Sens!G13413*Seg!G28+sbc_r*Seg!G28</f>
        <v>26.7581197754446</v>
      </c>
      <c r="H13422" s="6" t="n">
        <f aca="false">PL!H34+Sens!H13413*Seg!H28+sbc_r*Seg!H28</f>
        <v>27.6201174920951</v>
      </c>
      <c r="I13422" s="6" t="n">
        <f aca="false">PL!I34+Sens!I13413*Seg!I28+sbc_r*Seg!I28</f>
        <v>28.7296306530919</v>
      </c>
      <c r="J13422" s="6" t="n">
        <f aca="false">PL!J34+Sens!J13413*Seg!J28+sbc_r*Seg!J28</f>
        <v>30.04749983899</v>
      </c>
      <c r="K13422" s="6" t="n">
        <f aca="false">PL!K34+Sens!K13413*Seg!K28+sbc_r*Seg!K28</f>
        <v>31.5292329023825</v>
      </c>
    </row>
    <row r="13423" customFormat="false" ht="17.15" hidden="false" customHeight="false" outlineLevel="0" collapsed="false">
      <c r="A13423" s="0" t="s">
        <v>1066</v>
      </c>
      <c r="B13423" s="0" t="s">
        <v>98</v>
      </c>
      <c r="F13423" s="6" t="n">
        <f aca="false">(Sens!F13422-Sens!F13418)*Seg!F24/(Seg!F24+Seg!F26)</f>
        <v>8.20842484359027</v>
      </c>
      <c r="G13423" s="6" t="n">
        <f aca="false">(Sens!G13422-Sens!G13418)*Seg!G24/(Seg!G24+Seg!G26)</f>
        <v>7.80559384110416</v>
      </c>
      <c r="H13423" s="6" t="n">
        <f aca="false">(Sens!H13422-Sens!H13418)*Seg!H24/(Seg!H24+Seg!H26)</f>
        <v>7.56817041839156</v>
      </c>
      <c r="I13423" s="6" t="n">
        <f aca="false">(Sens!I13422-Sens!I13418)*Seg!I24/(Seg!I24+Seg!I26)</f>
        <v>7.47875608696462</v>
      </c>
      <c r="J13423" s="6" t="n">
        <f aca="false">(Sens!J13422-Sens!J13418)*Seg!J24/(Seg!J24+Seg!J26)</f>
        <v>7.52410955955578</v>
      </c>
      <c r="K13423" s="6" t="n">
        <f aca="false">(Sens!K13422-Sens!K13418)*Seg!K24/(Seg!K24+Seg!K26)</f>
        <v>7.6963261681206</v>
      </c>
    </row>
    <row r="13424" customFormat="false" ht="17.15" hidden="false" customHeight="false" outlineLevel="0" collapsed="false">
      <c r="A13424" s="0" t="s">
        <v>1067</v>
      </c>
      <c r="B13424" s="0" t="s">
        <v>98</v>
      </c>
      <c r="F13424" s="6" t="n">
        <f aca="false">Sens!F13422-Sens!F13418-Sens!F13423</f>
        <v>6.76525389611778</v>
      </c>
      <c r="G13424" s="6" t="n">
        <f aca="false">Sens!G13422-Sens!G13418-Sens!G13423</f>
        <v>6.69173339018827</v>
      </c>
      <c r="H13424" s="6" t="n">
        <f aca="false">Sens!H13422-Sens!H13418-Sens!H13423</f>
        <v>6.68066835645346</v>
      </c>
      <c r="I13424" s="6" t="n">
        <f aca="false">Sens!I13422-Sens!I13418-Sens!I13423</f>
        <v>6.73030318873177</v>
      </c>
      <c r="J13424" s="6" t="n">
        <f aca="false">Sens!J13422-Sens!J13418-Sens!J13423</f>
        <v>6.83605394271588</v>
      </c>
      <c r="K13424" s="6" t="n">
        <f aca="false">Sens!K13422-Sens!K13418-Sens!K13423</f>
        <v>6.99252189638696</v>
      </c>
    </row>
    <row r="13425" customFormat="false" ht="17.15" hidden="false" customHeight="false" outlineLevel="0" collapsed="false">
      <c r="A13425" s="0" t="s">
        <v>1068</v>
      </c>
      <c r="B13425" s="0" t="s">
        <v>98</v>
      </c>
      <c r="F13425" s="6" t="n">
        <f aca="false">Sens!F13419-tax_f*(Sens!F13419-Thesis!F40)-Thesis!F37</f>
        <v>-116.98560144409</v>
      </c>
      <c r="G13425" s="6" t="n">
        <f aca="false">Sens!G13419-tax_f*(Sens!G13419-Thesis!G40)-Thesis!G37</f>
        <v>-91.2751837745719</v>
      </c>
      <c r="H13425" s="6" t="n">
        <f aca="false">Sens!H13419-tax_f*(Sens!H13419-Thesis!H40)-Thesis!H37</f>
        <v>-48.6867825979003</v>
      </c>
      <c r="I13425" s="6" t="n">
        <f aca="false">Sens!I13419-tax_f*(Sens!I13419-Thesis!I40)-Thesis!I37</f>
        <v>13.9193309033143</v>
      </c>
      <c r="J13425" s="6" t="n">
        <f aca="false">Sens!J13419-tax_f*(Sens!J13419-Thesis!J40)-Thesis!J37</f>
        <v>80.0897840853365</v>
      </c>
      <c r="K13425" s="6" t="n">
        <f aca="false">Sens!K13419-tax_f*(Sens!K13419-Thesis!K40)-Thesis!K37</f>
        <v>106.014893136948</v>
      </c>
    </row>
    <row r="13426" customFormat="false" ht="17.15" hidden="false" customHeight="false" outlineLevel="0" collapsed="false">
      <c r="A13426" s="0" t="s">
        <v>1069</v>
      </c>
      <c r="B13426" s="0" t="s">
        <v>98</v>
      </c>
      <c r="F13426" s="6" t="n">
        <f aca="false">Sens!F13425*Sens!F13399</f>
        <v>-111.392914502638</v>
      </c>
      <c r="G13426" s="6" t="n">
        <f aca="false">Sens!G13425*Sens!G13399</f>
        <v>-78.8003561967933</v>
      </c>
      <c r="H13426" s="6" t="n">
        <f aca="false">Sens!H13425*Sens!H13399</f>
        <v>-38.1098158303589</v>
      </c>
      <c r="I13426" s="6" t="n">
        <f aca="false">Sens!I13425*Sens!I13399</f>
        <v>9.87857822946124</v>
      </c>
      <c r="J13426" s="6" t="n">
        <f aca="false">Sens!J13425*Sens!J13399</f>
        <v>51.5351466908437</v>
      </c>
      <c r="K13426" s="6" t="n">
        <f aca="false">Sens!K13425*Sens!K13399</f>
        <v>61.8505524851231</v>
      </c>
    </row>
    <row r="13427" customFormat="false" ht="17.15" hidden="false" customHeight="false" outlineLevel="0" collapsed="false">
      <c r="A13427" s="0" t="s">
        <v>1070</v>
      </c>
      <c r="B13427" s="0" t="s">
        <v>98</v>
      </c>
      <c r="C13427" s="6" t="n">
        <f aca="false">(Sens!K13419-Thesis!K40)*(1-tax_f)*(1+g_tv)*(1-g_tv/(wacc+0))/(wacc-g_tv)/(1+wacc)^(Sens!K13398+mid_yr)</f>
        <v>452.215034963772</v>
      </c>
    </row>
    <row r="13428" customFormat="false" ht="17.15" hidden="false" customHeight="false" outlineLevel="0" collapsed="false">
      <c r="A13428" s="1" t="s">
        <v>1071</v>
      </c>
      <c r="B13428" s="0" t="s">
        <v>98</v>
      </c>
      <c r="C13428" s="6" t="n">
        <f aca="false">(SUM(Sens!F13426:K13426)+Sens!$C$13427)*(1+wacc)^t_roll</f>
        <v>395.341160412867</v>
      </c>
      <c r="L13428" s="11" t="s">
        <v>1072</v>
      </c>
    </row>
    <row r="13429" customFormat="false" ht="17.15" hidden="false" customHeight="false" outlineLevel="0" collapsed="false">
      <c r="A13429" s="1" t="s">
        <v>1073</v>
      </c>
      <c r="B13429" s="0" t="s">
        <v>98</v>
      </c>
      <c r="C13429" s="6" t="n">
        <f aca="false">(w_ntm28*Thesis!G29+(1-w_ntm28)*Thesis!H29)*m_ai</f>
        <v>551.711134531404</v>
      </c>
    </row>
    <row r="13430" customFormat="false" ht="17.15" hidden="false" customHeight="false" outlineLevel="0" collapsed="false">
      <c r="A13430" s="1" t="s">
        <v>1074</v>
      </c>
      <c r="B13430" s="0" t="s">
        <v>98</v>
      </c>
      <c r="C13430" s="6" t="n">
        <f aca="false">(w_ntm28*Sens!G13421+(1-w_ntm28)*Sens!H13421)*m_cloud</f>
        <v>1075.89468255979</v>
      </c>
    </row>
    <row r="13431" customFormat="false" ht="17.15" hidden="false" customHeight="false" outlineLevel="0" collapsed="false">
      <c r="A13431" s="1" t="s">
        <v>1075</v>
      </c>
      <c r="B13431" s="0" t="s">
        <v>98</v>
      </c>
      <c r="C13431" s="6" t="n">
        <f aca="false">(w_ntm28*Sens!G13414+(1-w_ntm28)*Sens!H13414)*m_sw</f>
        <v>1124.90844188024</v>
      </c>
    </row>
    <row r="13432" customFormat="false" ht="17.15" hidden="false" customHeight="false" outlineLevel="0" collapsed="false">
      <c r="A13432" s="1" t="s">
        <v>1076</v>
      </c>
      <c r="B13432" s="0" t="s">
        <v>98</v>
      </c>
      <c r="C13432" s="6" t="n">
        <f aca="false">(w_ntm28*Sens!G13415+(1-w_ntm28)*Sens!H13415)*m_sw</f>
        <v>379.14616828134</v>
      </c>
    </row>
    <row r="13433" customFormat="false" ht="17.15" hidden="false" customHeight="false" outlineLevel="0" collapsed="false">
      <c r="A13433" s="1" t="s">
        <v>1077</v>
      </c>
      <c r="B13433" s="0" t="s">
        <v>98</v>
      </c>
      <c r="C13433" s="6" t="n">
        <f aca="false">(w_ntm28*Sens!G13416+(1-w_ntm28)*Sens!H13416)*m_sw</f>
        <v>109.062013245671</v>
      </c>
    </row>
    <row r="13434" customFormat="false" ht="17.15" hidden="false" customHeight="false" outlineLevel="0" collapsed="false">
      <c r="A13434" s="1" t="s">
        <v>1078</v>
      </c>
      <c r="B13434" s="0" t="s">
        <v>98</v>
      </c>
      <c r="C13434" s="6" t="n">
        <f aca="false">(w_ntm28*Sens!G13417+(1-w_ntm28)*Sens!H13417)*m_sw</f>
        <v>41.609111172448</v>
      </c>
    </row>
    <row r="13435" customFormat="false" ht="17.15" hidden="false" customHeight="false" outlineLevel="0" collapsed="false">
      <c r="A13435" s="1" t="s">
        <v>1079</v>
      </c>
      <c r="B13435" s="0" t="s">
        <v>98</v>
      </c>
      <c r="C13435" s="6" t="n">
        <f aca="false">(w_ntm28*Sens!G13418+(1-w_ntm28)*Sens!H13418)*m_ads</f>
        <v>114.966369190532</v>
      </c>
    </row>
    <row r="13436" customFormat="false" ht="17.15" hidden="false" customHeight="false" outlineLevel="0" collapsed="false">
      <c r="A13436" s="1" t="s">
        <v>1080</v>
      </c>
      <c r="B13436" s="0" t="s">
        <v>98</v>
      </c>
      <c r="C13436" s="6" t="n">
        <f aca="false">(w_ntm28*Sens!G13423+(1-w_ntm28)*Sens!H13423)*m_game</f>
        <v>97.6152211068291</v>
      </c>
    </row>
    <row r="13437" customFormat="false" ht="17.15" hidden="false" customHeight="false" outlineLevel="0" collapsed="false">
      <c r="A13437" s="1" t="s">
        <v>1081</v>
      </c>
      <c r="B13437" s="0" t="s">
        <v>98</v>
      </c>
      <c r="C13437" s="6" t="n">
        <f aca="false">(w_ntm28*Sens!G13424+(1-w_ntm28)*Sens!H13424)*m_pc</f>
        <v>96.7776202313644</v>
      </c>
    </row>
    <row r="13438" customFormat="false" ht="17.15" hidden="false" customHeight="false" outlineLevel="0" collapsed="false">
      <c r="A13438" s="1" t="s">
        <v>1082</v>
      </c>
      <c r="B13438" s="0" t="s">
        <v>98</v>
      </c>
      <c r="C13438" s="6" t="n">
        <f aca="false">Sens!$C$13428+Sens!$C$13430+Sens!$C$13431+Sens!$C$13432+Sens!$C$13433+Sens!$C$13434+Sens!$C$13435+Sens!$C$13436+Sens!$C$13437</f>
        <v>3435.32078808108</v>
      </c>
    </row>
    <row r="13439" customFormat="false" ht="17.15" hidden="false" customHeight="false" outlineLevel="0" collapsed="false">
      <c r="A13439" s="1" t="s">
        <v>1000</v>
      </c>
      <c r="B13439" s="0" t="s">
        <v>98</v>
      </c>
      <c r="C13439" s="6" t="n">
        <f aca="false">CF!F36+oai_v-CF!F25</f>
        <v>115.079583119545</v>
      </c>
      <c r="L13439" s="1" t="s">
        <v>1083</v>
      </c>
    </row>
    <row r="13440" customFormat="false" ht="15" hidden="false" customHeight="false" outlineLevel="0" collapsed="false">
      <c r="A13440" s="1" t="s">
        <v>1001</v>
      </c>
      <c r="B13440" s="0" t="s">
        <v>75</v>
      </c>
      <c r="C13440" s="5" t="n">
        <f aca="false">(Sens!$C$13438+Sens!$C$13439)/CF!F38</f>
        <v>475.160649250619</v>
      </c>
    </row>
    <row r="13441" customFormat="false" ht="17.15" hidden="false" customHeight="false" outlineLevel="0" collapsed="false">
      <c r="A13441" s="1" t="s">
        <v>1084</v>
      </c>
      <c r="B13441" s="0" t="s">
        <v>75</v>
      </c>
      <c r="C13441" s="5" t="n">
        <f aca="false">w_dcf*Sens!$C$13412+(1-w_dcf)*Sens!$C$13440</f>
        <v>482.391168803782</v>
      </c>
    </row>
    <row r="13442" customFormat="false" ht="17.15" hidden="false" customHeight="false" outlineLevel="0" collapsed="false">
      <c r="A13442" s="3" t="s">
        <v>1582</v>
      </c>
    </row>
    <row r="13443" customFormat="false" ht="15" hidden="false" customHeight="false" outlineLevel="0" collapsed="false">
      <c r="A13443" s="4" t="s">
        <v>43</v>
      </c>
      <c r="B13443" s="4" t="s">
        <v>65</v>
      </c>
      <c r="C13443" s="20" t="s">
        <v>788</v>
      </c>
      <c r="D13443" s="20" t="s">
        <v>789</v>
      </c>
      <c r="E13443" s="20" t="s">
        <v>790</v>
      </c>
      <c r="F13443" s="20" t="s">
        <v>791</v>
      </c>
      <c r="G13443" s="20" t="s">
        <v>792</v>
      </c>
      <c r="H13443" s="20" t="s">
        <v>793</v>
      </c>
      <c r="I13443" s="20" t="s">
        <v>794</v>
      </c>
      <c r="J13443" s="20" t="s">
        <v>795</v>
      </c>
      <c r="K13443" s="20" t="s">
        <v>796</v>
      </c>
      <c r="L13443" s="4" t="s">
        <v>47</v>
      </c>
    </row>
    <row r="13444" customFormat="false" ht="15" hidden="false" customHeight="false" outlineLevel="0" collapsed="false">
      <c r="A13444" s="1" t="s">
        <v>1042</v>
      </c>
      <c r="B13444" s="1" t="s">
        <v>235</v>
      </c>
      <c r="F13444" s="36" t="n">
        <f aca="false">Thesis!F55-base_fy-mid_yr</f>
        <v>0.5</v>
      </c>
      <c r="G13444" s="36" t="n">
        <f aca="false">Thesis!G55-base_fy-mid_yr</f>
        <v>1.5</v>
      </c>
      <c r="H13444" s="36" t="n">
        <f aca="false">Thesis!H55-base_fy-mid_yr</f>
        <v>2.5</v>
      </c>
      <c r="I13444" s="36" t="n">
        <f aca="false">Thesis!I55-base_fy-mid_yr</f>
        <v>3.5</v>
      </c>
      <c r="J13444" s="36" t="n">
        <f aca="false">Thesis!J55-base_fy-mid_yr</f>
        <v>4.5</v>
      </c>
      <c r="K13444" s="36" t="n">
        <f aca="false">Thesis!K55-base_fy-mid_yr</f>
        <v>5.5</v>
      </c>
    </row>
    <row r="13445" customFormat="false" ht="15" hidden="false" customHeight="false" outlineLevel="0" collapsed="false">
      <c r="A13445" s="1" t="s">
        <v>1043</v>
      </c>
      <c r="B13445" s="0" t="s">
        <v>185</v>
      </c>
      <c r="F13445" s="14" t="n">
        <f aca="false">1/(1+wacc)^Sens!F13444</f>
        <v>0.952193373608246</v>
      </c>
      <c r="G13445" s="14" t="n">
        <f aca="false">1/(1+wacc)^Sens!G13444</f>
        <v>0.863327280626589</v>
      </c>
      <c r="H13445" s="14" t="n">
        <f aca="false">1/(1+wacc)^Sens!H13444</f>
        <v>0.782754862754115</v>
      </c>
      <c r="I13445" s="14" t="n">
        <f aca="false">1/(1+wacc)^Sens!I13444</f>
        <v>0.709702089711011</v>
      </c>
      <c r="J13445" s="14" t="n">
        <f aca="false">1/(1+wacc)^Sens!J13444</f>
        <v>0.643467169744551</v>
      </c>
      <c r="K13445" s="14" t="n">
        <f aca="false">1/(1+wacc)^Sens!K13444</f>
        <v>0.583413807767797</v>
      </c>
    </row>
    <row r="13446" customFormat="false" ht="17.15" hidden="false" customHeight="false" outlineLevel="0" collapsed="false">
      <c r="A13446" s="1" t="s">
        <v>1044</v>
      </c>
      <c r="B13446" s="0" t="s">
        <v>98</v>
      </c>
      <c r="F13446" s="6" t="n">
        <f aca="false">CF!F50-CF!F48-CF!F53+Thesis!F93*(1-tax_f)</f>
        <v>6.35272982150552</v>
      </c>
      <c r="G13446" s="6" t="n">
        <f aca="false">CF!G50-CF!G48-CF!G53+Thesis!G93*(1-tax_f)</f>
        <v>46.5420417324757</v>
      </c>
      <c r="H13446" s="6" t="n">
        <f aca="false">CF!H50-CF!H48-CF!H53+Thesis!H93*(1-tax_f)</f>
        <v>95.2982347048119</v>
      </c>
      <c r="I13446" s="6" t="n">
        <f aca="false">CF!I50-CF!I48-CF!I53+Thesis!I93*(1-tax_f)</f>
        <v>168.760108332815</v>
      </c>
      <c r="J13446" s="6" t="n">
        <f aca="false">CF!J50-CF!J48-CF!J53+Thesis!J93*(1-tax_f)</f>
        <v>246.10903404452</v>
      </c>
      <c r="K13446" s="6" t="n">
        <f aca="false">CF!K50-CF!K48-CF!K53+Thesis!K93*(1-tax_f)</f>
        <v>283.7365778763</v>
      </c>
      <c r="L13446" s="1" t="s">
        <v>1045</v>
      </c>
    </row>
    <row r="13447" customFormat="false" ht="15" hidden="false" customHeight="false" outlineLevel="0" collapsed="false">
      <c r="A13447" s="1" t="s">
        <v>1046</v>
      </c>
      <c r="B13447" s="0" t="s">
        <v>98</v>
      </c>
      <c r="F13447" s="6" t="n">
        <f aca="false">Sens!F13446*Sens!F13445</f>
        <v>6.04902724036105</v>
      </c>
      <c r="G13447" s="6" t="n">
        <f aca="false">Sens!G13446*Sens!G13445</f>
        <v>40.1810143237074</v>
      </c>
      <c r="H13447" s="6" t="n">
        <f aca="false">Sens!H13446*Sens!H13445</f>
        <v>74.5951566270745</v>
      </c>
      <c r="I13447" s="6" t="n">
        <f aca="false">Sens!I13446*Sens!I13445</f>
        <v>119.769401543655</v>
      </c>
      <c r="J13447" s="6" t="n">
        <f aca="false">Sens!J13446*Sens!J13445</f>
        <v>158.363083585193</v>
      </c>
      <c r="K13447" s="6" t="n">
        <f aca="false">Sens!K13446*Sens!K13445</f>
        <v>165.535837301816</v>
      </c>
    </row>
    <row r="13448" customFormat="false" ht="17.15" hidden="false" customHeight="false" outlineLevel="0" collapsed="false">
      <c r="A13448" s="1" t="s">
        <v>1047</v>
      </c>
      <c r="B13448" s="0" t="s">
        <v>98</v>
      </c>
      <c r="C13448" s="6" t="n">
        <f aca="false">SUM(Sens!F13447:K13447)</f>
        <v>564.493520621807</v>
      </c>
    </row>
    <row r="13449" customFormat="false" ht="17.15" hidden="false" customHeight="false" outlineLevel="0" collapsed="false">
      <c r="A13449" s="1" t="s">
        <v>1048</v>
      </c>
      <c r="B13449" s="0" t="s">
        <v>98</v>
      </c>
      <c r="C13449" s="6" t="n">
        <f aca="false">PL!K78*(1+g_tv)*(1-tax_f)</f>
        <v>293.76437880412</v>
      </c>
    </row>
    <row r="13450" customFormat="false" ht="17.15" hidden="false" customHeight="false" outlineLevel="0" collapsed="false">
      <c r="A13450" s="1" t="s">
        <v>1581</v>
      </c>
      <c r="B13450" s="0" t="s">
        <v>98</v>
      </c>
      <c r="C13450" s="6" t="n">
        <f aca="false">Val!K120*(1+g_tv)</f>
        <v>292.248675212589</v>
      </c>
    </row>
    <row r="13451" customFormat="false" ht="17.15" hidden="false" customHeight="false" outlineLevel="0" collapsed="false">
      <c r="A13451" s="1" t="s">
        <v>1050</v>
      </c>
      <c r="B13451" s="0" t="s">
        <v>98</v>
      </c>
      <c r="C13451" s="6" t="n">
        <f aca="false">Sens!$C$13450/(wacc-g_tv)</f>
        <v>4007.00622340502</v>
      </c>
    </row>
    <row r="13452" customFormat="false" ht="15" hidden="false" customHeight="false" outlineLevel="0" collapsed="false">
      <c r="A13452" s="1" t="s">
        <v>1051</v>
      </c>
      <c r="B13452" s="0" t="s">
        <v>98</v>
      </c>
      <c r="C13452" s="6" t="n">
        <f aca="false">Sens!$C$13451/(1+wacc)^(Sens!K13444+mid_yr)</f>
        <v>2225.98316388815</v>
      </c>
    </row>
    <row r="13453" customFormat="false" ht="17.15" hidden="false" customHeight="false" outlineLevel="0" collapsed="false">
      <c r="A13453" s="0" t="s">
        <v>972</v>
      </c>
      <c r="B13453" s="0" t="s">
        <v>98</v>
      </c>
      <c r="C13453" s="6" t="n">
        <f aca="false">Sens!$C$13448+Sens!$C$13452</f>
        <v>2790.47668450995</v>
      </c>
    </row>
    <row r="13454" customFormat="false" ht="15" hidden="false" customHeight="false" outlineLevel="0" collapsed="false">
      <c r="A13454" s="1" t="s">
        <v>973</v>
      </c>
      <c r="B13454" s="0" t="s">
        <v>129</v>
      </c>
      <c r="C13454" s="7" t="n">
        <f aca="false">Sens!$C$13452/Sens!$C$13453</f>
        <v>0.797707135932963</v>
      </c>
    </row>
    <row r="13455" customFormat="false" ht="17.15" hidden="false" customHeight="false" outlineLevel="0" collapsed="false">
      <c r="A13455" s="1" t="s">
        <v>1052</v>
      </c>
      <c r="B13455" s="0" t="s">
        <v>98</v>
      </c>
      <c r="C13455" s="6" t="n">
        <f aca="false">Sens!$C$13453+CF!E65-CF!E54+oai_v</f>
        <v>2924.98968450995</v>
      </c>
    </row>
    <row r="13456" customFormat="false" ht="17.15" hidden="false" customHeight="false" outlineLevel="0" collapsed="false">
      <c r="A13456" s="0" t="s">
        <v>980</v>
      </c>
      <c r="B13456" s="0" t="s">
        <v>75</v>
      </c>
      <c r="C13456" s="5" t="n">
        <f aca="false">Sens!$C$13455/sh_dil26</f>
        <v>392.458028244996</v>
      </c>
    </row>
    <row r="13457" customFormat="false" ht="15" hidden="false" customHeight="false" outlineLevel="0" collapsed="false">
      <c r="A13457" s="1" t="s">
        <v>1053</v>
      </c>
      <c r="B13457" s="0" t="s">
        <v>75</v>
      </c>
      <c r="C13457" s="8" t="n">
        <f aca="false">dps_27+CF!G57*roll_div_q/q_per_yr</f>
        <v>4.8895</v>
      </c>
    </row>
    <row r="13458" customFormat="false" ht="17.15" hidden="false" customHeight="false" outlineLevel="0" collapsed="false">
      <c r="A13458" s="0" t="s">
        <v>1054</v>
      </c>
      <c r="B13458" s="0" t="s">
        <v>75</v>
      </c>
      <c r="C13458" s="5" t="n">
        <f aca="false">Sens!$C$13456*(1+wacc)^t_roll-Sens!$C$13457</f>
        <v>442.015560750014</v>
      </c>
    </row>
    <row r="13459" customFormat="false" ht="17.15" hidden="false" customHeight="false" outlineLevel="0" collapsed="false">
      <c r="A13459" s="1" t="s">
        <v>1055</v>
      </c>
      <c r="B13459" s="0" t="s">
        <v>129</v>
      </c>
      <c r="F13459" s="7" t="n">
        <f aca="false">CF!F46/(Seg!F56-Thesis!F72)</f>
        <v>0.0684307874075333</v>
      </c>
      <c r="G13459" s="7" t="n">
        <f aca="false">CF!G46/(Seg!G56-Thesis!G72)</f>
        <v>0.0656456058503526</v>
      </c>
      <c r="H13459" s="7" t="n">
        <f aca="false">CF!H46/(Seg!H56-Thesis!H72)</f>
        <v>0.0641950889132003</v>
      </c>
      <c r="I13459" s="7" t="n">
        <f aca="false">CF!I46/(Seg!I56-Thesis!I72)</f>
        <v>0.063960269667854</v>
      </c>
      <c r="J13459" s="7" t="n">
        <f aca="false">CF!J46/(Seg!J56-Thesis!J72)</f>
        <v>0.0646607917002597</v>
      </c>
      <c r="K13459" s="7" t="n">
        <f aca="false">CF!K46/(Seg!K56-Thesis!K72)</f>
        <v>0.0659511546529383</v>
      </c>
    </row>
    <row r="13460" customFormat="false" ht="17.15" hidden="false" customHeight="false" outlineLevel="0" collapsed="false">
      <c r="A13460" s="0" t="s">
        <v>1056</v>
      </c>
      <c r="B13460" s="0" t="s">
        <v>98</v>
      </c>
      <c r="F13460" s="6" t="n">
        <f aca="false">Seg!F41*(al_m365+Sens!F13459+sbc_r)</f>
        <v>83.9158372980923</v>
      </c>
      <c r="G13460" s="6" t="n">
        <f aca="false">Seg!G41*(al_m365+Sens!G13459+sbc_r)</f>
        <v>96.3459139664276</v>
      </c>
      <c r="H13460" s="6" t="n">
        <f aca="false">Seg!H41*(al_m365+Sens!H13459+sbc_r)</f>
        <v>108.939128787393</v>
      </c>
      <c r="I13460" s="6" t="n">
        <f aca="false">Seg!I41*(al_m365+Sens!I13459+sbc_r)</f>
        <v>120.51456797186</v>
      </c>
      <c r="J13460" s="6" t="n">
        <f aca="false">Seg!J41*(al_m365+Sens!J13459+sbc_r)</f>
        <v>130.883844402211</v>
      </c>
      <c r="K13460" s="6" t="n">
        <f aca="false">Seg!K41*(al_m365+Sens!K13459+sbc_r)</f>
        <v>140.862269296832</v>
      </c>
      <c r="L13460" s="11" t="s">
        <v>1057</v>
      </c>
    </row>
    <row r="13461" customFormat="false" ht="17.15" hidden="false" customHeight="false" outlineLevel="0" collapsed="false">
      <c r="A13461" s="0" t="s">
        <v>1058</v>
      </c>
      <c r="B13461" s="0" t="s">
        <v>98</v>
      </c>
      <c r="F13461" s="6" t="n">
        <f aca="false">Seg!F42*(al_lic+Sens!F13459+sbc_r)</f>
        <v>33.4384115342236</v>
      </c>
      <c r="G13461" s="6" t="n">
        <f aca="false">Seg!G42*(al_lic+Sens!G13459+sbc_r)</f>
        <v>34.7409063621757</v>
      </c>
      <c r="H13461" s="6" t="n">
        <f aca="false">Seg!H42*(al_lic+Sens!H13459+sbc_r)</f>
        <v>35.9566740351293</v>
      </c>
      <c r="I13461" s="6" t="n">
        <f aca="false">Seg!I42*(al_lic+Sens!I13459+sbc_r)</f>
        <v>37.0672966580049</v>
      </c>
      <c r="J13461" s="6" t="n">
        <f aca="false">Seg!J42*(al_lic+Sens!J13459+sbc_r)</f>
        <v>38.0469841498966</v>
      </c>
      <c r="K13461" s="6" t="n">
        <f aca="false">Seg!K42*(al_lic+Sens!K13459+sbc_r)</f>
        <v>38.8666958490701</v>
      </c>
    </row>
    <row r="13462" customFormat="false" ht="17.15" hidden="false" customHeight="false" outlineLevel="0" collapsed="false">
      <c r="A13462" s="0" t="s">
        <v>1059</v>
      </c>
      <c r="B13462" s="0" t="s">
        <v>98</v>
      </c>
      <c r="F13462" s="6" t="n">
        <f aca="false">Seg!F44*(al_ind+Sens!F13459+sbc_r)</f>
        <v>9.07285900381439</v>
      </c>
      <c r="G13462" s="6" t="n">
        <f aca="false">Seg!G44*(al_ind+Sens!G13459+sbc_r)</f>
        <v>9.84969160470639</v>
      </c>
      <c r="H13462" s="6" t="n">
        <f aca="false">Seg!H44*(al_ind+Sens!H13459+sbc_r)</f>
        <v>10.6714469126029</v>
      </c>
      <c r="I13462" s="6" t="n">
        <f aca="false">Seg!I44*(al_ind+Sens!I13459+sbc_r)</f>
        <v>11.5350820765572</v>
      </c>
      <c r="J13462" s="6" t="n">
        <f aca="false">Seg!J44*(al_ind+Sens!J13459+sbc_r)</f>
        <v>12.4308815351832</v>
      </c>
      <c r="K13462" s="6" t="n">
        <f aca="false">Seg!K44*(al_ind+Sens!K13459+sbc_r)</f>
        <v>13.3437330974691</v>
      </c>
    </row>
    <row r="13463" customFormat="false" ht="17.15" hidden="false" customHeight="false" outlineLevel="0" collapsed="false">
      <c r="A13463" s="0" t="s">
        <v>1060</v>
      </c>
      <c r="B13463" s="0" t="s">
        <v>98</v>
      </c>
      <c r="F13463" s="6" t="n">
        <f aca="false">Seg!F46*(al_fro+Sens!F13459+sbc_r)</f>
        <v>3.5711091569032</v>
      </c>
      <c r="G13463" s="6" t="n">
        <f aca="false">Seg!G46*(al_fro+Sens!G13459+sbc_r)</f>
        <v>3.78169924595694</v>
      </c>
      <c r="H13463" s="6" t="n">
        <f aca="false">Seg!H46*(al_fro+Sens!H13459+sbc_r)</f>
        <v>4.02136645419237</v>
      </c>
      <c r="I13463" s="6" t="n">
        <f aca="false">Seg!I46*(al_fro+Sens!I13459+sbc_r)</f>
        <v>4.29288807676321</v>
      </c>
      <c r="J13463" s="6" t="n">
        <f aca="false">Seg!J46*(al_fro+Sens!J13459+sbc_r)</f>
        <v>4.59741770960175</v>
      </c>
      <c r="K13463" s="6" t="n">
        <f aca="false">Seg!K46*(al_fro+Sens!K13459+sbc_r)</f>
        <v>4.9350252981555</v>
      </c>
    </row>
    <row r="13464" customFormat="false" ht="17.15" hidden="false" customHeight="false" outlineLevel="0" collapsed="false">
      <c r="A13464" s="0" t="s">
        <v>1061</v>
      </c>
      <c r="B13464" s="0" t="s">
        <v>98</v>
      </c>
      <c r="F13464" s="6" t="n">
        <f aca="false">Seg!F49*(al_srch+Sens!F13459+sbc_r)</f>
        <v>11.205111954849</v>
      </c>
      <c r="G13464" s="6" t="n">
        <f aca="false">Seg!G49*(al_srch+Sens!G13459+sbc_r)</f>
        <v>12.2792883348957</v>
      </c>
      <c r="H13464" s="6" t="n">
        <f aca="false">Seg!H49*(al_srch+Sens!H13459+sbc_r)</f>
        <v>13.3983888227975</v>
      </c>
      <c r="I13464" s="6" t="n">
        <f aca="false">Seg!I49*(al_srch+Sens!I13459+sbc_r)</f>
        <v>14.5517695263616</v>
      </c>
      <c r="J13464" s="6" t="n">
        <f aca="false">Seg!J49*(al_srch+Sens!J13459+sbc_r)</f>
        <v>15.7194284145253</v>
      </c>
      <c r="K13464" s="6" t="n">
        <f aca="false">Seg!K49*(al_srch+Sens!K13459+sbc_r)</f>
        <v>16.87377171237</v>
      </c>
    </row>
    <row r="13465" customFormat="false" ht="17.15" hidden="false" customHeight="false" outlineLevel="0" collapsed="false">
      <c r="A13465" s="0" t="s">
        <v>1062</v>
      </c>
      <c r="B13465" s="0" t="s">
        <v>98</v>
      </c>
      <c r="F13465" s="6" t="n">
        <f aca="false">Thesis!F78-Thesis!F79+Thesis!F93</f>
        <v>52.8623286647412</v>
      </c>
      <c r="G13465" s="6" t="n">
        <f aca="false">Thesis!G78-Thesis!G79+Thesis!G93</f>
        <v>90.9040728275534</v>
      </c>
      <c r="H13465" s="6" t="n">
        <f aca="false">Thesis!H78-Thesis!H79+Thesis!H93</f>
        <v>131.644750996567</v>
      </c>
      <c r="I13465" s="6" t="n">
        <f aca="false">Thesis!I78-Thesis!I79+Thesis!I93</f>
        <v>168.39858142968</v>
      </c>
      <c r="J13465" s="6" t="n">
        <f aca="false">Thesis!J78-Thesis!J79+Thesis!J93</f>
        <v>194.311955071191</v>
      </c>
      <c r="K13465" s="6" t="n">
        <f aca="false">Thesis!K78-Thesis!K79+Thesis!K93</f>
        <v>210.298852071854</v>
      </c>
    </row>
    <row r="13466" customFormat="false" ht="17.15" hidden="false" customHeight="false" outlineLevel="0" collapsed="false">
      <c r="A13466" s="0" t="s">
        <v>1063</v>
      </c>
      <c r="B13466" s="0" t="s">
        <v>98</v>
      </c>
      <c r="F13466" s="6" t="n">
        <f aca="false">PL!F71+Thesis!F93+Thesis!F89+Sens!F13459*(Seg!F48-Thesis!F72)+sbc_r*Seg!F48</f>
        <v>243.876179717448</v>
      </c>
      <c r="G13466" s="6" t="n">
        <f aca="false">PL!G71+Thesis!G93+Thesis!G89+Sens!G13459*(Seg!G48-Thesis!G72)+sbc_r*Seg!G48</f>
        <v>308.994305130286</v>
      </c>
      <c r="H13466" s="6" t="n">
        <f aca="false">PL!H71+Thesis!H93+Thesis!H89+Sens!H13459*(Seg!H48-Thesis!H72)+sbc_r*Seg!H48</f>
        <v>377.321529021127</v>
      </c>
      <c r="I13466" s="6" t="n">
        <f aca="false">PL!I71+Thesis!I93+Thesis!I89+Sens!I13459*(Seg!I48-Thesis!I72)+sbc_r*Seg!I48</f>
        <v>440.295672377585</v>
      </c>
      <c r="J13466" s="6" t="n">
        <f aca="false">PL!J71+Thesis!J93+Thesis!J89+Sens!J13459*(Seg!J48-Thesis!J72)+sbc_r*Seg!J48</f>
        <v>489.992586437676</v>
      </c>
      <c r="K13466" s="6" t="n">
        <f aca="false">PL!K71+Thesis!K93+Thesis!K89+Sens!K13459*(Seg!K48-Thesis!K72)+sbc_r*Seg!K48</f>
        <v>527.395402529627</v>
      </c>
    </row>
    <row r="13467" customFormat="false" ht="17.15" hidden="false" customHeight="false" outlineLevel="0" collapsed="false">
      <c r="A13467" s="0" t="s">
        <v>1064</v>
      </c>
      <c r="B13467" s="0" t="s">
        <v>98</v>
      </c>
      <c r="F13467" s="6" t="n">
        <f aca="false">Sens!F13466-Sens!F13460-Sens!F13461-Sens!F13462-Sens!F13463-Sens!F13465</f>
        <v>61.0156340596736</v>
      </c>
      <c r="G13467" s="6" t="n">
        <f aca="false">Sens!G13466-Sens!G13460-Sens!G13461-Sens!G13462-Sens!G13463-Sens!G13465</f>
        <v>73.3720211234655</v>
      </c>
      <c r="H13467" s="6" t="n">
        <f aca="false">Sens!H13466-Sens!H13460-Sens!H13461-Sens!H13462-Sens!H13463-Sens!H13465</f>
        <v>86.0881618352416</v>
      </c>
      <c r="I13467" s="6" t="n">
        <f aca="false">Sens!I13466-Sens!I13460-Sens!I13461-Sens!I13462-Sens!I13463-Sens!I13465</f>
        <v>98.4872561647193</v>
      </c>
      <c r="J13467" s="6" t="n">
        <f aca="false">Sens!J13466-Sens!J13460-Sens!J13461-Sens!J13462-Sens!J13463-Sens!J13465</f>
        <v>109.721503569592</v>
      </c>
      <c r="K13467" s="6" t="n">
        <f aca="false">Sens!K13466-Sens!K13460-Sens!K13461-Sens!K13462-Sens!K13463-Sens!K13465</f>
        <v>119.088826916246</v>
      </c>
    </row>
    <row r="13468" customFormat="false" ht="17.15" hidden="false" customHeight="false" outlineLevel="0" collapsed="false">
      <c r="A13468" s="0" t="s">
        <v>1065</v>
      </c>
      <c r="B13468" s="0" t="s">
        <v>98</v>
      </c>
      <c r="F13468" s="6" t="n">
        <f aca="false">PL!F73+Sens!F13459*Seg!F55+sbc_r*Seg!F55</f>
        <v>26.1883018536976</v>
      </c>
      <c r="G13468" s="6" t="n">
        <f aca="false">PL!G73+Sens!G13459*Seg!G55+sbc_r*Seg!G55</f>
        <v>26.7988692269165</v>
      </c>
      <c r="H13468" s="6" t="n">
        <f aca="false">PL!H73+Sens!H13459*Seg!H55+sbc_r*Seg!H55</f>
        <v>27.676651877401</v>
      </c>
      <c r="I13468" s="6" t="n">
        <f aca="false">PL!I73+Sens!I13459*Seg!I55+sbc_r*Seg!I55</f>
        <v>28.7919477163856</v>
      </c>
      <c r="J13468" s="6" t="n">
        <f aca="false">PL!J73+Sens!J13459*Seg!J55+sbc_r*Seg!J55</f>
        <v>30.1095554599876</v>
      </c>
      <c r="K13468" s="6" t="n">
        <f aca="false">PL!K73+Sens!K13459*Seg!K55+sbc_r*Seg!K55</f>
        <v>31.5923355811805</v>
      </c>
    </row>
    <row r="13469" customFormat="false" ht="17.15" hidden="false" customHeight="false" outlineLevel="0" collapsed="false">
      <c r="A13469" s="0" t="s">
        <v>1066</v>
      </c>
      <c r="B13469" s="0" t="s">
        <v>98</v>
      </c>
      <c r="F13469" s="6" t="n">
        <f aca="false">(Sens!F13468-Sens!F13464)*Seg!F51/(Seg!F51+Seg!F53)</f>
        <v>8.21363876839376</v>
      </c>
      <c r="G13469" s="6" t="n">
        <f aca="false">(Sens!G13468-Sens!G13464)*Seg!G51/(Seg!G51+Seg!G53)</f>
        <v>7.81757556948427</v>
      </c>
      <c r="H13469" s="6" t="n">
        <f aca="false">(Sens!H13468-Sens!H13464)*Seg!H51/(Seg!H51+Seg!H53)</f>
        <v>7.58379891746928</v>
      </c>
      <c r="I13469" s="6" t="n">
        <f aca="false">(Sens!I13468-Sens!I13464)*Seg!I51/(Seg!I51+Seg!I53)</f>
        <v>7.49513512835163</v>
      </c>
      <c r="J13469" s="6" t="n">
        <f aca="false">(Sens!J13468-Sens!J13464)*Seg!J51/(Seg!J51+Seg!J53)</f>
        <v>7.53980917061682</v>
      </c>
      <c r="K13469" s="6" t="n">
        <f aca="false">(Sens!K13468-Sens!K13464)*Seg!K51/(Seg!K51+Seg!K53)</f>
        <v>7.71189597463361</v>
      </c>
    </row>
    <row r="13470" customFormat="false" ht="17.15" hidden="false" customHeight="false" outlineLevel="0" collapsed="false">
      <c r="A13470" s="0" t="s">
        <v>1067</v>
      </c>
      <c r="B13470" s="0" t="s">
        <v>98</v>
      </c>
      <c r="F13470" s="6" t="n">
        <f aca="false">Sens!F13468-Sens!F13464-Sens!F13469</f>
        <v>6.76955113045481</v>
      </c>
      <c r="G13470" s="6" t="n">
        <f aca="false">Sens!G13468-Sens!G13464-Sens!G13469</f>
        <v>6.70200532253647</v>
      </c>
      <c r="H13470" s="6" t="n">
        <f aca="false">Sens!H13468-Sens!H13464-Sens!H13469</f>
        <v>6.69446413713431</v>
      </c>
      <c r="I13470" s="6" t="n">
        <f aca="false">Sens!I13468-Sens!I13464-Sens!I13469</f>
        <v>6.74504306167234</v>
      </c>
      <c r="J13470" s="6" t="n">
        <f aca="false">Sens!J13468-Sens!J13464-Sens!J13469</f>
        <v>6.85031787484545</v>
      </c>
      <c r="K13470" s="6" t="n">
        <f aca="false">Sens!K13468-Sens!K13464-Sens!K13469</f>
        <v>7.00666789417688</v>
      </c>
    </row>
    <row r="13471" customFormat="false" ht="17.15" hidden="false" customHeight="false" outlineLevel="0" collapsed="false">
      <c r="A13471" s="0" t="s">
        <v>1068</v>
      </c>
      <c r="B13471" s="0" t="s">
        <v>98</v>
      </c>
      <c r="F13471" s="6" t="n">
        <f aca="false">Sens!F13465-tax_f*(Sens!F13465-Thesis!F89)-Thesis!F86</f>
        <v>-119.382682747471</v>
      </c>
      <c r="G13471" s="6" t="n">
        <f aca="false">Sens!G13465-tax_f*(Sens!G13465-Thesis!G89)-Thesis!G86</f>
        <v>-98.7495755690893</v>
      </c>
      <c r="H13471" s="6" t="n">
        <f aca="false">Sens!H13465-tax_f*(Sens!H13465-Thesis!H89)-Thesis!H86</f>
        <v>-65.2160219145184</v>
      </c>
      <c r="I13471" s="6" t="n">
        <f aca="false">Sens!I13465-tax_f*(Sens!I13465-Thesis!I89)-Thesis!I86</f>
        <v>-6.59039601405712</v>
      </c>
      <c r="J13471" s="6" t="n">
        <f aca="false">Sens!J13465-tax_f*(Sens!J13465-Thesis!J89)-Thesis!J86</f>
        <v>56.7738295233955</v>
      </c>
      <c r="K13471" s="6" t="n">
        <f aca="false">Sens!K13465-tax_f*(Sens!K13465-Thesis!K89)-Thesis!K86</f>
        <v>81.209175376442</v>
      </c>
    </row>
    <row r="13472" customFormat="false" ht="17.15" hidden="false" customHeight="false" outlineLevel="0" collapsed="false">
      <c r="A13472" s="0" t="s">
        <v>1069</v>
      </c>
      <c r="B13472" s="0" t="s">
        <v>98</v>
      </c>
      <c r="F13472" s="6" t="n">
        <f aca="false">Sens!F13471*Sens!F13445</f>
        <v>-113.675399435717</v>
      </c>
      <c r="G13472" s="6" t="n">
        <f aca="false">Sens!G13471*Sens!G13445</f>
        <v>-85.2532025390917</v>
      </c>
      <c r="H13472" s="6" t="n">
        <f aca="false">Sens!H13471*Sens!H13445</f>
        <v>-51.0481582830682</v>
      </c>
      <c r="I13472" s="6" t="n">
        <f aca="false">Sens!I13471*Sens!I13445</f>
        <v>-4.67721782319945</v>
      </c>
      <c r="J13472" s="6" t="n">
        <f aca="false">Sens!J13471*Sens!J13445</f>
        <v>36.5320953989789</v>
      </c>
      <c r="K13472" s="6" t="n">
        <f aca="false">Sens!K13471*Sens!K13445</f>
        <v>47.3785542320528</v>
      </c>
    </row>
    <row r="13473" customFormat="false" ht="17.15" hidden="false" customHeight="false" outlineLevel="0" collapsed="false">
      <c r="A13473" s="0" t="s">
        <v>1070</v>
      </c>
      <c r="B13473" s="0" t="s">
        <v>98</v>
      </c>
      <c r="C13473" s="6" t="n">
        <f aca="false">(Sens!K13465-Thesis!K89)*(1-tax_f)*(1+g_tv)*(1-g_tv/(wacc+0))/(wacc-g_tv)/(1+wacc)^(Sens!K13444+mid_yr)</f>
        <v>314.186863600641</v>
      </c>
    </row>
    <row r="13474" customFormat="false" ht="17.15" hidden="false" customHeight="false" outlineLevel="0" collapsed="false">
      <c r="A13474" s="1" t="s">
        <v>1071</v>
      </c>
      <c r="B13474" s="0" t="s">
        <v>98</v>
      </c>
      <c r="C13474" s="6" t="n">
        <f aca="false">(SUM(Sens!F13472:K13472)+Sens!$C$13473)*(1+wacc)^t_roll</f>
        <v>163.343942987594</v>
      </c>
      <c r="L13474" s="11" t="s">
        <v>1072</v>
      </c>
    </row>
    <row r="13475" customFormat="false" ht="17.15" hidden="false" customHeight="false" outlineLevel="0" collapsed="false">
      <c r="A13475" s="1" t="s">
        <v>1073</v>
      </c>
      <c r="B13475" s="0" t="s">
        <v>98</v>
      </c>
      <c r="C13475" s="6" t="n">
        <f aca="false">(w_ntm28*Thesis!G78+(1-w_ntm28)*Thesis!H78)*m_ai</f>
        <v>454.922440830797</v>
      </c>
    </row>
    <row r="13476" customFormat="false" ht="17.15" hidden="false" customHeight="false" outlineLevel="0" collapsed="false">
      <c r="A13476" s="1" t="s">
        <v>1074</v>
      </c>
      <c r="B13476" s="0" t="s">
        <v>98</v>
      </c>
      <c r="C13476" s="6" t="n">
        <f aca="false">(w_ntm28*Sens!G13467+(1-w_ntm28)*Sens!H13467)*m_cloud</f>
        <v>1070.81495830201</v>
      </c>
    </row>
    <row r="13477" customFormat="false" ht="17.15" hidden="false" customHeight="false" outlineLevel="0" collapsed="false">
      <c r="A13477" s="1" t="s">
        <v>1075</v>
      </c>
      <c r="B13477" s="0" t="s">
        <v>98</v>
      </c>
      <c r="C13477" s="6" t="n">
        <f aca="false">(w_ntm28*Sens!G13460+(1-w_ntm28)*Sens!H13460)*m_sw</f>
        <v>1084.50516663972</v>
      </c>
    </row>
    <row r="13478" customFormat="false" ht="17.15" hidden="false" customHeight="false" outlineLevel="0" collapsed="false">
      <c r="A13478" s="1" t="s">
        <v>1076</v>
      </c>
      <c r="B13478" s="0" t="s">
        <v>98</v>
      </c>
      <c r="C13478" s="6" t="n">
        <f aca="false">(w_ntm28*Sens!G13461+(1-w_ntm28)*Sens!H13461)*m_sw</f>
        <v>379.446649868791</v>
      </c>
    </row>
    <row r="13479" customFormat="false" ht="17.15" hidden="false" customHeight="false" outlineLevel="0" collapsed="false">
      <c r="A13479" s="1" t="s">
        <v>1077</v>
      </c>
      <c r="B13479" s="0" t="s">
        <v>98</v>
      </c>
      <c r="C13479" s="6" t="n">
        <f aca="false">(w_ntm28*Sens!G13462+(1-w_ntm28)*Sens!H13462)*m_sw</f>
        <v>109.245833616811</v>
      </c>
    </row>
    <row r="13480" customFormat="false" ht="17.15" hidden="false" customHeight="false" outlineLevel="0" collapsed="false">
      <c r="A13480" s="1" t="s">
        <v>1078</v>
      </c>
      <c r="B13480" s="0" t="s">
        <v>98</v>
      </c>
      <c r="C13480" s="6" t="n">
        <f aca="false">(w_ntm28*Sens!G13463+(1-w_ntm28)*Sens!H13463)*m_sw</f>
        <v>41.6791515554452</v>
      </c>
    </row>
    <row r="13481" customFormat="false" ht="17.15" hidden="false" customHeight="false" outlineLevel="0" collapsed="false">
      <c r="A13481" s="1" t="s">
        <v>1079</v>
      </c>
      <c r="B13481" s="0" t="s">
        <v>98</v>
      </c>
      <c r="C13481" s="6" t="n">
        <f aca="false">(w_ntm28*Sens!G13464+(1-w_ntm28)*Sens!H13464)*m_ads</f>
        <v>115.160236299351</v>
      </c>
    </row>
    <row r="13482" customFormat="false" ht="17.15" hidden="false" customHeight="false" outlineLevel="0" collapsed="false">
      <c r="A13482" s="1" t="s">
        <v>1080</v>
      </c>
      <c r="B13482" s="0" t="s">
        <v>98</v>
      </c>
      <c r="C13482" s="6" t="n">
        <f aca="false">(w_ntm28*Sens!G13469+(1-w_ntm28)*Sens!H13469)*m_game</f>
        <v>97.7814405506301</v>
      </c>
    </row>
    <row r="13483" customFormat="false" ht="17.15" hidden="false" customHeight="false" outlineLevel="0" collapsed="false">
      <c r="A13483" s="1" t="s">
        <v>1081</v>
      </c>
      <c r="B13483" s="0" t="s">
        <v>98</v>
      </c>
      <c r="C13483" s="6" t="n">
        <f aca="false">(w_ntm28*Sens!G13470+(1-w_ntm28)*Sens!H13470)*m_pc</f>
        <v>96.9427395583992</v>
      </c>
    </row>
    <row r="13484" customFormat="false" ht="17.15" hidden="false" customHeight="false" outlineLevel="0" collapsed="false">
      <c r="A13484" s="1" t="s">
        <v>1082</v>
      </c>
      <c r="B13484" s="0" t="s">
        <v>98</v>
      </c>
      <c r="C13484" s="6" t="n">
        <f aca="false">Sens!$C$13474+Sens!$C$13476+Sens!$C$13477+Sens!$C$13478+Sens!$C$13479+Sens!$C$13480+Sens!$C$13481+Sens!$C$13482+Sens!$C$13483</f>
        <v>3158.92011937875</v>
      </c>
    </row>
    <row r="13485" customFormat="false" ht="17.15" hidden="false" customHeight="false" outlineLevel="0" collapsed="false">
      <c r="A13485" s="1" t="s">
        <v>1000</v>
      </c>
      <c r="B13485" s="0" t="s">
        <v>98</v>
      </c>
      <c r="C13485" s="6" t="n">
        <f aca="false">CF!F65+oai_v-CF!F54</f>
        <v>111.253995542787</v>
      </c>
      <c r="L13485" s="1" t="s">
        <v>1083</v>
      </c>
    </row>
    <row r="13486" customFormat="false" ht="15" hidden="false" customHeight="false" outlineLevel="0" collapsed="false">
      <c r="A13486" s="1" t="s">
        <v>1001</v>
      </c>
      <c r="B13486" s="0" t="s">
        <v>75</v>
      </c>
      <c r="C13486" s="5" t="n">
        <f aca="false">(Sens!$C$13484+Sens!$C$13485)/CF!F67</f>
        <v>437.657135294638</v>
      </c>
    </row>
    <row r="13487" customFormat="false" ht="17.15" hidden="false" customHeight="false" outlineLevel="0" collapsed="false">
      <c r="A13487" s="1" t="s">
        <v>1084</v>
      </c>
      <c r="B13487" s="0" t="s">
        <v>75</v>
      </c>
      <c r="C13487" s="5" t="n">
        <f aca="false">w_dcf*Sens!$C$13458+(1-w_dcf)*Sens!$C$13486</f>
        <v>439.836348022326</v>
      </c>
    </row>
    <row r="13488" customFormat="false" ht="17.15" hidden="false" customHeight="false" outlineLevel="0" collapsed="false">
      <c r="A13488" s="3" t="s">
        <v>1583</v>
      </c>
    </row>
    <row r="13489" customFormat="false" ht="15" hidden="false" customHeight="false" outlineLevel="0" collapsed="false">
      <c r="A13489" s="4" t="s">
        <v>43</v>
      </c>
      <c r="B13489" s="4" t="s">
        <v>65</v>
      </c>
      <c r="C13489" s="20" t="s">
        <v>788</v>
      </c>
      <c r="D13489" s="20" t="s">
        <v>789</v>
      </c>
      <c r="E13489" s="20" t="s">
        <v>790</v>
      </c>
      <c r="F13489" s="20" t="s">
        <v>791</v>
      </c>
      <c r="G13489" s="20" t="s">
        <v>792</v>
      </c>
      <c r="H13489" s="20" t="s">
        <v>793</v>
      </c>
      <c r="I13489" s="20" t="s">
        <v>794</v>
      </c>
      <c r="J13489" s="20" t="s">
        <v>795</v>
      </c>
      <c r="K13489" s="20" t="s">
        <v>796</v>
      </c>
      <c r="L13489" s="4" t="s">
        <v>47</v>
      </c>
    </row>
    <row r="13490" customFormat="false" ht="15" hidden="false" customHeight="false" outlineLevel="0" collapsed="false">
      <c r="A13490" s="1" t="s">
        <v>1042</v>
      </c>
      <c r="B13490" s="1" t="s">
        <v>235</v>
      </c>
      <c r="F13490" s="36" t="n">
        <f aca="false">Thesis!F104-base_fy-mid_yr</f>
        <v>0.5</v>
      </c>
      <c r="G13490" s="36" t="n">
        <f aca="false">Thesis!G104-base_fy-mid_yr</f>
        <v>1.5</v>
      </c>
      <c r="H13490" s="36" t="n">
        <f aca="false">Thesis!H104-base_fy-mid_yr</f>
        <v>2.5</v>
      </c>
      <c r="I13490" s="36" t="n">
        <f aca="false">Thesis!I104-base_fy-mid_yr</f>
        <v>3.5</v>
      </c>
      <c r="J13490" s="36" t="n">
        <f aca="false">Thesis!J104-base_fy-mid_yr</f>
        <v>4.5</v>
      </c>
      <c r="K13490" s="36" t="n">
        <f aca="false">Thesis!K104-base_fy-mid_yr</f>
        <v>5.5</v>
      </c>
    </row>
    <row r="13491" customFormat="false" ht="15" hidden="false" customHeight="false" outlineLevel="0" collapsed="false">
      <c r="A13491" s="1" t="s">
        <v>1043</v>
      </c>
      <c r="B13491" s="0" t="s">
        <v>185</v>
      </c>
      <c r="F13491" s="14" t="n">
        <f aca="false">1/(1+wacc)^Sens!F13490</f>
        <v>0.952193373608246</v>
      </c>
      <c r="G13491" s="14" t="n">
        <f aca="false">1/(1+wacc)^Sens!G13490</f>
        <v>0.863327280626589</v>
      </c>
      <c r="H13491" s="14" t="n">
        <f aca="false">1/(1+wacc)^Sens!H13490</f>
        <v>0.782754862754115</v>
      </c>
      <c r="I13491" s="14" t="n">
        <f aca="false">1/(1+wacc)^Sens!I13490</f>
        <v>0.709702089711011</v>
      </c>
      <c r="J13491" s="14" t="n">
        <f aca="false">1/(1+wacc)^Sens!J13490</f>
        <v>0.643467169744551</v>
      </c>
      <c r="K13491" s="14" t="n">
        <f aca="false">1/(1+wacc)^Sens!K13490</f>
        <v>0.583413807767797</v>
      </c>
    </row>
    <row r="13492" customFormat="false" ht="17.15" hidden="false" customHeight="false" outlineLevel="0" collapsed="false">
      <c r="A13492" s="1" t="s">
        <v>1044</v>
      </c>
      <c r="B13492" s="0" t="s">
        <v>98</v>
      </c>
      <c r="F13492" s="6" t="n">
        <f aca="false">CF!F79-CF!F77-CF!F82+Thesis!F142*(1-tax_f)</f>
        <v>2.81855367218396</v>
      </c>
      <c r="G13492" s="6" t="n">
        <f aca="false">CF!G79-CF!G77-CF!G82+Thesis!G142*(1-tax_f)</f>
        <v>35.4967358232605</v>
      </c>
      <c r="H13492" s="6" t="n">
        <f aca="false">CF!H79-CF!H77-CF!H82+Thesis!H142*(1-tax_f)</f>
        <v>71.9736045985465</v>
      </c>
      <c r="I13492" s="6" t="n">
        <f aca="false">CF!I79-CF!I77-CF!I82+Thesis!I142*(1-tax_f)</f>
        <v>139.565890227748</v>
      </c>
      <c r="J13492" s="6" t="n">
        <f aca="false">CF!J79-CF!J77-CF!J82+Thesis!J142*(1-tax_f)</f>
        <v>212.783902680705</v>
      </c>
      <c r="K13492" s="6" t="n">
        <f aca="false">CF!K79-CF!K77-CF!K82+Thesis!K142*(1-tax_f)</f>
        <v>247.854416738942</v>
      </c>
      <c r="L13492" s="1" t="s">
        <v>1045</v>
      </c>
    </row>
    <row r="13493" customFormat="false" ht="15" hidden="false" customHeight="false" outlineLevel="0" collapsed="false">
      <c r="A13493" s="1" t="s">
        <v>1046</v>
      </c>
      <c r="B13493" s="0" t="s">
        <v>98</v>
      </c>
      <c r="F13493" s="6" t="n">
        <f aca="false">Sens!F13492*Sens!F13491</f>
        <v>2.68380812981276</v>
      </c>
      <c r="G13493" s="6" t="n">
        <f aca="false">Sens!G13492*Sens!G13491</f>
        <v>30.6453004094159</v>
      </c>
      <c r="H13493" s="6" t="n">
        <f aca="false">Sens!H13492*Sens!H13491</f>
        <v>56.3376889894542</v>
      </c>
      <c r="I13493" s="6" t="n">
        <f aca="false">Sens!I13492*Sens!I13491</f>
        <v>99.0502039470101</v>
      </c>
      <c r="J13493" s="6" t="n">
        <f aca="false">Sens!J13492*Sens!J13491</f>
        <v>136.919455625153</v>
      </c>
      <c r="K13493" s="6" t="n">
        <f aca="false">Sens!K13492*Sens!K13491</f>
        <v>144.601689041733</v>
      </c>
    </row>
    <row r="13494" customFormat="false" ht="17.15" hidden="false" customHeight="false" outlineLevel="0" collapsed="false">
      <c r="A13494" s="1" t="s">
        <v>1047</v>
      </c>
      <c r="B13494" s="0" t="s">
        <v>98</v>
      </c>
      <c r="C13494" s="6" t="n">
        <f aca="false">SUM(Sens!F13493:K13493)</f>
        <v>470.238146142579</v>
      </c>
    </row>
    <row r="13495" customFormat="false" ht="17.15" hidden="false" customHeight="false" outlineLevel="0" collapsed="false">
      <c r="A13495" s="1" t="s">
        <v>1048</v>
      </c>
      <c r="B13495" s="0" t="s">
        <v>98</v>
      </c>
      <c r="C13495" s="6" t="n">
        <f aca="false">PL!K117*(1+g_tv)*(1-tax_f)</f>
        <v>255.879558138142</v>
      </c>
    </row>
    <row r="13496" customFormat="false" ht="17.15" hidden="false" customHeight="false" outlineLevel="0" collapsed="false">
      <c r="A13496" s="1" t="s">
        <v>1581</v>
      </c>
      <c r="B13496" s="0" t="s">
        <v>98</v>
      </c>
      <c r="C13496" s="6" t="n">
        <f aca="false">Val!K166*(1+g_tv)</f>
        <v>255.29004924111</v>
      </c>
    </row>
    <row r="13497" customFormat="false" ht="17.15" hidden="false" customHeight="false" outlineLevel="0" collapsed="false">
      <c r="A13497" s="1" t="s">
        <v>1050</v>
      </c>
      <c r="B13497" s="0" t="s">
        <v>98</v>
      </c>
      <c r="C13497" s="6" t="n">
        <f aca="false">Sens!$C$13496/(wacc-g_tv)</f>
        <v>3500.26844548871</v>
      </c>
    </row>
    <row r="13498" customFormat="false" ht="15" hidden="false" customHeight="false" outlineLevel="0" collapsed="false">
      <c r="A13498" s="1" t="s">
        <v>1051</v>
      </c>
      <c r="B13498" s="0" t="s">
        <v>98</v>
      </c>
      <c r="C13498" s="6" t="n">
        <f aca="false">Sens!$C$13497/(1+wacc)^(Sens!K13490+mid_yr)</f>
        <v>1944.47879397747</v>
      </c>
    </row>
    <row r="13499" customFormat="false" ht="17.15" hidden="false" customHeight="false" outlineLevel="0" collapsed="false">
      <c r="A13499" s="0" t="s">
        <v>972</v>
      </c>
      <c r="B13499" s="0" t="s">
        <v>98</v>
      </c>
      <c r="C13499" s="6" t="n">
        <f aca="false">Sens!$C$13494+Sens!$C$13498</f>
        <v>2414.71694012004</v>
      </c>
    </row>
    <row r="13500" customFormat="false" ht="15" hidden="false" customHeight="false" outlineLevel="0" collapsed="false">
      <c r="A13500" s="1" t="s">
        <v>973</v>
      </c>
      <c r="B13500" s="0" t="s">
        <v>129</v>
      </c>
      <c r="C13500" s="7" t="n">
        <f aca="false">Sens!$C$13498/Sens!$C$13499</f>
        <v>0.805261586428759</v>
      </c>
    </row>
    <row r="13501" customFormat="false" ht="17.15" hidden="false" customHeight="false" outlineLevel="0" collapsed="false">
      <c r="A13501" s="1" t="s">
        <v>1052</v>
      </c>
      <c r="B13501" s="0" t="s">
        <v>98</v>
      </c>
      <c r="C13501" s="6" t="n">
        <f aca="false">Sens!$C$13499+CF!E94-CF!E83+oai_v</f>
        <v>2549.22994012004</v>
      </c>
    </row>
    <row r="13502" customFormat="false" ht="17.15" hidden="false" customHeight="false" outlineLevel="0" collapsed="false">
      <c r="A13502" s="0" t="s">
        <v>980</v>
      </c>
      <c r="B13502" s="0" t="s">
        <v>75</v>
      </c>
      <c r="C13502" s="5" t="n">
        <f aca="false">Sens!$C$13501/sh_dil26</f>
        <v>342.040780909707</v>
      </c>
    </row>
    <row r="13503" customFormat="false" ht="15" hidden="false" customHeight="false" outlineLevel="0" collapsed="false">
      <c r="A13503" s="1" t="s">
        <v>1053</v>
      </c>
      <c r="B13503" s="0" t="s">
        <v>75</v>
      </c>
      <c r="C13503" s="8" t="n">
        <f aca="false">dps_27+CF!G86*roll_div_q/q_per_yr</f>
        <v>4.8895</v>
      </c>
    </row>
    <row r="13504" customFormat="false" ht="17.15" hidden="false" customHeight="false" outlineLevel="0" collapsed="false">
      <c r="A13504" s="0" t="s">
        <v>1054</v>
      </c>
      <c r="B13504" s="0" t="s">
        <v>75</v>
      </c>
      <c r="C13504" s="5" t="n">
        <f aca="false">Sens!$C$13502*(1+wacc)^t_roll-Sens!$C$13503</f>
        <v>384.603757801342</v>
      </c>
    </row>
    <row r="13505" customFormat="false" ht="17.15" hidden="false" customHeight="false" outlineLevel="0" collapsed="false">
      <c r="A13505" s="1" t="s">
        <v>1055</v>
      </c>
      <c r="B13505" s="0" t="s">
        <v>129</v>
      </c>
      <c r="F13505" s="7" t="n">
        <f aca="false">CF!F75/(Seg!F83-Thesis!F121)</f>
        <v>0.0686864325746334</v>
      </c>
      <c r="G13505" s="7" t="n">
        <f aca="false">CF!G75/(Seg!G83-Thesis!G121)</f>
        <v>0.066267001590801</v>
      </c>
      <c r="H13505" s="7" t="n">
        <f aca="false">CF!H75/(Seg!H83-Thesis!H121)</f>
        <v>0.0650366246750144</v>
      </c>
      <c r="I13505" s="7" t="n">
        <f aca="false">CF!I75/(Seg!I83-Thesis!I121)</f>
        <v>0.0648573271390164</v>
      </c>
      <c r="J13505" s="7" t="n">
        <f aca="false">CF!J75/(Seg!J83-Thesis!J121)</f>
        <v>0.0655189837669657</v>
      </c>
      <c r="K13505" s="7" t="n">
        <f aca="false">CF!K75/(Seg!K83-Thesis!K121)</f>
        <v>0.0667878921367872</v>
      </c>
    </row>
    <row r="13506" customFormat="false" ht="17.15" hidden="false" customHeight="false" outlineLevel="0" collapsed="false">
      <c r="A13506" s="0" t="s">
        <v>1056</v>
      </c>
      <c r="B13506" s="0" t="s">
        <v>98</v>
      </c>
      <c r="F13506" s="6" t="n">
        <f aca="false">Seg!F68*(al_m365+Sens!F13505+sbc_r)</f>
        <v>82.8871280343675</v>
      </c>
      <c r="G13506" s="6" t="n">
        <f aca="false">Seg!G68*(al_m365+Sens!G13505+sbc_r)</f>
        <v>93.2646494841949</v>
      </c>
      <c r="H13506" s="6" t="n">
        <f aca="false">Seg!H68*(al_m365+Sens!H13505+sbc_r)</f>
        <v>103.801656157254</v>
      </c>
      <c r="I13506" s="6" t="n">
        <f aca="false">Seg!I68*(al_m365+Sens!I13505+sbc_r)</f>
        <v>113.821873816133</v>
      </c>
      <c r="J13506" s="6" t="n">
        <f aca="false">Seg!J68*(al_m365+Sens!J13505+sbc_r)</f>
        <v>123.136196807334</v>
      </c>
      <c r="K13506" s="6" t="n">
        <f aca="false">Seg!K68*(al_m365+Sens!K13505+sbc_r)</f>
        <v>132.051675801964</v>
      </c>
      <c r="L13506" s="11" t="s">
        <v>1057</v>
      </c>
    </row>
    <row r="13507" customFormat="false" ht="17.15" hidden="false" customHeight="false" outlineLevel="0" collapsed="false">
      <c r="A13507" s="0" t="s">
        <v>1058</v>
      </c>
      <c r="B13507" s="0" t="s">
        <v>98</v>
      </c>
      <c r="F13507" s="6" t="n">
        <f aca="false">Seg!F69*(al_lic+Sens!F13505+sbc_r)</f>
        <v>33.4484001235218</v>
      </c>
      <c r="G13507" s="6" t="n">
        <f aca="false">Seg!G69*(al_lic+Sens!G13505+sbc_r)</f>
        <v>34.7662136749183</v>
      </c>
      <c r="H13507" s="6" t="n">
        <f aca="false">Seg!H69*(al_lic+Sens!H13505+sbc_r)</f>
        <v>35.9922067034497</v>
      </c>
      <c r="I13507" s="6" t="n">
        <f aca="false">Seg!I69*(al_lic+Sens!I13505+sbc_r)</f>
        <v>37.1063543598183</v>
      </c>
      <c r="J13507" s="6" t="n">
        <f aca="false">Seg!J69*(al_lic+Sens!J13505+sbc_r)</f>
        <v>38.0853056964387</v>
      </c>
      <c r="K13507" s="6" t="n">
        <f aca="false">Seg!K69*(al_lic+Sens!K13505+sbc_r)</f>
        <v>38.9048066370724</v>
      </c>
    </row>
    <row r="13508" customFormat="false" ht="17.15" hidden="false" customHeight="false" outlineLevel="0" collapsed="false">
      <c r="A13508" s="0" t="s">
        <v>1059</v>
      </c>
      <c r="B13508" s="0" t="s">
        <v>98</v>
      </c>
      <c r="F13508" s="6" t="n">
        <f aca="false">Seg!F71*(al_ind+Sens!F13505+sbc_r)</f>
        <v>9.07857451914073</v>
      </c>
      <c r="G13508" s="6" t="n">
        <f aca="false">Seg!G71*(al_ind+Sens!G13505+sbc_r)</f>
        <v>9.86487802721884</v>
      </c>
      <c r="H13508" s="6" t="n">
        <f aca="false">Seg!H71*(al_ind+Sens!H13505+sbc_r)</f>
        <v>10.693809720013</v>
      </c>
      <c r="I13508" s="6" t="n">
        <f aca="false">Seg!I71*(al_ind+Sens!I13505+sbc_r)</f>
        <v>11.5608645999226</v>
      </c>
      <c r="J13508" s="6" t="n">
        <f aca="false">Seg!J71*(al_ind+Sens!J13505+sbc_r)</f>
        <v>12.4574161941375</v>
      </c>
      <c r="K13508" s="6" t="n">
        <f aca="false">Seg!K71*(al_ind+Sens!K13505+sbc_r)</f>
        <v>13.3714153876622</v>
      </c>
    </row>
    <row r="13509" customFormat="false" ht="17.15" hidden="false" customHeight="false" outlineLevel="0" collapsed="false">
      <c r="A13509" s="0" t="s">
        <v>1060</v>
      </c>
      <c r="B13509" s="0" t="s">
        <v>98</v>
      </c>
      <c r="F13509" s="6" t="n">
        <f aca="false">Seg!F73*(al_fro+Sens!F13505+sbc_r)</f>
        <v>3.57335880380168</v>
      </c>
      <c r="G13509" s="6" t="n">
        <f aca="false">Seg!G73*(al_fro+Sens!G13505+sbc_r)</f>
        <v>3.78752993435501</v>
      </c>
      <c r="H13509" s="6" t="n">
        <f aca="false">Seg!H73*(al_fro+Sens!H13505+sbc_r)</f>
        <v>4.02979352544868</v>
      </c>
      <c r="I13509" s="6" t="n">
        <f aca="false">Seg!I73*(al_fro+Sens!I13505+sbc_r)</f>
        <v>4.30248328262388</v>
      </c>
      <c r="J13509" s="6" t="n">
        <f aca="false">Seg!J73*(al_fro+Sens!J13505+sbc_r)</f>
        <v>4.6072312462081</v>
      </c>
      <c r="K13509" s="6" t="n">
        <f aca="false">Seg!K73*(al_fro+Sens!K13505+sbc_r)</f>
        <v>4.94526327289735</v>
      </c>
    </row>
    <row r="13510" customFormat="false" ht="17.15" hidden="false" customHeight="false" outlineLevel="0" collapsed="false">
      <c r="A13510" s="0" t="s">
        <v>1061</v>
      </c>
      <c r="B13510" s="0" t="s">
        <v>98</v>
      </c>
      <c r="F13510" s="6" t="n">
        <f aca="false">Seg!F76*(al_srch+Sens!F13505+sbc_r)</f>
        <v>11.2121706988551</v>
      </c>
      <c r="G13510" s="6" t="n">
        <f aca="false">Seg!G76*(al_srch+Sens!G13505+sbc_r)</f>
        <v>12.298220751086</v>
      </c>
      <c r="H13510" s="6" t="n">
        <f aca="false">Seg!H76*(al_srch+Sens!H13505+sbc_r)</f>
        <v>13.4264661389574</v>
      </c>
      <c r="I13510" s="6" t="n">
        <f aca="false">Seg!I76*(al_srch+Sens!I13505+sbc_r)</f>
        <v>14.5842947685169</v>
      </c>
      <c r="J13510" s="6" t="n">
        <f aca="false">Seg!J76*(al_srch+Sens!J13505+sbc_r)</f>
        <v>15.7529827260804</v>
      </c>
      <c r="K13510" s="6" t="n">
        <f aca="false">Seg!K76*(al_srch+Sens!K13505+sbc_r)</f>
        <v>16.908777257054</v>
      </c>
    </row>
    <row r="13511" customFormat="false" ht="17.15" hidden="false" customHeight="false" outlineLevel="0" collapsed="false">
      <c r="A13511" s="0" t="s">
        <v>1062</v>
      </c>
      <c r="B13511" s="0" t="s">
        <v>98</v>
      </c>
      <c r="F13511" s="6" t="n">
        <f aca="false">Thesis!F127-Thesis!F128+Thesis!F142</f>
        <v>49.3166695044068</v>
      </c>
      <c r="G13511" s="6" t="n">
        <f aca="false">Thesis!G127-Thesis!G128+Thesis!G142</f>
        <v>79.1711235199867</v>
      </c>
      <c r="H13511" s="6" t="n">
        <f aca="false">Thesis!H127-Thesis!H128+Thesis!H142</f>
        <v>105.986955995322</v>
      </c>
      <c r="I13511" s="6" t="n">
        <f aca="false">Thesis!I127-Thesis!I128+Thesis!I142</f>
        <v>136.51312421941</v>
      </c>
      <c r="J13511" s="6" t="n">
        <f aca="false">Thesis!J127-Thesis!J128+Thesis!J142</f>
        <v>158.045869188803</v>
      </c>
      <c r="K13511" s="6" t="n">
        <f aca="false">Thesis!K127-Thesis!K128+Thesis!K142</f>
        <v>171.626834186355</v>
      </c>
    </row>
    <row r="13512" customFormat="false" ht="17.15" hidden="false" customHeight="false" outlineLevel="0" collapsed="false">
      <c r="A13512" s="0" t="s">
        <v>1063</v>
      </c>
      <c r="B13512" s="0" t="s">
        <v>98</v>
      </c>
      <c r="F13512" s="6" t="n">
        <f aca="false">PL!F110+Thesis!F142+Thesis!F138+Sens!F13505*(Seg!F75-Thesis!F121)+sbc_r*Seg!F75</f>
        <v>239.221795819914</v>
      </c>
      <c r="G13512" s="6" t="n">
        <f aca="false">PL!G110+Thesis!G142+Thesis!G138+Sens!G13505*(Seg!G75-Thesis!G121)+sbc_r*Seg!G75</f>
        <v>293.888959324058</v>
      </c>
      <c r="H13512" s="6" t="n">
        <f aca="false">PL!H110+Thesis!H142+Thesis!H138+Sens!H13505*(Seg!H75-Thesis!H121)+sbc_r*Seg!H75</f>
        <v>345.795749423438</v>
      </c>
      <c r="I13512" s="6" t="n">
        <f aca="false">PL!I110+Thesis!I142+Thesis!I138+Sens!I13505*(Seg!I75-Thesis!I121)+sbc_r*Seg!I75</f>
        <v>400.80148439376</v>
      </c>
      <c r="J13512" s="6" t="n">
        <f aca="false">PL!J110+Thesis!J142+Thesis!J138+Sens!J13505*(Seg!J75-Thesis!J121)+sbc_r*Seg!J75</f>
        <v>444.918308128678</v>
      </c>
      <c r="K13512" s="6" t="n">
        <f aca="false">PL!K110+Thesis!K142+Thesis!K138+Sens!K13505*(Seg!K75-Thesis!K121)+sbc_r*Seg!K75</f>
        <v>478.782312275225</v>
      </c>
    </row>
    <row r="13513" customFormat="false" ht="17.15" hidden="false" customHeight="false" outlineLevel="0" collapsed="false">
      <c r="A13513" s="0" t="s">
        <v>1064</v>
      </c>
      <c r="B13513" s="0" t="s">
        <v>98</v>
      </c>
      <c r="F13513" s="6" t="n">
        <f aca="false">Sens!F13512-Sens!F13506-Sens!F13507-Sens!F13508-Sens!F13509-Sens!F13511</f>
        <v>60.9176648346756</v>
      </c>
      <c r="G13513" s="6" t="n">
        <f aca="false">Sens!G13512-Sens!G13506-Sens!G13507-Sens!G13508-Sens!G13509-Sens!G13511</f>
        <v>73.0345646833845</v>
      </c>
      <c r="H13513" s="6" t="n">
        <f aca="false">Sens!H13512-Sens!H13506-Sens!H13507-Sens!H13508-Sens!H13509-Sens!H13511</f>
        <v>85.2913273219498</v>
      </c>
      <c r="I13513" s="6" t="n">
        <f aca="false">Sens!I13512-Sens!I13506-Sens!I13507-Sens!I13508-Sens!I13509-Sens!I13511</f>
        <v>97.4967841158513</v>
      </c>
      <c r="J13513" s="6" t="n">
        <f aca="false">Sens!J13512-Sens!J13506-Sens!J13507-Sens!J13508-Sens!J13509-Sens!J13511</f>
        <v>108.586288995756</v>
      </c>
      <c r="K13513" s="6" t="n">
        <f aca="false">Sens!K13512-Sens!K13506-Sens!K13507-Sens!K13508-Sens!K13509-Sens!K13511</f>
        <v>117.882316989274</v>
      </c>
    </row>
    <row r="13514" customFormat="false" ht="17.15" hidden="false" customHeight="false" outlineLevel="0" collapsed="false">
      <c r="A13514" s="0" t="s">
        <v>1065</v>
      </c>
      <c r="B13514" s="0" t="s">
        <v>98</v>
      </c>
      <c r="F13514" s="6" t="n">
        <f aca="false">PL!F112+Sens!F13505*Seg!F82+sbc_r*Seg!F82</f>
        <v>26.2049549828959</v>
      </c>
      <c r="G13514" s="6" t="n">
        <f aca="false">PL!G112+Sens!G13505*Seg!G82+sbc_r*Seg!G82</f>
        <v>26.8405806403664</v>
      </c>
      <c r="H13514" s="6" t="n">
        <f aca="false">PL!H112+Sens!H13505*Seg!H82+sbc_r*Seg!H82</f>
        <v>27.7352032470138</v>
      </c>
      <c r="I13514" s="6" t="n">
        <f aca="false">PL!I112+Sens!I13505*Seg!I82+sbc_r*Seg!I82</f>
        <v>28.8569155956094</v>
      </c>
      <c r="J13514" s="6" t="n">
        <f aca="false">PL!J112+Sens!J13505*Seg!J82+sbc_r*Seg!J82</f>
        <v>30.1744385645725</v>
      </c>
      <c r="K13514" s="6" t="n">
        <f aca="false">PL!K112+Sens!K13505*Seg!K82+sbc_r*Seg!K82</f>
        <v>31.6584976186802</v>
      </c>
    </row>
    <row r="13515" customFormat="false" ht="17.15" hidden="false" customHeight="false" outlineLevel="0" collapsed="false">
      <c r="A13515" s="0" t="s">
        <v>1066</v>
      </c>
      <c r="B13515" s="0" t="s">
        <v>98</v>
      </c>
      <c r="F13515" s="6" t="n">
        <f aca="false">(Sens!F13514-Sens!F13510)*Seg!F78/(Seg!F78+Seg!F80)</f>
        <v>8.21889831690819</v>
      </c>
      <c r="G13515" s="6" t="n">
        <f aca="false">(Sens!G13514-Sens!G13510)*Seg!G78/(Seg!G78+Seg!G80)</f>
        <v>7.82984014749099</v>
      </c>
      <c r="H13515" s="6" t="n">
        <f aca="false">(Sens!H13514-Sens!H13510)*Seg!H78/(Seg!H78+Seg!H80)</f>
        <v>7.5999849964554</v>
      </c>
      <c r="I13515" s="6" t="n">
        <f aca="false">(Sens!I13514-Sens!I13510)*Seg!I78/(Seg!I78+Seg!I80)</f>
        <v>7.51221089422364</v>
      </c>
      <c r="J13515" s="6" t="n">
        <f aca="false">(Sens!J13514-Sens!J13510)*Seg!J78/(Seg!J78+Seg!J80)</f>
        <v>7.55622411401827</v>
      </c>
      <c r="K13515" s="6" t="n">
        <f aca="false">(Sens!K13514-Sens!K13510)*Seg!K78/(Seg!K78+Seg!K80)</f>
        <v>7.72822064011532</v>
      </c>
    </row>
    <row r="13516" customFormat="false" ht="17.15" hidden="false" customHeight="false" outlineLevel="0" collapsed="false">
      <c r="A13516" s="0" t="s">
        <v>1067</v>
      </c>
      <c r="B13516" s="0" t="s">
        <v>98</v>
      </c>
      <c r="F13516" s="6" t="n">
        <f aca="false">Sens!F13514-Sens!F13510-Sens!F13515</f>
        <v>6.77388596713263</v>
      </c>
      <c r="G13516" s="6" t="n">
        <f aca="false">Sens!G13514-Sens!G13510-Sens!G13515</f>
        <v>6.71251974178949</v>
      </c>
      <c r="H13516" s="6" t="n">
        <f aca="false">Sens!H13514-Sens!H13510-Sens!H13515</f>
        <v>6.70875211160101</v>
      </c>
      <c r="I13516" s="6" t="n">
        <f aca="false">Sens!I13514-Sens!I13510-Sens!I13515</f>
        <v>6.76040993286883</v>
      </c>
      <c r="J13516" s="6" t="n">
        <f aca="false">Sens!J13514-Sens!J13510-Sens!J13515</f>
        <v>6.86523172447386</v>
      </c>
      <c r="K13516" s="6" t="n">
        <f aca="false">Sens!K13514-Sens!K13510-Sens!K13515</f>
        <v>7.02149972151092</v>
      </c>
    </row>
    <row r="13517" customFormat="false" ht="17.15" hidden="false" customHeight="false" outlineLevel="0" collapsed="false">
      <c r="A13517" s="0" t="s">
        <v>1068</v>
      </c>
      <c r="B13517" s="0" t="s">
        <v>98</v>
      </c>
      <c r="F13517" s="6" t="n">
        <f aca="false">Sens!F13511-tax_f*(Sens!F13511-Thesis!F138)-Thesis!F135</f>
        <v>-122.366710075738</v>
      </c>
      <c r="G13517" s="6" t="n">
        <f aca="false">Sens!G13511-tax_f*(Sens!G13511-Thesis!G138)-Thesis!G135</f>
        <v>-108.130935015143</v>
      </c>
      <c r="H13517" s="6" t="n">
        <f aca="false">Sens!H13511-tax_f*(Sens!H13511-Thesis!H138)-Thesis!H135</f>
        <v>-85.7372579155142</v>
      </c>
      <c r="I13517" s="6" t="n">
        <f aca="false">Sens!I13511-tax_f*(Sens!I13511-Thesis!I138)-Thesis!I135</f>
        <v>-32.0937617822731</v>
      </c>
      <c r="J13517" s="6" t="n">
        <f aca="false">Sens!J13511-tax_f*(Sens!J13511-Thesis!J138)-Thesis!J135</f>
        <v>27.7659608174853</v>
      </c>
      <c r="K13517" s="6" t="n">
        <f aca="false">Sens!K13511-tax_f*(Sens!K13511-Thesis!K138)-Thesis!K135</f>
        <v>50.2765610680426</v>
      </c>
    </row>
    <row r="13518" customFormat="false" ht="17.15" hidden="false" customHeight="false" outlineLevel="0" collapsed="false">
      <c r="A13518" s="0" t="s">
        <v>1069</v>
      </c>
      <c r="B13518" s="0" t="s">
        <v>98</v>
      </c>
      <c r="F13518" s="6" t="n">
        <f aca="false">Sens!F13517*Sens!F13491</f>
        <v>-116.516770484359</v>
      </c>
      <c r="G13518" s="6" t="n">
        <f aca="false">Sens!G13517*Sens!G13491</f>
        <v>-93.3523860782335</v>
      </c>
      <c r="H13518" s="6" t="n">
        <f aca="false">Sens!H13517*Sens!H13491</f>
        <v>-67.1112555525725</v>
      </c>
      <c r="I13518" s="6" t="n">
        <f aca="false">Sens!I13517*Sens!I13491</f>
        <v>-22.7770098035666</v>
      </c>
      <c r="J13518" s="6" t="n">
        <f aca="false">Sens!J13517*Sens!J13491</f>
        <v>17.8664842224654</v>
      </c>
      <c r="K13518" s="6" t="n">
        <f aca="false">Sens!K13517*Sens!K13491</f>
        <v>29.3320399341769</v>
      </c>
    </row>
    <row r="13519" customFormat="false" ht="17.15" hidden="false" customHeight="false" outlineLevel="0" collapsed="false">
      <c r="A13519" s="0" t="s">
        <v>1070</v>
      </c>
      <c r="B13519" s="0" t="s">
        <v>98</v>
      </c>
      <c r="C13519" s="6" t="n">
        <f aca="false">(Sens!K13511-Thesis!K138)*(1-tax_f)*(1+g_tv)*(1-g_tv/(wacc+0))/(wacc-g_tv)/(1+wacc)^(Sens!K13490+mid_yr)</f>
        <v>142.100702662121</v>
      </c>
    </row>
    <row r="13520" customFormat="false" ht="17.15" hidden="false" customHeight="false" outlineLevel="0" collapsed="false">
      <c r="A13520" s="1" t="s">
        <v>1071</v>
      </c>
      <c r="B13520" s="0" t="s">
        <v>98</v>
      </c>
      <c r="C13520" s="6" t="n">
        <f aca="false">(SUM(Sens!F13518:K13518)+Sens!$C$13519)*(1+wacc)^t_roll</f>
        <v>-125.782434907083</v>
      </c>
      <c r="L13520" s="11" t="s">
        <v>1072</v>
      </c>
    </row>
    <row r="13521" customFormat="false" ht="17.15" hidden="false" customHeight="false" outlineLevel="0" collapsed="false">
      <c r="A13521" s="1" t="s">
        <v>1073</v>
      </c>
      <c r="B13521" s="0" t="s">
        <v>98</v>
      </c>
      <c r="C13521" s="6" t="n">
        <f aca="false">(w_ntm28*Thesis!G127+(1-w_ntm28)*Thesis!H127)*m_ai</f>
        <v>338.776008390068</v>
      </c>
    </row>
    <row r="13522" customFormat="false" ht="17.15" hidden="false" customHeight="false" outlineLevel="0" collapsed="false">
      <c r="A13522" s="1" t="s">
        <v>1074</v>
      </c>
      <c r="B13522" s="0" t="s">
        <v>98</v>
      </c>
      <c r="C13522" s="6" t="n">
        <f aca="false">(w_ntm28*Sens!G13513+(1-w_ntm28)*Sens!H13513)*m_cloud</f>
        <v>1064.09888458319</v>
      </c>
    </row>
    <row r="13523" customFormat="false" ht="17.15" hidden="false" customHeight="false" outlineLevel="0" collapsed="false">
      <c r="A13523" s="1" t="s">
        <v>1075</v>
      </c>
      <c r="B13523" s="0" t="s">
        <v>98</v>
      </c>
      <c r="C13523" s="6" t="n">
        <f aca="false">(w_ntm28*Sens!G13506+(1-w_ntm28)*Sens!H13506)*m_sw</f>
        <v>1044.04824539957</v>
      </c>
    </row>
    <row r="13524" customFormat="false" ht="17.15" hidden="false" customHeight="false" outlineLevel="0" collapsed="false">
      <c r="A13524" s="1" t="s">
        <v>1076</v>
      </c>
      <c r="B13524" s="0" t="s">
        <v>98</v>
      </c>
      <c r="C13524" s="6" t="n">
        <f aca="false">(w_ntm28*Sens!G13507+(1-w_ntm28)*Sens!H13507)*m_sw</f>
        <v>379.755670745447</v>
      </c>
    </row>
    <row r="13525" customFormat="false" ht="17.15" hidden="false" customHeight="false" outlineLevel="0" collapsed="false">
      <c r="A13525" s="1" t="s">
        <v>1077</v>
      </c>
      <c r="B13525" s="0" t="s">
        <v>98</v>
      </c>
      <c r="C13525" s="6" t="n">
        <f aca="false">(w_ntm28*Sens!G13508+(1-w_ntm28)*Sens!H13508)*m_sw</f>
        <v>109.434903376969</v>
      </c>
    </row>
    <row r="13526" customFormat="false" ht="17.15" hidden="false" customHeight="false" outlineLevel="0" collapsed="false">
      <c r="A13526" s="1" t="s">
        <v>1078</v>
      </c>
      <c r="B13526" s="0" t="s">
        <v>98</v>
      </c>
      <c r="C13526" s="6" t="n">
        <f aca="false">(w_ntm28*Sens!G13509+(1-w_ntm28)*Sens!H13509)*m_sw</f>
        <v>41.7511882786773</v>
      </c>
    </row>
    <row r="13527" customFormat="false" ht="17.15" hidden="false" customHeight="false" outlineLevel="0" collapsed="false">
      <c r="A13527" s="1" t="s">
        <v>1079</v>
      </c>
      <c r="B13527" s="0" t="s">
        <v>98</v>
      </c>
      <c r="C13527" s="6" t="n">
        <f aca="false">(w_ntm28*Sens!G13510+(1-w_ntm28)*Sens!H13510)*m_ads</f>
        <v>115.359643719254</v>
      </c>
    </row>
    <row r="13528" customFormat="false" ht="17.15" hidden="false" customHeight="false" outlineLevel="0" collapsed="false">
      <c r="A13528" s="1" t="s">
        <v>1080</v>
      </c>
      <c r="B13528" s="0" t="s">
        <v>98</v>
      </c>
      <c r="C13528" s="6" t="n">
        <f aca="false">(w_ntm28*Sens!G13515+(1-w_ntm28)*Sens!H13515)*m_game</f>
        <v>97.9523541428266</v>
      </c>
    </row>
    <row r="13529" customFormat="false" ht="17.15" hidden="false" customHeight="false" outlineLevel="0" collapsed="false">
      <c r="A13529" s="1" t="s">
        <v>1081</v>
      </c>
      <c r="B13529" s="0" t="s">
        <v>98</v>
      </c>
      <c r="C13529" s="6" t="n">
        <f aca="false">(w_ntm28*Sens!G13516+(1-w_ntm28)*Sens!H13516)*m_pc</f>
        <v>97.1125357928949</v>
      </c>
    </row>
    <row r="13530" customFormat="false" ht="17.15" hidden="false" customHeight="false" outlineLevel="0" collapsed="false">
      <c r="A13530" s="1" t="s">
        <v>1082</v>
      </c>
      <c r="B13530" s="0" t="s">
        <v>98</v>
      </c>
      <c r="C13530" s="6" t="n">
        <f aca="false">Sens!$C$13520+Sens!$C$13522+Sens!$C$13523+Sens!$C$13524+Sens!$C$13525+Sens!$C$13526+Sens!$C$13527+Sens!$C$13528+Sens!$C$13529</f>
        <v>2823.73099113174</v>
      </c>
    </row>
    <row r="13531" customFormat="false" ht="17.15" hidden="false" customHeight="false" outlineLevel="0" collapsed="false">
      <c r="A13531" s="1" t="s">
        <v>1000</v>
      </c>
      <c r="B13531" s="0" t="s">
        <v>98</v>
      </c>
      <c r="C13531" s="6" t="n">
        <f aca="false">CF!F94+oai_v-CF!F83</f>
        <v>106.814034990727</v>
      </c>
      <c r="L13531" s="1" t="s">
        <v>1083</v>
      </c>
    </row>
    <row r="13532" customFormat="false" ht="15" hidden="false" customHeight="false" outlineLevel="0" collapsed="false">
      <c r="A13532" s="1" t="s">
        <v>1001</v>
      </c>
      <c r="B13532" s="0" t="s">
        <v>75</v>
      </c>
      <c r="C13532" s="5" t="n">
        <f aca="false">(Sens!$C$13530+Sens!$C$13531)/CF!F96</f>
        <v>392.203563453221</v>
      </c>
    </row>
    <row r="13533" customFormat="false" ht="17.15" hidden="false" customHeight="false" outlineLevel="0" collapsed="false">
      <c r="A13533" s="1" t="s">
        <v>1084</v>
      </c>
      <c r="B13533" s="0" t="s">
        <v>75</v>
      </c>
      <c r="C13533" s="5" t="n">
        <f aca="false">w_dcf*Sens!$C$13504+(1-w_dcf)*Sens!$C$13532</f>
        <v>388.403660627282</v>
      </c>
    </row>
    <row r="13534" customFormat="false" ht="17.15" hidden="false" customHeight="false" outlineLevel="0" collapsed="false">
      <c r="A13534" s="3" t="s">
        <v>1584</v>
      </c>
    </row>
    <row r="13535" customFormat="false" ht="15" hidden="false" customHeight="false" outlineLevel="0" collapsed="false">
      <c r="A13535" s="4" t="s">
        <v>43</v>
      </c>
      <c r="B13535" s="4" t="s">
        <v>65</v>
      </c>
      <c r="C13535" s="20" t="s">
        <v>788</v>
      </c>
      <c r="D13535" s="20" t="s">
        <v>789</v>
      </c>
      <c r="E13535" s="20" t="s">
        <v>790</v>
      </c>
      <c r="F13535" s="20" t="s">
        <v>791</v>
      </c>
      <c r="G13535" s="20" t="s">
        <v>792</v>
      </c>
      <c r="H13535" s="20" t="s">
        <v>793</v>
      </c>
      <c r="I13535" s="20" t="s">
        <v>794</v>
      </c>
      <c r="J13535" s="20" t="s">
        <v>795</v>
      </c>
      <c r="K13535" s="20" t="s">
        <v>796</v>
      </c>
      <c r="L13535" s="4" t="s">
        <v>47</v>
      </c>
    </row>
    <row r="13536" customFormat="false" ht="15" hidden="false" customHeight="false" outlineLevel="0" collapsed="false">
      <c r="A13536" s="1" t="s">
        <v>1042</v>
      </c>
      <c r="B13536" s="1" t="s">
        <v>235</v>
      </c>
      <c r="F13536" s="36" t="n">
        <f aca="false">Thesis!F6-base_fy-mid_yr</f>
        <v>0.5</v>
      </c>
      <c r="G13536" s="36" t="n">
        <f aca="false">Thesis!G6-base_fy-mid_yr</f>
        <v>1.5</v>
      </c>
      <c r="H13536" s="36" t="n">
        <f aca="false">Thesis!H6-base_fy-mid_yr</f>
        <v>2.5</v>
      </c>
      <c r="I13536" s="36" t="n">
        <f aca="false">Thesis!I6-base_fy-mid_yr</f>
        <v>3.5</v>
      </c>
      <c r="J13536" s="36" t="n">
        <f aca="false">Thesis!J6-base_fy-mid_yr</f>
        <v>4.5</v>
      </c>
      <c r="K13536" s="36" t="n">
        <f aca="false">Thesis!K6-base_fy-mid_yr</f>
        <v>5.5</v>
      </c>
    </row>
    <row r="13537" customFormat="false" ht="15" hidden="false" customHeight="false" outlineLevel="0" collapsed="false">
      <c r="A13537" s="1" t="s">
        <v>1043</v>
      </c>
      <c r="B13537" s="0" t="s">
        <v>185</v>
      </c>
      <c r="F13537" s="14" t="n">
        <f aca="false">1/(1+wacc)^Sens!F13536</f>
        <v>0.952193373608246</v>
      </c>
      <c r="G13537" s="14" t="n">
        <f aca="false">1/(1+wacc)^Sens!G13536</f>
        <v>0.863327280626589</v>
      </c>
      <c r="H13537" s="14" t="n">
        <f aca="false">1/(1+wacc)^Sens!H13536</f>
        <v>0.782754862754115</v>
      </c>
      <c r="I13537" s="14" t="n">
        <f aca="false">1/(1+wacc)^Sens!I13536</f>
        <v>0.709702089711011</v>
      </c>
      <c r="J13537" s="14" t="n">
        <f aca="false">1/(1+wacc)^Sens!J13536</f>
        <v>0.643467169744551</v>
      </c>
      <c r="K13537" s="14" t="n">
        <f aca="false">1/(1+wacc)^Sens!K13536</f>
        <v>0.583413807767797</v>
      </c>
    </row>
    <row r="13538" customFormat="false" ht="17.15" hidden="false" customHeight="false" outlineLevel="0" collapsed="false">
      <c r="A13538" s="1" t="s">
        <v>1044</v>
      </c>
      <c r="B13538" s="0" t="s">
        <v>98</v>
      </c>
      <c r="F13538" s="6" t="n">
        <f aca="false">CF!F21-CF!F19-CF!F24+Thesis!F44*(1-tax_f)</f>
        <v>9.29995994594013</v>
      </c>
      <c r="G13538" s="6" t="n">
        <f aca="false">CF!G21-CF!G19-CF!G24+Thesis!G44*(1-tax_f)</f>
        <v>55.6803799901549</v>
      </c>
      <c r="H13538" s="6" t="n">
        <f aca="false">CF!H21-CF!H19-CF!H24+Thesis!H44*(1-tax_f)</f>
        <v>114.6308681267</v>
      </c>
      <c r="I13538" s="6" t="n">
        <f aca="false">CF!I21-CF!I19-CF!I24+Thesis!I44*(1-tax_f)</f>
        <v>192.960687587037</v>
      </c>
      <c r="J13538" s="6" t="n">
        <f aca="false">CF!J21-CF!J19-CF!J24+Thesis!J44*(1-tax_f)</f>
        <v>273.742251264366</v>
      </c>
      <c r="K13538" s="6" t="n">
        <f aca="false">CF!K21-CF!K19-CF!K24+Thesis!K44*(1-tax_f)</f>
        <v>313.491842465765</v>
      </c>
      <c r="L13538" s="1" t="s">
        <v>1045</v>
      </c>
    </row>
    <row r="13539" customFormat="false" ht="15" hidden="false" customHeight="false" outlineLevel="0" collapsed="false">
      <c r="A13539" s="1" t="s">
        <v>1046</v>
      </c>
      <c r="B13539" s="0" t="s">
        <v>98</v>
      </c>
      <c r="F13539" s="6" t="n">
        <f aca="false">Sens!F13538*Sens!F13537</f>
        <v>8.8553602353463</v>
      </c>
      <c r="G13539" s="6" t="n">
        <f aca="false">Sens!G13538*Sens!G13537</f>
        <v>48.0703910411556</v>
      </c>
      <c r="H13539" s="6" t="n">
        <f aca="false">Sens!H13538*Sens!H13537</f>
        <v>89.7278694479</v>
      </c>
      <c r="I13539" s="6" t="n">
        <f aca="false">Sens!I13538*Sens!I13537</f>
        <v>136.944603212593</v>
      </c>
      <c r="J13539" s="6" t="n">
        <f aca="false">Sens!J13538*Sens!J13537</f>
        <v>176.144151660583</v>
      </c>
      <c r="K13539" s="6" t="n">
        <f aca="false">Sens!K13538*Sens!K13537</f>
        <v>182.895469517094</v>
      </c>
    </row>
    <row r="13540" customFormat="false" ht="17.15" hidden="false" customHeight="false" outlineLevel="0" collapsed="false">
      <c r="A13540" s="1" t="s">
        <v>1047</v>
      </c>
      <c r="B13540" s="0" t="s">
        <v>98</v>
      </c>
      <c r="C13540" s="6" t="n">
        <f aca="false">SUM(Sens!F13539:K13539)</f>
        <v>642.637845114673</v>
      </c>
    </row>
    <row r="13541" customFormat="false" ht="17.15" hidden="false" customHeight="false" outlineLevel="0" collapsed="false">
      <c r="A13541" s="1" t="s">
        <v>1048</v>
      </c>
      <c r="B13541" s="0" t="s">
        <v>98</v>
      </c>
      <c r="C13541" s="6" t="n">
        <f aca="false">PL!K39*(1+g_tv)*(1-tax_f)</f>
        <v>325.338496025769</v>
      </c>
    </row>
    <row r="13542" customFormat="false" ht="17.15" hidden="false" customHeight="false" outlineLevel="0" collapsed="false">
      <c r="A13542" s="1" t="s">
        <v>1049</v>
      </c>
      <c r="B13542" s="0" t="s">
        <v>98</v>
      </c>
      <c r="C13542" s="6" t="n">
        <f aca="false">Sens!$C$13541*(1-g_tv/(wacc+ronic_prem))</f>
        <v>230.519339596203</v>
      </c>
    </row>
    <row r="13543" customFormat="false" ht="17.15" hidden="false" customHeight="false" outlineLevel="0" collapsed="false">
      <c r="A13543" s="1" t="s">
        <v>1050</v>
      </c>
      <c r="B13543" s="0" t="s">
        <v>98</v>
      </c>
      <c r="C13543" s="6" t="n">
        <f aca="false">Sens!$C$13542/(wacc-g_tv)</f>
        <v>3160.63854765221</v>
      </c>
    </row>
    <row r="13544" customFormat="false" ht="15" hidden="false" customHeight="false" outlineLevel="0" collapsed="false">
      <c r="A13544" s="1" t="s">
        <v>1051</v>
      </c>
      <c r="B13544" s="0" t="s">
        <v>98</v>
      </c>
      <c r="C13544" s="6" t="n">
        <f aca="false">Sens!$C$13543/(1+wacc)^(Sens!K13536+mid_yr)</f>
        <v>1755.80665513196</v>
      </c>
    </row>
    <row r="13545" customFormat="false" ht="17.15" hidden="false" customHeight="false" outlineLevel="0" collapsed="false">
      <c r="A13545" s="0" t="s">
        <v>972</v>
      </c>
      <c r="B13545" s="0" t="s">
        <v>98</v>
      </c>
      <c r="C13545" s="6" t="n">
        <f aca="false">Sens!$C$13540+Sens!$C$13544</f>
        <v>2398.44450024663</v>
      </c>
    </row>
    <row r="13546" customFormat="false" ht="15" hidden="false" customHeight="false" outlineLevel="0" collapsed="false">
      <c r="A13546" s="1" t="s">
        <v>973</v>
      </c>
      <c r="B13546" s="0" t="s">
        <v>129</v>
      </c>
      <c r="C13546" s="7" t="n">
        <f aca="false">Sens!$C$13544/Sens!$C$13545</f>
        <v>0.732060572988622</v>
      </c>
    </row>
    <row r="13547" customFormat="false" ht="17.15" hidden="false" customHeight="false" outlineLevel="0" collapsed="false">
      <c r="A13547" s="1" t="s">
        <v>1052</v>
      </c>
      <c r="B13547" s="0" t="s">
        <v>98</v>
      </c>
      <c r="C13547" s="6" t="n">
        <f aca="false">Sens!$C$13545+CF!E36-CF!E25+oai_v</f>
        <v>2532.95750024663</v>
      </c>
    </row>
    <row r="13548" customFormat="false" ht="17.15" hidden="false" customHeight="false" outlineLevel="0" collapsed="false">
      <c r="A13548" s="0" t="s">
        <v>980</v>
      </c>
      <c r="B13548" s="0" t="s">
        <v>75</v>
      </c>
      <c r="C13548" s="5" t="n">
        <f aca="false">Sens!$C$13547/sh_dil26</f>
        <v>339.857439990155</v>
      </c>
    </row>
    <row r="13549" customFormat="false" ht="15" hidden="false" customHeight="false" outlineLevel="0" collapsed="false">
      <c r="A13549" s="1" t="s">
        <v>1053</v>
      </c>
      <c r="B13549" s="0" t="s">
        <v>75</v>
      </c>
      <c r="C13549" s="8" t="n">
        <f aca="false">dps_27+CF!G28*roll_div_q/q_per_yr</f>
        <v>4.8895</v>
      </c>
    </row>
    <row r="13550" customFormat="false" ht="17.15" hidden="false" customHeight="false" outlineLevel="0" collapsed="false">
      <c r="A13550" s="0" t="s">
        <v>1054</v>
      </c>
      <c r="B13550" s="0" t="s">
        <v>75</v>
      </c>
      <c r="C13550" s="5" t="n">
        <f aca="false">Sens!$C$13548*(1+wacc)^t_roll-Sens!$C$13549</f>
        <v>382.117514595532</v>
      </c>
    </row>
    <row r="13551" customFormat="false" ht="17.15" hidden="false" customHeight="false" outlineLevel="0" collapsed="false">
      <c r="A13551" s="1" t="s">
        <v>1055</v>
      </c>
      <c r="B13551" s="0" t="s">
        <v>129</v>
      </c>
      <c r="F13551" s="7" t="n">
        <f aca="false">CF!F17/(Seg!F29-Thesis!F23)</f>
        <v>0.0681773598226415</v>
      </c>
      <c r="G13551" s="7" t="n">
        <f aca="false">CF!G17/(Seg!G29-Thesis!G23)</f>
        <v>0.0650385409375172</v>
      </c>
      <c r="H13551" s="7" t="n">
        <f aca="false">CF!H17/(Seg!H29-Thesis!H23)</f>
        <v>0.063382542471986</v>
      </c>
      <c r="I13551" s="7" t="n">
        <f aca="false">CF!I17/(Seg!I29-Thesis!I23)</f>
        <v>0.0630998138876076</v>
      </c>
      <c r="J13551" s="7" t="n">
        <f aca="false">CF!J17/(Seg!J29-Thesis!J23)</f>
        <v>0.0638399980286975</v>
      </c>
      <c r="K13551" s="7" t="n">
        <f aca="false">CF!K17/(Seg!K29-Thesis!K23)</f>
        <v>0.0651531082402687</v>
      </c>
    </row>
    <row r="13552" customFormat="false" ht="17.15" hidden="false" customHeight="false" outlineLevel="0" collapsed="false">
      <c r="A13552" s="0" t="s">
        <v>1056</v>
      </c>
      <c r="B13552" s="0" t="s">
        <v>98</v>
      </c>
      <c r="F13552" s="6" t="n">
        <f aca="false">Seg!F14*(al_m365+Sens!F13551+sbc_r)</f>
        <v>84.944046606333</v>
      </c>
      <c r="G13552" s="6" t="n">
        <f aca="false">Seg!G14*(al_m365+Sens!G13551+sbc_r)</f>
        <v>99.4236143320739</v>
      </c>
      <c r="H13552" s="6" t="n">
        <f aca="false">Seg!H14*(al_m365+Sens!H13551+sbc_r)</f>
        <v>114.068697186163</v>
      </c>
      <c r="I13552" s="6" t="n">
        <f aca="false">Seg!I14*(al_m365+Sens!I13551+sbc_r)</f>
        <v>127.196415789369</v>
      </c>
      <c r="J13552" s="6" t="n">
        <f aca="false">Seg!J14*(al_m365+Sens!J13551+sbc_r)</f>
        <v>138.619575691419</v>
      </c>
      <c r="K13552" s="6" t="n">
        <f aca="false">Seg!K14*(al_m365+Sens!K13551+sbc_r)</f>
        <v>149.659768267063</v>
      </c>
      <c r="L13552" s="11" t="s">
        <v>1057</v>
      </c>
    </row>
    <row r="13553" customFormat="false" ht="17.15" hidden="false" customHeight="false" outlineLevel="0" collapsed="false">
      <c r="A13553" s="0" t="s">
        <v>1058</v>
      </c>
      <c r="B13553" s="0" t="s">
        <v>98</v>
      </c>
      <c r="F13553" s="6" t="n">
        <f aca="false">Seg!F15*(al_lic+Sens!F13551+sbc_r)</f>
        <v>33.4285095904825</v>
      </c>
      <c r="G13553" s="6" t="n">
        <f aca="false">Seg!G15*(al_lic+Sens!G13551+sbc_r)</f>
        <v>34.7161826947861</v>
      </c>
      <c r="H13553" s="6" t="n">
        <f aca="false">Seg!H15*(al_lic+Sens!H13551+sbc_r)</f>
        <v>35.9223654002493</v>
      </c>
      <c r="I13553" s="6" t="n">
        <f aca="false">Seg!I15*(al_lic+Sens!I13551+sbc_r)</f>
        <v>37.0298325864501</v>
      </c>
      <c r="J13553" s="6" t="n">
        <f aca="false">Seg!J15*(al_lic+Sens!J13551+sbc_r)</f>
        <v>38.0103325842314</v>
      </c>
      <c r="K13553" s="6" t="n">
        <f aca="false">Seg!K15*(al_lic+Sens!K13551+sbc_r)</f>
        <v>38.8303473189322</v>
      </c>
    </row>
    <row r="13554" customFormat="false" ht="17.15" hidden="false" customHeight="false" outlineLevel="0" collapsed="false">
      <c r="A13554" s="0" t="s">
        <v>1059</v>
      </c>
      <c r="B13554" s="0" t="s">
        <v>98</v>
      </c>
      <c r="F13554" s="6" t="n">
        <f aca="false">Seg!F17*(al_ind+Sens!F13551+sbc_r)</f>
        <v>9.06719306746208</v>
      </c>
      <c r="G13554" s="6" t="n">
        <f aca="false">Seg!G17*(al_ind+Sens!G13551+sbc_r)</f>
        <v>9.83485541633448</v>
      </c>
      <c r="H13554" s="6" t="n">
        <f aca="false">Seg!H17*(al_ind+Sens!H13551+sbc_r)</f>
        <v>10.6498544617516</v>
      </c>
      <c r="I13554" s="6" t="n">
        <f aca="false">Seg!I17*(al_ind+Sens!I13551+sbc_r)</f>
        <v>11.5103515303299</v>
      </c>
      <c r="J13554" s="6" t="n">
        <f aca="false">Seg!J17*(al_ind+Sens!J13551+sbc_r)</f>
        <v>12.4055032067278</v>
      </c>
      <c r="K13554" s="6" t="n">
        <f aca="false">Seg!K17*(al_ind+Sens!K13551+sbc_r)</f>
        <v>13.3173308472897</v>
      </c>
    </row>
    <row r="13555" customFormat="false" ht="17.15" hidden="false" customHeight="false" outlineLevel="0" collapsed="false">
      <c r="A13555" s="0" t="s">
        <v>1060</v>
      </c>
      <c r="B13555" s="0" t="s">
        <v>98</v>
      </c>
      <c r="F13555" s="6" t="n">
        <f aca="false">Seg!F19*(al_fro+Sens!F13551+sbc_r)</f>
        <v>3.56887902446295</v>
      </c>
      <c r="G13555" s="6" t="n">
        <f aca="false">Seg!G19*(al_fro+Sens!G13551+sbc_r)</f>
        <v>3.77600302676241</v>
      </c>
      <c r="H13555" s="6" t="n">
        <f aca="false">Seg!H19*(al_fro+Sens!H13551+sbc_r)</f>
        <v>4.01322967965482</v>
      </c>
      <c r="I13555" s="6" t="n">
        <f aca="false">Seg!I19*(al_fro+Sens!I13551+sbc_r)</f>
        <v>4.28368437397841</v>
      </c>
      <c r="J13555" s="6" t="n">
        <f aca="false">Seg!J19*(al_fro+Sens!J13551+sbc_r)</f>
        <v>4.58803182845156</v>
      </c>
      <c r="K13555" s="6" t="n">
        <f aca="false">Seg!K19*(al_fro+Sens!K13551+sbc_r)</f>
        <v>4.92526073140255</v>
      </c>
    </row>
    <row r="13556" customFormat="false" ht="17.15" hidden="false" customHeight="false" outlineLevel="0" collapsed="false">
      <c r="A13556" s="0" t="s">
        <v>1061</v>
      </c>
      <c r="B13556" s="0" t="s">
        <v>98</v>
      </c>
      <c r="F13556" s="6" t="n">
        <f aca="false">Seg!F22*(al_srch+Sens!F13551+sbc_r)</f>
        <v>11.1981144415922</v>
      </c>
      <c r="G13556" s="6" t="n">
        <f aca="false">Seg!G22*(al_srch+Sens!G13551+sbc_r)</f>
        <v>12.2607925441521</v>
      </c>
      <c r="H13556" s="6" t="n">
        <f aca="false">Seg!H22*(al_srch+Sens!H13551+sbc_r)</f>
        <v>13.3712787172501</v>
      </c>
      <c r="I13556" s="6" t="n">
        <f aca="false">Seg!I22*(al_srch+Sens!I13551+sbc_r)</f>
        <v>14.5205713773955</v>
      </c>
      <c r="J13556" s="6" t="n">
        <f aca="false">Seg!J22*(al_srch+Sens!J13551+sbc_r)</f>
        <v>15.6873363367184</v>
      </c>
      <c r="K13556" s="6" t="n">
        <f aca="false">Seg!K22*(al_srch+Sens!K13551+sbc_r)</f>
        <v>16.8403848378749</v>
      </c>
    </row>
    <row r="13557" customFormat="false" ht="17.15" hidden="false" customHeight="false" outlineLevel="0" collapsed="false">
      <c r="A13557" s="0" t="s">
        <v>1062</v>
      </c>
      <c r="B13557" s="0" t="s">
        <v>98</v>
      </c>
      <c r="F13557" s="6" t="n">
        <f aca="false">Thesis!F29-Thesis!F30+Thesis!F44</f>
        <v>55.6743052939671</v>
      </c>
      <c r="G13557" s="6" t="n">
        <f aca="false">Thesis!G29-Thesis!G30+Thesis!G44</f>
        <v>100.2533125707</v>
      </c>
      <c r="H13557" s="6" t="n">
        <f aca="false">Thesis!H29-Thesis!H30+Thesis!H44</f>
        <v>152.31255014234</v>
      </c>
      <c r="I13557" s="6" t="n">
        <f aca="false">Thesis!I29-Thesis!I30+Thesis!I44</f>
        <v>194.041990076394</v>
      </c>
      <c r="J13557" s="6" t="n">
        <f aca="false">Thesis!J29-Thesis!J30+Thesis!J44</f>
        <v>223.463148273617</v>
      </c>
      <c r="K13557" s="6" t="n">
        <f aca="false">Thesis!K29-Thesis!K30+Thesis!K44</f>
        <v>241.312249272487</v>
      </c>
    </row>
    <row r="13558" customFormat="false" ht="17.15" hidden="false" customHeight="false" outlineLevel="0" collapsed="false">
      <c r="A13558" s="0" t="s">
        <v>1063</v>
      </c>
      <c r="B13558" s="0" t="s">
        <v>98</v>
      </c>
      <c r="F13558" s="6" t="n">
        <f aca="false">PL!F32+Thesis!F44+Thesis!F40+Sens!F13551*(Seg!F21-Thesis!F23)+sbc_r*Seg!F21</f>
        <v>247.769309676659</v>
      </c>
      <c r="G13558" s="6" t="n">
        <f aca="false">PL!G32+Thesis!G44+Thesis!G40+Sens!G13551*(Seg!G21-Thesis!G23)+sbc_r*Seg!G21</f>
        <v>321.625870182006</v>
      </c>
      <c r="H13558" s="6" t="n">
        <f aca="false">PL!H32+Thesis!H44+Thesis!H40+Sens!H13551*(Seg!H21-Thesis!H23)+sbc_r*Seg!H21</f>
        <v>403.668756829163</v>
      </c>
      <c r="I13558" s="6" t="n">
        <f aca="false">PL!I32+Thesis!I44+Thesis!I40+Sens!I13551*(Seg!I21-Thesis!I23)+sbc_r*Seg!I21</f>
        <v>473.311817063846</v>
      </c>
      <c r="J13558" s="6" t="n">
        <f aca="false">PL!J32+Thesis!J44+Thesis!J40+Sens!J13551*(Seg!J21-Thesis!J23)+sbc_r*Seg!J21</f>
        <v>527.683171494685</v>
      </c>
      <c r="K13558" s="6" t="n">
        <f aca="false">PL!K32+Thesis!K44+Thesis!K40+Sens!K13551*(Seg!K21-Thesis!K23)+sbc_r*Seg!K21</f>
        <v>568.060513693045</v>
      </c>
    </row>
    <row r="13559" customFormat="false" ht="17.15" hidden="false" customHeight="false" outlineLevel="0" collapsed="false">
      <c r="A13559" s="0" t="s">
        <v>1064</v>
      </c>
      <c r="B13559" s="0" t="s">
        <v>98</v>
      </c>
      <c r="F13559" s="6" t="n">
        <f aca="false">Sens!F13558-Sens!F13552-Sens!F13553-Sens!F13554-Sens!F13555-Sens!F13557</f>
        <v>61.0863760939514</v>
      </c>
      <c r="G13559" s="6" t="n">
        <f aca="false">Sens!G13558-Sens!G13552-Sens!G13553-Sens!G13554-Sens!G13555-Sens!G13557</f>
        <v>73.6219021413484</v>
      </c>
      <c r="H13559" s="6" t="n">
        <f aca="false">Sens!H13558-Sens!H13552-Sens!H13553-Sens!H13554-Sens!H13555-Sens!H13557</f>
        <v>86.7020599590046</v>
      </c>
      <c r="I13559" s="6" t="n">
        <f aca="false">Sens!I13558-Sens!I13552-Sens!I13553-Sens!I13554-Sens!I13555-Sens!I13557</f>
        <v>99.2495427073239</v>
      </c>
      <c r="J13559" s="6" t="n">
        <f aca="false">Sens!J13558-Sens!J13552-Sens!J13553-Sens!J13554-Sens!J13555-Sens!J13557</f>
        <v>110.596579910238</v>
      </c>
      <c r="K13559" s="6" t="n">
        <f aca="false">Sens!K13558-Sens!K13552-Sens!K13553-Sens!K13554-Sens!K13555-Sens!K13557</f>
        <v>120.01555725587</v>
      </c>
    </row>
    <row r="13560" customFormat="false" ht="17.15" hidden="false" customHeight="false" outlineLevel="0" collapsed="false">
      <c r="A13560" s="0" t="s">
        <v>1065</v>
      </c>
      <c r="B13560" s="0" t="s">
        <v>98</v>
      </c>
      <c r="F13560" s="6" t="n">
        <f aca="false">PL!F34+Sens!F13551*Seg!F28+sbc_r*Seg!F28</f>
        <v>26.1717931813002</v>
      </c>
      <c r="G13560" s="6" t="n">
        <f aca="false">PL!G34+Sens!G13551*Seg!G28+sbc_r*Seg!G28</f>
        <v>26.7581197754446</v>
      </c>
      <c r="H13560" s="6" t="n">
        <f aca="false">PL!H34+Sens!H13551*Seg!H28+sbc_r*Seg!H28</f>
        <v>27.6201174920951</v>
      </c>
      <c r="I13560" s="6" t="n">
        <f aca="false">PL!I34+Sens!I13551*Seg!I28+sbc_r*Seg!I28</f>
        <v>28.7296306530919</v>
      </c>
      <c r="J13560" s="6" t="n">
        <f aca="false">PL!J34+Sens!J13551*Seg!J28+sbc_r*Seg!J28</f>
        <v>30.04749983899</v>
      </c>
      <c r="K13560" s="6" t="n">
        <f aca="false">PL!K34+Sens!K13551*Seg!K28+sbc_r*Seg!K28</f>
        <v>31.5292329023825</v>
      </c>
    </row>
    <row r="13561" customFormat="false" ht="17.15" hidden="false" customHeight="false" outlineLevel="0" collapsed="false">
      <c r="A13561" s="0" t="s">
        <v>1066</v>
      </c>
      <c r="B13561" s="0" t="s">
        <v>98</v>
      </c>
      <c r="F13561" s="6" t="n">
        <f aca="false">(Sens!F13560-Sens!F13556)*Seg!F24/(Seg!F24+Seg!F26)</f>
        <v>8.20842484359027</v>
      </c>
      <c r="G13561" s="6" t="n">
        <f aca="false">(Sens!G13560-Sens!G13556)*Seg!G24/(Seg!G24+Seg!G26)</f>
        <v>7.80559384110416</v>
      </c>
      <c r="H13561" s="6" t="n">
        <f aca="false">(Sens!H13560-Sens!H13556)*Seg!H24/(Seg!H24+Seg!H26)</f>
        <v>7.56817041839156</v>
      </c>
      <c r="I13561" s="6" t="n">
        <f aca="false">(Sens!I13560-Sens!I13556)*Seg!I24/(Seg!I24+Seg!I26)</f>
        <v>7.47875608696462</v>
      </c>
      <c r="J13561" s="6" t="n">
        <f aca="false">(Sens!J13560-Sens!J13556)*Seg!J24/(Seg!J24+Seg!J26)</f>
        <v>7.52410955955578</v>
      </c>
      <c r="K13561" s="6" t="n">
        <f aca="false">(Sens!K13560-Sens!K13556)*Seg!K24/(Seg!K24+Seg!K26)</f>
        <v>7.6963261681206</v>
      </c>
    </row>
    <row r="13562" customFormat="false" ht="17.15" hidden="false" customHeight="false" outlineLevel="0" collapsed="false">
      <c r="A13562" s="0" t="s">
        <v>1067</v>
      </c>
      <c r="B13562" s="0" t="s">
        <v>98</v>
      </c>
      <c r="F13562" s="6" t="n">
        <f aca="false">Sens!F13560-Sens!F13556-Sens!F13561</f>
        <v>6.76525389611778</v>
      </c>
      <c r="G13562" s="6" t="n">
        <f aca="false">Sens!G13560-Sens!G13556-Sens!G13561</f>
        <v>6.69173339018827</v>
      </c>
      <c r="H13562" s="6" t="n">
        <f aca="false">Sens!H13560-Sens!H13556-Sens!H13561</f>
        <v>6.68066835645346</v>
      </c>
      <c r="I13562" s="6" t="n">
        <f aca="false">Sens!I13560-Sens!I13556-Sens!I13561</f>
        <v>6.73030318873177</v>
      </c>
      <c r="J13562" s="6" t="n">
        <f aca="false">Sens!J13560-Sens!J13556-Sens!J13561</f>
        <v>6.83605394271588</v>
      </c>
      <c r="K13562" s="6" t="n">
        <f aca="false">Sens!K13560-Sens!K13556-Sens!K13561</f>
        <v>6.99252189638696</v>
      </c>
    </row>
    <row r="13563" customFormat="false" ht="17.15" hidden="false" customHeight="false" outlineLevel="0" collapsed="false">
      <c r="A13563" s="0" t="s">
        <v>1068</v>
      </c>
      <c r="B13563" s="0" t="s">
        <v>98</v>
      </c>
      <c r="F13563" s="6" t="n">
        <f aca="false">Sens!F13557-tax_f*(Sens!F13557-Thesis!F40)-Thesis!F37</f>
        <v>-116.98560144409</v>
      </c>
      <c r="G13563" s="6" t="n">
        <f aca="false">Sens!G13557-tax_f*(Sens!G13557-Thesis!G40)-Thesis!G37</f>
        <v>-91.2751837745719</v>
      </c>
      <c r="H13563" s="6" t="n">
        <f aca="false">Sens!H13557-tax_f*(Sens!H13557-Thesis!H40)-Thesis!H37</f>
        <v>-48.6867825979003</v>
      </c>
      <c r="I13563" s="6" t="n">
        <f aca="false">Sens!I13557-tax_f*(Sens!I13557-Thesis!I40)-Thesis!I37</f>
        <v>13.9193309033143</v>
      </c>
      <c r="J13563" s="6" t="n">
        <f aca="false">Sens!J13557-tax_f*(Sens!J13557-Thesis!J40)-Thesis!J37</f>
        <v>80.0897840853365</v>
      </c>
      <c r="K13563" s="6" t="n">
        <f aca="false">Sens!K13557-tax_f*(Sens!K13557-Thesis!K40)-Thesis!K37</f>
        <v>106.014893136948</v>
      </c>
    </row>
    <row r="13564" customFormat="false" ht="17.15" hidden="false" customHeight="false" outlineLevel="0" collapsed="false">
      <c r="A13564" s="0" t="s">
        <v>1069</v>
      </c>
      <c r="B13564" s="0" t="s">
        <v>98</v>
      </c>
      <c r="F13564" s="6" t="n">
        <f aca="false">Sens!F13563*Sens!F13537</f>
        <v>-111.392914502638</v>
      </c>
      <c r="G13564" s="6" t="n">
        <f aca="false">Sens!G13563*Sens!G13537</f>
        <v>-78.8003561967933</v>
      </c>
      <c r="H13564" s="6" t="n">
        <f aca="false">Sens!H13563*Sens!H13537</f>
        <v>-38.1098158303589</v>
      </c>
      <c r="I13564" s="6" t="n">
        <f aca="false">Sens!I13563*Sens!I13537</f>
        <v>9.87857822946124</v>
      </c>
      <c r="J13564" s="6" t="n">
        <f aca="false">Sens!J13563*Sens!J13537</f>
        <v>51.5351466908437</v>
      </c>
      <c r="K13564" s="6" t="n">
        <f aca="false">Sens!K13563*Sens!K13537</f>
        <v>61.8505524851231</v>
      </c>
    </row>
    <row r="13565" customFormat="false" ht="17.15" hidden="false" customHeight="false" outlineLevel="0" collapsed="false">
      <c r="A13565" s="0" t="s">
        <v>1070</v>
      </c>
      <c r="B13565" s="0" t="s">
        <v>98</v>
      </c>
      <c r="C13565" s="6" t="n">
        <f aca="false">(Sens!K13557-Thesis!K40)*(1-tax_f)*(1+g_tv)*(1-g_tv/(wacc+ronic_prem))/(wacc-g_tv)/(1+wacc)^(Sens!K13536+mid_yr)</f>
        <v>452.215034963772</v>
      </c>
    </row>
    <row r="13566" customFormat="false" ht="17.15" hidden="false" customHeight="false" outlineLevel="0" collapsed="false">
      <c r="A13566" s="1" t="s">
        <v>1071</v>
      </c>
      <c r="B13566" s="0" t="s">
        <v>98</v>
      </c>
      <c r="C13566" s="6" t="n">
        <f aca="false">(SUM(Sens!F13564:K13564)+Sens!$C$13565)*(1+wacc)^t_roll</f>
        <v>395.341160412867</v>
      </c>
      <c r="L13566" s="11" t="s">
        <v>1072</v>
      </c>
    </row>
    <row r="13567" customFormat="false" ht="17.15" hidden="false" customHeight="false" outlineLevel="0" collapsed="false">
      <c r="A13567" s="1" t="s">
        <v>1073</v>
      </c>
      <c r="B13567" s="0" t="s">
        <v>98</v>
      </c>
      <c r="C13567" s="6" t="n">
        <f aca="false">(w_ntm28*Thesis!G29+(1-w_ntm28)*Thesis!H29)*m_ai</f>
        <v>551.711134531404</v>
      </c>
    </row>
    <row r="13568" customFormat="false" ht="17.15" hidden="false" customHeight="false" outlineLevel="0" collapsed="false">
      <c r="A13568" s="1" t="s">
        <v>1074</v>
      </c>
      <c r="B13568" s="0" t="s">
        <v>98</v>
      </c>
      <c r="C13568" s="6" t="n">
        <f aca="false">(w_ntm28*Sens!G13559+(1-w_ntm28)*Sens!H13559)*m_own</f>
        <v>1219.91821097771</v>
      </c>
    </row>
    <row r="13569" customFormat="false" ht="17.15" hidden="false" customHeight="false" outlineLevel="0" collapsed="false">
      <c r="A13569" s="1" t="s">
        <v>1075</v>
      </c>
      <c r="B13569" s="0" t="s">
        <v>98</v>
      </c>
      <c r="C13569" s="6" t="n">
        <f aca="false">(w_ntm28*Sens!G13552+(1-w_ntm28)*Sens!H13552)*m_own</f>
        <v>1632.15882261697</v>
      </c>
    </row>
    <row r="13570" customFormat="false" ht="17.15" hidden="false" customHeight="false" outlineLevel="0" collapsed="false">
      <c r="A13570" s="1" t="s">
        <v>1076</v>
      </c>
      <c r="B13570" s="0" t="s">
        <v>98</v>
      </c>
      <c r="C13570" s="6" t="n">
        <f aca="false">(w_ntm28*Sens!G13553+(1-w_ntm28)*Sens!H13553)*m_own</f>
        <v>550.11300527487</v>
      </c>
    </row>
    <row r="13571" customFormat="false" ht="17.15" hidden="false" customHeight="false" outlineLevel="0" collapsed="false">
      <c r="A13571" s="1" t="s">
        <v>1077</v>
      </c>
      <c r="B13571" s="0" t="s">
        <v>98</v>
      </c>
      <c r="C13571" s="6" t="n">
        <f aca="false">(w_ntm28*Sens!G13554+(1-w_ntm28)*Sens!H13554)*m_own</f>
        <v>158.240902551821</v>
      </c>
    </row>
    <row r="13572" customFormat="false" ht="17.15" hidden="false" customHeight="false" outlineLevel="0" collapsed="false">
      <c r="A13572" s="1" t="s">
        <v>1078</v>
      </c>
      <c r="B13572" s="0" t="s">
        <v>98</v>
      </c>
      <c r="C13572" s="6" t="n">
        <f aca="false">(w_ntm28*Sens!G13555+(1-w_ntm28)*Sens!H13555)*m_own</f>
        <v>60.3717381548389</v>
      </c>
    </row>
    <row r="13573" customFormat="false" ht="17.15" hidden="false" customHeight="false" outlineLevel="0" collapsed="false">
      <c r="A13573" s="1" t="s">
        <v>1079</v>
      </c>
      <c r="B13573" s="0" t="s">
        <v>98</v>
      </c>
      <c r="C13573" s="6" t="n">
        <f aca="false">(w_ntm28*Sens!G13556+(1-w_ntm28)*Sens!H13556)*m_own</f>
        <v>197.752250846942</v>
      </c>
    </row>
    <row r="13574" customFormat="false" ht="17.15" hidden="false" customHeight="false" outlineLevel="0" collapsed="false">
      <c r="A13574" s="1" t="s">
        <v>1080</v>
      </c>
      <c r="B13574" s="0" t="s">
        <v>98</v>
      </c>
      <c r="C13574" s="6" t="n">
        <f aca="false">(w_ntm28*Sens!G13561+(1-w_ntm28)*Sens!H13561)*m_own</f>
        <v>121.110887944894</v>
      </c>
    </row>
    <row r="13575" customFormat="false" ht="17.15" hidden="false" customHeight="false" outlineLevel="0" collapsed="false">
      <c r="A13575" s="1" t="s">
        <v>1081</v>
      </c>
      <c r="B13575" s="0" t="s">
        <v>98</v>
      </c>
      <c r="C13575" s="6" t="n">
        <f aca="false">(w_ntm28*Sens!G13562+(1-w_ntm28)*Sens!H13562)*m_own</f>
        <v>104.803407672804</v>
      </c>
    </row>
    <row r="13576" customFormat="false" ht="17.15" hidden="false" customHeight="false" outlineLevel="0" collapsed="false">
      <c r="A13576" s="1" t="s">
        <v>1082</v>
      </c>
      <c r="B13576" s="0" t="s">
        <v>98</v>
      </c>
      <c r="C13576" s="6" t="n">
        <f aca="false">Sens!$C$13566+Sens!$C$13568+Sens!$C$13569+Sens!$C$13570+Sens!$C$13571+Sens!$C$13572+Sens!$C$13573+Sens!$C$13574+Sens!$C$13575</f>
        <v>4439.81038645372</v>
      </c>
    </row>
    <row r="13577" customFormat="false" ht="17.15" hidden="false" customHeight="false" outlineLevel="0" collapsed="false">
      <c r="A13577" s="1" t="s">
        <v>1000</v>
      </c>
      <c r="B13577" s="0" t="s">
        <v>98</v>
      </c>
      <c r="C13577" s="6" t="n">
        <f aca="false">CF!F36+oai_v-CF!F25</f>
        <v>115.079583119545</v>
      </c>
      <c r="L13577" s="1" t="s">
        <v>1083</v>
      </c>
    </row>
    <row r="13578" customFormat="false" ht="15" hidden="false" customHeight="false" outlineLevel="0" collapsed="false">
      <c r="A13578" s="1" t="s">
        <v>1001</v>
      </c>
      <c r="B13578" s="0" t="s">
        <v>75</v>
      </c>
      <c r="C13578" s="5" t="n">
        <f aca="false">(Sens!$C$13576+Sens!$C$13577)/CF!F38</f>
        <v>609.59448200927</v>
      </c>
    </row>
    <row r="13579" customFormat="false" ht="17.15" hidden="false" customHeight="false" outlineLevel="0" collapsed="false">
      <c r="A13579" s="1" t="s">
        <v>1084</v>
      </c>
      <c r="B13579" s="0" t="s">
        <v>75</v>
      </c>
      <c r="C13579" s="5" t="n">
        <f aca="false">w_dcf*Sens!$C$13550+(1-w_dcf)*Sens!$C$13578</f>
        <v>495.855998302401</v>
      </c>
    </row>
    <row r="13580" customFormat="false" ht="17.15" hidden="false" customHeight="false" outlineLevel="0" collapsed="false">
      <c r="A13580" s="3" t="s">
        <v>1585</v>
      </c>
    </row>
    <row r="13581" customFormat="false" ht="15" hidden="false" customHeight="false" outlineLevel="0" collapsed="false">
      <c r="A13581" s="4" t="s">
        <v>43</v>
      </c>
      <c r="B13581" s="4" t="s">
        <v>65</v>
      </c>
      <c r="C13581" s="20" t="s">
        <v>788</v>
      </c>
      <c r="D13581" s="20" t="s">
        <v>789</v>
      </c>
      <c r="E13581" s="20" t="s">
        <v>790</v>
      </c>
      <c r="F13581" s="20" t="s">
        <v>791</v>
      </c>
      <c r="G13581" s="20" t="s">
        <v>792</v>
      </c>
      <c r="H13581" s="20" t="s">
        <v>793</v>
      </c>
      <c r="I13581" s="20" t="s">
        <v>794</v>
      </c>
      <c r="J13581" s="20" t="s">
        <v>795</v>
      </c>
      <c r="K13581" s="20" t="s">
        <v>796</v>
      </c>
      <c r="L13581" s="4" t="s">
        <v>47</v>
      </c>
    </row>
    <row r="13582" customFormat="false" ht="15" hidden="false" customHeight="false" outlineLevel="0" collapsed="false">
      <c r="A13582" s="1" t="s">
        <v>1042</v>
      </c>
      <c r="B13582" s="1" t="s">
        <v>235</v>
      </c>
      <c r="F13582" s="36" t="n">
        <f aca="false">Thesis!F55-base_fy-mid_yr</f>
        <v>0.5</v>
      </c>
      <c r="G13582" s="36" t="n">
        <f aca="false">Thesis!G55-base_fy-mid_yr</f>
        <v>1.5</v>
      </c>
      <c r="H13582" s="36" t="n">
        <f aca="false">Thesis!H55-base_fy-mid_yr</f>
        <v>2.5</v>
      </c>
      <c r="I13582" s="36" t="n">
        <f aca="false">Thesis!I55-base_fy-mid_yr</f>
        <v>3.5</v>
      </c>
      <c r="J13582" s="36" t="n">
        <f aca="false">Thesis!J55-base_fy-mid_yr</f>
        <v>4.5</v>
      </c>
      <c r="K13582" s="36" t="n">
        <f aca="false">Thesis!K55-base_fy-mid_yr</f>
        <v>5.5</v>
      </c>
    </row>
    <row r="13583" customFormat="false" ht="15" hidden="false" customHeight="false" outlineLevel="0" collapsed="false">
      <c r="A13583" s="1" t="s">
        <v>1043</v>
      </c>
      <c r="B13583" s="0" t="s">
        <v>185</v>
      </c>
      <c r="F13583" s="14" t="n">
        <f aca="false">1/(1+wacc)^Sens!F13582</f>
        <v>0.952193373608246</v>
      </c>
      <c r="G13583" s="14" t="n">
        <f aca="false">1/(1+wacc)^Sens!G13582</f>
        <v>0.863327280626589</v>
      </c>
      <c r="H13583" s="14" t="n">
        <f aca="false">1/(1+wacc)^Sens!H13582</f>
        <v>0.782754862754115</v>
      </c>
      <c r="I13583" s="14" t="n">
        <f aca="false">1/(1+wacc)^Sens!I13582</f>
        <v>0.709702089711011</v>
      </c>
      <c r="J13583" s="14" t="n">
        <f aca="false">1/(1+wacc)^Sens!J13582</f>
        <v>0.643467169744551</v>
      </c>
      <c r="K13583" s="14" t="n">
        <f aca="false">1/(1+wacc)^Sens!K13582</f>
        <v>0.583413807767797</v>
      </c>
    </row>
    <row r="13584" customFormat="false" ht="17.15" hidden="false" customHeight="false" outlineLevel="0" collapsed="false">
      <c r="A13584" s="1" t="s">
        <v>1044</v>
      </c>
      <c r="B13584" s="0" t="s">
        <v>98</v>
      </c>
      <c r="F13584" s="6" t="n">
        <f aca="false">CF!F50-CF!F48-CF!F53+Thesis!F93*(1-tax_f)</f>
        <v>6.35272982150552</v>
      </c>
      <c r="G13584" s="6" t="n">
        <f aca="false">CF!G50-CF!G48-CF!G53+Thesis!G93*(1-tax_f)</f>
        <v>46.5420417324757</v>
      </c>
      <c r="H13584" s="6" t="n">
        <f aca="false">CF!H50-CF!H48-CF!H53+Thesis!H93*(1-tax_f)</f>
        <v>95.2982347048119</v>
      </c>
      <c r="I13584" s="6" t="n">
        <f aca="false">CF!I50-CF!I48-CF!I53+Thesis!I93*(1-tax_f)</f>
        <v>168.760108332815</v>
      </c>
      <c r="J13584" s="6" t="n">
        <f aca="false">CF!J50-CF!J48-CF!J53+Thesis!J93*(1-tax_f)</f>
        <v>246.10903404452</v>
      </c>
      <c r="K13584" s="6" t="n">
        <f aca="false">CF!K50-CF!K48-CF!K53+Thesis!K93*(1-tax_f)</f>
        <v>283.7365778763</v>
      </c>
      <c r="L13584" s="1" t="s">
        <v>1045</v>
      </c>
    </row>
    <row r="13585" customFormat="false" ht="15" hidden="false" customHeight="false" outlineLevel="0" collapsed="false">
      <c r="A13585" s="1" t="s">
        <v>1046</v>
      </c>
      <c r="B13585" s="0" t="s">
        <v>98</v>
      </c>
      <c r="F13585" s="6" t="n">
        <f aca="false">Sens!F13584*Sens!F13583</f>
        <v>6.04902724036105</v>
      </c>
      <c r="G13585" s="6" t="n">
        <f aca="false">Sens!G13584*Sens!G13583</f>
        <v>40.1810143237074</v>
      </c>
      <c r="H13585" s="6" t="n">
        <f aca="false">Sens!H13584*Sens!H13583</f>
        <v>74.5951566270745</v>
      </c>
      <c r="I13585" s="6" t="n">
        <f aca="false">Sens!I13584*Sens!I13583</f>
        <v>119.769401543655</v>
      </c>
      <c r="J13585" s="6" t="n">
        <f aca="false">Sens!J13584*Sens!J13583</f>
        <v>158.363083585193</v>
      </c>
      <c r="K13585" s="6" t="n">
        <f aca="false">Sens!K13584*Sens!K13583</f>
        <v>165.535837301816</v>
      </c>
    </row>
    <row r="13586" customFormat="false" ht="17.15" hidden="false" customHeight="false" outlineLevel="0" collapsed="false">
      <c r="A13586" s="1" t="s">
        <v>1047</v>
      </c>
      <c r="B13586" s="0" t="s">
        <v>98</v>
      </c>
      <c r="C13586" s="6" t="n">
        <f aca="false">SUM(Sens!F13585:K13585)</f>
        <v>564.493520621807</v>
      </c>
    </row>
    <row r="13587" customFormat="false" ht="17.15" hidden="false" customHeight="false" outlineLevel="0" collapsed="false">
      <c r="A13587" s="1" t="s">
        <v>1048</v>
      </c>
      <c r="B13587" s="0" t="s">
        <v>98</v>
      </c>
      <c r="C13587" s="6" t="n">
        <f aca="false">PL!K78*(1+g_tv)*(1-tax_f)</f>
        <v>293.76437880412</v>
      </c>
    </row>
    <row r="13588" customFormat="false" ht="17.15" hidden="false" customHeight="false" outlineLevel="0" collapsed="false">
      <c r="A13588" s="1" t="s">
        <v>1049</v>
      </c>
      <c r="B13588" s="0" t="s">
        <v>98</v>
      </c>
      <c r="C13588" s="6" t="n">
        <f aca="false">Sens!$C$13587*(1-g_tv/(wacc+ronic_prem))</f>
        <v>208.147426222351</v>
      </c>
    </row>
    <row r="13589" customFormat="false" ht="17.15" hidden="false" customHeight="false" outlineLevel="0" collapsed="false">
      <c r="A13589" s="1" t="s">
        <v>1050</v>
      </c>
      <c r="B13589" s="0" t="s">
        <v>98</v>
      </c>
      <c r="C13589" s="6" t="n">
        <f aca="false">Sens!$C$13588/(wacc-g_tv)</f>
        <v>2853.89841939229</v>
      </c>
    </row>
    <row r="13590" customFormat="false" ht="15" hidden="false" customHeight="false" outlineLevel="0" collapsed="false">
      <c r="A13590" s="1" t="s">
        <v>1051</v>
      </c>
      <c r="B13590" s="0" t="s">
        <v>98</v>
      </c>
      <c r="C13590" s="6" t="n">
        <f aca="false">Sens!$C$13589/(1+wacc)^(Sens!K13582+mid_yr)</f>
        <v>1585.40553191752</v>
      </c>
    </row>
    <row r="13591" customFormat="false" ht="17.15" hidden="false" customHeight="false" outlineLevel="0" collapsed="false">
      <c r="A13591" s="0" t="s">
        <v>972</v>
      </c>
      <c r="B13591" s="0" t="s">
        <v>98</v>
      </c>
      <c r="C13591" s="6" t="n">
        <f aca="false">Sens!$C$13586+Sens!$C$13590</f>
        <v>2149.89905253932</v>
      </c>
    </row>
    <row r="13592" customFormat="false" ht="15" hidden="false" customHeight="false" outlineLevel="0" collapsed="false">
      <c r="A13592" s="1" t="s">
        <v>973</v>
      </c>
      <c r="B13592" s="0" t="s">
        <v>129</v>
      </c>
      <c r="C13592" s="7" t="n">
        <f aca="false">Sens!$C$13590/Sens!$C$13591</f>
        <v>0.737432545981606</v>
      </c>
    </row>
    <row r="13593" customFormat="false" ht="17.15" hidden="false" customHeight="false" outlineLevel="0" collapsed="false">
      <c r="A13593" s="1" t="s">
        <v>1052</v>
      </c>
      <c r="B13593" s="0" t="s">
        <v>98</v>
      </c>
      <c r="C13593" s="6" t="n">
        <f aca="false">Sens!$C$13591+CF!E65-CF!E54+oai_v</f>
        <v>2284.41205253932</v>
      </c>
    </row>
    <row r="13594" customFormat="false" ht="17.15" hidden="false" customHeight="false" outlineLevel="0" collapsed="false">
      <c r="A13594" s="0" t="s">
        <v>980</v>
      </c>
      <c r="B13594" s="0" t="s">
        <v>75</v>
      </c>
      <c r="C13594" s="5" t="n">
        <f aca="false">Sens!$C$13593/sh_dil26</f>
        <v>306.509063805088</v>
      </c>
    </row>
    <row r="13595" customFormat="false" ht="15" hidden="false" customHeight="false" outlineLevel="0" collapsed="false">
      <c r="A13595" s="1" t="s">
        <v>1053</v>
      </c>
      <c r="B13595" s="0" t="s">
        <v>75</v>
      </c>
      <c r="C13595" s="8" t="n">
        <f aca="false">dps_27+CF!G57*roll_div_q/q_per_yr</f>
        <v>4.8895</v>
      </c>
    </row>
    <row r="13596" customFormat="false" ht="17.15" hidden="false" customHeight="false" outlineLevel="0" collapsed="false">
      <c r="A13596" s="0" t="s">
        <v>1054</v>
      </c>
      <c r="B13596" s="0" t="s">
        <v>75</v>
      </c>
      <c r="C13596" s="5" t="n">
        <f aca="false">Sens!$C$13594*(1+wacc)^t_roll-Sens!$C$13595</f>
        <v>344.14260514713</v>
      </c>
    </row>
    <row r="13597" customFormat="false" ht="17.15" hidden="false" customHeight="false" outlineLevel="0" collapsed="false">
      <c r="A13597" s="1" t="s">
        <v>1055</v>
      </c>
      <c r="B13597" s="0" t="s">
        <v>129</v>
      </c>
      <c r="F13597" s="7" t="n">
        <f aca="false">CF!F46/(Seg!F56-Thesis!F72)</f>
        <v>0.0684307874075333</v>
      </c>
      <c r="G13597" s="7" t="n">
        <f aca="false">CF!G46/(Seg!G56-Thesis!G72)</f>
        <v>0.0656456058503526</v>
      </c>
      <c r="H13597" s="7" t="n">
        <f aca="false">CF!H46/(Seg!H56-Thesis!H72)</f>
        <v>0.0641950889132003</v>
      </c>
      <c r="I13597" s="7" t="n">
        <f aca="false">CF!I46/(Seg!I56-Thesis!I72)</f>
        <v>0.063960269667854</v>
      </c>
      <c r="J13597" s="7" t="n">
        <f aca="false">CF!J46/(Seg!J56-Thesis!J72)</f>
        <v>0.0646607917002597</v>
      </c>
      <c r="K13597" s="7" t="n">
        <f aca="false">CF!K46/(Seg!K56-Thesis!K72)</f>
        <v>0.0659511546529383</v>
      </c>
    </row>
    <row r="13598" customFormat="false" ht="17.15" hidden="false" customHeight="false" outlineLevel="0" collapsed="false">
      <c r="A13598" s="0" t="s">
        <v>1056</v>
      </c>
      <c r="B13598" s="0" t="s">
        <v>98</v>
      </c>
      <c r="F13598" s="6" t="n">
        <f aca="false">Seg!F41*(al_m365+Sens!F13597+sbc_r)</f>
        <v>83.9158372980923</v>
      </c>
      <c r="G13598" s="6" t="n">
        <f aca="false">Seg!G41*(al_m365+Sens!G13597+sbc_r)</f>
        <v>96.3459139664276</v>
      </c>
      <c r="H13598" s="6" t="n">
        <f aca="false">Seg!H41*(al_m365+Sens!H13597+sbc_r)</f>
        <v>108.939128787393</v>
      </c>
      <c r="I13598" s="6" t="n">
        <f aca="false">Seg!I41*(al_m365+Sens!I13597+sbc_r)</f>
        <v>120.51456797186</v>
      </c>
      <c r="J13598" s="6" t="n">
        <f aca="false">Seg!J41*(al_m365+Sens!J13597+sbc_r)</f>
        <v>130.883844402211</v>
      </c>
      <c r="K13598" s="6" t="n">
        <f aca="false">Seg!K41*(al_m365+Sens!K13597+sbc_r)</f>
        <v>140.862269296832</v>
      </c>
      <c r="L13598" s="11" t="s">
        <v>1057</v>
      </c>
    </row>
    <row r="13599" customFormat="false" ht="17.15" hidden="false" customHeight="false" outlineLevel="0" collapsed="false">
      <c r="A13599" s="0" t="s">
        <v>1058</v>
      </c>
      <c r="B13599" s="0" t="s">
        <v>98</v>
      </c>
      <c r="F13599" s="6" t="n">
        <f aca="false">Seg!F42*(al_lic+Sens!F13597+sbc_r)</f>
        <v>33.4384115342236</v>
      </c>
      <c r="G13599" s="6" t="n">
        <f aca="false">Seg!G42*(al_lic+Sens!G13597+sbc_r)</f>
        <v>34.7409063621757</v>
      </c>
      <c r="H13599" s="6" t="n">
        <f aca="false">Seg!H42*(al_lic+Sens!H13597+sbc_r)</f>
        <v>35.9566740351293</v>
      </c>
      <c r="I13599" s="6" t="n">
        <f aca="false">Seg!I42*(al_lic+Sens!I13597+sbc_r)</f>
        <v>37.0672966580049</v>
      </c>
      <c r="J13599" s="6" t="n">
        <f aca="false">Seg!J42*(al_lic+Sens!J13597+sbc_r)</f>
        <v>38.0469841498966</v>
      </c>
      <c r="K13599" s="6" t="n">
        <f aca="false">Seg!K42*(al_lic+Sens!K13597+sbc_r)</f>
        <v>38.8666958490701</v>
      </c>
    </row>
    <row r="13600" customFormat="false" ht="17.15" hidden="false" customHeight="false" outlineLevel="0" collapsed="false">
      <c r="A13600" s="0" t="s">
        <v>1059</v>
      </c>
      <c r="B13600" s="0" t="s">
        <v>98</v>
      </c>
      <c r="F13600" s="6" t="n">
        <f aca="false">Seg!F44*(al_ind+Sens!F13597+sbc_r)</f>
        <v>9.07285900381439</v>
      </c>
      <c r="G13600" s="6" t="n">
        <f aca="false">Seg!G44*(al_ind+Sens!G13597+sbc_r)</f>
        <v>9.84969160470639</v>
      </c>
      <c r="H13600" s="6" t="n">
        <f aca="false">Seg!H44*(al_ind+Sens!H13597+sbc_r)</f>
        <v>10.6714469126029</v>
      </c>
      <c r="I13600" s="6" t="n">
        <f aca="false">Seg!I44*(al_ind+Sens!I13597+sbc_r)</f>
        <v>11.5350820765572</v>
      </c>
      <c r="J13600" s="6" t="n">
        <f aca="false">Seg!J44*(al_ind+Sens!J13597+sbc_r)</f>
        <v>12.4308815351832</v>
      </c>
      <c r="K13600" s="6" t="n">
        <f aca="false">Seg!K44*(al_ind+Sens!K13597+sbc_r)</f>
        <v>13.3437330974691</v>
      </c>
    </row>
    <row r="13601" customFormat="false" ht="17.15" hidden="false" customHeight="false" outlineLevel="0" collapsed="false">
      <c r="A13601" s="0" t="s">
        <v>1060</v>
      </c>
      <c r="B13601" s="0" t="s">
        <v>98</v>
      </c>
      <c r="F13601" s="6" t="n">
        <f aca="false">Seg!F46*(al_fro+Sens!F13597+sbc_r)</f>
        <v>3.5711091569032</v>
      </c>
      <c r="G13601" s="6" t="n">
        <f aca="false">Seg!G46*(al_fro+Sens!G13597+sbc_r)</f>
        <v>3.78169924595694</v>
      </c>
      <c r="H13601" s="6" t="n">
        <f aca="false">Seg!H46*(al_fro+Sens!H13597+sbc_r)</f>
        <v>4.02136645419237</v>
      </c>
      <c r="I13601" s="6" t="n">
        <f aca="false">Seg!I46*(al_fro+Sens!I13597+sbc_r)</f>
        <v>4.29288807676321</v>
      </c>
      <c r="J13601" s="6" t="n">
        <f aca="false">Seg!J46*(al_fro+Sens!J13597+sbc_r)</f>
        <v>4.59741770960175</v>
      </c>
      <c r="K13601" s="6" t="n">
        <f aca="false">Seg!K46*(al_fro+Sens!K13597+sbc_r)</f>
        <v>4.9350252981555</v>
      </c>
    </row>
    <row r="13602" customFormat="false" ht="17.15" hidden="false" customHeight="false" outlineLevel="0" collapsed="false">
      <c r="A13602" s="0" t="s">
        <v>1061</v>
      </c>
      <c r="B13602" s="0" t="s">
        <v>98</v>
      </c>
      <c r="F13602" s="6" t="n">
        <f aca="false">Seg!F49*(al_srch+Sens!F13597+sbc_r)</f>
        <v>11.205111954849</v>
      </c>
      <c r="G13602" s="6" t="n">
        <f aca="false">Seg!G49*(al_srch+Sens!G13597+sbc_r)</f>
        <v>12.2792883348957</v>
      </c>
      <c r="H13602" s="6" t="n">
        <f aca="false">Seg!H49*(al_srch+Sens!H13597+sbc_r)</f>
        <v>13.3983888227975</v>
      </c>
      <c r="I13602" s="6" t="n">
        <f aca="false">Seg!I49*(al_srch+Sens!I13597+sbc_r)</f>
        <v>14.5517695263616</v>
      </c>
      <c r="J13602" s="6" t="n">
        <f aca="false">Seg!J49*(al_srch+Sens!J13597+sbc_r)</f>
        <v>15.7194284145253</v>
      </c>
      <c r="K13602" s="6" t="n">
        <f aca="false">Seg!K49*(al_srch+Sens!K13597+sbc_r)</f>
        <v>16.87377171237</v>
      </c>
    </row>
    <row r="13603" customFormat="false" ht="17.15" hidden="false" customHeight="false" outlineLevel="0" collapsed="false">
      <c r="A13603" s="0" t="s">
        <v>1062</v>
      </c>
      <c r="B13603" s="0" t="s">
        <v>98</v>
      </c>
      <c r="F13603" s="6" t="n">
        <f aca="false">Thesis!F78-Thesis!F79+Thesis!F93</f>
        <v>52.8623286647412</v>
      </c>
      <c r="G13603" s="6" t="n">
        <f aca="false">Thesis!G78-Thesis!G79+Thesis!G93</f>
        <v>90.9040728275534</v>
      </c>
      <c r="H13603" s="6" t="n">
        <f aca="false">Thesis!H78-Thesis!H79+Thesis!H93</f>
        <v>131.644750996567</v>
      </c>
      <c r="I13603" s="6" t="n">
        <f aca="false">Thesis!I78-Thesis!I79+Thesis!I93</f>
        <v>168.39858142968</v>
      </c>
      <c r="J13603" s="6" t="n">
        <f aca="false">Thesis!J78-Thesis!J79+Thesis!J93</f>
        <v>194.311955071191</v>
      </c>
      <c r="K13603" s="6" t="n">
        <f aca="false">Thesis!K78-Thesis!K79+Thesis!K93</f>
        <v>210.298852071854</v>
      </c>
    </row>
    <row r="13604" customFormat="false" ht="17.15" hidden="false" customHeight="false" outlineLevel="0" collapsed="false">
      <c r="A13604" s="0" t="s">
        <v>1063</v>
      </c>
      <c r="B13604" s="0" t="s">
        <v>98</v>
      </c>
      <c r="F13604" s="6" t="n">
        <f aca="false">PL!F71+Thesis!F93+Thesis!F89+Sens!F13597*(Seg!F48-Thesis!F72)+sbc_r*Seg!F48</f>
        <v>243.876179717448</v>
      </c>
      <c r="G13604" s="6" t="n">
        <f aca="false">PL!G71+Thesis!G93+Thesis!G89+Sens!G13597*(Seg!G48-Thesis!G72)+sbc_r*Seg!G48</f>
        <v>308.994305130286</v>
      </c>
      <c r="H13604" s="6" t="n">
        <f aca="false">PL!H71+Thesis!H93+Thesis!H89+Sens!H13597*(Seg!H48-Thesis!H72)+sbc_r*Seg!H48</f>
        <v>377.321529021127</v>
      </c>
      <c r="I13604" s="6" t="n">
        <f aca="false">PL!I71+Thesis!I93+Thesis!I89+Sens!I13597*(Seg!I48-Thesis!I72)+sbc_r*Seg!I48</f>
        <v>440.295672377585</v>
      </c>
      <c r="J13604" s="6" t="n">
        <f aca="false">PL!J71+Thesis!J93+Thesis!J89+Sens!J13597*(Seg!J48-Thesis!J72)+sbc_r*Seg!J48</f>
        <v>489.992586437676</v>
      </c>
      <c r="K13604" s="6" t="n">
        <f aca="false">PL!K71+Thesis!K93+Thesis!K89+Sens!K13597*(Seg!K48-Thesis!K72)+sbc_r*Seg!K48</f>
        <v>527.395402529627</v>
      </c>
    </row>
    <row r="13605" customFormat="false" ht="17.15" hidden="false" customHeight="false" outlineLevel="0" collapsed="false">
      <c r="A13605" s="0" t="s">
        <v>1064</v>
      </c>
      <c r="B13605" s="0" t="s">
        <v>98</v>
      </c>
      <c r="F13605" s="6" t="n">
        <f aca="false">Sens!F13604-Sens!F13598-Sens!F13599-Sens!F13600-Sens!F13601-Sens!F13603</f>
        <v>61.0156340596736</v>
      </c>
      <c r="G13605" s="6" t="n">
        <f aca="false">Sens!G13604-Sens!G13598-Sens!G13599-Sens!G13600-Sens!G13601-Sens!G13603</f>
        <v>73.3720211234655</v>
      </c>
      <c r="H13605" s="6" t="n">
        <f aca="false">Sens!H13604-Sens!H13598-Sens!H13599-Sens!H13600-Sens!H13601-Sens!H13603</f>
        <v>86.0881618352416</v>
      </c>
      <c r="I13605" s="6" t="n">
        <f aca="false">Sens!I13604-Sens!I13598-Sens!I13599-Sens!I13600-Sens!I13601-Sens!I13603</f>
        <v>98.4872561647193</v>
      </c>
      <c r="J13605" s="6" t="n">
        <f aca="false">Sens!J13604-Sens!J13598-Sens!J13599-Sens!J13600-Sens!J13601-Sens!J13603</f>
        <v>109.721503569592</v>
      </c>
      <c r="K13605" s="6" t="n">
        <f aca="false">Sens!K13604-Sens!K13598-Sens!K13599-Sens!K13600-Sens!K13601-Sens!K13603</f>
        <v>119.088826916246</v>
      </c>
    </row>
    <row r="13606" customFormat="false" ht="17.15" hidden="false" customHeight="false" outlineLevel="0" collapsed="false">
      <c r="A13606" s="0" t="s">
        <v>1065</v>
      </c>
      <c r="B13606" s="0" t="s">
        <v>98</v>
      </c>
      <c r="F13606" s="6" t="n">
        <f aca="false">PL!F73+Sens!F13597*Seg!F55+sbc_r*Seg!F55</f>
        <v>26.1883018536976</v>
      </c>
      <c r="G13606" s="6" t="n">
        <f aca="false">PL!G73+Sens!G13597*Seg!G55+sbc_r*Seg!G55</f>
        <v>26.7988692269165</v>
      </c>
      <c r="H13606" s="6" t="n">
        <f aca="false">PL!H73+Sens!H13597*Seg!H55+sbc_r*Seg!H55</f>
        <v>27.676651877401</v>
      </c>
      <c r="I13606" s="6" t="n">
        <f aca="false">PL!I73+Sens!I13597*Seg!I55+sbc_r*Seg!I55</f>
        <v>28.7919477163856</v>
      </c>
      <c r="J13606" s="6" t="n">
        <f aca="false">PL!J73+Sens!J13597*Seg!J55+sbc_r*Seg!J55</f>
        <v>30.1095554599876</v>
      </c>
      <c r="K13606" s="6" t="n">
        <f aca="false">PL!K73+Sens!K13597*Seg!K55+sbc_r*Seg!K55</f>
        <v>31.5923355811805</v>
      </c>
    </row>
    <row r="13607" customFormat="false" ht="17.15" hidden="false" customHeight="false" outlineLevel="0" collapsed="false">
      <c r="A13607" s="0" t="s">
        <v>1066</v>
      </c>
      <c r="B13607" s="0" t="s">
        <v>98</v>
      </c>
      <c r="F13607" s="6" t="n">
        <f aca="false">(Sens!F13606-Sens!F13602)*Seg!F51/(Seg!F51+Seg!F53)</f>
        <v>8.21363876839376</v>
      </c>
      <c r="G13607" s="6" t="n">
        <f aca="false">(Sens!G13606-Sens!G13602)*Seg!G51/(Seg!G51+Seg!G53)</f>
        <v>7.81757556948427</v>
      </c>
      <c r="H13607" s="6" t="n">
        <f aca="false">(Sens!H13606-Sens!H13602)*Seg!H51/(Seg!H51+Seg!H53)</f>
        <v>7.58379891746928</v>
      </c>
      <c r="I13607" s="6" t="n">
        <f aca="false">(Sens!I13606-Sens!I13602)*Seg!I51/(Seg!I51+Seg!I53)</f>
        <v>7.49513512835163</v>
      </c>
      <c r="J13607" s="6" t="n">
        <f aca="false">(Sens!J13606-Sens!J13602)*Seg!J51/(Seg!J51+Seg!J53)</f>
        <v>7.53980917061682</v>
      </c>
      <c r="K13607" s="6" t="n">
        <f aca="false">(Sens!K13606-Sens!K13602)*Seg!K51/(Seg!K51+Seg!K53)</f>
        <v>7.71189597463361</v>
      </c>
    </row>
    <row r="13608" customFormat="false" ht="17.15" hidden="false" customHeight="false" outlineLevel="0" collapsed="false">
      <c r="A13608" s="0" t="s">
        <v>1067</v>
      </c>
      <c r="B13608" s="0" t="s">
        <v>98</v>
      </c>
      <c r="F13608" s="6" t="n">
        <f aca="false">Sens!F13606-Sens!F13602-Sens!F13607</f>
        <v>6.76955113045481</v>
      </c>
      <c r="G13608" s="6" t="n">
        <f aca="false">Sens!G13606-Sens!G13602-Sens!G13607</f>
        <v>6.70200532253647</v>
      </c>
      <c r="H13608" s="6" t="n">
        <f aca="false">Sens!H13606-Sens!H13602-Sens!H13607</f>
        <v>6.69446413713431</v>
      </c>
      <c r="I13608" s="6" t="n">
        <f aca="false">Sens!I13606-Sens!I13602-Sens!I13607</f>
        <v>6.74504306167234</v>
      </c>
      <c r="J13608" s="6" t="n">
        <f aca="false">Sens!J13606-Sens!J13602-Sens!J13607</f>
        <v>6.85031787484545</v>
      </c>
      <c r="K13608" s="6" t="n">
        <f aca="false">Sens!K13606-Sens!K13602-Sens!K13607</f>
        <v>7.00666789417688</v>
      </c>
    </row>
    <row r="13609" customFormat="false" ht="17.15" hidden="false" customHeight="false" outlineLevel="0" collapsed="false">
      <c r="A13609" s="0" t="s">
        <v>1068</v>
      </c>
      <c r="B13609" s="0" t="s">
        <v>98</v>
      </c>
      <c r="F13609" s="6" t="n">
        <f aca="false">Sens!F13603-tax_f*(Sens!F13603-Thesis!F89)-Thesis!F86</f>
        <v>-119.382682747471</v>
      </c>
      <c r="G13609" s="6" t="n">
        <f aca="false">Sens!G13603-tax_f*(Sens!G13603-Thesis!G89)-Thesis!G86</f>
        <v>-98.7495755690893</v>
      </c>
      <c r="H13609" s="6" t="n">
        <f aca="false">Sens!H13603-tax_f*(Sens!H13603-Thesis!H89)-Thesis!H86</f>
        <v>-65.2160219145184</v>
      </c>
      <c r="I13609" s="6" t="n">
        <f aca="false">Sens!I13603-tax_f*(Sens!I13603-Thesis!I89)-Thesis!I86</f>
        <v>-6.59039601405712</v>
      </c>
      <c r="J13609" s="6" t="n">
        <f aca="false">Sens!J13603-tax_f*(Sens!J13603-Thesis!J89)-Thesis!J86</f>
        <v>56.7738295233955</v>
      </c>
      <c r="K13609" s="6" t="n">
        <f aca="false">Sens!K13603-tax_f*(Sens!K13603-Thesis!K89)-Thesis!K86</f>
        <v>81.209175376442</v>
      </c>
    </row>
    <row r="13610" customFormat="false" ht="17.15" hidden="false" customHeight="false" outlineLevel="0" collapsed="false">
      <c r="A13610" s="0" t="s">
        <v>1069</v>
      </c>
      <c r="B13610" s="0" t="s">
        <v>98</v>
      </c>
      <c r="F13610" s="6" t="n">
        <f aca="false">Sens!F13609*Sens!F13583</f>
        <v>-113.675399435717</v>
      </c>
      <c r="G13610" s="6" t="n">
        <f aca="false">Sens!G13609*Sens!G13583</f>
        <v>-85.2532025390917</v>
      </c>
      <c r="H13610" s="6" t="n">
        <f aca="false">Sens!H13609*Sens!H13583</f>
        <v>-51.0481582830682</v>
      </c>
      <c r="I13610" s="6" t="n">
        <f aca="false">Sens!I13609*Sens!I13583</f>
        <v>-4.67721782319945</v>
      </c>
      <c r="J13610" s="6" t="n">
        <f aca="false">Sens!J13609*Sens!J13583</f>
        <v>36.5320953989789</v>
      </c>
      <c r="K13610" s="6" t="n">
        <f aca="false">Sens!K13609*Sens!K13583</f>
        <v>47.3785542320528</v>
      </c>
    </row>
    <row r="13611" customFormat="false" ht="17.15" hidden="false" customHeight="false" outlineLevel="0" collapsed="false">
      <c r="A13611" s="0" t="s">
        <v>1070</v>
      </c>
      <c r="B13611" s="0" t="s">
        <v>98</v>
      </c>
      <c r="C13611" s="6" t="n">
        <f aca="false">(Sens!K13603-Thesis!K89)*(1-tax_f)*(1+g_tv)*(1-g_tv/(wacc+ronic_prem))/(wacc-g_tv)/(1+wacc)^(Sens!K13582+mid_yr)</f>
        <v>314.186863600641</v>
      </c>
    </row>
    <row r="13612" customFormat="false" ht="17.15" hidden="false" customHeight="false" outlineLevel="0" collapsed="false">
      <c r="A13612" s="1" t="s">
        <v>1071</v>
      </c>
      <c r="B13612" s="0" t="s">
        <v>98</v>
      </c>
      <c r="C13612" s="6" t="n">
        <f aca="false">(SUM(Sens!F13610:K13610)+Sens!$C$13611)*(1+wacc)^t_roll</f>
        <v>163.343942987594</v>
      </c>
      <c r="L13612" s="11" t="s">
        <v>1072</v>
      </c>
    </row>
    <row r="13613" customFormat="false" ht="17.15" hidden="false" customHeight="false" outlineLevel="0" collapsed="false">
      <c r="A13613" s="1" t="s">
        <v>1073</v>
      </c>
      <c r="B13613" s="0" t="s">
        <v>98</v>
      </c>
      <c r="C13613" s="6" t="n">
        <f aca="false">(w_ntm28*Thesis!G78+(1-w_ntm28)*Thesis!H78)*m_ai</f>
        <v>454.922440830797</v>
      </c>
    </row>
    <row r="13614" customFormat="false" ht="17.15" hidden="false" customHeight="false" outlineLevel="0" collapsed="false">
      <c r="A13614" s="1" t="s">
        <v>1074</v>
      </c>
      <c r="B13614" s="0" t="s">
        <v>98</v>
      </c>
      <c r="C13614" s="6" t="n">
        <f aca="false">(w_ntm28*Sens!G13605+(1-w_ntm28)*Sens!H13605)*m_own</f>
        <v>1214.15849468831</v>
      </c>
    </row>
    <row r="13615" customFormat="false" ht="17.15" hidden="false" customHeight="false" outlineLevel="0" collapsed="false">
      <c r="A13615" s="1" t="s">
        <v>1075</v>
      </c>
      <c r="B13615" s="0" t="s">
        <v>98</v>
      </c>
      <c r="C13615" s="6" t="n">
        <f aca="false">(w_ntm28*Sens!G13598+(1-w_ntm28)*Sens!H13598)*m_own</f>
        <v>1573.53666307818</v>
      </c>
    </row>
    <row r="13616" customFormat="false" ht="17.15" hidden="false" customHeight="false" outlineLevel="0" collapsed="false">
      <c r="A13616" s="1" t="s">
        <v>1076</v>
      </c>
      <c r="B13616" s="0" t="s">
        <v>98</v>
      </c>
      <c r="C13616" s="6" t="n">
        <f aca="false">(w_ntm28*Sens!G13599+(1-w_ntm28)*Sens!H13599)*m_own</f>
        <v>550.548981800366</v>
      </c>
    </row>
    <row r="13617" customFormat="false" ht="17.15" hidden="false" customHeight="false" outlineLevel="0" collapsed="false">
      <c r="A13617" s="1" t="s">
        <v>1077</v>
      </c>
      <c r="B13617" s="0" t="s">
        <v>98</v>
      </c>
      <c r="C13617" s="6" t="n">
        <f aca="false">(w_ntm28*Sens!G13600+(1-w_ntm28)*Sens!H13600)*m_own</f>
        <v>158.507612294021</v>
      </c>
    </row>
    <row r="13618" customFormat="false" ht="17.15" hidden="false" customHeight="false" outlineLevel="0" collapsed="false">
      <c r="A13618" s="1" t="s">
        <v>1078</v>
      </c>
      <c r="B13618" s="0" t="s">
        <v>98</v>
      </c>
      <c r="C13618" s="6" t="n">
        <f aca="false">(w_ntm28*Sens!G13601+(1-w_ntm28)*Sens!H13601)*m_own</f>
        <v>60.4733615623914</v>
      </c>
    </row>
    <row r="13619" customFormat="false" ht="17.15" hidden="false" customHeight="false" outlineLevel="0" collapsed="false">
      <c r="A13619" s="1" t="s">
        <v>1079</v>
      </c>
      <c r="B13619" s="0" t="s">
        <v>98</v>
      </c>
      <c r="C13619" s="6" t="n">
        <f aca="false">(w_ntm28*Sens!G13602+(1-w_ntm28)*Sens!H13602)*m_own</f>
        <v>198.085719298664</v>
      </c>
    </row>
    <row r="13620" customFormat="false" ht="17.15" hidden="false" customHeight="false" outlineLevel="0" collapsed="false">
      <c r="A13620" s="1" t="s">
        <v>1080</v>
      </c>
      <c r="B13620" s="0" t="s">
        <v>98</v>
      </c>
      <c r="C13620" s="6" t="n">
        <f aca="false">(w_ntm28*Sens!G13607+(1-w_ntm28)*Sens!H13607)*m_own</f>
        <v>121.31711586923</v>
      </c>
    </row>
    <row r="13621" customFormat="false" ht="17.15" hidden="false" customHeight="false" outlineLevel="0" collapsed="false">
      <c r="A13621" s="1" t="s">
        <v>1081</v>
      </c>
      <c r="B13621" s="0" t="s">
        <v>98</v>
      </c>
      <c r="C13621" s="6" t="n">
        <f aca="false">(w_ntm28*Sens!G13608+(1-w_ntm28)*Sens!H13608)*m_own</f>
        <v>104.982220378723</v>
      </c>
    </row>
    <row r="13622" customFormat="false" ht="17.15" hidden="false" customHeight="false" outlineLevel="0" collapsed="false">
      <c r="A13622" s="1" t="s">
        <v>1082</v>
      </c>
      <c r="B13622" s="0" t="s">
        <v>98</v>
      </c>
      <c r="C13622" s="6" t="n">
        <f aca="false">Sens!$C$13612+Sens!$C$13614+Sens!$C$13615+Sens!$C$13616+Sens!$C$13617+Sens!$C$13618+Sens!$C$13619+Sens!$C$13620+Sens!$C$13621</f>
        <v>4144.95411195748</v>
      </c>
    </row>
    <row r="13623" customFormat="false" ht="17.15" hidden="false" customHeight="false" outlineLevel="0" collapsed="false">
      <c r="A13623" s="1" t="s">
        <v>1000</v>
      </c>
      <c r="B13623" s="0" t="s">
        <v>98</v>
      </c>
      <c r="C13623" s="6" t="n">
        <f aca="false">CF!F65+oai_v-CF!F54</f>
        <v>111.253995542787</v>
      </c>
      <c r="L13623" s="1" t="s">
        <v>1083</v>
      </c>
    </row>
    <row r="13624" customFormat="false" ht="15" hidden="false" customHeight="false" outlineLevel="0" collapsed="false">
      <c r="A13624" s="1" t="s">
        <v>1001</v>
      </c>
      <c r="B13624" s="0" t="s">
        <v>75</v>
      </c>
      <c r="C13624" s="5" t="n">
        <f aca="false">(Sens!$C$13622+Sens!$C$13623)/CF!F67</f>
        <v>569.620999397788</v>
      </c>
    </row>
    <row r="13625" customFormat="false" ht="17.15" hidden="false" customHeight="false" outlineLevel="0" collapsed="false">
      <c r="A13625" s="1" t="s">
        <v>1084</v>
      </c>
      <c r="B13625" s="0" t="s">
        <v>75</v>
      </c>
      <c r="C13625" s="5" t="n">
        <f aca="false">w_dcf*Sens!$C$13596+(1-w_dcf)*Sens!$C$13624</f>
        <v>456.881802272459</v>
      </c>
    </row>
    <row r="13626" customFormat="false" ht="17.15" hidden="false" customHeight="false" outlineLevel="0" collapsed="false">
      <c r="A13626" s="3" t="s">
        <v>1586</v>
      </c>
    </row>
    <row r="13627" customFormat="false" ht="15" hidden="false" customHeight="false" outlineLevel="0" collapsed="false">
      <c r="A13627" s="4" t="s">
        <v>43</v>
      </c>
      <c r="B13627" s="4" t="s">
        <v>65</v>
      </c>
      <c r="C13627" s="20" t="s">
        <v>788</v>
      </c>
      <c r="D13627" s="20" t="s">
        <v>789</v>
      </c>
      <c r="E13627" s="20" t="s">
        <v>790</v>
      </c>
      <c r="F13627" s="20" t="s">
        <v>791</v>
      </c>
      <c r="G13627" s="20" t="s">
        <v>792</v>
      </c>
      <c r="H13627" s="20" t="s">
        <v>793</v>
      </c>
      <c r="I13627" s="20" t="s">
        <v>794</v>
      </c>
      <c r="J13627" s="20" t="s">
        <v>795</v>
      </c>
      <c r="K13627" s="20" t="s">
        <v>796</v>
      </c>
      <c r="L13627" s="4" t="s">
        <v>47</v>
      </c>
    </row>
    <row r="13628" customFormat="false" ht="15" hidden="false" customHeight="false" outlineLevel="0" collapsed="false">
      <c r="A13628" s="1" t="s">
        <v>1042</v>
      </c>
      <c r="B13628" s="1" t="s">
        <v>235</v>
      </c>
      <c r="F13628" s="36" t="n">
        <f aca="false">Thesis!F104-base_fy-mid_yr</f>
        <v>0.5</v>
      </c>
      <c r="G13628" s="36" t="n">
        <f aca="false">Thesis!G104-base_fy-mid_yr</f>
        <v>1.5</v>
      </c>
      <c r="H13628" s="36" t="n">
        <f aca="false">Thesis!H104-base_fy-mid_yr</f>
        <v>2.5</v>
      </c>
      <c r="I13628" s="36" t="n">
        <f aca="false">Thesis!I104-base_fy-mid_yr</f>
        <v>3.5</v>
      </c>
      <c r="J13628" s="36" t="n">
        <f aca="false">Thesis!J104-base_fy-mid_yr</f>
        <v>4.5</v>
      </c>
      <c r="K13628" s="36" t="n">
        <f aca="false">Thesis!K104-base_fy-mid_yr</f>
        <v>5.5</v>
      </c>
    </row>
    <row r="13629" customFormat="false" ht="15" hidden="false" customHeight="false" outlineLevel="0" collapsed="false">
      <c r="A13629" s="1" t="s">
        <v>1043</v>
      </c>
      <c r="B13629" s="0" t="s">
        <v>185</v>
      </c>
      <c r="F13629" s="14" t="n">
        <f aca="false">1/(1+wacc)^Sens!F13628</f>
        <v>0.952193373608246</v>
      </c>
      <c r="G13629" s="14" t="n">
        <f aca="false">1/(1+wacc)^Sens!G13628</f>
        <v>0.863327280626589</v>
      </c>
      <c r="H13629" s="14" t="n">
        <f aca="false">1/(1+wacc)^Sens!H13628</f>
        <v>0.782754862754115</v>
      </c>
      <c r="I13629" s="14" t="n">
        <f aca="false">1/(1+wacc)^Sens!I13628</f>
        <v>0.709702089711011</v>
      </c>
      <c r="J13629" s="14" t="n">
        <f aca="false">1/(1+wacc)^Sens!J13628</f>
        <v>0.643467169744551</v>
      </c>
      <c r="K13629" s="14" t="n">
        <f aca="false">1/(1+wacc)^Sens!K13628</f>
        <v>0.583413807767797</v>
      </c>
    </row>
    <row r="13630" customFormat="false" ht="17.15" hidden="false" customHeight="false" outlineLevel="0" collapsed="false">
      <c r="A13630" s="1" t="s">
        <v>1044</v>
      </c>
      <c r="B13630" s="0" t="s">
        <v>98</v>
      </c>
      <c r="F13630" s="6" t="n">
        <f aca="false">CF!F79-CF!F77-CF!F82+Thesis!F142*(1-tax_f)</f>
        <v>2.81855367218396</v>
      </c>
      <c r="G13630" s="6" t="n">
        <f aca="false">CF!G79-CF!G77-CF!G82+Thesis!G142*(1-tax_f)</f>
        <v>35.4967358232605</v>
      </c>
      <c r="H13630" s="6" t="n">
        <f aca="false">CF!H79-CF!H77-CF!H82+Thesis!H142*(1-tax_f)</f>
        <v>71.9736045985465</v>
      </c>
      <c r="I13630" s="6" t="n">
        <f aca="false">CF!I79-CF!I77-CF!I82+Thesis!I142*(1-tax_f)</f>
        <v>139.565890227748</v>
      </c>
      <c r="J13630" s="6" t="n">
        <f aca="false">CF!J79-CF!J77-CF!J82+Thesis!J142*(1-tax_f)</f>
        <v>212.783902680705</v>
      </c>
      <c r="K13630" s="6" t="n">
        <f aca="false">CF!K79-CF!K77-CF!K82+Thesis!K142*(1-tax_f)</f>
        <v>247.854416738942</v>
      </c>
      <c r="L13630" s="1" t="s">
        <v>1045</v>
      </c>
    </row>
    <row r="13631" customFormat="false" ht="15" hidden="false" customHeight="false" outlineLevel="0" collapsed="false">
      <c r="A13631" s="1" t="s">
        <v>1046</v>
      </c>
      <c r="B13631" s="0" t="s">
        <v>98</v>
      </c>
      <c r="F13631" s="6" t="n">
        <f aca="false">Sens!F13630*Sens!F13629</f>
        <v>2.68380812981276</v>
      </c>
      <c r="G13631" s="6" t="n">
        <f aca="false">Sens!G13630*Sens!G13629</f>
        <v>30.6453004094159</v>
      </c>
      <c r="H13631" s="6" t="n">
        <f aca="false">Sens!H13630*Sens!H13629</f>
        <v>56.3376889894542</v>
      </c>
      <c r="I13631" s="6" t="n">
        <f aca="false">Sens!I13630*Sens!I13629</f>
        <v>99.0502039470101</v>
      </c>
      <c r="J13631" s="6" t="n">
        <f aca="false">Sens!J13630*Sens!J13629</f>
        <v>136.919455625153</v>
      </c>
      <c r="K13631" s="6" t="n">
        <f aca="false">Sens!K13630*Sens!K13629</f>
        <v>144.601689041733</v>
      </c>
    </row>
    <row r="13632" customFormat="false" ht="17.15" hidden="false" customHeight="false" outlineLevel="0" collapsed="false">
      <c r="A13632" s="1" t="s">
        <v>1047</v>
      </c>
      <c r="B13632" s="0" t="s">
        <v>98</v>
      </c>
      <c r="C13632" s="6" t="n">
        <f aca="false">SUM(Sens!F13631:K13631)</f>
        <v>470.238146142579</v>
      </c>
    </row>
    <row r="13633" customFormat="false" ht="17.15" hidden="false" customHeight="false" outlineLevel="0" collapsed="false">
      <c r="A13633" s="1" t="s">
        <v>1048</v>
      </c>
      <c r="B13633" s="0" t="s">
        <v>98</v>
      </c>
      <c r="C13633" s="6" t="n">
        <f aca="false">PL!K117*(1+g_tv)*(1-tax_f)</f>
        <v>255.879558138142</v>
      </c>
    </row>
    <row r="13634" customFormat="false" ht="17.15" hidden="false" customHeight="false" outlineLevel="0" collapsed="false">
      <c r="A13634" s="1" t="s">
        <v>1049</v>
      </c>
      <c r="B13634" s="0" t="s">
        <v>98</v>
      </c>
      <c r="C13634" s="6" t="n">
        <f aca="false">Sens!$C$13633*(1-g_tv/(wacc+ronic_prem))</f>
        <v>181.304049409205</v>
      </c>
    </row>
    <row r="13635" customFormat="false" ht="17.15" hidden="false" customHeight="false" outlineLevel="0" collapsed="false">
      <c r="A13635" s="1" t="s">
        <v>1050</v>
      </c>
      <c r="B13635" s="0" t="s">
        <v>98</v>
      </c>
      <c r="C13635" s="6" t="n">
        <f aca="false">Sens!$C$13634/(wacc-g_tv)</f>
        <v>2485.85029096454</v>
      </c>
    </row>
    <row r="13636" customFormat="false" ht="15" hidden="false" customHeight="false" outlineLevel="0" collapsed="false">
      <c r="A13636" s="1" t="s">
        <v>1051</v>
      </c>
      <c r="B13636" s="0" t="s">
        <v>98</v>
      </c>
      <c r="C13636" s="6" t="n">
        <f aca="false">Sens!$C$13635/(1+wacc)^(Sens!K13628+mid_yr)</f>
        <v>1380.94641912769</v>
      </c>
    </row>
    <row r="13637" customFormat="false" ht="17.15" hidden="false" customHeight="false" outlineLevel="0" collapsed="false">
      <c r="A13637" s="0" t="s">
        <v>972</v>
      </c>
      <c r="B13637" s="0" t="s">
        <v>98</v>
      </c>
      <c r="C13637" s="6" t="n">
        <f aca="false">Sens!$C$13632+Sens!$C$13636</f>
        <v>1851.18456527027</v>
      </c>
    </row>
    <row r="13638" customFormat="false" ht="15" hidden="false" customHeight="false" outlineLevel="0" collapsed="false">
      <c r="A13638" s="1" t="s">
        <v>973</v>
      </c>
      <c r="B13638" s="0" t="s">
        <v>129</v>
      </c>
      <c r="C13638" s="7" t="n">
        <f aca="false">Sens!$C$13636/Sens!$C$13637</f>
        <v>0.745979868801507</v>
      </c>
    </row>
    <row r="13639" customFormat="false" ht="17.15" hidden="false" customHeight="false" outlineLevel="0" collapsed="false">
      <c r="A13639" s="1" t="s">
        <v>1052</v>
      </c>
      <c r="B13639" s="0" t="s">
        <v>98</v>
      </c>
      <c r="C13639" s="6" t="n">
        <f aca="false">Sens!$C$13637+CF!E94-CF!E83+oai_v</f>
        <v>1985.69756527027</v>
      </c>
    </row>
    <row r="13640" customFormat="false" ht="17.15" hidden="false" customHeight="false" outlineLevel="0" collapsed="false">
      <c r="A13640" s="0" t="s">
        <v>980</v>
      </c>
      <c r="B13640" s="0" t="s">
        <v>75</v>
      </c>
      <c r="C13640" s="5" t="n">
        <f aca="false">Sens!$C$13639/sh_dil26</f>
        <v>266.429298976287</v>
      </c>
    </row>
    <row r="13641" customFormat="false" ht="15" hidden="false" customHeight="false" outlineLevel="0" collapsed="false">
      <c r="A13641" s="1" t="s">
        <v>1053</v>
      </c>
      <c r="B13641" s="0" t="s">
        <v>75</v>
      </c>
      <c r="C13641" s="8" t="n">
        <f aca="false">dps_27+CF!G86*roll_div_q/q_per_yr</f>
        <v>4.8895</v>
      </c>
    </row>
    <row r="13642" customFormat="false" ht="17.15" hidden="false" customHeight="false" outlineLevel="0" collapsed="false">
      <c r="A13642" s="0" t="s">
        <v>1054</v>
      </c>
      <c r="B13642" s="0" t="s">
        <v>75</v>
      </c>
      <c r="C13642" s="5" t="n">
        <f aca="false">Sens!$C$13640*(1+wacc)^t_roll-Sens!$C$13641</f>
        <v>298.502438692235</v>
      </c>
    </row>
    <row r="13643" customFormat="false" ht="17.15" hidden="false" customHeight="false" outlineLevel="0" collapsed="false">
      <c r="A13643" s="1" t="s">
        <v>1055</v>
      </c>
      <c r="B13643" s="0" t="s">
        <v>129</v>
      </c>
      <c r="F13643" s="7" t="n">
        <f aca="false">CF!F75/(Seg!F83-Thesis!F121)</f>
        <v>0.0686864325746334</v>
      </c>
      <c r="G13643" s="7" t="n">
        <f aca="false">CF!G75/(Seg!G83-Thesis!G121)</f>
        <v>0.066267001590801</v>
      </c>
      <c r="H13643" s="7" t="n">
        <f aca="false">CF!H75/(Seg!H83-Thesis!H121)</f>
        <v>0.0650366246750144</v>
      </c>
      <c r="I13643" s="7" t="n">
        <f aca="false">CF!I75/(Seg!I83-Thesis!I121)</f>
        <v>0.0648573271390164</v>
      </c>
      <c r="J13643" s="7" t="n">
        <f aca="false">CF!J75/(Seg!J83-Thesis!J121)</f>
        <v>0.0655189837669657</v>
      </c>
      <c r="K13643" s="7" t="n">
        <f aca="false">CF!K75/(Seg!K83-Thesis!K121)</f>
        <v>0.0667878921367872</v>
      </c>
    </row>
    <row r="13644" customFormat="false" ht="17.15" hidden="false" customHeight="false" outlineLevel="0" collapsed="false">
      <c r="A13644" s="0" t="s">
        <v>1056</v>
      </c>
      <c r="B13644" s="0" t="s">
        <v>98</v>
      </c>
      <c r="F13644" s="6" t="n">
        <f aca="false">Seg!F68*(al_m365+Sens!F13643+sbc_r)</f>
        <v>82.8871280343675</v>
      </c>
      <c r="G13644" s="6" t="n">
        <f aca="false">Seg!G68*(al_m365+Sens!G13643+sbc_r)</f>
        <v>93.2646494841949</v>
      </c>
      <c r="H13644" s="6" t="n">
        <f aca="false">Seg!H68*(al_m365+Sens!H13643+sbc_r)</f>
        <v>103.801656157254</v>
      </c>
      <c r="I13644" s="6" t="n">
        <f aca="false">Seg!I68*(al_m365+Sens!I13643+sbc_r)</f>
        <v>113.821873816133</v>
      </c>
      <c r="J13644" s="6" t="n">
        <f aca="false">Seg!J68*(al_m365+Sens!J13643+sbc_r)</f>
        <v>123.136196807334</v>
      </c>
      <c r="K13644" s="6" t="n">
        <f aca="false">Seg!K68*(al_m365+Sens!K13643+sbc_r)</f>
        <v>132.051675801964</v>
      </c>
      <c r="L13644" s="11" t="s">
        <v>1057</v>
      </c>
    </row>
    <row r="13645" customFormat="false" ht="17.15" hidden="false" customHeight="false" outlineLevel="0" collapsed="false">
      <c r="A13645" s="0" t="s">
        <v>1058</v>
      </c>
      <c r="B13645" s="0" t="s">
        <v>98</v>
      </c>
      <c r="F13645" s="6" t="n">
        <f aca="false">Seg!F69*(al_lic+Sens!F13643+sbc_r)</f>
        <v>33.4484001235218</v>
      </c>
      <c r="G13645" s="6" t="n">
        <f aca="false">Seg!G69*(al_lic+Sens!G13643+sbc_r)</f>
        <v>34.7662136749183</v>
      </c>
      <c r="H13645" s="6" t="n">
        <f aca="false">Seg!H69*(al_lic+Sens!H13643+sbc_r)</f>
        <v>35.9922067034497</v>
      </c>
      <c r="I13645" s="6" t="n">
        <f aca="false">Seg!I69*(al_lic+Sens!I13643+sbc_r)</f>
        <v>37.1063543598183</v>
      </c>
      <c r="J13645" s="6" t="n">
        <f aca="false">Seg!J69*(al_lic+Sens!J13643+sbc_r)</f>
        <v>38.0853056964387</v>
      </c>
      <c r="K13645" s="6" t="n">
        <f aca="false">Seg!K69*(al_lic+Sens!K13643+sbc_r)</f>
        <v>38.9048066370724</v>
      </c>
    </row>
    <row r="13646" customFormat="false" ht="17.15" hidden="false" customHeight="false" outlineLevel="0" collapsed="false">
      <c r="A13646" s="0" t="s">
        <v>1059</v>
      </c>
      <c r="B13646" s="0" t="s">
        <v>98</v>
      </c>
      <c r="F13646" s="6" t="n">
        <f aca="false">Seg!F71*(al_ind+Sens!F13643+sbc_r)</f>
        <v>9.07857451914073</v>
      </c>
      <c r="G13646" s="6" t="n">
        <f aca="false">Seg!G71*(al_ind+Sens!G13643+sbc_r)</f>
        <v>9.86487802721884</v>
      </c>
      <c r="H13646" s="6" t="n">
        <f aca="false">Seg!H71*(al_ind+Sens!H13643+sbc_r)</f>
        <v>10.693809720013</v>
      </c>
      <c r="I13646" s="6" t="n">
        <f aca="false">Seg!I71*(al_ind+Sens!I13643+sbc_r)</f>
        <v>11.5608645999226</v>
      </c>
      <c r="J13646" s="6" t="n">
        <f aca="false">Seg!J71*(al_ind+Sens!J13643+sbc_r)</f>
        <v>12.4574161941375</v>
      </c>
      <c r="K13646" s="6" t="n">
        <f aca="false">Seg!K71*(al_ind+Sens!K13643+sbc_r)</f>
        <v>13.3714153876622</v>
      </c>
    </row>
    <row r="13647" customFormat="false" ht="17.15" hidden="false" customHeight="false" outlineLevel="0" collapsed="false">
      <c r="A13647" s="0" t="s">
        <v>1060</v>
      </c>
      <c r="B13647" s="0" t="s">
        <v>98</v>
      </c>
      <c r="F13647" s="6" t="n">
        <f aca="false">Seg!F73*(al_fro+Sens!F13643+sbc_r)</f>
        <v>3.57335880380168</v>
      </c>
      <c r="G13647" s="6" t="n">
        <f aca="false">Seg!G73*(al_fro+Sens!G13643+sbc_r)</f>
        <v>3.78752993435501</v>
      </c>
      <c r="H13647" s="6" t="n">
        <f aca="false">Seg!H73*(al_fro+Sens!H13643+sbc_r)</f>
        <v>4.02979352544868</v>
      </c>
      <c r="I13647" s="6" t="n">
        <f aca="false">Seg!I73*(al_fro+Sens!I13643+sbc_r)</f>
        <v>4.30248328262388</v>
      </c>
      <c r="J13647" s="6" t="n">
        <f aca="false">Seg!J73*(al_fro+Sens!J13643+sbc_r)</f>
        <v>4.6072312462081</v>
      </c>
      <c r="K13647" s="6" t="n">
        <f aca="false">Seg!K73*(al_fro+Sens!K13643+sbc_r)</f>
        <v>4.94526327289735</v>
      </c>
    </row>
    <row r="13648" customFormat="false" ht="17.15" hidden="false" customHeight="false" outlineLevel="0" collapsed="false">
      <c r="A13648" s="0" t="s">
        <v>1061</v>
      </c>
      <c r="B13648" s="0" t="s">
        <v>98</v>
      </c>
      <c r="F13648" s="6" t="n">
        <f aca="false">Seg!F76*(al_srch+Sens!F13643+sbc_r)</f>
        <v>11.2121706988551</v>
      </c>
      <c r="G13648" s="6" t="n">
        <f aca="false">Seg!G76*(al_srch+Sens!G13643+sbc_r)</f>
        <v>12.298220751086</v>
      </c>
      <c r="H13648" s="6" t="n">
        <f aca="false">Seg!H76*(al_srch+Sens!H13643+sbc_r)</f>
        <v>13.4264661389574</v>
      </c>
      <c r="I13648" s="6" t="n">
        <f aca="false">Seg!I76*(al_srch+Sens!I13643+sbc_r)</f>
        <v>14.5842947685169</v>
      </c>
      <c r="J13648" s="6" t="n">
        <f aca="false">Seg!J76*(al_srch+Sens!J13643+sbc_r)</f>
        <v>15.7529827260804</v>
      </c>
      <c r="K13648" s="6" t="n">
        <f aca="false">Seg!K76*(al_srch+Sens!K13643+sbc_r)</f>
        <v>16.908777257054</v>
      </c>
    </row>
    <row r="13649" customFormat="false" ht="17.15" hidden="false" customHeight="false" outlineLevel="0" collapsed="false">
      <c r="A13649" s="0" t="s">
        <v>1062</v>
      </c>
      <c r="B13649" s="0" t="s">
        <v>98</v>
      </c>
      <c r="F13649" s="6" t="n">
        <f aca="false">Thesis!F127-Thesis!F128+Thesis!F142</f>
        <v>49.3166695044068</v>
      </c>
      <c r="G13649" s="6" t="n">
        <f aca="false">Thesis!G127-Thesis!G128+Thesis!G142</f>
        <v>79.1711235199867</v>
      </c>
      <c r="H13649" s="6" t="n">
        <f aca="false">Thesis!H127-Thesis!H128+Thesis!H142</f>
        <v>105.986955995322</v>
      </c>
      <c r="I13649" s="6" t="n">
        <f aca="false">Thesis!I127-Thesis!I128+Thesis!I142</f>
        <v>136.51312421941</v>
      </c>
      <c r="J13649" s="6" t="n">
        <f aca="false">Thesis!J127-Thesis!J128+Thesis!J142</f>
        <v>158.045869188803</v>
      </c>
      <c r="K13649" s="6" t="n">
        <f aca="false">Thesis!K127-Thesis!K128+Thesis!K142</f>
        <v>171.626834186355</v>
      </c>
    </row>
    <row r="13650" customFormat="false" ht="17.15" hidden="false" customHeight="false" outlineLevel="0" collapsed="false">
      <c r="A13650" s="0" t="s">
        <v>1063</v>
      </c>
      <c r="B13650" s="0" t="s">
        <v>98</v>
      </c>
      <c r="F13650" s="6" t="n">
        <f aca="false">PL!F110+Thesis!F142+Thesis!F138+Sens!F13643*(Seg!F75-Thesis!F121)+sbc_r*Seg!F75</f>
        <v>239.221795819914</v>
      </c>
      <c r="G13650" s="6" t="n">
        <f aca="false">PL!G110+Thesis!G142+Thesis!G138+Sens!G13643*(Seg!G75-Thesis!G121)+sbc_r*Seg!G75</f>
        <v>293.888959324058</v>
      </c>
      <c r="H13650" s="6" t="n">
        <f aca="false">PL!H110+Thesis!H142+Thesis!H138+Sens!H13643*(Seg!H75-Thesis!H121)+sbc_r*Seg!H75</f>
        <v>345.795749423438</v>
      </c>
      <c r="I13650" s="6" t="n">
        <f aca="false">PL!I110+Thesis!I142+Thesis!I138+Sens!I13643*(Seg!I75-Thesis!I121)+sbc_r*Seg!I75</f>
        <v>400.80148439376</v>
      </c>
      <c r="J13650" s="6" t="n">
        <f aca="false">PL!J110+Thesis!J142+Thesis!J138+Sens!J13643*(Seg!J75-Thesis!J121)+sbc_r*Seg!J75</f>
        <v>444.918308128678</v>
      </c>
      <c r="K13650" s="6" t="n">
        <f aca="false">PL!K110+Thesis!K142+Thesis!K138+Sens!K13643*(Seg!K75-Thesis!K121)+sbc_r*Seg!K75</f>
        <v>478.782312275225</v>
      </c>
    </row>
    <row r="13651" customFormat="false" ht="17.15" hidden="false" customHeight="false" outlineLevel="0" collapsed="false">
      <c r="A13651" s="0" t="s">
        <v>1064</v>
      </c>
      <c r="B13651" s="0" t="s">
        <v>98</v>
      </c>
      <c r="F13651" s="6" t="n">
        <f aca="false">Sens!F13650-Sens!F13644-Sens!F13645-Sens!F13646-Sens!F13647-Sens!F13649</f>
        <v>60.9176648346756</v>
      </c>
      <c r="G13651" s="6" t="n">
        <f aca="false">Sens!G13650-Sens!G13644-Sens!G13645-Sens!G13646-Sens!G13647-Sens!G13649</f>
        <v>73.0345646833845</v>
      </c>
      <c r="H13651" s="6" t="n">
        <f aca="false">Sens!H13650-Sens!H13644-Sens!H13645-Sens!H13646-Sens!H13647-Sens!H13649</f>
        <v>85.2913273219498</v>
      </c>
      <c r="I13651" s="6" t="n">
        <f aca="false">Sens!I13650-Sens!I13644-Sens!I13645-Sens!I13646-Sens!I13647-Sens!I13649</f>
        <v>97.4967841158513</v>
      </c>
      <c r="J13651" s="6" t="n">
        <f aca="false">Sens!J13650-Sens!J13644-Sens!J13645-Sens!J13646-Sens!J13647-Sens!J13649</f>
        <v>108.586288995756</v>
      </c>
      <c r="K13651" s="6" t="n">
        <f aca="false">Sens!K13650-Sens!K13644-Sens!K13645-Sens!K13646-Sens!K13647-Sens!K13649</f>
        <v>117.882316989274</v>
      </c>
    </row>
    <row r="13652" customFormat="false" ht="17.15" hidden="false" customHeight="false" outlineLevel="0" collapsed="false">
      <c r="A13652" s="0" t="s">
        <v>1065</v>
      </c>
      <c r="B13652" s="0" t="s">
        <v>98</v>
      </c>
      <c r="F13652" s="6" t="n">
        <f aca="false">PL!F112+Sens!F13643*Seg!F82+sbc_r*Seg!F82</f>
        <v>26.2049549828959</v>
      </c>
      <c r="G13652" s="6" t="n">
        <f aca="false">PL!G112+Sens!G13643*Seg!G82+sbc_r*Seg!G82</f>
        <v>26.8405806403664</v>
      </c>
      <c r="H13652" s="6" t="n">
        <f aca="false">PL!H112+Sens!H13643*Seg!H82+sbc_r*Seg!H82</f>
        <v>27.7352032470138</v>
      </c>
      <c r="I13652" s="6" t="n">
        <f aca="false">PL!I112+Sens!I13643*Seg!I82+sbc_r*Seg!I82</f>
        <v>28.8569155956094</v>
      </c>
      <c r="J13652" s="6" t="n">
        <f aca="false">PL!J112+Sens!J13643*Seg!J82+sbc_r*Seg!J82</f>
        <v>30.1744385645725</v>
      </c>
      <c r="K13652" s="6" t="n">
        <f aca="false">PL!K112+Sens!K13643*Seg!K82+sbc_r*Seg!K82</f>
        <v>31.6584976186802</v>
      </c>
    </row>
    <row r="13653" customFormat="false" ht="17.15" hidden="false" customHeight="false" outlineLevel="0" collapsed="false">
      <c r="A13653" s="0" t="s">
        <v>1066</v>
      </c>
      <c r="B13653" s="0" t="s">
        <v>98</v>
      </c>
      <c r="F13653" s="6" t="n">
        <f aca="false">(Sens!F13652-Sens!F13648)*Seg!F78/(Seg!F78+Seg!F80)</f>
        <v>8.21889831690819</v>
      </c>
      <c r="G13653" s="6" t="n">
        <f aca="false">(Sens!G13652-Sens!G13648)*Seg!G78/(Seg!G78+Seg!G80)</f>
        <v>7.82984014749099</v>
      </c>
      <c r="H13653" s="6" t="n">
        <f aca="false">(Sens!H13652-Sens!H13648)*Seg!H78/(Seg!H78+Seg!H80)</f>
        <v>7.5999849964554</v>
      </c>
      <c r="I13653" s="6" t="n">
        <f aca="false">(Sens!I13652-Sens!I13648)*Seg!I78/(Seg!I78+Seg!I80)</f>
        <v>7.51221089422364</v>
      </c>
      <c r="J13653" s="6" t="n">
        <f aca="false">(Sens!J13652-Sens!J13648)*Seg!J78/(Seg!J78+Seg!J80)</f>
        <v>7.55622411401827</v>
      </c>
      <c r="K13653" s="6" t="n">
        <f aca="false">(Sens!K13652-Sens!K13648)*Seg!K78/(Seg!K78+Seg!K80)</f>
        <v>7.72822064011532</v>
      </c>
    </row>
    <row r="13654" customFormat="false" ht="17.15" hidden="false" customHeight="false" outlineLevel="0" collapsed="false">
      <c r="A13654" s="0" t="s">
        <v>1067</v>
      </c>
      <c r="B13654" s="0" t="s">
        <v>98</v>
      </c>
      <c r="F13654" s="6" t="n">
        <f aca="false">Sens!F13652-Sens!F13648-Sens!F13653</f>
        <v>6.77388596713263</v>
      </c>
      <c r="G13654" s="6" t="n">
        <f aca="false">Sens!G13652-Sens!G13648-Sens!G13653</f>
        <v>6.71251974178949</v>
      </c>
      <c r="H13654" s="6" t="n">
        <f aca="false">Sens!H13652-Sens!H13648-Sens!H13653</f>
        <v>6.70875211160101</v>
      </c>
      <c r="I13654" s="6" t="n">
        <f aca="false">Sens!I13652-Sens!I13648-Sens!I13653</f>
        <v>6.76040993286883</v>
      </c>
      <c r="J13654" s="6" t="n">
        <f aca="false">Sens!J13652-Sens!J13648-Sens!J13653</f>
        <v>6.86523172447386</v>
      </c>
      <c r="K13654" s="6" t="n">
        <f aca="false">Sens!K13652-Sens!K13648-Sens!K13653</f>
        <v>7.02149972151092</v>
      </c>
    </row>
    <row r="13655" customFormat="false" ht="17.15" hidden="false" customHeight="false" outlineLevel="0" collapsed="false">
      <c r="A13655" s="0" t="s">
        <v>1068</v>
      </c>
      <c r="B13655" s="0" t="s">
        <v>98</v>
      </c>
      <c r="F13655" s="6" t="n">
        <f aca="false">Sens!F13649-tax_f*(Sens!F13649-Thesis!F138)-Thesis!F135</f>
        <v>-122.366710075738</v>
      </c>
      <c r="G13655" s="6" t="n">
        <f aca="false">Sens!G13649-tax_f*(Sens!G13649-Thesis!G138)-Thesis!G135</f>
        <v>-108.130935015143</v>
      </c>
      <c r="H13655" s="6" t="n">
        <f aca="false">Sens!H13649-tax_f*(Sens!H13649-Thesis!H138)-Thesis!H135</f>
        <v>-85.7372579155142</v>
      </c>
      <c r="I13655" s="6" t="n">
        <f aca="false">Sens!I13649-tax_f*(Sens!I13649-Thesis!I138)-Thesis!I135</f>
        <v>-32.0937617822731</v>
      </c>
      <c r="J13655" s="6" t="n">
        <f aca="false">Sens!J13649-tax_f*(Sens!J13649-Thesis!J138)-Thesis!J135</f>
        <v>27.7659608174853</v>
      </c>
      <c r="K13655" s="6" t="n">
        <f aca="false">Sens!K13649-tax_f*(Sens!K13649-Thesis!K138)-Thesis!K135</f>
        <v>50.2765610680426</v>
      </c>
    </row>
    <row r="13656" customFormat="false" ht="17.15" hidden="false" customHeight="false" outlineLevel="0" collapsed="false">
      <c r="A13656" s="0" t="s">
        <v>1069</v>
      </c>
      <c r="B13656" s="0" t="s">
        <v>98</v>
      </c>
      <c r="F13656" s="6" t="n">
        <f aca="false">Sens!F13655*Sens!F13629</f>
        <v>-116.516770484359</v>
      </c>
      <c r="G13656" s="6" t="n">
        <f aca="false">Sens!G13655*Sens!G13629</f>
        <v>-93.3523860782335</v>
      </c>
      <c r="H13656" s="6" t="n">
        <f aca="false">Sens!H13655*Sens!H13629</f>
        <v>-67.1112555525725</v>
      </c>
      <c r="I13656" s="6" t="n">
        <f aca="false">Sens!I13655*Sens!I13629</f>
        <v>-22.7770098035666</v>
      </c>
      <c r="J13656" s="6" t="n">
        <f aca="false">Sens!J13655*Sens!J13629</f>
        <v>17.8664842224654</v>
      </c>
      <c r="K13656" s="6" t="n">
        <f aca="false">Sens!K13655*Sens!K13629</f>
        <v>29.3320399341769</v>
      </c>
    </row>
    <row r="13657" customFormat="false" ht="17.15" hidden="false" customHeight="false" outlineLevel="0" collapsed="false">
      <c r="A13657" s="0" t="s">
        <v>1070</v>
      </c>
      <c r="B13657" s="0" t="s">
        <v>98</v>
      </c>
      <c r="C13657" s="6" t="n">
        <f aca="false">(Sens!K13649-Thesis!K138)*(1-tax_f)*(1+g_tv)*(1-g_tv/(wacc+ronic_prem))/(wacc-g_tv)/(1+wacc)^(Sens!K13628+mid_yr)</f>
        <v>142.100702662121</v>
      </c>
    </row>
    <row r="13658" customFormat="false" ht="17.15" hidden="false" customHeight="false" outlineLevel="0" collapsed="false">
      <c r="A13658" s="1" t="s">
        <v>1071</v>
      </c>
      <c r="B13658" s="0" t="s">
        <v>98</v>
      </c>
      <c r="C13658" s="6" t="n">
        <f aca="false">(SUM(Sens!F13656:K13656)+Sens!$C$13657)*(1+wacc)^t_roll</f>
        <v>-125.782434907083</v>
      </c>
      <c r="L13658" s="11" t="s">
        <v>1072</v>
      </c>
    </row>
    <row r="13659" customFormat="false" ht="17.15" hidden="false" customHeight="false" outlineLevel="0" collapsed="false">
      <c r="A13659" s="1" t="s">
        <v>1073</v>
      </c>
      <c r="B13659" s="0" t="s">
        <v>98</v>
      </c>
      <c r="C13659" s="6" t="n">
        <f aca="false">(w_ntm28*Thesis!G127+(1-w_ntm28)*Thesis!H127)*m_ai</f>
        <v>338.776008390068</v>
      </c>
    </row>
    <row r="13660" customFormat="false" ht="17.15" hidden="false" customHeight="false" outlineLevel="0" collapsed="false">
      <c r="A13660" s="1" t="s">
        <v>1074</v>
      </c>
      <c r="B13660" s="0" t="s">
        <v>98</v>
      </c>
      <c r="C13660" s="6" t="n">
        <f aca="false">(w_ntm28*Sens!G13651+(1-w_ntm28)*Sens!H13651)*m_own</f>
        <v>1206.54338071046</v>
      </c>
    </row>
    <row r="13661" customFormat="false" ht="17.15" hidden="false" customHeight="false" outlineLevel="0" collapsed="false">
      <c r="A13661" s="1" t="s">
        <v>1075</v>
      </c>
      <c r="B13661" s="0" t="s">
        <v>98</v>
      </c>
      <c r="C13661" s="6" t="n">
        <f aca="false">(w_ntm28*Sens!G13644+(1-w_ntm28)*Sens!H13644)*m_own</f>
        <v>1514.83666716771</v>
      </c>
    </row>
    <row r="13662" customFormat="false" ht="17.15" hidden="false" customHeight="false" outlineLevel="0" collapsed="false">
      <c r="A13662" s="1" t="s">
        <v>1076</v>
      </c>
      <c r="B13662" s="0" t="s">
        <v>98</v>
      </c>
      <c r="C13662" s="6" t="n">
        <f aca="false">(w_ntm28*Sens!G13645+(1-w_ntm28)*Sens!H13645)*m_own</f>
        <v>550.997348201959</v>
      </c>
    </row>
    <row r="13663" customFormat="false" ht="17.15" hidden="false" customHeight="false" outlineLevel="0" collapsed="false">
      <c r="A13663" s="1" t="s">
        <v>1077</v>
      </c>
      <c r="B13663" s="0" t="s">
        <v>98</v>
      </c>
      <c r="C13663" s="6" t="n">
        <f aca="false">(w_ntm28*Sens!G13646+(1-w_ntm28)*Sens!H13646)*m_own</f>
        <v>158.781938510842</v>
      </c>
    </row>
    <row r="13664" customFormat="false" ht="17.15" hidden="false" customHeight="false" outlineLevel="0" collapsed="false">
      <c r="A13664" s="1" t="s">
        <v>1078</v>
      </c>
      <c r="B13664" s="0" t="s">
        <v>98</v>
      </c>
      <c r="C13664" s="6" t="n">
        <f aca="false">(w_ntm28*Sens!G13647+(1-w_ntm28)*Sens!H13647)*m_own</f>
        <v>60.5778815117476</v>
      </c>
    </row>
    <row r="13665" customFormat="false" ht="17.15" hidden="false" customHeight="false" outlineLevel="0" collapsed="false">
      <c r="A13665" s="1" t="s">
        <v>1079</v>
      </c>
      <c r="B13665" s="0" t="s">
        <v>98</v>
      </c>
      <c r="C13665" s="6" t="n">
        <f aca="false">(w_ntm28*Sens!G13648+(1-w_ntm28)*Sens!H13648)*m_own</f>
        <v>198.428717571976</v>
      </c>
    </row>
    <row r="13666" customFormat="false" ht="17.15" hidden="false" customHeight="false" outlineLevel="0" collapsed="false">
      <c r="A13666" s="1" t="s">
        <v>1080</v>
      </c>
      <c r="B13666" s="0" t="s">
        <v>98</v>
      </c>
      <c r="C13666" s="6" t="n">
        <f aca="false">(w_ntm28*Sens!G13653+(1-w_ntm28)*Sens!H13653)*m_own</f>
        <v>121.529167808242</v>
      </c>
    </row>
    <row r="13667" customFormat="false" ht="17.15" hidden="false" customHeight="false" outlineLevel="0" collapsed="false">
      <c r="A13667" s="1" t="s">
        <v>1081</v>
      </c>
      <c r="B13667" s="0" t="s">
        <v>98</v>
      </c>
      <c r="C13667" s="6" t="n">
        <f aca="false">(w_ntm28*Sens!G13654+(1-w_ntm28)*Sens!H13654)*m_own</f>
        <v>105.166097848975</v>
      </c>
    </row>
    <row r="13668" customFormat="false" ht="17.15" hidden="false" customHeight="false" outlineLevel="0" collapsed="false">
      <c r="A13668" s="1" t="s">
        <v>1082</v>
      </c>
      <c r="B13668" s="0" t="s">
        <v>98</v>
      </c>
      <c r="C13668" s="6" t="n">
        <f aca="false">Sens!$C$13658+Sens!$C$13660+Sens!$C$13661+Sens!$C$13662+Sens!$C$13663+Sens!$C$13664+Sens!$C$13665+Sens!$C$13666+Sens!$C$13667</f>
        <v>3791.07876442483</v>
      </c>
    </row>
    <row r="13669" customFormat="false" ht="17.15" hidden="false" customHeight="false" outlineLevel="0" collapsed="false">
      <c r="A13669" s="1" t="s">
        <v>1000</v>
      </c>
      <c r="B13669" s="0" t="s">
        <v>98</v>
      </c>
      <c r="C13669" s="6" t="n">
        <f aca="false">CF!F94+oai_v-CF!F83</f>
        <v>106.814034990727</v>
      </c>
      <c r="L13669" s="1" t="s">
        <v>1083</v>
      </c>
    </row>
    <row r="13670" customFormat="false" ht="15" hidden="false" customHeight="false" outlineLevel="0" collapsed="false">
      <c r="A13670" s="1" t="s">
        <v>1001</v>
      </c>
      <c r="B13670" s="0" t="s">
        <v>75</v>
      </c>
      <c r="C13670" s="5" t="n">
        <f aca="false">(Sens!$C$13668+Sens!$C$13669)/CF!F96</f>
        <v>521.666595210861</v>
      </c>
    </row>
    <row r="13671" customFormat="false" ht="17.15" hidden="false" customHeight="false" outlineLevel="0" collapsed="false">
      <c r="A13671" s="1" t="s">
        <v>1084</v>
      </c>
      <c r="B13671" s="0" t="s">
        <v>75</v>
      </c>
      <c r="C13671" s="5" t="n">
        <f aca="false">w_dcf*Sens!$C$13642+(1-w_dcf)*Sens!$C$13670</f>
        <v>410.084516951548</v>
      </c>
    </row>
    <row r="13672" customFormat="false" ht="17.15" hidden="false" customHeight="false" outlineLevel="0" collapsed="false">
      <c r="A13672" s="3" t="s">
        <v>1587</v>
      </c>
    </row>
    <row r="13673" customFormat="false" ht="15" hidden="false" customHeight="false" outlineLevel="0" collapsed="false">
      <c r="A13673" s="4" t="s">
        <v>43</v>
      </c>
      <c r="B13673" s="4" t="s">
        <v>65</v>
      </c>
      <c r="C13673" s="20" t="s">
        <v>788</v>
      </c>
      <c r="D13673" s="20" t="s">
        <v>789</v>
      </c>
      <c r="E13673" s="20" t="s">
        <v>790</v>
      </c>
      <c r="F13673" s="20" t="s">
        <v>791</v>
      </c>
      <c r="G13673" s="20" t="s">
        <v>792</v>
      </c>
      <c r="H13673" s="20" t="s">
        <v>793</v>
      </c>
      <c r="I13673" s="20" t="s">
        <v>794</v>
      </c>
      <c r="J13673" s="20" t="s">
        <v>795</v>
      </c>
      <c r="K13673" s="20" t="s">
        <v>796</v>
      </c>
      <c r="L13673" s="4" t="s">
        <v>47</v>
      </c>
    </row>
    <row r="13674" customFormat="false" ht="15" hidden="false" customHeight="false" outlineLevel="0" collapsed="false">
      <c r="A13674" s="1" t="s">
        <v>1042</v>
      </c>
      <c r="B13674" s="1" t="s">
        <v>235</v>
      </c>
      <c r="F13674" s="36" t="n">
        <f aca="false">Thesis!F6-base_fy-mid_yr</f>
        <v>0.5</v>
      </c>
      <c r="G13674" s="36" t="n">
        <f aca="false">Thesis!G6-base_fy-mid_yr</f>
        <v>1.5</v>
      </c>
      <c r="H13674" s="36" t="n">
        <f aca="false">Thesis!H6-base_fy-mid_yr</f>
        <v>2.5</v>
      </c>
      <c r="I13674" s="36" t="n">
        <f aca="false">Thesis!I6-base_fy-mid_yr</f>
        <v>3.5</v>
      </c>
      <c r="J13674" s="36" t="n">
        <f aca="false">Thesis!J6-base_fy-mid_yr</f>
        <v>4.5</v>
      </c>
      <c r="K13674" s="36" t="n">
        <f aca="false">Thesis!K6-base_fy-mid_yr</f>
        <v>5.5</v>
      </c>
    </row>
    <row r="13675" customFormat="false" ht="15" hidden="false" customHeight="false" outlineLevel="0" collapsed="false">
      <c r="A13675" s="1" t="s">
        <v>1043</v>
      </c>
      <c r="B13675" s="0" t="s">
        <v>185</v>
      </c>
      <c r="F13675" s="14" t="n">
        <f aca="false">1/(1+wacc)^Sens!F13674</f>
        <v>0.952193373608246</v>
      </c>
      <c r="G13675" s="14" t="n">
        <f aca="false">1/(1+wacc)^Sens!G13674</f>
        <v>0.863327280626589</v>
      </c>
      <c r="H13675" s="14" t="n">
        <f aca="false">1/(1+wacc)^Sens!H13674</f>
        <v>0.782754862754115</v>
      </c>
      <c r="I13675" s="14" t="n">
        <f aca="false">1/(1+wacc)^Sens!I13674</f>
        <v>0.709702089711011</v>
      </c>
      <c r="J13675" s="14" t="n">
        <f aca="false">1/(1+wacc)^Sens!J13674</f>
        <v>0.643467169744551</v>
      </c>
      <c r="K13675" s="14" t="n">
        <f aca="false">1/(1+wacc)^Sens!K13674</f>
        <v>0.583413807767797</v>
      </c>
    </row>
    <row r="13676" customFormat="false" ht="17.15" hidden="false" customHeight="false" outlineLevel="0" collapsed="false">
      <c r="A13676" s="1" t="s">
        <v>1044</v>
      </c>
      <c r="B13676" s="0" t="s">
        <v>98</v>
      </c>
      <c r="F13676" s="6" t="n">
        <f aca="false">CF!F21-CF!F19-CF!F24+Thesis!F44*(1-tax_f)</f>
        <v>9.29995994594013</v>
      </c>
      <c r="G13676" s="6" t="n">
        <f aca="false">CF!G21-CF!G19-CF!G24+Thesis!G44*(1-tax_f)</f>
        <v>55.6803799901549</v>
      </c>
      <c r="H13676" s="6" t="n">
        <f aca="false">CF!H21-CF!H19-CF!H24+Thesis!H44*(1-tax_f)</f>
        <v>114.6308681267</v>
      </c>
      <c r="I13676" s="6" t="n">
        <f aca="false">CF!I21-CF!I19-CF!I24+Thesis!I44*(1-tax_f)</f>
        <v>192.960687587037</v>
      </c>
      <c r="J13676" s="6" t="n">
        <f aca="false">CF!J21-CF!J19-CF!J24+Thesis!J44*(1-tax_f)</f>
        <v>273.742251264366</v>
      </c>
      <c r="K13676" s="6" t="n">
        <f aca="false">CF!K21-CF!K19-CF!K24+Thesis!K44*(1-tax_f)</f>
        <v>313.491842465765</v>
      </c>
      <c r="L13676" s="1" t="s">
        <v>1045</v>
      </c>
    </row>
    <row r="13677" customFormat="false" ht="15" hidden="false" customHeight="false" outlineLevel="0" collapsed="false">
      <c r="A13677" s="1" t="s">
        <v>1046</v>
      </c>
      <c r="B13677" s="0" t="s">
        <v>98</v>
      </c>
      <c r="F13677" s="6" t="n">
        <f aca="false">Sens!F13676*Sens!F13675</f>
        <v>8.8553602353463</v>
      </c>
      <c r="G13677" s="6" t="n">
        <f aca="false">Sens!G13676*Sens!G13675</f>
        <v>48.0703910411556</v>
      </c>
      <c r="H13677" s="6" t="n">
        <f aca="false">Sens!H13676*Sens!H13675</f>
        <v>89.7278694479</v>
      </c>
      <c r="I13677" s="6" t="n">
        <f aca="false">Sens!I13676*Sens!I13675</f>
        <v>136.944603212593</v>
      </c>
      <c r="J13677" s="6" t="n">
        <f aca="false">Sens!J13676*Sens!J13675</f>
        <v>176.144151660583</v>
      </c>
      <c r="K13677" s="6" t="n">
        <f aca="false">Sens!K13676*Sens!K13675</f>
        <v>182.895469517094</v>
      </c>
    </row>
    <row r="13678" customFormat="false" ht="17.15" hidden="false" customHeight="false" outlineLevel="0" collapsed="false">
      <c r="A13678" s="1" t="s">
        <v>1047</v>
      </c>
      <c r="B13678" s="0" t="s">
        <v>98</v>
      </c>
      <c r="C13678" s="6" t="n">
        <f aca="false">SUM(Sens!F13677:K13677)</f>
        <v>642.637845114673</v>
      </c>
    </row>
    <row r="13679" customFormat="false" ht="17.15" hidden="false" customHeight="false" outlineLevel="0" collapsed="false">
      <c r="A13679" s="1" t="s">
        <v>1048</v>
      </c>
      <c r="B13679" s="0" t="s">
        <v>98</v>
      </c>
      <c r="C13679" s="6" t="n">
        <f aca="false">PL!K39*(1+g_tv)*(1-tax_f)</f>
        <v>325.338496025769</v>
      </c>
    </row>
    <row r="13680" customFormat="false" ht="17.15" hidden="false" customHeight="false" outlineLevel="0" collapsed="false">
      <c r="A13680" s="1" t="s">
        <v>1049</v>
      </c>
      <c r="B13680" s="0" t="s">
        <v>98</v>
      </c>
      <c r="C13680" s="6" t="n">
        <f aca="false">Sens!$C$13679*(1-g_tv/(wacc+ronic_prem))</f>
        <v>230.519339596203</v>
      </c>
    </row>
    <row r="13681" customFormat="false" ht="17.15" hidden="false" customHeight="false" outlineLevel="0" collapsed="false">
      <c r="A13681" s="1" t="s">
        <v>1050</v>
      </c>
      <c r="B13681" s="0" t="s">
        <v>98</v>
      </c>
      <c r="C13681" s="6" t="n">
        <f aca="false">Sens!$C$13680/(wacc-g_tv)</f>
        <v>3160.63854765221</v>
      </c>
    </row>
    <row r="13682" customFormat="false" ht="15" hidden="false" customHeight="false" outlineLevel="0" collapsed="false">
      <c r="A13682" s="1" t="s">
        <v>1051</v>
      </c>
      <c r="B13682" s="0" t="s">
        <v>98</v>
      </c>
      <c r="C13682" s="6" t="n">
        <f aca="false">Sens!$C$13681/(1+wacc)^(Sens!K13674+mid_yr)</f>
        <v>1755.80665513196</v>
      </c>
    </row>
    <row r="13683" customFormat="false" ht="17.15" hidden="false" customHeight="false" outlineLevel="0" collapsed="false">
      <c r="A13683" s="0" t="s">
        <v>972</v>
      </c>
      <c r="B13683" s="0" t="s">
        <v>98</v>
      </c>
      <c r="C13683" s="6" t="n">
        <f aca="false">Sens!$C$13678+Sens!$C$13682</f>
        <v>2398.44450024663</v>
      </c>
    </row>
    <row r="13684" customFormat="false" ht="15" hidden="false" customHeight="false" outlineLevel="0" collapsed="false">
      <c r="A13684" s="1" t="s">
        <v>973</v>
      </c>
      <c r="B13684" s="0" t="s">
        <v>129</v>
      </c>
      <c r="C13684" s="7" t="n">
        <f aca="false">Sens!$C$13682/Sens!$C$13683</f>
        <v>0.732060572988622</v>
      </c>
    </row>
    <row r="13685" customFormat="false" ht="17.15" hidden="false" customHeight="false" outlineLevel="0" collapsed="false">
      <c r="A13685" s="1" t="s">
        <v>1052</v>
      </c>
      <c r="B13685" s="0" t="s">
        <v>98</v>
      </c>
      <c r="C13685" s="6" t="n">
        <f aca="false">Sens!$C$13683+CF!E36-CF!E25+(oai_stake_hi*oai_val*(1-liq_disc))</f>
        <v>2546.58950024663</v>
      </c>
    </row>
    <row r="13686" customFormat="false" ht="17.15" hidden="false" customHeight="false" outlineLevel="0" collapsed="false">
      <c r="A13686" s="0" t="s">
        <v>980</v>
      </c>
      <c r="B13686" s="0" t="s">
        <v>75</v>
      </c>
      <c r="C13686" s="5" t="n">
        <f aca="false">Sens!$C$13685/sh_dil26</f>
        <v>341.686502112791</v>
      </c>
    </row>
    <row r="13687" customFormat="false" ht="15" hidden="false" customHeight="false" outlineLevel="0" collapsed="false">
      <c r="A13687" s="1" t="s">
        <v>1053</v>
      </c>
      <c r="B13687" s="0" t="s">
        <v>75</v>
      </c>
      <c r="C13687" s="8" t="n">
        <f aca="false">dps_27+CF!G28*roll_div_q/q_per_yr</f>
        <v>4.8895</v>
      </c>
    </row>
    <row r="13688" customFormat="false" ht="17.15" hidden="false" customHeight="false" outlineLevel="0" collapsed="false">
      <c r="A13688" s="0" t="s">
        <v>1054</v>
      </c>
      <c r="B13688" s="0" t="s">
        <v>75</v>
      </c>
      <c r="C13688" s="5" t="n">
        <f aca="false">Sens!$C$13686*(1+wacc)^t_roll-Sens!$C$13687</f>
        <v>384.200328706093</v>
      </c>
    </row>
    <row r="13689" customFormat="false" ht="17.15" hidden="false" customHeight="false" outlineLevel="0" collapsed="false">
      <c r="A13689" s="1" t="s">
        <v>1055</v>
      </c>
      <c r="B13689" s="0" t="s">
        <v>129</v>
      </c>
      <c r="F13689" s="7" t="n">
        <f aca="false">CF!F17/(Seg!F29-Thesis!F23)</f>
        <v>0.0681773598226415</v>
      </c>
      <c r="G13689" s="7" t="n">
        <f aca="false">CF!G17/(Seg!G29-Thesis!G23)</f>
        <v>0.0650385409375172</v>
      </c>
      <c r="H13689" s="7" t="n">
        <f aca="false">CF!H17/(Seg!H29-Thesis!H23)</f>
        <v>0.063382542471986</v>
      </c>
      <c r="I13689" s="7" t="n">
        <f aca="false">CF!I17/(Seg!I29-Thesis!I23)</f>
        <v>0.0630998138876076</v>
      </c>
      <c r="J13689" s="7" t="n">
        <f aca="false">CF!J17/(Seg!J29-Thesis!J23)</f>
        <v>0.0638399980286975</v>
      </c>
      <c r="K13689" s="7" t="n">
        <f aca="false">CF!K17/(Seg!K29-Thesis!K23)</f>
        <v>0.0651531082402687</v>
      </c>
    </row>
    <row r="13690" customFormat="false" ht="17.15" hidden="false" customHeight="false" outlineLevel="0" collapsed="false">
      <c r="A13690" s="0" t="s">
        <v>1056</v>
      </c>
      <c r="B13690" s="0" t="s">
        <v>98</v>
      </c>
      <c r="F13690" s="6" t="n">
        <f aca="false">Seg!F14*(al_m365+Sens!F13689+sbc_r)</f>
        <v>84.944046606333</v>
      </c>
      <c r="G13690" s="6" t="n">
        <f aca="false">Seg!G14*(al_m365+Sens!G13689+sbc_r)</f>
        <v>99.4236143320739</v>
      </c>
      <c r="H13690" s="6" t="n">
        <f aca="false">Seg!H14*(al_m365+Sens!H13689+sbc_r)</f>
        <v>114.068697186163</v>
      </c>
      <c r="I13690" s="6" t="n">
        <f aca="false">Seg!I14*(al_m365+Sens!I13689+sbc_r)</f>
        <v>127.196415789369</v>
      </c>
      <c r="J13690" s="6" t="n">
        <f aca="false">Seg!J14*(al_m365+Sens!J13689+sbc_r)</f>
        <v>138.619575691419</v>
      </c>
      <c r="K13690" s="6" t="n">
        <f aca="false">Seg!K14*(al_m365+Sens!K13689+sbc_r)</f>
        <v>149.659768267063</v>
      </c>
      <c r="L13690" s="11" t="s">
        <v>1057</v>
      </c>
    </row>
    <row r="13691" customFormat="false" ht="17.15" hidden="false" customHeight="false" outlineLevel="0" collapsed="false">
      <c r="A13691" s="0" t="s">
        <v>1058</v>
      </c>
      <c r="B13691" s="0" t="s">
        <v>98</v>
      </c>
      <c r="F13691" s="6" t="n">
        <f aca="false">Seg!F15*(al_lic+Sens!F13689+sbc_r)</f>
        <v>33.4285095904825</v>
      </c>
      <c r="G13691" s="6" t="n">
        <f aca="false">Seg!G15*(al_lic+Sens!G13689+sbc_r)</f>
        <v>34.7161826947861</v>
      </c>
      <c r="H13691" s="6" t="n">
        <f aca="false">Seg!H15*(al_lic+Sens!H13689+sbc_r)</f>
        <v>35.9223654002493</v>
      </c>
      <c r="I13691" s="6" t="n">
        <f aca="false">Seg!I15*(al_lic+Sens!I13689+sbc_r)</f>
        <v>37.0298325864501</v>
      </c>
      <c r="J13691" s="6" t="n">
        <f aca="false">Seg!J15*(al_lic+Sens!J13689+sbc_r)</f>
        <v>38.0103325842314</v>
      </c>
      <c r="K13691" s="6" t="n">
        <f aca="false">Seg!K15*(al_lic+Sens!K13689+sbc_r)</f>
        <v>38.8303473189322</v>
      </c>
    </row>
    <row r="13692" customFormat="false" ht="17.15" hidden="false" customHeight="false" outlineLevel="0" collapsed="false">
      <c r="A13692" s="0" t="s">
        <v>1059</v>
      </c>
      <c r="B13692" s="0" t="s">
        <v>98</v>
      </c>
      <c r="F13692" s="6" t="n">
        <f aca="false">Seg!F17*(al_ind+Sens!F13689+sbc_r)</f>
        <v>9.06719306746208</v>
      </c>
      <c r="G13692" s="6" t="n">
        <f aca="false">Seg!G17*(al_ind+Sens!G13689+sbc_r)</f>
        <v>9.83485541633448</v>
      </c>
      <c r="H13692" s="6" t="n">
        <f aca="false">Seg!H17*(al_ind+Sens!H13689+sbc_r)</f>
        <v>10.6498544617516</v>
      </c>
      <c r="I13692" s="6" t="n">
        <f aca="false">Seg!I17*(al_ind+Sens!I13689+sbc_r)</f>
        <v>11.5103515303299</v>
      </c>
      <c r="J13692" s="6" t="n">
        <f aca="false">Seg!J17*(al_ind+Sens!J13689+sbc_r)</f>
        <v>12.4055032067278</v>
      </c>
      <c r="K13692" s="6" t="n">
        <f aca="false">Seg!K17*(al_ind+Sens!K13689+sbc_r)</f>
        <v>13.3173308472897</v>
      </c>
    </row>
    <row r="13693" customFormat="false" ht="17.15" hidden="false" customHeight="false" outlineLevel="0" collapsed="false">
      <c r="A13693" s="0" t="s">
        <v>1060</v>
      </c>
      <c r="B13693" s="0" t="s">
        <v>98</v>
      </c>
      <c r="F13693" s="6" t="n">
        <f aca="false">Seg!F19*(al_fro+Sens!F13689+sbc_r)</f>
        <v>3.56887902446295</v>
      </c>
      <c r="G13693" s="6" t="n">
        <f aca="false">Seg!G19*(al_fro+Sens!G13689+sbc_r)</f>
        <v>3.77600302676241</v>
      </c>
      <c r="H13693" s="6" t="n">
        <f aca="false">Seg!H19*(al_fro+Sens!H13689+sbc_r)</f>
        <v>4.01322967965482</v>
      </c>
      <c r="I13693" s="6" t="n">
        <f aca="false">Seg!I19*(al_fro+Sens!I13689+sbc_r)</f>
        <v>4.28368437397841</v>
      </c>
      <c r="J13693" s="6" t="n">
        <f aca="false">Seg!J19*(al_fro+Sens!J13689+sbc_r)</f>
        <v>4.58803182845156</v>
      </c>
      <c r="K13693" s="6" t="n">
        <f aca="false">Seg!K19*(al_fro+Sens!K13689+sbc_r)</f>
        <v>4.92526073140255</v>
      </c>
    </row>
    <row r="13694" customFormat="false" ht="17.15" hidden="false" customHeight="false" outlineLevel="0" collapsed="false">
      <c r="A13694" s="0" t="s">
        <v>1061</v>
      </c>
      <c r="B13694" s="0" t="s">
        <v>98</v>
      </c>
      <c r="F13694" s="6" t="n">
        <f aca="false">Seg!F22*(al_srch+Sens!F13689+sbc_r)</f>
        <v>11.1981144415922</v>
      </c>
      <c r="G13694" s="6" t="n">
        <f aca="false">Seg!G22*(al_srch+Sens!G13689+sbc_r)</f>
        <v>12.2607925441521</v>
      </c>
      <c r="H13694" s="6" t="n">
        <f aca="false">Seg!H22*(al_srch+Sens!H13689+sbc_r)</f>
        <v>13.3712787172501</v>
      </c>
      <c r="I13694" s="6" t="n">
        <f aca="false">Seg!I22*(al_srch+Sens!I13689+sbc_r)</f>
        <v>14.5205713773955</v>
      </c>
      <c r="J13694" s="6" t="n">
        <f aca="false">Seg!J22*(al_srch+Sens!J13689+sbc_r)</f>
        <v>15.6873363367184</v>
      </c>
      <c r="K13694" s="6" t="n">
        <f aca="false">Seg!K22*(al_srch+Sens!K13689+sbc_r)</f>
        <v>16.8403848378749</v>
      </c>
    </row>
    <row r="13695" customFormat="false" ht="17.15" hidden="false" customHeight="false" outlineLevel="0" collapsed="false">
      <c r="A13695" s="0" t="s">
        <v>1062</v>
      </c>
      <c r="B13695" s="0" t="s">
        <v>98</v>
      </c>
      <c r="F13695" s="6" t="n">
        <f aca="false">Thesis!F29-Thesis!F30+Thesis!F44</f>
        <v>55.6743052939671</v>
      </c>
      <c r="G13695" s="6" t="n">
        <f aca="false">Thesis!G29-Thesis!G30+Thesis!G44</f>
        <v>100.2533125707</v>
      </c>
      <c r="H13695" s="6" t="n">
        <f aca="false">Thesis!H29-Thesis!H30+Thesis!H44</f>
        <v>152.31255014234</v>
      </c>
      <c r="I13695" s="6" t="n">
        <f aca="false">Thesis!I29-Thesis!I30+Thesis!I44</f>
        <v>194.041990076394</v>
      </c>
      <c r="J13695" s="6" t="n">
        <f aca="false">Thesis!J29-Thesis!J30+Thesis!J44</f>
        <v>223.463148273617</v>
      </c>
      <c r="K13695" s="6" t="n">
        <f aca="false">Thesis!K29-Thesis!K30+Thesis!K44</f>
        <v>241.312249272487</v>
      </c>
    </row>
    <row r="13696" customFormat="false" ht="17.15" hidden="false" customHeight="false" outlineLevel="0" collapsed="false">
      <c r="A13696" s="0" t="s">
        <v>1063</v>
      </c>
      <c r="B13696" s="0" t="s">
        <v>98</v>
      </c>
      <c r="F13696" s="6" t="n">
        <f aca="false">PL!F32+Thesis!F44+Thesis!F40+Sens!F13689*(Seg!F21-Thesis!F23)+sbc_r*Seg!F21</f>
        <v>247.769309676659</v>
      </c>
      <c r="G13696" s="6" t="n">
        <f aca="false">PL!G32+Thesis!G44+Thesis!G40+Sens!G13689*(Seg!G21-Thesis!G23)+sbc_r*Seg!G21</f>
        <v>321.625870182006</v>
      </c>
      <c r="H13696" s="6" t="n">
        <f aca="false">PL!H32+Thesis!H44+Thesis!H40+Sens!H13689*(Seg!H21-Thesis!H23)+sbc_r*Seg!H21</f>
        <v>403.668756829163</v>
      </c>
      <c r="I13696" s="6" t="n">
        <f aca="false">PL!I32+Thesis!I44+Thesis!I40+Sens!I13689*(Seg!I21-Thesis!I23)+sbc_r*Seg!I21</f>
        <v>473.311817063846</v>
      </c>
      <c r="J13696" s="6" t="n">
        <f aca="false">PL!J32+Thesis!J44+Thesis!J40+Sens!J13689*(Seg!J21-Thesis!J23)+sbc_r*Seg!J21</f>
        <v>527.683171494685</v>
      </c>
      <c r="K13696" s="6" t="n">
        <f aca="false">PL!K32+Thesis!K44+Thesis!K40+Sens!K13689*(Seg!K21-Thesis!K23)+sbc_r*Seg!K21</f>
        <v>568.060513693045</v>
      </c>
    </row>
    <row r="13697" customFormat="false" ht="17.15" hidden="false" customHeight="false" outlineLevel="0" collapsed="false">
      <c r="A13697" s="0" t="s">
        <v>1064</v>
      </c>
      <c r="B13697" s="0" t="s">
        <v>98</v>
      </c>
      <c r="F13697" s="6" t="n">
        <f aca="false">Sens!F13696-Sens!F13690-Sens!F13691-Sens!F13692-Sens!F13693-Sens!F13695</f>
        <v>61.0863760939514</v>
      </c>
      <c r="G13697" s="6" t="n">
        <f aca="false">Sens!G13696-Sens!G13690-Sens!G13691-Sens!G13692-Sens!G13693-Sens!G13695</f>
        <v>73.6219021413484</v>
      </c>
      <c r="H13697" s="6" t="n">
        <f aca="false">Sens!H13696-Sens!H13690-Sens!H13691-Sens!H13692-Sens!H13693-Sens!H13695</f>
        <v>86.7020599590046</v>
      </c>
      <c r="I13697" s="6" t="n">
        <f aca="false">Sens!I13696-Sens!I13690-Sens!I13691-Sens!I13692-Sens!I13693-Sens!I13695</f>
        <v>99.2495427073239</v>
      </c>
      <c r="J13697" s="6" t="n">
        <f aca="false">Sens!J13696-Sens!J13690-Sens!J13691-Sens!J13692-Sens!J13693-Sens!J13695</f>
        <v>110.596579910238</v>
      </c>
      <c r="K13697" s="6" t="n">
        <f aca="false">Sens!K13696-Sens!K13690-Sens!K13691-Sens!K13692-Sens!K13693-Sens!K13695</f>
        <v>120.01555725587</v>
      </c>
    </row>
    <row r="13698" customFormat="false" ht="17.15" hidden="false" customHeight="false" outlineLevel="0" collapsed="false">
      <c r="A13698" s="0" t="s">
        <v>1065</v>
      </c>
      <c r="B13698" s="0" t="s">
        <v>98</v>
      </c>
      <c r="F13698" s="6" t="n">
        <f aca="false">PL!F34+Sens!F13689*Seg!F28+sbc_r*Seg!F28</f>
        <v>26.1717931813002</v>
      </c>
      <c r="G13698" s="6" t="n">
        <f aca="false">PL!G34+Sens!G13689*Seg!G28+sbc_r*Seg!G28</f>
        <v>26.7581197754446</v>
      </c>
      <c r="H13698" s="6" t="n">
        <f aca="false">PL!H34+Sens!H13689*Seg!H28+sbc_r*Seg!H28</f>
        <v>27.6201174920951</v>
      </c>
      <c r="I13698" s="6" t="n">
        <f aca="false">PL!I34+Sens!I13689*Seg!I28+sbc_r*Seg!I28</f>
        <v>28.7296306530919</v>
      </c>
      <c r="J13698" s="6" t="n">
        <f aca="false">PL!J34+Sens!J13689*Seg!J28+sbc_r*Seg!J28</f>
        <v>30.04749983899</v>
      </c>
      <c r="K13698" s="6" t="n">
        <f aca="false">PL!K34+Sens!K13689*Seg!K28+sbc_r*Seg!K28</f>
        <v>31.5292329023825</v>
      </c>
    </row>
    <row r="13699" customFormat="false" ht="17.15" hidden="false" customHeight="false" outlineLevel="0" collapsed="false">
      <c r="A13699" s="0" t="s">
        <v>1066</v>
      </c>
      <c r="B13699" s="0" t="s">
        <v>98</v>
      </c>
      <c r="F13699" s="6" t="n">
        <f aca="false">(Sens!F13698-Sens!F13694)*Seg!F24/(Seg!F24+Seg!F26)</f>
        <v>8.20842484359027</v>
      </c>
      <c r="G13699" s="6" t="n">
        <f aca="false">(Sens!G13698-Sens!G13694)*Seg!G24/(Seg!G24+Seg!G26)</f>
        <v>7.80559384110416</v>
      </c>
      <c r="H13699" s="6" t="n">
        <f aca="false">(Sens!H13698-Sens!H13694)*Seg!H24/(Seg!H24+Seg!H26)</f>
        <v>7.56817041839156</v>
      </c>
      <c r="I13699" s="6" t="n">
        <f aca="false">(Sens!I13698-Sens!I13694)*Seg!I24/(Seg!I24+Seg!I26)</f>
        <v>7.47875608696462</v>
      </c>
      <c r="J13699" s="6" t="n">
        <f aca="false">(Sens!J13698-Sens!J13694)*Seg!J24/(Seg!J24+Seg!J26)</f>
        <v>7.52410955955578</v>
      </c>
      <c r="K13699" s="6" t="n">
        <f aca="false">(Sens!K13698-Sens!K13694)*Seg!K24/(Seg!K24+Seg!K26)</f>
        <v>7.6963261681206</v>
      </c>
    </row>
    <row r="13700" customFormat="false" ht="17.15" hidden="false" customHeight="false" outlineLevel="0" collapsed="false">
      <c r="A13700" s="0" t="s">
        <v>1067</v>
      </c>
      <c r="B13700" s="0" t="s">
        <v>98</v>
      </c>
      <c r="F13700" s="6" t="n">
        <f aca="false">Sens!F13698-Sens!F13694-Sens!F13699</f>
        <v>6.76525389611778</v>
      </c>
      <c r="G13700" s="6" t="n">
        <f aca="false">Sens!G13698-Sens!G13694-Sens!G13699</f>
        <v>6.69173339018827</v>
      </c>
      <c r="H13700" s="6" t="n">
        <f aca="false">Sens!H13698-Sens!H13694-Sens!H13699</f>
        <v>6.68066835645346</v>
      </c>
      <c r="I13700" s="6" t="n">
        <f aca="false">Sens!I13698-Sens!I13694-Sens!I13699</f>
        <v>6.73030318873177</v>
      </c>
      <c r="J13700" s="6" t="n">
        <f aca="false">Sens!J13698-Sens!J13694-Sens!J13699</f>
        <v>6.83605394271588</v>
      </c>
      <c r="K13700" s="6" t="n">
        <f aca="false">Sens!K13698-Sens!K13694-Sens!K13699</f>
        <v>6.99252189638696</v>
      </c>
    </row>
    <row r="13701" customFormat="false" ht="17.15" hidden="false" customHeight="false" outlineLevel="0" collapsed="false">
      <c r="A13701" s="0" t="s">
        <v>1068</v>
      </c>
      <c r="B13701" s="0" t="s">
        <v>98</v>
      </c>
      <c r="F13701" s="6" t="n">
        <f aca="false">Sens!F13695-tax_f*(Sens!F13695-Thesis!F40)-Thesis!F37</f>
        <v>-116.98560144409</v>
      </c>
      <c r="G13701" s="6" t="n">
        <f aca="false">Sens!G13695-tax_f*(Sens!G13695-Thesis!G40)-Thesis!G37</f>
        <v>-91.2751837745719</v>
      </c>
      <c r="H13701" s="6" t="n">
        <f aca="false">Sens!H13695-tax_f*(Sens!H13695-Thesis!H40)-Thesis!H37</f>
        <v>-48.6867825979003</v>
      </c>
      <c r="I13701" s="6" t="n">
        <f aca="false">Sens!I13695-tax_f*(Sens!I13695-Thesis!I40)-Thesis!I37</f>
        <v>13.9193309033143</v>
      </c>
      <c r="J13701" s="6" t="n">
        <f aca="false">Sens!J13695-tax_f*(Sens!J13695-Thesis!J40)-Thesis!J37</f>
        <v>80.0897840853365</v>
      </c>
      <c r="K13701" s="6" t="n">
        <f aca="false">Sens!K13695-tax_f*(Sens!K13695-Thesis!K40)-Thesis!K37</f>
        <v>106.014893136948</v>
      </c>
    </row>
    <row r="13702" customFormat="false" ht="17.15" hidden="false" customHeight="false" outlineLevel="0" collapsed="false">
      <c r="A13702" s="0" t="s">
        <v>1069</v>
      </c>
      <c r="B13702" s="0" t="s">
        <v>98</v>
      </c>
      <c r="F13702" s="6" t="n">
        <f aca="false">Sens!F13701*Sens!F13675</f>
        <v>-111.392914502638</v>
      </c>
      <c r="G13702" s="6" t="n">
        <f aca="false">Sens!G13701*Sens!G13675</f>
        <v>-78.8003561967933</v>
      </c>
      <c r="H13702" s="6" t="n">
        <f aca="false">Sens!H13701*Sens!H13675</f>
        <v>-38.1098158303589</v>
      </c>
      <c r="I13702" s="6" t="n">
        <f aca="false">Sens!I13701*Sens!I13675</f>
        <v>9.87857822946124</v>
      </c>
      <c r="J13702" s="6" t="n">
        <f aca="false">Sens!J13701*Sens!J13675</f>
        <v>51.5351466908437</v>
      </c>
      <c r="K13702" s="6" t="n">
        <f aca="false">Sens!K13701*Sens!K13675</f>
        <v>61.8505524851231</v>
      </c>
    </row>
    <row r="13703" customFormat="false" ht="17.15" hidden="false" customHeight="false" outlineLevel="0" collapsed="false">
      <c r="A13703" s="0" t="s">
        <v>1070</v>
      </c>
      <c r="B13703" s="0" t="s">
        <v>98</v>
      </c>
      <c r="C13703" s="6" t="n">
        <f aca="false">(Sens!K13695-Thesis!K40)*(1-tax_f)*(1+g_tv)*(1-g_tv/(wacc+ronic_prem))/(wacc-g_tv)/(1+wacc)^(Sens!K13674+mid_yr)</f>
        <v>452.215034963772</v>
      </c>
    </row>
    <row r="13704" customFormat="false" ht="17.15" hidden="false" customHeight="false" outlineLevel="0" collapsed="false">
      <c r="A13704" s="1" t="s">
        <v>1071</v>
      </c>
      <c r="B13704" s="0" t="s">
        <v>98</v>
      </c>
      <c r="C13704" s="6" t="n">
        <f aca="false">(SUM(Sens!F13702:K13702)+Sens!$C$13703)*(1+wacc)^t_roll</f>
        <v>395.341160412867</v>
      </c>
      <c r="L13704" s="11" t="s">
        <v>1072</v>
      </c>
    </row>
    <row r="13705" customFormat="false" ht="17.15" hidden="false" customHeight="false" outlineLevel="0" collapsed="false">
      <c r="A13705" s="1" t="s">
        <v>1073</v>
      </c>
      <c r="B13705" s="0" t="s">
        <v>98</v>
      </c>
      <c r="C13705" s="6" t="n">
        <f aca="false">(w_ntm28*Thesis!G29+(1-w_ntm28)*Thesis!H29)*m_ai</f>
        <v>551.711134531404</v>
      </c>
    </row>
    <row r="13706" customFormat="false" ht="17.15" hidden="false" customHeight="false" outlineLevel="0" collapsed="false">
      <c r="A13706" s="1" t="s">
        <v>1074</v>
      </c>
      <c r="B13706" s="0" t="s">
        <v>98</v>
      </c>
      <c r="C13706" s="6" t="n">
        <f aca="false">(w_ntm28*Sens!G13697+(1-w_ntm28)*Sens!H13697)*m_cloud</f>
        <v>1075.89468255979</v>
      </c>
    </row>
    <row r="13707" customFormat="false" ht="17.15" hidden="false" customHeight="false" outlineLevel="0" collapsed="false">
      <c r="A13707" s="1" t="s">
        <v>1075</v>
      </c>
      <c r="B13707" s="0" t="s">
        <v>98</v>
      </c>
      <c r="C13707" s="6" t="n">
        <f aca="false">(w_ntm28*Sens!G13690+(1-w_ntm28)*Sens!H13690)*m_sw</f>
        <v>1124.90844188024</v>
      </c>
    </row>
    <row r="13708" customFormat="false" ht="17.15" hidden="false" customHeight="false" outlineLevel="0" collapsed="false">
      <c r="A13708" s="1" t="s">
        <v>1076</v>
      </c>
      <c r="B13708" s="0" t="s">
        <v>98</v>
      </c>
      <c r="C13708" s="6" t="n">
        <f aca="false">(w_ntm28*Sens!G13691+(1-w_ntm28)*Sens!H13691)*m_sw</f>
        <v>379.14616828134</v>
      </c>
    </row>
    <row r="13709" customFormat="false" ht="17.15" hidden="false" customHeight="false" outlineLevel="0" collapsed="false">
      <c r="A13709" s="1" t="s">
        <v>1077</v>
      </c>
      <c r="B13709" s="0" t="s">
        <v>98</v>
      </c>
      <c r="C13709" s="6" t="n">
        <f aca="false">(w_ntm28*Sens!G13692+(1-w_ntm28)*Sens!H13692)*m_sw</f>
        <v>109.062013245671</v>
      </c>
    </row>
    <row r="13710" customFormat="false" ht="17.15" hidden="false" customHeight="false" outlineLevel="0" collapsed="false">
      <c r="A13710" s="1" t="s">
        <v>1078</v>
      </c>
      <c r="B13710" s="0" t="s">
        <v>98</v>
      </c>
      <c r="C13710" s="6" t="n">
        <f aca="false">(w_ntm28*Sens!G13693+(1-w_ntm28)*Sens!H13693)*m_sw</f>
        <v>41.609111172448</v>
      </c>
    </row>
    <row r="13711" customFormat="false" ht="17.15" hidden="false" customHeight="false" outlineLevel="0" collapsed="false">
      <c r="A13711" s="1" t="s">
        <v>1079</v>
      </c>
      <c r="B13711" s="0" t="s">
        <v>98</v>
      </c>
      <c r="C13711" s="6" t="n">
        <f aca="false">(w_ntm28*Sens!G13694+(1-w_ntm28)*Sens!H13694)*m_ads</f>
        <v>114.966369190532</v>
      </c>
    </row>
    <row r="13712" customFormat="false" ht="17.15" hidden="false" customHeight="false" outlineLevel="0" collapsed="false">
      <c r="A13712" s="1" t="s">
        <v>1080</v>
      </c>
      <c r="B13712" s="0" t="s">
        <v>98</v>
      </c>
      <c r="C13712" s="6" t="n">
        <f aca="false">(w_ntm28*Sens!G13699+(1-w_ntm28)*Sens!H13699)*m_game</f>
        <v>97.6152211068291</v>
      </c>
    </row>
    <row r="13713" customFormat="false" ht="17.15" hidden="false" customHeight="false" outlineLevel="0" collapsed="false">
      <c r="A13713" s="1" t="s">
        <v>1081</v>
      </c>
      <c r="B13713" s="0" t="s">
        <v>98</v>
      </c>
      <c r="C13713" s="6" t="n">
        <f aca="false">(w_ntm28*Sens!G13700+(1-w_ntm28)*Sens!H13700)*m_pc</f>
        <v>96.7776202313644</v>
      </c>
    </row>
    <row r="13714" customFormat="false" ht="17.15" hidden="false" customHeight="false" outlineLevel="0" collapsed="false">
      <c r="A13714" s="1" t="s">
        <v>1082</v>
      </c>
      <c r="B13714" s="0" t="s">
        <v>98</v>
      </c>
      <c r="C13714" s="6" t="n">
        <f aca="false">Sens!$C$13704+Sens!$C$13706+Sens!$C$13707+Sens!$C$13708+Sens!$C$13709+Sens!$C$13710+Sens!$C$13711+Sens!$C$13712+Sens!$C$13713</f>
        <v>3435.32078808108</v>
      </c>
    </row>
    <row r="13715" customFormat="false" ht="17.15" hidden="false" customHeight="false" outlineLevel="0" collapsed="false">
      <c r="A13715" s="1" t="s">
        <v>1000</v>
      </c>
      <c r="B13715" s="0" t="s">
        <v>98</v>
      </c>
      <c r="C13715" s="6" t="n">
        <f aca="false">CF!F36+(oai_stake_hi*oai_val*(1-liq_disc))-CF!F25</f>
        <v>128.711583119545</v>
      </c>
      <c r="L13715" s="1" t="s">
        <v>1083</v>
      </c>
    </row>
    <row r="13716" customFormat="false" ht="15" hidden="false" customHeight="false" outlineLevel="0" collapsed="false">
      <c r="A13716" s="1" t="s">
        <v>1001</v>
      </c>
      <c r="B13716" s="0" t="s">
        <v>75</v>
      </c>
      <c r="C13716" s="5" t="n">
        <f aca="false">(Sens!$C$13714+Sens!$C$13715)/CF!F38</f>
        <v>476.985060385523</v>
      </c>
    </row>
    <row r="13717" customFormat="false" ht="17.15" hidden="false" customHeight="false" outlineLevel="0" collapsed="false">
      <c r="A13717" s="1" t="s">
        <v>1084</v>
      </c>
      <c r="B13717" s="0" t="s">
        <v>75</v>
      </c>
      <c r="C13717" s="5" t="n">
        <f aca="false">w_dcf*Sens!$C$13688+(1-w_dcf)*Sens!$C$13716</f>
        <v>430.592694545808</v>
      </c>
    </row>
    <row r="13718" customFormat="false" ht="17.15" hidden="false" customHeight="false" outlineLevel="0" collapsed="false">
      <c r="A13718" s="3" t="s">
        <v>1588</v>
      </c>
    </row>
    <row r="13719" customFormat="false" ht="15" hidden="false" customHeight="false" outlineLevel="0" collapsed="false">
      <c r="A13719" s="4" t="s">
        <v>43</v>
      </c>
      <c r="B13719" s="4" t="s">
        <v>65</v>
      </c>
      <c r="C13719" s="20" t="s">
        <v>788</v>
      </c>
      <c r="D13719" s="20" t="s">
        <v>789</v>
      </c>
      <c r="E13719" s="20" t="s">
        <v>790</v>
      </c>
      <c r="F13719" s="20" t="s">
        <v>791</v>
      </c>
      <c r="G13719" s="20" t="s">
        <v>792</v>
      </c>
      <c r="H13719" s="20" t="s">
        <v>793</v>
      </c>
      <c r="I13719" s="20" t="s">
        <v>794</v>
      </c>
      <c r="J13719" s="20" t="s">
        <v>795</v>
      </c>
      <c r="K13719" s="20" t="s">
        <v>796</v>
      </c>
      <c r="L13719" s="4" t="s">
        <v>47</v>
      </c>
    </row>
    <row r="13720" customFormat="false" ht="15" hidden="false" customHeight="false" outlineLevel="0" collapsed="false">
      <c r="A13720" s="1" t="s">
        <v>1042</v>
      </c>
      <c r="B13720" s="1" t="s">
        <v>235</v>
      </c>
      <c r="F13720" s="36" t="n">
        <f aca="false">Thesis!F55-base_fy-mid_yr</f>
        <v>0.5</v>
      </c>
      <c r="G13720" s="36" t="n">
        <f aca="false">Thesis!G55-base_fy-mid_yr</f>
        <v>1.5</v>
      </c>
      <c r="H13720" s="36" t="n">
        <f aca="false">Thesis!H55-base_fy-mid_yr</f>
        <v>2.5</v>
      </c>
      <c r="I13720" s="36" t="n">
        <f aca="false">Thesis!I55-base_fy-mid_yr</f>
        <v>3.5</v>
      </c>
      <c r="J13720" s="36" t="n">
        <f aca="false">Thesis!J55-base_fy-mid_yr</f>
        <v>4.5</v>
      </c>
      <c r="K13720" s="36" t="n">
        <f aca="false">Thesis!K55-base_fy-mid_yr</f>
        <v>5.5</v>
      </c>
    </row>
    <row r="13721" customFormat="false" ht="15" hidden="false" customHeight="false" outlineLevel="0" collapsed="false">
      <c r="A13721" s="1" t="s">
        <v>1043</v>
      </c>
      <c r="B13721" s="0" t="s">
        <v>185</v>
      </c>
      <c r="F13721" s="14" t="n">
        <f aca="false">1/(1+wacc)^Sens!F13720</f>
        <v>0.952193373608246</v>
      </c>
      <c r="G13721" s="14" t="n">
        <f aca="false">1/(1+wacc)^Sens!G13720</f>
        <v>0.863327280626589</v>
      </c>
      <c r="H13721" s="14" t="n">
        <f aca="false">1/(1+wacc)^Sens!H13720</f>
        <v>0.782754862754115</v>
      </c>
      <c r="I13721" s="14" t="n">
        <f aca="false">1/(1+wacc)^Sens!I13720</f>
        <v>0.709702089711011</v>
      </c>
      <c r="J13721" s="14" t="n">
        <f aca="false">1/(1+wacc)^Sens!J13720</f>
        <v>0.643467169744551</v>
      </c>
      <c r="K13721" s="14" t="n">
        <f aca="false">1/(1+wacc)^Sens!K13720</f>
        <v>0.583413807767797</v>
      </c>
    </row>
    <row r="13722" customFormat="false" ht="17.15" hidden="false" customHeight="false" outlineLevel="0" collapsed="false">
      <c r="A13722" s="1" t="s">
        <v>1044</v>
      </c>
      <c r="B13722" s="0" t="s">
        <v>98</v>
      </c>
      <c r="F13722" s="6" t="n">
        <f aca="false">CF!F50-CF!F48-CF!F53+Thesis!F93*(1-tax_f)</f>
        <v>6.35272982150552</v>
      </c>
      <c r="G13722" s="6" t="n">
        <f aca="false">CF!G50-CF!G48-CF!G53+Thesis!G93*(1-tax_f)</f>
        <v>46.5420417324757</v>
      </c>
      <c r="H13722" s="6" t="n">
        <f aca="false">CF!H50-CF!H48-CF!H53+Thesis!H93*(1-tax_f)</f>
        <v>95.2982347048119</v>
      </c>
      <c r="I13722" s="6" t="n">
        <f aca="false">CF!I50-CF!I48-CF!I53+Thesis!I93*(1-tax_f)</f>
        <v>168.760108332815</v>
      </c>
      <c r="J13722" s="6" t="n">
        <f aca="false">CF!J50-CF!J48-CF!J53+Thesis!J93*(1-tax_f)</f>
        <v>246.10903404452</v>
      </c>
      <c r="K13722" s="6" t="n">
        <f aca="false">CF!K50-CF!K48-CF!K53+Thesis!K93*(1-tax_f)</f>
        <v>283.7365778763</v>
      </c>
      <c r="L13722" s="1" t="s">
        <v>1045</v>
      </c>
    </row>
    <row r="13723" customFormat="false" ht="15" hidden="false" customHeight="false" outlineLevel="0" collapsed="false">
      <c r="A13723" s="1" t="s">
        <v>1046</v>
      </c>
      <c r="B13723" s="0" t="s">
        <v>98</v>
      </c>
      <c r="F13723" s="6" t="n">
        <f aca="false">Sens!F13722*Sens!F13721</f>
        <v>6.04902724036105</v>
      </c>
      <c r="G13723" s="6" t="n">
        <f aca="false">Sens!G13722*Sens!G13721</f>
        <v>40.1810143237074</v>
      </c>
      <c r="H13723" s="6" t="n">
        <f aca="false">Sens!H13722*Sens!H13721</f>
        <v>74.5951566270745</v>
      </c>
      <c r="I13723" s="6" t="n">
        <f aca="false">Sens!I13722*Sens!I13721</f>
        <v>119.769401543655</v>
      </c>
      <c r="J13723" s="6" t="n">
        <f aca="false">Sens!J13722*Sens!J13721</f>
        <v>158.363083585193</v>
      </c>
      <c r="K13723" s="6" t="n">
        <f aca="false">Sens!K13722*Sens!K13721</f>
        <v>165.535837301816</v>
      </c>
    </row>
    <row r="13724" customFormat="false" ht="17.15" hidden="false" customHeight="false" outlineLevel="0" collapsed="false">
      <c r="A13724" s="1" t="s">
        <v>1047</v>
      </c>
      <c r="B13724" s="0" t="s">
        <v>98</v>
      </c>
      <c r="C13724" s="6" t="n">
        <f aca="false">SUM(Sens!F13723:K13723)</f>
        <v>564.493520621807</v>
      </c>
    </row>
    <row r="13725" customFormat="false" ht="17.15" hidden="false" customHeight="false" outlineLevel="0" collapsed="false">
      <c r="A13725" s="1" t="s">
        <v>1048</v>
      </c>
      <c r="B13725" s="0" t="s">
        <v>98</v>
      </c>
      <c r="C13725" s="6" t="n">
        <f aca="false">PL!K78*(1+g_tv)*(1-tax_f)</f>
        <v>293.76437880412</v>
      </c>
    </row>
    <row r="13726" customFormat="false" ht="17.15" hidden="false" customHeight="false" outlineLevel="0" collapsed="false">
      <c r="A13726" s="1" t="s">
        <v>1049</v>
      </c>
      <c r="B13726" s="0" t="s">
        <v>98</v>
      </c>
      <c r="C13726" s="6" t="n">
        <f aca="false">Sens!$C$13725*(1-g_tv/(wacc+ronic_prem))</f>
        <v>208.147426222351</v>
      </c>
    </row>
    <row r="13727" customFormat="false" ht="17.15" hidden="false" customHeight="false" outlineLevel="0" collapsed="false">
      <c r="A13727" s="1" t="s">
        <v>1050</v>
      </c>
      <c r="B13727" s="0" t="s">
        <v>98</v>
      </c>
      <c r="C13727" s="6" t="n">
        <f aca="false">Sens!$C$13726/(wacc-g_tv)</f>
        <v>2853.89841939229</v>
      </c>
    </row>
    <row r="13728" customFormat="false" ht="15" hidden="false" customHeight="false" outlineLevel="0" collapsed="false">
      <c r="A13728" s="1" t="s">
        <v>1051</v>
      </c>
      <c r="B13728" s="0" t="s">
        <v>98</v>
      </c>
      <c r="C13728" s="6" t="n">
        <f aca="false">Sens!$C$13727/(1+wacc)^(Sens!K13720+mid_yr)</f>
        <v>1585.40553191752</v>
      </c>
    </row>
    <row r="13729" customFormat="false" ht="17.15" hidden="false" customHeight="false" outlineLevel="0" collapsed="false">
      <c r="A13729" s="0" t="s">
        <v>972</v>
      </c>
      <c r="B13729" s="0" t="s">
        <v>98</v>
      </c>
      <c r="C13729" s="6" t="n">
        <f aca="false">Sens!$C$13724+Sens!$C$13728</f>
        <v>2149.89905253932</v>
      </c>
    </row>
    <row r="13730" customFormat="false" ht="15" hidden="false" customHeight="false" outlineLevel="0" collapsed="false">
      <c r="A13730" s="1" t="s">
        <v>973</v>
      </c>
      <c r="B13730" s="0" t="s">
        <v>129</v>
      </c>
      <c r="C13730" s="7" t="n">
        <f aca="false">Sens!$C$13728/Sens!$C$13729</f>
        <v>0.737432545981606</v>
      </c>
    </row>
    <row r="13731" customFormat="false" ht="17.15" hidden="false" customHeight="false" outlineLevel="0" collapsed="false">
      <c r="A13731" s="1" t="s">
        <v>1052</v>
      </c>
      <c r="B13731" s="0" t="s">
        <v>98</v>
      </c>
      <c r="C13731" s="6" t="n">
        <f aca="false">Sens!$C$13729+CF!E65-CF!E54+(oai_stake_hi*oai_val*(1-liq_disc))</f>
        <v>2298.04405253932</v>
      </c>
    </row>
    <row r="13732" customFormat="false" ht="17.15" hidden="false" customHeight="false" outlineLevel="0" collapsed="false">
      <c r="A13732" s="0" t="s">
        <v>980</v>
      </c>
      <c r="B13732" s="0" t="s">
        <v>75</v>
      </c>
      <c r="C13732" s="5" t="n">
        <f aca="false">Sens!$C$13731/sh_dil26</f>
        <v>308.338125927723</v>
      </c>
    </row>
    <row r="13733" customFormat="false" ht="15" hidden="false" customHeight="false" outlineLevel="0" collapsed="false">
      <c r="A13733" s="1" t="s">
        <v>1053</v>
      </c>
      <c r="B13733" s="0" t="s">
        <v>75</v>
      </c>
      <c r="C13733" s="8" t="n">
        <f aca="false">dps_27+CF!G57*roll_div_q/q_per_yr</f>
        <v>4.8895</v>
      </c>
    </row>
    <row r="13734" customFormat="false" ht="17.15" hidden="false" customHeight="false" outlineLevel="0" collapsed="false">
      <c r="A13734" s="0" t="s">
        <v>1054</v>
      </c>
      <c r="B13734" s="0" t="s">
        <v>75</v>
      </c>
      <c r="C13734" s="5" t="n">
        <f aca="false">Sens!$C$13732*(1+wacc)^t_roll-Sens!$C$13733</f>
        <v>346.225419257692</v>
      </c>
    </row>
    <row r="13735" customFormat="false" ht="17.15" hidden="false" customHeight="false" outlineLevel="0" collapsed="false">
      <c r="A13735" s="1" t="s">
        <v>1055</v>
      </c>
      <c r="B13735" s="0" t="s">
        <v>129</v>
      </c>
      <c r="F13735" s="7" t="n">
        <f aca="false">CF!F46/(Seg!F56-Thesis!F72)</f>
        <v>0.0684307874075333</v>
      </c>
      <c r="G13735" s="7" t="n">
        <f aca="false">CF!G46/(Seg!G56-Thesis!G72)</f>
        <v>0.0656456058503526</v>
      </c>
      <c r="H13735" s="7" t="n">
        <f aca="false">CF!H46/(Seg!H56-Thesis!H72)</f>
        <v>0.0641950889132003</v>
      </c>
      <c r="I13735" s="7" t="n">
        <f aca="false">CF!I46/(Seg!I56-Thesis!I72)</f>
        <v>0.063960269667854</v>
      </c>
      <c r="J13735" s="7" t="n">
        <f aca="false">CF!J46/(Seg!J56-Thesis!J72)</f>
        <v>0.0646607917002597</v>
      </c>
      <c r="K13735" s="7" t="n">
        <f aca="false">CF!K46/(Seg!K56-Thesis!K72)</f>
        <v>0.0659511546529383</v>
      </c>
    </row>
    <row r="13736" customFormat="false" ht="17.15" hidden="false" customHeight="false" outlineLevel="0" collapsed="false">
      <c r="A13736" s="0" t="s">
        <v>1056</v>
      </c>
      <c r="B13736" s="0" t="s">
        <v>98</v>
      </c>
      <c r="F13736" s="6" t="n">
        <f aca="false">Seg!F41*(al_m365+Sens!F13735+sbc_r)</f>
        <v>83.9158372980923</v>
      </c>
      <c r="G13736" s="6" t="n">
        <f aca="false">Seg!G41*(al_m365+Sens!G13735+sbc_r)</f>
        <v>96.3459139664276</v>
      </c>
      <c r="H13736" s="6" t="n">
        <f aca="false">Seg!H41*(al_m365+Sens!H13735+sbc_r)</f>
        <v>108.939128787393</v>
      </c>
      <c r="I13736" s="6" t="n">
        <f aca="false">Seg!I41*(al_m365+Sens!I13735+sbc_r)</f>
        <v>120.51456797186</v>
      </c>
      <c r="J13736" s="6" t="n">
        <f aca="false">Seg!J41*(al_m365+Sens!J13735+sbc_r)</f>
        <v>130.883844402211</v>
      </c>
      <c r="K13736" s="6" t="n">
        <f aca="false">Seg!K41*(al_m365+Sens!K13735+sbc_r)</f>
        <v>140.862269296832</v>
      </c>
      <c r="L13736" s="11" t="s">
        <v>1057</v>
      </c>
    </row>
    <row r="13737" customFormat="false" ht="17.15" hidden="false" customHeight="false" outlineLevel="0" collapsed="false">
      <c r="A13737" s="0" t="s">
        <v>1058</v>
      </c>
      <c r="B13737" s="0" t="s">
        <v>98</v>
      </c>
      <c r="F13737" s="6" t="n">
        <f aca="false">Seg!F42*(al_lic+Sens!F13735+sbc_r)</f>
        <v>33.4384115342236</v>
      </c>
      <c r="G13737" s="6" t="n">
        <f aca="false">Seg!G42*(al_lic+Sens!G13735+sbc_r)</f>
        <v>34.7409063621757</v>
      </c>
      <c r="H13737" s="6" t="n">
        <f aca="false">Seg!H42*(al_lic+Sens!H13735+sbc_r)</f>
        <v>35.9566740351293</v>
      </c>
      <c r="I13737" s="6" t="n">
        <f aca="false">Seg!I42*(al_lic+Sens!I13735+sbc_r)</f>
        <v>37.0672966580049</v>
      </c>
      <c r="J13737" s="6" t="n">
        <f aca="false">Seg!J42*(al_lic+Sens!J13735+sbc_r)</f>
        <v>38.0469841498966</v>
      </c>
      <c r="K13737" s="6" t="n">
        <f aca="false">Seg!K42*(al_lic+Sens!K13735+sbc_r)</f>
        <v>38.8666958490701</v>
      </c>
    </row>
    <row r="13738" customFormat="false" ht="17.15" hidden="false" customHeight="false" outlineLevel="0" collapsed="false">
      <c r="A13738" s="0" t="s">
        <v>1059</v>
      </c>
      <c r="B13738" s="0" t="s">
        <v>98</v>
      </c>
      <c r="F13738" s="6" t="n">
        <f aca="false">Seg!F44*(al_ind+Sens!F13735+sbc_r)</f>
        <v>9.07285900381439</v>
      </c>
      <c r="G13738" s="6" t="n">
        <f aca="false">Seg!G44*(al_ind+Sens!G13735+sbc_r)</f>
        <v>9.84969160470639</v>
      </c>
      <c r="H13738" s="6" t="n">
        <f aca="false">Seg!H44*(al_ind+Sens!H13735+sbc_r)</f>
        <v>10.6714469126029</v>
      </c>
      <c r="I13738" s="6" t="n">
        <f aca="false">Seg!I44*(al_ind+Sens!I13735+sbc_r)</f>
        <v>11.5350820765572</v>
      </c>
      <c r="J13738" s="6" t="n">
        <f aca="false">Seg!J44*(al_ind+Sens!J13735+sbc_r)</f>
        <v>12.4308815351832</v>
      </c>
      <c r="K13738" s="6" t="n">
        <f aca="false">Seg!K44*(al_ind+Sens!K13735+sbc_r)</f>
        <v>13.3437330974691</v>
      </c>
    </row>
    <row r="13739" customFormat="false" ht="17.15" hidden="false" customHeight="false" outlineLevel="0" collapsed="false">
      <c r="A13739" s="0" t="s">
        <v>1060</v>
      </c>
      <c r="B13739" s="0" t="s">
        <v>98</v>
      </c>
      <c r="F13739" s="6" t="n">
        <f aca="false">Seg!F46*(al_fro+Sens!F13735+sbc_r)</f>
        <v>3.5711091569032</v>
      </c>
      <c r="G13739" s="6" t="n">
        <f aca="false">Seg!G46*(al_fro+Sens!G13735+sbc_r)</f>
        <v>3.78169924595694</v>
      </c>
      <c r="H13739" s="6" t="n">
        <f aca="false">Seg!H46*(al_fro+Sens!H13735+sbc_r)</f>
        <v>4.02136645419237</v>
      </c>
      <c r="I13739" s="6" t="n">
        <f aca="false">Seg!I46*(al_fro+Sens!I13735+sbc_r)</f>
        <v>4.29288807676321</v>
      </c>
      <c r="J13739" s="6" t="n">
        <f aca="false">Seg!J46*(al_fro+Sens!J13735+sbc_r)</f>
        <v>4.59741770960175</v>
      </c>
      <c r="K13739" s="6" t="n">
        <f aca="false">Seg!K46*(al_fro+Sens!K13735+sbc_r)</f>
        <v>4.9350252981555</v>
      </c>
    </row>
    <row r="13740" customFormat="false" ht="17.15" hidden="false" customHeight="false" outlineLevel="0" collapsed="false">
      <c r="A13740" s="0" t="s">
        <v>1061</v>
      </c>
      <c r="B13740" s="0" t="s">
        <v>98</v>
      </c>
      <c r="F13740" s="6" t="n">
        <f aca="false">Seg!F49*(al_srch+Sens!F13735+sbc_r)</f>
        <v>11.205111954849</v>
      </c>
      <c r="G13740" s="6" t="n">
        <f aca="false">Seg!G49*(al_srch+Sens!G13735+sbc_r)</f>
        <v>12.2792883348957</v>
      </c>
      <c r="H13740" s="6" t="n">
        <f aca="false">Seg!H49*(al_srch+Sens!H13735+sbc_r)</f>
        <v>13.3983888227975</v>
      </c>
      <c r="I13740" s="6" t="n">
        <f aca="false">Seg!I49*(al_srch+Sens!I13735+sbc_r)</f>
        <v>14.5517695263616</v>
      </c>
      <c r="J13740" s="6" t="n">
        <f aca="false">Seg!J49*(al_srch+Sens!J13735+sbc_r)</f>
        <v>15.7194284145253</v>
      </c>
      <c r="K13740" s="6" t="n">
        <f aca="false">Seg!K49*(al_srch+Sens!K13735+sbc_r)</f>
        <v>16.87377171237</v>
      </c>
    </row>
    <row r="13741" customFormat="false" ht="17.15" hidden="false" customHeight="false" outlineLevel="0" collapsed="false">
      <c r="A13741" s="0" t="s">
        <v>1062</v>
      </c>
      <c r="B13741" s="0" t="s">
        <v>98</v>
      </c>
      <c r="F13741" s="6" t="n">
        <f aca="false">Thesis!F78-Thesis!F79+Thesis!F93</f>
        <v>52.8623286647412</v>
      </c>
      <c r="G13741" s="6" t="n">
        <f aca="false">Thesis!G78-Thesis!G79+Thesis!G93</f>
        <v>90.9040728275534</v>
      </c>
      <c r="H13741" s="6" t="n">
        <f aca="false">Thesis!H78-Thesis!H79+Thesis!H93</f>
        <v>131.644750996567</v>
      </c>
      <c r="I13741" s="6" t="n">
        <f aca="false">Thesis!I78-Thesis!I79+Thesis!I93</f>
        <v>168.39858142968</v>
      </c>
      <c r="J13741" s="6" t="n">
        <f aca="false">Thesis!J78-Thesis!J79+Thesis!J93</f>
        <v>194.311955071191</v>
      </c>
      <c r="K13741" s="6" t="n">
        <f aca="false">Thesis!K78-Thesis!K79+Thesis!K93</f>
        <v>210.298852071854</v>
      </c>
    </row>
    <row r="13742" customFormat="false" ht="17.15" hidden="false" customHeight="false" outlineLevel="0" collapsed="false">
      <c r="A13742" s="0" t="s">
        <v>1063</v>
      </c>
      <c r="B13742" s="0" t="s">
        <v>98</v>
      </c>
      <c r="F13742" s="6" t="n">
        <f aca="false">PL!F71+Thesis!F93+Thesis!F89+Sens!F13735*(Seg!F48-Thesis!F72)+sbc_r*Seg!F48</f>
        <v>243.876179717448</v>
      </c>
      <c r="G13742" s="6" t="n">
        <f aca="false">PL!G71+Thesis!G93+Thesis!G89+Sens!G13735*(Seg!G48-Thesis!G72)+sbc_r*Seg!G48</f>
        <v>308.994305130286</v>
      </c>
      <c r="H13742" s="6" t="n">
        <f aca="false">PL!H71+Thesis!H93+Thesis!H89+Sens!H13735*(Seg!H48-Thesis!H72)+sbc_r*Seg!H48</f>
        <v>377.321529021127</v>
      </c>
      <c r="I13742" s="6" t="n">
        <f aca="false">PL!I71+Thesis!I93+Thesis!I89+Sens!I13735*(Seg!I48-Thesis!I72)+sbc_r*Seg!I48</f>
        <v>440.295672377585</v>
      </c>
      <c r="J13742" s="6" t="n">
        <f aca="false">PL!J71+Thesis!J93+Thesis!J89+Sens!J13735*(Seg!J48-Thesis!J72)+sbc_r*Seg!J48</f>
        <v>489.992586437676</v>
      </c>
      <c r="K13742" s="6" t="n">
        <f aca="false">PL!K71+Thesis!K93+Thesis!K89+Sens!K13735*(Seg!K48-Thesis!K72)+sbc_r*Seg!K48</f>
        <v>527.395402529627</v>
      </c>
    </row>
    <row r="13743" customFormat="false" ht="17.15" hidden="false" customHeight="false" outlineLevel="0" collapsed="false">
      <c r="A13743" s="0" t="s">
        <v>1064</v>
      </c>
      <c r="B13743" s="0" t="s">
        <v>98</v>
      </c>
      <c r="F13743" s="6" t="n">
        <f aca="false">Sens!F13742-Sens!F13736-Sens!F13737-Sens!F13738-Sens!F13739-Sens!F13741</f>
        <v>61.0156340596736</v>
      </c>
      <c r="G13743" s="6" t="n">
        <f aca="false">Sens!G13742-Sens!G13736-Sens!G13737-Sens!G13738-Sens!G13739-Sens!G13741</f>
        <v>73.3720211234655</v>
      </c>
      <c r="H13743" s="6" t="n">
        <f aca="false">Sens!H13742-Sens!H13736-Sens!H13737-Sens!H13738-Sens!H13739-Sens!H13741</f>
        <v>86.0881618352416</v>
      </c>
      <c r="I13743" s="6" t="n">
        <f aca="false">Sens!I13742-Sens!I13736-Sens!I13737-Sens!I13738-Sens!I13739-Sens!I13741</f>
        <v>98.4872561647193</v>
      </c>
      <c r="J13743" s="6" t="n">
        <f aca="false">Sens!J13742-Sens!J13736-Sens!J13737-Sens!J13738-Sens!J13739-Sens!J13741</f>
        <v>109.721503569592</v>
      </c>
      <c r="K13743" s="6" t="n">
        <f aca="false">Sens!K13742-Sens!K13736-Sens!K13737-Sens!K13738-Sens!K13739-Sens!K13741</f>
        <v>119.088826916246</v>
      </c>
    </row>
    <row r="13744" customFormat="false" ht="17.15" hidden="false" customHeight="false" outlineLevel="0" collapsed="false">
      <c r="A13744" s="0" t="s">
        <v>1065</v>
      </c>
      <c r="B13744" s="0" t="s">
        <v>98</v>
      </c>
      <c r="F13744" s="6" t="n">
        <f aca="false">PL!F73+Sens!F13735*Seg!F55+sbc_r*Seg!F55</f>
        <v>26.1883018536976</v>
      </c>
      <c r="G13744" s="6" t="n">
        <f aca="false">PL!G73+Sens!G13735*Seg!G55+sbc_r*Seg!G55</f>
        <v>26.7988692269165</v>
      </c>
      <c r="H13744" s="6" t="n">
        <f aca="false">PL!H73+Sens!H13735*Seg!H55+sbc_r*Seg!H55</f>
        <v>27.676651877401</v>
      </c>
      <c r="I13744" s="6" t="n">
        <f aca="false">PL!I73+Sens!I13735*Seg!I55+sbc_r*Seg!I55</f>
        <v>28.7919477163856</v>
      </c>
      <c r="J13744" s="6" t="n">
        <f aca="false">PL!J73+Sens!J13735*Seg!J55+sbc_r*Seg!J55</f>
        <v>30.1095554599876</v>
      </c>
      <c r="K13744" s="6" t="n">
        <f aca="false">PL!K73+Sens!K13735*Seg!K55+sbc_r*Seg!K55</f>
        <v>31.5923355811805</v>
      </c>
    </row>
    <row r="13745" customFormat="false" ht="17.15" hidden="false" customHeight="false" outlineLevel="0" collapsed="false">
      <c r="A13745" s="0" t="s">
        <v>1066</v>
      </c>
      <c r="B13745" s="0" t="s">
        <v>98</v>
      </c>
      <c r="F13745" s="6" t="n">
        <f aca="false">(Sens!F13744-Sens!F13740)*Seg!F51/(Seg!F51+Seg!F53)</f>
        <v>8.21363876839376</v>
      </c>
      <c r="G13745" s="6" t="n">
        <f aca="false">(Sens!G13744-Sens!G13740)*Seg!G51/(Seg!G51+Seg!G53)</f>
        <v>7.81757556948427</v>
      </c>
      <c r="H13745" s="6" t="n">
        <f aca="false">(Sens!H13744-Sens!H13740)*Seg!H51/(Seg!H51+Seg!H53)</f>
        <v>7.58379891746928</v>
      </c>
      <c r="I13745" s="6" t="n">
        <f aca="false">(Sens!I13744-Sens!I13740)*Seg!I51/(Seg!I51+Seg!I53)</f>
        <v>7.49513512835163</v>
      </c>
      <c r="J13745" s="6" t="n">
        <f aca="false">(Sens!J13744-Sens!J13740)*Seg!J51/(Seg!J51+Seg!J53)</f>
        <v>7.53980917061682</v>
      </c>
      <c r="K13745" s="6" t="n">
        <f aca="false">(Sens!K13744-Sens!K13740)*Seg!K51/(Seg!K51+Seg!K53)</f>
        <v>7.71189597463361</v>
      </c>
    </row>
    <row r="13746" customFormat="false" ht="17.15" hidden="false" customHeight="false" outlineLevel="0" collapsed="false">
      <c r="A13746" s="0" t="s">
        <v>1067</v>
      </c>
      <c r="B13746" s="0" t="s">
        <v>98</v>
      </c>
      <c r="F13746" s="6" t="n">
        <f aca="false">Sens!F13744-Sens!F13740-Sens!F13745</f>
        <v>6.76955113045481</v>
      </c>
      <c r="G13746" s="6" t="n">
        <f aca="false">Sens!G13744-Sens!G13740-Sens!G13745</f>
        <v>6.70200532253647</v>
      </c>
      <c r="H13746" s="6" t="n">
        <f aca="false">Sens!H13744-Sens!H13740-Sens!H13745</f>
        <v>6.69446413713431</v>
      </c>
      <c r="I13746" s="6" t="n">
        <f aca="false">Sens!I13744-Sens!I13740-Sens!I13745</f>
        <v>6.74504306167234</v>
      </c>
      <c r="J13746" s="6" t="n">
        <f aca="false">Sens!J13744-Sens!J13740-Sens!J13745</f>
        <v>6.85031787484545</v>
      </c>
      <c r="K13746" s="6" t="n">
        <f aca="false">Sens!K13744-Sens!K13740-Sens!K13745</f>
        <v>7.00666789417688</v>
      </c>
    </row>
    <row r="13747" customFormat="false" ht="17.15" hidden="false" customHeight="false" outlineLevel="0" collapsed="false">
      <c r="A13747" s="0" t="s">
        <v>1068</v>
      </c>
      <c r="B13747" s="0" t="s">
        <v>98</v>
      </c>
      <c r="F13747" s="6" t="n">
        <f aca="false">Sens!F13741-tax_f*(Sens!F13741-Thesis!F89)-Thesis!F86</f>
        <v>-119.382682747471</v>
      </c>
      <c r="G13747" s="6" t="n">
        <f aca="false">Sens!G13741-tax_f*(Sens!G13741-Thesis!G89)-Thesis!G86</f>
        <v>-98.7495755690893</v>
      </c>
      <c r="H13747" s="6" t="n">
        <f aca="false">Sens!H13741-tax_f*(Sens!H13741-Thesis!H89)-Thesis!H86</f>
        <v>-65.2160219145184</v>
      </c>
      <c r="I13747" s="6" t="n">
        <f aca="false">Sens!I13741-tax_f*(Sens!I13741-Thesis!I89)-Thesis!I86</f>
        <v>-6.59039601405712</v>
      </c>
      <c r="J13747" s="6" t="n">
        <f aca="false">Sens!J13741-tax_f*(Sens!J13741-Thesis!J89)-Thesis!J86</f>
        <v>56.7738295233955</v>
      </c>
      <c r="K13747" s="6" t="n">
        <f aca="false">Sens!K13741-tax_f*(Sens!K13741-Thesis!K89)-Thesis!K86</f>
        <v>81.209175376442</v>
      </c>
    </row>
    <row r="13748" customFormat="false" ht="17.15" hidden="false" customHeight="false" outlineLevel="0" collapsed="false">
      <c r="A13748" s="0" t="s">
        <v>1069</v>
      </c>
      <c r="B13748" s="0" t="s">
        <v>98</v>
      </c>
      <c r="F13748" s="6" t="n">
        <f aca="false">Sens!F13747*Sens!F13721</f>
        <v>-113.675399435717</v>
      </c>
      <c r="G13748" s="6" t="n">
        <f aca="false">Sens!G13747*Sens!G13721</f>
        <v>-85.2532025390917</v>
      </c>
      <c r="H13748" s="6" t="n">
        <f aca="false">Sens!H13747*Sens!H13721</f>
        <v>-51.0481582830682</v>
      </c>
      <c r="I13748" s="6" t="n">
        <f aca="false">Sens!I13747*Sens!I13721</f>
        <v>-4.67721782319945</v>
      </c>
      <c r="J13748" s="6" t="n">
        <f aca="false">Sens!J13747*Sens!J13721</f>
        <v>36.5320953989789</v>
      </c>
      <c r="K13748" s="6" t="n">
        <f aca="false">Sens!K13747*Sens!K13721</f>
        <v>47.3785542320528</v>
      </c>
    </row>
    <row r="13749" customFormat="false" ht="17.15" hidden="false" customHeight="false" outlineLevel="0" collapsed="false">
      <c r="A13749" s="0" t="s">
        <v>1070</v>
      </c>
      <c r="B13749" s="0" t="s">
        <v>98</v>
      </c>
      <c r="C13749" s="6" t="n">
        <f aca="false">(Sens!K13741-Thesis!K89)*(1-tax_f)*(1+g_tv)*(1-g_tv/(wacc+ronic_prem))/(wacc-g_tv)/(1+wacc)^(Sens!K13720+mid_yr)</f>
        <v>314.186863600641</v>
      </c>
    </row>
    <row r="13750" customFormat="false" ht="17.15" hidden="false" customHeight="false" outlineLevel="0" collapsed="false">
      <c r="A13750" s="1" t="s">
        <v>1071</v>
      </c>
      <c r="B13750" s="0" t="s">
        <v>98</v>
      </c>
      <c r="C13750" s="6" t="n">
        <f aca="false">(SUM(Sens!F13748:K13748)+Sens!$C$13749)*(1+wacc)^t_roll</f>
        <v>163.343942987594</v>
      </c>
      <c r="L13750" s="11" t="s">
        <v>1072</v>
      </c>
    </row>
    <row r="13751" customFormat="false" ht="17.15" hidden="false" customHeight="false" outlineLevel="0" collapsed="false">
      <c r="A13751" s="1" t="s">
        <v>1073</v>
      </c>
      <c r="B13751" s="0" t="s">
        <v>98</v>
      </c>
      <c r="C13751" s="6" t="n">
        <f aca="false">(w_ntm28*Thesis!G78+(1-w_ntm28)*Thesis!H78)*m_ai</f>
        <v>454.922440830797</v>
      </c>
    </row>
    <row r="13752" customFormat="false" ht="17.15" hidden="false" customHeight="false" outlineLevel="0" collapsed="false">
      <c r="A13752" s="1" t="s">
        <v>1074</v>
      </c>
      <c r="B13752" s="0" t="s">
        <v>98</v>
      </c>
      <c r="C13752" s="6" t="n">
        <f aca="false">(w_ntm28*Sens!G13743+(1-w_ntm28)*Sens!H13743)*m_cloud</f>
        <v>1070.81495830201</v>
      </c>
    </row>
    <row r="13753" customFormat="false" ht="17.15" hidden="false" customHeight="false" outlineLevel="0" collapsed="false">
      <c r="A13753" s="1" t="s">
        <v>1075</v>
      </c>
      <c r="B13753" s="0" t="s">
        <v>98</v>
      </c>
      <c r="C13753" s="6" t="n">
        <f aca="false">(w_ntm28*Sens!G13736+(1-w_ntm28)*Sens!H13736)*m_sw</f>
        <v>1084.50516663972</v>
      </c>
    </row>
    <row r="13754" customFormat="false" ht="17.15" hidden="false" customHeight="false" outlineLevel="0" collapsed="false">
      <c r="A13754" s="1" t="s">
        <v>1076</v>
      </c>
      <c r="B13754" s="0" t="s">
        <v>98</v>
      </c>
      <c r="C13754" s="6" t="n">
        <f aca="false">(w_ntm28*Sens!G13737+(1-w_ntm28)*Sens!H13737)*m_sw</f>
        <v>379.446649868791</v>
      </c>
    </row>
    <row r="13755" customFormat="false" ht="17.15" hidden="false" customHeight="false" outlineLevel="0" collapsed="false">
      <c r="A13755" s="1" t="s">
        <v>1077</v>
      </c>
      <c r="B13755" s="0" t="s">
        <v>98</v>
      </c>
      <c r="C13755" s="6" t="n">
        <f aca="false">(w_ntm28*Sens!G13738+(1-w_ntm28)*Sens!H13738)*m_sw</f>
        <v>109.245833616811</v>
      </c>
    </row>
    <row r="13756" customFormat="false" ht="17.15" hidden="false" customHeight="false" outlineLevel="0" collapsed="false">
      <c r="A13756" s="1" t="s">
        <v>1078</v>
      </c>
      <c r="B13756" s="0" t="s">
        <v>98</v>
      </c>
      <c r="C13756" s="6" t="n">
        <f aca="false">(w_ntm28*Sens!G13739+(1-w_ntm28)*Sens!H13739)*m_sw</f>
        <v>41.6791515554452</v>
      </c>
    </row>
    <row r="13757" customFormat="false" ht="17.15" hidden="false" customHeight="false" outlineLevel="0" collapsed="false">
      <c r="A13757" s="1" t="s">
        <v>1079</v>
      </c>
      <c r="B13757" s="0" t="s">
        <v>98</v>
      </c>
      <c r="C13757" s="6" t="n">
        <f aca="false">(w_ntm28*Sens!G13740+(1-w_ntm28)*Sens!H13740)*m_ads</f>
        <v>115.160236299351</v>
      </c>
    </row>
    <row r="13758" customFormat="false" ht="17.15" hidden="false" customHeight="false" outlineLevel="0" collapsed="false">
      <c r="A13758" s="1" t="s">
        <v>1080</v>
      </c>
      <c r="B13758" s="0" t="s">
        <v>98</v>
      </c>
      <c r="C13758" s="6" t="n">
        <f aca="false">(w_ntm28*Sens!G13745+(1-w_ntm28)*Sens!H13745)*m_game</f>
        <v>97.7814405506301</v>
      </c>
    </row>
    <row r="13759" customFormat="false" ht="17.15" hidden="false" customHeight="false" outlineLevel="0" collapsed="false">
      <c r="A13759" s="1" t="s">
        <v>1081</v>
      </c>
      <c r="B13759" s="0" t="s">
        <v>98</v>
      </c>
      <c r="C13759" s="6" t="n">
        <f aca="false">(w_ntm28*Sens!G13746+(1-w_ntm28)*Sens!H13746)*m_pc</f>
        <v>96.9427395583992</v>
      </c>
    </row>
    <row r="13760" customFormat="false" ht="17.15" hidden="false" customHeight="false" outlineLevel="0" collapsed="false">
      <c r="A13760" s="1" t="s">
        <v>1082</v>
      </c>
      <c r="B13760" s="0" t="s">
        <v>98</v>
      </c>
      <c r="C13760" s="6" t="n">
        <f aca="false">Sens!$C$13750+Sens!$C$13752+Sens!$C$13753+Sens!$C$13754+Sens!$C$13755+Sens!$C$13756+Sens!$C$13757+Sens!$C$13758+Sens!$C$13759</f>
        <v>3158.92011937875</v>
      </c>
    </row>
    <row r="13761" customFormat="false" ht="17.15" hidden="false" customHeight="false" outlineLevel="0" collapsed="false">
      <c r="A13761" s="1" t="s">
        <v>1000</v>
      </c>
      <c r="B13761" s="0" t="s">
        <v>98</v>
      </c>
      <c r="C13761" s="6" t="n">
        <f aca="false">CF!F65+(oai_stake_hi*oai_val*(1-liq_disc))-CF!F54</f>
        <v>124.885995542787</v>
      </c>
      <c r="L13761" s="1" t="s">
        <v>1083</v>
      </c>
    </row>
    <row r="13762" customFormat="false" ht="15" hidden="false" customHeight="false" outlineLevel="0" collapsed="false">
      <c r="A13762" s="1" t="s">
        <v>1001</v>
      </c>
      <c r="B13762" s="0" t="s">
        <v>75</v>
      </c>
      <c r="C13762" s="5" t="n">
        <f aca="false">(Sens!$C$13760+Sens!$C$13761)/CF!F67</f>
        <v>439.481546429541</v>
      </c>
    </row>
    <row r="13763" customFormat="false" ht="17.15" hidden="false" customHeight="false" outlineLevel="0" collapsed="false">
      <c r="A13763" s="1" t="s">
        <v>1084</v>
      </c>
      <c r="B13763" s="0" t="s">
        <v>75</v>
      </c>
      <c r="C13763" s="5" t="n">
        <f aca="false">w_dcf*Sens!$C$13734+(1-w_dcf)*Sens!$C$13762</f>
        <v>392.853482843616</v>
      </c>
    </row>
    <row r="13764" customFormat="false" ht="17.15" hidden="false" customHeight="false" outlineLevel="0" collapsed="false">
      <c r="A13764" s="3" t="s">
        <v>1589</v>
      </c>
    </row>
    <row r="13765" customFormat="false" ht="15" hidden="false" customHeight="false" outlineLevel="0" collapsed="false">
      <c r="A13765" s="4" t="s">
        <v>43</v>
      </c>
      <c r="B13765" s="4" t="s">
        <v>65</v>
      </c>
      <c r="C13765" s="20" t="s">
        <v>788</v>
      </c>
      <c r="D13765" s="20" t="s">
        <v>789</v>
      </c>
      <c r="E13765" s="20" t="s">
        <v>790</v>
      </c>
      <c r="F13765" s="20" t="s">
        <v>791</v>
      </c>
      <c r="G13765" s="20" t="s">
        <v>792</v>
      </c>
      <c r="H13765" s="20" t="s">
        <v>793</v>
      </c>
      <c r="I13765" s="20" t="s">
        <v>794</v>
      </c>
      <c r="J13765" s="20" t="s">
        <v>795</v>
      </c>
      <c r="K13765" s="20" t="s">
        <v>796</v>
      </c>
      <c r="L13765" s="4" t="s">
        <v>47</v>
      </c>
    </row>
    <row r="13766" customFormat="false" ht="15" hidden="false" customHeight="false" outlineLevel="0" collapsed="false">
      <c r="A13766" s="1" t="s">
        <v>1042</v>
      </c>
      <c r="B13766" s="1" t="s">
        <v>235</v>
      </c>
      <c r="F13766" s="36" t="n">
        <f aca="false">Thesis!F104-base_fy-mid_yr</f>
        <v>0.5</v>
      </c>
      <c r="G13766" s="36" t="n">
        <f aca="false">Thesis!G104-base_fy-mid_yr</f>
        <v>1.5</v>
      </c>
      <c r="H13766" s="36" t="n">
        <f aca="false">Thesis!H104-base_fy-mid_yr</f>
        <v>2.5</v>
      </c>
      <c r="I13766" s="36" t="n">
        <f aca="false">Thesis!I104-base_fy-mid_yr</f>
        <v>3.5</v>
      </c>
      <c r="J13766" s="36" t="n">
        <f aca="false">Thesis!J104-base_fy-mid_yr</f>
        <v>4.5</v>
      </c>
      <c r="K13766" s="36" t="n">
        <f aca="false">Thesis!K104-base_fy-mid_yr</f>
        <v>5.5</v>
      </c>
    </row>
    <row r="13767" customFormat="false" ht="15" hidden="false" customHeight="false" outlineLevel="0" collapsed="false">
      <c r="A13767" s="1" t="s">
        <v>1043</v>
      </c>
      <c r="B13767" s="0" t="s">
        <v>185</v>
      </c>
      <c r="F13767" s="14" t="n">
        <f aca="false">1/(1+wacc)^Sens!F13766</f>
        <v>0.952193373608246</v>
      </c>
      <c r="G13767" s="14" t="n">
        <f aca="false">1/(1+wacc)^Sens!G13766</f>
        <v>0.863327280626589</v>
      </c>
      <c r="H13767" s="14" t="n">
        <f aca="false">1/(1+wacc)^Sens!H13766</f>
        <v>0.782754862754115</v>
      </c>
      <c r="I13767" s="14" t="n">
        <f aca="false">1/(1+wacc)^Sens!I13766</f>
        <v>0.709702089711011</v>
      </c>
      <c r="J13767" s="14" t="n">
        <f aca="false">1/(1+wacc)^Sens!J13766</f>
        <v>0.643467169744551</v>
      </c>
      <c r="K13767" s="14" t="n">
        <f aca="false">1/(1+wacc)^Sens!K13766</f>
        <v>0.583413807767797</v>
      </c>
    </row>
    <row r="13768" customFormat="false" ht="17.15" hidden="false" customHeight="false" outlineLevel="0" collapsed="false">
      <c r="A13768" s="1" t="s">
        <v>1044</v>
      </c>
      <c r="B13768" s="0" t="s">
        <v>98</v>
      </c>
      <c r="F13768" s="6" t="n">
        <f aca="false">CF!F79-CF!F77-CF!F82+Thesis!F142*(1-tax_f)</f>
        <v>2.81855367218396</v>
      </c>
      <c r="G13768" s="6" t="n">
        <f aca="false">CF!G79-CF!G77-CF!G82+Thesis!G142*(1-tax_f)</f>
        <v>35.4967358232605</v>
      </c>
      <c r="H13768" s="6" t="n">
        <f aca="false">CF!H79-CF!H77-CF!H82+Thesis!H142*(1-tax_f)</f>
        <v>71.9736045985465</v>
      </c>
      <c r="I13768" s="6" t="n">
        <f aca="false">CF!I79-CF!I77-CF!I82+Thesis!I142*(1-tax_f)</f>
        <v>139.565890227748</v>
      </c>
      <c r="J13768" s="6" t="n">
        <f aca="false">CF!J79-CF!J77-CF!J82+Thesis!J142*(1-tax_f)</f>
        <v>212.783902680705</v>
      </c>
      <c r="K13768" s="6" t="n">
        <f aca="false">CF!K79-CF!K77-CF!K82+Thesis!K142*(1-tax_f)</f>
        <v>247.854416738942</v>
      </c>
      <c r="L13768" s="1" t="s">
        <v>1045</v>
      </c>
    </row>
    <row r="13769" customFormat="false" ht="15" hidden="false" customHeight="false" outlineLevel="0" collapsed="false">
      <c r="A13769" s="1" t="s">
        <v>1046</v>
      </c>
      <c r="B13769" s="0" t="s">
        <v>98</v>
      </c>
      <c r="F13769" s="6" t="n">
        <f aca="false">Sens!F13768*Sens!F13767</f>
        <v>2.68380812981276</v>
      </c>
      <c r="G13769" s="6" t="n">
        <f aca="false">Sens!G13768*Sens!G13767</f>
        <v>30.6453004094159</v>
      </c>
      <c r="H13769" s="6" t="n">
        <f aca="false">Sens!H13768*Sens!H13767</f>
        <v>56.3376889894542</v>
      </c>
      <c r="I13769" s="6" t="n">
        <f aca="false">Sens!I13768*Sens!I13767</f>
        <v>99.0502039470101</v>
      </c>
      <c r="J13769" s="6" t="n">
        <f aca="false">Sens!J13768*Sens!J13767</f>
        <v>136.919455625153</v>
      </c>
      <c r="K13769" s="6" t="n">
        <f aca="false">Sens!K13768*Sens!K13767</f>
        <v>144.601689041733</v>
      </c>
    </row>
    <row r="13770" customFormat="false" ht="17.15" hidden="false" customHeight="false" outlineLevel="0" collapsed="false">
      <c r="A13770" s="1" t="s">
        <v>1047</v>
      </c>
      <c r="B13770" s="0" t="s">
        <v>98</v>
      </c>
      <c r="C13770" s="6" t="n">
        <f aca="false">SUM(Sens!F13769:K13769)</f>
        <v>470.238146142579</v>
      </c>
    </row>
    <row r="13771" customFormat="false" ht="17.15" hidden="false" customHeight="false" outlineLevel="0" collapsed="false">
      <c r="A13771" s="1" t="s">
        <v>1048</v>
      </c>
      <c r="B13771" s="0" t="s">
        <v>98</v>
      </c>
      <c r="C13771" s="6" t="n">
        <f aca="false">PL!K117*(1+g_tv)*(1-tax_f)</f>
        <v>255.879558138142</v>
      </c>
    </row>
    <row r="13772" customFormat="false" ht="17.15" hidden="false" customHeight="false" outlineLevel="0" collapsed="false">
      <c r="A13772" s="1" t="s">
        <v>1049</v>
      </c>
      <c r="B13772" s="0" t="s">
        <v>98</v>
      </c>
      <c r="C13772" s="6" t="n">
        <f aca="false">Sens!$C$13771*(1-g_tv/(wacc+ronic_prem))</f>
        <v>181.304049409205</v>
      </c>
    </row>
    <row r="13773" customFormat="false" ht="17.15" hidden="false" customHeight="false" outlineLevel="0" collapsed="false">
      <c r="A13773" s="1" t="s">
        <v>1050</v>
      </c>
      <c r="B13773" s="0" t="s">
        <v>98</v>
      </c>
      <c r="C13773" s="6" t="n">
        <f aca="false">Sens!$C$13772/(wacc-g_tv)</f>
        <v>2485.85029096454</v>
      </c>
    </row>
    <row r="13774" customFormat="false" ht="15" hidden="false" customHeight="false" outlineLevel="0" collapsed="false">
      <c r="A13774" s="1" t="s">
        <v>1051</v>
      </c>
      <c r="B13774" s="0" t="s">
        <v>98</v>
      </c>
      <c r="C13774" s="6" t="n">
        <f aca="false">Sens!$C$13773/(1+wacc)^(Sens!K13766+mid_yr)</f>
        <v>1380.94641912769</v>
      </c>
    </row>
    <row r="13775" customFormat="false" ht="17.15" hidden="false" customHeight="false" outlineLevel="0" collapsed="false">
      <c r="A13775" s="0" t="s">
        <v>972</v>
      </c>
      <c r="B13775" s="0" t="s">
        <v>98</v>
      </c>
      <c r="C13775" s="6" t="n">
        <f aca="false">Sens!$C$13770+Sens!$C$13774</f>
        <v>1851.18456527027</v>
      </c>
    </row>
    <row r="13776" customFormat="false" ht="15" hidden="false" customHeight="false" outlineLevel="0" collapsed="false">
      <c r="A13776" s="1" t="s">
        <v>973</v>
      </c>
      <c r="B13776" s="0" t="s">
        <v>129</v>
      </c>
      <c r="C13776" s="7" t="n">
        <f aca="false">Sens!$C$13774/Sens!$C$13775</f>
        <v>0.745979868801507</v>
      </c>
    </row>
    <row r="13777" customFormat="false" ht="17.15" hidden="false" customHeight="false" outlineLevel="0" collapsed="false">
      <c r="A13777" s="1" t="s">
        <v>1052</v>
      </c>
      <c r="B13777" s="0" t="s">
        <v>98</v>
      </c>
      <c r="C13777" s="6" t="n">
        <f aca="false">Sens!$C$13775+CF!E94-CF!E83+(oai_stake_hi*oai_val*(1-liq_disc))</f>
        <v>1999.32956527027</v>
      </c>
    </row>
    <row r="13778" customFormat="false" ht="17.15" hidden="false" customHeight="false" outlineLevel="0" collapsed="false">
      <c r="A13778" s="0" t="s">
        <v>980</v>
      </c>
      <c r="B13778" s="0" t="s">
        <v>75</v>
      </c>
      <c r="C13778" s="5" t="n">
        <f aca="false">Sens!$C$13777/sh_dil26</f>
        <v>268.258361098922</v>
      </c>
    </row>
    <row r="13779" customFormat="false" ht="15" hidden="false" customHeight="false" outlineLevel="0" collapsed="false">
      <c r="A13779" s="1" t="s">
        <v>1053</v>
      </c>
      <c r="B13779" s="0" t="s">
        <v>75</v>
      </c>
      <c r="C13779" s="8" t="n">
        <f aca="false">dps_27+CF!G86*roll_div_q/q_per_yr</f>
        <v>4.8895</v>
      </c>
    </row>
    <row r="13780" customFormat="false" ht="17.15" hidden="false" customHeight="false" outlineLevel="0" collapsed="false">
      <c r="A13780" s="0" t="s">
        <v>1054</v>
      </c>
      <c r="B13780" s="0" t="s">
        <v>75</v>
      </c>
      <c r="C13780" s="5" t="n">
        <f aca="false">Sens!$C$13778*(1+wacc)^t_roll-Sens!$C$13779</f>
        <v>300.585252802796</v>
      </c>
    </row>
    <row r="13781" customFormat="false" ht="17.15" hidden="false" customHeight="false" outlineLevel="0" collapsed="false">
      <c r="A13781" s="1" t="s">
        <v>1055</v>
      </c>
      <c r="B13781" s="0" t="s">
        <v>129</v>
      </c>
      <c r="F13781" s="7" t="n">
        <f aca="false">CF!F75/(Seg!F83-Thesis!F121)</f>
        <v>0.0686864325746334</v>
      </c>
      <c r="G13781" s="7" t="n">
        <f aca="false">CF!G75/(Seg!G83-Thesis!G121)</f>
        <v>0.066267001590801</v>
      </c>
      <c r="H13781" s="7" t="n">
        <f aca="false">CF!H75/(Seg!H83-Thesis!H121)</f>
        <v>0.0650366246750144</v>
      </c>
      <c r="I13781" s="7" t="n">
        <f aca="false">CF!I75/(Seg!I83-Thesis!I121)</f>
        <v>0.0648573271390164</v>
      </c>
      <c r="J13781" s="7" t="n">
        <f aca="false">CF!J75/(Seg!J83-Thesis!J121)</f>
        <v>0.0655189837669657</v>
      </c>
      <c r="K13781" s="7" t="n">
        <f aca="false">CF!K75/(Seg!K83-Thesis!K121)</f>
        <v>0.0667878921367872</v>
      </c>
    </row>
    <row r="13782" customFormat="false" ht="17.15" hidden="false" customHeight="false" outlineLevel="0" collapsed="false">
      <c r="A13782" s="0" t="s">
        <v>1056</v>
      </c>
      <c r="B13782" s="0" t="s">
        <v>98</v>
      </c>
      <c r="F13782" s="6" t="n">
        <f aca="false">Seg!F68*(al_m365+Sens!F13781+sbc_r)</f>
        <v>82.8871280343675</v>
      </c>
      <c r="G13782" s="6" t="n">
        <f aca="false">Seg!G68*(al_m365+Sens!G13781+sbc_r)</f>
        <v>93.2646494841949</v>
      </c>
      <c r="H13782" s="6" t="n">
        <f aca="false">Seg!H68*(al_m365+Sens!H13781+sbc_r)</f>
        <v>103.801656157254</v>
      </c>
      <c r="I13782" s="6" t="n">
        <f aca="false">Seg!I68*(al_m365+Sens!I13781+sbc_r)</f>
        <v>113.821873816133</v>
      </c>
      <c r="J13782" s="6" t="n">
        <f aca="false">Seg!J68*(al_m365+Sens!J13781+sbc_r)</f>
        <v>123.136196807334</v>
      </c>
      <c r="K13782" s="6" t="n">
        <f aca="false">Seg!K68*(al_m365+Sens!K13781+sbc_r)</f>
        <v>132.051675801964</v>
      </c>
      <c r="L13782" s="11" t="s">
        <v>1057</v>
      </c>
    </row>
    <row r="13783" customFormat="false" ht="17.15" hidden="false" customHeight="false" outlineLevel="0" collapsed="false">
      <c r="A13783" s="0" t="s">
        <v>1058</v>
      </c>
      <c r="B13783" s="0" t="s">
        <v>98</v>
      </c>
      <c r="F13783" s="6" t="n">
        <f aca="false">Seg!F69*(al_lic+Sens!F13781+sbc_r)</f>
        <v>33.4484001235218</v>
      </c>
      <c r="G13783" s="6" t="n">
        <f aca="false">Seg!G69*(al_lic+Sens!G13781+sbc_r)</f>
        <v>34.7662136749183</v>
      </c>
      <c r="H13783" s="6" t="n">
        <f aca="false">Seg!H69*(al_lic+Sens!H13781+sbc_r)</f>
        <v>35.9922067034497</v>
      </c>
      <c r="I13783" s="6" t="n">
        <f aca="false">Seg!I69*(al_lic+Sens!I13781+sbc_r)</f>
        <v>37.1063543598183</v>
      </c>
      <c r="J13783" s="6" t="n">
        <f aca="false">Seg!J69*(al_lic+Sens!J13781+sbc_r)</f>
        <v>38.0853056964387</v>
      </c>
      <c r="K13783" s="6" t="n">
        <f aca="false">Seg!K69*(al_lic+Sens!K13781+sbc_r)</f>
        <v>38.9048066370724</v>
      </c>
    </row>
    <row r="13784" customFormat="false" ht="17.15" hidden="false" customHeight="false" outlineLevel="0" collapsed="false">
      <c r="A13784" s="0" t="s">
        <v>1059</v>
      </c>
      <c r="B13784" s="0" t="s">
        <v>98</v>
      </c>
      <c r="F13784" s="6" t="n">
        <f aca="false">Seg!F71*(al_ind+Sens!F13781+sbc_r)</f>
        <v>9.07857451914073</v>
      </c>
      <c r="G13784" s="6" t="n">
        <f aca="false">Seg!G71*(al_ind+Sens!G13781+sbc_r)</f>
        <v>9.86487802721884</v>
      </c>
      <c r="H13784" s="6" t="n">
        <f aca="false">Seg!H71*(al_ind+Sens!H13781+sbc_r)</f>
        <v>10.693809720013</v>
      </c>
      <c r="I13784" s="6" t="n">
        <f aca="false">Seg!I71*(al_ind+Sens!I13781+sbc_r)</f>
        <v>11.5608645999226</v>
      </c>
      <c r="J13784" s="6" t="n">
        <f aca="false">Seg!J71*(al_ind+Sens!J13781+sbc_r)</f>
        <v>12.4574161941375</v>
      </c>
      <c r="K13784" s="6" t="n">
        <f aca="false">Seg!K71*(al_ind+Sens!K13781+sbc_r)</f>
        <v>13.3714153876622</v>
      </c>
    </row>
    <row r="13785" customFormat="false" ht="17.15" hidden="false" customHeight="false" outlineLevel="0" collapsed="false">
      <c r="A13785" s="0" t="s">
        <v>1060</v>
      </c>
      <c r="B13785" s="0" t="s">
        <v>98</v>
      </c>
      <c r="F13785" s="6" t="n">
        <f aca="false">Seg!F73*(al_fro+Sens!F13781+sbc_r)</f>
        <v>3.57335880380168</v>
      </c>
      <c r="G13785" s="6" t="n">
        <f aca="false">Seg!G73*(al_fro+Sens!G13781+sbc_r)</f>
        <v>3.78752993435501</v>
      </c>
      <c r="H13785" s="6" t="n">
        <f aca="false">Seg!H73*(al_fro+Sens!H13781+sbc_r)</f>
        <v>4.02979352544868</v>
      </c>
      <c r="I13785" s="6" t="n">
        <f aca="false">Seg!I73*(al_fro+Sens!I13781+sbc_r)</f>
        <v>4.30248328262388</v>
      </c>
      <c r="J13785" s="6" t="n">
        <f aca="false">Seg!J73*(al_fro+Sens!J13781+sbc_r)</f>
        <v>4.6072312462081</v>
      </c>
      <c r="K13785" s="6" t="n">
        <f aca="false">Seg!K73*(al_fro+Sens!K13781+sbc_r)</f>
        <v>4.94526327289735</v>
      </c>
    </row>
    <row r="13786" customFormat="false" ht="17.15" hidden="false" customHeight="false" outlineLevel="0" collapsed="false">
      <c r="A13786" s="0" t="s">
        <v>1061</v>
      </c>
      <c r="B13786" s="0" t="s">
        <v>98</v>
      </c>
      <c r="F13786" s="6" t="n">
        <f aca="false">Seg!F76*(al_srch+Sens!F13781+sbc_r)</f>
        <v>11.2121706988551</v>
      </c>
      <c r="G13786" s="6" t="n">
        <f aca="false">Seg!G76*(al_srch+Sens!G13781+sbc_r)</f>
        <v>12.298220751086</v>
      </c>
      <c r="H13786" s="6" t="n">
        <f aca="false">Seg!H76*(al_srch+Sens!H13781+sbc_r)</f>
        <v>13.4264661389574</v>
      </c>
      <c r="I13786" s="6" t="n">
        <f aca="false">Seg!I76*(al_srch+Sens!I13781+sbc_r)</f>
        <v>14.5842947685169</v>
      </c>
      <c r="J13786" s="6" t="n">
        <f aca="false">Seg!J76*(al_srch+Sens!J13781+sbc_r)</f>
        <v>15.7529827260804</v>
      </c>
      <c r="K13786" s="6" t="n">
        <f aca="false">Seg!K76*(al_srch+Sens!K13781+sbc_r)</f>
        <v>16.908777257054</v>
      </c>
    </row>
    <row r="13787" customFormat="false" ht="17.15" hidden="false" customHeight="false" outlineLevel="0" collapsed="false">
      <c r="A13787" s="0" t="s">
        <v>1062</v>
      </c>
      <c r="B13787" s="0" t="s">
        <v>98</v>
      </c>
      <c r="F13787" s="6" t="n">
        <f aca="false">Thesis!F127-Thesis!F128+Thesis!F142</f>
        <v>49.3166695044068</v>
      </c>
      <c r="G13787" s="6" t="n">
        <f aca="false">Thesis!G127-Thesis!G128+Thesis!G142</f>
        <v>79.1711235199867</v>
      </c>
      <c r="H13787" s="6" t="n">
        <f aca="false">Thesis!H127-Thesis!H128+Thesis!H142</f>
        <v>105.986955995322</v>
      </c>
      <c r="I13787" s="6" t="n">
        <f aca="false">Thesis!I127-Thesis!I128+Thesis!I142</f>
        <v>136.51312421941</v>
      </c>
      <c r="J13787" s="6" t="n">
        <f aca="false">Thesis!J127-Thesis!J128+Thesis!J142</f>
        <v>158.045869188803</v>
      </c>
      <c r="K13787" s="6" t="n">
        <f aca="false">Thesis!K127-Thesis!K128+Thesis!K142</f>
        <v>171.626834186355</v>
      </c>
    </row>
    <row r="13788" customFormat="false" ht="17.15" hidden="false" customHeight="false" outlineLevel="0" collapsed="false">
      <c r="A13788" s="0" t="s">
        <v>1063</v>
      </c>
      <c r="B13788" s="0" t="s">
        <v>98</v>
      </c>
      <c r="F13788" s="6" t="n">
        <f aca="false">PL!F110+Thesis!F142+Thesis!F138+Sens!F13781*(Seg!F75-Thesis!F121)+sbc_r*Seg!F75</f>
        <v>239.221795819914</v>
      </c>
      <c r="G13788" s="6" t="n">
        <f aca="false">PL!G110+Thesis!G142+Thesis!G138+Sens!G13781*(Seg!G75-Thesis!G121)+sbc_r*Seg!G75</f>
        <v>293.888959324058</v>
      </c>
      <c r="H13788" s="6" t="n">
        <f aca="false">PL!H110+Thesis!H142+Thesis!H138+Sens!H13781*(Seg!H75-Thesis!H121)+sbc_r*Seg!H75</f>
        <v>345.795749423438</v>
      </c>
      <c r="I13788" s="6" t="n">
        <f aca="false">PL!I110+Thesis!I142+Thesis!I138+Sens!I13781*(Seg!I75-Thesis!I121)+sbc_r*Seg!I75</f>
        <v>400.80148439376</v>
      </c>
      <c r="J13788" s="6" t="n">
        <f aca="false">PL!J110+Thesis!J142+Thesis!J138+Sens!J13781*(Seg!J75-Thesis!J121)+sbc_r*Seg!J75</f>
        <v>444.918308128678</v>
      </c>
      <c r="K13788" s="6" t="n">
        <f aca="false">PL!K110+Thesis!K142+Thesis!K138+Sens!K13781*(Seg!K75-Thesis!K121)+sbc_r*Seg!K75</f>
        <v>478.782312275225</v>
      </c>
    </row>
    <row r="13789" customFormat="false" ht="17.15" hidden="false" customHeight="false" outlineLevel="0" collapsed="false">
      <c r="A13789" s="0" t="s">
        <v>1064</v>
      </c>
      <c r="B13789" s="0" t="s">
        <v>98</v>
      </c>
      <c r="F13789" s="6" t="n">
        <f aca="false">Sens!F13788-Sens!F13782-Sens!F13783-Sens!F13784-Sens!F13785-Sens!F13787</f>
        <v>60.9176648346756</v>
      </c>
      <c r="G13789" s="6" t="n">
        <f aca="false">Sens!G13788-Sens!G13782-Sens!G13783-Sens!G13784-Sens!G13785-Sens!G13787</f>
        <v>73.0345646833845</v>
      </c>
      <c r="H13789" s="6" t="n">
        <f aca="false">Sens!H13788-Sens!H13782-Sens!H13783-Sens!H13784-Sens!H13785-Sens!H13787</f>
        <v>85.2913273219498</v>
      </c>
      <c r="I13789" s="6" t="n">
        <f aca="false">Sens!I13788-Sens!I13782-Sens!I13783-Sens!I13784-Sens!I13785-Sens!I13787</f>
        <v>97.4967841158513</v>
      </c>
      <c r="J13789" s="6" t="n">
        <f aca="false">Sens!J13788-Sens!J13782-Sens!J13783-Sens!J13784-Sens!J13785-Sens!J13787</f>
        <v>108.586288995756</v>
      </c>
      <c r="K13789" s="6" t="n">
        <f aca="false">Sens!K13788-Sens!K13782-Sens!K13783-Sens!K13784-Sens!K13785-Sens!K13787</f>
        <v>117.882316989274</v>
      </c>
    </row>
    <row r="13790" customFormat="false" ht="17.15" hidden="false" customHeight="false" outlineLevel="0" collapsed="false">
      <c r="A13790" s="0" t="s">
        <v>1065</v>
      </c>
      <c r="B13790" s="0" t="s">
        <v>98</v>
      </c>
      <c r="F13790" s="6" t="n">
        <f aca="false">PL!F112+Sens!F13781*Seg!F82+sbc_r*Seg!F82</f>
        <v>26.2049549828959</v>
      </c>
      <c r="G13790" s="6" t="n">
        <f aca="false">PL!G112+Sens!G13781*Seg!G82+sbc_r*Seg!G82</f>
        <v>26.8405806403664</v>
      </c>
      <c r="H13790" s="6" t="n">
        <f aca="false">PL!H112+Sens!H13781*Seg!H82+sbc_r*Seg!H82</f>
        <v>27.7352032470138</v>
      </c>
      <c r="I13790" s="6" t="n">
        <f aca="false">PL!I112+Sens!I13781*Seg!I82+sbc_r*Seg!I82</f>
        <v>28.8569155956094</v>
      </c>
      <c r="J13790" s="6" t="n">
        <f aca="false">PL!J112+Sens!J13781*Seg!J82+sbc_r*Seg!J82</f>
        <v>30.1744385645725</v>
      </c>
      <c r="K13790" s="6" t="n">
        <f aca="false">PL!K112+Sens!K13781*Seg!K82+sbc_r*Seg!K82</f>
        <v>31.6584976186802</v>
      </c>
    </row>
    <row r="13791" customFormat="false" ht="17.15" hidden="false" customHeight="false" outlineLevel="0" collapsed="false">
      <c r="A13791" s="0" t="s">
        <v>1066</v>
      </c>
      <c r="B13791" s="0" t="s">
        <v>98</v>
      </c>
      <c r="F13791" s="6" t="n">
        <f aca="false">(Sens!F13790-Sens!F13786)*Seg!F78/(Seg!F78+Seg!F80)</f>
        <v>8.21889831690819</v>
      </c>
      <c r="G13791" s="6" t="n">
        <f aca="false">(Sens!G13790-Sens!G13786)*Seg!G78/(Seg!G78+Seg!G80)</f>
        <v>7.82984014749099</v>
      </c>
      <c r="H13791" s="6" t="n">
        <f aca="false">(Sens!H13790-Sens!H13786)*Seg!H78/(Seg!H78+Seg!H80)</f>
        <v>7.5999849964554</v>
      </c>
      <c r="I13791" s="6" t="n">
        <f aca="false">(Sens!I13790-Sens!I13786)*Seg!I78/(Seg!I78+Seg!I80)</f>
        <v>7.51221089422364</v>
      </c>
      <c r="J13791" s="6" t="n">
        <f aca="false">(Sens!J13790-Sens!J13786)*Seg!J78/(Seg!J78+Seg!J80)</f>
        <v>7.55622411401827</v>
      </c>
      <c r="K13791" s="6" t="n">
        <f aca="false">(Sens!K13790-Sens!K13786)*Seg!K78/(Seg!K78+Seg!K80)</f>
        <v>7.72822064011532</v>
      </c>
    </row>
    <row r="13792" customFormat="false" ht="17.15" hidden="false" customHeight="false" outlineLevel="0" collapsed="false">
      <c r="A13792" s="0" t="s">
        <v>1067</v>
      </c>
      <c r="B13792" s="0" t="s">
        <v>98</v>
      </c>
      <c r="F13792" s="6" t="n">
        <f aca="false">Sens!F13790-Sens!F13786-Sens!F13791</f>
        <v>6.77388596713263</v>
      </c>
      <c r="G13792" s="6" t="n">
        <f aca="false">Sens!G13790-Sens!G13786-Sens!G13791</f>
        <v>6.71251974178949</v>
      </c>
      <c r="H13792" s="6" t="n">
        <f aca="false">Sens!H13790-Sens!H13786-Sens!H13791</f>
        <v>6.70875211160101</v>
      </c>
      <c r="I13792" s="6" t="n">
        <f aca="false">Sens!I13790-Sens!I13786-Sens!I13791</f>
        <v>6.76040993286883</v>
      </c>
      <c r="J13792" s="6" t="n">
        <f aca="false">Sens!J13790-Sens!J13786-Sens!J13791</f>
        <v>6.86523172447386</v>
      </c>
      <c r="K13792" s="6" t="n">
        <f aca="false">Sens!K13790-Sens!K13786-Sens!K13791</f>
        <v>7.02149972151092</v>
      </c>
    </row>
    <row r="13793" customFormat="false" ht="17.15" hidden="false" customHeight="false" outlineLevel="0" collapsed="false">
      <c r="A13793" s="0" t="s">
        <v>1068</v>
      </c>
      <c r="B13793" s="0" t="s">
        <v>98</v>
      </c>
      <c r="F13793" s="6" t="n">
        <f aca="false">Sens!F13787-tax_f*(Sens!F13787-Thesis!F138)-Thesis!F135</f>
        <v>-122.366710075738</v>
      </c>
      <c r="G13793" s="6" t="n">
        <f aca="false">Sens!G13787-tax_f*(Sens!G13787-Thesis!G138)-Thesis!G135</f>
        <v>-108.130935015143</v>
      </c>
      <c r="H13793" s="6" t="n">
        <f aca="false">Sens!H13787-tax_f*(Sens!H13787-Thesis!H138)-Thesis!H135</f>
        <v>-85.7372579155142</v>
      </c>
      <c r="I13793" s="6" t="n">
        <f aca="false">Sens!I13787-tax_f*(Sens!I13787-Thesis!I138)-Thesis!I135</f>
        <v>-32.0937617822731</v>
      </c>
      <c r="J13793" s="6" t="n">
        <f aca="false">Sens!J13787-tax_f*(Sens!J13787-Thesis!J138)-Thesis!J135</f>
        <v>27.7659608174853</v>
      </c>
      <c r="K13793" s="6" t="n">
        <f aca="false">Sens!K13787-tax_f*(Sens!K13787-Thesis!K138)-Thesis!K135</f>
        <v>50.2765610680426</v>
      </c>
    </row>
    <row r="13794" customFormat="false" ht="17.15" hidden="false" customHeight="false" outlineLevel="0" collapsed="false">
      <c r="A13794" s="0" t="s">
        <v>1069</v>
      </c>
      <c r="B13794" s="0" t="s">
        <v>98</v>
      </c>
      <c r="F13794" s="6" t="n">
        <f aca="false">Sens!F13793*Sens!F13767</f>
        <v>-116.516770484359</v>
      </c>
      <c r="G13794" s="6" t="n">
        <f aca="false">Sens!G13793*Sens!G13767</f>
        <v>-93.3523860782335</v>
      </c>
      <c r="H13794" s="6" t="n">
        <f aca="false">Sens!H13793*Sens!H13767</f>
        <v>-67.1112555525725</v>
      </c>
      <c r="I13794" s="6" t="n">
        <f aca="false">Sens!I13793*Sens!I13767</f>
        <v>-22.7770098035666</v>
      </c>
      <c r="J13794" s="6" t="n">
        <f aca="false">Sens!J13793*Sens!J13767</f>
        <v>17.8664842224654</v>
      </c>
      <c r="K13794" s="6" t="n">
        <f aca="false">Sens!K13793*Sens!K13767</f>
        <v>29.3320399341769</v>
      </c>
    </row>
    <row r="13795" customFormat="false" ht="17.15" hidden="false" customHeight="false" outlineLevel="0" collapsed="false">
      <c r="A13795" s="0" t="s">
        <v>1070</v>
      </c>
      <c r="B13795" s="0" t="s">
        <v>98</v>
      </c>
      <c r="C13795" s="6" t="n">
        <f aca="false">(Sens!K13787-Thesis!K138)*(1-tax_f)*(1+g_tv)*(1-g_tv/(wacc+ronic_prem))/(wacc-g_tv)/(1+wacc)^(Sens!K13766+mid_yr)</f>
        <v>142.100702662121</v>
      </c>
    </row>
    <row r="13796" customFormat="false" ht="17.15" hidden="false" customHeight="false" outlineLevel="0" collapsed="false">
      <c r="A13796" s="1" t="s">
        <v>1071</v>
      </c>
      <c r="B13796" s="0" t="s">
        <v>98</v>
      </c>
      <c r="C13796" s="6" t="n">
        <f aca="false">(SUM(Sens!F13794:K13794)+Sens!$C$13795)*(1+wacc)^t_roll</f>
        <v>-125.782434907083</v>
      </c>
      <c r="L13796" s="11" t="s">
        <v>1072</v>
      </c>
    </row>
    <row r="13797" customFormat="false" ht="17.15" hidden="false" customHeight="false" outlineLevel="0" collapsed="false">
      <c r="A13797" s="1" t="s">
        <v>1073</v>
      </c>
      <c r="B13797" s="0" t="s">
        <v>98</v>
      </c>
      <c r="C13797" s="6" t="n">
        <f aca="false">(w_ntm28*Thesis!G127+(1-w_ntm28)*Thesis!H127)*m_ai</f>
        <v>338.776008390068</v>
      </c>
    </row>
    <row r="13798" customFormat="false" ht="17.15" hidden="false" customHeight="false" outlineLevel="0" collapsed="false">
      <c r="A13798" s="1" t="s">
        <v>1074</v>
      </c>
      <c r="B13798" s="0" t="s">
        <v>98</v>
      </c>
      <c r="C13798" s="6" t="n">
        <f aca="false">(w_ntm28*Sens!G13789+(1-w_ntm28)*Sens!H13789)*m_cloud</f>
        <v>1064.09888458319</v>
      </c>
    </row>
    <row r="13799" customFormat="false" ht="17.15" hidden="false" customHeight="false" outlineLevel="0" collapsed="false">
      <c r="A13799" s="1" t="s">
        <v>1075</v>
      </c>
      <c r="B13799" s="0" t="s">
        <v>98</v>
      </c>
      <c r="C13799" s="6" t="n">
        <f aca="false">(w_ntm28*Sens!G13782+(1-w_ntm28)*Sens!H13782)*m_sw</f>
        <v>1044.04824539957</v>
      </c>
    </row>
    <row r="13800" customFormat="false" ht="17.15" hidden="false" customHeight="false" outlineLevel="0" collapsed="false">
      <c r="A13800" s="1" t="s">
        <v>1076</v>
      </c>
      <c r="B13800" s="0" t="s">
        <v>98</v>
      </c>
      <c r="C13800" s="6" t="n">
        <f aca="false">(w_ntm28*Sens!G13783+(1-w_ntm28)*Sens!H13783)*m_sw</f>
        <v>379.755670745447</v>
      </c>
    </row>
    <row r="13801" customFormat="false" ht="17.15" hidden="false" customHeight="false" outlineLevel="0" collapsed="false">
      <c r="A13801" s="1" t="s">
        <v>1077</v>
      </c>
      <c r="B13801" s="0" t="s">
        <v>98</v>
      </c>
      <c r="C13801" s="6" t="n">
        <f aca="false">(w_ntm28*Sens!G13784+(1-w_ntm28)*Sens!H13784)*m_sw</f>
        <v>109.434903376969</v>
      </c>
    </row>
    <row r="13802" customFormat="false" ht="17.15" hidden="false" customHeight="false" outlineLevel="0" collapsed="false">
      <c r="A13802" s="1" t="s">
        <v>1078</v>
      </c>
      <c r="B13802" s="0" t="s">
        <v>98</v>
      </c>
      <c r="C13802" s="6" t="n">
        <f aca="false">(w_ntm28*Sens!G13785+(1-w_ntm28)*Sens!H13785)*m_sw</f>
        <v>41.7511882786773</v>
      </c>
    </row>
    <row r="13803" customFormat="false" ht="17.15" hidden="false" customHeight="false" outlineLevel="0" collapsed="false">
      <c r="A13803" s="1" t="s">
        <v>1079</v>
      </c>
      <c r="B13803" s="0" t="s">
        <v>98</v>
      </c>
      <c r="C13803" s="6" t="n">
        <f aca="false">(w_ntm28*Sens!G13786+(1-w_ntm28)*Sens!H13786)*m_ads</f>
        <v>115.359643719254</v>
      </c>
    </row>
    <row r="13804" customFormat="false" ht="17.15" hidden="false" customHeight="false" outlineLevel="0" collapsed="false">
      <c r="A13804" s="1" t="s">
        <v>1080</v>
      </c>
      <c r="B13804" s="0" t="s">
        <v>98</v>
      </c>
      <c r="C13804" s="6" t="n">
        <f aca="false">(w_ntm28*Sens!G13791+(1-w_ntm28)*Sens!H13791)*m_game</f>
        <v>97.9523541428266</v>
      </c>
    </row>
    <row r="13805" customFormat="false" ht="17.15" hidden="false" customHeight="false" outlineLevel="0" collapsed="false">
      <c r="A13805" s="1" t="s">
        <v>1081</v>
      </c>
      <c r="B13805" s="0" t="s">
        <v>98</v>
      </c>
      <c r="C13805" s="6" t="n">
        <f aca="false">(w_ntm28*Sens!G13792+(1-w_ntm28)*Sens!H13792)*m_pc</f>
        <v>97.1125357928949</v>
      </c>
    </row>
    <row r="13806" customFormat="false" ht="17.15" hidden="false" customHeight="false" outlineLevel="0" collapsed="false">
      <c r="A13806" s="1" t="s">
        <v>1082</v>
      </c>
      <c r="B13806" s="0" t="s">
        <v>98</v>
      </c>
      <c r="C13806" s="6" t="n">
        <f aca="false">Sens!$C$13796+Sens!$C$13798+Sens!$C$13799+Sens!$C$13800+Sens!$C$13801+Sens!$C$13802+Sens!$C$13803+Sens!$C$13804+Sens!$C$13805</f>
        <v>2823.73099113174</v>
      </c>
    </row>
    <row r="13807" customFormat="false" ht="17.15" hidden="false" customHeight="false" outlineLevel="0" collapsed="false">
      <c r="A13807" s="1" t="s">
        <v>1000</v>
      </c>
      <c r="B13807" s="0" t="s">
        <v>98</v>
      </c>
      <c r="C13807" s="6" t="n">
        <f aca="false">CF!F94+(oai_stake_hi*oai_val*(1-liq_disc))-CF!F83</f>
        <v>120.446034990727</v>
      </c>
      <c r="L13807" s="1" t="s">
        <v>1083</v>
      </c>
    </row>
    <row r="13808" customFormat="false" ht="15" hidden="false" customHeight="false" outlineLevel="0" collapsed="false">
      <c r="A13808" s="1" t="s">
        <v>1001</v>
      </c>
      <c r="B13808" s="0" t="s">
        <v>75</v>
      </c>
      <c r="C13808" s="5" t="n">
        <f aca="false">(Sens!$C$13806+Sens!$C$13807)/CF!F96</f>
        <v>394.027974588125</v>
      </c>
    </row>
    <row r="13809" customFormat="false" ht="17.15" hidden="false" customHeight="false" outlineLevel="0" collapsed="false">
      <c r="A13809" s="1" t="s">
        <v>1084</v>
      </c>
      <c r="B13809" s="0" t="s">
        <v>75</v>
      </c>
      <c r="C13809" s="5" t="n">
        <f aca="false">w_dcf*Sens!$C$13780+(1-w_dcf)*Sens!$C$13808</f>
        <v>347.30661369546</v>
      </c>
    </row>
    <row r="13810" customFormat="false" ht="17.15" hidden="false" customHeight="false" outlineLevel="0" collapsed="false">
      <c r="A13810" s="3" t="s">
        <v>1590</v>
      </c>
    </row>
    <row r="13811" customFormat="false" ht="15" hidden="false" customHeight="false" outlineLevel="0" collapsed="false">
      <c r="A13811" s="4" t="s">
        <v>43</v>
      </c>
      <c r="B13811" s="4" t="s">
        <v>65</v>
      </c>
      <c r="C13811" s="20" t="s">
        <v>788</v>
      </c>
      <c r="D13811" s="20" t="s">
        <v>789</v>
      </c>
      <c r="E13811" s="20" t="s">
        <v>790</v>
      </c>
      <c r="F13811" s="20" t="s">
        <v>791</v>
      </c>
      <c r="G13811" s="20" t="s">
        <v>792</v>
      </c>
      <c r="H13811" s="20" t="s">
        <v>793</v>
      </c>
      <c r="I13811" s="20" t="s">
        <v>794</v>
      </c>
      <c r="J13811" s="20" t="s">
        <v>795</v>
      </c>
      <c r="K13811" s="20" t="s">
        <v>796</v>
      </c>
      <c r="L13811" s="4" t="s">
        <v>47</v>
      </c>
    </row>
    <row r="13812" customFormat="false" ht="15" hidden="false" customHeight="false" outlineLevel="0" collapsed="false">
      <c r="A13812" s="1" t="s">
        <v>1042</v>
      </c>
      <c r="B13812" s="1" t="s">
        <v>235</v>
      </c>
      <c r="F13812" s="36" t="n">
        <f aca="false">Thesis!F6-base_fy-mid_yr</f>
        <v>0.5</v>
      </c>
      <c r="G13812" s="36" t="n">
        <f aca="false">Thesis!G6-base_fy-mid_yr</f>
        <v>1.5</v>
      </c>
      <c r="H13812" s="36" t="n">
        <f aca="false">Thesis!H6-base_fy-mid_yr</f>
        <v>2.5</v>
      </c>
      <c r="I13812" s="36" t="n">
        <f aca="false">Thesis!I6-base_fy-mid_yr</f>
        <v>3.5</v>
      </c>
      <c r="J13812" s="36" t="n">
        <f aca="false">Thesis!J6-base_fy-mid_yr</f>
        <v>4.5</v>
      </c>
      <c r="K13812" s="36" t="n">
        <f aca="false">Thesis!K6-base_fy-mid_yr</f>
        <v>5.5</v>
      </c>
    </row>
    <row r="13813" customFormat="false" ht="15" hidden="false" customHeight="false" outlineLevel="0" collapsed="false">
      <c r="A13813" s="1" t="s">
        <v>1043</v>
      </c>
      <c r="B13813" s="0" t="s">
        <v>185</v>
      </c>
      <c r="F13813" s="14" t="n">
        <f aca="false">1/(1+wacc)^Sens!F13812</f>
        <v>0.952193373608246</v>
      </c>
      <c r="G13813" s="14" t="n">
        <f aca="false">1/(1+wacc)^Sens!G13812</f>
        <v>0.863327280626589</v>
      </c>
      <c r="H13813" s="14" t="n">
        <f aca="false">1/(1+wacc)^Sens!H13812</f>
        <v>0.782754862754115</v>
      </c>
      <c r="I13813" s="14" t="n">
        <f aca="false">1/(1+wacc)^Sens!I13812</f>
        <v>0.709702089711011</v>
      </c>
      <c r="J13813" s="14" t="n">
        <f aca="false">1/(1+wacc)^Sens!J13812</f>
        <v>0.643467169744551</v>
      </c>
      <c r="K13813" s="14" t="n">
        <f aca="false">1/(1+wacc)^Sens!K13812</f>
        <v>0.583413807767797</v>
      </c>
    </row>
    <row r="13814" customFormat="false" ht="17.15" hidden="false" customHeight="false" outlineLevel="0" collapsed="false">
      <c r="A13814" s="1" t="s">
        <v>1044</v>
      </c>
      <c r="B13814" s="0" t="s">
        <v>98</v>
      </c>
      <c r="F13814" s="6" t="n">
        <f aca="false">CF!F21-CF!F19-CF!F24+Thesis!F44*(1-tax_f)</f>
        <v>9.29995994594013</v>
      </c>
      <c r="G13814" s="6" t="n">
        <f aca="false">CF!G21-CF!G19-CF!G24+Thesis!G44*(1-tax_f)</f>
        <v>55.6803799901549</v>
      </c>
      <c r="H13814" s="6" t="n">
        <f aca="false">CF!H21-CF!H19-CF!H24+Thesis!H44*(1-tax_f)</f>
        <v>114.6308681267</v>
      </c>
      <c r="I13814" s="6" t="n">
        <f aca="false">CF!I21-CF!I19-CF!I24+Thesis!I44*(1-tax_f)</f>
        <v>192.960687587037</v>
      </c>
      <c r="J13814" s="6" t="n">
        <f aca="false">CF!J21-CF!J19-CF!J24+Thesis!J44*(1-tax_f)</f>
        <v>273.742251264366</v>
      </c>
      <c r="K13814" s="6" t="n">
        <f aca="false">CF!K21-CF!K19-CF!K24+Thesis!K44*(1-tax_f)</f>
        <v>313.491842465765</v>
      </c>
      <c r="L13814" s="1" t="s">
        <v>1045</v>
      </c>
    </row>
    <row r="13815" customFormat="false" ht="15" hidden="false" customHeight="false" outlineLevel="0" collapsed="false">
      <c r="A13815" s="1" t="s">
        <v>1046</v>
      </c>
      <c r="B13815" s="0" t="s">
        <v>98</v>
      </c>
      <c r="F13815" s="6" t="n">
        <f aca="false">Sens!F13814*Sens!F13813</f>
        <v>8.8553602353463</v>
      </c>
      <c r="G13815" s="6" t="n">
        <f aca="false">Sens!G13814*Sens!G13813</f>
        <v>48.0703910411556</v>
      </c>
      <c r="H13815" s="6" t="n">
        <f aca="false">Sens!H13814*Sens!H13813</f>
        <v>89.7278694479</v>
      </c>
      <c r="I13815" s="6" t="n">
        <f aca="false">Sens!I13814*Sens!I13813</f>
        <v>136.944603212593</v>
      </c>
      <c r="J13815" s="6" t="n">
        <f aca="false">Sens!J13814*Sens!J13813</f>
        <v>176.144151660583</v>
      </c>
      <c r="K13815" s="6" t="n">
        <f aca="false">Sens!K13814*Sens!K13813</f>
        <v>182.895469517094</v>
      </c>
    </row>
    <row r="13816" customFormat="false" ht="17.15" hidden="false" customHeight="false" outlineLevel="0" collapsed="false">
      <c r="A13816" s="1" t="s">
        <v>1047</v>
      </c>
      <c r="B13816" s="0" t="s">
        <v>98</v>
      </c>
      <c r="C13816" s="6" t="n">
        <f aca="false">SUM(Sens!F13815:K13815)</f>
        <v>642.637845114673</v>
      </c>
    </row>
    <row r="13817" customFormat="false" ht="17.15" hidden="false" customHeight="false" outlineLevel="0" collapsed="false">
      <c r="A13817" s="1" t="s">
        <v>1048</v>
      </c>
      <c r="B13817" s="0" t="s">
        <v>98</v>
      </c>
      <c r="C13817" s="6" t="n">
        <f aca="false">PL!K39*(1+g_tv)*(1-tax_f)</f>
        <v>325.338496025769</v>
      </c>
    </row>
    <row r="13818" customFormat="false" ht="17.15" hidden="false" customHeight="false" outlineLevel="0" collapsed="false">
      <c r="A13818" s="1" t="s">
        <v>1049</v>
      </c>
      <c r="B13818" s="0" t="s">
        <v>98</v>
      </c>
      <c r="C13818" s="6" t="n">
        <f aca="false">Sens!$C$13817*(1-g_tv/(wacc+ronic_prem))</f>
        <v>230.519339596203</v>
      </c>
    </row>
    <row r="13819" customFormat="false" ht="17.15" hidden="false" customHeight="false" outlineLevel="0" collapsed="false">
      <c r="A13819" s="1" t="s">
        <v>1050</v>
      </c>
      <c r="B13819" s="0" t="s">
        <v>98</v>
      </c>
      <c r="C13819" s="6" t="n">
        <f aca="false">Sens!$C$13818/(wacc-g_tv)</f>
        <v>3160.63854765221</v>
      </c>
    </row>
    <row r="13820" customFormat="false" ht="15" hidden="false" customHeight="false" outlineLevel="0" collapsed="false">
      <c r="A13820" s="1" t="s">
        <v>1051</v>
      </c>
      <c r="B13820" s="0" t="s">
        <v>98</v>
      </c>
      <c r="C13820" s="6" t="n">
        <f aca="false">Sens!$C$13819/(1+wacc)^(Sens!K13812+mid_yr)</f>
        <v>1755.80665513196</v>
      </c>
    </row>
    <row r="13821" customFormat="false" ht="17.15" hidden="false" customHeight="false" outlineLevel="0" collapsed="false">
      <c r="A13821" s="0" t="s">
        <v>972</v>
      </c>
      <c r="B13821" s="0" t="s">
        <v>98</v>
      </c>
      <c r="C13821" s="6" t="n">
        <f aca="false">Sens!$C$13816+Sens!$C$13820</f>
        <v>2398.44450024663</v>
      </c>
    </row>
    <row r="13822" customFormat="false" ht="15" hidden="false" customHeight="false" outlineLevel="0" collapsed="false">
      <c r="A13822" s="1" t="s">
        <v>973</v>
      </c>
      <c r="B13822" s="0" t="s">
        <v>129</v>
      </c>
      <c r="C13822" s="7" t="n">
        <f aca="false">Sens!$C$13820/Sens!$C$13821</f>
        <v>0.732060572988622</v>
      </c>
    </row>
    <row r="13823" customFormat="false" ht="17.15" hidden="false" customHeight="false" outlineLevel="0" collapsed="false">
      <c r="A13823" s="1" t="s">
        <v>1052</v>
      </c>
      <c r="B13823" s="0" t="s">
        <v>98</v>
      </c>
      <c r="C13823" s="6" t="n">
        <f aca="false">Sens!$C$13821+CF!E36-CF!E25+(oai_stake_hi*oai_val)</f>
        <v>2592.59750024663</v>
      </c>
    </row>
    <row r="13824" customFormat="false" ht="17.15" hidden="false" customHeight="false" outlineLevel="0" collapsed="false">
      <c r="A13824" s="0" t="s">
        <v>980</v>
      </c>
      <c r="B13824" s="0" t="s">
        <v>75</v>
      </c>
      <c r="C13824" s="5" t="n">
        <f aca="false">Sens!$C$13823/sh_dil26</f>
        <v>347.859586776684</v>
      </c>
    </row>
    <row r="13825" customFormat="false" ht="15" hidden="false" customHeight="false" outlineLevel="0" collapsed="false">
      <c r="A13825" s="1" t="s">
        <v>1053</v>
      </c>
      <c r="B13825" s="0" t="s">
        <v>75</v>
      </c>
      <c r="C13825" s="8" t="n">
        <f aca="false">dps_27+CF!G28*roll_div_q/q_per_yr</f>
        <v>4.8895</v>
      </c>
    </row>
    <row r="13826" customFormat="false" ht="17.15" hidden="false" customHeight="false" outlineLevel="0" collapsed="false">
      <c r="A13826" s="0" t="s">
        <v>1054</v>
      </c>
      <c r="B13826" s="0" t="s">
        <v>75</v>
      </c>
      <c r="C13826" s="5" t="n">
        <f aca="false">Sens!$C$13824*(1+wacc)^t_roll-Sens!$C$13825</f>
        <v>391.229826329238</v>
      </c>
    </row>
    <row r="13827" customFormat="false" ht="17.15" hidden="false" customHeight="false" outlineLevel="0" collapsed="false">
      <c r="A13827" s="1" t="s">
        <v>1055</v>
      </c>
      <c r="B13827" s="0" t="s">
        <v>129</v>
      </c>
      <c r="F13827" s="7" t="n">
        <f aca="false">CF!F17/(Seg!F29-Thesis!F23)</f>
        <v>0.0681773598226415</v>
      </c>
      <c r="G13827" s="7" t="n">
        <f aca="false">CF!G17/(Seg!G29-Thesis!G23)</f>
        <v>0.0650385409375172</v>
      </c>
      <c r="H13827" s="7" t="n">
        <f aca="false">CF!H17/(Seg!H29-Thesis!H23)</f>
        <v>0.063382542471986</v>
      </c>
      <c r="I13827" s="7" t="n">
        <f aca="false">CF!I17/(Seg!I29-Thesis!I23)</f>
        <v>0.0630998138876076</v>
      </c>
      <c r="J13827" s="7" t="n">
        <f aca="false">CF!J17/(Seg!J29-Thesis!J23)</f>
        <v>0.0638399980286975</v>
      </c>
      <c r="K13827" s="7" t="n">
        <f aca="false">CF!K17/(Seg!K29-Thesis!K23)</f>
        <v>0.0651531082402687</v>
      </c>
    </row>
    <row r="13828" customFormat="false" ht="17.15" hidden="false" customHeight="false" outlineLevel="0" collapsed="false">
      <c r="A13828" s="0" t="s">
        <v>1056</v>
      </c>
      <c r="B13828" s="0" t="s">
        <v>98</v>
      </c>
      <c r="F13828" s="6" t="n">
        <f aca="false">Seg!F14*(al_m365+Sens!F13827+sbc_r)</f>
        <v>84.944046606333</v>
      </c>
      <c r="G13828" s="6" t="n">
        <f aca="false">Seg!G14*(al_m365+Sens!G13827+sbc_r)</f>
        <v>99.4236143320739</v>
      </c>
      <c r="H13828" s="6" t="n">
        <f aca="false">Seg!H14*(al_m365+Sens!H13827+sbc_r)</f>
        <v>114.068697186163</v>
      </c>
      <c r="I13828" s="6" t="n">
        <f aca="false">Seg!I14*(al_m365+Sens!I13827+sbc_r)</f>
        <v>127.196415789369</v>
      </c>
      <c r="J13828" s="6" t="n">
        <f aca="false">Seg!J14*(al_m365+Sens!J13827+sbc_r)</f>
        <v>138.619575691419</v>
      </c>
      <c r="K13828" s="6" t="n">
        <f aca="false">Seg!K14*(al_m365+Sens!K13827+sbc_r)</f>
        <v>149.659768267063</v>
      </c>
      <c r="L13828" s="11" t="s">
        <v>1057</v>
      </c>
    </row>
    <row r="13829" customFormat="false" ht="17.15" hidden="false" customHeight="false" outlineLevel="0" collapsed="false">
      <c r="A13829" s="0" t="s">
        <v>1058</v>
      </c>
      <c r="B13829" s="0" t="s">
        <v>98</v>
      </c>
      <c r="F13829" s="6" t="n">
        <f aca="false">Seg!F15*(al_lic+Sens!F13827+sbc_r)</f>
        <v>33.4285095904825</v>
      </c>
      <c r="G13829" s="6" t="n">
        <f aca="false">Seg!G15*(al_lic+Sens!G13827+sbc_r)</f>
        <v>34.7161826947861</v>
      </c>
      <c r="H13829" s="6" t="n">
        <f aca="false">Seg!H15*(al_lic+Sens!H13827+sbc_r)</f>
        <v>35.9223654002493</v>
      </c>
      <c r="I13829" s="6" t="n">
        <f aca="false">Seg!I15*(al_lic+Sens!I13827+sbc_r)</f>
        <v>37.0298325864501</v>
      </c>
      <c r="J13829" s="6" t="n">
        <f aca="false">Seg!J15*(al_lic+Sens!J13827+sbc_r)</f>
        <v>38.0103325842314</v>
      </c>
      <c r="K13829" s="6" t="n">
        <f aca="false">Seg!K15*(al_lic+Sens!K13827+sbc_r)</f>
        <v>38.8303473189322</v>
      </c>
    </row>
    <row r="13830" customFormat="false" ht="17.15" hidden="false" customHeight="false" outlineLevel="0" collapsed="false">
      <c r="A13830" s="0" t="s">
        <v>1059</v>
      </c>
      <c r="B13830" s="0" t="s">
        <v>98</v>
      </c>
      <c r="F13830" s="6" t="n">
        <f aca="false">Seg!F17*(al_ind+Sens!F13827+sbc_r)</f>
        <v>9.06719306746208</v>
      </c>
      <c r="G13830" s="6" t="n">
        <f aca="false">Seg!G17*(al_ind+Sens!G13827+sbc_r)</f>
        <v>9.83485541633448</v>
      </c>
      <c r="H13830" s="6" t="n">
        <f aca="false">Seg!H17*(al_ind+Sens!H13827+sbc_r)</f>
        <v>10.6498544617516</v>
      </c>
      <c r="I13830" s="6" t="n">
        <f aca="false">Seg!I17*(al_ind+Sens!I13827+sbc_r)</f>
        <v>11.5103515303299</v>
      </c>
      <c r="J13830" s="6" t="n">
        <f aca="false">Seg!J17*(al_ind+Sens!J13827+sbc_r)</f>
        <v>12.4055032067278</v>
      </c>
      <c r="K13830" s="6" t="n">
        <f aca="false">Seg!K17*(al_ind+Sens!K13827+sbc_r)</f>
        <v>13.3173308472897</v>
      </c>
    </row>
    <row r="13831" customFormat="false" ht="17.15" hidden="false" customHeight="false" outlineLevel="0" collapsed="false">
      <c r="A13831" s="0" t="s">
        <v>1060</v>
      </c>
      <c r="B13831" s="0" t="s">
        <v>98</v>
      </c>
      <c r="F13831" s="6" t="n">
        <f aca="false">Seg!F19*(al_fro+Sens!F13827+sbc_r)</f>
        <v>3.56887902446295</v>
      </c>
      <c r="G13831" s="6" t="n">
        <f aca="false">Seg!G19*(al_fro+Sens!G13827+sbc_r)</f>
        <v>3.77600302676241</v>
      </c>
      <c r="H13831" s="6" t="n">
        <f aca="false">Seg!H19*(al_fro+Sens!H13827+sbc_r)</f>
        <v>4.01322967965482</v>
      </c>
      <c r="I13831" s="6" t="n">
        <f aca="false">Seg!I19*(al_fro+Sens!I13827+sbc_r)</f>
        <v>4.28368437397841</v>
      </c>
      <c r="J13831" s="6" t="n">
        <f aca="false">Seg!J19*(al_fro+Sens!J13827+sbc_r)</f>
        <v>4.58803182845156</v>
      </c>
      <c r="K13831" s="6" t="n">
        <f aca="false">Seg!K19*(al_fro+Sens!K13827+sbc_r)</f>
        <v>4.92526073140255</v>
      </c>
    </row>
    <row r="13832" customFormat="false" ht="17.15" hidden="false" customHeight="false" outlineLevel="0" collapsed="false">
      <c r="A13832" s="0" t="s">
        <v>1061</v>
      </c>
      <c r="B13832" s="0" t="s">
        <v>98</v>
      </c>
      <c r="F13832" s="6" t="n">
        <f aca="false">Seg!F22*(al_srch+Sens!F13827+sbc_r)</f>
        <v>11.1981144415922</v>
      </c>
      <c r="G13832" s="6" t="n">
        <f aca="false">Seg!G22*(al_srch+Sens!G13827+sbc_r)</f>
        <v>12.2607925441521</v>
      </c>
      <c r="H13832" s="6" t="n">
        <f aca="false">Seg!H22*(al_srch+Sens!H13827+sbc_r)</f>
        <v>13.3712787172501</v>
      </c>
      <c r="I13832" s="6" t="n">
        <f aca="false">Seg!I22*(al_srch+Sens!I13827+sbc_r)</f>
        <v>14.5205713773955</v>
      </c>
      <c r="J13832" s="6" t="n">
        <f aca="false">Seg!J22*(al_srch+Sens!J13827+sbc_r)</f>
        <v>15.6873363367184</v>
      </c>
      <c r="K13832" s="6" t="n">
        <f aca="false">Seg!K22*(al_srch+Sens!K13827+sbc_r)</f>
        <v>16.8403848378749</v>
      </c>
    </row>
    <row r="13833" customFormat="false" ht="17.15" hidden="false" customHeight="false" outlineLevel="0" collapsed="false">
      <c r="A13833" s="0" t="s">
        <v>1062</v>
      </c>
      <c r="B13833" s="0" t="s">
        <v>98</v>
      </c>
      <c r="F13833" s="6" t="n">
        <f aca="false">Thesis!F29-Thesis!F30+Thesis!F44</f>
        <v>55.6743052939671</v>
      </c>
      <c r="G13833" s="6" t="n">
        <f aca="false">Thesis!G29-Thesis!G30+Thesis!G44</f>
        <v>100.2533125707</v>
      </c>
      <c r="H13833" s="6" t="n">
        <f aca="false">Thesis!H29-Thesis!H30+Thesis!H44</f>
        <v>152.31255014234</v>
      </c>
      <c r="I13833" s="6" t="n">
        <f aca="false">Thesis!I29-Thesis!I30+Thesis!I44</f>
        <v>194.041990076394</v>
      </c>
      <c r="J13833" s="6" t="n">
        <f aca="false">Thesis!J29-Thesis!J30+Thesis!J44</f>
        <v>223.463148273617</v>
      </c>
      <c r="K13833" s="6" t="n">
        <f aca="false">Thesis!K29-Thesis!K30+Thesis!K44</f>
        <v>241.312249272487</v>
      </c>
    </row>
    <row r="13834" customFormat="false" ht="17.15" hidden="false" customHeight="false" outlineLevel="0" collapsed="false">
      <c r="A13834" s="0" t="s">
        <v>1063</v>
      </c>
      <c r="B13834" s="0" t="s">
        <v>98</v>
      </c>
      <c r="F13834" s="6" t="n">
        <f aca="false">PL!F32+Thesis!F44+Thesis!F40+Sens!F13827*(Seg!F21-Thesis!F23)+sbc_r*Seg!F21</f>
        <v>247.769309676659</v>
      </c>
      <c r="G13834" s="6" t="n">
        <f aca="false">PL!G32+Thesis!G44+Thesis!G40+Sens!G13827*(Seg!G21-Thesis!G23)+sbc_r*Seg!G21</f>
        <v>321.625870182006</v>
      </c>
      <c r="H13834" s="6" t="n">
        <f aca="false">PL!H32+Thesis!H44+Thesis!H40+Sens!H13827*(Seg!H21-Thesis!H23)+sbc_r*Seg!H21</f>
        <v>403.668756829163</v>
      </c>
      <c r="I13834" s="6" t="n">
        <f aca="false">PL!I32+Thesis!I44+Thesis!I40+Sens!I13827*(Seg!I21-Thesis!I23)+sbc_r*Seg!I21</f>
        <v>473.311817063846</v>
      </c>
      <c r="J13834" s="6" t="n">
        <f aca="false">PL!J32+Thesis!J44+Thesis!J40+Sens!J13827*(Seg!J21-Thesis!J23)+sbc_r*Seg!J21</f>
        <v>527.683171494685</v>
      </c>
      <c r="K13834" s="6" t="n">
        <f aca="false">PL!K32+Thesis!K44+Thesis!K40+Sens!K13827*(Seg!K21-Thesis!K23)+sbc_r*Seg!K21</f>
        <v>568.060513693045</v>
      </c>
    </row>
    <row r="13835" customFormat="false" ht="17.15" hidden="false" customHeight="false" outlineLevel="0" collapsed="false">
      <c r="A13835" s="0" t="s">
        <v>1064</v>
      </c>
      <c r="B13835" s="0" t="s">
        <v>98</v>
      </c>
      <c r="F13835" s="6" t="n">
        <f aca="false">Sens!F13834-Sens!F13828-Sens!F13829-Sens!F13830-Sens!F13831-Sens!F13833</f>
        <v>61.0863760939514</v>
      </c>
      <c r="G13835" s="6" t="n">
        <f aca="false">Sens!G13834-Sens!G13828-Sens!G13829-Sens!G13830-Sens!G13831-Sens!G13833</f>
        <v>73.6219021413484</v>
      </c>
      <c r="H13835" s="6" t="n">
        <f aca="false">Sens!H13834-Sens!H13828-Sens!H13829-Sens!H13830-Sens!H13831-Sens!H13833</f>
        <v>86.7020599590046</v>
      </c>
      <c r="I13835" s="6" t="n">
        <f aca="false">Sens!I13834-Sens!I13828-Sens!I13829-Sens!I13830-Sens!I13831-Sens!I13833</f>
        <v>99.2495427073239</v>
      </c>
      <c r="J13835" s="6" t="n">
        <f aca="false">Sens!J13834-Sens!J13828-Sens!J13829-Sens!J13830-Sens!J13831-Sens!J13833</f>
        <v>110.596579910238</v>
      </c>
      <c r="K13835" s="6" t="n">
        <f aca="false">Sens!K13834-Sens!K13828-Sens!K13829-Sens!K13830-Sens!K13831-Sens!K13833</f>
        <v>120.01555725587</v>
      </c>
    </row>
    <row r="13836" customFormat="false" ht="17.15" hidden="false" customHeight="false" outlineLevel="0" collapsed="false">
      <c r="A13836" s="0" t="s">
        <v>1065</v>
      </c>
      <c r="B13836" s="0" t="s">
        <v>98</v>
      </c>
      <c r="F13836" s="6" t="n">
        <f aca="false">PL!F34+Sens!F13827*Seg!F28+sbc_r*Seg!F28</f>
        <v>26.1717931813002</v>
      </c>
      <c r="G13836" s="6" t="n">
        <f aca="false">PL!G34+Sens!G13827*Seg!G28+sbc_r*Seg!G28</f>
        <v>26.7581197754446</v>
      </c>
      <c r="H13836" s="6" t="n">
        <f aca="false">PL!H34+Sens!H13827*Seg!H28+sbc_r*Seg!H28</f>
        <v>27.6201174920951</v>
      </c>
      <c r="I13836" s="6" t="n">
        <f aca="false">PL!I34+Sens!I13827*Seg!I28+sbc_r*Seg!I28</f>
        <v>28.7296306530919</v>
      </c>
      <c r="J13836" s="6" t="n">
        <f aca="false">PL!J34+Sens!J13827*Seg!J28+sbc_r*Seg!J28</f>
        <v>30.04749983899</v>
      </c>
      <c r="K13836" s="6" t="n">
        <f aca="false">PL!K34+Sens!K13827*Seg!K28+sbc_r*Seg!K28</f>
        <v>31.5292329023825</v>
      </c>
    </row>
    <row r="13837" customFormat="false" ht="17.15" hidden="false" customHeight="false" outlineLevel="0" collapsed="false">
      <c r="A13837" s="0" t="s">
        <v>1066</v>
      </c>
      <c r="B13837" s="0" t="s">
        <v>98</v>
      </c>
      <c r="F13837" s="6" t="n">
        <f aca="false">(Sens!F13836-Sens!F13832)*Seg!F24/(Seg!F24+Seg!F26)</f>
        <v>8.20842484359027</v>
      </c>
      <c r="G13837" s="6" t="n">
        <f aca="false">(Sens!G13836-Sens!G13832)*Seg!G24/(Seg!G24+Seg!G26)</f>
        <v>7.80559384110416</v>
      </c>
      <c r="H13837" s="6" t="n">
        <f aca="false">(Sens!H13836-Sens!H13832)*Seg!H24/(Seg!H24+Seg!H26)</f>
        <v>7.56817041839156</v>
      </c>
      <c r="I13837" s="6" t="n">
        <f aca="false">(Sens!I13836-Sens!I13832)*Seg!I24/(Seg!I24+Seg!I26)</f>
        <v>7.47875608696462</v>
      </c>
      <c r="J13837" s="6" t="n">
        <f aca="false">(Sens!J13836-Sens!J13832)*Seg!J24/(Seg!J24+Seg!J26)</f>
        <v>7.52410955955578</v>
      </c>
      <c r="K13837" s="6" t="n">
        <f aca="false">(Sens!K13836-Sens!K13832)*Seg!K24/(Seg!K24+Seg!K26)</f>
        <v>7.6963261681206</v>
      </c>
    </row>
    <row r="13838" customFormat="false" ht="17.15" hidden="false" customHeight="false" outlineLevel="0" collapsed="false">
      <c r="A13838" s="0" t="s">
        <v>1067</v>
      </c>
      <c r="B13838" s="0" t="s">
        <v>98</v>
      </c>
      <c r="F13838" s="6" t="n">
        <f aca="false">Sens!F13836-Sens!F13832-Sens!F13837</f>
        <v>6.76525389611778</v>
      </c>
      <c r="G13838" s="6" t="n">
        <f aca="false">Sens!G13836-Sens!G13832-Sens!G13837</f>
        <v>6.69173339018827</v>
      </c>
      <c r="H13838" s="6" t="n">
        <f aca="false">Sens!H13836-Sens!H13832-Sens!H13837</f>
        <v>6.68066835645346</v>
      </c>
      <c r="I13838" s="6" t="n">
        <f aca="false">Sens!I13836-Sens!I13832-Sens!I13837</f>
        <v>6.73030318873177</v>
      </c>
      <c r="J13838" s="6" t="n">
        <f aca="false">Sens!J13836-Sens!J13832-Sens!J13837</f>
        <v>6.83605394271588</v>
      </c>
      <c r="K13838" s="6" t="n">
        <f aca="false">Sens!K13836-Sens!K13832-Sens!K13837</f>
        <v>6.99252189638696</v>
      </c>
    </row>
    <row r="13839" customFormat="false" ht="17.15" hidden="false" customHeight="false" outlineLevel="0" collapsed="false">
      <c r="A13839" s="0" t="s">
        <v>1068</v>
      </c>
      <c r="B13839" s="0" t="s">
        <v>98</v>
      </c>
      <c r="F13839" s="6" t="n">
        <f aca="false">Sens!F13833-tax_f*(Sens!F13833-Thesis!F40)-Thesis!F37</f>
        <v>-116.98560144409</v>
      </c>
      <c r="G13839" s="6" t="n">
        <f aca="false">Sens!G13833-tax_f*(Sens!G13833-Thesis!G40)-Thesis!G37</f>
        <v>-91.2751837745719</v>
      </c>
      <c r="H13839" s="6" t="n">
        <f aca="false">Sens!H13833-tax_f*(Sens!H13833-Thesis!H40)-Thesis!H37</f>
        <v>-48.6867825979003</v>
      </c>
      <c r="I13839" s="6" t="n">
        <f aca="false">Sens!I13833-tax_f*(Sens!I13833-Thesis!I40)-Thesis!I37</f>
        <v>13.9193309033143</v>
      </c>
      <c r="J13839" s="6" t="n">
        <f aca="false">Sens!J13833-tax_f*(Sens!J13833-Thesis!J40)-Thesis!J37</f>
        <v>80.0897840853365</v>
      </c>
      <c r="K13839" s="6" t="n">
        <f aca="false">Sens!K13833-tax_f*(Sens!K13833-Thesis!K40)-Thesis!K37</f>
        <v>106.014893136948</v>
      </c>
    </row>
    <row r="13840" customFormat="false" ht="17.15" hidden="false" customHeight="false" outlineLevel="0" collapsed="false">
      <c r="A13840" s="0" t="s">
        <v>1069</v>
      </c>
      <c r="B13840" s="0" t="s">
        <v>98</v>
      </c>
      <c r="F13840" s="6" t="n">
        <f aca="false">Sens!F13839*Sens!F13813</f>
        <v>-111.392914502638</v>
      </c>
      <c r="G13840" s="6" t="n">
        <f aca="false">Sens!G13839*Sens!G13813</f>
        <v>-78.8003561967933</v>
      </c>
      <c r="H13840" s="6" t="n">
        <f aca="false">Sens!H13839*Sens!H13813</f>
        <v>-38.1098158303589</v>
      </c>
      <c r="I13840" s="6" t="n">
        <f aca="false">Sens!I13839*Sens!I13813</f>
        <v>9.87857822946124</v>
      </c>
      <c r="J13840" s="6" t="n">
        <f aca="false">Sens!J13839*Sens!J13813</f>
        <v>51.5351466908437</v>
      </c>
      <c r="K13840" s="6" t="n">
        <f aca="false">Sens!K13839*Sens!K13813</f>
        <v>61.8505524851231</v>
      </c>
    </row>
    <row r="13841" customFormat="false" ht="17.15" hidden="false" customHeight="false" outlineLevel="0" collapsed="false">
      <c r="A13841" s="0" t="s">
        <v>1070</v>
      </c>
      <c r="B13841" s="0" t="s">
        <v>98</v>
      </c>
      <c r="C13841" s="6" t="n">
        <f aca="false">(Sens!K13833-Thesis!K40)*(1-tax_f)*(1+g_tv)*(1-g_tv/(wacc+ronic_prem))/(wacc-g_tv)/(1+wacc)^(Sens!K13812+mid_yr)</f>
        <v>452.215034963772</v>
      </c>
    </row>
    <row r="13842" customFormat="false" ht="17.15" hidden="false" customHeight="false" outlineLevel="0" collapsed="false">
      <c r="A13842" s="1" t="s">
        <v>1071</v>
      </c>
      <c r="B13842" s="0" t="s">
        <v>98</v>
      </c>
      <c r="C13842" s="6" t="n">
        <f aca="false">(SUM(Sens!F13840:K13840)+Sens!$C$13841)*(1+wacc)^t_roll</f>
        <v>395.341160412867</v>
      </c>
      <c r="L13842" s="11" t="s">
        <v>1072</v>
      </c>
    </row>
    <row r="13843" customFormat="false" ht="17.15" hidden="false" customHeight="false" outlineLevel="0" collapsed="false">
      <c r="A13843" s="1" t="s">
        <v>1073</v>
      </c>
      <c r="B13843" s="0" t="s">
        <v>98</v>
      </c>
      <c r="C13843" s="6" t="n">
        <f aca="false">(w_ntm28*Thesis!G29+(1-w_ntm28)*Thesis!H29)*m_ai</f>
        <v>551.711134531404</v>
      </c>
    </row>
    <row r="13844" customFormat="false" ht="17.15" hidden="false" customHeight="false" outlineLevel="0" collapsed="false">
      <c r="A13844" s="1" t="s">
        <v>1074</v>
      </c>
      <c r="B13844" s="0" t="s">
        <v>98</v>
      </c>
      <c r="C13844" s="6" t="n">
        <f aca="false">(w_ntm28*Sens!G13835+(1-w_ntm28)*Sens!H13835)*m_cloud</f>
        <v>1075.89468255979</v>
      </c>
    </row>
    <row r="13845" customFormat="false" ht="17.15" hidden="false" customHeight="false" outlineLevel="0" collapsed="false">
      <c r="A13845" s="1" t="s">
        <v>1075</v>
      </c>
      <c r="B13845" s="0" t="s">
        <v>98</v>
      </c>
      <c r="C13845" s="6" t="n">
        <f aca="false">(w_ntm28*Sens!G13828+(1-w_ntm28)*Sens!H13828)*m_sw</f>
        <v>1124.90844188024</v>
      </c>
    </row>
    <row r="13846" customFormat="false" ht="17.15" hidden="false" customHeight="false" outlineLevel="0" collapsed="false">
      <c r="A13846" s="1" t="s">
        <v>1076</v>
      </c>
      <c r="B13846" s="0" t="s">
        <v>98</v>
      </c>
      <c r="C13846" s="6" t="n">
        <f aca="false">(w_ntm28*Sens!G13829+(1-w_ntm28)*Sens!H13829)*m_sw</f>
        <v>379.14616828134</v>
      </c>
    </row>
    <row r="13847" customFormat="false" ht="17.15" hidden="false" customHeight="false" outlineLevel="0" collapsed="false">
      <c r="A13847" s="1" t="s">
        <v>1077</v>
      </c>
      <c r="B13847" s="0" t="s">
        <v>98</v>
      </c>
      <c r="C13847" s="6" t="n">
        <f aca="false">(w_ntm28*Sens!G13830+(1-w_ntm28)*Sens!H13830)*m_sw</f>
        <v>109.062013245671</v>
      </c>
    </row>
    <row r="13848" customFormat="false" ht="17.15" hidden="false" customHeight="false" outlineLevel="0" collapsed="false">
      <c r="A13848" s="1" t="s">
        <v>1078</v>
      </c>
      <c r="B13848" s="0" t="s">
        <v>98</v>
      </c>
      <c r="C13848" s="6" t="n">
        <f aca="false">(w_ntm28*Sens!G13831+(1-w_ntm28)*Sens!H13831)*m_sw</f>
        <v>41.609111172448</v>
      </c>
    </row>
    <row r="13849" customFormat="false" ht="17.15" hidden="false" customHeight="false" outlineLevel="0" collapsed="false">
      <c r="A13849" s="1" t="s">
        <v>1079</v>
      </c>
      <c r="B13849" s="0" t="s">
        <v>98</v>
      </c>
      <c r="C13849" s="6" t="n">
        <f aca="false">(w_ntm28*Sens!G13832+(1-w_ntm28)*Sens!H13832)*m_ads</f>
        <v>114.966369190532</v>
      </c>
    </row>
    <row r="13850" customFormat="false" ht="17.15" hidden="false" customHeight="false" outlineLevel="0" collapsed="false">
      <c r="A13850" s="1" t="s">
        <v>1080</v>
      </c>
      <c r="B13850" s="0" t="s">
        <v>98</v>
      </c>
      <c r="C13850" s="6" t="n">
        <f aca="false">(w_ntm28*Sens!G13837+(1-w_ntm28)*Sens!H13837)*m_game</f>
        <v>97.6152211068291</v>
      </c>
    </row>
    <row r="13851" customFormat="false" ht="17.15" hidden="false" customHeight="false" outlineLevel="0" collapsed="false">
      <c r="A13851" s="1" t="s">
        <v>1081</v>
      </c>
      <c r="B13851" s="0" t="s">
        <v>98</v>
      </c>
      <c r="C13851" s="6" t="n">
        <f aca="false">(w_ntm28*Sens!G13838+(1-w_ntm28)*Sens!H13838)*m_pc</f>
        <v>96.7776202313644</v>
      </c>
    </row>
    <row r="13852" customFormat="false" ht="17.15" hidden="false" customHeight="false" outlineLevel="0" collapsed="false">
      <c r="A13852" s="1" t="s">
        <v>1082</v>
      </c>
      <c r="B13852" s="0" t="s">
        <v>98</v>
      </c>
      <c r="C13852" s="6" t="n">
        <f aca="false">Sens!$C$13842+Sens!$C$13844+Sens!$C$13845+Sens!$C$13846+Sens!$C$13847+Sens!$C$13848+Sens!$C$13849+Sens!$C$13850+Sens!$C$13851</f>
        <v>3435.32078808108</v>
      </c>
    </row>
    <row r="13853" customFormat="false" ht="17.15" hidden="false" customHeight="false" outlineLevel="0" collapsed="false">
      <c r="A13853" s="1" t="s">
        <v>1000</v>
      </c>
      <c r="B13853" s="0" t="s">
        <v>98</v>
      </c>
      <c r="C13853" s="6" t="n">
        <f aca="false">CF!F36+(oai_stake_hi*oai_val)-CF!F25</f>
        <v>174.719583119545</v>
      </c>
      <c r="L13853" s="1" t="s">
        <v>1083</v>
      </c>
    </row>
    <row r="13854" customFormat="false" ht="15" hidden="false" customHeight="false" outlineLevel="0" collapsed="false">
      <c r="A13854" s="1" t="s">
        <v>1001</v>
      </c>
      <c r="B13854" s="0" t="s">
        <v>75</v>
      </c>
      <c r="C13854" s="5" t="n">
        <f aca="false">(Sens!$C$13852+Sens!$C$13853)/CF!F38</f>
        <v>483.142447965823</v>
      </c>
    </row>
    <row r="13855" customFormat="false" ht="17.15" hidden="false" customHeight="false" outlineLevel="0" collapsed="false">
      <c r="A13855" s="1" t="s">
        <v>1084</v>
      </c>
      <c r="B13855" s="0" t="s">
        <v>75</v>
      </c>
      <c r="C13855" s="5" t="n">
        <f aca="false">w_dcf*Sens!$C$13826+(1-w_dcf)*Sens!$C$13854</f>
        <v>437.18613714753</v>
      </c>
    </row>
    <row r="13856" customFormat="false" ht="17.15" hidden="false" customHeight="false" outlineLevel="0" collapsed="false">
      <c r="A13856" s="3" t="s">
        <v>1591</v>
      </c>
    </row>
    <row r="13857" customFormat="false" ht="15" hidden="false" customHeight="false" outlineLevel="0" collapsed="false">
      <c r="A13857" s="4" t="s">
        <v>43</v>
      </c>
      <c r="B13857" s="4" t="s">
        <v>65</v>
      </c>
      <c r="C13857" s="20" t="s">
        <v>788</v>
      </c>
      <c r="D13857" s="20" t="s">
        <v>789</v>
      </c>
      <c r="E13857" s="20" t="s">
        <v>790</v>
      </c>
      <c r="F13857" s="20" t="s">
        <v>791</v>
      </c>
      <c r="G13857" s="20" t="s">
        <v>792</v>
      </c>
      <c r="H13857" s="20" t="s">
        <v>793</v>
      </c>
      <c r="I13857" s="20" t="s">
        <v>794</v>
      </c>
      <c r="J13857" s="20" t="s">
        <v>795</v>
      </c>
      <c r="K13857" s="20" t="s">
        <v>796</v>
      </c>
      <c r="L13857" s="4" t="s">
        <v>47</v>
      </c>
    </row>
    <row r="13858" customFormat="false" ht="15" hidden="false" customHeight="false" outlineLevel="0" collapsed="false">
      <c r="A13858" s="1" t="s">
        <v>1042</v>
      </c>
      <c r="B13858" s="1" t="s">
        <v>235</v>
      </c>
      <c r="F13858" s="36" t="n">
        <f aca="false">Thesis!F55-base_fy-mid_yr</f>
        <v>0.5</v>
      </c>
      <c r="G13858" s="36" t="n">
        <f aca="false">Thesis!G55-base_fy-mid_yr</f>
        <v>1.5</v>
      </c>
      <c r="H13858" s="36" t="n">
        <f aca="false">Thesis!H55-base_fy-mid_yr</f>
        <v>2.5</v>
      </c>
      <c r="I13858" s="36" t="n">
        <f aca="false">Thesis!I55-base_fy-mid_yr</f>
        <v>3.5</v>
      </c>
      <c r="J13858" s="36" t="n">
        <f aca="false">Thesis!J55-base_fy-mid_yr</f>
        <v>4.5</v>
      </c>
      <c r="K13858" s="36" t="n">
        <f aca="false">Thesis!K55-base_fy-mid_yr</f>
        <v>5.5</v>
      </c>
    </row>
    <row r="13859" customFormat="false" ht="15" hidden="false" customHeight="false" outlineLevel="0" collapsed="false">
      <c r="A13859" s="1" t="s">
        <v>1043</v>
      </c>
      <c r="B13859" s="0" t="s">
        <v>185</v>
      </c>
      <c r="F13859" s="14" t="n">
        <f aca="false">1/(1+wacc)^Sens!F13858</f>
        <v>0.952193373608246</v>
      </c>
      <c r="G13859" s="14" t="n">
        <f aca="false">1/(1+wacc)^Sens!G13858</f>
        <v>0.863327280626589</v>
      </c>
      <c r="H13859" s="14" t="n">
        <f aca="false">1/(1+wacc)^Sens!H13858</f>
        <v>0.782754862754115</v>
      </c>
      <c r="I13859" s="14" t="n">
        <f aca="false">1/(1+wacc)^Sens!I13858</f>
        <v>0.709702089711011</v>
      </c>
      <c r="J13859" s="14" t="n">
        <f aca="false">1/(1+wacc)^Sens!J13858</f>
        <v>0.643467169744551</v>
      </c>
      <c r="K13859" s="14" t="n">
        <f aca="false">1/(1+wacc)^Sens!K13858</f>
        <v>0.583413807767797</v>
      </c>
    </row>
    <row r="13860" customFormat="false" ht="17.15" hidden="false" customHeight="false" outlineLevel="0" collapsed="false">
      <c r="A13860" s="1" t="s">
        <v>1044</v>
      </c>
      <c r="B13860" s="0" t="s">
        <v>98</v>
      </c>
      <c r="F13860" s="6" t="n">
        <f aca="false">CF!F50-CF!F48-CF!F53+Thesis!F93*(1-tax_f)</f>
        <v>6.35272982150552</v>
      </c>
      <c r="G13860" s="6" t="n">
        <f aca="false">CF!G50-CF!G48-CF!G53+Thesis!G93*(1-tax_f)</f>
        <v>46.5420417324757</v>
      </c>
      <c r="H13860" s="6" t="n">
        <f aca="false">CF!H50-CF!H48-CF!H53+Thesis!H93*(1-tax_f)</f>
        <v>95.2982347048119</v>
      </c>
      <c r="I13860" s="6" t="n">
        <f aca="false">CF!I50-CF!I48-CF!I53+Thesis!I93*(1-tax_f)</f>
        <v>168.760108332815</v>
      </c>
      <c r="J13860" s="6" t="n">
        <f aca="false">CF!J50-CF!J48-CF!J53+Thesis!J93*(1-tax_f)</f>
        <v>246.10903404452</v>
      </c>
      <c r="K13860" s="6" t="n">
        <f aca="false">CF!K50-CF!K48-CF!K53+Thesis!K93*(1-tax_f)</f>
        <v>283.7365778763</v>
      </c>
      <c r="L13860" s="1" t="s">
        <v>1045</v>
      </c>
    </row>
    <row r="13861" customFormat="false" ht="15" hidden="false" customHeight="false" outlineLevel="0" collapsed="false">
      <c r="A13861" s="1" t="s">
        <v>1046</v>
      </c>
      <c r="B13861" s="0" t="s">
        <v>98</v>
      </c>
      <c r="F13861" s="6" t="n">
        <f aca="false">Sens!F13860*Sens!F13859</f>
        <v>6.04902724036105</v>
      </c>
      <c r="G13861" s="6" t="n">
        <f aca="false">Sens!G13860*Sens!G13859</f>
        <v>40.1810143237074</v>
      </c>
      <c r="H13861" s="6" t="n">
        <f aca="false">Sens!H13860*Sens!H13859</f>
        <v>74.5951566270745</v>
      </c>
      <c r="I13861" s="6" t="n">
        <f aca="false">Sens!I13860*Sens!I13859</f>
        <v>119.769401543655</v>
      </c>
      <c r="J13861" s="6" t="n">
        <f aca="false">Sens!J13860*Sens!J13859</f>
        <v>158.363083585193</v>
      </c>
      <c r="K13861" s="6" t="n">
        <f aca="false">Sens!K13860*Sens!K13859</f>
        <v>165.535837301816</v>
      </c>
    </row>
    <row r="13862" customFormat="false" ht="17.15" hidden="false" customHeight="false" outlineLevel="0" collapsed="false">
      <c r="A13862" s="1" t="s">
        <v>1047</v>
      </c>
      <c r="B13862" s="0" t="s">
        <v>98</v>
      </c>
      <c r="C13862" s="6" t="n">
        <f aca="false">SUM(Sens!F13861:K13861)</f>
        <v>564.493520621807</v>
      </c>
    </row>
    <row r="13863" customFormat="false" ht="17.15" hidden="false" customHeight="false" outlineLevel="0" collapsed="false">
      <c r="A13863" s="1" t="s">
        <v>1048</v>
      </c>
      <c r="B13863" s="0" t="s">
        <v>98</v>
      </c>
      <c r="C13863" s="6" t="n">
        <f aca="false">PL!K78*(1+g_tv)*(1-tax_f)</f>
        <v>293.76437880412</v>
      </c>
    </row>
    <row r="13864" customFormat="false" ht="17.15" hidden="false" customHeight="false" outlineLevel="0" collapsed="false">
      <c r="A13864" s="1" t="s">
        <v>1049</v>
      </c>
      <c r="B13864" s="0" t="s">
        <v>98</v>
      </c>
      <c r="C13864" s="6" t="n">
        <f aca="false">Sens!$C$13863*(1-g_tv/(wacc+ronic_prem))</f>
        <v>208.147426222351</v>
      </c>
    </row>
    <row r="13865" customFormat="false" ht="17.15" hidden="false" customHeight="false" outlineLevel="0" collapsed="false">
      <c r="A13865" s="1" t="s">
        <v>1050</v>
      </c>
      <c r="B13865" s="0" t="s">
        <v>98</v>
      </c>
      <c r="C13865" s="6" t="n">
        <f aca="false">Sens!$C$13864/(wacc-g_tv)</f>
        <v>2853.89841939229</v>
      </c>
    </row>
    <row r="13866" customFormat="false" ht="15" hidden="false" customHeight="false" outlineLevel="0" collapsed="false">
      <c r="A13866" s="1" t="s">
        <v>1051</v>
      </c>
      <c r="B13866" s="0" t="s">
        <v>98</v>
      </c>
      <c r="C13866" s="6" t="n">
        <f aca="false">Sens!$C$13865/(1+wacc)^(Sens!K13858+mid_yr)</f>
        <v>1585.40553191752</v>
      </c>
    </row>
    <row r="13867" customFormat="false" ht="17.15" hidden="false" customHeight="false" outlineLevel="0" collapsed="false">
      <c r="A13867" s="0" t="s">
        <v>972</v>
      </c>
      <c r="B13867" s="0" t="s">
        <v>98</v>
      </c>
      <c r="C13867" s="6" t="n">
        <f aca="false">Sens!$C$13862+Sens!$C$13866</f>
        <v>2149.89905253932</v>
      </c>
    </row>
    <row r="13868" customFormat="false" ht="15" hidden="false" customHeight="false" outlineLevel="0" collapsed="false">
      <c r="A13868" s="1" t="s">
        <v>973</v>
      </c>
      <c r="B13868" s="0" t="s">
        <v>129</v>
      </c>
      <c r="C13868" s="7" t="n">
        <f aca="false">Sens!$C$13866/Sens!$C$13867</f>
        <v>0.737432545981606</v>
      </c>
    </row>
    <row r="13869" customFormat="false" ht="17.15" hidden="false" customHeight="false" outlineLevel="0" collapsed="false">
      <c r="A13869" s="1" t="s">
        <v>1052</v>
      </c>
      <c r="B13869" s="0" t="s">
        <v>98</v>
      </c>
      <c r="C13869" s="6" t="n">
        <f aca="false">Sens!$C$13867+CF!E65-CF!E54+(oai_stake_hi*oai_val)</f>
        <v>2344.05205253932</v>
      </c>
    </row>
    <row r="13870" customFormat="false" ht="17.15" hidden="false" customHeight="false" outlineLevel="0" collapsed="false">
      <c r="A13870" s="0" t="s">
        <v>980</v>
      </c>
      <c r="B13870" s="0" t="s">
        <v>75</v>
      </c>
      <c r="C13870" s="5" t="n">
        <f aca="false">Sens!$C$13869/sh_dil26</f>
        <v>314.511210591617</v>
      </c>
    </row>
    <row r="13871" customFormat="false" ht="15" hidden="false" customHeight="false" outlineLevel="0" collapsed="false">
      <c r="A13871" s="1" t="s">
        <v>1053</v>
      </c>
      <c r="B13871" s="0" t="s">
        <v>75</v>
      </c>
      <c r="C13871" s="8" t="n">
        <f aca="false">dps_27+CF!G57*roll_div_q/q_per_yr</f>
        <v>4.8895</v>
      </c>
    </row>
    <row r="13872" customFormat="false" ht="17.15" hidden="false" customHeight="false" outlineLevel="0" collapsed="false">
      <c r="A13872" s="0" t="s">
        <v>1054</v>
      </c>
      <c r="B13872" s="0" t="s">
        <v>75</v>
      </c>
      <c r="C13872" s="5" t="n">
        <f aca="false">Sens!$C$13870*(1+wacc)^t_roll-Sens!$C$13871</f>
        <v>353.254916880837</v>
      </c>
    </row>
    <row r="13873" customFormat="false" ht="17.15" hidden="false" customHeight="false" outlineLevel="0" collapsed="false">
      <c r="A13873" s="1" t="s">
        <v>1055</v>
      </c>
      <c r="B13873" s="0" t="s">
        <v>129</v>
      </c>
      <c r="F13873" s="7" t="n">
        <f aca="false">CF!F46/(Seg!F56-Thesis!F72)</f>
        <v>0.0684307874075333</v>
      </c>
      <c r="G13873" s="7" t="n">
        <f aca="false">CF!G46/(Seg!G56-Thesis!G72)</f>
        <v>0.0656456058503526</v>
      </c>
      <c r="H13873" s="7" t="n">
        <f aca="false">CF!H46/(Seg!H56-Thesis!H72)</f>
        <v>0.0641950889132003</v>
      </c>
      <c r="I13873" s="7" t="n">
        <f aca="false">CF!I46/(Seg!I56-Thesis!I72)</f>
        <v>0.063960269667854</v>
      </c>
      <c r="J13873" s="7" t="n">
        <f aca="false">CF!J46/(Seg!J56-Thesis!J72)</f>
        <v>0.0646607917002597</v>
      </c>
      <c r="K13873" s="7" t="n">
        <f aca="false">CF!K46/(Seg!K56-Thesis!K72)</f>
        <v>0.0659511546529383</v>
      </c>
    </row>
    <row r="13874" customFormat="false" ht="17.15" hidden="false" customHeight="false" outlineLevel="0" collapsed="false">
      <c r="A13874" s="0" t="s">
        <v>1056</v>
      </c>
      <c r="B13874" s="0" t="s">
        <v>98</v>
      </c>
      <c r="F13874" s="6" t="n">
        <f aca="false">Seg!F41*(al_m365+Sens!F13873+sbc_r)</f>
        <v>83.9158372980923</v>
      </c>
      <c r="G13874" s="6" t="n">
        <f aca="false">Seg!G41*(al_m365+Sens!G13873+sbc_r)</f>
        <v>96.3459139664276</v>
      </c>
      <c r="H13874" s="6" t="n">
        <f aca="false">Seg!H41*(al_m365+Sens!H13873+sbc_r)</f>
        <v>108.939128787393</v>
      </c>
      <c r="I13874" s="6" t="n">
        <f aca="false">Seg!I41*(al_m365+Sens!I13873+sbc_r)</f>
        <v>120.51456797186</v>
      </c>
      <c r="J13874" s="6" t="n">
        <f aca="false">Seg!J41*(al_m365+Sens!J13873+sbc_r)</f>
        <v>130.883844402211</v>
      </c>
      <c r="K13874" s="6" t="n">
        <f aca="false">Seg!K41*(al_m365+Sens!K13873+sbc_r)</f>
        <v>140.862269296832</v>
      </c>
      <c r="L13874" s="11" t="s">
        <v>1057</v>
      </c>
    </row>
    <row r="13875" customFormat="false" ht="17.15" hidden="false" customHeight="false" outlineLevel="0" collapsed="false">
      <c r="A13875" s="0" t="s">
        <v>1058</v>
      </c>
      <c r="B13875" s="0" t="s">
        <v>98</v>
      </c>
      <c r="F13875" s="6" t="n">
        <f aca="false">Seg!F42*(al_lic+Sens!F13873+sbc_r)</f>
        <v>33.4384115342236</v>
      </c>
      <c r="G13875" s="6" t="n">
        <f aca="false">Seg!G42*(al_lic+Sens!G13873+sbc_r)</f>
        <v>34.7409063621757</v>
      </c>
      <c r="H13875" s="6" t="n">
        <f aca="false">Seg!H42*(al_lic+Sens!H13873+sbc_r)</f>
        <v>35.9566740351293</v>
      </c>
      <c r="I13875" s="6" t="n">
        <f aca="false">Seg!I42*(al_lic+Sens!I13873+sbc_r)</f>
        <v>37.0672966580049</v>
      </c>
      <c r="J13875" s="6" t="n">
        <f aca="false">Seg!J42*(al_lic+Sens!J13873+sbc_r)</f>
        <v>38.0469841498966</v>
      </c>
      <c r="K13875" s="6" t="n">
        <f aca="false">Seg!K42*(al_lic+Sens!K13873+sbc_r)</f>
        <v>38.8666958490701</v>
      </c>
    </row>
    <row r="13876" customFormat="false" ht="17.15" hidden="false" customHeight="false" outlineLevel="0" collapsed="false">
      <c r="A13876" s="0" t="s">
        <v>1059</v>
      </c>
      <c r="B13876" s="0" t="s">
        <v>98</v>
      </c>
      <c r="F13876" s="6" t="n">
        <f aca="false">Seg!F44*(al_ind+Sens!F13873+sbc_r)</f>
        <v>9.07285900381439</v>
      </c>
      <c r="G13876" s="6" t="n">
        <f aca="false">Seg!G44*(al_ind+Sens!G13873+sbc_r)</f>
        <v>9.84969160470639</v>
      </c>
      <c r="H13876" s="6" t="n">
        <f aca="false">Seg!H44*(al_ind+Sens!H13873+sbc_r)</f>
        <v>10.6714469126029</v>
      </c>
      <c r="I13876" s="6" t="n">
        <f aca="false">Seg!I44*(al_ind+Sens!I13873+sbc_r)</f>
        <v>11.5350820765572</v>
      </c>
      <c r="J13876" s="6" t="n">
        <f aca="false">Seg!J44*(al_ind+Sens!J13873+sbc_r)</f>
        <v>12.4308815351832</v>
      </c>
      <c r="K13876" s="6" t="n">
        <f aca="false">Seg!K44*(al_ind+Sens!K13873+sbc_r)</f>
        <v>13.3437330974691</v>
      </c>
    </row>
    <row r="13877" customFormat="false" ht="17.15" hidden="false" customHeight="false" outlineLevel="0" collapsed="false">
      <c r="A13877" s="0" t="s">
        <v>1060</v>
      </c>
      <c r="B13877" s="0" t="s">
        <v>98</v>
      </c>
      <c r="F13877" s="6" t="n">
        <f aca="false">Seg!F46*(al_fro+Sens!F13873+sbc_r)</f>
        <v>3.5711091569032</v>
      </c>
      <c r="G13877" s="6" t="n">
        <f aca="false">Seg!G46*(al_fro+Sens!G13873+sbc_r)</f>
        <v>3.78169924595694</v>
      </c>
      <c r="H13877" s="6" t="n">
        <f aca="false">Seg!H46*(al_fro+Sens!H13873+sbc_r)</f>
        <v>4.02136645419237</v>
      </c>
      <c r="I13877" s="6" t="n">
        <f aca="false">Seg!I46*(al_fro+Sens!I13873+sbc_r)</f>
        <v>4.29288807676321</v>
      </c>
      <c r="J13877" s="6" t="n">
        <f aca="false">Seg!J46*(al_fro+Sens!J13873+sbc_r)</f>
        <v>4.59741770960175</v>
      </c>
      <c r="K13877" s="6" t="n">
        <f aca="false">Seg!K46*(al_fro+Sens!K13873+sbc_r)</f>
        <v>4.9350252981555</v>
      </c>
    </row>
    <row r="13878" customFormat="false" ht="17.15" hidden="false" customHeight="false" outlineLevel="0" collapsed="false">
      <c r="A13878" s="0" t="s">
        <v>1061</v>
      </c>
      <c r="B13878" s="0" t="s">
        <v>98</v>
      </c>
      <c r="F13878" s="6" t="n">
        <f aca="false">Seg!F49*(al_srch+Sens!F13873+sbc_r)</f>
        <v>11.205111954849</v>
      </c>
      <c r="G13878" s="6" t="n">
        <f aca="false">Seg!G49*(al_srch+Sens!G13873+sbc_r)</f>
        <v>12.2792883348957</v>
      </c>
      <c r="H13878" s="6" t="n">
        <f aca="false">Seg!H49*(al_srch+Sens!H13873+sbc_r)</f>
        <v>13.3983888227975</v>
      </c>
      <c r="I13878" s="6" t="n">
        <f aca="false">Seg!I49*(al_srch+Sens!I13873+sbc_r)</f>
        <v>14.5517695263616</v>
      </c>
      <c r="J13878" s="6" t="n">
        <f aca="false">Seg!J49*(al_srch+Sens!J13873+sbc_r)</f>
        <v>15.7194284145253</v>
      </c>
      <c r="K13878" s="6" t="n">
        <f aca="false">Seg!K49*(al_srch+Sens!K13873+sbc_r)</f>
        <v>16.87377171237</v>
      </c>
    </row>
    <row r="13879" customFormat="false" ht="17.15" hidden="false" customHeight="false" outlineLevel="0" collapsed="false">
      <c r="A13879" s="0" t="s">
        <v>1062</v>
      </c>
      <c r="B13879" s="0" t="s">
        <v>98</v>
      </c>
      <c r="F13879" s="6" t="n">
        <f aca="false">Thesis!F78-Thesis!F79+Thesis!F93</f>
        <v>52.8623286647412</v>
      </c>
      <c r="G13879" s="6" t="n">
        <f aca="false">Thesis!G78-Thesis!G79+Thesis!G93</f>
        <v>90.9040728275534</v>
      </c>
      <c r="H13879" s="6" t="n">
        <f aca="false">Thesis!H78-Thesis!H79+Thesis!H93</f>
        <v>131.644750996567</v>
      </c>
      <c r="I13879" s="6" t="n">
        <f aca="false">Thesis!I78-Thesis!I79+Thesis!I93</f>
        <v>168.39858142968</v>
      </c>
      <c r="J13879" s="6" t="n">
        <f aca="false">Thesis!J78-Thesis!J79+Thesis!J93</f>
        <v>194.311955071191</v>
      </c>
      <c r="K13879" s="6" t="n">
        <f aca="false">Thesis!K78-Thesis!K79+Thesis!K93</f>
        <v>210.298852071854</v>
      </c>
    </row>
    <row r="13880" customFormat="false" ht="17.15" hidden="false" customHeight="false" outlineLevel="0" collapsed="false">
      <c r="A13880" s="0" t="s">
        <v>1063</v>
      </c>
      <c r="B13880" s="0" t="s">
        <v>98</v>
      </c>
      <c r="F13880" s="6" t="n">
        <f aca="false">PL!F71+Thesis!F93+Thesis!F89+Sens!F13873*(Seg!F48-Thesis!F72)+sbc_r*Seg!F48</f>
        <v>243.876179717448</v>
      </c>
      <c r="G13880" s="6" t="n">
        <f aca="false">PL!G71+Thesis!G93+Thesis!G89+Sens!G13873*(Seg!G48-Thesis!G72)+sbc_r*Seg!G48</f>
        <v>308.994305130286</v>
      </c>
      <c r="H13880" s="6" t="n">
        <f aca="false">PL!H71+Thesis!H93+Thesis!H89+Sens!H13873*(Seg!H48-Thesis!H72)+sbc_r*Seg!H48</f>
        <v>377.321529021127</v>
      </c>
      <c r="I13880" s="6" t="n">
        <f aca="false">PL!I71+Thesis!I93+Thesis!I89+Sens!I13873*(Seg!I48-Thesis!I72)+sbc_r*Seg!I48</f>
        <v>440.295672377585</v>
      </c>
      <c r="J13880" s="6" t="n">
        <f aca="false">PL!J71+Thesis!J93+Thesis!J89+Sens!J13873*(Seg!J48-Thesis!J72)+sbc_r*Seg!J48</f>
        <v>489.992586437676</v>
      </c>
      <c r="K13880" s="6" t="n">
        <f aca="false">PL!K71+Thesis!K93+Thesis!K89+Sens!K13873*(Seg!K48-Thesis!K72)+sbc_r*Seg!K48</f>
        <v>527.395402529627</v>
      </c>
    </row>
    <row r="13881" customFormat="false" ht="17.15" hidden="false" customHeight="false" outlineLevel="0" collapsed="false">
      <c r="A13881" s="0" t="s">
        <v>1064</v>
      </c>
      <c r="B13881" s="0" t="s">
        <v>98</v>
      </c>
      <c r="F13881" s="6" t="n">
        <f aca="false">Sens!F13880-Sens!F13874-Sens!F13875-Sens!F13876-Sens!F13877-Sens!F13879</f>
        <v>61.0156340596736</v>
      </c>
      <c r="G13881" s="6" t="n">
        <f aca="false">Sens!G13880-Sens!G13874-Sens!G13875-Sens!G13876-Sens!G13877-Sens!G13879</f>
        <v>73.3720211234655</v>
      </c>
      <c r="H13881" s="6" t="n">
        <f aca="false">Sens!H13880-Sens!H13874-Sens!H13875-Sens!H13876-Sens!H13877-Sens!H13879</f>
        <v>86.0881618352416</v>
      </c>
      <c r="I13881" s="6" t="n">
        <f aca="false">Sens!I13880-Sens!I13874-Sens!I13875-Sens!I13876-Sens!I13877-Sens!I13879</f>
        <v>98.4872561647193</v>
      </c>
      <c r="J13881" s="6" t="n">
        <f aca="false">Sens!J13880-Sens!J13874-Sens!J13875-Sens!J13876-Sens!J13877-Sens!J13879</f>
        <v>109.721503569592</v>
      </c>
      <c r="K13881" s="6" t="n">
        <f aca="false">Sens!K13880-Sens!K13874-Sens!K13875-Sens!K13876-Sens!K13877-Sens!K13879</f>
        <v>119.088826916246</v>
      </c>
    </row>
    <row r="13882" customFormat="false" ht="17.15" hidden="false" customHeight="false" outlineLevel="0" collapsed="false">
      <c r="A13882" s="0" t="s">
        <v>1065</v>
      </c>
      <c r="B13882" s="0" t="s">
        <v>98</v>
      </c>
      <c r="F13882" s="6" t="n">
        <f aca="false">PL!F73+Sens!F13873*Seg!F55+sbc_r*Seg!F55</f>
        <v>26.1883018536976</v>
      </c>
      <c r="G13882" s="6" t="n">
        <f aca="false">PL!G73+Sens!G13873*Seg!G55+sbc_r*Seg!G55</f>
        <v>26.7988692269165</v>
      </c>
      <c r="H13882" s="6" t="n">
        <f aca="false">PL!H73+Sens!H13873*Seg!H55+sbc_r*Seg!H55</f>
        <v>27.676651877401</v>
      </c>
      <c r="I13882" s="6" t="n">
        <f aca="false">PL!I73+Sens!I13873*Seg!I55+sbc_r*Seg!I55</f>
        <v>28.7919477163856</v>
      </c>
      <c r="J13882" s="6" t="n">
        <f aca="false">PL!J73+Sens!J13873*Seg!J55+sbc_r*Seg!J55</f>
        <v>30.1095554599876</v>
      </c>
      <c r="K13882" s="6" t="n">
        <f aca="false">PL!K73+Sens!K13873*Seg!K55+sbc_r*Seg!K55</f>
        <v>31.5923355811805</v>
      </c>
    </row>
    <row r="13883" customFormat="false" ht="17.15" hidden="false" customHeight="false" outlineLevel="0" collapsed="false">
      <c r="A13883" s="0" t="s">
        <v>1066</v>
      </c>
      <c r="B13883" s="0" t="s">
        <v>98</v>
      </c>
      <c r="F13883" s="6" t="n">
        <f aca="false">(Sens!F13882-Sens!F13878)*Seg!F51/(Seg!F51+Seg!F53)</f>
        <v>8.21363876839376</v>
      </c>
      <c r="G13883" s="6" t="n">
        <f aca="false">(Sens!G13882-Sens!G13878)*Seg!G51/(Seg!G51+Seg!G53)</f>
        <v>7.81757556948427</v>
      </c>
      <c r="H13883" s="6" t="n">
        <f aca="false">(Sens!H13882-Sens!H13878)*Seg!H51/(Seg!H51+Seg!H53)</f>
        <v>7.58379891746928</v>
      </c>
      <c r="I13883" s="6" t="n">
        <f aca="false">(Sens!I13882-Sens!I13878)*Seg!I51/(Seg!I51+Seg!I53)</f>
        <v>7.49513512835163</v>
      </c>
      <c r="J13883" s="6" t="n">
        <f aca="false">(Sens!J13882-Sens!J13878)*Seg!J51/(Seg!J51+Seg!J53)</f>
        <v>7.53980917061682</v>
      </c>
      <c r="K13883" s="6" t="n">
        <f aca="false">(Sens!K13882-Sens!K13878)*Seg!K51/(Seg!K51+Seg!K53)</f>
        <v>7.71189597463361</v>
      </c>
    </row>
    <row r="13884" customFormat="false" ht="17.15" hidden="false" customHeight="false" outlineLevel="0" collapsed="false">
      <c r="A13884" s="0" t="s">
        <v>1067</v>
      </c>
      <c r="B13884" s="0" t="s">
        <v>98</v>
      </c>
      <c r="F13884" s="6" t="n">
        <f aca="false">Sens!F13882-Sens!F13878-Sens!F13883</f>
        <v>6.76955113045481</v>
      </c>
      <c r="G13884" s="6" t="n">
        <f aca="false">Sens!G13882-Sens!G13878-Sens!G13883</f>
        <v>6.70200532253647</v>
      </c>
      <c r="H13884" s="6" t="n">
        <f aca="false">Sens!H13882-Sens!H13878-Sens!H13883</f>
        <v>6.69446413713431</v>
      </c>
      <c r="I13884" s="6" t="n">
        <f aca="false">Sens!I13882-Sens!I13878-Sens!I13883</f>
        <v>6.74504306167234</v>
      </c>
      <c r="J13884" s="6" t="n">
        <f aca="false">Sens!J13882-Sens!J13878-Sens!J13883</f>
        <v>6.85031787484545</v>
      </c>
      <c r="K13884" s="6" t="n">
        <f aca="false">Sens!K13882-Sens!K13878-Sens!K13883</f>
        <v>7.00666789417688</v>
      </c>
    </row>
    <row r="13885" customFormat="false" ht="17.15" hidden="false" customHeight="false" outlineLevel="0" collapsed="false">
      <c r="A13885" s="0" t="s">
        <v>1068</v>
      </c>
      <c r="B13885" s="0" t="s">
        <v>98</v>
      </c>
      <c r="F13885" s="6" t="n">
        <f aca="false">Sens!F13879-tax_f*(Sens!F13879-Thesis!F89)-Thesis!F86</f>
        <v>-119.382682747471</v>
      </c>
      <c r="G13885" s="6" t="n">
        <f aca="false">Sens!G13879-tax_f*(Sens!G13879-Thesis!G89)-Thesis!G86</f>
        <v>-98.7495755690893</v>
      </c>
      <c r="H13885" s="6" t="n">
        <f aca="false">Sens!H13879-tax_f*(Sens!H13879-Thesis!H89)-Thesis!H86</f>
        <v>-65.2160219145184</v>
      </c>
      <c r="I13885" s="6" t="n">
        <f aca="false">Sens!I13879-tax_f*(Sens!I13879-Thesis!I89)-Thesis!I86</f>
        <v>-6.59039601405712</v>
      </c>
      <c r="J13885" s="6" t="n">
        <f aca="false">Sens!J13879-tax_f*(Sens!J13879-Thesis!J89)-Thesis!J86</f>
        <v>56.7738295233955</v>
      </c>
      <c r="K13885" s="6" t="n">
        <f aca="false">Sens!K13879-tax_f*(Sens!K13879-Thesis!K89)-Thesis!K86</f>
        <v>81.209175376442</v>
      </c>
    </row>
    <row r="13886" customFormat="false" ht="17.15" hidden="false" customHeight="false" outlineLevel="0" collapsed="false">
      <c r="A13886" s="0" t="s">
        <v>1069</v>
      </c>
      <c r="B13886" s="0" t="s">
        <v>98</v>
      </c>
      <c r="F13886" s="6" t="n">
        <f aca="false">Sens!F13885*Sens!F13859</f>
        <v>-113.675399435717</v>
      </c>
      <c r="G13886" s="6" t="n">
        <f aca="false">Sens!G13885*Sens!G13859</f>
        <v>-85.2532025390917</v>
      </c>
      <c r="H13886" s="6" t="n">
        <f aca="false">Sens!H13885*Sens!H13859</f>
        <v>-51.0481582830682</v>
      </c>
      <c r="I13886" s="6" t="n">
        <f aca="false">Sens!I13885*Sens!I13859</f>
        <v>-4.67721782319945</v>
      </c>
      <c r="J13886" s="6" t="n">
        <f aca="false">Sens!J13885*Sens!J13859</f>
        <v>36.5320953989789</v>
      </c>
      <c r="K13886" s="6" t="n">
        <f aca="false">Sens!K13885*Sens!K13859</f>
        <v>47.3785542320528</v>
      </c>
    </row>
    <row r="13887" customFormat="false" ht="17.15" hidden="false" customHeight="false" outlineLevel="0" collapsed="false">
      <c r="A13887" s="0" t="s">
        <v>1070</v>
      </c>
      <c r="B13887" s="0" t="s">
        <v>98</v>
      </c>
      <c r="C13887" s="6" t="n">
        <f aca="false">(Sens!K13879-Thesis!K89)*(1-tax_f)*(1+g_tv)*(1-g_tv/(wacc+ronic_prem))/(wacc-g_tv)/(1+wacc)^(Sens!K13858+mid_yr)</f>
        <v>314.186863600641</v>
      </c>
    </row>
    <row r="13888" customFormat="false" ht="17.15" hidden="false" customHeight="false" outlineLevel="0" collapsed="false">
      <c r="A13888" s="1" t="s">
        <v>1071</v>
      </c>
      <c r="B13888" s="0" t="s">
        <v>98</v>
      </c>
      <c r="C13888" s="6" t="n">
        <f aca="false">(SUM(Sens!F13886:K13886)+Sens!$C$13887)*(1+wacc)^t_roll</f>
        <v>163.343942987594</v>
      </c>
      <c r="L13888" s="11" t="s">
        <v>1072</v>
      </c>
    </row>
    <row r="13889" customFormat="false" ht="17.15" hidden="false" customHeight="false" outlineLevel="0" collapsed="false">
      <c r="A13889" s="1" t="s">
        <v>1073</v>
      </c>
      <c r="B13889" s="0" t="s">
        <v>98</v>
      </c>
      <c r="C13889" s="6" t="n">
        <f aca="false">(w_ntm28*Thesis!G78+(1-w_ntm28)*Thesis!H78)*m_ai</f>
        <v>454.922440830797</v>
      </c>
    </row>
    <row r="13890" customFormat="false" ht="17.15" hidden="false" customHeight="false" outlineLevel="0" collapsed="false">
      <c r="A13890" s="1" t="s">
        <v>1074</v>
      </c>
      <c r="B13890" s="0" t="s">
        <v>98</v>
      </c>
      <c r="C13890" s="6" t="n">
        <f aca="false">(w_ntm28*Sens!G13881+(1-w_ntm28)*Sens!H13881)*m_cloud</f>
        <v>1070.81495830201</v>
      </c>
    </row>
    <row r="13891" customFormat="false" ht="17.15" hidden="false" customHeight="false" outlineLevel="0" collapsed="false">
      <c r="A13891" s="1" t="s">
        <v>1075</v>
      </c>
      <c r="B13891" s="0" t="s">
        <v>98</v>
      </c>
      <c r="C13891" s="6" t="n">
        <f aca="false">(w_ntm28*Sens!G13874+(1-w_ntm28)*Sens!H13874)*m_sw</f>
        <v>1084.50516663972</v>
      </c>
    </row>
    <row r="13892" customFormat="false" ht="17.15" hidden="false" customHeight="false" outlineLevel="0" collapsed="false">
      <c r="A13892" s="1" t="s">
        <v>1076</v>
      </c>
      <c r="B13892" s="0" t="s">
        <v>98</v>
      </c>
      <c r="C13892" s="6" t="n">
        <f aca="false">(w_ntm28*Sens!G13875+(1-w_ntm28)*Sens!H13875)*m_sw</f>
        <v>379.446649868791</v>
      </c>
    </row>
    <row r="13893" customFormat="false" ht="17.15" hidden="false" customHeight="false" outlineLevel="0" collapsed="false">
      <c r="A13893" s="1" t="s">
        <v>1077</v>
      </c>
      <c r="B13893" s="0" t="s">
        <v>98</v>
      </c>
      <c r="C13893" s="6" t="n">
        <f aca="false">(w_ntm28*Sens!G13876+(1-w_ntm28)*Sens!H13876)*m_sw</f>
        <v>109.245833616811</v>
      </c>
    </row>
    <row r="13894" customFormat="false" ht="17.15" hidden="false" customHeight="false" outlineLevel="0" collapsed="false">
      <c r="A13894" s="1" t="s">
        <v>1078</v>
      </c>
      <c r="B13894" s="0" t="s">
        <v>98</v>
      </c>
      <c r="C13894" s="6" t="n">
        <f aca="false">(w_ntm28*Sens!G13877+(1-w_ntm28)*Sens!H13877)*m_sw</f>
        <v>41.6791515554452</v>
      </c>
    </row>
    <row r="13895" customFormat="false" ht="17.15" hidden="false" customHeight="false" outlineLevel="0" collapsed="false">
      <c r="A13895" s="1" t="s">
        <v>1079</v>
      </c>
      <c r="B13895" s="0" t="s">
        <v>98</v>
      </c>
      <c r="C13895" s="6" t="n">
        <f aca="false">(w_ntm28*Sens!G13878+(1-w_ntm28)*Sens!H13878)*m_ads</f>
        <v>115.160236299351</v>
      </c>
    </row>
    <row r="13896" customFormat="false" ht="17.15" hidden="false" customHeight="false" outlineLevel="0" collapsed="false">
      <c r="A13896" s="1" t="s">
        <v>1080</v>
      </c>
      <c r="B13896" s="0" t="s">
        <v>98</v>
      </c>
      <c r="C13896" s="6" t="n">
        <f aca="false">(w_ntm28*Sens!G13883+(1-w_ntm28)*Sens!H13883)*m_game</f>
        <v>97.7814405506301</v>
      </c>
    </row>
    <row r="13897" customFormat="false" ht="17.15" hidden="false" customHeight="false" outlineLevel="0" collapsed="false">
      <c r="A13897" s="1" t="s">
        <v>1081</v>
      </c>
      <c r="B13897" s="0" t="s">
        <v>98</v>
      </c>
      <c r="C13897" s="6" t="n">
        <f aca="false">(w_ntm28*Sens!G13884+(1-w_ntm28)*Sens!H13884)*m_pc</f>
        <v>96.9427395583992</v>
      </c>
    </row>
    <row r="13898" customFormat="false" ht="17.15" hidden="false" customHeight="false" outlineLevel="0" collapsed="false">
      <c r="A13898" s="1" t="s">
        <v>1082</v>
      </c>
      <c r="B13898" s="0" t="s">
        <v>98</v>
      </c>
      <c r="C13898" s="6" t="n">
        <f aca="false">Sens!$C$13888+Sens!$C$13890+Sens!$C$13891+Sens!$C$13892+Sens!$C$13893+Sens!$C$13894+Sens!$C$13895+Sens!$C$13896+Sens!$C$13897</f>
        <v>3158.92011937875</v>
      </c>
    </row>
    <row r="13899" customFormat="false" ht="17.15" hidden="false" customHeight="false" outlineLevel="0" collapsed="false">
      <c r="A13899" s="1" t="s">
        <v>1000</v>
      </c>
      <c r="B13899" s="0" t="s">
        <v>98</v>
      </c>
      <c r="C13899" s="6" t="n">
        <f aca="false">CF!F65+(oai_stake_hi*oai_val)-CF!F54</f>
        <v>170.893995542787</v>
      </c>
      <c r="L13899" s="1" t="s">
        <v>1083</v>
      </c>
    </row>
    <row r="13900" customFormat="false" ht="15" hidden="false" customHeight="false" outlineLevel="0" collapsed="false">
      <c r="A13900" s="1" t="s">
        <v>1001</v>
      </c>
      <c r="B13900" s="0" t="s">
        <v>75</v>
      </c>
      <c r="C13900" s="5" t="n">
        <f aca="false">(Sens!$C$13898+Sens!$C$13899)/CF!F67</f>
        <v>445.638934009841</v>
      </c>
    </row>
    <row r="13901" customFormat="false" ht="17.15" hidden="false" customHeight="false" outlineLevel="0" collapsed="false">
      <c r="A13901" s="1" t="s">
        <v>1084</v>
      </c>
      <c r="B13901" s="0" t="s">
        <v>75</v>
      </c>
      <c r="C13901" s="5" t="n">
        <f aca="false">w_dcf*Sens!$C$13872+(1-w_dcf)*Sens!$C$13900</f>
        <v>399.446925445339</v>
      </c>
    </row>
    <row r="13902" customFormat="false" ht="17.15" hidden="false" customHeight="false" outlineLevel="0" collapsed="false">
      <c r="A13902" s="3" t="s">
        <v>1592</v>
      </c>
    </row>
    <row r="13903" customFormat="false" ht="15" hidden="false" customHeight="false" outlineLevel="0" collapsed="false">
      <c r="A13903" s="4" t="s">
        <v>43</v>
      </c>
      <c r="B13903" s="4" t="s">
        <v>65</v>
      </c>
      <c r="C13903" s="20" t="s">
        <v>788</v>
      </c>
      <c r="D13903" s="20" t="s">
        <v>789</v>
      </c>
      <c r="E13903" s="20" t="s">
        <v>790</v>
      </c>
      <c r="F13903" s="20" t="s">
        <v>791</v>
      </c>
      <c r="G13903" s="20" t="s">
        <v>792</v>
      </c>
      <c r="H13903" s="20" t="s">
        <v>793</v>
      </c>
      <c r="I13903" s="20" t="s">
        <v>794</v>
      </c>
      <c r="J13903" s="20" t="s">
        <v>795</v>
      </c>
      <c r="K13903" s="20" t="s">
        <v>796</v>
      </c>
      <c r="L13903" s="4" t="s">
        <v>47</v>
      </c>
    </row>
    <row r="13904" customFormat="false" ht="15" hidden="false" customHeight="false" outlineLevel="0" collapsed="false">
      <c r="A13904" s="1" t="s">
        <v>1042</v>
      </c>
      <c r="B13904" s="1" t="s">
        <v>235</v>
      </c>
      <c r="F13904" s="36" t="n">
        <f aca="false">Thesis!F104-base_fy-mid_yr</f>
        <v>0.5</v>
      </c>
      <c r="G13904" s="36" t="n">
        <f aca="false">Thesis!G104-base_fy-mid_yr</f>
        <v>1.5</v>
      </c>
      <c r="H13904" s="36" t="n">
        <f aca="false">Thesis!H104-base_fy-mid_yr</f>
        <v>2.5</v>
      </c>
      <c r="I13904" s="36" t="n">
        <f aca="false">Thesis!I104-base_fy-mid_yr</f>
        <v>3.5</v>
      </c>
      <c r="J13904" s="36" t="n">
        <f aca="false">Thesis!J104-base_fy-mid_yr</f>
        <v>4.5</v>
      </c>
      <c r="K13904" s="36" t="n">
        <f aca="false">Thesis!K104-base_fy-mid_yr</f>
        <v>5.5</v>
      </c>
    </row>
    <row r="13905" customFormat="false" ht="15" hidden="false" customHeight="false" outlineLevel="0" collapsed="false">
      <c r="A13905" s="1" t="s">
        <v>1043</v>
      </c>
      <c r="B13905" s="0" t="s">
        <v>185</v>
      </c>
      <c r="F13905" s="14" t="n">
        <f aca="false">1/(1+wacc)^Sens!F13904</f>
        <v>0.952193373608246</v>
      </c>
      <c r="G13905" s="14" t="n">
        <f aca="false">1/(1+wacc)^Sens!G13904</f>
        <v>0.863327280626589</v>
      </c>
      <c r="H13905" s="14" t="n">
        <f aca="false">1/(1+wacc)^Sens!H13904</f>
        <v>0.782754862754115</v>
      </c>
      <c r="I13905" s="14" t="n">
        <f aca="false">1/(1+wacc)^Sens!I13904</f>
        <v>0.709702089711011</v>
      </c>
      <c r="J13905" s="14" t="n">
        <f aca="false">1/(1+wacc)^Sens!J13904</f>
        <v>0.643467169744551</v>
      </c>
      <c r="K13905" s="14" t="n">
        <f aca="false">1/(1+wacc)^Sens!K13904</f>
        <v>0.583413807767797</v>
      </c>
    </row>
    <row r="13906" customFormat="false" ht="17.15" hidden="false" customHeight="false" outlineLevel="0" collapsed="false">
      <c r="A13906" s="1" t="s">
        <v>1044</v>
      </c>
      <c r="B13906" s="0" t="s">
        <v>98</v>
      </c>
      <c r="F13906" s="6" t="n">
        <f aca="false">CF!F79-CF!F77-CF!F82+Thesis!F142*(1-tax_f)</f>
        <v>2.81855367218396</v>
      </c>
      <c r="G13906" s="6" t="n">
        <f aca="false">CF!G79-CF!G77-CF!G82+Thesis!G142*(1-tax_f)</f>
        <v>35.4967358232605</v>
      </c>
      <c r="H13906" s="6" t="n">
        <f aca="false">CF!H79-CF!H77-CF!H82+Thesis!H142*(1-tax_f)</f>
        <v>71.9736045985465</v>
      </c>
      <c r="I13906" s="6" t="n">
        <f aca="false">CF!I79-CF!I77-CF!I82+Thesis!I142*(1-tax_f)</f>
        <v>139.565890227748</v>
      </c>
      <c r="J13906" s="6" t="n">
        <f aca="false">CF!J79-CF!J77-CF!J82+Thesis!J142*(1-tax_f)</f>
        <v>212.783902680705</v>
      </c>
      <c r="K13906" s="6" t="n">
        <f aca="false">CF!K79-CF!K77-CF!K82+Thesis!K142*(1-tax_f)</f>
        <v>247.854416738942</v>
      </c>
      <c r="L13906" s="1" t="s">
        <v>1045</v>
      </c>
    </row>
    <row r="13907" customFormat="false" ht="15" hidden="false" customHeight="false" outlineLevel="0" collapsed="false">
      <c r="A13907" s="1" t="s">
        <v>1046</v>
      </c>
      <c r="B13907" s="0" t="s">
        <v>98</v>
      </c>
      <c r="F13907" s="6" t="n">
        <f aca="false">Sens!F13906*Sens!F13905</f>
        <v>2.68380812981276</v>
      </c>
      <c r="G13907" s="6" t="n">
        <f aca="false">Sens!G13906*Sens!G13905</f>
        <v>30.6453004094159</v>
      </c>
      <c r="H13907" s="6" t="n">
        <f aca="false">Sens!H13906*Sens!H13905</f>
        <v>56.3376889894542</v>
      </c>
      <c r="I13907" s="6" t="n">
        <f aca="false">Sens!I13906*Sens!I13905</f>
        <v>99.0502039470101</v>
      </c>
      <c r="J13907" s="6" t="n">
        <f aca="false">Sens!J13906*Sens!J13905</f>
        <v>136.919455625153</v>
      </c>
      <c r="K13907" s="6" t="n">
        <f aca="false">Sens!K13906*Sens!K13905</f>
        <v>144.601689041733</v>
      </c>
    </row>
    <row r="13908" customFormat="false" ht="17.15" hidden="false" customHeight="false" outlineLevel="0" collapsed="false">
      <c r="A13908" s="1" t="s">
        <v>1047</v>
      </c>
      <c r="B13908" s="0" t="s">
        <v>98</v>
      </c>
      <c r="C13908" s="6" t="n">
        <f aca="false">SUM(Sens!F13907:K13907)</f>
        <v>470.238146142579</v>
      </c>
    </row>
    <row r="13909" customFormat="false" ht="17.15" hidden="false" customHeight="false" outlineLevel="0" collapsed="false">
      <c r="A13909" s="1" t="s">
        <v>1048</v>
      </c>
      <c r="B13909" s="0" t="s">
        <v>98</v>
      </c>
      <c r="C13909" s="6" t="n">
        <f aca="false">PL!K117*(1+g_tv)*(1-tax_f)</f>
        <v>255.879558138142</v>
      </c>
    </row>
    <row r="13910" customFormat="false" ht="17.15" hidden="false" customHeight="false" outlineLevel="0" collapsed="false">
      <c r="A13910" s="1" t="s">
        <v>1049</v>
      </c>
      <c r="B13910" s="0" t="s">
        <v>98</v>
      </c>
      <c r="C13910" s="6" t="n">
        <f aca="false">Sens!$C$13909*(1-g_tv/(wacc+ronic_prem))</f>
        <v>181.304049409205</v>
      </c>
    </row>
    <row r="13911" customFormat="false" ht="17.15" hidden="false" customHeight="false" outlineLevel="0" collapsed="false">
      <c r="A13911" s="1" t="s">
        <v>1050</v>
      </c>
      <c r="B13911" s="0" t="s">
        <v>98</v>
      </c>
      <c r="C13911" s="6" t="n">
        <f aca="false">Sens!$C$13910/(wacc-g_tv)</f>
        <v>2485.85029096454</v>
      </c>
    </row>
    <row r="13912" customFormat="false" ht="15" hidden="false" customHeight="false" outlineLevel="0" collapsed="false">
      <c r="A13912" s="1" t="s">
        <v>1051</v>
      </c>
      <c r="B13912" s="0" t="s">
        <v>98</v>
      </c>
      <c r="C13912" s="6" t="n">
        <f aca="false">Sens!$C$13911/(1+wacc)^(Sens!K13904+mid_yr)</f>
        <v>1380.94641912769</v>
      </c>
    </row>
    <row r="13913" customFormat="false" ht="17.15" hidden="false" customHeight="false" outlineLevel="0" collapsed="false">
      <c r="A13913" s="0" t="s">
        <v>972</v>
      </c>
      <c r="B13913" s="0" t="s">
        <v>98</v>
      </c>
      <c r="C13913" s="6" t="n">
        <f aca="false">Sens!$C$13908+Sens!$C$13912</f>
        <v>1851.18456527027</v>
      </c>
    </row>
    <row r="13914" customFormat="false" ht="15" hidden="false" customHeight="false" outlineLevel="0" collapsed="false">
      <c r="A13914" s="1" t="s">
        <v>973</v>
      </c>
      <c r="B13914" s="0" t="s">
        <v>129</v>
      </c>
      <c r="C13914" s="7" t="n">
        <f aca="false">Sens!$C$13912/Sens!$C$13913</f>
        <v>0.745979868801507</v>
      </c>
    </row>
    <row r="13915" customFormat="false" ht="17.15" hidden="false" customHeight="false" outlineLevel="0" collapsed="false">
      <c r="A13915" s="1" t="s">
        <v>1052</v>
      </c>
      <c r="B13915" s="0" t="s">
        <v>98</v>
      </c>
      <c r="C13915" s="6" t="n">
        <f aca="false">Sens!$C$13913+CF!E94-CF!E83+(oai_stake_hi*oai_val)</f>
        <v>2045.33756527027</v>
      </c>
    </row>
    <row r="13916" customFormat="false" ht="17.15" hidden="false" customHeight="false" outlineLevel="0" collapsed="false">
      <c r="A13916" s="0" t="s">
        <v>980</v>
      </c>
      <c r="B13916" s="0" t="s">
        <v>75</v>
      </c>
      <c r="C13916" s="5" t="n">
        <f aca="false">Sens!$C$13915/sh_dil26</f>
        <v>274.431445762816</v>
      </c>
    </row>
    <row r="13917" customFormat="false" ht="15" hidden="false" customHeight="false" outlineLevel="0" collapsed="false">
      <c r="A13917" s="1" t="s">
        <v>1053</v>
      </c>
      <c r="B13917" s="0" t="s">
        <v>75</v>
      </c>
      <c r="C13917" s="8" t="n">
        <f aca="false">dps_27+CF!G86*roll_div_q/q_per_yr</f>
        <v>4.8895</v>
      </c>
    </row>
    <row r="13918" customFormat="false" ht="17.15" hidden="false" customHeight="false" outlineLevel="0" collapsed="false">
      <c r="A13918" s="0" t="s">
        <v>1054</v>
      </c>
      <c r="B13918" s="0" t="s">
        <v>75</v>
      </c>
      <c r="C13918" s="5" t="n">
        <f aca="false">Sens!$C$13916*(1+wacc)^t_roll-Sens!$C$13917</f>
        <v>307.614750425941</v>
      </c>
    </row>
    <row r="13919" customFormat="false" ht="17.15" hidden="false" customHeight="false" outlineLevel="0" collapsed="false">
      <c r="A13919" s="1" t="s">
        <v>1055</v>
      </c>
      <c r="B13919" s="0" t="s">
        <v>129</v>
      </c>
      <c r="F13919" s="7" t="n">
        <f aca="false">CF!F75/(Seg!F83-Thesis!F121)</f>
        <v>0.0686864325746334</v>
      </c>
      <c r="G13919" s="7" t="n">
        <f aca="false">CF!G75/(Seg!G83-Thesis!G121)</f>
        <v>0.066267001590801</v>
      </c>
      <c r="H13919" s="7" t="n">
        <f aca="false">CF!H75/(Seg!H83-Thesis!H121)</f>
        <v>0.0650366246750144</v>
      </c>
      <c r="I13919" s="7" t="n">
        <f aca="false">CF!I75/(Seg!I83-Thesis!I121)</f>
        <v>0.0648573271390164</v>
      </c>
      <c r="J13919" s="7" t="n">
        <f aca="false">CF!J75/(Seg!J83-Thesis!J121)</f>
        <v>0.0655189837669657</v>
      </c>
      <c r="K13919" s="7" t="n">
        <f aca="false">CF!K75/(Seg!K83-Thesis!K121)</f>
        <v>0.0667878921367872</v>
      </c>
    </row>
    <row r="13920" customFormat="false" ht="17.15" hidden="false" customHeight="false" outlineLevel="0" collapsed="false">
      <c r="A13920" s="0" t="s">
        <v>1056</v>
      </c>
      <c r="B13920" s="0" t="s">
        <v>98</v>
      </c>
      <c r="F13920" s="6" t="n">
        <f aca="false">Seg!F68*(al_m365+Sens!F13919+sbc_r)</f>
        <v>82.8871280343675</v>
      </c>
      <c r="G13920" s="6" t="n">
        <f aca="false">Seg!G68*(al_m365+Sens!G13919+sbc_r)</f>
        <v>93.2646494841949</v>
      </c>
      <c r="H13920" s="6" t="n">
        <f aca="false">Seg!H68*(al_m365+Sens!H13919+sbc_r)</f>
        <v>103.801656157254</v>
      </c>
      <c r="I13920" s="6" t="n">
        <f aca="false">Seg!I68*(al_m365+Sens!I13919+sbc_r)</f>
        <v>113.821873816133</v>
      </c>
      <c r="J13920" s="6" t="n">
        <f aca="false">Seg!J68*(al_m365+Sens!J13919+sbc_r)</f>
        <v>123.136196807334</v>
      </c>
      <c r="K13920" s="6" t="n">
        <f aca="false">Seg!K68*(al_m365+Sens!K13919+sbc_r)</f>
        <v>132.051675801964</v>
      </c>
      <c r="L13920" s="11" t="s">
        <v>1057</v>
      </c>
    </row>
    <row r="13921" customFormat="false" ht="17.15" hidden="false" customHeight="false" outlineLevel="0" collapsed="false">
      <c r="A13921" s="0" t="s">
        <v>1058</v>
      </c>
      <c r="B13921" s="0" t="s">
        <v>98</v>
      </c>
      <c r="F13921" s="6" t="n">
        <f aca="false">Seg!F69*(al_lic+Sens!F13919+sbc_r)</f>
        <v>33.4484001235218</v>
      </c>
      <c r="G13921" s="6" t="n">
        <f aca="false">Seg!G69*(al_lic+Sens!G13919+sbc_r)</f>
        <v>34.7662136749183</v>
      </c>
      <c r="H13921" s="6" t="n">
        <f aca="false">Seg!H69*(al_lic+Sens!H13919+sbc_r)</f>
        <v>35.9922067034497</v>
      </c>
      <c r="I13921" s="6" t="n">
        <f aca="false">Seg!I69*(al_lic+Sens!I13919+sbc_r)</f>
        <v>37.1063543598183</v>
      </c>
      <c r="J13921" s="6" t="n">
        <f aca="false">Seg!J69*(al_lic+Sens!J13919+sbc_r)</f>
        <v>38.0853056964387</v>
      </c>
      <c r="K13921" s="6" t="n">
        <f aca="false">Seg!K69*(al_lic+Sens!K13919+sbc_r)</f>
        <v>38.9048066370724</v>
      </c>
    </row>
    <row r="13922" customFormat="false" ht="17.15" hidden="false" customHeight="false" outlineLevel="0" collapsed="false">
      <c r="A13922" s="0" t="s">
        <v>1059</v>
      </c>
      <c r="B13922" s="0" t="s">
        <v>98</v>
      </c>
      <c r="F13922" s="6" t="n">
        <f aca="false">Seg!F71*(al_ind+Sens!F13919+sbc_r)</f>
        <v>9.07857451914073</v>
      </c>
      <c r="G13922" s="6" t="n">
        <f aca="false">Seg!G71*(al_ind+Sens!G13919+sbc_r)</f>
        <v>9.86487802721884</v>
      </c>
      <c r="H13922" s="6" t="n">
        <f aca="false">Seg!H71*(al_ind+Sens!H13919+sbc_r)</f>
        <v>10.693809720013</v>
      </c>
      <c r="I13922" s="6" t="n">
        <f aca="false">Seg!I71*(al_ind+Sens!I13919+sbc_r)</f>
        <v>11.5608645999226</v>
      </c>
      <c r="J13922" s="6" t="n">
        <f aca="false">Seg!J71*(al_ind+Sens!J13919+sbc_r)</f>
        <v>12.4574161941375</v>
      </c>
      <c r="K13922" s="6" t="n">
        <f aca="false">Seg!K71*(al_ind+Sens!K13919+sbc_r)</f>
        <v>13.3714153876622</v>
      </c>
    </row>
    <row r="13923" customFormat="false" ht="17.15" hidden="false" customHeight="false" outlineLevel="0" collapsed="false">
      <c r="A13923" s="0" t="s">
        <v>1060</v>
      </c>
      <c r="B13923" s="0" t="s">
        <v>98</v>
      </c>
      <c r="F13923" s="6" t="n">
        <f aca="false">Seg!F73*(al_fro+Sens!F13919+sbc_r)</f>
        <v>3.57335880380168</v>
      </c>
      <c r="G13923" s="6" t="n">
        <f aca="false">Seg!G73*(al_fro+Sens!G13919+sbc_r)</f>
        <v>3.78752993435501</v>
      </c>
      <c r="H13923" s="6" t="n">
        <f aca="false">Seg!H73*(al_fro+Sens!H13919+sbc_r)</f>
        <v>4.02979352544868</v>
      </c>
      <c r="I13923" s="6" t="n">
        <f aca="false">Seg!I73*(al_fro+Sens!I13919+sbc_r)</f>
        <v>4.30248328262388</v>
      </c>
      <c r="J13923" s="6" t="n">
        <f aca="false">Seg!J73*(al_fro+Sens!J13919+sbc_r)</f>
        <v>4.6072312462081</v>
      </c>
      <c r="K13923" s="6" t="n">
        <f aca="false">Seg!K73*(al_fro+Sens!K13919+sbc_r)</f>
        <v>4.94526327289735</v>
      </c>
    </row>
    <row r="13924" customFormat="false" ht="17.15" hidden="false" customHeight="false" outlineLevel="0" collapsed="false">
      <c r="A13924" s="0" t="s">
        <v>1061</v>
      </c>
      <c r="B13924" s="0" t="s">
        <v>98</v>
      </c>
      <c r="F13924" s="6" t="n">
        <f aca="false">Seg!F76*(al_srch+Sens!F13919+sbc_r)</f>
        <v>11.2121706988551</v>
      </c>
      <c r="G13924" s="6" t="n">
        <f aca="false">Seg!G76*(al_srch+Sens!G13919+sbc_r)</f>
        <v>12.298220751086</v>
      </c>
      <c r="H13924" s="6" t="n">
        <f aca="false">Seg!H76*(al_srch+Sens!H13919+sbc_r)</f>
        <v>13.4264661389574</v>
      </c>
      <c r="I13924" s="6" t="n">
        <f aca="false">Seg!I76*(al_srch+Sens!I13919+sbc_r)</f>
        <v>14.5842947685169</v>
      </c>
      <c r="J13924" s="6" t="n">
        <f aca="false">Seg!J76*(al_srch+Sens!J13919+sbc_r)</f>
        <v>15.7529827260804</v>
      </c>
      <c r="K13924" s="6" t="n">
        <f aca="false">Seg!K76*(al_srch+Sens!K13919+sbc_r)</f>
        <v>16.908777257054</v>
      </c>
    </row>
    <row r="13925" customFormat="false" ht="17.15" hidden="false" customHeight="false" outlineLevel="0" collapsed="false">
      <c r="A13925" s="0" t="s">
        <v>1062</v>
      </c>
      <c r="B13925" s="0" t="s">
        <v>98</v>
      </c>
      <c r="F13925" s="6" t="n">
        <f aca="false">Thesis!F127-Thesis!F128+Thesis!F142</f>
        <v>49.3166695044068</v>
      </c>
      <c r="G13925" s="6" t="n">
        <f aca="false">Thesis!G127-Thesis!G128+Thesis!G142</f>
        <v>79.1711235199867</v>
      </c>
      <c r="H13925" s="6" t="n">
        <f aca="false">Thesis!H127-Thesis!H128+Thesis!H142</f>
        <v>105.986955995322</v>
      </c>
      <c r="I13925" s="6" t="n">
        <f aca="false">Thesis!I127-Thesis!I128+Thesis!I142</f>
        <v>136.51312421941</v>
      </c>
      <c r="J13925" s="6" t="n">
        <f aca="false">Thesis!J127-Thesis!J128+Thesis!J142</f>
        <v>158.045869188803</v>
      </c>
      <c r="K13925" s="6" t="n">
        <f aca="false">Thesis!K127-Thesis!K128+Thesis!K142</f>
        <v>171.626834186355</v>
      </c>
    </row>
    <row r="13926" customFormat="false" ht="17.15" hidden="false" customHeight="false" outlineLevel="0" collapsed="false">
      <c r="A13926" s="0" t="s">
        <v>1063</v>
      </c>
      <c r="B13926" s="0" t="s">
        <v>98</v>
      </c>
      <c r="F13926" s="6" t="n">
        <f aca="false">PL!F110+Thesis!F142+Thesis!F138+Sens!F13919*(Seg!F75-Thesis!F121)+sbc_r*Seg!F75</f>
        <v>239.221795819914</v>
      </c>
      <c r="G13926" s="6" t="n">
        <f aca="false">PL!G110+Thesis!G142+Thesis!G138+Sens!G13919*(Seg!G75-Thesis!G121)+sbc_r*Seg!G75</f>
        <v>293.888959324058</v>
      </c>
      <c r="H13926" s="6" t="n">
        <f aca="false">PL!H110+Thesis!H142+Thesis!H138+Sens!H13919*(Seg!H75-Thesis!H121)+sbc_r*Seg!H75</f>
        <v>345.795749423438</v>
      </c>
      <c r="I13926" s="6" t="n">
        <f aca="false">PL!I110+Thesis!I142+Thesis!I138+Sens!I13919*(Seg!I75-Thesis!I121)+sbc_r*Seg!I75</f>
        <v>400.80148439376</v>
      </c>
      <c r="J13926" s="6" t="n">
        <f aca="false">PL!J110+Thesis!J142+Thesis!J138+Sens!J13919*(Seg!J75-Thesis!J121)+sbc_r*Seg!J75</f>
        <v>444.918308128678</v>
      </c>
      <c r="K13926" s="6" t="n">
        <f aca="false">PL!K110+Thesis!K142+Thesis!K138+Sens!K13919*(Seg!K75-Thesis!K121)+sbc_r*Seg!K75</f>
        <v>478.782312275225</v>
      </c>
    </row>
    <row r="13927" customFormat="false" ht="17.15" hidden="false" customHeight="false" outlineLevel="0" collapsed="false">
      <c r="A13927" s="0" t="s">
        <v>1064</v>
      </c>
      <c r="B13927" s="0" t="s">
        <v>98</v>
      </c>
      <c r="F13927" s="6" t="n">
        <f aca="false">Sens!F13926-Sens!F13920-Sens!F13921-Sens!F13922-Sens!F13923-Sens!F13925</f>
        <v>60.9176648346756</v>
      </c>
      <c r="G13927" s="6" t="n">
        <f aca="false">Sens!G13926-Sens!G13920-Sens!G13921-Sens!G13922-Sens!G13923-Sens!G13925</f>
        <v>73.0345646833845</v>
      </c>
      <c r="H13927" s="6" t="n">
        <f aca="false">Sens!H13926-Sens!H13920-Sens!H13921-Sens!H13922-Sens!H13923-Sens!H13925</f>
        <v>85.2913273219498</v>
      </c>
      <c r="I13927" s="6" t="n">
        <f aca="false">Sens!I13926-Sens!I13920-Sens!I13921-Sens!I13922-Sens!I13923-Sens!I13925</f>
        <v>97.4967841158513</v>
      </c>
      <c r="J13927" s="6" t="n">
        <f aca="false">Sens!J13926-Sens!J13920-Sens!J13921-Sens!J13922-Sens!J13923-Sens!J13925</f>
        <v>108.586288995756</v>
      </c>
      <c r="K13927" s="6" t="n">
        <f aca="false">Sens!K13926-Sens!K13920-Sens!K13921-Sens!K13922-Sens!K13923-Sens!K13925</f>
        <v>117.882316989274</v>
      </c>
    </row>
    <row r="13928" customFormat="false" ht="17.15" hidden="false" customHeight="false" outlineLevel="0" collapsed="false">
      <c r="A13928" s="0" t="s">
        <v>1065</v>
      </c>
      <c r="B13928" s="0" t="s">
        <v>98</v>
      </c>
      <c r="F13928" s="6" t="n">
        <f aca="false">PL!F112+Sens!F13919*Seg!F82+sbc_r*Seg!F82</f>
        <v>26.2049549828959</v>
      </c>
      <c r="G13928" s="6" t="n">
        <f aca="false">PL!G112+Sens!G13919*Seg!G82+sbc_r*Seg!G82</f>
        <v>26.8405806403664</v>
      </c>
      <c r="H13928" s="6" t="n">
        <f aca="false">PL!H112+Sens!H13919*Seg!H82+sbc_r*Seg!H82</f>
        <v>27.7352032470138</v>
      </c>
      <c r="I13928" s="6" t="n">
        <f aca="false">PL!I112+Sens!I13919*Seg!I82+sbc_r*Seg!I82</f>
        <v>28.8569155956094</v>
      </c>
      <c r="J13928" s="6" t="n">
        <f aca="false">PL!J112+Sens!J13919*Seg!J82+sbc_r*Seg!J82</f>
        <v>30.1744385645725</v>
      </c>
      <c r="K13928" s="6" t="n">
        <f aca="false">PL!K112+Sens!K13919*Seg!K82+sbc_r*Seg!K82</f>
        <v>31.6584976186802</v>
      </c>
    </row>
    <row r="13929" customFormat="false" ht="17.15" hidden="false" customHeight="false" outlineLevel="0" collapsed="false">
      <c r="A13929" s="0" t="s">
        <v>1066</v>
      </c>
      <c r="B13929" s="0" t="s">
        <v>98</v>
      </c>
      <c r="F13929" s="6" t="n">
        <f aca="false">(Sens!F13928-Sens!F13924)*Seg!F78/(Seg!F78+Seg!F80)</f>
        <v>8.21889831690819</v>
      </c>
      <c r="G13929" s="6" t="n">
        <f aca="false">(Sens!G13928-Sens!G13924)*Seg!G78/(Seg!G78+Seg!G80)</f>
        <v>7.82984014749099</v>
      </c>
      <c r="H13929" s="6" t="n">
        <f aca="false">(Sens!H13928-Sens!H13924)*Seg!H78/(Seg!H78+Seg!H80)</f>
        <v>7.5999849964554</v>
      </c>
      <c r="I13929" s="6" t="n">
        <f aca="false">(Sens!I13928-Sens!I13924)*Seg!I78/(Seg!I78+Seg!I80)</f>
        <v>7.51221089422364</v>
      </c>
      <c r="J13929" s="6" t="n">
        <f aca="false">(Sens!J13928-Sens!J13924)*Seg!J78/(Seg!J78+Seg!J80)</f>
        <v>7.55622411401827</v>
      </c>
      <c r="K13929" s="6" t="n">
        <f aca="false">(Sens!K13928-Sens!K13924)*Seg!K78/(Seg!K78+Seg!K80)</f>
        <v>7.72822064011532</v>
      </c>
    </row>
    <row r="13930" customFormat="false" ht="17.15" hidden="false" customHeight="false" outlineLevel="0" collapsed="false">
      <c r="A13930" s="0" t="s">
        <v>1067</v>
      </c>
      <c r="B13930" s="0" t="s">
        <v>98</v>
      </c>
      <c r="F13930" s="6" t="n">
        <f aca="false">Sens!F13928-Sens!F13924-Sens!F13929</f>
        <v>6.77388596713263</v>
      </c>
      <c r="G13930" s="6" t="n">
        <f aca="false">Sens!G13928-Sens!G13924-Sens!G13929</f>
        <v>6.71251974178949</v>
      </c>
      <c r="H13930" s="6" t="n">
        <f aca="false">Sens!H13928-Sens!H13924-Sens!H13929</f>
        <v>6.70875211160101</v>
      </c>
      <c r="I13930" s="6" t="n">
        <f aca="false">Sens!I13928-Sens!I13924-Sens!I13929</f>
        <v>6.76040993286883</v>
      </c>
      <c r="J13930" s="6" t="n">
        <f aca="false">Sens!J13928-Sens!J13924-Sens!J13929</f>
        <v>6.86523172447386</v>
      </c>
      <c r="K13930" s="6" t="n">
        <f aca="false">Sens!K13928-Sens!K13924-Sens!K13929</f>
        <v>7.02149972151092</v>
      </c>
    </row>
    <row r="13931" customFormat="false" ht="17.15" hidden="false" customHeight="false" outlineLevel="0" collapsed="false">
      <c r="A13931" s="0" t="s">
        <v>1068</v>
      </c>
      <c r="B13931" s="0" t="s">
        <v>98</v>
      </c>
      <c r="F13931" s="6" t="n">
        <f aca="false">Sens!F13925-tax_f*(Sens!F13925-Thesis!F138)-Thesis!F135</f>
        <v>-122.366710075738</v>
      </c>
      <c r="G13931" s="6" t="n">
        <f aca="false">Sens!G13925-tax_f*(Sens!G13925-Thesis!G138)-Thesis!G135</f>
        <v>-108.130935015143</v>
      </c>
      <c r="H13931" s="6" t="n">
        <f aca="false">Sens!H13925-tax_f*(Sens!H13925-Thesis!H138)-Thesis!H135</f>
        <v>-85.7372579155142</v>
      </c>
      <c r="I13931" s="6" t="n">
        <f aca="false">Sens!I13925-tax_f*(Sens!I13925-Thesis!I138)-Thesis!I135</f>
        <v>-32.0937617822731</v>
      </c>
      <c r="J13931" s="6" t="n">
        <f aca="false">Sens!J13925-tax_f*(Sens!J13925-Thesis!J138)-Thesis!J135</f>
        <v>27.7659608174853</v>
      </c>
      <c r="K13931" s="6" t="n">
        <f aca="false">Sens!K13925-tax_f*(Sens!K13925-Thesis!K138)-Thesis!K135</f>
        <v>50.2765610680426</v>
      </c>
    </row>
    <row r="13932" customFormat="false" ht="17.15" hidden="false" customHeight="false" outlineLevel="0" collapsed="false">
      <c r="A13932" s="0" t="s">
        <v>1069</v>
      </c>
      <c r="B13932" s="0" t="s">
        <v>98</v>
      </c>
      <c r="F13932" s="6" t="n">
        <f aca="false">Sens!F13931*Sens!F13905</f>
        <v>-116.516770484359</v>
      </c>
      <c r="G13932" s="6" t="n">
        <f aca="false">Sens!G13931*Sens!G13905</f>
        <v>-93.3523860782335</v>
      </c>
      <c r="H13932" s="6" t="n">
        <f aca="false">Sens!H13931*Sens!H13905</f>
        <v>-67.1112555525725</v>
      </c>
      <c r="I13932" s="6" t="n">
        <f aca="false">Sens!I13931*Sens!I13905</f>
        <v>-22.7770098035666</v>
      </c>
      <c r="J13932" s="6" t="n">
        <f aca="false">Sens!J13931*Sens!J13905</f>
        <v>17.8664842224654</v>
      </c>
      <c r="K13932" s="6" t="n">
        <f aca="false">Sens!K13931*Sens!K13905</f>
        <v>29.3320399341769</v>
      </c>
    </row>
    <row r="13933" customFormat="false" ht="17.15" hidden="false" customHeight="false" outlineLevel="0" collapsed="false">
      <c r="A13933" s="0" t="s">
        <v>1070</v>
      </c>
      <c r="B13933" s="0" t="s">
        <v>98</v>
      </c>
      <c r="C13933" s="6" t="n">
        <f aca="false">(Sens!K13925-Thesis!K138)*(1-tax_f)*(1+g_tv)*(1-g_tv/(wacc+ronic_prem))/(wacc-g_tv)/(1+wacc)^(Sens!K13904+mid_yr)</f>
        <v>142.100702662121</v>
      </c>
    </row>
    <row r="13934" customFormat="false" ht="17.15" hidden="false" customHeight="false" outlineLevel="0" collapsed="false">
      <c r="A13934" s="1" t="s">
        <v>1071</v>
      </c>
      <c r="B13934" s="0" t="s">
        <v>98</v>
      </c>
      <c r="C13934" s="6" t="n">
        <f aca="false">(SUM(Sens!F13932:K13932)+Sens!$C$13933)*(1+wacc)^t_roll</f>
        <v>-125.782434907083</v>
      </c>
      <c r="L13934" s="11" t="s">
        <v>1072</v>
      </c>
    </row>
    <row r="13935" customFormat="false" ht="17.15" hidden="false" customHeight="false" outlineLevel="0" collapsed="false">
      <c r="A13935" s="1" t="s">
        <v>1073</v>
      </c>
      <c r="B13935" s="0" t="s">
        <v>98</v>
      </c>
      <c r="C13935" s="6" t="n">
        <f aca="false">(w_ntm28*Thesis!G127+(1-w_ntm28)*Thesis!H127)*m_ai</f>
        <v>338.776008390068</v>
      </c>
    </row>
    <row r="13936" customFormat="false" ht="17.15" hidden="false" customHeight="false" outlineLevel="0" collapsed="false">
      <c r="A13936" s="1" t="s">
        <v>1074</v>
      </c>
      <c r="B13936" s="0" t="s">
        <v>98</v>
      </c>
      <c r="C13936" s="6" t="n">
        <f aca="false">(w_ntm28*Sens!G13927+(1-w_ntm28)*Sens!H13927)*m_cloud</f>
        <v>1064.09888458319</v>
      </c>
    </row>
    <row r="13937" customFormat="false" ht="17.15" hidden="false" customHeight="false" outlineLevel="0" collapsed="false">
      <c r="A13937" s="1" t="s">
        <v>1075</v>
      </c>
      <c r="B13937" s="0" t="s">
        <v>98</v>
      </c>
      <c r="C13937" s="6" t="n">
        <f aca="false">(w_ntm28*Sens!G13920+(1-w_ntm28)*Sens!H13920)*m_sw</f>
        <v>1044.04824539957</v>
      </c>
    </row>
    <row r="13938" customFormat="false" ht="17.15" hidden="false" customHeight="false" outlineLevel="0" collapsed="false">
      <c r="A13938" s="1" t="s">
        <v>1076</v>
      </c>
      <c r="B13938" s="0" t="s">
        <v>98</v>
      </c>
      <c r="C13938" s="6" t="n">
        <f aca="false">(w_ntm28*Sens!G13921+(1-w_ntm28)*Sens!H13921)*m_sw</f>
        <v>379.755670745447</v>
      </c>
    </row>
    <row r="13939" customFormat="false" ht="17.15" hidden="false" customHeight="false" outlineLevel="0" collapsed="false">
      <c r="A13939" s="1" t="s">
        <v>1077</v>
      </c>
      <c r="B13939" s="0" t="s">
        <v>98</v>
      </c>
      <c r="C13939" s="6" t="n">
        <f aca="false">(w_ntm28*Sens!G13922+(1-w_ntm28)*Sens!H13922)*m_sw</f>
        <v>109.434903376969</v>
      </c>
    </row>
    <row r="13940" customFormat="false" ht="17.15" hidden="false" customHeight="false" outlineLevel="0" collapsed="false">
      <c r="A13940" s="1" t="s">
        <v>1078</v>
      </c>
      <c r="B13940" s="0" t="s">
        <v>98</v>
      </c>
      <c r="C13940" s="6" t="n">
        <f aca="false">(w_ntm28*Sens!G13923+(1-w_ntm28)*Sens!H13923)*m_sw</f>
        <v>41.7511882786773</v>
      </c>
    </row>
    <row r="13941" customFormat="false" ht="17.15" hidden="false" customHeight="false" outlineLevel="0" collapsed="false">
      <c r="A13941" s="1" t="s">
        <v>1079</v>
      </c>
      <c r="B13941" s="0" t="s">
        <v>98</v>
      </c>
      <c r="C13941" s="6" t="n">
        <f aca="false">(w_ntm28*Sens!G13924+(1-w_ntm28)*Sens!H13924)*m_ads</f>
        <v>115.359643719254</v>
      </c>
    </row>
    <row r="13942" customFormat="false" ht="17.15" hidden="false" customHeight="false" outlineLevel="0" collapsed="false">
      <c r="A13942" s="1" t="s">
        <v>1080</v>
      </c>
      <c r="B13942" s="0" t="s">
        <v>98</v>
      </c>
      <c r="C13942" s="6" t="n">
        <f aca="false">(w_ntm28*Sens!G13929+(1-w_ntm28)*Sens!H13929)*m_game</f>
        <v>97.9523541428266</v>
      </c>
    </row>
    <row r="13943" customFormat="false" ht="17.15" hidden="false" customHeight="false" outlineLevel="0" collapsed="false">
      <c r="A13943" s="1" t="s">
        <v>1081</v>
      </c>
      <c r="B13943" s="0" t="s">
        <v>98</v>
      </c>
      <c r="C13943" s="6" t="n">
        <f aca="false">(w_ntm28*Sens!G13930+(1-w_ntm28)*Sens!H13930)*m_pc</f>
        <v>97.1125357928949</v>
      </c>
    </row>
    <row r="13944" customFormat="false" ht="17.15" hidden="false" customHeight="false" outlineLevel="0" collapsed="false">
      <c r="A13944" s="1" t="s">
        <v>1082</v>
      </c>
      <c r="B13944" s="0" t="s">
        <v>98</v>
      </c>
      <c r="C13944" s="6" t="n">
        <f aca="false">Sens!$C$13934+Sens!$C$13936+Sens!$C$13937+Sens!$C$13938+Sens!$C$13939+Sens!$C$13940+Sens!$C$13941+Sens!$C$13942+Sens!$C$13943</f>
        <v>2823.73099113174</v>
      </c>
    </row>
    <row r="13945" customFormat="false" ht="17.15" hidden="false" customHeight="false" outlineLevel="0" collapsed="false">
      <c r="A13945" s="1" t="s">
        <v>1000</v>
      </c>
      <c r="B13945" s="0" t="s">
        <v>98</v>
      </c>
      <c r="C13945" s="6" t="n">
        <f aca="false">CF!F94+(oai_stake_hi*oai_val)-CF!F83</f>
        <v>166.454034990727</v>
      </c>
      <c r="L13945" s="1" t="s">
        <v>1083</v>
      </c>
    </row>
    <row r="13946" customFormat="false" ht="15" hidden="false" customHeight="false" outlineLevel="0" collapsed="false">
      <c r="A13946" s="1" t="s">
        <v>1001</v>
      </c>
      <c r="B13946" s="0" t="s">
        <v>75</v>
      </c>
      <c r="C13946" s="5" t="n">
        <f aca="false">(Sens!$C$13944+Sens!$C$13945)/CF!F96</f>
        <v>400.185362168425</v>
      </c>
    </row>
    <row r="13947" customFormat="false" ht="17.15" hidden="false" customHeight="false" outlineLevel="0" collapsed="false">
      <c r="A13947" s="1" t="s">
        <v>1084</v>
      </c>
      <c r="B13947" s="0" t="s">
        <v>75</v>
      </c>
      <c r="C13947" s="5" t="n">
        <f aca="false">w_dcf*Sens!$C$13918+(1-w_dcf)*Sens!$C$13946</f>
        <v>353.900056297183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4" t="s">
        <v>1593</v>
      </c>
      <c r="B1" s="4" t="s">
        <v>1594</v>
      </c>
      <c r="C1" s="4" t="s">
        <v>243</v>
      </c>
      <c r="D1" s="4" t="s">
        <v>1595</v>
      </c>
      <c r="E1" s="4" t="s">
        <v>69</v>
      </c>
    </row>
    <row r="2" customFormat="false" ht="17.15" hidden="false" customHeight="false" outlineLevel="0" collapsed="false">
      <c r="A2" s="0" t="n">
        <v>1</v>
      </c>
      <c r="B2" s="0" t="s">
        <v>1596</v>
      </c>
      <c r="C2" s="0" t="s">
        <v>1597</v>
      </c>
      <c r="D2" s="0" t="s">
        <v>1598</v>
      </c>
      <c r="E2" s="0" t="s">
        <v>76</v>
      </c>
    </row>
    <row r="3" customFormat="false" ht="17.15" hidden="false" customHeight="false" outlineLevel="0" collapsed="false">
      <c r="A3" s="0" t="n">
        <v>2</v>
      </c>
      <c r="B3" s="0" t="s">
        <v>1599</v>
      </c>
      <c r="C3" s="0" t="s">
        <v>1600</v>
      </c>
      <c r="D3" s="0" t="s">
        <v>1601</v>
      </c>
      <c r="E3" s="0" t="s">
        <v>1602</v>
      </c>
    </row>
    <row r="4" customFormat="false" ht="17.15" hidden="false" customHeight="false" outlineLevel="0" collapsed="false">
      <c r="A4" s="0" t="n">
        <v>3</v>
      </c>
      <c r="B4" s="0" t="s">
        <v>1603</v>
      </c>
      <c r="C4" s="0" t="s">
        <v>1604</v>
      </c>
      <c r="D4" s="0" t="s">
        <v>1605</v>
      </c>
      <c r="E4" s="0" t="s">
        <v>1606</v>
      </c>
    </row>
    <row r="5" customFormat="false" ht="17.15" hidden="false" customHeight="false" outlineLevel="0" collapsed="false">
      <c r="A5" s="0" t="n">
        <v>4</v>
      </c>
      <c r="B5" s="0" t="s">
        <v>1607</v>
      </c>
      <c r="C5" s="0" t="s">
        <v>312</v>
      </c>
      <c r="D5" s="0" t="s">
        <v>1608</v>
      </c>
      <c r="E5" s="1" t="s">
        <v>1609</v>
      </c>
    </row>
    <row r="6" customFormat="false" ht="17.15" hidden="false" customHeight="false" outlineLevel="0" collapsed="false">
      <c r="A6" s="0" t="n">
        <v>5</v>
      </c>
      <c r="B6" s="0" t="s">
        <v>1610</v>
      </c>
      <c r="C6" s="0" t="s">
        <v>1611</v>
      </c>
      <c r="D6" s="0" t="s">
        <v>1612</v>
      </c>
      <c r="E6" s="0" t="s">
        <v>90</v>
      </c>
    </row>
    <row r="7" customFormat="false" ht="17.15" hidden="false" customHeight="false" outlineLevel="0" collapsed="false">
      <c r="A7" s="0" t="n">
        <v>6</v>
      </c>
      <c r="B7" s="0" t="s">
        <v>1613</v>
      </c>
      <c r="C7" s="0" t="s">
        <v>312</v>
      </c>
      <c r="D7" s="0" t="s">
        <v>1614</v>
      </c>
      <c r="E7" s="0" t="s">
        <v>1615</v>
      </c>
    </row>
    <row r="8" customFormat="false" ht="17.15" hidden="false" customHeight="false" outlineLevel="0" collapsed="false">
      <c r="A8" s="0" t="n">
        <v>7</v>
      </c>
      <c r="B8" s="1" t="s">
        <v>1616</v>
      </c>
      <c r="C8" s="0" t="s">
        <v>312</v>
      </c>
      <c r="D8" s="0" t="s">
        <v>639</v>
      </c>
      <c r="E8" s="0" t="s">
        <v>170</v>
      </c>
    </row>
    <row r="9" customFormat="false" ht="17.15" hidden="false" customHeight="false" outlineLevel="0" collapsed="false">
      <c r="A9" s="0" t="n">
        <v>8</v>
      </c>
      <c r="B9" s="0" t="s">
        <v>1617</v>
      </c>
      <c r="C9" s="0" t="s">
        <v>1618</v>
      </c>
      <c r="D9" s="0" t="s">
        <v>1619</v>
      </c>
      <c r="E9" s="0" t="s">
        <v>76</v>
      </c>
    </row>
    <row r="10" customFormat="false" ht="17.15" hidden="false" customHeight="false" outlineLevel="0" collapsed="false">
      <c r="A10" s="0" t="n">
        <v>9</v>
      </c>
      <c r="B10" s="0" t="s">
        <v>1620</v>
      </c>
      <c r="C10" s="0" t="s">
        <v>1618</v>
      </c>
      <c r="D10" s="0" t="s">
        <v>1621</v>
      </c>
      <c r="E10" s="0" t="s">
        <v>170</v>
      </c>
    </row>
    <row r="11" customFormat="false" ht="17.15" hidden="false" customHeight="false" outlineLevel="0" collapsed="false">
      <c r="A11" s="0" t="n">
        <v>10</v>
      </c>
      <c r="B11" s="1" t="s">
        <v>1622</v>
      </c>
      <c r="C11" s="0" t="s">
        <v>305</v>
      </c>
      <c r="D11" s="0" t="s">
        <v>1623</v>
      </c>
      <c r="E11" s="0" t="s">
        <v>90</v>
      </c>
    </row>
    <row r="12" customFormat="false" ht="17.15" hidden="false" customHeight="false" outlineLevel="0" collapsed="false">
      <c r="A12" s="0" t="n">
        <v>11</v>
      </c>
      <c r="B12" s="1" t="s">
        <v>1624</v>
      </c>
      <c r="C12" s="0" t="s">
        <v>305</v>
      </c>
      <c r="D12" s="0" t="s">
        <v>1625</v>
      </c>
      <c r="E12" s="0" t="s">
        <v>90</v>
      </c>
    </row>
    <row r="13" customFormat="false" ht="17.15" hidden="false" customHeight="false" outlineLevel="0" collapsed="false">
      <c r="A13" s="0" t="n">
        <v>12</v>
      </c>
      <c r="B13" s="0" t="s">
        <v>1626</v>
      </c>
      <c r="C13" s="0" t="s">
        <v>1627</v>
      </c>
      <c r="D13" s="0" t="s">
        <v>1628</v>
      </c>
      <c r="E13" s="0" t="s">
        <v>87</v>
      </c>
    </row>
    <row r="14" customFormat="false" ht="17.15" hidden="false" customHeight="false" outlineLevel="0" collapsed="false">
      <c r="A14" s="0" t="n">
        <v>13</v>
      </c>
      <c r="B14" s="0" t="s">
        <v>1629</v>
      </c>
      <c r="C14" s="0" t="s">
        <v>1611</v>
      </c>
      <c r="D14" s="0" t="s">
        <v>1630</v>
      </c>
      <c r="E14" s="0" t="s">
        <v>90</v>
      </c>
    </row>
    <row r="15" customFormat="false" ht="17.15" hidden="false" customHeight="false" outlineLevel="0" collapsed="false">
      <c r="A15" s="0" t="n">
        <v>14</v>
      </c>
      <c r="B15" s="1" t="s">
        <v>1631</v>
      </c>
      <c r="C15" s="0" t="s">
        <v>1632</v>
      </c>
      <c r="D15" s="0" t="s">
        <v>1633</v>
      </c>
      <c r="E15" s="0" t="s">
        <v>87</v>
      </c>
    </row>
    <row r="16" customFormat="false" ht="17.15" hidden="false" customHeight="false" outlineLevel="0" collapsed="false">
      <c r="A16" s="0" t="n">
        <v>15</v>
      </c>
      <c r="B16" s="0" t="s">
        <v>1634</v>
      </c>
      <c r="C16" s="0" t="s">
        <v>1632</v>
      </c>
      <c r="D16" s="0" t="s">
        <v>1635</v>
      </c>
      <c r="E16" s="0" t="s">
        <v>87</v>
      </c>
    </row>
    <row r="18" customFormat="false" ht="17.15" hidden="false" customHeight="false" outlineLevel="0" collapsed="false">
      <c r="A18" s="1" t="s">
        <v>1636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2026-10-27T07:00:23Z</dcterms:created>
  <dc:creator>openpyxl</dc:creator>
  <dc:description/>
  <dc:language>en-US</dc:language>
  <cp:lastModifiedBy/>
  <dcterms:modified xsi:type="dcterms:W3CDTF">2026-10-27T07:00:24Z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